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imitris_Mintis\Dropbox\YEAR_13_Novamechanics\_programming\_zk-framework\_proplanet_v6\proplanet\SimpleBox4PFAS\src\main\resources\sb4p\"/>
    </mc:Choice>
  </mc:AlternateContent>
  <xr:revisionPtr revIDLastSave="0" documentId="13_ncr:1_{F97DC1BC-2F10-4F74-99CA-1053D09EAA2D}" xr6:coauthVersionLast="47" xr6:coauthVersionMax="47" xr10:uidLastSave="{00000000-0000-0000-0000-000000000000}"/>
  <bookViews>
    <workbookView xWindow="28680" yWindow="-210" windowWidth="29040" windowHeight="15720" tabRatio="704" firstSheet="1" activeTab="4" xr2:uid="{00000000-000D-0000-FFFF-FFFF00000000}"/>
  </bookViews>
  <sheets>
    <sheet name="version" sheetId="1" r:id="rId1"/>
    <sheet name="input" sheetId="3" r:id="rId2"/>
    <sheet name="output" sheetId="23" r:id="rId3"/>
    <sheet name="dynamicR" sheetId="20" r:id="rId4"/>
    <sheet name="substances" sheetId="2" r:id="rId5"/>
    <sheet name="scenarios" sheetId="16" r:id="rId6"/>
    <sheet name="cases" sheetId="18" r:id="rId7"/>
    <sheet name="regional" sheetId="6" r:id="rId8"/>
    <sheet name="continental" sheetId="7" r:id="rId9"/>
    <sheet name="global" sheetId="8" r:id="rId10"/>
    <sheet name="engine" sheetId="11" r:id="rId11"/>
    <sheet name="formulas" sheetId="22" r:id="rId12"/>
  </sheets>
  <definedNames>
    <definedName name="_xlnm._FilterDatabase" localSheetId="2" hidden="1">output!$BN$12:$BR$285</definedName>
    <definedName name="_xlnm._FilterDatabase" localSheetId="4" hidden="1">substances!$A$6:$AA$5034</definedName>
    <definedName name="_Sol25">input!$L$37</definedName>
    <definedName name="ADSORB.w1C.sd1C">continental!$L$168</definedName>
    <definedName name="ADSORB.w1R.sd1R">regional!$L$162</definedName>
    <definedName name="ADSORB.w2C.sd2C">continental!$L$170</definedName>
    <definedName name="ADSORB.w2R.sd2R">regional!$L$164</definedName>
    <definedName name="ADSORB.w3A.sdA">global!$L$247</definedName>
    <definedName name="ADSORB.w3M.sdM">global!$L$111</definedName>
    <definedName name="ADSORB.w3T.sdT">global!$L$383</definedName>
    <definedName name="AEROSOLdeprate.A">global!$L$225</definedName>
    <definedName name="AEROSOLdeprate.C">continental!$L$135</definedName>
    <definedName name="AEROSOLdeprate.M">global!$L$89</definedName>
    <definedName name="AEROSOLdeprate.R">regional!$L$129</definedName>
    <definedName name="AEROSOLdeprate.T">global!$L$361</definedName>
    <definedName name="AerosolWashout.A">global!$L$223</definedName>
    <definedName name="AerosolWashout.C">continental!$L$133</definedName>
    <definedName name="AerosolWashout.M">global!$L$87</definedName>
    <definedName name="AerosolWashout.R">regional!$L$127</definedName>
    <definedName name="AerosolWashout.T">global!$L$359</definedName>
    <definedName name="AREAFRAC.s1C">continental!$L$17</definedName>
    <definedName name="AREAFRAC.s1R">regional!$L$17</definedName>
    <definedName name="AREAFRAC.s2C">continental!$L$18</definedName>
    <definedName name="AREAFRAC.s2R">regional!$L$18</definedName>
    <definedName name="AREAFRAC.s3C">continental!$L$19</definedName>
    <definedName name="AREAFRAC.s3R">regional!$L$19</definedName>
    <definedName name="AREAFRAC.sA">global!$L$155</definedName>
    <definedName name="AREAFRAC.sM">global!$L$12</definedName>
    <definedName name="AREAFRAC.sT">global!$L$291</definedName>
    <definedName name="AREAFRAC.w0C">continental!$L$15</definedName>
    <definedName name="AREAFRAC.w0R">regional!$L$15</definedName>
    <definedName name="AREAFRAC.w1C">continental!$L$16</definedName>
    <definedName name="AREAFRAC.w1R">regional!$L$16</definedName>
    <definedName name="AREAFRAC.w2C">continental!$L$20</definedName>
    <definedName name="AREAFRAC.w2R">regional!$L$20</definedName>
    <definedName name="AREAFRAC.wA">global!$L$154</definedName>
    <definedName name="AREAFRAC.wM">global!$L$11</definedName>
    <definedName name="AREAFRAC.wT">global!$L$290</definedName>
    <definedName name="AREAland.C">input!$L$129</definedName>
    <definedName name="AREAland.R">input!$L$111</definedName>
    <definedName name="AREAsea.C">input!$L$130</definedName>
    <definedName name="AREAsea.R">input!$L$112</definedName>
    <definedName name="BACT.test">input!$L$72</definedName>
    <definedName name="BACT.w0C">continental!$L$209</definedName>
    <definedName name="BACT.w0R">regional!$L$203</definedName>
    <definedName name="BACT.w1C">continental!$L$210</definedName>
    <definedName name="BACT.w1R">regional!$L$204</definedName>
    <definedName name="BACT.w2A">global!$L$270</definedName>
    <definedName name="BACT.w2C">continental!$L$211</definedName>
    <definedName name="BACT.w2M">global!$L$134</definedName>
    <definedName name="BACT.w2R">regional!$L$205</definedName>
    <definedName name="BACT.w2T">global!$L$406</definedName>
    <definedName name="BACT.w3A">global!$L$271</definedName>
    <definedName name="BACT.w3M">global!$L$135</definedName>
    <definedName name="BACT.w3T">global!$L$407</definedName>
    <definedName name="Biodeg">input!$L$71</definedName>
    <definedName name="box_names">engine!$D$3:$AJ$3</definedName>
    <definedName name="C.aA">engine!$AA$50</definedName>
    <definedName name="C.aC">engine!$M$50</definedName>
    <definedName name="C.aM">engine!$V$50</definedName>
    <definedName name="C.aR">engine!$D$50</definedName>
    <definedName name="C.aT">engine!$AF$50</definedName>
    <definedName name="C.OHrad">input!$L$67</definedName>
    <definedName name="C.OHrad.aA">global!$L$266</definedName>
    <definedName name="C.OHrad.aC">continental!$L$204</definedName>
    <definedName name="C.OHrad.aM">global!$L$130</definedName>
    <definedName name="C.OHrad.aR">regional!$L$198</definedName>
    <definedName name="C.OHrad.aT">global!$L$402</definedName>
    <definedName name="C.s1C">engine!$S$50</definedName>
    <definedName name="C.s1R">engine!$J$50</definedName>
    <definedName name="C.s2C">engine!$T$50</definedName>
    <definedName name="C.s2R">engine!$K$50</definedName>
    <definedName name="C.s3C">engine!$U$50</definedName>
    <definedName name="C.s3R">engine!$L$50</definedName>
    <definedName name="C.sA">engine!$AE$50</definedName>
    <definedName name="C.sd1C">engine!$Q$50</definedName>
    <definedName name="C.sd1R">engine!$H$50</definedName>
    <definedName name="C.sd2C">engine!$R$50</definedName>
    <definedName name="C.sd2R">engine!$I$50</definedName>
    <definedName name="C.sdA">engine!$AD$50</definedName>
    <definedName name="C.sdM">engine!$Y$50</definedName>
    <definedName name="C.sdT">engine!$AI$50</definedName>
    <definedName name="C.sM">engine!$Z$50</definedName>
    <definedName name="C.sT">engine!$AJ$50</definedName>
    <definedName name="C.w0C">engine!$N$50</definedName>
    <definedName name="C.w0R">engine!$E$50</definedName>
    <definedName name="C.w1C">engine!$O$50</definedName>
    <definedName name="C.w1R">engine!$F$50</definedName>
    <definedName name="C.w2A">engine!$AB$50</definedName>
    <definedName name="C.w2C">engine!$P$50</definedName>
    <definedName name="C.w2M">engine!$W$50</definedName>
    <definedName name="C.w2R">engine!$G$50</definedName>
    <definedName name="C.w2T">engine!$AG$50</definedName>
    <definedName name="C.w3A">engine!$AC$50</definedName>
    <definedName name="C.w3M">engine!$X$50</definedName>
    <definedName name="C.w3T">engine!$AH$50</definedName>
    <definedName name="CaseData">cases!$J$3:$Q$1017</definedName>
    <definedName name="CaseName">input!$L$10</definedName>
    <definedName name="CaseNames">cases!$J$3:$Q$3</definedName>
    <definedName name="ChemClass">input!$L$14</definedName>
    <definedName name="ChemClasses">input!$F$46:$F$162</definedName>
    <definedName name="ChemData">substances!$B$7:$AA$5034</definedName>
    <definedName name="ChemName">input!$L$5</definedName>
    <definedName name="ChemNames">substances!$B$7:$B$4278</definedName>
    <definedName name="ChemRowNr">input!$L$6</definedName>
    <definedName name="COL.w0C">continental!$L$77</definedName>
    <definedName name="COL.w0R">regional!$L$71</definedName>
    <definedName name="COL.w1C">continental!$L$83</definedName>
    <definedName name="COL.w1R">regional!$L$77</definedName>
    <definedName name="COL.w2A">global!$L$199</definedName>
    <definedName name="COL.w2C">continental!$L$89</definedName>
    <definedName name="COL.w2M">global!$L$63</definedName>
    <definedName name="COL.w2R">regional!$L$83</definedName>
    <definedName name="COL.w2T">global!$L$335</definedName>
    <definedName name="COL.w3A">global!$L$200</definedName>
    <definedName name="COL.w3M">global!$L$64</definedName>
    <definedName name="COL.w3T">global!$L$336</definedName>
    <definedName name="COLLECTeff.A">global!$L$227</definedName>
    <definedName name="COLLECTeff.C">continental!$L$136</definedName>
    <definedName name="COLLECTeff.M">global!$L$91</definedName>
    <definedName name="COLLECTeff.R">regional!$L$130</definedName>
    <definedName name="COLLECTeff.T">global!$L$363</definedName>
    <definedName name="concentration">engine!$D$50:$AJ$50</definedName>
    <definedName name="CORG">input!$L$158</definedName>
    <definedName name="CORG.s1C">continental!$L$100</definedName>
    <definedName name="CORG.s1R">regional!$L$94</definedName>
    <definedName name="CORG.s2C">continental!$L$105</definedName>
    <definedName name="CORG.s2R">regional!$L$99</definedName>
    <definedName name="CORG.s3C">continental!$L$110</definedName>
    <definedName name="CORG.s3R">regional!$L$104</definedName>
    <definedName name="CORG.sA">global!$L$208</definedName>
    <definedName name="CORG.sd1C">continental!$L$92</definedName>
    <definedName name="CORG.sd1R">regional!$L$86</definedName>
    <definedName name="CORG.sd2C">continental!$L$95</definedName>
    <definedName name="CORG.sd2R">regional!$L$89</definedName>
    <definedName name="CORG.sdA">global!$L$203</definedName>
    <definedName name="CORG.sdM">global!$L$67</definedName>
    <definedName name="CORG.sdT">global!$L$339</definedName>
    <definedName name="CORG.sM">global!$L$72</definedName>
    <definedName name="CORG.sT">global!$L$344</definedName>
    <definedName name="CORG.susp0C">continental!$L$74</definedName>
    <definedName name="CORG.susp0R">regional!$L$68</definedName>
    <definedName name="CORG.susp1C">continental!$L$80</definedName>
    <definedName name="CORG.susp1R">regional!$L$74</definedName>
    <definedName name="CORG.susp2A">global!$L$193</definedName>
    <definedName name="CORG.susp2C">continental!$L$86</definedName>
    <definedName name="CORG.susp2M">global!$L$57</definedName>
    <definedName name="CORG.susp2R">regional!$L$80</definedName>
    <definedName name="CORG.susp2T">global!$L$329</definedName>
    <definedName name="CORG.susp3A">global!$L$194</definedName>
    <definedName name="CORG.susp3M">global!$L$58</definedName>
    <definedName name="CORG.susp3T">global!$L$330</definedName>
    <definedName name="CORGaers">input!$L$157</definedName>
    <definedName name="CORRleach.s1C">continental!$L$221</definedName>
    <definedName name="CORRleach.s1R">regional!$L$215</definedName>
    <definedName name="CORRleach.s2C">continental!$L$222</definedName>
    <definedName name="CORRleach.s2R">regional!$L$216</definedName>
    <definedName name="CORRleach.s3C">continental!$L$223</definedName>
    <definedName name="CORRleach.s3R">regional!$L$217</definedName>
    <definedName name="CORRleach.sA">global!$L$276</definedName>
    <definedName name="CORRleach.sM">global!$L$140</definedName>
    <definedName name="CORRleach.sT">global!$L$412</definedName>
    <definedName name="CORRrunoff.s1C">continental!$L$187</definedName>
    <definedName name="CORRrunoff.s1R">regional!$L$181</definedName>
    <definedName name="CORRrunoff.s2C">continental!$L$188</definedName>
    <definedName name="CORRrunoff.s2R">regional!$L$182</definedName>
    <definedName name="CORRrunoff.s3C">continental!$L$189</definedName>
    <definedName name="CORRrunoff.s3R">regional!$L$183</definedName>
    <definedName name="CORRrunoff.sA">global!$L$255</definedName>
    <definedName name="CORRrunoff.sM">global!$L$119</definedName>
    <definedName name="CORRrunoff.sT">global!$L$391</definedName>
    <definedName name="CORRvolat.s1C">continental!$L$149</definedName>
    <definedName name="CORRvolat.s1R">regional!$L$143</definedName>
    <definedName name="CORRvolat.s2C">continental!$L$150</definedName>
    <definedName name="CORRvolat.s2R">regional!$L$144</definedName>
    <definedName name="CORRvolat.s3C">continental!$L$151</definedName>
    <definedName name="CORRvolat.s3R">regional!$L$145</definedName>
    <definedName name="CORRvolat.sA">global!$L$237</definedName>
    <definedName name="CORRvolat.sM">global!$L$101</definedName>
    <definedName name="CORRvolat.sT">global!$L$373</definedName>
    <definedName name="D">input!$L$23</definedName>
    <definedName name="DEPTH.s1C">continental!$L$27</definedName>
    <definedName name="DEPTH.s1R">regional!$L$27</definedName>
    <definedName name="DEPTH.s2C">continental!$L$28</definedName>
    <definedName name="DEPTH.s2R">regional!$L$28</definedName>
    <definedName name="DEPTH.s3C">continental!$L$29</definedName>
    <definedName name="DEPTH.s3R">regional!$L$29</definedName>
    <definedName name="DEPTH.sA">global!$L$160</definedName>
    <definedName name="DEPTH.sd1C">continental!$L$25</definedName>
    <definedName name="DEPTH.sd1R">regional!$L$25</definedName>
    <definedName name="DEPTH.sd2C">continental!$L$26</definedName>
    <definedName name="DEPTH.sd2R">regional!$L$26</definedName>
    <definedName name="DEPTH.sdA">global!$L$159</definedName>
    <definedName name="DEPTH.sdM">global!$L$16</definedName>
    <definedName name="DEPTH.sdT">global!$L$295</definedName>
    <definedName name="DEPTH.sM">global!$L$17</definedName>
    <definedName name="DEPTH.sT">global!$L$296</definedName>
    <definedName name="DEPTH.w0C">continental!$L$22</definedName>
    <definedName name="DEPTH.w0R">regional!$L$22</definedName>
    <definedName name="DEPTH.w1C">continental!$L$23</definedName>
    <definedName name="DEPTH.w1R">regional!$L$23</definedName>
    <definedName name="DEPTH.w2A">global!$L$157</definedName>
    <definedName name="DEPTH.w2C">continental!$L$24</definedName>
    <definedName name="DEPTH.w2M">global!$L$14</definedName>
    <definedName name="DEPTH.w2R">regional!$L$24</definedName>
    <definedName name="DEPTH.w2T">global!$L$293</definedName>
    <definedName name="DEPTH.w3A">global!$L$158</definedName>
    <definedName name="DEPTH.w3M">global!$L$15</definedName>
    <definedName name="DEPTH.w3T">global!$L$294</definedName>
    <definedName name="DEPTHfreshwater.C">input!$L$142</definedName>
    <definedName name="DEPTHfreshwater.R">input!$L$122</definedName>
    <definedName name="DEPTHlake.C">input!$L$141</definedName>
    <definedName name="DEPTHlake.R">input!$L$121</definedName>
    <definedName name="DESORB.sd1C.w1C">continental!$L$169</definedName>
    <definedName name="DESORB.sd1R.w1R">regional!$L$163</definedName>
    <definedName name="DESORB.sd2C.w2C">continental!$L$171</definedName>
    <definedName name="DESORB.sd2R.w2R">regional!$L$165</definedName>
    <definedName name="DESORB.sdA.w3A">global!$L$248</definedName>
    <definedName name="DESORB.sdM.w3M">global!$L$112</definedName>
    <definedName name="DESORB.sdT.w3T">global!$L$384</definedName>
    <definedName name="DIFFgas">input!$L$155</definedName>
    <definedName name="DIFFwater">input!$L$156</definedName>
    <definedName name="DRYDEPaerosol.A">global!$L$222</definedName>
    <definedName name="DRYDEPaerosol.C">continental!$L$132</definedName>
    <definedName name="DRYDEPaerosol.M">global!$L$86</definedName>
    <definedName name="DRYDEPaerosol.R">regional!$L$126</definedName>
    <definedName name="DRYDEPaerosol.T">global!$L$358</definedName>
    <definedName name="E.aA">input!$L$100</definedName>
    <definedName name="E.aC">input!$L$88</definedName>
    <definedName name="E.aM">input!$L$96</definedName>
    <definedName name="E.aR">input!$L$80</definedName>
    <definedName name="E.aT">input!$L$104</definedName>
    <definedName name="E.s1C">input!$L$92</definedName>
    <definedName name="E.s1R">input!$L$84</definedName>
    <definedName name="E.s2C">input!$L$93</definedName>
    <definedName name="E.s2R">input!$L$85</definedName>
    <definedName name="E.s3C">input!$L$94</definedName>
    <definedName name="E.s3R">input!$L$86</definedName>
    <definedName name="E.sA">input!$L$102</definedName>
    <definedName name="E.sM">input!$L$98</definedName>
    <definedName name="E.sT">input!$L$106</definedName>
    <definedName name="E.w0C">input!$L$89</definedName>
    <definedName name="E.w0R">input!$L$81</definedName>
    <definedName name="E.w1C">input!$L$90</definedName>
    <definedName name="E.w1R">input!$L$82</definedName>
    <definedName name="E.w2A">input!$L$101</definedName>
    <definedName name="E.w2C">input!$L$91</definedName>
    <definedName name="E.w2M">input!$L$97</definedName>
    <definedName name="E.w2R">input!$L$83</definedName>
    <definedName name="E.w2T">input!$L$105</definedName>
    <definedName name="Ea.OHrad">input!$L$69</definedName>
    <definedName name="emis">engine!$D$5:$AJ$5</definedName>
    <definedName name="emis.I">dynamicR!$G$15:$AM$15</definedName>
    <definedName name="emis.II">dynamicR!$G$16:$AM$16</definedName>
    <definedName name="Emis.tot">engine!$C$91</definedName>
    <definedName name="EROSION.C">input!$L$146</definedName>
    <definedName name="EROSION.R">input!$L$126</definedName>
    <definedName name="EROSION.s1C">continental!$L$181</definedName>
    <definedName name="EROSION.s1R">regional!$L$175</definedName>
    <definedName name="EROSION.s2C">continental!$L$182</definedName>
    <definedName name="EROSION.s2R">regional!$L$176</definedName>
    <definedName name="EROSION.s3C">continental!$L$183</definedName>
    <definedName name="EROSION.s3R">regional!$L$177</definedName>
    <definedName name="EROSION.sA">global!$L$253</definedName>
    <definedName name="EROSION.sM">global!$L$117</definedName>
    <definedName name="EROSION.sT">global!$L$389</definedName>
    <definedName name="F.aA">engine!$AA$51</definedName>
    <definedName name="F.aC">engine!$M$51</definedName>
    <definedName name="F.aM">engine!$V$51</definedName>
    <definedName name="F.aR">engine!$D$51</definedName>
    <definedName name="F.aT">engine!$AF$51</definedName>
    <definedName name="F.s1C">engine!$S$51</definedName>
    <definedName name="F.s1R">engine!$J$51</definedName>
    <definedName name="F.s2C">engine!$T$51</definedName>
    <definedName name="F.s2R">engine!$K$51</definedName>
    <definedName name="F.s3C">engine!$U$51</definedName>
    <definedName name="F.s3R">engine!$L$51</definedName>
    <definedName name="F.sA">engine!$AE$51</definedName>
    <definedName name="F.sd1C">engine!$Q$51</definedName>
    <definedName name="F.sd1R">engine!$H$51</definedName>
    <definedName name="F.sd2C">engine!$R$51</definedName>
    <definedName name="F.sd2R">engine!$I$51</definedName>
    <definedName name="F.sdA">engine!$AD$51</definedName>
    <definedName name="F.sdM">engine!$Y$51</definedName>
    <definedName name="F.sdT">engine!$AI$51</definedName>
    <definedName name="F.sM">engine!$Z$51</definedName>
    <definedName name="F.sT">engine!$AJ$51</definedName>
    <definedName name="F.w0C">engine!$N$51</definedName>
    <definedName name="F.w0R">engine!$E$51</definedName>
    <definedName name="F.w1C">engine!$O$51</definedName>
    <definedName name="F.w1R">engine!$F$51</definedName>
    <definedName name="F.w2A">engine!$AB$51</definedName>
    <definedName name="F.w2C">engine!$P$51</definedName>
    <definedName name="F.w2M">engine!$W$51</definedName>
    <definedName name="F.w2R">engine!$G$51</definedName>
    <definedName name="F.w2T">engine!$AG$51</definedName>
    <definedName name="F.w3A">engine!$AC$51</definedName>
    <definedName name="F.w3M">engine!$X$51</definedName>
    <definedName name="F.w3T">engine!$AH$51</definedName>
    <definedName name="FRAC.w1C.w1R">input!$L$143</definedName>
    <definedName name="FRAC.w1R.w1C">input!$L$123</definedName>
    <definedName name="FRACa.s1C">continental!$L$32</definedName>
    <definedName name="FRACa.s1R">regional!$L$32</definedName>
    <definedName name="FRACa.s2C">continental!$L$35</definedName>
    <definedName name="FRACa.s2R">regional!$L$35</definedName>
    <definedName name="FRACa.s3C">continental!$L$38</definedName>
    <definedName name="FRACa.s3R">regional!$L$38</definedName>
    <definedName name="FRACa.sA">global!$L$163</definedName>
    <definedName name="FRACa.sM">global!$L$20</definedName>
    <definedName name="FRACa.sT">global!$L$299</definedName>
    <definedName name="FRACaers.aA">global!$L$161</definedName>
    <definedName name="FRACaers.aC">continental!$L$30</definedName>
    <definedName name="FRACaers.aM">global!$L$18</definedName>
    <definedName name="FRACaers.aR">regional!$L$30</definedName>
    <definedName name="FRACaers.aT">global!$L$297</definedName>
    <definedName name="FRACaerw.aA">global!$L$162</definedName>
    <definedName name="FRACaerw.aC">continental!$L$31</definedName>
    <definedName name="FRACaerw.aM">global!$L$19</definedName>
    <definedName name="FRACaerw.aR">regional!$L$31</definedName>
    <definedName name="FRACaerw.aT">global!$L$298</definedName>
    <definedName name="FRACagsoil.C">input!$L$136</definedName>
    <definedName name="FRACagsoil.R">input!$L$116</definedName>
    <definedName name="FRACfresh.C">input!$L$134</definedName>
    <definedName name="FRACfresh.R">input!$L$114</definedName>
    <definedName name="FRACinf.C">input!$L$144</definedName>
    <definedName name="FRACinf.R">input!$L$125</definedName>
    <definedName name="FRACinf.s1C">continental!$L$218</definedName>
    <definedName name="FRACinf.s1R">regional!$L$212</definedName>
    <definedName name="FRACinf.s2C">continental!$L$219</definedName>
    <definedName name="FRACinf.s2R">regional!$L$213</definedName>
    <definedName name="FRACinf.s3C">continental!$L$220</definedName>
    <definedName name="FRACinf.s3R">regional!$L$214</definedName>
    <definedName name="FRACinf.sA">global!$L$275</definedName>
    <definedName name="FRACinf.sM">global!$L$139</definedName>
    <definedName name="FRACinf.sT">global!$L$411</definedName>
    <definedName name="FRAClake.C">input!$L$133</definedName>
    <definedName name="FRAClake.R">input!$L$113</definedName>
    <definedName name="FRACnatsoil.C">input!$L$135</definedName>
    <definedName name="FRACnatsoil.R">input!$L$115</definedName>
    <definedName name="FRACothersoil.C">input!$L$137</definedName>
    <definedName name="FRACothersoil.R">input!$L$117</definedName>
    <definedName name="FRACrun.C">input!$L$145</definedName>
    <definedName name="FRACrun.R">input!$L$124</definedName>
    <definedName name="FRACrun.s1C">continental!$L$184</definedName>
    <definedName name="FRACrun.s1R">regional!$L$178</definedName>
    <definedName name="FRACrun.s2C">continental!$L$185</definedName>
    <definedName name="FRACrun.s2R">regional!$L$179</definedName>
    <definedName name="FRACrun.s3C">continental!$L$186</definedName>
    <definedName name="FRACrun.s3R">regional!$L$180</definedName>
    <definedName name="FRACrun.sA">global!$L$254</definedName>
    <definedName name="FRACrun.sM">global!$L$118</definedName>
    <definedName name="FRACrun.sT">global!$L$390</definedName>
    <definedName name="FRACs.s1C">continental!$L$34</definedName>
    <definedName name="FRACs.s1R">regional!$L$34</definedName>
    <definedName name="FRACs.s2C">continental!$L$37</definedName>
    <definedName name="FRACs.s2R">regional!$L$37</definedName>
    <definedName name="FRACs.s3C">continental!$L$40</definedName>
    <definedName name="FRACs.s3R">regional!$L$40</definedName>
    <definedName name="FRACs.sA">global!$L$165</definedName>
    <definedName name="FRACs.sdA">global!$L$167</definedName>
    <definedName name="FRACs.sdC">continental!$L$42</definedName>
    <definedName name="FRACs.sdM">global!$L$24</definedName>
    <definedName name="FRACs.sdR">regional!$L$42</definedName>
    <definedName name="FRACs.sdT">global!$L$303</definedName>
    <definedName name="FRACs.sM">global!$L$22</definedName>
    <definedName name="FRACs.sT">global!$L$301</definedName>
    <definedName name="FRACw.s1C">continental!$L$33</definedName>
    <definedName name="FRACw.s1R">regional!$L$33</definedName>
    <definedName name="FRACw.s2C">continental!$L$36</definedName>
    <definedName name="FRACw.s2R">regional!$L$36</definedName>
    <definedName name="FRACw.s3C">continental!$L$39</definedName>
    <definedName name="FRACw.s3R">regional!$L$39</definedName>
    <definedName name="FRACw.sA">global!$L$164</definedName>
    <definedName name="FRACw.sdA">global!$L$166</definedName>
    <definedName name="FRACw.sdC">continental!$L$41</definedName>
    <definedName name="FRACw.sdM">global!$L$23</definedName>
    <definedName name="FRACw.sdR">regional!$L$41</definedName>
    <definedName name="FRACw.sdT">global!$L$302</definedName>
    <definedName name="FRACw.sM">global!$L$21</definedName>
    <definedName name="FRACw.sT">global!$L$300</definedName>
    <definedName name="FRaers.aA">global!$L$184</definedName>
    <definedName name="FRaers.aC">continental!$L$68</definedName>
    <definedName name="FRaers.aM">global!$L$48</definedName>
    <definedName name="FRaers.aR">regional!$L$62</definedName>
    <definedName name="FRaers.aT">global!$L$320</definedName>
    <definedName name="FRaerw.aA">global!$L$183</definedName>
    <definedName name="FRaerw.aC">continental!$L$67</definedName>
    <definedName name="FRaerw.aM">global!$L$47</definedName>
    <definedName name="FRaerw.aR">regional!$L$61</definedName>
    <definedName name="FRaerw.aT">global!$L$319</definedName>
    <definedName name="FRgas.aA">global!$L$182</definedName>
    <definedName name="FRgas.aC">continental!$L$66</definedName>
    <definedName name="FRgas.aM">global!$L$46</definedName>
    <definedName name="FRgas.aR">regional!$L$60</definedName>
    <definedName name="FRgas.aT">global!$L$318</definedName>
    <definedName name="FRorig.aerw">input!$L$24</definedName>
    <definedName name="FRorig.s1">input!$L$29</definedName>
    <definedName name="FRorig.s1w">input!$L$30</definedName>
    <definedName name="FRorig.s2">input!$L$31</definedName>
    <definedName name="FRorig.s2w">input!$L$32</definedName>
    <definedName name="FRorig.s3">input!$L$33</definedName>
    <definedName name="FRorig.s3w">input!$L$34</definedName>
    <definedName name="FRorig.sd1">input!$L$26</definedName>
    <definedName name="FRorig.sd2">input!$L$28</definedName>
    <definedName name="FRorig.w1">input!$L$25</definedName>
    <definedName name="FRorig.w2">input!$L$27</definedName>
    <definedName name="FRs.s1C">continental!$L$98</definedName>
    <definedName name="FRs.s1R">regional!$L$92</definedName>
    <definedName name="FRs.s2C">continental!$L$103</definedName>
    <definedName name="FRs.s2R">regional!$L$97</definedName>
    <definedName name="FRs.s3C">continental!$L$108</definedName>
    <definedName name="FRs.s3R">regional!$L$102</definedName>
    <definedName name="FRs.sA">global!$L$206</definedName>
    <definedName name="FRs.sM">global!$L$70</definedName>
    <definedName name="FRs.sT">global!$L$342</definedName>
    <definedName name="FRw.s1C">continental!$L$97</definedName>
    <definedName name="FRw.s1R">regional!$L$91</definedName>
    <definedName name="FRw.s2C">continental!$L$102</definedName>
    <definedName name="FRw.s2R">regional!$L$96</definedName>
    <definedName name="FRw.s3C">continental!$L$107</definedName>
    <definedName name="FRw.s3R">regional!$L$101</definedName>
    <definedName name="FRw.sA">global!$L$205</definedName>
    <definedName name="FRw.sM">global!$L$69</definedName>
    <definedName name="FRw.sT">global!$L$341</definedName>
    <definedName name="FRw.w0C">continental!$L$72</definedName>
    <definedName name="FRw.w0R">regional!$L$66</definedName>
    <definedName name="FRw.w1C">continental!$L$78</definedName>
    <definedName name="FRw.w1R">regional!$L$72</definedName>
    <definedName name="FRw.w2A">global!$L$189</definedName>
    <definedName name="FRw.w2C">continental!$L$84</definedName>
    <definedName name="FRw.w2M">global!$L$53</definedName>
    <definedName name="FRw.w2R">regional!$L$78</definedName>
    <definedName name="FRw.w2T">global!$L$325</definedName>
    <definedName name="FRw.w3A">global!$L$190</definedName>
    <definedName name="FRw.w3M">global!$L$54</definedName>
    <definedName name="FRw.w3T">global!$L$326</definedName>
    <definedName name="fugacity">engine!$D$51:$AJ$51</definedName>
    <definedName name="GASABS.aA.sA">global!$L$229</definedName>
    <definedName name="GASABS.aA.wA">global!$L$228</definedName>
    <definedName name="GASABS.aC.sC">continental!$L$138</definedName>
    <definedName name="GASABS.aC.wC">continental!$L$137</definedName>
    <definedName name="GASABS.aM.sM">global!$L$93</definedName>
    <definedName name="GASABS.aM.wM">global!$L$92</definedName>
    <definedName name="GASABS.aR.sR">regional!$L$132</definedName>
    <definedName name="GASABS.aR.wR">regional!$L$131</definedName>
    <definedName name="GASABS.aT.sT">global!$L$365</definedName>
    <definedName name="GASABS.aT.wT">global!$L$364</definedName>
    <definedName name="GasWashout.A">global!$L$224</definedName>
    <definedName name="GasWashout.C">continental!$L$134</definedName>
    <definedName name="GasWashout.M">global!$L$88</definedName>
    <definedName name="GasWashout.R">regional!$L$128</definedName>
    <definedName name="GasWashout.T">global!$L$360</definedName>
    <definedName name="GROSSSEDrate.w1C">continental!$L$161</definedName>
    <definedName name="GROSSSEDrate.w1R">regional!$L$155</definedName>
    <definedName name="GROSSSEDrate.w2C">continental!$L$162</definedName>
    <definedName name="GROSSSEDrate.w2R">regional!$L$156</definedName>
    <definedName name="GROSSSEDrate.w3A">global!$L$243</definedName>
    <definedName name="GROSSSEDrate.w3M">global!$L$107</definedName>
    <definedName name="GROSSSEDrate.w3T">global!$L$379</definedName>
    <definedName name="H0sol">input!$L$38</definedName>
    <definedName name="H0vap">input!$L$36</definedName>
    <definedName name="HEIGHT.aA">global!$L$156</definedName>
    <definedName name="HEIGHT.aC">continental!$L$21</definedName>
    <definedName name="HEIGHT.aM">global!$L$13</definedName>
    <definedName name="HEIGHT.aR">regional!$L$21</definedName>
    <definedName name="HEIGHT.aT">global!$L$292</definedName>
    <definedName name="K">engine!$D$9:$AJ$41</definedName>
    <definedName name="k.aA">global!$L$259</definedName>
    <definedName name="k.aA.aM">global!$L$169</definedName>
    <definedName name="k.aA.sA">global!$L$213</definedName>
    <definedName name="k.aA.w2A">global!$L$212</definedName>
    <definedName name="k.aC">continental!$L$193</definedName>
    <definedName name="k.aC.aM">continental!$L$45</definedName>
    <definedName name="k.aC.aR">continental!$L$44</definedName>
    <definedName name="k.aC.s1C">continental!$L$117</definedName>
    <definedName name="k.aC.s2C">continental!$L$118</definedName>
    <definedName name="k.aC.s3C">continental!$L$119</definedName>
    <definedName name="k.aC.w0C">continental!$L$114</definedName>
    <definedName name="k.aC.w1C">continental!$L$115</definedName>
    <definedName name="k.aC.w2C">continental!$L$116</definedName>
    <definedName name="k.aM">global!$L$123</definedName>
    <definedName name="k.aM.aA">global!$L$27</definedName>
    <definedName name="k.aM.aC">global!$L$26</definedName>
    <definedName name="k.aM.aT">global!$L$28</definedName>
    <definedName name="k.aM.sM">global!$L$77</definedName>
    <definedName name="k.aM.w2M">global!$L$76</definedName>
    <definedName name="k.aR">regional!$L$187</definedName>
    <definedName name="k.aR.aC">regional!$L$44</definedName>
    <definedName name="k.aR.s1R">regional!$L$111</definedName>
    <definedName name="k.aR.s2R">regional!$L$112</definedName>
    <definedName name="k.aR.s3R">regional!$L$113</definedName>
    <definedName name="k.aR.w0R">regional!$L$108</definedName>
    <definedName name="k.aR.w1R">regional!$L$109</definedName>
    <definedName name="k.aR.w2R">regional!$L$110</definedName>
    <definedName name="k.aT">global!$L$395</definedName>
    <definedName name="k.aT.aM">global!$L$305</definedName>
    <definedName name="k.aT.sT">global!$L$349</definedName>
    <definedName name="k.aT.w2T">global!$L$348</definedName>
    <definedName name="k.s1C">continental!$L$199</definedName>
    <definedName name="k.s1C.aC">continental!$L$123</definedName>
    <definedName name="k.s1C.w0C">continental!$L$178</definedName>
    <definedName name="k.s1C.w1C">continental!$L$175</definedName>
    <definedName name="k.s1R">regional!$L$193</definedName>
    <definedName name="k.s1R.aR">regional!$L$117</definedName>
    <definedName name="k.s1R.w0R">regional!$L$172</definedName>
    <definedName name="k.s1R.w1R">regional!$L$169</definedName>
    <definedName name="k.s2C">continental!$L$200</definedName>
    <definedName name="k.s2C.aC">continental!$L$124</definedName>
    <definedName name="k.s2C.w0C">continental!$L$179</definedName>
    <definedName name="k.s2C.w1C">continental!$L$176</definedName>
    <definedName name="k.s2R">regional!$L$194</definedName>
    <definedName name="k.s2R.aR">regional!$L$118</definedName>
    <definedName name="k.s2R.w0R">regional!$L$173</definedName>
    <definedName name="k.s2R.w1R">regional!$L$170</definedName>
    <definedName name="k.s3C">continental!$L$201</definedName>
    <definedName name="k.s3C.aC">continental!$L$125</definedName>
    <definedName name="k.s3C.w0C">continental!$L$180</definedName>
    <definedName name="k.s3C.w1C">continental!$L$177</definedName>
    <definedName name="k.s3R">regional!$L$195</definedName>
    <definedName name="k.s3R.aR">regional!$L$119</definedName>
    <definedName name="k.s3R.w0R">regional!$L$174</definedName>
    <definedName name="k.s3R.w1R">regional!$L$171</definedName>
    <definedName name="k.sA">global!$L$263</definedName>
    <definedName name="k.sA.aA">global!$L$215</definedName>
    <definedName name="k.sA.w2A">global!$L$252</definedName>
    <definedName name="k.sd1C">continental!$L$197</definedName>
    <definedName name="k.sd1C.w1C">continental!$L$155</definedName>
    <definedName name="k.sd1R">regional!$L$191</definedName>
    <definedName name="k.sd1R.w1R">regional!$L$149</definedName>
    <definedName name="k.sd2C">continental!$L$198</definedName>
    <definedName name="k.sd2C.w2C">continental!$L$156</definedName>
    <definedName name="k.sd2R">regional!$L$192</definedName>
    <definedName name="k.sd2R.w2R">regional!$L$150</definedName>
    <definedName name="k.sdA">global!$L$262</definedName>
    <definedName name="k.sdA.w3A">global!$L$240</definedName>
    <definedName name="k.sdM">global!$L$126</definedName>
    <definedName name="k.sdM.w3M">global!$L$104</definedName>
    <definedName name="k.sdT">global!$L$398</definedName>
    <definedName name="k.sdT.w3T">global!$L$376</definedName>
    <definedName name="k.sM">global!$L$127</definedName>
    <definedName name="k.sM.aM">global!$L$79</definedName>
    <definedName name="k.sM.w2M">global!$L$116</definedName>
    <definedName name="k.sT">global!$L$399</definedName>
    <definedName name="k.sT.aT">global!$L$351</definedName>
    <definedName name="k.sT.w2T">global!$L$388</definedName>
    <definedName name="k.w0C">continental!$L$194</definedName>
    <definedName name="k.w0C.aC">continental!$L$120</definedName>
    <definedName name="k.w0C.w1C">continental!$L$48</definedName>
    <definedName name="k.w0C.w2C">continental!$L$49</definedName>
    <definedName name="k.w0R">regional!$L$188</definedName>
    <definedName name="k.w0R.aR">regional!$L$114</definedName>
    <definedName name="k.w0R.w1R">regional!$L$47</definedName>
    <definedName name="k.w0R.w2R">regional!$L$48</definedName>
    <definedName name="k.w1C">continental!$L$195</definedName>
    <definedName name="k.w1C.aC">continental!$L$121</definedName>
    <definedName name="k.w1C.sd1C">continental!$L$153</definedName>
    <definedName name="k.w1C.w0C">continental!$L$50</definedName>
    <definedName name="k.w1C.w1R">continental!$L$51</definedName>
    <definedName name="k.w1C.w2C">continental!$L$52</definedName>
    <definedName name="k.w1R">regional!$L$189</definedName>
    <definedName name="k.w1R.aR">regional!$L$115</definedName>
    <definedName name="k.w1R.sd1R">regional!$L$147</definedName>
    <definedName name="k.w1R.w0R">regional!$L$49</definedName>
    <definedName name="k.w1R.w2R">regional!$L$50</definedName>
    <definedName name="k.w2A">global!$L$260</definedName>
    <definedName name="k.w2A.aA">global!$L$214</definedName>
    <definedName name="k.w2A.w2M">global!$L$172</definedName>
    <definedName name="k.w2A.w3A">global!$L$175</definedName>
    <definedName name="k.w2C">continental!$L$196</definedName>
    <definedName name="k.w2C.aC">continental!$L$122</definedName>
    <definedName name="k.w2C.sd2C">continental!$L$154</definedName>
    <definedName name="k.w2C.w2M">continental!$L$59</definedName>
    <definedName name="k.w2C.w2R">continental!$L$58</definedName>
    <definedName name="k.w2M">global!$L$124</definedName>
    <definedName name="k.w2M.aM">global!$L$78</definedName>
    <definedName name="k.w2M.w2A">global!$L$31</definedName>
    <definedName name="k.w2M.w2C">global!$L$30</definedName>
    <definedName name="k.w2M.w2T">global!$L$32</definedName>
    <definedName name="k.w2M.w3M">global!$L$39</definedName>
    <definedName name="k.w2R">regional!$L$190</definedName>
    <definedName name="k.w2R.aR">regional!$L$116</definedName>
    <definedName name="k.w2R.sd2R">regional!$L$148</definedName>
    <definedName name="k.w2R.w2C">regional!$L$51</definedName>
    <definedName name="k.w2T">global!$L$396</definedName>
    <definedName name="k.w2T.aT">global!$L$350</definedName>
    <definedName name="k.w2T.w2M">global!$L$308</definedName>
    <definedName name="k.w2T.w3T">global!$L$311</definedName>
    <definedName name="k.w3A">global!$L$261</definedName>
    <definedName name="k.w3A.sdA">global!$L$239</definedName>
    <definedName name="k.w3A.w2A">global!$L$176</definedName>
    <definedName name="k.w3A.w3M">global!$L$173</definedName>
    <definedName name="k.w3M">global!$L$125</definedName>
    <definedName name="k.w3M.sdM">global!$L$103</definedName>
    <definedName name="k.w3M.w2M">global!$L$40</definedName>
    <definedName name="k.w3M.w3A">global!$L$33</definedName>
    <definedName name="k.w3M.w3T">global!$L$34</definedName>
    <definedName name="k.w3T">global!$L$397</definedName>
    <definedName name="k.w3T.sdT">global!$L$375</definedName>
    <definedName name="k.w3T.w2T">global!$L$312</definedName>
    <definedName name="k.w3T.w3M">global!$L$309</definedName>
    <definedName name="k0.OHrad">input!$L$68</definedName>
    <definedName name="Kaers.aA">global!$L$188</definedName>
    <definedName name="Kaers.aC">continental!$L$71</definedName>
    <definedName name="Kaers.aM">global!$L$52</definedName>
    <definedName name="Kaers.aR">regional!$L$65</definedName>
    <definedName name="Kaers.aT">global!$L$324</definedName>
    <definedName name="Kaerw.aA">global!$L$187</definedName>
    <definedName name="Kaerw.aC">continental!$L$70</definedName>
    <definedName name="Kaerw.aM">global!$L$51</definedName>
    <definedName name="Kaerw.aR">regional!$L$64</definedName>
    <definedName name="Kaerw.aT">global!$L$323</definedName>
    <definedName name="Kaw">input!$L$19</definedName>
    <definedName name="Kaw.A">global!$L$185</definedName>
    <definedName name="Kaw.C">continental!$L$69</definedName>
    <definedName name="Kaw.M">global!$L$49</definedName>
    <definedName name="Kaw.R">regional!$L$63</definedName>
    <definedName name="Kaw.T">global!$L$321</definedName>
    <definedName name="KDEG.aA">global!$L$265</definedName>
    <definedName name="KDEG.aC">continental!$L$203</definedName>
    <definedName name="kdeg.air">input!$L$66</definedName>
    <definedName name="KDEG.aM">global!$L$129</definedName>
    <definedName name="KDEG.aR">regional!$L$197</definedName>
    <definedName name="KDEG.aT">global!$L$401</definedName>
    <definedName name="KDEG.s1C">continental!$L$215</definedName>
    <definedName name="KDEG.s1R">regional!$L$209</definedName>
    <definedName name="KDEG.s2C">continental!$L$216</definedName>
    <definedName name="KDEG.s2R">regional!$L$210</definedName>
    <definedName name="KDEG.s3C">continental!$L$217</definedName>
    <definedName name="KDEG.s3R">regional!$L$211</definedName>
    <definedName name="KDEG.sA">global!$L$274</definedName>
    <definedName name="KDEG.sd1C">continental!$L$213</definedName>
    <definedName name="KDEG.sd1R">regional!$L$207</definedName>
    <definedName name="KDEG.sd2C">continental!$L$214</definedName>
    <definedName name="KDEG.sd2R">regional!$L$208</definedName>
    <definedName name="KDEG.sdA">global!$L$273</definedName>
    <definedName name="KDEG.sdM">global!$L$137</definedName>
    <definedName name="KDEG.sdT">global!$L$409</definedName>
    <definedName name="kdeg.sed">input!$L$74</definedName>
    <definedName name="KDEG.sM">global!$L$138</definedName>
    <definedName name="kdeg.soil">input!$L$75</definedName>
    <definedName name="KDEG.sT">global!$L$410</definedName>
    <definedName name="KDEG.w0C">continental!$L$206</definedName>
    <definedName name="KDEG.w0R">regional!$L$200</definedName>
    <definedName name="KDEG.w1C">continental!$L$207</definedName>
    <definedName name="KDEG.w1R">regional!$L$201</definedName>
    <definedName name="KDEG.w2A">global!$L$268</definedName>
    <definedName name="KDEG.w2C">continental!$L$208</definedName>
    <definedName name="KDEG.w2M">global!$L$132</definedName>
    <definedName name="KDEG.w2R">regional!$L$202</definedName>
    <definedName name="KDEG.w2T">global!$L$404</definedName>
    <definedName name="KDEG.w3A">global!$L$269</definedName>
    <definedName name="KDEG.w3M">global!$L$133</definedName>
    <definedName name="KDEG.w3T">global!$L$405</definedName>
    <definedName name="kdeg.water">input!$L$70</definedName>
    <definedName name="kdry.A">global!$L$218</definedName>
    <definedName name="kdry.C">continental!$L$128</definedName>
    <definedName name="kdry.M">global!$L$82</definedName>
    <definedName name="kdry.R">regional!$L$122</definedName>
    <definedName name="kdry.T">global!$L$354</definedName>
    <definedName name="kesc.aA">global!$L$264</definedName>
    <definedName name="kesc.aC">continental!$L$202</definedName>
    <definedName name="kesc.aM">global!$L$128</definedName>
    <definedName name="kesc.aR">regional!$L$196</definedName>
    <definedName name="kesc.aT">global!$L$400</definedName>
    <definedName name="Kow">input!$L$20</definedName>
    <definedName name="Kow.alt">input!$L$21</definedName>
    <definedName name="Kp.col0C">continental!$L$76</definedName>
    <definedName name="Kp.col0R">regional!$L$70</definedName>
    <definedName name="Kp.col1C">continental!$L$82</definedName>
    <definedName name="Kp.col1R">regional!$L$76</definedName>
    <definedName name="Kp.col2A">global!$L$197</definedName>
    <definedName name="Kp.col2C">continental!$L$88</definedName>
    <definedName name="Kp.col2M">global!$L$61</definedName>
    <definedName name="Kp.col2R">regional!$L$82</definedName>
    <definedName name="Kp.col2T">global!$L$333</definedName>
    <definedName name="Kp.col3A">global!$L$198</definedName>
    <definedName name="Kp.col3M">global!$L$62</definedName>
    <definedName name="Kp.col3T">global!$L$334</definedName>
    <definedName name="Kp.s1C">continental!$L$99</definedName>
    <definedName name="Kp.s1R">regional!$L$93</definedName>
    <definedName name="Kp.s2C">continental!$L$104</definedName>
    <definedName name="Kp.s2R">regional!$L$98</definedName>
    <definedName name="Kp.s3C">continental!$L$109</definedName>
    <definedName name="Kp.s3R">regional!$L$103</definedName>
    <definedName name="Kp.sA">global!$L$207</definedName>
    <definedName name="Kp.sd1C">continental!$L$91</definedName>
    <definedName name="Kp.sd1R">regional!$L$85</definedName>
    <definedName name="Kp.sd2C">continental!$L$94</definedName>
    <definedName name="Kp.sd2R">regional!$L$88</definedName>
    <definedName name="Kp.sdA">global!$L$202</definedName>
    <definedName name="Kp.sdM">global!$L$66</definedName>
    <definedName name="Kp.sdT">global!$L$338</definedName>
    <definedName name="Kp.sM">global!$L$71</definedName>
    <definedName name="Kp.sT">global!$L$343</definedName>
    <definedName name="Kp.susp0C">continental!$L$73</definedName>
    <definedName name="Kp.susp0R">regional!$L$67</definedName>
    <definedName name="Kp.susp1C">continental!$L$79</definedName>
    <definedName name="Kp.susp1R">regional!$L$73</definedName>
    <definedName name="Kp.susp2A">global!$L$191</definedName>
    <definedName name="Kp.susp2C">continental!$L$85</definedName>
    <definedName name="Kp.susp2M">global!$L$55</definedName>
    <definedName name="Kp.susp2R">regional!$L$79</definedName>
    <definedName name="Kp.susp2T">global!$L$327</definedName>
    <definedName name="Kp.susp3A">global!$L$192</definedName>
    <definedName name="Kp.susp3M">global!$L$56</definedName>
    <definedName name="Kp.susp3T">global!$L$328</definedName>
    <definedName name="Ks1w.C">continental!$L$96</definedName>
    <definedName name="Ks1w.R">regional!$L$90</definedName>
    <definedName name="Ks2w.C">continental!$L$101</definedName>
    <definedName name="Ks2w.R">regional!$L$95</definedName>
    <definedName name="Ks3w.C">continental!$L$106</definedName>
    <definedName name="Ks3w.R">regional!$L$100</definedName>
    <definedName name="Ksdw.A">global!$L$201</definedName>
    <definedName name="Ksdw.M">global!$L$65</definedName>
    <definedName name="Ksdw.T">global!$L$337</definedName>
    <definedName name="Ksdw1.C">continental!$L$90</definedName>
    <definedName name="Ksdw1.R">regional!$L$84</definedName>
    <definedName name="Ksdw2.C">continental!$L$93</definedName>
    <definedName name="Ksdw2.R">regional!$L$87</definedName>
    <definedName name="Kslw.A">global!$L$204</definedName>
    <definedName name="Kslw.M">global!$L$68</definedName>
    <definedName name="Kslw.T">global!$L$340</definedName>
    <definedName name="Ksw">input!$L$17</definedName>
    <definedName name="Ksw.alt">input!$L$18</definedName>
    <definedName name="kwet.A">global!$L$219</definedName>
    <definedName name="kwet.C">continental!$L$129</definedName>
    <definedName name="kwet.M">global!$L$83</definedName>
    <definedName name="kwet.R">regional!$L$123</definedName>
    <definedName name="kwet.T">global!$L$355</definedName>
    <definedName name="kwsd.sed.sdA">global!$L$250</definedName>
    <definedName name="kwsd.sed.sdC">continental!$L$173</definedName>
    <definedName name="kwsd.sed.sdM">global!$L$114</definedName>
    <definedName name="kwsd.sed.sdR">regional!$L$167</definedName>
    <definedName name="kwsd.sed.sdT">global!$L$386</definedName>
    <definedName name="kwsd.water.wA">global!$L$249</definedName>
    <definedName name="kwsd.water.wC">continental!$L$172</definedName>
    <definedName name="kwsd.water.wM">global!$L$113</definedName>
    <definedName name="kwsd.water.wR">regional!$L$166</definedName>
    <definedName name="kwsd.water.wT">global!$L$385</definedName>
    <definedName name="M.aA">engine!$AA$45</definedName>
    <definedName name="M.aC">engine!$M$45</definedName>
    <definedName name="M.aM">engine!$V$45</definedName>
    <definedName name="M.aR">engine!$D$45</definedName>
    <definedName name="M.aT">engine!$AF$45</definedName>
    <definedName name="M.s1C">engine!$S$45</definedName>
    <definedName name="M.s1R">engine!$J$45</definedName>
    <definedName name="M.s2C">engine!$T$45</definedName>
    <definedName name="M.s2R">engine!$K$45</definedName>
    <definedName name="M.s3C">engine!$U$45</definedName>
    <definedName name="M.s3R">engine!$L$45</definedName>
    <definedName name="M.sA">engine!$AE$45</definedName>
    <definedName name="M.sd1C">engine!$Q$45</definedName>
    <definedName name="M.sd1R">engine!$H$45</definedName>
    <definedName name="M.sd2C">engine!$R$45</definedName>
    <definedName name="M.sd2R">engine!$I$45</definedName>
    <definedName name="M.sdA">engine!$AD$45</definedName>
    <definedName name="M.sdM">engine!$Y$45</definedName>
    <definedName name="M.sdT">engine!$AI$45</definedName>
    <definedName name="M.sM">engine!$Z$45</definedName>
    <definedName name="M.sT">engine!$AJ$45</definedName>
    <definedName name="M.tot">engine!$C$45</definedName>
    <definedName name="M.w0C">engine!$N$45</definedName>
    <definedName name="M.w0R">engine!$E$45</definedName>
    <definedName name="M.w1C">engine!$O$45</definedName>
    <definedName name="M.w1R">engine!$F$45</definedName>
    <definedName name="M.w2A">engine!$AB$45</definedName>
    <definedName name="M.w2C">engine!$P$45</definedName>
    <definedName name="M.w2M">engine!$W$45</definedName>
    <definedName name="M.w2R">engine!$G$45</definedName>
    <definedName name="M.w2T">engine!$AG$45</definedName>
    <definedName name="M.w3A">engine!$AC$45</definedName>
    <definedName name="M.w3M">engine!$X$45</definedName>
    <definedName name="M.w3T">engine!$AH$45</definedName>
    <definedName name="m0">dynamicR!$G$14:$AM$14</definedName>
    <definedName name="mass">engine!$D$45:$AJ$45</definedName>
    <definedName name="MeanDep.A">global!$L$216</definedName>
    <definedName name="MeanDep.C">continental!$L$126</definedName>
    <definedName name="MeanDep.M">global!$L$80</definedName>
    <definedName name="MeanDep.R">regional!$L$120</definedName>
    <definedName name="MeanDep.T">global!$L$352</definedName>
    <definedName name="MeanRem.aA">global!$L$217</definedName>
    <definedName name="MeanRem.aC">continental!$L$127</definedName>
    <definedName name="MeanRem.aM">global!$L$81</definedName>
    <definedName name="MeanRem.aR">regional!$L$121</definedName>
    <definedName name="MeanRem.aT">global!$L$353</definedName>
    <definedName name="Molweight">input!$L$15</definedName>
    <definedName name="MTCas.air.aA">global!$L$235</definedName>
    <definedName name="MTCas.air.aC">continental!$L$147</definedName>
    <definedName name="MTCas.air.aM">global!$L$99</definedName>
    <definedName name="MTCas.air.aR">regional!$L$141</definedName>
    <definedName name="MTCas.air.aT">global!$L$371</definedName>
    <definedName name="MTCas.soil.sA">global!$L$236</definedName>
    <definedName name="MTCas.soil.sC">continental!$L$148</definedName>
    <definedName name="MTCas.soil.sM">global!$L$100</definedName>
    <definedName name="MTCas.soil.sR">regional!$L$142</definedName>
    <definedName name="MTCas.soil.sT">global!$L$372</definedName>
    <definedName name="MTCaw.air.aA">global!$L$232</definedName>
    <definedName name="MTCaw.air.aC">continental!$L$142</definedName>
    <definedName name="MTCaw.air.aM">global!$L$96</definedName>
    <definedName name="MTCaw.air.aR">regional!$L$136</definedName>
    <definedName name="MTCaw.air.aT">global!$L$368</definedName>
    <definedName name="MTCaw.water.wA">global!$L$233</definedName>
    <definedName name="MTCaw.water.wC">continental!$L$143</definedName>
    <definedName name="MTCaw.water.wM">global!$L$97</definedName>
    <definedName name="MTCaw.water.wR">regional!$L$137</definedName>
    <definedName name="MTCaw.water.wT">global!$L$369</definedName>
    <definedName name="NETsedrate.w1C">continental!$L$164</definedName>
    <definedName name="NETsedrate.w1R">regional!$L$158</definedName>
    <definedName name="NETsedrate.w2C">continental!$L$165</definedName>
    <definedName name="NETsedrate.w2R">regional!$L$159</definedName>
    <definedName name="NETsedrate.wA">global!$L$245</definedName>
    <definedName name="NETsedrate.wM">global!$L$109</definedName>
    <definedName name="NETsedrate.wT">global!$L$381</definedName>
    <definedName name="OceanCurrent">global!$L$38</definedName>
    <definedName name="OceanMixing.A">global!$L$177</definedName>
    <definedName name="OceanMixing.M">global!$L$41</definedName>
    <definedName name="OceanMixing.T">global!$L$313</definedName>
    <definedName name="pH.aerw">input!$L$149</definedName>
    <definedName name="pH.s1">input!$L$152</definedName>
    <definedName name="pH.s2">input!$L$153</definedName>
    <definedName name="pH.s3">input!$L$154</definedName>
    <definedName name="pH.w1">input!$L$150</definedName>
    <definedName name="pH.w2">input!$L$151</definedName>
    <definedName name="pKa">input!$L$22</definedName>
    <definedName name="PRODsusp.w1C">continental!$L$166</definedName>
    <definedName name="PRODsusp.w1R">regional!$L$160</definedName>
    <definedName name="PRODsusp.w2C">continental!$L$167</definedName>
    <definedName name="PRODsusp.w2R">regional!$L$161</definedName>
    <definedName name="PRODsusp.wA">global!$L$246</definedName>
    <definedName name="PRODsusp.wM">global!$L$110</definedName>
    <definedName name="PRODsusp.wT">global!$L$382</definedName>
    <definedName name="Pvap25">input!$L$35</definedName>
    <definedName name="Q.10">input!$L$73</definedName>
    <definedName name="QSARtable">input!$C$42:$M$64</definedName>
    <definedName name="RAINrate.A">global!$L$226</definedName>
    <definedName name="RAINrate.C">input!$L$140</definedName>
    <definedName name="RAINrate.M">global!$L$90</definedName>
    <definedName name="RAINrate.R">input!$L$120</definedName>
    <definedName name="RAINrate.T">global!$L$362</definedName>
    <definedName name="regiodata">scenarios!$K$1:$AG$72</definedName>
    <definedName name="RESUSP.sd1C.w1C">continental!$L$158</definedName>
    <definedName name="RESUSP.sd1R.w1R">regional!$L$152</definedName>
    <definedName name="RESUSP.sd2C.w2C">continental!$L$160</definedName>
    <definedName name="RESUSP.sd2R.w2R">regional!$L$154</definedName>
    <definedName name="RESUSP.sdA.w3A">global!$L$242</definedName>
    <definedName name="RESUSP.sdM.w3M">global!$L$106</definedName>
    <definedName name="RESUSP.sdT.w3T">global!$L$378</definedName>
    <definedName name="RHOaers">input!$L$159</definedName>
    <definedName name="RHOsolid">input!$L$160</definedName>
    <definedName name="Scale">dynamicR!$G$9</definedName>
    <definedName name="ScenarioData">scenarios!$J$3:$AG$72</definedName>
    <definedName name="ScenarioName">input!$L$8</definedName>
    <definedName name="ScenarioNames">scenarios!$J$3:$AF$3</definedName>
    <definedName name="SED.w1C.sd1C">continental!$L$157</definedName>
    <definedName name="SED.w1R.sd1R">regional!$L$151</definedName>
    <definedName name="SED.w2C.sd2C">continental!$L$159</definedName>
    <definedName name="SED.w2R.sd2R">regional!$L$153</definedName>
    <definedName name="SED.w3A.sdA">global!$L$241</definedName>
    <definedName name="SED.w3M.sdM">global!$L$105</definedName>
    <definedName name="SED.w3T.sdT">global!$L$377</definedName>
    <definedName name="SETTLvelocity.A">global!$L$244</definedName>
    <definedName name="SETTLvelocity.C">continental!$L$163</definedName>
    <definedName name="SETTLvelocity.M">global!$L$108</definedName>
    <definedName name="SETTLvelocity.R">regional!$L$157</definedName>
    <definedName name="SETTLvelocity.T">global!$L$380</definedName>
    <definedName name="SUSP.w0C">continental!$L$75</definedName>
    <definedName name="SUSP.w0R">regional!$L$69</definedName>
    <definedName name="SUSP.w1C">continental!$L$81</definedName>
    <definedName name="SUSP.w1R">regional!$L$75</definedName>
    <definedName name="SUSP.w2A">global!$L$195</definedName>
    <definedName name="SUSP.w2C">continental!$L$87</definedName>
    <definedName name="SUSP.w2M">global!$L$59</definedName>
    <definedName name="SUSP.w2R">regional!$L$81</definedName>
    <definedName name="SUSP.w2T">global!$L$331</definedName>
    <definedName name="SUSP.w3A">global!$L$196</definedName>
    <definedName name="SUSP.w3M">global!$L$60</definedName>
    <definedName name="SUSP.w3T">global!$L$332</definedName>
    <definedName name="SYSTEMAREA.A">global!$L$153</definedName>
    <definedName name="SYSTEMAREA.C">continental!$L$14</definedName>
    <definedName name="SYSTEMAREA.M">global!$L$10</definedName>
    <definedName name="SYSTEMAREA.R">regional!$L$14</definedName>
    <definedName name="SYSTEMAREA.T">global!$L$289</definedName>
    <definedName name="TAU.aA">global!$L$170</definedName>
    <definedName name="TAU.aC">continental!$L$46</definedName>
    <definedName name="TAU.aR">regional!$L$45</definedName>
    <definedName name="TAU.aT">global!$L$306</definedName>
    <definedName name="TAU.surfA">global!$L$178</definedName>
    <definedName name="TAU.surfM">global!$L$42</definedName>
    <definedName name="TAU.surfT">global!$L$314</definedName>
    <definedName name="TAU.w2C">continental!$L$62</definedName>
    <definedName name="tdry.A">global!$L$220</definedName>
    <definedName name="tdry.C">continental!$L$130</definedName>
    <definedName name="tdry.M">global!$L$84</definedName>
    <definedName name="tdry.R">regional!$L$124</definedName>
    <definedName name="tdry.T">global!$L$356</definedName>
    <definedName name="TEMP.A">global!$L$186</definedName>
    <definedName name="TEMP.C">input!$L$138</definedName>
    <definedName name="TEMP.M">global!$L$50</definedName>
    <definedName name="TEMP.R">input!$L$118</definedName>
    <definedName name="TEMP.T">global!$L$322</definedName>
    <definedName name="Tempfactor.aA">global!$L$267</definedName>
    <definedName name="Tempfactor.aC">continental!$L$205</definedName>
    <definedName name="Tempfactor.aM">global!$L$131</definedName>
    <definedName name="Tempfactor.aR">regional!$L$199</definedName>
    <definedName name="Tempfactor.aT">global!$L$403</definedName>
    <definedName name="Tempfactor.wsdsA">global!$L$272</definedName>
    <definedName name="Tempfactor.wsdsC">continental!$L$212</definedName>
    <definedName name="Tempfactor.wsdsM">global!$L$136</definedName>
    <definedName name="Tempfactor.wsdsR">regional!$L$206</definedName>
    <definedName name="Tempfactor.wsdsT">global!$L$408</definedName>
    <definedName name="tend.I">dynamicR!$F$11</definedName>
    <definedName name="tend.II">dynamicR!$G$11</definedName>
    <definedName name="Tm">input!$L$39</definedName>
    <definedName name="TOTAREAland.C">input!$L$131</definedName>
    <definedName name="TOTAREAsea.C">input!$L$132</definedName>
    <definedName name="twet.A">global!$L$221</definedName>
    <definedName name="twet.C">continental!$L$131</definedName>
    <definedName name="twet.M">global!$L$85</definedName>
    <definedName name="twet.R">regional!$L$125</definedName>
    <definedName name="twet.T">global!$L$357</definedName>
    <definedName name="v">engine!$D$4:$AJ$4</definedName>
    <definedName name="VOLAT.s1C.aC">continental!$L$144</definedName>
    <definedName name="VOLAT.s1R.aR">regional!$L$138</definedName>
    <definedName name="VOLAT.s2C.aC">continental!$L$145</definedName>
    <definedName name="VOLAT.s2R.aR">regional!$L$139</definedName>
    <definedName name="VOLAT.s3C.aC">continental!$L$146</definedName>
    <definedName name="VOLAT.s3R.aR">regional!$L$140</definedName>
    <definedName name="VOLAT.sA.aA">global!$L$231</definedName>
    <definedName name="VOLAT.sM.aM">global!$L$95</definedName>
    <definedName name="VOLAT.sT.aT">global!$L$367</definedName>
    <definedName name="VOLAT.w0C.aC">continental!$L$139</definedName>
    <definedName name="VOLAT.w0R.aR">regional!$L$133</definedName>
    <definedName name="VOLAT.w1C.aC">continental!$L$140</definedName>
    <definedName name="VOLAT.w1R.aR">regional!$L$134</definedName>
    <definedName name="VOLAT.w2A.aA">global!$L$230</definedName>
    <definedName name="VOLAT.w2C.aC">continental!$L$141</definedName>
    <definedName name="VOLAT.w2M.aM">global!$L$94</definedName>
    <definedName name="VOLAT.w2R.aR">regional!$L$135</definedName>
    <definedName name="VOLAT.w2T.aT">global!$L$366</definedName>
    <definedName name="VOLUME.aA">global!$L$148</definedName>
    <definedName name="VOLUME.aC">continental!$L$5</definedName>
    <definedName name="VOLUME.aM">global!$L$5</definedName>
    <definedName name="VOLUME.aR">regional!$L$5</definedName>
    <definedName name="VOLUME.aT">global!$L$284</definedName>
    <definedName name="VOLUME.s1C">continental!$L$11</definedName>
    <definedName name="VOLUME.s1R">regional!$L$11</definedName>
    <definedName name="VOLUME.s2C">continental!$L$12</definedName>
    <definedName name="VOLUME.s2R">regional!$L$12</definedName>
    <definedName name="VOLUME.s3C">continental!$L$13</definedName>
    <definedName name="VOLUME.s3R">regional!$L$13</definedName>
    <definedName name="VOLUME.sA">global!$L$152</definedName>
    <definedName name="VOLUME.sd1C">continental!$L$9</definedName>
    <definedName name="VOLUME.sd1R">regional!$L$9</definedName>
    <definedName name="VOLUME.sd2C">continental!$L$10</definedName>
    <definedName name="VOLUME.sd2R">regional!$L$10</definedName>
    <definedName name="VOLUME.sdA">global!$L$151</definedName>
    <definedName name="VOLUME.sdM">global!$L$8</definedName>
    <definedName name="VOLUME.sdT">global!$L$287</definedName>
    <definedName name="VOLUME.sM">global!$L$9</definedName>
    <definedName name="VOLUME.sT">global!$L$288</definedName>
    <definedName name="VOLUME.w0C">continental!$L$6</definedName>
    <definedName name="VOLUME.w0R">regional!$L$6</definedName>
    <definedName name="VOLUME.w1C">continental!$L$7</definedName>
    <definedName name="VOLUME.w1R">regional!$L$7</definedName>
    <definedName name="VOLUME.w2A">global!$L$149</definedName>
    <definedName name="VOLUME.w2C">continental!$L$8</definedName>
    <definedName name="VOLUME.w2M">global!$L$6</definedName>
    <definedName name="VOLUME.w2R">regional!$L$8</definedName>
    <definedName name="VOLUME.w2T">global!$L$285</definedName>
    <definedName name="VOLUME.w3A">global!$L$150</definedName>
    <definedName name="VOLUME.w3M">global!$L$7</definedName>
    <definedName name="VOLUME.w3T">global!$L$286</definedName>
    <definedName name="WATERflow.w0C.w1C">continental!$L$53</definedName>
    <definedName name="WATERflow.w0C.w2C">continental!$L$54</definedName>
    <definedName name="WATERflow.w0R.w1R">regional!$L$52</definedName>
    <definedName name="WATERflow.w0R.w2R">regional!$L$53</definedName>
    <definedName name="WATERflow.w1C.w0C">continental!$L$55</definedName>
    <definedName name="WATERflow.w1C.w1R">continental!$L$56</definedName>
    <definedName name="WATERflow.w1C.w2C">continental!$L$57</definedName>
    <definedName name="WATERflow.w1R.w0R">regional!$L$54</definedName>
    <definedName name="WATERflow.w1R.w2R">regional!$L$55</definedName>
    <definedName name="WATERflow.w2A.w2M">global!$L$174</definedName>
    <definedName name="WATERflow.w2C.w2M">continental!$L$61</definedName>
    <definedName name="WATERflow.w2C.w2R">continental!$L$60</definedName>
    <definedName name="WATERflow.w2M.w2A">global!$L$36</definedName>
    <definedName name="WATERflow.w2M.w2C">global!$L$35</definedName>
    <definedName name="WATERflow.w2M.w2T">global!$L$37</definedName>
    <definedName name="WATERflow.w2R.w2C">regional!$L$56</definedName>
    <definedName name="WATERflow.w2T.w2M">global!$L$310</definedName>
    <definedName name="WINDspeed.A">global!$L$234</definedName>
    <definedName name="WINDspeed.C">input!$L$139</definedName>
    <definedName name="WINDspeed.M">global!$L$98</definedName>
    <definedName name="WINDspeed.R">input!$L$119</definedName>
    <definedName name="WINDspeed.T">global!$L$370</definedName>
  </definedNames>
  <calcPr calcId="191029"/>
  <customWorkbookViews>
    <customWorkbookView name="steady state mass flows b17_32 (engine)" guid="{E10D540C-7CBD-11D4-9F98-0000E22085C7}" maximized="1" xWindow="2" windowWidth="814" windowHeight="473" activeSheetId="6"/>
    <customWorkbookView name="steady state mass flows b1_16 (engine)" guid="{E10D540B-7CBD-11D4-9F98-0000E22085C7}" maximized="1" xWindow="2" windowWidth="814" windowHeight="473" activeSheetId="6"/>
    <customWorkbookView name="steady state mass flows (tropic)" guid="{E10D540A-7CBD-11D4-9F98-0000E22085C7}" maximized="1" xWindow="2" windowWidth="814" windowHeight="473" activeSheetId="5"/>
    <customWorkbookView name="steady state mass flows (regional)" guid="{E10D5409-7CBD-11D4-9F98-0000E22085C7}" maximized="1" xWindow="2" windowWidth="814" windowHeight="473" activeSheetId="1"/>
    <customWorkbookView name="steady state mass flows (moderate)" guid="{E10D5408-7CBD-11D4-9F98-0000E22085C7}" maximized="1" xWindow="2" windowWidth="814" windowHeight="473" activeSheetId="3"/>
    <customWorkbookView name="steady state mass flows (continental)" guid="{E10D5407-7CBD-11D4-9F98-0000E22085C7}" maximized="1" xWindow="2" windowWidth="814" windowHeight="473" activeSheetId="2"/>
    <customWorkbookView name="steady state mass flows (arctic)" guid="{E10D5406-7CBD-11D4-9F98-0000E22085C7}" maximized="1" xWindow="2" windowWidth="814" windowHeight="473" activeSheetId="4"/>
    <customWorkbookView name="steady state comp. box 17_32 (engine)" guid="{E10D5405-7CBD-11D4-9F98-0000E22085C7}" maximized="1" xWindow="2" windowWidth="814" windowHeight="473" activeSheetId="6"/>
    <customWorkbookView name="steady state comp. box 1_16 (engine)" guid="{E10D5404-7CBD-11D4-9F98-0000E22085C7}" maximized="1" xWindow="2" windowWidth="814" windowHeight="473" activeSheetId="6"/>
    <customWorkbookView name="results dynamic simulation b17_32 (engine)" guid="{E10D5403-7CBD-11D4-9F98-0000E22085C7}" maximized="1" xWindow="2" windowWidth="814" windowHeight="473" activeSheetId="6"/>
    <customWorkbookView name="results dynamic simulation b1_16 (engine)" guid="{E10D5402-7CBD-11D4-9F98-0000E22085C7}" maximized="1" xWindow="2" windowWidth="814" windowHeight="473" activeSheetId="6"/>
    <customWorkbookView name="results dynamic sim. perc.SSC b17_32 (engine)" guid="{E10D5401-7CBD-11D4-9F98-0000E22085C7}" maximized="1" xWindow="2" windowWidth="814" windowHeight="473" activeSheetId="6"/>
    <customWorkbookView name="results dynamic sim. perc.SSC b1_16 (engine)" guid="{E10D5400-7CBD-11D4-9F98-0000E22085C7}" maximized="1" xWindow="2" windowWidth="814" windowHeight="473" activeSheetId="6"/>
    <customWorkbookView name="quasi dynamic comp. forcings (engine)" guid="{E10D53FF-7CBD-11D4-9F98-0000E22085C7}" maximized="1" xWindow="2" windowWidth="814" windowHeight="473" activeSheetId="6"/>
    <customWorkbookView name="proces half life (tropic)" guid="{E10D53FE-7CBD-11D4-9F98-0000E22085C7}" maximized="1" xWindow="2" windowWidth="814" windowHeight="473" activeSheetId="5"/>
    <customWorkbookView name="proces half life (regional)" guid="{E10D53FD-7CBD-11D4-9F98-0000E22085C7}" maximized="1" xWindow="2" windowWidth="814" windowHeight="473" activeSheetId="1"/>
    <customWorkbookView name="proces half life (moderate)" guid="{E10D53FC-7CBD-11D4-9F98-0000E22085C7}" maximized="1" xWindow="2" windowWidth="814" windowHeight="473" activeSheetId="3"/>
    <customWorkbookView name="proces half life (continental)" guid="{E10D53FB-7CBD-11D4-9F98-0000E22085C7}" maximized="1" xWindow="2" windowWidth="814" windowHeight="473" activeSheetId="2"/>
    <customWorkbookView name="proces half life (arctic)" guid="{E10D53FA-7CBD-11D4-9F98-0000E22085C7}" maximized="1" xWindow="2" windowWidth="814" windowHeight="473" activeSheetId="4"/>
    <customWorkbookView name="output analysis report (tropic)" guid="{E10D53F9-7CBD-11D4-9F98-0000E22085C7}" maximized="1" xWindow="2" windowWidth="814" windowHeight="473" activeSheetId="5"/>
    <customWorkbookView name="output analysis report (regional)" guid="{E10D53F8-7CBD-11D4-9F98-0000E22085C7}" maximized="1" xWindow="2" windowWidth="814" windowHeight="443" activeSheetId="1"/>
    <customWorkbookView name="output analysis report (moderate)" guid="{E10D53F7-7CBD-11D4-9F98-0000E22085C7}" maximized="1" xWindow="2" windowWidth="814" windowHeight="473" activeSheetId="3"/>
    <customWorkbookView name="output analysis report (continental)" guid="{E10D53F6-7CBD-11D4-9F98-0000E22085C7}" maximized="1" xWindow="2" windowWidth="814" windowHeight="473" activeSheetId="2"/>
    <customWorkbookView name="output analysis report (arctic)" guid="{E10D53F5-7CBD-11D4-9F98-0000E22085C7}" maximized="1" xWindow="2" windowWidth="814" windowHeight="473" activeSheetId="4"/>
    <customWorkbookView name="model picture (tropic)" guid="{E10D53F4-7CBD-11D4-9F98-0000E22085C7}" maximized="1" xWindow="2" windowWidth="814" windowHeight="473" activeSheetId="5"/>
    <customWorkbookView name="model picture (regional)" guid="{E10D53F3-7CBD-11D4-9F98-0000E22085C7}" maximized="1" xWindow="2" windowWidth="814" windowHeight="443" activeSheetId="1"/>
    <customWorkbookView name="model picture (moderate)" guid="{E10D53F2-7CBD-11D4-9F98-0000E22085C7}" maximized="1" xWindow="2" windowWidth="814" windowHeight="473" activeSheetId="3"/>
    <customWorkbookView name="model picture (continental)" guid="{E10D53F1-7CBD-11D4-9F98-0000E22085C7}" maximized="1" xWindow="2" windowWidth="814" windowHeight="473" activeSheetId="2"/>
    <customWorkbookView name="model picture (arctic)" guid="{E10D53F0-7CBD-11D4-9F98-0000E22085C7}" maximized="1" xWindow="2" windowWidth="814" windowHeight="473" activeSheetId="4"/>
    <customWorkbookView name="model definition (tropic)" guid="{E10D53EF-7CBD-11D4-9F98-0000E22085C7}" maximized="1" xWindow="2" windowWidth="814" windowHeight="473" activeSheetId="5"/>
    <customWorkbookView name="model definition (regional)" guid="{E10D53EE-7CBD-11D4-9F98-0000E22085C7}" maximized="1" xWindow="2" windowWidth="814" windowHeight="473" activeSheetId="1"/>
    <customWorkbookView name="model definition (moderate)" guid="{E10D53ED-7CBD-11D4-9F98-0000E22085C7}" maximized="1" xWindow="2" windowWidth="814" windowHeight="473" activeSheetId="3"/>
    <customWorkbookView name="model definition (engine)" guid="{E10D53EC-7CBD-11D4-9F98-0000E22085C7}" maximized="1" xWindow="2" windowWidth="814" windowHeight="473" activeSheetId="6"/>
    <customWorkbookView name="model definition (continental)" guid="{E10D53EB-7CBD-11D4-9F98-0000E22085C7}" maximized="1" xWindow="2" windowWidth="814" windowHeight="473" activeSheetId="2"/>
    <customWorkbookView name="model definition (arctic)" guid="{E10D53EA-7CBD-11D4-9F98-0000E22085C7}" maximized="1" xWindow="2" windowWidth="814" windowHeight="473" activeSheetId="4"/>
    <customWorkbookView name="mass balance coeff box 17_32 (engine)" guid="{E10D53E9-7CBD-11D4-9F98-0000E22085C7}" maximized="1" xWindow="2" windowWidth="814" windowHeight="473" activeSheetId="6"/>
    <customWorkbookView name="mass balance coeff box 1_16 (engine)" guid="{E10D53E8-7CBD-11D4-9F98-0000E22085C7}" maximized="1" xWindow="2" windowWidth="814" windowHeight="473" activeSheetId="6"/>
    <customWorkbookView name="input file dynamic comp. b17_32_2 (engine)" guid="{E10D53E7-7CBD-11D4-9F98-0000E22085C7}" maximized="1" xWindow="2" windowWidth="814" windowHeight="473" activeSheetId="6"/>
    <customWorkbookView name="input file dynamic comp. b17_32_1 (engine)" guid="{E10D53E6-7CBD-11D4-9F98-0000E22085C7}" maximized="1" xWindow="2" windowWidth="814" windowHeight="473" activeSheetId="6"/>
    <customWorkbookView name="input file dynamic comp. b1_16_2 (engine)" guid="{E10D53E5-7CBD-11D4-9F98-0000E22085C7}" maximized="1" xWindow="2" windowWidth="814" windowHeight="473" activeSheetId="6"/>
    <customWorkbookView name="input file dynamic comp. b1_16_1 (engine)" guid="{E10D53E4-7CBD-11D4-9F98-0000E22085C7}" maximized="1" xWindow="2" windowWidth="814" windowHeight="473" activeSheetId="6"/>
    <customWorkbookView name="distribution and risk (tropic)" guid="{E10D53E3-7CBD-11D4-9F98-0000E22085C7}" maximized="1" xWindow="2" windowWidth="814" windowHeight="473" activeSheetId="5"/>
    <customWorkbookView name="distribution and risk (regional)" guid="{E10D53E2-7CBD-11D4-9F98-0000E22085C7}" maximized="1" xWindow="2" windowWidth="814" windowHeight="473" activeSheetId="1"/>
    <customWorkbookView name="distribution and risk (moderate)" guid="{E10D53E1-7CBD-11D4-9F98-0000E22085C7}" maximized="1" xWindow="2" windowWidth="814" windowHeight="473" activeSheetId="3"/>
    <customWorkbookView name="distribution and risk (continental)" guid="{E10D53E0-7CBD-11D4-9F98-0000E22085C7}" maximized="1" xWindow="2" windowWidth="814" windowHeight="473" activeSheetId="2"/>
    <customWorkbookView name="distribution and risk (arctic)" guid="{E10D53DF-7CBD-11D4-9F98-0000E22085C7}" maximized="1" xWindow="2" windowWidth="814" windowHeight="473" activeSheetId="4"/>
    <customWorkbookView name="charts (charts)" guid="{E10D53DE-7CBD-11D4-9F98-0000E22085C7}" maximized="1" xWindow="2" windowWidth="814" windowHeight="473" activeSheetId="7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34" i="3" l="1"/>
  <c r="J135" i="3"/>
  <c r="J136" i="3"/>
  <c r="J137" i="3"/>
  <c r="J138" i="3"/>
  <c r="J139" i="3"/>
  <c r="J140" i="3"/>
  <c r="J141" i="3"/>
  <c r="J142" i="3"/>
  <c r="J143" i="3"/>
  <c r="J133" i="3"/>
  <c r="J145" i="3"/>
  <c r="J144" i="3"/>
  <c r="J146" i="3"/>
  <c r="Z62" i="2"/>
  <c r="Y62" i="2"/>
  <c r="X62" i="2"/>
  <c r="K62" i="2"/>
  <c r="Z61" i="2"/>
  <c r="Y61" i="2"/>
  <c r="X61" i="2"/>
  <c r="K61" i="2"/>
  <c r="G61" i="2"/>
  <c r="Z60" i="2"/>
  <c r="Y60" i="2"/>
  <c r="X60" i="2"/>
  <c r="K60" i="2"/>
  <c r="Z59" i="2"/>
  <c r="Y59" i="2"/>
  <c r="X59" i="2"/>
  <c r="K59" i="2"/>
  <c r="Z58" i="2"/>
  <c r="Y58" i="2"/>
  <c r="X58" i="2"/>
  <c r="K58" i="2"/>
  <c r="Z57" i="2"/>
  <c r="Y57" i="2"/>
  <c r="X57" i="2"/>
  <c r="K57" i="2"/>
  <c r="Z56" i="2"/>
  <c r="Y56" i="2"/>
  <c r="X56" i="2"/>
  <c r="K56" i="2"/>
  <c r="Z55" i="2"/>
  <c r="Y55" i="2"/>
  <c r="X55" i="2"/>
  <c r="K55" i="2"/>
  <c r="Z54" i="2"/>
  <c r="Y54" i="2"/>
  <c r="X54" i="2"/>
  <c r="K54" i="2"/>
  <c r="Z53" i="2"/>
  <c r="Y53" i="2"/>
  <c r="X53" i="2"/>
  <c r="K53" i="2"/>
  <c r="Z52" i="2"/>
  <c r="Y52" i="2"/>
  <c r="X52" i="2"/>
  <c r="K52" i="2"/>
  <c r="Z51" i="2"/>
  <c r="Y51" i="2"/>
  <c r="X51" i="2"/>
  <c r="K51" i="2"/>
  <c r="Z50" i="2"/>
  <c r="Y50" i="2"/>
  <c r="X50" i="2"/>
  <c r="K50" i="2"/>
  <c r="Z49" i="2"/>
  <c r="Y49" i="2"/>
  <c r="X49" i="2"/>
  <c r="K49" i="2"/>
  <c r="G49" i="2"/>
  <c r="Z48" i="2"/>
  <c r="Y48" i="2"/>
  <c r="X48" i="2"/>
  <c r="K48" i="2"/>
  <c r="G48" i="2"/>
  <c r="Z47" i="2"/>
  <c r="Y47" i="2"/>
  <c r="X47" i="2"/>
  <c r="K47" i="2"/>
  <c r="G47" i="2"/>
  <c r="Z46" i="2"/>
  <c r="Y46" i="2"/>
  <c r="X46" i="2"/>
  <c r="K46" i="2"/>
  <c r="G46" i="2"/>
  <c r="Z45" i="2"/>
  <c r="Y45" i="2"/>
  <c r="X45" i="2"/>
  <c r="K45" i="2"/>
  <c r="G45" i="2"/>
  <c r="Z44" i="2"/>
  <c r="Y44" i="2"/>
  <c r="X44" i="2"/>
  <c r="K44" i="2"/>
  <c r="Z43" i="2"/>
  <c r="Y43" i="2"/>
  <c r="X43" i="2"/>
  <c r="K43" i="2"/>
  <c r="Z42" i="2"/>
  <c r="Y42" i="2"/>
  <c r="X42" i="2"/>
  <c r="K42" i="2"/>
  <c r="G42" i="2"/>
  <c r="Z41" i="2"/>
  <c r="Y41" i="2"/>
  <c r="X41" i="2"/>
  <c r="K41" i="2"/>
  <c r="Z40" i="2"/>
  <c r="Y40" i="2"/>
  <c r="X40" i="2"/>
  <c r="K40" i="2"/>
  <c r="Z39" i="2"/>
  <c r="Y39" i="2"/>
  <c r="X39" i="2"/>
  <c r="K39" i="2"/>
  <c r="G39" i="2"/>
  <c r="Z38" i="2"/>
  <c r="Y38" i="2"/>
  <c r="X38" i="2"/>
  <c r="K38" i="2"/>
  <c r="Z37" i="2"/>
  <c r="Y37" i="2"/>
  <c r="X37" i="2"/>
  <c r="K37" i="2"/>
  <c r="G37" i="2"/>
  <c r="Z36" i="2"/>
  <c r="Y36" i="2"/>
  <c r="X36" i="2"/>
  <c r="K36" i="2"/>
  <c r="G36" i="2"/>
  <c r="Z35" i="2"/>
  <c r="Y35" i="2"/>
  <c r="X35" i="2"/>
  <c r="K35" i="2"/>
  <c r="Z34" i="2"/>
  <c r="Y34" i="2"/>
  <c r="X34" i="2"/>
  <c r="K34" i="2"/>
  <c r="Z33" i="2"/>
  <c r="Y33" i="2"/>
  <c r="X33" i="2"/>
  <c r="K33" i="2"/>
  <c r="G33" i="2"/>
  <c r="Z32" i="2"/>
  <c r="Y32" i="2"/>
  <c r="X32" i="2"/>
  <c r="K32" i="2"/>
  <c r="G32" i="2"/>
  <c r="Z31" i="2"/>
  <c r="Y31" i="2"/>
  <c r="X31" i="2"/>
  <c r="K31" i="2"/>
  <c r="G31" i="2"/>
  <c r="Z30" i="2"/>
  <c r="Y30" i="2"/>
  <c r="X30" i="2"/>
  <c r="K30" i="2"/>
  <c r="Z29" i="2"/>
  <c r="Y29" i="2"/>
  <c r="X29" i="2"/>
  <c r="K29" i="2"/>
  <c r="G29" i="2"/>
  <c r="Z28" i="2"/>
  <c r="Y28" i="2"/>
  <c r="X28" i="2"/>
  <c r="K28" i="2"/>
  <c r="Z27" i="2"/>
  <c r="Y27" i="2"/>
  <c r="X27" i="2"/>
  <c r="K27" i="2"/>
  <c r="G27" i="2"/>
  <c r="Z26" i="2"/>
  <c r="Y26" i="2"/>
  <c r="X26" i="2"/>
  <c r="K26" i="2"/>
  <c r="Z25" i="2"/>
  <c r="Y25" i="2"/>
  <c r="X25" i="2"/>
  <c r="K25" i="2"/>
  <c r="G25" i="2"/>
  <c r="Z24" i="2"/>
  <c r="Y24" i="2"/>
  <c r="X24" i="2"/>
  <c r="K24" i="2"/>
  <c r="G24" i="2"/>
  <c r="Z23" i="2"/>
  <c r="Y23" i="2"/>
  <c r="X23" i="2"/>
  <c r="K23" i="2"/>
  <c r="G23" i="2"/>
  <c r="Z22" i="2"/>
  <c r="Y22" i="2"/>
  <c r="X22" i="2"/>
  <c r="K22" i="2"/>
  <c r="G22" i="2"/>
  <c r="Z21" i="2"/>
  <c r="Y21" i="2"/>
  <c r="X21" i="2"/>
  <c r="K21" i="2"/>
  <c r="G21" i="2"/>
  <c r="Z20" i="2"/>
  <c r="Y20" i="2"/>
  <c r="X20" i="2"/>
  <c r="K20" i="2"/>
  <c r="G20" i="2"/>
  <c r="Z19" i="2"/>
  <c r="Y19" i="2"/>
  <c r="X19" i="2"/>
  <c r="Z18" i="2"/>
  <c r="Y18" i="2"/>
  <c r="X18" i="2"/>
  <c r="K18" i="2"/>
  <c r="G18" i="2"/>
  <c r="Z17" i="2"/>
  <c r="Y17" i="2"/>
  <c r="X17" i="2"/>
  <c r="K17" i="2"/>
  <c r="G17" i="2"/>
  <c r="Z16" i="2"/>
  <c r="Y16" i="2"/>
  <c r="X16" i="2"/>
  <c r="K16" i="2"/>
  <c r="Z15" i="2"/>
  <c r="Y15" i="2"/>
  <c r="X15" i="2"/>
  <c r="K15" i="2"/>
  <c r="X4008" i="2"/>
  <c r="Y4008" i="2"/>
  <c r="Z4008" i="2"/>
  <c r="Z5033" i="2"/>
  <c r="Y5033" i="2"/>
  <c r="X5033" i="2"/>
  <c r="Z5032" i="2"/>
  <c r="Y5032" i="2"/>
  <c r="X5032" i="2"/>
  <c r="Z5031" i="2"/>
  <c r="Y5031" i="2"/>
  <c r="X5031" i="2"/>
  <c r="Z5030" i="2"/>
  <c r="Y5030" i="2"/>
  <c r="X5030" i="2"/>
  <c r="Z5029" i="2"/>
  <c r="Y5029" i="2"/>
  <c r="X5029" i="2"/>
  <c r="Z5028" i="2"/>
  <c r="Y5028" i="2"/>
  <c r="X5028" i="2"/>
  <c r="Z5027" i="2"/>
  <c r="Y5027" i="2"/>
  <c r="X5027" i="2"/>
  <c r="Z5026" i="2"/>
  <c r="Y5026" i="2"/>
  <c r="X5026" i="2"/>
  <c r="Z5025" i="2"/>
  <c r="Y5025" i="2"/>
  <c r="X5025" i="2"/>
  <c r="Z5024" i="2"/>
  <c r="Y5024" i="2"/>
  <c r="X5024" i="2"/>
  <c r="Z5023" i="2"/>
  <c r="Y5023" i="2"/>
  <c r="X5023" i="2"/>
  <c r="Z5022" i="2"/>
  <c r="Y5022" i="2"/>
  <c r="X5022" i="2"/>
  <c r="Z5021" i="2"/>
  <c r="Y5021" i="2"/>
  <c r="X5021" i="2"/>
  <c r="Z5020" i="2"/>
  <c r="Y5020" i="2"/>
  <c r="X5020" i="2"/>
  <c r="Z5019" i="2"/>
  <c r="Y5019" i="2"/>
  <c r="X5019" i="2"/>
  <c r="Z5018" i="2"/>
  <c r="Y5018" i="2"/>
  <c r="X5018" i="2"/>
  <c r="Z5017" i="2"/>
  <c r="Y5017" i="2"/>
  <c r="X5017" i="2"/>
  <c r="Z5016" i="2"/>
  <c r="Y5016" i="2"/>
  <c r="X5016" i="2"/>
  <c r="Z5015" i="2"/>
  <c r="Y5015" i="2"/>
  <c r="X5015" i="2"/>
  <c r="Z5014" i="2"/>
  <c r="Y5014" i="2"/>
  <c r="X5014" i="2"/>
  <c r="Z5013" i="2"/>
  <c r="Y5013" i="2"/>
  <c r="X5013" i="2"/>
  <c r="Z5012" i="2"/>
  <c r="Y5012" i="2"/>
  <c r="X5012" i="2"/>
  <c r="Z5011" i="2"/>
  <c r="Y5011" i="2"/>
  <c r="X5011" i="2"/>
  <c r="Z5010" i="2"/>
  <c r="Y5010" i="2"/>
  <c r="X5010" i="2"/>
  <c r="Z5009" i="2"/>
  <c r="Y5009" i="2"/>
  <c r="X5009" i="2"/>
  <c r="Z5008" i="2"/>
  <c r="Y5008" i="2"/>
  <c r="X5008" i="2"/>
  <c r="Z5007" i="2"/>
  <c r="Y5007" i="2"/>
  <c r="X5007" i="2"/>
  <c r="Z5006" i="2"/>
  <c r="Y5006" i="2"/>
  <c r="X5006" i="2"/>
  <c r="Z5005" i="2"/>
  <c r="Y5005" i="2"/>
  <c r="X5005" i="2"/>
  <c r="Z5004" i="2"/>
  <c r="Y5004" i="2"/>
  <c r="X5004" i="2"/>
  <c r="Z5003" i="2"/>
  <c r="Y5003" i="2"/>
  <c r="X5003" i="2"/>
  <c r="Z5002" i="2"/>
  <c r="Y5002" i="2"/>
  <c r="X5002" i="2"/>
  <c r="Z5001" i="2"/>
  <c r="Y5001" i="2"/>
  <c r="X5001" i="2"/>
  <c r="Z5000" i="2"/>
  <c r="Y5000" i="2"/>
  <c r="X5000" i="2"/>
  <c r="Z4999" i="2"/>
  <c r="Y4999" i="2"/>
  <c r="X4999" i="2"/>
  <c r="Z4998" i="2"/>
  <c r="Y4998" i="2"/>
  <c r="X4998" i="2"/>
  <c r="Z4997" i="2"/>
  <c r="Y4997" i="2"/>
  <c r="X4997" i="2"/>
  <c r="Z4996" i="2"/>
  <c r="Y4996" i="2"/>
  <c r="X4996" i="2"/>
  <c r="Z4995" i="2"/>
  <c r="Y4995" i="2"/>
  <c r="X4995" i="2"/>
  <c r="Z4994" i="2"/>
  <c r="Y4994" i="2"/>
  <c r="X4994" i="2"/>
  <c r="Z4993" i="2"/>
  <c r="Y4993" i="2"/>
  <c r="X4993" i="2"/>
  <c r="Z4992" i="2"/>
  <c r="Y4992" i="2"/>
  <c r="X4992" i="2"/>
  <c r="Z4991" i="2"/>
  <c r="Y4991" i="2"/>
  <c r="X4991" i="2"/>
  <c r="Z4990" i="2"/>
  <c r="Y4990" i="2"/>
  <c r="X4990" i="2"/>
  <c r="Z4989" i="2"/>
  <c r="Y4989" i="2"/>
  <c r="X4989" i="2"/>
  <c r="Z4988" i="2"/>
  <c r="Y4988" i="2"/>
  <c r="X4988" i="2"/>
  <c r="Z4987" i="2"/>
  <c r="Y4987" i="2"/>
  <c r="X4987" i="2"/>
  <c r="Z4986" i="2"/>
  <c r="Y4986" i="2"/>
  <c r="X4986" i="2"/>
  <c r="Z4985" i="2"/>
  <c r="Y4985" i="2"/>
  <c r="X4985" i="2"/>
  <c r="Z4984" i="2"/>
  <c r="Y4984" i="2"/>
  <c r="X4984" i="2"/>
  <c r="Z4983" i="2"/>
  <c r="Y4983" i="2"/>
  <c r="X4983" i="2"/>
  <c r="Z4982" i="2"/>
  <c r="Y4982" i="2"/>
  <c r="X4982" i="2"/>
  <c r="Z4981" i="2"/>
  <c r="Y4981" i="2"/>
  <c r="X4981" i="2"/>
  <c r="Z4980" i="2"/>
  <c r="Y4980" i="2"/>
  <c r="X4980" i="2"/>
  <c r="Z4979" i="2"/>
  <c r="Y4979" i="2"/>
  <c r="X4979" i="2"/>
  <c r="Z4978" i="2"/>
  <c r="Y4978" i="2"/>
  <c r="X4978" i="2"/>
  <c r="Z4977" i="2"/>
  <c r="Y4977" i="2"/>
  <c r="X4977" i="2"/>
  <c r="Z4976" i="2"/>
  <c r="Y4976" i="2"/>
  <c r="X4976" i="2"/>
  <c r="Z4975" i="2"/>
  <c r="Y4975" i="2"/>
  <c r="X4975" i="2"/>
  <c r="Z4974" i="2"/>
  <c r="Y4974" i="2"/>
  <c r="X4974" i="2"/>
  <c r="Z4973" i="2"/>
  <c r="Y4973" i="2"/>
  <c r="X4973" i="2"/>
  <c r="Z4972" i="2"/>
  <c r="Y4972" i="2"/>
  <c r="X4972" i="2"/>
  <c r="Z4971" i="2"/>
  <c r="Y4971" i="2"/>
  <c r="X4971" i="2"/>
  <c r="Z4970" i="2"/>
  <c r="Y4970" i="2"/>
  <c r="X4970" i="2"/>
  <c r="Z4969" i="2"/>
  <c r="Y4969" i="2"/>
  <c r="X4969" i="2"/>
  <c r="Z4968" i="2"/>
  <c r="Y4968" i="2"/>
  <c r="X4968" i="2"/>
  <c r="Z4967" i="2"/>
  <c r="Y4967" i="2"/>
  <c r="X4967" i="2"/>
  <c r="Z4966" i="2"/>
  <c r="Y4966" i="2"/>
  <c r="X4966" i="2"/>
  <c r="Z4965" i="2"/>
  <c r="Y4965" i="2"/>
  <c r="X4965" i="2"/>
  <c r="Z4964" i="2"/>
  <c r="Y4964" i="2"/>
  <c r="X4964" i="2"/>
  <c r="Z4963" i="2"/>
  <c r="Y4963" i="2"/>
  <c r="X4963" i="2"/>
  <c r="Z4962" i="2"/>
  <c r="Y4962" i="2"/>
  <c r="X4962" i="2"/>
  <c r="Z4961" i="2"/>
  <c r="Y4961" i="2"/>
  <c r="X4961" i="2"/>
  <c r="Z4960" i="2"/>
  <c r="Y4960" i="2"/>
  <c r="X4960" i="2"/>
  <c r="Z4959" i="2"/>
  <c r="Y4959" i="2"/>
  <c r="X4959" i="2"/>
  <c r="Z4958" i="2"/>
  <c r="Y4958" i="2"/>
  <c r="X4958" i="2"/>
  <c r="Z4957" i="2"/>
  <c r="Y4957" i="2"/>
  <c r="X4957" i="2"/>
  <c r="Z4956" i="2"/>
  <c r="Y4956" i="2"/>
  <c r="X4956" i="2"/>
  <c r="Z4955" i="2"/>
  <c r="Y4955" i="2"/>
  <c r="X4955" i="2"/>
  <c r="Z4954" i="2"/>
  <c r="Y4954" i="2"/>
  <c r="X4954" i="2"/>
  <c r="Z4953" i="2"/>
  <c r="Y4953" i="2"/>
  <c r="X4953" i="2"/>
  <c r="Z4952" i="2"/>
  <c r="Y4952" i="2"/>
  <c r="X4952" i="2"/>
  <c r="Z4951" i="2"/>
  <c r="Y4951" i="2"/>
  <c r="X4951" i="2"/>
  <c r="Z4950" i="2"/>
  <c r="Y4950" i="2"/>
  <c r="X4950" i="2"/>
  <c r="Z4949" i="2"/>
  <c r="Y4949" i="2"/>
  <c r="X4949" i="2"/>
  <c r="Z4948" i="2"/>
  <c r="Y4948" i="2"/>
  <c r="X4948" i="2"/>
  <c r="Z4947" i="2"/>
  <c r="Y4947" i="2"/>
  <c r="X4947" i="2"/>
  <c r="Z4946" i="2"/>
  <c r="Y4946" i="2"/>
  <c r="X4946" i="2"/>
  <c r="Z4945" i="2"/>
  <c r="Y4945" i="2"/>
  <c r="X4945" i="2"/>
  <c r="Z4944" i="2"/>
  <c r="Y4944" i="2"/>
  <c r="X4944" i="2"/>
  <c r="Z4943" i="2"/>
  <c r="Y4943" i="2"/>
  <c r="X4943" i="2"/>
  <c r="Z4942" i="2"/>
  <c r="Y4942" i="2"/>
  <c r="X4942" i="2"/>
  <c r="Z4941" i="2"/>
  <c r="Y4941" i="2"/>
  <c r="X4941" i="2"/>
  <c r="Z4940" i="2"/>
  <c r="Y4940" i="2"/>
  <c r="X4940" i="2"/>
  <c r="Z4939" i="2"/>
  <c r="Y4939" i="2"/>
  <c r="X4939" i="2"/>
  <c r="Z4938" i="2"/>
  <c r="Y4938" i="2"/>
  <c r="X4938" i="2"/>
  <c r="Z4937" i="2"/>
  <c r="Y4937" i="2"/>
  <c r="X4937" i="2"/>
  <c r="Z4936" i="2"/>
  <c r="Y4936" i="2"/>
  <c r="X4936" i="2"/>
  <c r="Z4935" i="2"/>
  <c r="Y4935" i="2"/>
  <c r="X4935" i="2"/>
  <c r="Z4934" i="2"/>
  <c r="Y4934" i="2"/>
  <c r="X4934" i="2"/>
  <c r="Z4933" i="2"/>
  <c r="Y4933" i="2"/>
  <c r="X4933" i="2"/>
  <c r="Z4932" i="2"/>
  <c r="Y4932" i="2"/>
  <c r="X4932" i="2"/>
  <c r="Z4931" i="2"/>
  <c r="Y4931" i="2"/>
  <c r="X4931" i="2"/>
  <c r="Z4930" i="2"/>
  <c r="Y4930" i="2"/>
  <c r="X4930" i="2"/>
  <c r="Z4929" i="2"/>
  <c r="Y4929" i="2"/>
  <c r="X4929" i="2"/>
  <c r="Z4928" i="2"/>
  <c r="Y4928" i="2"/>
  <c r="X4928" i="2"/>
  <c r="Z4927" i="2"/>
  <c r="Y4927" i="2"/>
  <c r="X4927" i="2"/>
  <c r="Z4926" i="2"/>
  <c r="Y4926" i="2"/>
  <c r="X4926" i="2"/>
  <c r="Z4925" i="2"/>
  <c r="Y4925" i="2"/>
  <c r="X4925" i="2"/>
  <c r="Z4924" i="2"/>
  <c r="Y4924" i="2"/>
  <c r="X4924" i="2"/>
  <c r="Z4923" i="2"/>
  <c r="Y4923" i="2"/>
  <c r="X4923" i="2"/>
  <c r="Z4922" i="2"/>
  <c r="Y4922" i="2"/>
  <c r="X4922" i="2"/>
  <c r="Z4921" i="2"/>
  <c r="Y4921" i="2"/>
  <c r="X4921" i="2"/>
  <c r="Z4920" i="2"/>
  <c r="Y4920" i="2"/>
  <c r="X4920" i="2"/>
  <c r="Z4919" i="2"/>
  <c r="Y4919" i="2"/>
  <c r="X4919" i="2"/>
  <c r="Z4918" i="2"/>
  <c r="Y4918" i="2"/>
  <c r="X4918" i="2"/>
  <c r="Z4917" i="2"/>
  <c r="Y4917" i="2"/>
  <c r="X4917" i="2"/>
  <c r="Z4916" i="2"/>
  <c r="Y4916" i="2"/>
  <c r="X4916" i="2"/>
  <c r="Z4915" i="2"/>
  <c r="Y4915" i="2"/>
  <c r="X4915" i="2"/>
  <c r="Z4914" i="2"/>
  <c r="Y4914" i="2"/>
  <c r="X4914" i="2"/>
  <c r="Z4913" i="2"/>
  <c r="Y4913" i="2"/>
  <c r="X4913" i="2"/>
  <c r="Z4912" i="2"/>
  <c r="Y4912" i="2"/>
  <c r="X4912" i="2"/>
  <c r="Z4911" i="2"/>
  <c r="Y4911" i="2"/>
  <c r="X4911" i="2"/>
  <c r="Z4910" i="2"/>
  <c r="Y4910" i="2"/>
  <c r="X4910" i="2"/>
  <c r="Z4909" i="2"/>
  <c r="Y4909" i="2"/>
  <c r="X4909" i="2"/>
  <c r="Z4908" i="2"/>
  <c r="Y4908" i="2"/>
  <c r="X4908" i="2"/>
  <c r="Z4907" i="2"/>
  <c r="Y4907" i="2"/>
  <c r="X4907" i="2"/>
  <c r="Z4906" i="2"/>
  <c r="Y4906" i="2"/>
  <c r="X4906" i="2"/>
  <c r="Z4905" i="2"/>
  <c r="Y4905" i="2"/>
  <c r="X4905" i="2"/>
  <c r="Z4904" i="2"/>
  <c r="Y4904" i="2"/>
  <c r="X4904" i="2"/>
  <c r="Z4903" i="2"/>
  <c r="Y4903" i="2"/>
  <c r="X4903" i="2"/>
  <c r="Z4902" i="2"/>
  <c r="Y4902" i="2"/>
  <c r="X4902" i="2"/>
  <c r="Z4901" i="2"/>
  <c r="Y4901" i="2"/>
  <c r="X4901" i="2"/>
  <c r="Z4900" i="2"/>
  <c r="Y4900" i="2"/>
  <c r="X4900" i="2"/>
  <c r="Z4899" i="2"/>
  <c r="Y4899" i="2"/>
  <c r="X4899" i="2"/>
  <c r="Z4898" i="2"/>
  <c r="Y4898" i="2"/>
  <c r="X4898" i="2"/>
  <c r="Z4897" i="2"/>
  <c r="Y4897" i="2"/>
  <c r="X4897" i="2"/>
  <c r="Z4896" i="2"/>
  <c r="Y4896" i="2"/>
  <c r="X4896" i="2"/>
  <c r="Z4895" i="2"/>
  <c r="Y4895" i="2"/>
  <c r="X4895" i="2"/>
  <c r="Z4894" i="2"/>
  <c r="Y4894" i="2"/>
  <c r="X4894" i="2"/>
  <c r="Z4893" i="2"/>
  <c r="Y4893" i="2"/>
  <c r="X4893" i="2"/>
  <c r="Z4892" i="2"/>
  <c r="Y4892" i="2"/>
  <c r="X4892" i="2"/>
  <c r="Z4891" i="2"/>
  <c r="Y4891" i="2"/>
  <c r="X4891" i="2"/>
  <c r="Z4890" i="2"/>
  <c r="Y4890" i="2"/>
  <c r="X4890" i="2"/>
  <c r="Z4889" i="2"/>
  <c r="Y4889" i="2"/>
  <c r="X4889" i="2"/>
  <c r="Z4888" i="2"/>
  <c r="Y4888" i="2"/>
  <c r="X4888" i="2"/>
  <c r="Z4887" i="2"/>
  <c r="Y4887" i="2"/>
  <c r="X4887" i="2"/>
  <c r="Z4886" i="2"/>
  <c r="Y4886" i="2"/>
  <c r="X4886" i="2"/>
  <c r="Z4885" i="2"/>
  <c r="Y4885" i="2"/>
  <c r="X4885" i="2"/>
  <c r="Z4884" i="2"/>
  <c r="Y4884" i="2"/>
  <c r="X4884" i="2"/>
  <c r="Z4883" i="2"/>
  <c r="Y4883" i="2"/>
  <c r="X4883" i="2"/>
  <c r="Z4882" i="2"/>
  <c r="Y4882" i="2"/>
  <c r="X4882" i="2"/>
  <c r="Z4881" i="2"/>
  <c r="Y4881" i="2"/>
  <c r="X4881" i="2"/>
  <c r="Z4880" i="2"/>
  <c r="Y4880" i="2"/>
  <c r="X4880" i="2"/>
  <c r="Z4879" i="2"/>
  <c r="Y4879" i="2"/>
  <c r="X4879" i="2"/>
  <c r="Z4878" i="2"/>
  <c r="Y4878" i="2"/>
  <c r="X4878" i="2"/>
  <c r="Z4877" i="2"/>
  <c r="Y4877" i="2"/>
  <c r="X4877" i="2"/>
  <c r="Z4876" i="2"/>
  <c r="Y4876" i="2"/>
  <c r="X4876" i="2"/>
  <c r="Z4875" i="2"/>
  <c r="Y4875" i="2"/>
  <c r="X4875" i="2"/>
  <c r="Z4874" i="2"/>
  <c r="Y4874" i="2"/>
  <c r="X4874" i="2"/>
  <c r="Z4873" i="2"/>
  <c r="Y4873" i="2"/>
  <c r="X4873" i="2"/>
  <c r="Z4872" i="2"/>
  <c r="Y4872" i="2"/>
  <c r="X4872" i="2"/>
  <c r="Z4871" i="2"/>
  <c r="Y4871" i="2"/>
  <c r="X4871" i="2"/>
  <c r="Z4870" i="2"/>
  <c r="Y4870" i="2"/>
  <c r="X4870" i="2"/>
  <c r="Z4869" i="2"/>
  <c r="Y4869" i="2"/>
  <c r="X4869" i="2"/>
  <c r="Z4868" i="2"/>
  <c r="Y4868" i="2"/>
  <c r="X4868" i="2"/>
  <c r="Z4867" i="2"/>
  <c r="Y4867" i="2"/>
  <c r="X4867" i="2"/>
  <c r="Z4866" i="2"/>
  <c r="Y4866" i="2"/>
  <c r="X4866" i="2"/>
  <c r="Z4865" i="2"/>
  <c r="Y4865" i="2"/>
  <c r="X4865" i="2"/>
  <c r="Z4864" i="2"/>
  <c r="Y4864" i="2"/>
  <c r="X4864" i="2"/>
  <c r="Z4863" i="2"/>
  <c r="Y4863" i="2"/>
  <c r="X4863" i="2"/>
  <c r="Z4862" i="2"/>
  <c r="Y4862" i="2"/>
  <c r="X4862" i="2"/>
  <c r="Z4861" i="2"/>
  <c r="Y4861" i="2"/>
  <c r="X4861" i="2"/>
  <c r="Z4860" i="2"/>
  <c r="Y4860" i="2"/>
  <c r="X4860" i="2"/>
  <c r="Z4859" i="2"/>
  <c r="Y4859" i="2"/>
  <c r="X4859" i="2"/>
  <c r="Z4858" i="2"/>
  <c r="Y4858" i="2"/>
  <c r="X4858" i="2"/>
  <c r="Z4857" i="2"/>
  <c r="Y4857" i="2"/>
  <c r="X4857" i="2"/>
  <c r="Z4856" i="2"/>
  <c r="Y4856" i="2"/>
  <c r="X4856" i="2"/>
  <c r="Z4855" i="2"/>
  <c r="Y4855" i="2"/>
  <c r="X4855" i="2"/>
  <c r="Z4854" i="2"/>
  <c r="Y4854" i="2"/>
  <c r="X4854" i="2"/>
  <c r="Z4853" i="2"/>
  <c r="Y4853" i="2"/>
  <c r="X4853" i="2"/>
  <c r="Z4852" i="2"/>
  <c r="Y4852" i="2"/>
  <c r="X4852" i="2"/>
  <c r="Z4851" i="2"/>
  <c r="Y4851" i="2"/>
  <c r="X4851" i="2"/>
  <c r="Z4850" i="2"/>
  <c r="Y4850" i="2"/>
  <c r="X4850" i="2"/>
  <c r="Z4849" i="2"/>
  <c r="Y4849" i="2"/>
  <c r="X4849" i="2"/>
  <c r="Z4848" i="2"/>
  <c r="Y4848" i="2"/>
  <c r="X4848" i="2"/>
  <c r="Z4847" i="2"/>
  <c r="Y4847" i="2"/>
  <c r="X4847" i="2"/>
  <c r="Z4846" i="2"/>
  <c r="Y4846" i="2"/>
  <c r="X4846" i="2"/>
  <c r="Z4845" i="2"/>
  <c r="Y4845" i="2"/>
  <c r="X4845" i="2"/>
  <c r="Z4844" i="2"/>
  <c r="Y4844" i="2"/>
  <c r="X4844" i="2"/>
  <c r="Z4843" i="2"/>
  <c r="Y4843" i="2"/>
  <c r="X4843" i="2"/>
  <c r="Z4842" i="2"/>
  <c r="Y4842" i="2"/>
  <c r="X4842" i="2"/>
  <c r="Z4841" i="2"/>
  <c r="Y4841" i="2"/>
  <c r="X4841" i="2"/>
  <c r="Z4840" i="2"/>
  <c r="Y4840" i="2"/>
  <c r="X4840" i="2"/>
  <c r="Z4839" i="2"/>
  <c r="Y4839" i="2"/>
  <c r="X4839" i="2"/>
  <c r="Z4838" i="2"/>
  <c r="Y4838" i="2"/>
  <c r="X4838" i="2"/>
  <c r="Z4837" i="2"/>
  <c r="Y4837" i="2"/>
  <c r="X4837" i="2"/>
  <c r="Z4836" i="2"/>
  <c r="Y4836" i="2"/>
  <c r="X4836" i="2"/>
  <c r="Z4835" i="2"/>
  <c r="Y4835" i="2"/>
  <c r="X4835" i="2"/>
  <c r="Z4834" i="2"/>
  <c r="Y4834" i="2"/>
  <c r="X4834" i="2"/>
  <c r="Z4833" i="2"/>
  <c r="Y4833" i="2"/>
  <c r="X4833" i="2"/>
  <c r="Z4832" i="2"/>
  <c r="Y4832" i="2"/>
  <c r="X4832" i="2"/>
  <c r="Z4831" i="2"/>
  <c r="Y4831" i="2"/>
  <c r="X4831" i="2"/>
  <c r="Z4830" i="2"/>
  <c r="Y4830" i="2"/>
  <c r="X4830" i="2"/>
  <c r="Z4829" i="2"/>
  <c r="Y4829" i="2"/>
  <c r="X4829" i="2"/>
  <c r="Z4828" i="2"/>
  <c r="Y4828" i="2"/>
  <c r="X4828" i="2"/>
  <c r="Z4827" i="2"/>
  <c r="Y4827" i="2"/>
  <c r="X4827" i="2"/>
  <c r="Z4826" i="2"/>
  <c r="Y4826" i="2"/>
  <c r="X4826" i="2"/>
  <c r="Z4825" i="2"/>
  <c r="Y4825" i="2"/>
  <c r="X4825" i="2"/>
  <c r="Z4824" i="2"/>
  <c r="Y4824" i="2"/>
  <c r="X4824" i="2"/>
  <c r="Z4823" i="2"/>
  <c r="Y4823" i="2"/>
  <c r="X4823" i="2"/>
  <c r="Z4822" i="2"/>
  <c r="Y4822" i="2"/>
  <c r="X4822" i="2"/>
  <c r="Z4821" i="2"/>
  <c r="Y4821" i="2"/>
  <c r="X4821" i="2"/>
  <c r="Z4820" i="2"/>
  <c r="Y4820" i="2"/>
  <c r="X4820" i="2"/>
  <c r="Z4819" i="2"/>
  <c r="Y4819" i="2"/>
  <c r="X4819" i="2"/>
  <c r="Z4818" i="2"/>
  <c r="Y4818" i="2"/>
  <c r="X4818" i="2"/>
  <c r="Z4817" i="2"/>
  <c r="Y4817" i="2"/>
  <c r="X4817" i="2"/>
  <c r="Z4816" i="2"/>
  <c r="Y4816" i="2"/>
  <c r="X4816" i="2"/>
  <c r="Z4815" i="2"/>
  <c r="Y4815" i="2"/>
  <c r="X4815" i="2"/>
  <c r="Z4814" i="2"/>
  <c r="Y4814" i="2"/>
  <c r="X4814" i="2"/>
  <c r="Z4813" i="2"/>
  <c r="Y4813" i="2"/>
  <c r="X4813" i="2"/>
  <c r="Z4812" i="2"/>
  <c r="Y4812" i="2"/>
  <c r="X4812" i="2"/>
  <c r="Z4811" i="2"/>
  <c r="Y4811" i="2"/>
  <c r="X4811" i="2"/>
  <c r="Z4810" i="2"/>
  <c r="Y4810" i="2"/>
  <c r="X4810" i="2"/>
  <c r="Z4809" i="2"/>
  <c r="Y4809" i="2"/>
  <c r="X4809" i="2"/>
  <c r="Z4808" i="2"/>
  <c r="Y4808" i="2"/>
  <c r="X4808" i="2"/>
  <c r="Z4807" i="2"/>
  <c r="Y4807" i="2"/>
  <c r="X4807" i="2"/>
  <c r="Z4806" i="2"/>
  <c r="Y4806" i="2"/>
  <c r="X4806" i="2"/>
  <c r="Z4805" i="2"/>
  <c r="Y4805" i="2"/>
  <c r="X4805" i="2"/>
  <c r="Z4804" i="2"/>
  <c r="Y4804" i="2"/>
  <c r="X4804" i="2"/>
  <c r="Z4803" i="2"/>
  <c r="Y4803" i="2"/>
  <c r="X4803" i="2"/>
  <c r="Z4802" i="2"/>
  <c r="Y4802" i="2"/>
  <c r="X4802" i="2"/>
  <c r="Z4801" i="2"/>
  <c r="Y4801" i="2"/>
  <c r="X4801" i="2"/>
  <c r="Z4800" i="2"/>
  <c r="Y4800" i="2"/>
  <c r="X4800" i="2"/>
  <c r="Z4799" i="2"/>
  <c r="Y4799" i="2"/>
  <c r="X4799" i="2"/>
  <c r="Z4798" i="2"/>
  <c r="Y4798" i="2"/>
  <c r="X4798" i="2"/>
  <c r="Z4797" i="2"/>
  <c r="Y4797" i="2"/>
  <c r="X4797" i="2"/>
  <c r="Z4796" i="2"/>
  <c r="Y4796" i="2"/>
  <c r="X4796" i="2"/>
  <c r="Z4795" i="2"/>
  <c r="Y4795" i="2"/>
  <c r="X4795" i="2"/>
  <c r="Z4794" i="2"/>
  <c r="Y4794" i="2"/>
  <c r="X4794" i="2"/>
  <c r="Z4793" i="2"/>
  <c r="Y4793" i="2"/>
  <c r="X4793" i="2"/>
  <c r="Z4792" i="2"/>
  <c r="Y4792" i="2"/>
  <c r="X4792" i="2"/>
  <c r="Z4791" i="2"/>
  <c r="Y4791" i="2"/>
  <c r="X4791" i="2"/>
  <c r="Z4790" i="2"/>
  <c r="Y4790" i="2"/>
  <c r="X4790" i="2"/>
  <c r="Z4789" i="2"/>
  <c r="Y4789" i="2"/>
  <c r="X4789" i="2"/>
  <c r="Z4788" i="2"/>
  <c r="Y4788" i="2"/>
  <c r="X4788" i="2"/>
  <c r="Z4787" i="2"/>
  <c r="Y4787" i="2"/>
  <c r="X4787" i="2"/>
  <c r="Z4786" i="2"/>
  <c r="Y4786" i="2"/>
  <c r="X4786" i="2"/>
  <c r="Z4785" i="2"/>
  <c r="Y4785" i="2"/>
  <c r="X4785" i="2"/>
  <c r="Z4784" i="2"/>
  <c r="Y4784" i="2"/>
  <c r="X4784" i="2"/>
  <c r="Z4783" i="2"/>
  <c r="Y4783" i="2"/>
  <c r="X4783" i="2"/>
  <c r="Z4782" i="2"/>
  <c r="Y4782" i="2"/>
  <c r="X4782" i="2"/>
  <c r="Z4781" i="2"/>
  <c r="Y4781" i="2"/>
  <c r="X4781" i="2"/>
  <c r="Z4780" i="2"/>
  <c r="Y4780" i="2"/>
  <c r="X4780" i="2"/>
  <c r="Z4779" i="2"/>
  <c r="Y4779" i="2"/>
  <c r="X4779" i="2"/>
  <c r="Z4778" i="2"/>
  <c r="Y4778" i="2"/>
  <c r="X4778" i="2"/>
  <c r="Z4777" i="2"/>
  <c r="Y4777" i="2"/>
  <c r="X4777" i="2"/>
  <c r="Z4776" i="2"/>
  <c r="Y4776" i="2"/>
  <c r="X4776" i="2"/>
  <c r="Z4775" i="2"/>
  <c r="Y4775" i="2"/>
  <c r="X4775" i="2"/>
  <c r="Z4774" i="2"/>
  <c r="Y4774" i="2"/>
  <c r="X4774" i="2"/>
  <c r="Z4773" i="2"/>
  <c r="Y4773" i="2"/>
  <c r="X4773" i="2"/>
  <c r="Z4772" i="2"/>
  <c r="Y4772" i="2"/>
  <c r="X4772" i="2"/>
  <c r="Z4771" i="2"/>
  <c r="Y4771" i="2"/>
  <c r="X4771" i="2"/>
  <c r="Z4770" i="2"/>
  <c r="Y4770" i="2"/>
  <c r="X4770" i="2"/>
  <c r="Z4769" i="2"/>
  <c r="Y4769" i="2"/>
  <c r="X4769" i="2"/>
  <c r="Z4768" i="2"/>
  <c r="Y4768" i="2"/>
  <c r="X4768" i="2"/>
  <c r="Z4767" i="2"/>
  <c r="Y4767" i="2"/>
  <c r="X4767" i="2"/>
  <c r="Z4766" i="2"/>
  <c r="Y4766" i="2"/>
  <c r="X4766" i="2"/>
  <c r="Z4765" i="2"/>
  <c r="Y4765" i="2"/>
  <c r="X4765" i="2"/>
  <c r="Z4764" i="2"/>
  <c r="Y4764" i="2"/>
  <c r="X4764" i="2"/>
  <c r="Z4763" i="2"/>
  <c r="Y4763" i="2"/>
  <c r="X4763" i="2"/>
  <c r="Z4762" i="2"/>
  <c r="Y4762" i="2"/>
  <c r="X4762" i="2"/>
  <c r="Z4761" i="2"/>
  <c r="Y4761" i="2"/>
  <c r="X4761" i="2"/>
  <c r="Z4760" i="2"/>
  <c r="Y4760" i="2"/>
  <c r="X4760" i="2"/>
  <c r="Z4759" i="2"/>
  <c r="Y4759" i="2"/>
  <c r="X4759" i="2"/>
  <c r="Z4758" i="2"/>
  <c r="Y4758" i="2"/>
  <c r="X4758" i="2"/>
  <c r="Z4757" i="2"/>
  <c r="Y4757" i="2"/>
  <c r="X4757" i="2"/>
  <c r="Z4756" i="2"/>
  <c r="Y4756" i="2"/>
  <c r="X4756" i="2"/>
  <c r="Z4755" i="2"/>
  <c r="Y4755" i="2"/>
  <c r="X4755" i="2"/>
  <c r="Z4754" i="2"/>
  <c r="Y4754" i="2"/>
  <c r="X4754" i="2"/>
  <c r="Z4753" i="2"/>
  <c r="Y4753" i="2"/>
  <c r="X4753" i="2"/>
  <c r="Z4752" i="2"/>
  <c r="Y4752" i="2"/>
  <c r="X4752" i="2"/>
  <c r="Z4751" i="2"/>
  <c r="Y4751" i="2"/>
  <c r="X4751" i="2"/>
  <c r="Z4750" i="2"/>
  <c r="Y4750" i="2"/>
  <c r="X4750" i="2"/>
  <c r="Z4749" i="2"/>
  <c r="Y4749" i="2"/>
  <c r="X4749" i="2"/>
  <c r="Z4748" i="2"/>
  <c r="Y4748" i="2"/>
  <c r="X4748" i="2"/>
  <c r="Z4747" i="2"/>
  <c r="Y4747" i="2"/>
  <c r="X4747" i="2"/>
  <c r="Z4746" i="2"/>
  <c r="Y4746" i="2"/>
  <c r="X4746" i="2"/>
  <c r="Z4745" i="2"/>
  <c r="Y4745" i="2"/>
  <c r="X4745" i="2"/>
  <c r="Z4744" i="2"/>
  <c r="Y4744" i="2"/>
  <c r="X4744" i="2"/>
  <c r="Z4743" i="2"/>
  <c r="Y4743" i="2"/>
  <c r="X4743" i="2"/>
  <c r="Z4742" i="2"/>
  <c r="Y4742" i="2"/>
  <c r="X4742" i="2"/>
  <c r="Z4741" i="2"/>
  <c r="Y4741" i="2"/>
  <c r="X4741" i="2"/>
  <c r="Z4740" i="2"/>
  <c r="Y4740" i="2"/>
  <c r="X4740" i="2"/>
  <c r="Z4739" i="2"/>
  <c r="Y4739" i="2"/>
  <c r="X4739" i="2"/>
  <c r="Z4738" i="2"/>
  <c r="Y4738" i="2"/>
  <c r="X4738" i="2"/>
  <c r="Z4737" i="2"/>
  <c r="Y4737" i="2"/>
  <c r="X4737" i="2"/>
  <c r="Z4736" i="2"/>
  <c r="Y4736" i="2"/>
  <c r="X4736" i="2"/>
  <c r="Z4735" i="2"/>
  <c r="Y4735" i="2"/>
  <c r="X4735" i="2"/>
  <c r="Z4734" i="2"/>
  <c r="Y4734" i="2"/>
  <c r="X4734" i="2"/>
  <c r="Z4733" i="2"/>
  <c r="Y4733" i="2"/>
  <c r="X4733" i="2"/>
  <c r="Z4732" i="2"/>
  <c r="Y4732" i="2"/>
  <c r="X4732" i="2"/>
  <c r="Z4731" i="2"/>
  <c r="Y4731" i="2"/>
  <c r="X4731" i="2"/>
  <c r="Z4730" i="2"/>
  <c r="Y4730" i="2"/>
  <c r="X4730" i="2"/>
  <c r="Z4729" i="2"/>
  <c r="Y4729" i="2"/>
  <c r="X4729" i="2"/>
  <c r="Z4728" i="2"/>
  <c r="Y4728" i="2"/>
  <c r="X4728" i="2"/>
  <c r="Z4727" i="2"/>
  <c r="Y4727" i="2"/>
  <c r="X4727" i="2"/>
  <c r="Z4726" i="2"/>
  <c r="Y4726" i="2"/>
  <c r="X4726" i="2"/>
  <c r="Z4725" i="2"/>
  <c r="Y4725" i="2"/>
  <c r="X4725" i="2"/>
  <c r="Z4724" i="2"/>
  <c r="Y4724" i="2"/>
  <c r="X4724" i="2"/>
  <c r="Z4723" i="2"/>
  <c r="Y4723" i="2"/>
  <c r="X4723" i="2"/>
  <c r="Z4722" i="2"/>
  <c r="Y4722" i="2"/>
  <c r="X4722" i="2"/>
  <c r="Z4721" i="2"/>
  <c r="Y4721" i="2"/>
  <c r="X4721" i="2"/>
  <c r="Z4720" i="2"/>
  <c r="Y4720" i="2"/>
  <c r="X4720" i="2"/>
  <c r="Z4719" i="2"/>
  <c r="Y4719" i="2"/>
  <c r="X4719" i="2"/>
  <c r="Z4718" i="2"/>
  <c r="Y4718" i="2"/>
  <c r="X4718" i="2"/>
  <c r="Z4717" i="2"/>
  <c r="Y4717" i="2"/>
  <c r="X4717" i="2"/>
  <c r="Z4716" i="2"/>
  <c r="Y4716" i="2"/>
  <c r="X4716" i="2"/>
  <c r="Z4715" i="2"/>
  <c r="Y4715" i="2"/>
  <c r="X4715" i="2"/>
  <c r="Z4714" i="2"/>
  <c r="Y4714" i="2"/>
  <c r="X4714" i="2"/>
  <c r="Z4713" i="2"/>
  <c r="Y4713" i="2"/>
  <c r="X4713" i="2"/>
  <c r="Z4712" i="2"/>
  <c r="Y4712" i="2"/>
  <c r="X4712" i="2"/>
  <c r="Z4711" i="2"/>
  <c r="Y4711" i="2"/>
  <c r="X4711" i="2"/>
  <c r="Z4710" i="2"/>
  <c r="Y4710" i="2"/>
  <c r="X4710" i="2"/>
  <c r="Z4709" i="2"/>
  <c r="Y4709" i="2"/>
  <c r="X4709" i="2"/>
  <c r="Z4708" i="2"/>
  <c r="Y4708" i="2"/>
  <c r="X4708" i="2"/>
  <c r="Z4707" i="2"/>
  <c r="Y4707" i="2"/>
  <c r="X4707" i="2"/>
  <c r="Z4706" i="2"/>
  <c r="Y4706" i="2"/>
  <c r="X4706" i="2"/>
  <c r="Z4705" i="2"/>
  <c r="Y4705" i="2"/>
  <c r="X4705" i="2"/>
  <c r="Z4704" i="2"/>
  <c r="Y4704" i="2"/>
  <c r="X4704" i="2"/>
  <c r="Z4703" i="2"/>
  <c r="Y4703" i="2"/>
  <c r="X4703" i="2"/>
  <c r="Z4702" i="2"/>
  <c r="Y4702" i="2"/>
  <c r="X4702" i="2"/>
  <c r="Z4701" i="2"/>
  <c r="Y4701" i="2"/>
  <c r="X4701" i="2"/>
  <c r="Z4700" i="2"/>
  <c r="Y4700" i="2"/>
  <c r="X4700" i="2"/>
  <c r="Z4699" i="2"/>
  <c r="Y4699" i="2"/>
  <c r="X4699" i="2"/>
  <c r="Z4698" i="2"/>
  <c r="Y4698" i="2"/>
  <c r="X4698" i="2"/>
  <c r="Z4697" i="2"/>
  <c r="Y4697" i="2"/>
  <c r="X4697" i="2"/>
  <c r="Z4696" i="2"/>
  <c r="Y4696" i="2"/>
  <c r="X4696" i="2"/>
  <c r="Z4695" i="2"/>
  <c r="Y4695" i="2"/>
  <c r="X4695" i="2"/>
  <c r="Z4694" i="2"/>
  <c r="Y4694" i="2"/>
  <c r="X4694" i="2"/>
  <c r="Z4693" i="2"/>
  <c r="Y4693" i="2"/>
  <c r="X4693" i="2"/>
  <c r="Z4692" i="2"/>
  <c r="Y4692" i="2"/>
  <c r="X4692" i="2"/>
  <c r="Z4691" i="2"/>
  <c r="Y4691" i="2"/>
  <c r="X4691" i="2"/>
  <c r="Z4690" i="2"/>
  <c r="Y4690" i="2"/>
  <c r="X4690" i="2"/>
  <c r="Z4689" i="2"/>
  <c r="Y4689" i="2"/>
  <c r="X4689" i="2"/>
  <c r="Z4688" i="2"/>
  <c r="Y4688" i="2"/>
  <c r="X4688" i="2"/>
  <c r="Z4687" i="2"/>
  <c r="Y4687" i="2"/>
  <c r="X4687" i="2"/>
  <c r="Z4686" i="2"/>
  <c r="Y4686" i="2"/>
  <c r="X4686" i="2"/>
  <c r="Z4685" i="2"/>
  <c r="Y4685" i="2"/>
  <c r="X4685" i="2"/>
  <c r="Z4684" i="2"/>
  <c r="Y4684" i="2"/>
  <c r="X4684" i="2"/>
  <c r="Z4683" i="2"/>
  <c r="Y4683" i="2"/>
  <c r="X4683" i="2"/>
  <c r="Z4682" i="2"/>
  <c r="Y4682" i="2"/>
  <c r="X4682" i="2"/>
  <c r="Z4681" i="2"/>
  <c r="Y4681" i="2"/>
  <c r="X4681" i="2"/>
  <c r="Z4680" i="2"/>
  <c r="Y4680" i="2"/>
  <c r="X4680" i="2"/>
  <c r="Z4679" i="2"/>
  <c r="Y4679" i="2"/>
  <c r="X4679" i="2"/>
  <c r="Z4678" i="2"/>
  <c r="Y4678" i="2"/>
  <c r="X4678" i="2"/>
  <c r="Z4677" i="2"/>
  <c r="Y4677" i="2"/>
  <c r="X4677" i="2"/>
  <c r="Z4676" i="2"/>
  <c r="Y4676" i="2"/>
  <c r="X4676" i="2"/>
  <c r="Z4675" i="2"/>
  <c r="Y4675" i="2"/>
  <c r="X4675" i="2"/>
  <c r="Z4674" i="2"/>
  <c r="Y4674" i="2"/>
  <c r="X4674" i="2"/>
  <c r="Z4673" i="2"/>
  <c r="Y4673" i="2"/>
  <c r="X4673" i="2"/>
  <c r="Z4672" i="2"/>
  <c r="Y4672" i="2"/>
  <c r="X4672" i="2"/>
  <c r="Z4671" i="2"/>
  <c r="Y4671" i="2"/>
  <c r="X4671" i="2"/>
  <c r="Z4670" i="2"/>
  <c r="Y4670" i="2"/>
  <c r="X4670" i="2"/>
  <c r="Z4669" i="2"/>
  <c r="Y4669" i="2"/>
  <c r="X4669" i="2"/>
  <c r="Z4668" i="2"/>
  <c r="Y4668" i="2"/>
  <c r="X4668" i="2"/>
  <c r="Z4667" i="2"/>
  <c r="Y4667" i="2"/>
  <c r="X4667" i="2"/>
  <c r="Z4666" i="2"/>
  <c r="Y4666" i="2"/>
  <c r="X4666" i="2"/>
  <c r="Z4665" i="2"/>
  <c r="Y4665" i="2"/>
  <c r="X4665" i="2"/>
  <c r="Z4664" i="2"/>
  <c r="Y4664" i="2"/>
  <c r="X4664" i="2"/>
  <c r="Z4663" i="2"/>
  <c r="Y4663" i="2"/>
  <c r="X4663" i="2"/>
  <c r="Z4662" i="2"/>
  <c r="Y4662" i="2"/>
  <c r="X4662" i="2"/>
  <c r="Z4661" i="2"/>
  <c r="Y4661" i="2"/>
  <c r="X4661" i="2"/>
  <c r="Z4660" i="2"/>
  <c r="Y4660" i="2"/>
  <c r="X4660" i="2"/>
  <c r="Z4659" i="2"/>
  <c r="Y4659" i="2"/>
  <c r="X4659" i="2"/>
  <c r="Z4658" i="2"/>
  <c r="Y4658" i="2"/>
  <c r="X4658" i="2"/>
  <c r="Z4657" i="2"/>
  <c r="Y4657" i="2"/>
  <c r="X4657" i="2"/>
  <c r="Z4656" i="2"/>
  <c r="Y4656" i="2"/>
  <c r="X4656" i="2"/>
  <c r="Z4655" i="2"/>
  <c r="Y4655" i="2"/>
  <c r="X4655" i="2"/>
  <c r="Z4654" i="2"/>
  <c r="Y4654" i="2"/>
  <c r="X4654" i="2"/>
  <c r="Z4653" i="2"/>
  <c r="Y4653" i="2"/>
  <c r="X4653" i="2"/>
  <c r="Z4652" i="2"/>
  <c r="Y4652" i="2"/>
  <c r="X4652" i="2"/>
  <c r="Z4651" i="2"/>
  <c r="Y4651" i="2"/>
  <c r="X4651" i="2"/>
  <c r="Z4650" i="2"/>
  <c r="Y4650" i="2"/>
  <c r="X4650" i="2"/>
  <c r="Z4649" i="2"/>
  <c r="Y4649" i="2"/>
  <c r="X4649" i="2"/>
  <c r="Z4648" i="2"/>
  <c r="Y4648" i="2"/>
  <c r="X4648" i="2"/>
  <c r="Z4647" i="2"/>
  <c r="Y4647" i="2"/>
  <c r="X4647" i="2"/>
  <c r="Z4646" i="2"/>
  <c r="Y4646" i="2"/>
  <c r="X4646" i="2"/>
  <c r="Z4645" i="2"/>
  <c r="Y4645" i="2"/>
  <c r="X4645" i="2"/>
  <c r="Z4644" i="2"/>
  <c r="Y4644" i="2"/>
  <c r="X4644" i="2"/>
  <c r="Z4643" i="2"/>
  <c r="Y4643" i="2"/>
  <c r="X4643" i="2"/>
  <c r="Z4642" i="2"/>
  <c r="Y4642" i="2"/>
  <c r="X4642" i="2"/>
  <c r="Z4641" i="2"/>
  <c r="Y4641" i="2"/>
  <c r="X4641" i="2"/>
  <c r="Z4640" i="2"/>
  <c r="Y4640" i="2"/>
  <c r="X4640" i="2"/>
  <c r="Z4639" i="2"/>
  <c r="Y4639" i="2"/>
  <c r="X4639" i="2"/>
  <c r="Z4638" i="2"/>
  <c r="Y4638" i="2"/>
  <c r="X4638" i="2"/>
  <c r="Z4637" i="2"/>
  <c r="Y4637" i="2"/>
  <c r="X4637" i="2"/>
  <c r="Z4636" i="2"/>
  <c r="Y4636" i="2"/>
  <c r="X4636" i="2"/>
  <c r="Z4635" i="2"/>
  <c r="Y4635" i="2"/>
  <c r="X4635" i="2"/>
  <c r="Z4634" i="2"/>
  <c r="Y4634" i="2"/>
  <c r="X4634" i="2"/>
  <c r="Z4633" i="2"/>
  <c r="Y4633" i="2"/>
  <c r="X4633" i="2"/>
  <c r="Z4632" i="2"/>
  <c r="Y4632" i="2"/>
  <c r="X4632" i="2"/>
  <c r="Z4631" i="2"/>
  <c r="Y4631" i="2"/>
  <c r="X4631" i="2"/>
  <c r="Z4630" i="2"/>
  <c r="Y4630" i="2"/>
  <c r="X4630" i="2"/>
  <c r="Z4629" i="2"/>
  <c r="Y4629" i="2"/>
  <c r="X4629" i="2"/>
  <c r="Z4628" i="2"/>
  <c r="Y4628" i="2"/>
  <c r="X4628" i="2"/>
  <c r="Z4627" i="2"/>
  <c r="Y4627" i="2"/>
  <c r="X4627" i="2"/>
  <c r="Z4626" i="2"/>
  <c r="Y4626" i="2"/>
  <c r="X4626" i="2"/>
  <c r="Z4625" i="2"/>
  <c r="Y4625" i="2"/>
  <c r="X4625" i="2"/>
  <c r="Z4624" i="2"/>
  <c r="Y4624" i="2"/>
  <c r="X4624" i="2"/>
  <c r="Z4623" i="2"/>
  <c r="Y4623" i="2"/>
  <c r="X4623" i="2"/>
  <c r="Z4622" i="2"/>
  <c r="Y4622" i="2"/>
  <c r="X4622" i="2"/>
  <c r="Z4621" i="2"/>
  <c r="Y4621" i="2"/>
  <c r="X4621" i="2"/>
  <c r="Z4620" i="2"/>
  <c r="Y4620" i="2"/>
  <c r="X4620" i="2"/>
  <c r="Z4619" i="2"/>
  <c r="Y4619" i="2"/>
  <c r="X4619" i="2"/>
  <c r="Z4618" i="2"/>
  <c r="Y4618" i="2"/>
  <c r="X4618" i="2"/>
  <c r="Z4617" i="2"/>
  <c r="Y4617" i="2"/>
  <c r="X4617" i="2"/>
  <c r="Z4616" i="2"/>
  <c r="Y4616" i="2"/>
  <c r="X4616" i="2"/>
  <c r="Z4615" i="2"/>
  <c r="Y4615" i="2"/>
  <c r="X4615" i="2"/>
  <c r="Z4614" i="2"/>
  <c r="Y4614" i="2"/>
  <c r="X4614" i="2"/>
  <c r="Z4613" i="2"/>
  <c r="Y4613" i="2"/>
  <c r="X4613" i="2"/>
  <c r="Z4612" i="2"/>
  <c r="Y4612" i="2"/>
  <c r="X4612" i="2"/>
  <c r="Z4611" i="2"/>
  <c r="Y4611" i="2"/>
  <c r="X4611" i="2"/>
  <c r="Z4610" i="2"/>
  <c r="Y4610" i="2"/>
  <c r="X4610" i="2"/>
  <c r="Z4609" i="2"/>
  <c r="Y4609" i="2"/>
  <c r="X4609" i="2"/>
  <c r="Z4608" i="2"/>
  <c r="Y4608" i="2"/>
  <c r="X4608" i="2"/>
  <c r="Z4607" i="2"/>
  <c r="Y4607" i="2"/>
  <c r="X4607" i="2"/>
  <c r="Z4606" i="2"/>
  <c r="Y4606" i="2"/>
  <c r="X4606" i="2"/>
  <c r="Z4605" i="2"/>
  <c r="Y4605" i="2"/>
  <c r="X4605" i="2"/>
  <c r="Z4604" i="2"/>
  <c r="Y4604" i="2"/>
  <c r="X4604" i="2"/>
  <c r="Z4603" i="2"/>
  <c r="Y4603" i="2"/>
  <c r="X4603" i="2"/>
  <c r="Z4602" i="2"/>
  <c r="Y4602" i="2"/>
  <c r="X4602" i="2"/>
  <c r="Z4601" i="2"/>
  <c r="Y4601" i="2"/>
  <c r="X4601" i="2"/>
  <c r="Z4600" i="2"/>
  <c r="Y4600" i="2"/>
  <c r="X4600" i="2"/>
  <c r="Z4599" i="2"/>
  <c r="Y4599" i="2"/>
  <c r="X4599" i="2"/>
  <c r="Z4598" i="2"/>
  <c r="Y4598" i="2"/>
  <c r="X4598" i="2"/>
  <c r="Z4597" i="2"/>
  <c r="Y4597" i="2"/>
  <c r="X4597" i="2"/>
  <c r="Z4596" i="2"/>
  <c r="Y4596" i="2"/>
  <c r="X4596" i="2"/>
  <c r="Z4595" i="2"/>
  <c r="Y4595" i="2"/>
  <c r="X4595" i="2"/>
  <c r="Z4594" i="2"/>
  <c r="Y4594" i="2"/>
  <c r="X4594" i="2"/>
  <c r="Z4593" i="2"/>
  <c r="Y4593" i="2"/>
  <c r="X4593" i="2"/>
  <c r="Z4592" i="2"/>
  <c r="Y4592" i="2"/>
  <c r="X4592" i="2"/>
  <c r="Z4591" i="2"/>
  <c r="Y4591" i="2"/>
  <c r="X4591" i="2"/>
  <c r="Z4590" i="2"/>
  <c r="Y4590" i="2"/>
  <c r="X4590" i="2"/>
  <c r="Z4589" i="2"/>
  <c r="Y4589" i="2"/>
  <c r="X4589" i="2"/>
  <c r="Z4588" i="2"/>
  <c r="Y4588" i="2"/>
  <c r="X4588" i="2"/>
  <c r="Z4587" i="2"/>
  <c r="Y4587" i="2"/>
  <c r="X4587" i="2"/>
  <c r="Z4586" i="2"/>
  <c r="Y4586" i="2"/>
  <c r="X4586" i="2"/>
  <c r="Z4585" i="2"/>
  <c r="Y4585" i="2"/>
  <c r="X4585" i="2"/>
  <c r="Z4584" i="2"/>
  <c r="Y4584" i="2"/>
  <c r="X4584" i="2"/>
  <c r="Z4583" i="2"/>
  <c r="Y4583" i="2"/>
  <c r="X4583" i="2"/>
  <c r="Z4582" i="2"/>
  <c r="Y4582" i="2"/>
  <c r="X4582" i="2"/>
  <c r="Z4581" i="2"/>
  <c r="Y4581" i="2"/>
  <c r="X4581" i="2"/>
  <c r="Z4580" i="2"/>
  <c r="Y4580" i="2"/>
  <c r="X4580" i="2"/>
  <c r="Z4579" i="2"/>
  <c r="Y4579" i="2"/>
  <c r="X4579" i="2"/>
  <c r="Z4578" i="2"/>
  <c r="Y4578" i="2"/>
  <c r="X4578" i="2"/>
  <c r="Z4577" i="2"/>
  <c r="Y4577" i="2"/>
  <c r="X4577" i="2"/>
  <c r="Z4576" i="2"/>
  <c r="Y4576" i="2"/>
  <c r="X4576" i="2"/>
  <c r="Z4575" i="2"/>
  <c r="Y4575" i="2"/>
  <c r="X4575" i="2"/>
  <c r="Z4574" i="2"/>
  <c r="Y4574" i="2"/>
  <c r="X4574" i="2"/>
  <c r="Z4573" i="2"/>
  <c r="Y4573" i="2"/>
  <c r="X4573" i="2"/>
  <c r="Z4572" i="2"/>
  <c r="Y4572" i="2"/>
  <c r="X4572" i="2"/>
  <c r="Z4571" i="2"/>
  <c r="Y4571" i="2"/>
  <c r="X4571" i="2"/>
  <c r="Z4570" i="2"/>
  <c r="Y4570" i="2"/>
  <c r="X4570" i="2"/>
  <c r="Z4569" i="2"/>
  <c r="Y4569" i="2"/>
  <c r="X4569" i="2"/>
  <c r="Z4568" i="2"/>
  <c r="Y4568" i="2"/>
  <c r="X4568" i="2"/>
  <c r="Z4567" i="2"/>
  <c r="Y4567" i="2"/>
  <c r="X4567" i="2"/>
  <c r="Z4566" i="2"/>
  <c r="Y4566" i="2"/>
  <c r="X4566" i="2"/>
  <c r="Z4565" i="2"/>
  <c r="Y4565" i="2"/>
  <c r="X4565" i="2"/>
  <c r="Z4564" i="2"/>
  <c r="Y4564" i="2"/>
  <c r="X4564" i="2"/>
  <c r="Z4563" i="2"/>
  <c r="Y4563" i="2"/>
  <c r="X4563" i="2"/>
  <c r="Z4562" i="2"/>
  <c r="Y4562" i="2"/>
  <c r="X4562" i="2"/>
  <c r="Z4561" i="2"/>
  <c r="Y4561" i="2"/>
  <c r="X4561" i="2"/>
  <c r="Z4560" i="2"/>
  <c r="Y4560" i="2"/>
  <c r="X4560" i="2"/>
  <c r="Z4559" i="2"/>
  <c r="Y4559" i="2"/>
  <c r="X4559" i="2"/>
  <c r="Z4558" i="2"/>
  <c r="Y4558" i="2"/>
  <c r="X4558" i="2"/>
  <c r="Z4557" i="2"/>
  <c r="Y4557" i="2"/>
  <c r="X4557" i="2"/>
  <c r="Z4556" i="2"/>
  <c r="Y4556" i="2"/>
  <c r="X4556" i="2"/>
  <c r="Z4555" i="2"/>
  <c r="Y4555" i="2"/>
  <c r="X4555" i="2"/>
  <c r="Z4554" i="2"/>
  <c r="Y4554" i="2"/>
  <c r="X4554" i="2"/>
  <c r="Z4553" i="2"/>
  <c r="Y4553" i="2"/>
  <c r="X4553" i="2"/>
  <c r="Z4552" i="2"/>
  <c r="Y4552" i="2"/>
  <c r="X4552" i="2"/>
  <c r="Z4551" i="2"/>
  <c r="Y4551" i="2"/>
  <c r="X4551" i="2"/>
  <c r="Z4550" i="2"/>
  <c r="Y4550" i="2"/>
  <c r="X4550" i="2"/>
  <c r="Z4549" i="2"/>
  <c r="Y4549" i="2"/>
  <c r="X4549" i="2"/>
  <c r="Z4548" i="2"/>
  <c r="Y4548" i="2"/>
  <c r="X4548" i="2"/>
  <c r="Z4547" i="2"/>
  <c r="Y4547" i="2"/>
  <c r="X4547" i="2"/>
  <c r="Z4546" i="2"/>
  <c r="Y4546" i="2"/>
  <c r="X4546" i="2"/>
  <c r="Z4545" i="2"/>
  <c r="Y4545" i="2"/>
  <c r="X4545" i="2"/>
  <c r="Z4544" i="2"/>
  <c r="Y4544" i="2"/>
  <c r="X4544" i="2"/>
  <c r="Z4543" i="2"/>
  <c r="Y4543" i="2"/>
  <c r="X4543" i="2"/>
  <c r="Z4542" i="2"/>
  <c r="Y4542" i="2"/>
  <c r="X4542" i="2"/>
  <c r="Z4541" i="2"/>
  <c r="Y4541" i="2"/>
  <c r="X4541" i="2"/>
  <c r="Z4540" i="2"/>
  <c r="Y4540" i="2"/>
  <c r="X4540" i="2"/>
  <c r="Z4539" i="2"/>
  <c r="Y4539" i="2"/>
  <c r="X4539" i="2"/>
  <c r="Z4538" i="2"/>
  <c r="Y4538" i="2"/>
  <c r="X4538" i="2"/>
  <c r="Z4537" i="2"/>
  <c r="Y4537" i="2"/>
  <c r="X4537" i="2"/>
  <c r="Z4536" i="2"/>
  <c r="Y4536" i="2"/>
  <c r="X4536" i="2"/>
  <c r="Z4535" i="2"/>
  <c r="Y4535" i="2"/>
  <c r="X4535" i="2"/>
  <c r="Z4534" i="2"/>
  <c r="Y4534" i="2"/>
  <c r="X4534" i="2"/>
  <c r="Z4533" i="2"/>
  <c r="Y4533" i="2"/>
  <c r="X4533" i="2"/>
  <c r="Z4532" i="2"/>
  <c r="Y4532" i="2"/>
  <c r="X4532" i="2"/>
  <c r="Z4531" i="2"/>
  <c r="Y4531" i="2"/>
  <c r="X4531" i="2"/>
  <c r="Z4530" i="2"/>
  <c r="Y4530" i="2"/>
  <c r="X4530" i="2"/>
  <c r="Z4529" i="2"/>
  <c r="Y4529" i="2"/>
  <c r="X4529" i="2"/>
  <c r="Z4528" i="2"/>
  <c r="Y4528" i="2"/>
  <c r="X4528" i="2"/>
  <c r="Z4527" i="2"/>
  <c r="Y4527" i="2"/>
  <c r="X4527" i="2"/>
  <c r="Z4526" i="2"/>
  <c r="Y4526" i="2"/>
  <c r="X4526" i="2"/>
  <c r="Z4525" i="2"/>
  <c r="Y4525" i="2"/>
  <c r="X4525" i="2"/>
  <c r="Z4524" i="2"/>
  <c r="Y4524" i="2"/>
  <c r="X4524" i="2"/>
  <c r="Z4523" i="2"/>
  <c r="Y4523" i="2"/>
  <c r="X4523" i="2"/>
  <c r="Z4522" i="2"/>
  <c r="Y4522" i="2"/>
  <c r="X4522" i="2"/>
  <c r="Z4521" i="2"/>
  <c r="Y4521" i="2"/>
  <c r="X4521" i="2"/>
  <c r="Z4520" i="2"/>
  <c r="Y4520" i="2"/>
  <c r="X4520" i="2"/>
  <c r="Z4519" i="2"/>
  <c r="Y4519" i="2"/>
  <c r="X4519" i="2"/>
  <c r="Z4518" i="2"/>
  <c r="Y4518" i="2"/>
  <c r="X4518" i="2"/>
  <c r="Z4517" i="2"/>
  <c r="Y4517" i="2"/>
  <c r="X4517" i="2"/>
  <c r="Z4516" i="2"/>
  <c r="Y4516" i="2"/>
  <c r="X4516" i="2"/>
  <c r="Z4515" i="2"/>
  <c r="Y4515" i="2"/>
  <c r="X4515" i="2"/>
  <c r="Z4514" i="2"/>
  <c r="Y4514" i="2"/>
  <c r="X4514" i="2"/>
  <c r="Z4513" i="2"/>
  <c r="Y4513" i="2"/>
  <c r="X4513" i="2"/>
  <c r="Z4512" i="2"/>
  <c r="Y4512" i="2"/>
  <c r="X4512" i="2"/>
  <c r="Z4511" i="2"/>
  <c r="Y4511" i="2"/>
  <c r="X4511" i="2"/>
  <c r="Z4510" i="2"/>
  <c r="Y4510" i="2"/>
  <c r="X4510" i="2"/>
  <c r="Z4509" i="2"/>
  <c r="Y4509" i="2"/>
  <c r="X4509" i="2"/>
  <c r="Z4508" i="2"/>
  <c r="Y4508" i="2"/>
  <c r="X4508" i="2"/>
  <c r="Z4507" i="2"/>
  <c r="Y4507" i="2"/>
  <c r="X4507" i="2"/>
  <c r="Z4506" i="2"/>
  <c r="Y4506" i="2"/>
  <c r="X4506" i="2"/>
  <c r="Z4505" i="2"/>
  <c r="Y4505" i="2"/>
  <c r="X4505" i="2"/>
  <c r="Z4504" i="2"/>
  <c r="Y4504" i="2"/>
  <c r="X4504" i="2"/>
  <c r="Z4503" i="2"/>
  <c r="Y4503" i="2"/>
  <c r="X4503" i="2"/>
  <c r="Z4502" i="2"/>
  <c r="Y4502" i="2"/>
  <c r="X4502" i="2"/>
  <c r="Z4501" i="2"/>
  <c r="Y4501" i="2"/>
  <c r="X4501" i="2"/>
  <c r="Z4500" i="2"/>
  <c r="Y4500" i="2"/>
  <c r="X4500" i="2"/>
  <c r="Z4499" i="2"/>
  <c r="Y4499" i="2"/>
  <c r="X4499" i="2"/>
  <c r="Z4498" i="2"/>
  <c r="Y4498" i="2"/>
  <c r="X4498" i="2"/>
  <c r="Z4497" i="2"/>
  <c r="Y4497" i="2"/>
  <c r="X4497" i="2"/>
  <c r="Z4496" i="2"/>
  <c r="Y4496" i="2"/>
  <c r="X4496" i="2"/>
  <c r="Z4495" i="2"/>
  <c r="Y4495" i="2"/>
  <c r="X4495" i="2"/>
  <c r="Z4494" i="2"/>
  <c r="Y4494" i="2"/>
  <c r="X4494" i="2"/>
  <c r="Z4493" i="2"/>
  <c r="Y4493" i="2"/>
  <c r="X4493" i="2"/>
  <c r="Z4492" i="2"/>
  <c r="Y4492" i="2"/>
  <c r="X4492" i="2"/>
  <c r="Z4491" i="2"/>
  <c r="Y4491" i="2"/>
  <c r="X4491" i="2"/>
  <c r="Z4490" i="2"/>
  <c r="Y4490" i="2"/>
  <c r="X4490" i="2"/>
  <c r="Z4489" i="2"/>
  <c r="Y4489" i="2"/>
  <c r="X4489" i="2"/>
  <c r="Z4488" i="2"/>
  <c r="Y4488" i="2"/>
  <c r="X4488" i="2"/>
  <c r="Z4487" i="2"/>
  <c r="Y4487" i="2"/>
  <c r="X4487" i="2"/>
  <c r="Z4486" i="2"/>
  <c r="Y4486" i="2"/>
  <c r="X4486" i="2"/>
  <c r="Z4485" i="2"/>
  <c r="Y4485" i="2"/>
  <c r="X4485" i="2"/>
  <c r="Z4484" i="2"/>
  <c r="Y4484" i="2"/>
  <c r="X4484" i="2"/>
  <c r="Z4483" i="2"/>
  <c r="Y4483" i="2"/>
  <c r="X4483" i="2"/>
  <c r="Z4482" i="2"/>
  <c r="Y4482" i="2"/>
  <c r="X4482" i="2"/>
  <c r="Z4481" i="2"/>
  <c r="Y4481" i="2"/>
  <c r="X4481" i="2"/>
  <c r="Z4480" i="2"/>
  <c r="Y4480" i="2"/>
  <c r="X4480" i="2"/>
  <c r="Z4479" i="2"/>
  <c r="Y4479" i="2"/>
  <c r="X4479" i="2"/>
  <c r="Z4478" i="2"/>
  <c r="Y4478" i="2"/>
  <c r="X4478" i="2"/>
  <c r="Z4477" i="2"/>
  <c r="Y4477" i="2"/>
  <c r="X4477" i="2"/>
  <c r="Z4476" i="2"/>
  <c r="Y4476" i="2"/>
  <c r="X4476" i="2"/>
  <c r="Z4475" i="2"/>
  <c r="Y4475" i="2"/>
  <c r="X4475" i="2"/>
  <c r="Z4474" i="2"/>
  <c r="Y4474" i="2"/>
  <c r="X4474" i="2"/>
  <c r="Z4473" i="2"/>
  <c r="Y4473" i="2"/>
  <c r="X4473" i="2"/>
  <c r="Z4472" i="2"/>
  <c r="Y4472" i="2"/>
  <c r="X4472" i="2"/>
  <c r="Z4471" i="2"/>
  <c r="Y4471" i="2"/>
  <c r="X4471" i="2"/>
  <c r="Z4470" i="2"/>
  <c r="Y4470" i="2"/>
  <c r="X4470" i="2"/>
  <c r="Z4469" i="2"/>
  <c r="Y4469" i="2"/>
  <c r="X4469" i="2"/>
  <c r="Z4468" i="2"/>
  <c r="Y4468" i="2"/>
  <c r="X4468" i="2"/>
  <c r="Z4467" i="2"/>
  <c r="Y4467" i="2"/>
  <c r="X4467" i="2"/>
  <c r="Z4466" i="2"/>
  <c r="Y4466" i="2"/>
  <c r="X4466" i="2"/>
  <c r="Z4465" i="2"/>
  <c r="Y4465" i="2"/>
  <c r="X4465" i="2"/>
  <c r="Z4464" i="2"/>
  <c r="Y4464" i="2"/>
  <c r="X4464" i="2"/>
  <c r="Z4463" i="2"/>
  <c r="Y4463" i="2"/>
  <c r="X4463" i="2"/>
  <c r="Z4462" i="2"/>
  <c r="Y4462" i="2"/>
  <c r="X4462" i="2"/>
  <c r="Z4461" i="2"/>
  <c r="Y4461" i="2"/>
  <c r="X4461" i="2"/>
  <c r="Z4460" i="2"/>
  <c r="Y4460" i="2"/>
  <c r="X4460" i="2"/>
  <c r="Z4459" i="2"/>
  <c r="Y4459" i="2"/>
  <c r="X4459" i="2"/>
  <c r="Z4458" i="2"/>
  <c r="Y4458" i="2"/>
  <c r="X4458" i="2"/>
  <c r="Z4457" i="2"/>
  <c r="Y4457" i="2"/>
  <c r="X4457" i="2"/>
  <c r="Z4456" i="2"/>
  <c r="Y4456" i="2"/>
  <c r="X4456" i="2"/>
  <c r="Z4455" i="2"/>
  <c r="Y4455" i="2"/>
  <c r="X4455" i="2"/>
  <c r="Z4454" i="2"/>
  <c r="Y4454" i="2"/>
  <c r="X4454" i="2"/>
  <c r="Z4453" i="2"/>
  <c r="Y4453" i="2"/>
  <c r="X4453" i="2"/>
  <c r="Z4452" i="2"/>
  <c r="Y4452" i="2"/>
  <c r="X4452" i="2"/>
  <c r="Z4451" i="2"/>
  <c r="Y4451" i="2"/>
  <c r="X4451" i="2"/>
  <c r="Z4450" i="2"/>
  <c r="Y4450" i="2"/>
  <c r="X4450" i="2"/>
  <c r="Z4449" i="2"/>
  <c r="Y4449" i="2"/>
  <c r="X4449" i="2"/>
  <c r="Z4448" i="2"/>
  <c r="Y4448" i="2"/>
  <c r="X4448" i="2"/>
  <c r="Z4447" i="2"/>
  <c r="Y4447" i="2"/>
  <c r="X4447" i="2"/>
  <c r="Z4446" i="2"/>
  <c r="Y4446" i="2"/>
  <c r="X4446" i="2"/>
  <c r="Z4445" i="2"/>
  <c r="Y4445" i="2"/>
  <c r="X4445" i="2"/>
  <c r="Z4444" i="2"/>
  <c r="Y4444" i="2"/>
  <c r="X4444" i="2"/>
  <c r="Z4443" i="2"/>
  <c r="Y4443" i="2"/>
  <c r="X4443" i="2"/>
  <c r="Z4442" i="2"/>
  <c r="Y4442" i="2"/>
  <c r="X4442" i="2"/>
  <c r="Z4441" i="2"/>
  <c r="Y4441" i="2"/>
  <c r="X4441" i="2"/>
  <c r="Z4440" i="2"/>
  <c r="Y4440" i="2"/>
  <c r="X4440" i="2"/>
  <c r="Z4439" i="2"/>
  <c r="Y4439" i="2"/>
  <c r="X4439" i="2"/>
  <c r="Z4438" i="2"/>
  <c r="Y4438" i="2"/>
  <c r="X4438" i="2"/>
  <c r="Z4437" i="2"/>
  <c r="Y4437" i="2"/>
  <c r="X4437" i="2"/>
  <c r="Z4436" i="2"/>
  <c r="Y4436" i="2"/>
  <c r="X4436" i="2"/>
  <c r="Z4435" i="2"/>
  <c r="Y4435" i="2"/>
  <c r="X4435" i="2"/>
  <c r="Z4434" i="2"/>
  <c r="Y4434" i="2"/>
  <c r="X4434" i="2"/>
  <c r="Z4433" i="2"/>
  <c r="Y4433" i="2"/>
  <c r="X4433" i="2"/>
  <c r="Z4432" i="2"/>
  <c r="Y4432" i="2"/>
  <c r="X4432" i="2"/>
  <c r="Z4431" i="2"/>
  <c r="Y4431" i="2"/>
  <c r="X4431" i="2"/>
  <c r="Z4430" i="2"/>
  <c r="Y4430" i="2"/>
  <c r="X4430" i="2"/>
  <c r="Z4429" i="2"/>
  <c r="Y4429" i="2"/>
  <c r="X4429" i="2"/>
  <c r="Z4428" i="2"/>
  <c r="Y4428" i="2"/>
  <c r="X4428" i="2"/>
  <c r="Z4427" i="2"/>
  <c r="Y4427" i="2"/>
  <c r="X4427" i="2"/>
  <c r="Z4426" i="2"/>
  <c r="Y4426" i="2"/>
  <c r="X4426" i="2"/>
  <c r="Z4425" i="2"/>
  <c r="Y4425" i="2"/>
  <c r="X4425" i="2"/>
  <c r="Z4424" i="2"/>
  <c r="Y4424" i="2"/>
  <c r="X4424" i="2"/>
  <c r="Z4423" i="2"/>
  <c r="Y4423" i="2"/>
  <c r="X4423" i="2"/>
  <c r="Z4422" i="2"/>
  <c r="Y4422" i="2"/>
  <c r="X4422" i="2"/>
  <c r="Z4421" i="2"/>
  <c r="Y4421" i="2"/>
  <c r="X4421" i="2"/>
  <c r="Z4420" i="2"/>
  <c r="Y4420" i="2"/>
  <c r="X4420" i="2"/>
  <c r="Z4419" i="2"/>
  <c r="Y4419" i="2"/>
  <c r="X4419" i="2"/>
  <c r="Z4418" i="2"/>
  <c r="Y4418" i="2"/>
  <c r="X4418" i="2"/>
  <c r="Z4417" i="2"/>
  <c r="Y4417" i="2"/>
  <c r="X4417" i="2"/>
  <c r="Z4416" i="2"/>
  <c r="Y4416" i="2"/>
  <c r="X4416" i="2"/>
  <c r="Z4415" i="2"/>
  <c r="Y4415" i="2"/>
  <c r="X4415" i="2"/>
  <c r="Z4414" i="2"/>
  <c r="Y4414" i="2"/>
  <c r="X4414" i="2"/>
  <c r="Z4413" i="2"/>
  <c r="Y4413" i="2"/>
  <c r="X4413" i="2"/>
  <c r="Z4412" i="2"/>
  <c r="Y4412" i="2"/>
  <c r="X4412" i="2"/>
  <c r="Z4411" i="2"/>
  <c r="Y4411" i="2"/>
  <c r="X4411" i="2"/>
  <c r="Z4410" i="2"/>
  <c r="Y4410" i="2"/>
  <c r="X4410" i="2"/>
  <c r="Z4409" i="2"/>
  <c r="Y4409" i="2"/>
  <c r="X4409" i="2"/>
  <c r="Z4408" i="2"/>
  <c r="Y4408" i="2"/>
  <c r="X4408" i="2"/>
  <c r="Z4407" i="2"/>
  <c r="Y4407" i="2"/>
  <c r="X4407" i="2"/>
  <c r="Z4406" i="2"/>
  <c r="Y4406" i="2"/>
  <c r="X4406" i="2"/>
  <c r="Z4405" i="2"/>
  <c r="Y4405" i="2"/>
  <c r="X4405" i="2"/>
  <c r="Z4404" i="2"/>
  <c r="Y4404" i="2"/>
  <c r="X4404" i="2"/>
  <c r="Z4403" i="2"/>
  <c r="Y4403" i="2"/>
  <c r="X4403" i="2"/>
  <c r="Z4402" i="2"/>
  <c r="Y4402" i="2"/>
  <c r="X4402" i="2"/>
  <c r="Z4401" i="2"/>
  <c r="Y4401" i="2"/>
  <c r="X4401" i="2"/>
  <c r="Z4400" i="2"/>
  <c r="Y4400" i="2"/>
  <c r="X4400" i="2"/>
  <c r="Z4399" i="2"/>
  <c r="Y4399" i="2"/>
  <c r="X4399" i="2"/>
  <c r="Z4398" i="2"/>
  <c r="Y4398" i="2"/>
  <c r="X4398" i="2"/>
  <c r="Z4397" i="2"/>
  <c r="Y4397" i="2"/>
  <c r="X4397" i="2"/>
  <c r="Z4396" i="2"/>
  <c r="Y4396" i="2"/>
  <c r="X4396" i="2"/>
  <c r="Z4395" i="2"/>
  <c r="Y4395" i="2"/>
  <c r="X4395" i="2"/>
  <c r="Z4394" i="2"/>
  <c r="Y4394" i="2"/>
  <c r="X4394" i="2"/>
  <c r="Z4393" i="2"/>
  <c r="Y4393" i="2"/>
  <c r="X4393" i="2"/>
  <c r="Z4392" i="2"/>
  <c r="Y4392" i="2"/>
  <c r="X4392" i="2"/>
  <c r="Z4391" i="2"/>
  <c r="Y4391" i="2"/>
  <c r="X4391" i="2"/>
  <c r="Z4390" i="2"/>
  <c r="Y4390" i="2"/>
  <c r="X4390" i="2"/>
  <c r="Z4389" i="2"/>
  <c r="Y4389" i="2"/>
  <c r="X4389" i="2"/>
  <c r="Z4388" i="2"/>
  <c r="Y4388" i="2"/>
  <c r="X4388" i="2"/>
  <c r="Z4387" i="2"/>
  <c r="Y4387" i="2"/>
  <c r="X4387" i="2"/>
  <c r="Z4386" i="2"/>
  <c r="Y4386" i="2"/>
  <c r="X4386" i="2"/>
  <c r="Z4385" i="2"/>
  <c r="Y4385" i="2"/>
  <c r="X4385" i="2"/>
  <c r="Z4384" i="2"/>
  <c r="Y4384" i="2"/>
  <c r="X4384" i="2"/>
  <c r="Z4383" i="2"/>
  <c r="Y4383" i="2"/>
  <c r="X4383" i="2"/>
  <c r="Z4382" i="2"/>
  <c r="Y4382" i="2"/>
  <c r="X4382" i="2"/>
  <c r="Z4381" i="2"/>
  <c r="Y4381" i="2"/>
  <c r="X4381" i="2"/>
  <c r="Z4380" i="2"/>
  <c r="Y4380" i="2"/>
  <c r="X4380" i="2"/>
  <c r="Z4379" i="2"/>
  <c r="Y4379" i="2"/>
  <c r="X4379" i="2"/>
  <c r="Z4378" i="2"/>
  <c r="Y4378" i="2"/>
  <c r="X4378" i="2"/>
  <c r="Z4377" i="2"/>
  <c r="Y4377" i="2"/>
  <c r="X4377" i="2"/>
  <c r="Z4376" i="2"/>
  <c r="Y4376" i="2"/>
  <c r="X4376" i="2"/>
  <c r="Z4375" i="2"/>
  <c r="Y4375" i="2"/>
  <c r="X4375" i="2"/>
  <c r="Z4374" i="2"/>
  <c r="Y4374" i="2"/>
  <c r="X4374" i="2"/>
  <c r="Z4373" i="2"/>
  <c r="Y4373" i="2"/>
  <c r="X4373" i="2"/>
  <c r="Z4372" i="2"/>
  <c r="Y4372" i="2"/>
  <c r="X4372" i="2"/>
  <c r="Z4371" i="2"/>
  <c r="Y4371" i="2"/>
  <c r="X4371" i="2"/>
  <c r="Z4370" i="2"/>
  <c r="Y4370" i="2"/>
  <c r="X4370" i="2"/>
  <c r="Z4369" i="2"/>
  <c r="Y4369" i="2"/>
  <c r="X4369" i="2"/>
  <c r="Z4368" i="2"/>
  <c r="Y4368" i="2"/>
  <c r="X4368" i="2"/>
  <c r="Z4367" i="2"/>
  <c r="Y4367" i="2"/>
  <c r="X4367" i="2"/>
  <c r="Z4366" i="2"/>
  <c r="Y4366" i="2"/>
  <c r="X4366" i="2"/>
  <c r="Z4365" i="2"/>
  <c r="Y4365" i="2"/>
  <c r="X4365" i="2"/>
  <c r="Z4364" i="2"/>
  <c r="Y4364" i="2"/>
  <c r="X4364" i="2"/>
  <c r="Z4363" i="2"/>
  <c r="Y4363" i="2"/>
  <c r="X4363" i="2"/>
  <c r="Z4362" i="2"/>
  <c r="Y4362" i="2"/>
  <c r="X4362" i="2"/>
  <c r="Z4361" i="2"/>
  <c r="Y4361" i="2"/>
  <c r="X4361" i="2"/>
  <c r="Z4360" i="2"/>
  <c r="Y4360" i="2"/>
  <c r="X4360" i="2"/>
  <c r="Z4359" i="2"/>
  <c r="Y4359" i="2"/>
  <c r="X4359" i="2"/>
  <c r="Z4358" i="2"/>
  <c r="Y4358" i="2"/>
  <c r="X4358" i="2"/>
  <c r="Z4357" i="2"/>
  <c r="Y4357" i="2"/>
  <c r="X4357" i="2"/>
  <c r="Z4356" i="2"/>
  <c r="Y4356" i="2"/>
  <c r="X4356" i="2"/>
  <c r="Z4355" i="2"/>
  <c r="Y4355" i="2"/>
  <c r="X4355" i="2"/>
  <c r="Z4354" i="2"/>
  <c r="Y4354" i="2"/>
  <c r="X4354" i="2"/>
  <c r="Z4353" i="2"/>
  <c r="Y4353" i="2"/>
  <c r="X4353" i="2"/>
  <c r="Z4352" i="2"/>
  <c r="Y4352" i="2"/>
  <c r="X4352" i="2"/>
  <c r="Z4351" i="2"/>
  <c r="Y4351" i="2"/>
  <c r="X4351" i="2"/>
  <c r="Z4350" i="2"/>
  <c r="Y4350" i="2"/>
  <c r="X4350" i="2"/>
  <c r="Z4349" i="2"/>
  <c r="Y4349" i="2"/>
  <c r="X4349" i="2"/>
  <c r="Z4348" i="2"/>
  <c r="Y4348" i="2"/>
  <c r="X4348" i="2"/>
  <c r="Z4347" i="2"/>
  <c r="Y4347" i="2"/>
  <c r="X4347" i="2"/>
  <c r="Z4346" i="2"/>
  <c r="Y4346" i="2"/>
  <c r="X4346" i="2"/>
  <c r="Z4345" i="2"/>
  <c r="Y4345" i="2"/>
  <c r="X4345" i="2"/>
  <c r="Z4344" i="2"/>
  <c r="Y4344" i="2"/>
  <c r="X4344" i="2"/>
  <c r="Z4343" i="2"/>
  <c r="Y4343" i="2"/>
  <c r="X4343" i="2"/>
  <c r="Z4342" i="2"/>
  <c r="Y4342" i="2"/>
  <c r="X4342" i="2"/>
  <c r="Z4341" i="2"/>
  <c r="Y4341" i="2"/>
  <c r="X4341" i="2"/>
  <c r="Z4340" i="2"/>
  <c r="Y4340" i="2"/>
  <c r="X4340" i="2"/>
  <c r="Z4339" i="2"/>
  <c r="Y4339" i="2"/>
  <c r="X4339" i="2"/>
  <c r="Z4338" i="2"/>
  <c r="Y4338" i="2"/>
  <c r="X4338" i="2"/>
  <c r="Z4337" i="2"/>
  <c r="Y4337" i="2"/>
  <c r="X4337" i="2"/>
  <c r="Z4336" i="2"/>
  <c r="Y4336" i="2"/>
  <c r="X4336" i="2"/>
  <c r="Z4335" i="2"/>
  <c r="Y4335" i="2"/>
  <c r="X4335" i="2"/>
  <c r="Z4334" i="2"/>
  <c r="Y4334" i="2"/>
  <c r="X4334" i="2"/>
  <c r="Z4333" i="2"/>
  <c r="Y4333" i="2"/>
  <c r="X4333" i="2"/>
  <c r="Z4332" i="2"/>
  <c r="Y4332" i="2"/>
  <c r="X4332" i="2"/>
  <c r="Z4331" i="2"/>
  <c r="Y4331" i="2"/>
  <c r="X4331" i="2"/>
  <c r="Z4330" i="2"/>
  <c r="Y4330" i="2"/>
  <c r="X4330" i="2"/>
  <c r="Z4329" i="2"/>
  <c r="Y4329" i="2"/>
  <c r="X4329" i="2"/>
  <c r="Z4328" i="2"/>
  <c r="Y4328" i="2"/>
  <c r="X4328" i="2"/>
  <c r="Z4327" i="2"/>
  <c r="Y4327" i="2"/>
  <c r="X4327" i="2"/>
  <c r="Z4326" i="2"/>
  <c r="Y4326" i="2"/>
  <c r="X4326" i="2"/>
  <c r="Z4325" i="2"/>
  <c r="Y4325" i="2"/>
  <c r="X4325" i="2"/>
  <c r="Z4324" i="2"/>
  <c r="Y4324" i="2"/>
  <c r="X4324" i="2"/>
  <c r="Z4323" i="2"/>
  <c r="Y4323" i="2"/>
  <c r="X4323" i="2"/>
  <c r="Z4322" i="2"/>
  <c r="Y4322" i="2"/>
  <c r="X4322" i="2"/>
  <c r="Z4321" i="2"/>
  <c r="Y4321" i="2"/>
  <c r="X4321" i="2"/>
  <c r="Z4320" i="2"/>
  <c r="Y4320" i="2"/>
  <c r="X4320" i="2"/>
  <c r="Z4319" i="2"/>
  <c r="Y4319" i="2"/>
  <c r="X4319" i="2"/>
  <c r="Z4318" i="2"/>
  <c r="Y4318" i="2"/>
  <c r="X4318" i="2"/>
  <c r="Z4317" i="2"/>
  <c r="Y4317" i="2"/>
  <c r="X4317" i="2"/>
  <c r="Z4316" i="2"/>
  <c r="Y4316" i="2"/>
  <c r="X4316" i="2"/>
  <c r="Z4315" i="2"/>
  <c r="Y4315" i="2"/>
  <c r="X4315" i="2"/>
  <c r="Z4314" i="2"/>
  <c r="Y4314" i="2"/>
  <c r="X4314" i="2"/>
  <c r="Z4313" i="2"/>
  <c r="Y4313" i="2"/>
  <c r="X4313" i="2"/>
  <c r="Z4312" i="2"/>
  <c r="Y4312" i="2"/>
  <c r="X4312" i="2"/>
  <c r="Z4311" i="2"/>
  <c r="Y4311" i="2"/>
  <c r="X4311" i="2"/>
  <c r="Z4310" i="2"/>
  <c r="Y4310" i="2"/>
  <c r="X4310" i="2"/>
  <c r="Z4309" i="2"/>
  <c r="Y4309" i="2"/>
  <c r="X4309" i="2"/>
  <c r="Z4308" i="2"/>
  <c r="Y4308" i="2"/>
  <c r="X4308" i="2"/>
  <c r="Z4307" i="2"/>
  <c r="Y4307" i="2"/>
  <c r="X4307" i="2"/>
  <c r="Z4306" i="2"/>
  <c r="Y4306" i="2"/>
  <c r="X4306" i="2"/>
  <c r="Z4305" i="2"/>
  <c r="Y4305" i="2"/>
  <c r="X4305" i="2"/>
  <c r="Z4304" i="2"/>
  <c r="Y4304" i="2"/>
  <c r="X4304" i="2"/>
  <c r="Z4303" i="2"/>
  <c r="Y4303" i="2"/>
  <c r="X4303" i="2"/>
  <c r="Z4302" i="2"/>
  <c r="Y4302" i="2"/>
  <c r="X4302" i="2"/>
  <c r="Z4301" i="2"/>
  <c r="Y4301" i="2"/>
  <c r="X4301" i="2"/>
  <c r="Z4300" i="2"/>
  <c r="Y4300" i="2"/>
  <c r="X4300" i="2"/>
  <c r="Z4299" i="2"/>
  <c r="Y4299" i="2"/>
  <c r="X4299" i="2"/>
  <c r="Z4298" i="2"/>
  <c r="Y4298" i="2"/>
  <c r="X4298" i="2"/>
  <c r="Z4297" i="2"/>
  <c r="Y4297" i="2"/>
  <c r="X4297" i="2"/>
  <c r="Z4296" i="2"/>
  <c r="Y4296" i="2"/>
  <c r="X4296" i="2"/>
  <c r="Z4295" i="2"/>
  <c r="Y4295" i="2"/>
  <c r="X4295" i="2"/>
  <c r="Z4294" i="2"/>
  <c r="Y4294" i="2"/>
  <c r="X4294" i="2"/>
  <c r="Z4293" i="2"/>
  <c r="Y4293" i="2"/>
  <c r="X4293" i="2"/>
  <c r="Z4292" i="2"/>
  <c r="Y4292" i="2"/>
  <c r="X4292" i="2"/>
  <c r="Z4291" i="2"/>
  <c r="Y4291" i="2"/>
  <c r="X4291" i="2"/>
  <c r="Z4290" i="2"/>
  <c r="Y4290" i="2"/>
  <c r="X4290" i="2"/>
  <c r="Z4289" i="2"/>
  <c r="Y4289" i="2"/>
  <c r="X4289" i="2"/>
  <c r="Z4288" i="2"/>
  <c r="Y4288" i="2"/>
  <c r="X4288" i="2"/>
  <c r="Z4287" i="2"/>
  <c r="Y4287" i="2"/>
  <c r="X4287" i="2"/>
  <c r="Z4286" i="2"/>
  <c r="Y4286" i="2"/>
  <c r="X4286" i="2"/>
  <c r="Z4285" i="2"/>
  <c r="Y4285" i="2"/>
  <c r="X4285" i="2"/>
  <c r="Z4284" i="2"/>
  <c r="Y4284" i="2"/>
  <c r="X4284" i="2"/>
  <c r="Z4283" i="2"/>
  <c r="Y4283" i="2"/>
  <c r="X4283" i="2"/>
  <c r="Z4282" i="2"/>
  <c r="Y4282" i="2"/>
  <c r="X4282" i="2"/>
  <c r="Z4281" i="2"/>
  <c r="Y4281" i="2"/>
  <c r="X4281" i="2"/>
  <c r="Z4280" i="2"/>
  <c r="Y4280" i="2"/>
  <c r="X4280" i="2"/>
  <c r="Z4279" i="2"/>
  <c r="Y4279" i="2"/>
  <c r="X4279" i="2"/>
  <c r="Z4278" i="2"/>
  <c r="Y4278" i="2"/>
  <c r="X4278" i="2"/>
  <c r="Z4277" i="2"/>
  <c r="Y4277" i="2"/>
  <c r="X4277" i="2"/>
  <c r="Z4276" i="2"/>
  <c r="Y4276" i="2"/>
  <c r="X4276" i="2"/>
  <c r="Z4275" i="2"/>
  <c r="Y4275" i="2"/>
  <c r="X4275" i="2"/>
  <c r="Z4274" i="2"/>
  <c r="Y4274" i="2"/>
  <c r="X4274" i="2"/>
  <c r="Z4273" i="2"/>
  <c r="Y4273" i="2"/>
  <c r="X4273" i="2"/>
  <c r="Z4272" i="2"/>
  <c r="Y4272" i="2"/>
  <c r="X4272" i="2"/>
  <c r="Z4271" i="2"/>
  <c r="Y4271" i="2"/>
  <c r="X4271" i="2"/>
  <c r="Z4270" i="2"/>
  <c r="Y4270" i="2"/>
  <c r="X4270" i="2"/>
  <c r="Z4269" i="2"/>
  <c r="Y4269" i="2"/>
  <c r="X4269" i="2"/>
  <c r="Z4268" i="2"/>
  <c r="Y4268" i="2"/>
  <c r="X4268" i="2"/>
  <c r="Z4267" i="2"/>
  <c r="Y4267" i="2"/>
  <c r="X4267" i="2"/>
  <c r="Z4266" i="2"/>
  <c r="Y4266" i="2"/>
  <c r="X4266" i="2"/>
  <c r="Z4265" i="2"/>
  <c r="Y4265" i="2"/>
  <c r="X4265" i="2"/>
  <c r="Z4264" i="2"/>
  <c r="Y4264" i="2"/>
  <c r="X4264" i="2"/>
  <c r="Z4263" i="2"/>
  <c r="Y4263" i="2"/>
  <c r="X4263" i="2"/>
  <c r="Z4262" i="2"/>
  <c r="Y4262" i="2"/>
  <c r="X4262" i="2"/>
  <c r="Z4261" i="2"/>
  <c r="Y4261" i="2"/>
  <c r="X4261" i="2"/>
  <c r="Z4260" i="2"/>
  <c r="Y4260" i="2"/>
  <c r="X4260" i="2"/>
  <c r="Z4259" i="2"/>
  <c r="Y4259" i="2"/>
  <c r="X4259" i="2"/>
  <c r="Z4258" i="2"/>
  <c r="Y4258" i="2"/>
  <c r="X4258" i="2"/>
  <c r="Z4257" i="2"/>
  <c r="Y4257" i="2"/>
  <c r="X4257" i="2"/>
  <c r="Z4256" i="2"/>
  <c r="Y4256" i="2"/>
  <c r="X4256" i="2"/>
  <c r="Z4255" i="2"/>
  <c r="Y4255" i="2"/>
  <c r="X4255" i="2"/>
  <c r="Z4254" i="2"/>
  <c r="Y4254" i="2"/>
  <c r="X4254" i="2"/>
  <c r="Z4253" i="2"/>
  <c r="Y4253" i="2"/>
  <c r="X4253" i="2"/>
  <c r="Z4252" i="2"/>
  <c r="Y4252" i="2"/>
  <c r="X4252" i="2"/>
  <c r="Z4251" i="2"/>
  <c r="Y4251" i="2"/>
  <c r="X4251" i="2"/>
  <c r="Z4250" i="2"/>
  <c r="Y4250" i="2"/>
  <c r="X4250" i="2"/>
  <c r="Z4249" i="2"/>
  <c r="Y4249" i="2"/>
  <c r="X4249" i="2"/>
  <c r="Z4248" i="2"/>
  <c r="Y4248" i="2"/>
  <c r="X4248" i="2"/>
  <c r="Z4247" i="2"/>
  <c r="Y4247" i="2"/>
  <c r="X4247" i="2"/>
  <c r="Z4246" i="2"/>
  <c r="Y4246" i="2"/>
  <c r="X4246" i="2"/>
  <c r="Z4245" i="2"/>
  <c r="Y4245" i="2"/>
  <c r="X4245" i="2"/>
  <c r="Z4244" i="2"/>
  <c r="Y4244" i="2"/>
  <c r="X4244" i="2"/>
  <c r="Z4243" i="2"/>
  <c r="Y4243" i="2"/>
  <c r="X4243" i="2"/>
  <c r="Z4242" i="2"/>
  <c r="Y4242" i="2"/>
  <c r="X4242" i="2"/>
  <c r="Z4241" i="2"/>
  <c r="Y4241" i="2"/>
  <c r="X4241" i="2"/>
  <c r="Z4240" i="2"/>
  <c r="Y4240" i="2"/>
  <c r="X4240" i="2"/>
  <c r="Z4239" i="2"/>
  <c r="Y4239" i="2"/>
  <c r="X4239" i="2"/>
  <c r="Z4238" i="2"/>
  <c r="Y4238" i="2"/>
  <c r="X4238" i="2"/>
  <c r="Z4237" i="2"/>
  <c r="Y4237" i="2"/>
  <c r="X4237" i="2"/>
  <c r="Z4236" i="2"/>
  <c r="Y4236" i="2"/>
  <c r="X4236" i="2"/>
  <c r="Z4235" i="2"/>
  <c r="Y4235" i="2"/>
  <c r="X4235" i="2"/>
  <c r="Z4234" i="2"/>
  <c r="Y4234" i="2"/>
  <c r="X4234" i="2"/>
  <c r="Z4233" i="2"/>
  <c r="Y4233" i="2"/>
  <c r="X4233" i="2"/>
  <c r="Z4232" i="2"/>
  <c r="Y4232" i="2"/>
  <c r="X4232" i="2"/>
  <c r="Z4231" i="2"/>
  <c r="Y4231" i="2"/>
  <c r="X4231" i="2"/>
  <c r="Z4230" i="2"/>
  <c r="Y4230" i="2"/>
  <c r="X4230" i="2"/>
  <c r="Z4229" i="2"/>
  <c r="Y4229" i="2"/>
  <c r="X4229" i="2"/>
  <c r="Z4228" i="2"/>
  <c r="Y4228" i="2"/>
  <c r="X4228" i="2"/>
  <c r="Z4227" i="2"/>
  <c r="Y4227" i="2"/>
  <c r="X4227" i="2"/>
  <c r="Z4226" i="2"/>
  <c r="Y4226" i="2"/>
  <c r="X4226" i="2"/>
  <c r="Z4225" i="2"/>
  <c r="Y4225" i="2"/>
  <c r="X4225" i="2"/>
  <c r="Z4224" i="2"/>
  <c r="Y4224" i="2"/>
  <c r="X4224" i="2"/>
  <c r="Z4223" i="2"/>
  <c r="Y4223" i="2"/>
  <c r="X4223" i="2"/>
  <c r="Z4222" i="2"/>
  <c r="Y4222" i="2"/>
  <c r="X4222" i="2"/>
  <c r="Z4221" i="2"/>
  <c r="Y4221" i="2"/>
  <c r="X4221" i="2"/>
  <c r="Z4220" i="2"/>
  <c r="Y4220" i="2"/>
  <c r="X4220" i="2"/>
  <c r="Z4219" i="2"/>
  <c r="Y4219" i="2"/>
  <c r="X4219" i="2"/>
  <c r="Z4218" i="2"/>
  <c r="Y4218" i="2"/>
  <c r="X4218" i="2"/>
  <c r="Z4217" i="2"/>
  <c r="Y4217" i="2"/>
  <c r="X4217" i="2"/>
  <c r="Z4216" i="2"/>
  <c r="Y4216" i="2"/>
  <c r="X4216" i="2"/>
  <c r="Z4215" i="2"/>
  <c r="Y4215" i="2"/>
  <c r="X4215" i="2"/>
  <c r="Z4214" i="2"/>
  <c r="Y4214" i="2"/>
  <c r="X4214" i="2"/>
  <c r="Z4213" i="2"/>
  <c r="Y4213" i="2"/>
  <c r="X4213" i="2"/>
  <c r="Z4212" i="2"/>
  <c r="Y4212" i="2"/>
  <c r="X4212" i="2"/>
  <c r="Z4211" i="2"/>
  <c r="Y4211" i="2"/>
  <c r="X4211" i="2"/>
  <c r="Z4210" i="2"/>
  <c r="Y4210" i="2"/>
  <c r="X4210" i="2"/>
  <c r="Z4209" i="2"/>
  <c r="Y4209" i="2"/>
  <c r="X4209" i="2"/>
  <c r="Z4208" i="2"/>
  <c r="Y4208" i="2"/>
  <c r="X4208" i="2"/>
  <c r="Z4207" i="2"/>
  <c r="Y4207" i="2"/>
  <c r="X4207" i="2"/>
  <c r="Z4206" i="2"/>
  <c r="Y4206" i="2"/>
  <c r="X4206" i="2"/>
  <c r="Z4205" i="2"/>
  <c r="Y4205" i="2"/>
  <c r="X4205" i="2"/>
  <c r="Z4204" i="2"/>
  <c r="Y4204" i="2"/>
  <c r="X4204" i="2"/>
  <c r="Z4203" i="2"/>
  <c r="Y4203" i="2"/>
  <c r="X4203" i="2"/>
  <c r="Z4202" i="2"/>
  <c r="Y4202" i="2"/>
  <c r="X4202" i="2"/>
  <c r="Z4201" i="2"/>
  <c r="Y4201" i="2"/>
  <c r="X4201" i="2"/>
  <c r="Z4200" i="2"/>
  <c r="Y4200" i="2"/>
  <c r="X4200" i="2"/>
  <c r="Z4199" i="2"/>
  <c r="Y4199" i="2"/>
  <c r="X4199" i="2"/>
  <c r="Z4198" i="2"/>
  <c r="Y4198" i="2"/>
  <c r="X4198" i="2"/>
  <c r="Z4197" i="2"/>
  <c r="Y4197" i="2"/>
  <c r="X4197" i="2"/>
  <c r="Z4196" i="2"/>
  <c r="Y4196" i="2"/>
  <c r="X4196" i="2"/>
  <c r="Z4195" i="2"/>
  <c r="Y4195" i="2"/>
  <c r="X4195" i="2"/>
  <c r="Z4194" i="2"/>
  <c r="Y4194" i="2"/>
  <c r="X4194" i="2"/>
  <c r="Z4193" i="2"/>
  <c r="Y4193" i="2"/>
  <c r="X4193" i="2"/>
  <c r="Z4192" i="2"/>
  <c r="Y4192" i="2"/>
  <c r="X4192" i="2"/>
  <c r="Z4191" i="2"/>
  <c r="Y4191" i="2"/>
  <c r="X4191" i="2"/>
  <c r="Z4190" i="2"/>
  <c r="Y4190" i="2"/>
  <c r="X4190" i="2"/>
  <c r="Z4189" i="2"/>
  <c r="Y4189" i="2"/>
  <c r="X4189" i="2"/>
  <c r="Z4188" i="2"/>
  <c r="Y4188" i="2"/>
  <c r="X4188" i="2"/>
  <c r="Z4187" i="2"/>
  <c r="Y4187" i="2"/>
  <c r="X4187" i="2"/>
  <c r="Z4186" i="2"/>
  <c r="Y4186" i="2"/>
  <c r="X4186" i="2"/>
  <c r="Z4185" i="2"/>
  <c r="Y4185" i="2"/>
  <c r="X4185" i="2"/>
  <c r="Z4184" i="2"/>
  <c r="Y4184" i="2"/>
  <c r="X4184" i="2"/>
  <c r="Z4183" i="2"/>
  <c r="Y4183" i="2"/>
  <c r="X4183" i="2"/>
  <c r="Z4182" i="2"/>
  <c r="Y4182" i="2"/>
  <c r="X4182" i="2"/>
  <c r="Z4181" i="2"/>
  <c r="Y4181" i="2"/>
  <c r="X4181" i="2"/>
  <c r="Z4180" i="2"/>
  <c r="Y4180" i="2"/>
  <c r="X4180" i="2"/>
  <c r="Z4179" i="2"/>
  <c r="Y4179" i="2"/>
  <c r="X4179" i="2"/>
  <c r="Z4178" i="2"/>
  <c r="Y4178" i="2"/>
  <c r="X4178" i="2"/>
  <c r="Z4177" i="2"/>
  <c r="Y4177" i="2"/>
  <c r="X4177" i="2"/>
  <c r="Z4176" i="2"/>
  <c r="Y4176" i="2"/>
  <c r="X4176" i="2"/>
  <c r="Z4175" i="2"/>
  <c r="Y4175" i="2"/>
  <c r="X4175" i="2"/>
  <c r="Z4174" i="2"/>
  <c r="Y4174" i="2"/>
  <c r="X4174" i="2"/>
  <c r="Z4173" i="2"/>
  <c r="Y4173" i="2"/>
  <c r="X4173" i="2"/>
  <c r="Z4172" i="2"/>
  <c r="Y4172" i="2"/>
  <c r="X4172" i="2"/>
  <c r="Z4171" i="2"/>
  <c r="Y4171" i="2"/>
  <c r="X4171" i="2"/>
  <c r="Z4170" i="2"/>
  <c r="Y4170" i="2"/>
  <c r="X4170" i="2"/>
  <c r="Z4169" i="2"/>
  <c r="Y4169" i="2"/>
  <c r="X4169" i="2"/>
  <c r="Z4168" i="2"/>
  <c r="Y4168" i="2"/>
  <c r="X4168" i="2"/>
  <c r="Z4167" i="2"/>
  <c r="Y4167" i="2"/>
  <c r="X4167" i="2"/>
  <c r="Z4166" i="2"/>
  <c r="Y4166" i="2"/>
  <c r="X4166" i="2"/>
  <c r="Z4165" i="2"/>
  <c r="Y4165" i="2"/>
  <c r="X4165" i="2"/>
  <c r="Z4164" i="2"/>
  <c r="Y4164" i="2"/>
  <c r="X4164" i="2"/>
  <c r="Z4163" i="2"/>
  <c r="Y4163" i="2"/>
  <c r="X4163" i="2"/>
  <c r="Z4162" i="2"/>
  <c r="Y4162" i="2"/>
  <c r="X4162" i="2"/>
  <c r="Z4161" i="2"/>
  <c r="Y4161" i="2"/>
  <c r="X4161" i="2"/>
  <c r="Z4160" i="2"/>
  <c r="Y4160" i="2"/>
  <c r="X4160" i="2"/>
  <c r="Z4159" i="2"/>
  <c r="Y4159" i="2"/>
  <c r="X4159" i="2"/>
  <c r="Z4158" i="2"/>
  <c r="Y4158" i="2"/>
  <c r="X4158" i="2"/>
  <c r="Z4157" i="2"/>
  <c r="Y4157" i="2"/>
  <c r="X4157" i="2"/>
  <c r="Z4156" i="2"/>
  <c r="Y4156" i="2"/>
  <c r="X4156" i="2"/>
  <c r="Z4155" i="2"/>
  <c r="Y4155" i="2"/>
  <c r="X4155" i="2"/>
  <c r="Z4154" i="2"/>
  <c r="Y4154" i="2"/>
  <c r="X4154" i="2"/>
  <c r="Z4153" i="2"/>
  <c r="Y4153" i="2"/>
  <c r="X4153" i="2"/>
  <c r="Z4152" i="2"/>
  <c r="Y4152" i="2"/>
  <c r="X4152" i="2"/>
  <c r="Z4151" i="2"/>
  <c r="Y4151" i="2"/>
  <c r="X4151" i="2"/>
  <c r="Z4150" i="2"/>
  <c r="Y4150" i="2"/>
  <c r="X4150" i="2"/>
  <c r="Z4149" i="2"/>
  <c r="Y4149" i="2"/>
  <c r="X4149" i="2"/>
  <c r="Z4148" i="2"/>
  <c r="Y4148" i="2"/>
  <c r="X4148" i="2"/>
  <c r="Z4147" i="2"/>
  <c r="Y4147" i="2"/>
  <c r="X4147" i="2"/>
  <c r="Z4146" i="2"/>
  <c r="Y4146" i="2"/>
  <c r="X4146" i="2"/>
  <c r="Z4145" i="2"/>
  <c r="Y4145" i="2"/>
  <c r="X4145" i="2"/>
  <c r="Z4144" i="2"/>
  <c r="Y4144" i="2"/>
  <c r="X4144" i="2"/>
  <c r="Z4143" i="2"/>
  <c r="Y4143" i="2"/>
  <c r="X4143" i="2"/>
  <c r="Z4142" i="2"/>
  <c r="Y4142" i="2"/>
  <c r="X4142" i="2"/>
  <c r="Z4141" i="2"/>
  <c r="Y4141" i="2"/>
  <c r="X4141" i="2"/>
  <c r="Z4140" i="2"/>
  <c r="Y4140" i="2"/>
  <c r="X4140" i="2"/>
  <c r="Z4139" i="2"/>
  <c r="Y4139" i="2"/>
  <c r="X4139" i="2"/>
  <c r="Z4138" i="2"/>
  <c r="Y4138" i="2"/>
  <c r="X4138" i="2"/>
  <c r="Z4137" i="2"/>
  <c r="Y4137" i="2"/>
  <c r="X4137" i="2"/>
  <c r="Z4136" i="2"/>
  <c r="Y4136" i="2"/>
  <c r="X4136" i="2"/>
  <c r="Z4135" i="2"/>
  <c r="Y4135" i="2"/>
  <c r="X4135" i="2"/>
  <c r="Z4134" i="2"/>
  <c r="Y4134" i="2"/>
  <c r="X4134" i="2"/>
  <c r="Z4133" i="2"/>
  <c r="Y4133" i="2"/>
  <c r="X4133" i="2"/>
  <c r="Z4132" i="2"/>
  <c r="Y4132" i="2"/>
  <c r="X4132" i="2"/>
  <c r="Z4131" i="2"/>
  <c r="Y4131" i="2"/>
  <c r="X4131" i="2"/>
  <c r="Z4130" i="2"/>
  <c r="Y4130" i="2"/>
  <c r="X4130" i="2"/>
  <c r="Z4129" i="2"/>
  <c r="Y4129" i="2"/>
  <c r="X4129" i="2"/>
  <c r="Z4128" i="2"/>
  <c r="Y4128" i="2"/>
  <c r="X4128" i="2"/>
  <c r="Z4127" i="2"/>
  <c r="Y4127" i="2"/>
  <c r="X4127" i="2"/>
  <c r="Z4126" i="2"/>
  <c r="Y4126" i="2"/>
  <c r="X4126" i="2"/>
  <c r="Z4125" i="2"/>
  <c r="Y4125" i="2"/>
  <c r="X4125" i="2"/>
  <c r="Z4124" i="2"/>
  <c r="Y4124" i="2"/>
  <c r="X4124" i="2"/>
  <c r="Z4123" i="2"/>
  <c r="Y4123" i="2"/>
  <c r="X4123" i="2"/>
  <c r="Z4122" i="2"/>
  <c r="Y4122" i="2"/>
  <c r="X4122" i="2"/>
  <c r="Z4121" i="2"/>
  <c r="Y4121" i="2"/>
  <c r="X4121" i="2"/>
  <c r="Z4120" i="2"/>
  <c r="Y4120" i="2"/>
  <c r="X4120" i="2"/>
  <c r="Z4119" i="2"/>
  <c r="Y4119" i="2"/>
  <c r="X4119" i="2"/>
  <c r="Z4118" i="2"/>
  <c r="Y4118" i="2"/>
  <c r="X4118" i="2"/>
  <c r="Z4117" i="2"/>
  <c r="Y4117" i="2"/>
  <c r="X4117" i="2"/>
  <c r="Z4116" i="2"/>
  <c r="Y4116" i="2"/>
  <c r="X4116" i="2"/>
  <c r="Z4115" i="2"/>
  <c r="Y4115" i="2"/>
  <c r="X4115" i="2"/>
  <c r="Z4114" i="2"/>
  <c r="Y4114" i="2"/>
  <c r="X4114" i="2"/>
  <c r="Z4113" i="2"/>
  <c r="Y4113" i="2"/>
  <c r="X4113" i="2"/>
  <c r="Z4112" i="2"/>
  <c r="Y4112" i="2"/>
  <c r="X4112" i="2"/>
  <c r="Z4111" i="2"/>
  <c r="Y4111" i="2"/>
  <c r="X4111" i="2"/>
  <c r="Z4110" i="2"/>
  <c r="Y4110" i="2"/>
  <c r="X4110" i="2"/>
  <c r="Z4109" i="2"/>
  <c r="Y4109" i="2"/>
  <c r="X4109" i="2"/>
  <c r="Z4108" i="2"/>
  <c r="Y4108" i="2"/>
  <c r="X4108" i="2"/>
  <c r="Z4107" i="2"/>
  <c r="Y4107" i="2"/>
  <c r="X4107" i="2"/>
  <c r="Z4106" i="2"/>
  <c r="Y4106" i="2"/>
  <c r="X4106" i="2"/>
  <c r="Z4105" i="2"/>
  <c r="Y4105" i="2"/>
  <c r="X4105" i="2"/>
  <c r="Z4104" i="2"/>
  <c r="Y4104" i="2"/>
  <c r="X4104" i="2"/>
  <c r="Z4103" i="2"/>
  <c r="Y4103" i="2"/>
  <c r="X4103" i="2"/>
  <c r="Z4102" i="2"/>
  <c r="Y4102" i="2"/>
  <c r="X4102" i="2"/>
  <c r="Z4101" i="2"/>
  <c r="Y4101" i="2"/>
  <c r="X4101" i="2"/>
  <c r="Z4100" i="2"/>
  <c r="Y4100" i="2"/>
  <c r="X4100" i="2"/>
  <c r="Z4099" i="2"/>
  <c r="Y4099" i="2"/>
  <c r="X4099" i="2"/>
  <c r="Z4098" i="2"/>
  <c r="Y4098" i="2"/>
  <c r="X4098" i="2"/>
  <c r="Z4097" i="2"/>
  <c r="Y4097" i="2"/>
  <c r="X4097" i="2"/>
  <c r="Z4096" i="2"/>
  <c r="Y4096" i="2"/>
  <c r="X4096" i="2"/>
  <c r="Z4095" i="2"/>
  <c r="Y4095" i="2"/>
  <c r="X4095" i="2"/>
  <c r="Z4094" i="2"/>
  <c r="Y4094" i="2"/>
  <c r="X4094" i="2"/>
  <c r="Z4093" i="2"/>
  <c r="Y4093" i="2"/>
  <c r="X4093" i="2"/>
  <c r="Z4092" i="2"/>
  <c r="Y4092" i="2"/>
  <c r="X4092" i="2"/>
  <c r="Z4091" i="2"/>
  <c r="Y4091" i="2"/>
  <c r="X4091" i="2"/>
  <c r="Z4090" i="2"/>
  <c r="Y4090" i="2"/>
  <c r="X4090" i="2"/>
  <c r="Z4089" i="2"/>
  <c r="Y4089" i="2"/>
  <c r="X4089" i="2"/>
  <c r="Z4088" i="2"/>
  <c r="Y4088" i="2"/>
  <c r="X4088" i="2"/>
  <c r="Z4087" i="2"/>
  <c r="Y4087" i="2"/>
  <c r="X4087" i="2"/>
  <c r="Z4086" i="2"/>
  <c r="Y4086" i="2"/>
  <c r="X4086" i="2"/>
  <c r="Z4085" i="2"/>
  <c r="Y4085" i="2"/>
  <c r="X4085" i="2"/>
  <c r="Z4084" i="2"/>
  <c r="Y4084" i="2"/>
  <c r="X4084" i="2"/>
  <c r="Z4083" i="2"/>
  <c r="Y4083" i="2"/>
  <c r="X4083" i="2"/>
  <c r="Z4082" i="2"/>
  <c r="Y4082" i="2"/>
  <c r="X4082" i="2"/>
  <c r="Z4081" i="2"/>
  <c r="Y4081" i="2"/>
  <c r="X4081" i="2"/>
  <c r="Z4080" i="2"/>
  <c r="Y4080" i="2"/>
  <c r="X4080" i="2"/>
  <c r="Z4079" i="2"/>
  <c r="Y4079" i="2"/>
  <c r="X4079" i="2"/>
  <c r="Z4078" i="2"/>
  <c r="Y4078" i="2"/>
  <c r="X4078" i="2"/>
  <c r="Z4077" i="2"/>
  <c r="Y4077" i="2"/>
  <c r="X4077" i="2"/>
  <c r="Z4076" i="2"/>
  <c r="Y4076" i="2"/>
  <c r="X4076" i="2"/>
  <c r="Z4075" i="2"/>
  <c r="Y4075" i="2"/>
  <c r="X4075" i="2"/>
  <c r="Z4074" i="2"/>
  <c r="Y4074" i="2"/>
  <c r="X4074" i="2"/>
  <c r="Z4073" i="2"/>
  <c r="Y4073" i="2"/>
  <c r="X4073" i="2"/>
  <c r="Z4072" i="2"/>
  <c r="Y4072" i="2"/>
  <c r="X4072" i="2"/>
  <c r="Z4071" i="2"/>
  <c r="Y4071" i="2"/>
  <c r="X4071" i="2"/>
  <c r="Z4070" i="2"/>
  <c r="Y4070" i="2"/>
  <c r="X4070" i="2"/>
  <c r="Z4069" i="2"/>
  <c r="Y4069" i="2"/>
  <c r="X4069" i="2"/>
  <c r="Z4068" i="2"/>
  <c r="Y4068" i="2"/>
  <c r="X4068" i="2"/>
  <c r="Z4067" i="2"/>
  <c r="Y4067" i="2"/>
  <c r="X4067" i="2"/>
  <c r="Z4066" i="2"/>
  <c r="Y4066" i="2"/>
  <c r="X4066" i="2"/>
  <c r="Z4065" i="2"/>
  <c r="Y4065" i="2"/>
  <c r="X4065" i="2"/>
  <c r="Z4064" i="2"/>
  <c r="Y4064" i="2"/>
  <c r="X4064" i="2"/>
  <c r="Z4063" i="2"/>
  <c r="Y4063" i="2"/>
  <c r="X4063" i="2"/>
  <c r="Z4062" i="2"/>
  <c r="Y4062" i="2"/>
  <c r="X4062" i="2"/>
  <c r="Z4061" i="2"/>
  <c r="Y4061" i="2"/>
  <c r="X4061" i="2"/>
  <c r="Z4060" i="2"/>
  <c r="Y4060" i="2"/>
  <c r="X4060" i="2"/>
  <c r="Z4059" i="2"/>
  <c r="Y4059" i="2"/>
  <c r="X4059" i="2"/>
  <c r="Z4058" i="2"/>
  <c r="Y4058" i="2"/>
  <c r="X4058" i="2"/>
  <c r="Z4057" i="2"/>
  <c r="Y4057" i="2"/>
  <c r="X4057" i="2"/>
  <c r="Z4056" i="2"/>
  <c r="Y4056" i="2"/>
  <c r="X4056" i="2"/>
  <c r="Z4055" i="2"/>
  <c r="Y4055" i="2"/>
  <c r="X4055" i="2"/>
  <c r="Z4054" i="2"/>
  <c r="Y4054" i="2"/>
  <c r="X4054" i="2"/>
  <c r="Z4053" i="2"/>
  <c r="Y4053" i="2"/>
  <c r="X4053" i="2"/>
  <c r="Z4052" i="2"/>
  <c r="Y4052" i="2"/>
  <c r="X4052" i="2"/>
  <c r="Z4051" i="2"/>
  <c r="Y4051" i="2"/>
  <c r="X4051" i="2"/>
  <c r="Z4050" i="2"/>
  <c r="Y4050" i="2"/>
  <c r="X4050" i="2"/>
  <c r="Z4049" i="2"/>
  <c r="Y4049" i="2"/>
  <c r="X4049" i="2"/>
  <c r="Z4048" i="2"/>
  <c r="Y4048" i="2"/>
  <c r="X4048" i="2"/>
  <c r="Z4047" i="2"/>
  <c r="Y4047" i="2"/>
  <c r="X4047" i="2"/>
  <c r="Z4046" i="2"/>
  <c r="Y4046" i="2"/>
  <c r="X4046" i="2"/>
  <c r="Z4045" i="2"/>
  <c r="Y4045" i="2"/>
  <c r="X4045" i="2"/>
  <c r="Z4044" i="2"/>
  <c r="Y4044" i="2"/>
  <c r="X4044" i="2"/>
  <c r="Z4043" i="2"/>
  <c r="Y4043" i="2"/>
  <c r="X4043" i="2"/>
  <c r="Z4042" i="2"/>
  <c r="Y4042" i="2"/>
  <c r="X4042" i="2"/>
  <c r="Z4041" i="2"/>
  <c r="Y4041" i="2"/>
  <c r="X4041" i="2"/>
  <c r="Z4040" i="2"/>
  <c r="Y4040" i="2"/>
  <c r="X4040" i="2"/>
  <c r="Z4039" i="2"/>
  <c r="Y4039" i="2"/>
  <c r="X4039" i="2"/>
  <c r="Z4038" i="2"/>
  <c r="Y4038" i="2"/>
  <c r="X4038" i="2"/>
  <c r="Z4037" i="2"/>
  <c r="Y4037" i="2"/>
  <c r="X4037" i="2"/>
  <c r="Z4036" i="2"/>
  <c r="Y4036" i="2"/>
  <c r="X4036" i="2"/>
  <c r="Z4035" i="2"/>
  <c r="Y4035" i="2"/>
  <c r="X4035" i="2"/>
  <c r="Z4034" i="2"/>
  <c r="Y4034" i="2"/>
  <c r="X4034" i="2"/>
  <c r="Z4033" i="2"/>
  <c r="Y4033" i="2"/>
  <c r="X4033" i="2"/>
  <c r="Z4032" i="2"/>
  <c r="Y4032" i="2"/>
  <c r="X4032" i="2"/>
  <c r="Z4031" i="2"/>
  <c r="Y4031" i="2"/>
  <c r="X4031" i="2"/>
  <c r="Z4030" i="2"/>
  <c r="Y4030" i="2"/>
  <c r="X4030" i="2"/>
  <c r="Z4029" i="2"/>
  <c r="Y4029" i="2"/>
  <c r="X4029" i="2"/>
  <c r="Z4028" i="2"/>
  <c r="Y4028" i="2"/>
  <c r="X4028" i="2"/>
  <c r="Z4027" i="2"/>
  <c r="Y4027" i="2"/>
  <c r="X4027" i="2"/>
  <c r="Z4026" i="2"/>
  <c r="Y4026" i="2"/>
  <c r="X4026" i="2"/>
  <c r="Z4025" i="2"/>
  <c r="Y4025" i="2"/>
  <c r="X4025" i="2"/>
  <c r="Z4024" i="2"/>
  <c r="Y4024" i="2"/>
  <c r="X4024" i="2"/>
  <c r="Z4023" i="2"/>
  <c r="Y4023" i="2"/>
  <c r="X4023" i="2"/>
  <c r="Z4022" i="2"/>
  <c r="Y4022" i="2"/>
  <c r="X4022" i="2"/>
  <c r="Z4021" i="2"/>
  <c r="Y4021" i="2"/>
  <c r="X4021" i="2"/>
  <c r="Z4020" i="2"/>
  <c r="Y4020" i="2"/>
  <c r="X4020" i="2"/>
  <c r="Z4019" i="2"/>
  <c r="Y4019" i="2"/>
  <c r="X4019" i="2"/>
  <c r="Z4018" i="2"/>
  <c r="Y4018" i="2"/>
  <c r="X4018" i="2"/>
  <c r="Z4017" i="2"/>
  <c r="Y4017" i="2"/>
  <c r="X4017" i="2"/>
  <c r="Z4016" i="2"/>
  <c r="Y4016" i="2"/>
  <c r="X4016" i="2"/>
  <c r="Z4015" i="2"/>
  <c r="Y4015" i="2"/>
  <c r="X4015" i="2"/>
  <c r="Z4014" i="2"/>
  <c r="Y4014" i="2"/>
  <c r="X4014" i="2"/>
  <c r="Z4013" i="2"/>
  <c r="Y4013" i="2"/>
  <c r="X4013" i="2"/>
  <c r="Z4012" i="2"/>
  <c r="Y4012" i="2"/>
  <c r="X4012" i="2"/>
  <c r="Z4011" i="2"/>
  <c r="Y4011" i="2"/>
  <c r="X4011" i="2"/>
  <c r="Z4010" i="2"/>
  <c r="Y4010" i="2"/>
  <c r="X4010" i="2"/>
  <c r="Z4009" i="2"/>
  <c r="Y4009" i="2"/>
  <c r="X4009" i="2"/>
  <c r="AA13" i="2"/>
  <c r="Z13" i="2"/>
  <c r="Y13" i="2"/>
  <c r="X13" i="2"/>
  <c r="AA12" i="2"/>
  <c r="Z12" i="2"/>
  <c r="Y12" i="2"/>
  <c r="X12" i="2"/>
  <c r="AA11" i="2"/>
  <c r="Z11" i="2"/>
  <c r="Y11" i="2"/>
  <c r="X11" i="2"/>
  <c r="AA10" i="2"/>
  <c r="Z10" i="2"/>
  <c r="Y10" i="2"/>
  <c r="X10" i="2"/>
  <c r="AA9" i="2"/>
  <c r="Z9" i="2"/>
  <c r="Y9" i="2"/>
  <c r="X9" i="2"/>
  <c r="AA8" i="2"/>
  <c r="Z8" i="2"/>
  <c r="Y8" i="2"/>
  <c r="X8" i="2"/>
  <c r="C3" i="1" l="1"/>
  <c r="B3" i="1"/>
  <c r="I332" i="18"/>
  <c r="I333" i="18"/>
  <c r="I334" i="18"/>
  <c r="I557" i="18"/>
  <c r="I558" i="18"/>
  <c r="I559" i="18"/>
  <c r="L131" i="3" l="1"/>
  <c r="L132" i="3"/>
  <c r="CX1" i="23" l="1"/>
  <c r="BN1" i="23"/>
  <c r="BO4" i="23" l="1"/>
  <c r="AY131" i="23"/>
  <c r="AY66" i="23"/>
  <c r="AY2" i="23"/>
  <c r="AB4" i="23"/>
  <c r="C4" i="23"/>
  <c r="F4" i="20" l="1"/>
  <c r="I1016" i="18" l="1"/>
  <c r="I1015" i="18"/>
  <c r="I1014" i="18"/>
  <c r="I1013" i="18"/>
  <c r="I1012" i="18"/>
  <c r="I1011" i="18"/>
  <c r="I1010" i="18"/>
  <c r="I1009" i="18"/>
  <c r="I1008" i="18"/>
  <c r="I1007" i="18"/>
  <c r="I1006" i="18"/>
  <c r="I1005" i="18"/>
  <c r="I1004" i="18"/>
  <c r="I1003" i="18"/>
  <c r="I1002" i="18"/>
  <c r="I1001" i="18"/>
  <c r="I1000" i="18"/>
  <c r="I999" i="18"/>
  <c r="I995" i="18"/>
  <c r="I994" i="18"/>
  <c r="I993" i="18"/>
  <c r="I992" i="18"/>
  <c r="I990" i="18"/>
  <c r="I989" i="18"/>
  <c r="I988" i="18"/>
  <c r="I987" i="18"/>
  <c r="I986" i="18"/>
  <c r="I985" i="18"/>
  <c r="I984" i="18"/>
  <c r="I983" i="18"/>
  <c r="I982" i="18"/>
  <c r="I981" i="18"/>
  <c r="I980" i="18"/>
  <c r="I979" i="18"/>
  <c r="I977" i="18"/>
  <c r="I976" i="18"/>
  <c r="I975" i="18"/>
  <c r="I974" i="18"/>
  <c r="I973" i="18"/>
  <c r="I972" i="18"/>
  <c r="I971" i="18"/>
  <c r="I970" i="18"/>
  <c r="I969" i="18"/>
  <c r="I968" i="18"/>
  <c r="I967" i="18"/>
  <c r="I966" i="18"/>
  <c r="I965" i="18"/>
  <c r="I964" i="18"/>
  <c r="I963" i="18"/>
  <c r="I961" i="18"/>
  <c r="I960" i="18"/>
  <c r="I959" i="18"/>
  <c r="I958" i="18"/>
  <c r="I957" i="18"/>
  <c r="I956" i="18"/>
  <c r="I955" i="18"/>
  <c r="I954" i="18"/>
  <c r="I948" i="18"/>
  <c r="I947" i="18"/>
  <c r="I946" i="18"/>
  <c r="I945" i="18"/>
  <c r="I944" i="18"/>
  <c r="I943" i="18"/>
  <c r="I942" i="18"/>
  <c r="I941" i="18"/>
  <c r="I940" i="18"/>
  <c r="I939" i="18"/>
  <c r="I938" i="18"/>
  <c r="I937" i="18"/>
  <c r="I936" i="18"/>
  <c r="I935" i="18"/>
  <c r="I934" i="18"/>
  <c r="I933" i="18"/>
  <c r="I932" i="18"/>
  <c r="I931" i="18"/>
  <c r="I930" i="18"/>
  <c r="I929" i="18"/>
  <c r="I928" i="18"/>
  <c r="I927" i="18"/>
  <c r="I926" i="18"/>
  <c r="I925" i="18"/>
  <c r="I924" i="18"/>
  <c r="I923" i="18"/>
  <c r="I922" i="18"/>
  <c r="I918" i="18"/>
  <c r="I917" i="18"/>
  <c r="I916" i="18"/>
  <c r="I915" i="18"/>
  <c r="I914" i="18"/>
  <c r="I913" i="18"/>
  <c r="I912" i="18"/>
  <c r="I910" i="18"/>
  <c r="I909" i="18"/>
  <c r="I907" i="18"/>
  <c r="I906" i="18"/>
  <c r="I905" i="18"/>
  <c r="I904" i="18"/>
  <c r="I903" i="18"/>
  <c r="I902" i="18"/>
  <c r="I901" i="18"/>
  <c r="I900" i="18"/>
  <c r="I899" i="18"/>
  <c r="I898" i="18"/>
  <c r="I897" i="18"/>
  <c r="I896" i="18"/>
  <c r="I895" i="18"/>
  <c r="I894" i="18"/>
  <c r="I893" i="18"/>
  <c r="I892" i="18"/>
  <c r="I891" i="18"/>
  <c r="I890" i="18"/>
  <c r="I889" i="18"/>
  <c r="I888" i="18"/>
  <c r="I880" i="18"/>
  <c r="I879" i="18"/>
  <c r="I878" i="18"/>
  <c r="I877" i="18"/>
  <c r="I876" i="18"/>
  <c r="I875" i="18"/>
  <c r="I874" i="18"/>
  <c r="I873" i="18"/>
  <c r="I872" i="18"/>
  <c r="I871" i="18"/>
  <c r="I870" i="18"/>
  <c r="I869" i="18"/>
  <c r="I868" i="18"/>
  <c r="I867" i="18"/>
  <c r="I866" i="18"/>
  <c r="I865" i="18"/>
  <c r="I864" i="18"/>
  <c r="I863" i="18"/>
  <c r="I859" i="18"/>
  <c r="I858" i="18"/>
  <c r="I857" i="18"/>
  <c r="I856" i="18"/>
  <c r="I854" i="18"/>
  <c r="I853" i="18"/>
  <c r="I852" i="18"/>
  <c r="I851" i="18"/>
  <c r="I850" i="18"/>
  <c r="I849" i="18"/>
  <c r="I848" i="18"/>
  <c r="I847" i="18"/>
  <c r="I846" i="18"/>
  <c r="I845" i="18"/>
  <c r="I844" i="18"/>
  <c r="I843" i="18"/>
  <c r="I841" i="18"/>
  <c r="I840" i="18"/>
  <c r="I839" i="18"/>
  <c r="I838" i="18"/>
  <c r="I837" i="18"/>
  <c r="I836" i="18"/>
  <c r="I835" i="18"/>
  <c r="I834" i="18"/>
  <c r="I833" i="18"/>
  <c r="I832" i="18"/>
  <c r="I831" i="18"/>
  <c r="I830" i="18"/>
  <c r="I829" i="18"/>
  <c r="I828" i="18"/>
  <c r="I827" i="18"/>
  <c r="I825" i="18"/>
  <c r="I824" i="18"/>
  <c r="I823" i="18"/>
  <c r="I822" i="18"/>
  <c r="I821" i="18"/>
  <c r="I820" i="18"/>
  <c r="I819" i="18"/>
  <c r="I818" i="18"/>
  <c r="I812" i="18"/>
  <c r="I811" i="18"/>
  <c r="I810" i="18"/>
  <c r="I809" i="18"/>
  <c r="I808" i="18"/>
  <c r="I807" i="18"/>
  <c r="I806" i="18"/>
  <c r="I805" i="18"/>
  <c r="I804" i="18"/>
  <c r="I803" i="18"/>
  <c r="I802" i="18"/>
  <c r="I801" i="18"/>
  <c r="I800" i="18"/>
  <c r="I799" i="18"/>
  <c r="I798" i="18"/>
  <c r="I797" i="18"/>
  <c r="I796" i="18"/>
  <c r="I795" i="18"/>
  <c r="I794" i="18"/>
  <c r="I793" i="18"/>
  <c r="I792" i="18"/>
  <c r="I791" i="18"/>
  <c r="I790" i="18"/>
  <c r="I789" i="18"/>
  <c r="I788" i="18"/>
  <c r="I787" i="18"/>
  <c r="I786" i="18"/>
  <c r="I782" i="18"/>
  <c r="I781" i="18"/>
  <c r="I780" i="18"/>
  <c r="I779" i="18"/>
  <c r="I778" i="18"/>
  <c r="I777" i="18"/>
  <c r="I776" i="18"/>
  <c r="I774" i="18"/>
  <c r="I773" i="18"/>
  <c r="I771" i="18"/>
  <c r="I770" i="18"/>
  <c r="I769" i="18"/>
  <c r="I768" i="18"/>
  <c r="I767" i="18"/>
  <c r="I766" i="18"/>
  <c r="I765" i="18"/>
  <c r="I764" i="18"/>
  <c r="I763" i="18"/>
  <c r="I762" i="18"/>
  <c r="I761" i="18"/>
  <c r="I760" i="18"/>
  <c r="I759" i="18"/>
  <c r="I758" i="18"/>
  <c r="I757" i="18"/>
  <c r="I756" i="18"/>
  <c r="I755" i="18"/>
  <c r="I754" i="18"/>
  <c r="I753" i="18"/>
  <c r="I752" i="18"/>
  <c r="I744" i="18"/>
  <c r="I743" i="18"/>
  <c r="I742" i="18"/>
  <c r="I741" i="18"/>
  <c r="I740" i="18"/>
  <c r="I739" i="18"/>
  <c r="I738" i="18"/>
  <c r="I737" i="18"/>
  <c r="I736" i="18"/>
  <c r="I735" i="18"/>
  <c r="I734" i="18"/>
  <c r="I733" i="18"/>
  <c r="I732" i="18"/>
  <c r="I731" i="18"/>
  <c r="I730" i="18"/>
  <c r="I729" i="18"/>
  <c r="I728" i="18"/>
  <c r="I727" i="18"/>
  <c r="I723" i="18"/>
  <c r="I722" i="18"/>
  <c r="I721" i="18"/>
  <c r="I720" i="18"/>
  <c r="I718" i="18"/>
  <c r="I717" i="18"/>
  <c r="I716" i="18"/>
  <c r="I715" i="18"/>
  <c r="I714" i="18"/>
  <c r="I713" i="18"/>
  <c r="I712" i="18"/>
  <c r="I711" i="18"/>
  <c r="I710" i="18"/>
  <c r="I709" i="18"/>
  <c r="I708" i="18"/>
  <c r="I707" i="18"/>
  <c r="I705" i="18"/>
  <c r="I704" i="18"/>
  <c r="I703" i="18"/>
  <c r="I702" i="18"/>
  <c r="I701" i="18"/>
  <c r="I700" i="18"/>
  <c r="I699" i="18"/>
  <c r="I698" i="18"/>
  <c r="I697" i="18"/>
  <c r="I696" i="18"/>
  <c r="I695" i="18"/>
  <c r="I694" i="18"/>
  <c r="I693" i="18"/>
  <c r="I692" i="18"/>
  <c r="I691" i="18"/>
  <c r="I689" i="18"/>
  <c r="I688" i="18"/>
  <c r="I687" i="18"/>
  <c r="I686" i="18"/>
  <c r="I685" i="18"/>
  <c r="I684" i="18"/>
  <c r="I683" i="18"/>
  <c r="I682" i="18"/>
  <c r="I676" i="18"/>
  <c r="I675" i="18"/>
  <c r="I674" i="18"/>
  <c r="I673" i="18"/>
  <c r="I672" i="18"/>
  <c r="I671" i="18"/>
  <c r="I670" i="18"/>
  <c r="I669" i="18"/>
  <c r="I668" i="18"/>
  <c r="I667" i="18"/>
  <c r="I666" i="18"/>
  <c r="I665" i="18"/>
  <c r="I664" i="18"/>
  <c r="I663" i="18"/>
  <c r="I662" i="18"/>
  <c r="I661" i="18"/>
  <c r="I660" i="18"/>
  <c r="I659" i="18"/>
  <c r="I658" i="18"/>
  <c r="I657" i="18"/>
  <c r="I656" i="18"/>
  <c r="I655" i="18"/>
  <c r="I654" i="18"/>
  <c r="I653" i="18"/>
  <c r="I652" i="18"/>
  <c r="I651" i="18"/>
  <c r="I650" i="18"/>
  <c r="I646" i="18"/>
  <c r="I645" i="18"/>
  <c r="I644" i="18"/>
  <c r="I643" i="18"/>
  <c r="I642" i="18"/>
  <c r="I641" i="18"/>
  <c r="I640" i="18"/>
  <c r="I639" i="18"/>
  <c r="I638" i="18"/>
  <c r="I637" i="18"/>
  <c r="I636" i="18"/>
  <c r="I635" i="18"/>
  <c r="I634" i="18"/>
  <c r="I632" i="18"/>
  <c r="I631" i="18"/>
  <c r="I630" i="18"/>
  <c r="I628" i="18"/>
  <c r="I627" i="18"/>
  <c r="I626" i="18"/>
  <c r="I625" i="18"/>
  <c r="I624" i="18"/>
  <c r="I623" i="18"/>
  <c r="I622" i="18"/>
  <c r="I621" i="18"/>
  <c r="I620" i="18"/>
  <c r="I619" i="18"/>
  <c r="I618" i="18"/>
  <c r="I617" i="18"/>
  <c r="I616" i="18"/>
  <c r="I615" i="18"/>
  <c r="I614" i="18"/>
  <c r="I613" i="18"/>
  <c r="I612" i="18"/>
  <c r="I611" i="18"/>
  <c r="I610" i="18"/>
  <c r="I609" i="18"/>
  <c r="I602" i="18"/>
  <c r="I601" i="18"/>
  <c r="I600" i="18"/>
  <c r="I599" i="18"/>
  <c r="I598" i="18"/>
  <c r="I597" i="18"/>
  <c r="I596" i="18"/>
  <c r="I595" i="18"/>
  <c r="I594" i="18"/>
  <c r="I593" i="18"/>
  <c r="I592" i="18"/>
  <c r="I591" i="18"/>
  <c r="I590" i="18"/>
  <c r="I589" i="18"/>
  <c r="I588" i="18"/>
  <c r="I587" i="18"/>
  <c r="I586" i="18"/>
  <c r="I585" i="18"/>
  <c r="I584" i="18"/>
  <c r="I583" i="18"/>
  <c r="I582" i="18"/>
  <c r="I581" i="18"/>
  <c r="I580" i="18"/>
  <c r="I579" i="18"/>
  <c r="I578" i="18"/>
  <c r="I577" i="18"/>
  <c r="I576" i="18"/>
  <c r="I575" i="18"/>
  <c r="I574" i="18"/>
  <c r="I573" i="18"/>
  <c r="I572" i="18"/>
  <c r="I568" i="18"/>
  <c r="I567" i="18"/>
  <c r="I566" i="18"/>
  <c r="I565" i="18"/>
  <c r="I564" i="18"/>
  <c r="I563" i="18"/>
  <c r="I562" i="18"/>
  <c r="I561" i="18"/>
  <c r="I560" i="18"/>
  <c r="I556" i="18"/>
  <c r="I555" i="18"/>
  <c r="I554" i="18"/>
  <c r="I552" i="18"/>
  <c r="I551" i="18"/>
  <c r="I550" i="18"/>
  <c r="I549" i="18"/>
  <c r="I548" i="18"/>
  <c r="I547" i="18"/>
  <c r="I546" i="18"/>
  <c r="I545" i="18"/>
  <c r="I544" i="18"/>
  <c r="I543" i="18"/>
  <c r="I542" i="18"/>
  <c r="I541" i="18"/>
  <c r="I540" i="18"/>
  <c r="I539" i="18"/>
  <c r="I538" i="18"/>
  <c r="I537" i="18"/>
  <c r="I536" i="18"/>
  <c r="I535" i="18"/>
  <c r="I534" i="18"/>
  <c r="I533" i="18"/>
  <c r="I532" i="18"/>
  <c r="I530" i="18"/>
  <c r="I529" i="18"/>
  <c r="I528" i="18"/>
  <c r="I527" i="18"/>
  <c r="I526" i="18"/>
  <c r="I525" i="18"/>
  <c r="I524" i="18"/>
  <c r="I523" i="18"/>
  <c r="I522" i="18"/>
  <c r="I521" i="18"/>
  <c r="I520" i="18"/>
  <c r="I519" i="18"/>
  <c r="I518" i="18"/>
  <c r="I517" i="18"/>
  <c r="I516" i="18"/>
  <c r="I515" i="18"/>
  <c r="I514" i="18"/>
  <c r="I510" i="18"/>
  <c r="I509" i="18"/>
  <c r="I508" i="18"/>
  <c r="I507" i="18"/>
  <c r="I506" i="18"/>
  <c r="I505" i="18"/>
  <c r="I504" i="18"/>
  <c r="I503" i="18"/>
  <c r="I502" i="18"/>
  <c r="I501" i="18"/>
  <c r="I500" i="18"/>
  <c r="I499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5" i="18"/>
  <c r="I424" i="18"/>
  <c r="I423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3" i="18"/>
  <c r="I342" i="18"/>
  <c r="I341" i="18"/>
  <c r="I340" i="18"/>
  <c r="I339" i="18"/>
  <c r="I338" i="18"/>
  <c r="I337" i="18"/>
  <c r="I336" i="18"/>
  <c r="I335" i="18"/>
  <c r="I331" i="18"/>
  <c r="I330" i="18"/>
  <c r="I329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0" i="18"/>
  <c r="I309" i="18"/>
  <c r="I308" i="18"/>
  <c r="I307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1" i="18"/>
  <c r="I216" i="18"/>
  <c r="I215" i="18"/>
  <c r="I214" i="18"/>
  <c r="I213" i="18"/>
  <c r="I212" i="18"/>
  <c r="I211" i="18"/>
  <c r="I210" i="18"/>
  <c r="I209" i="18"/>
  <c r="I208" i="18"/>
  <c r="I207" i="18"/>
  <c r="I205" i="18"/>
  <c r="I204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06" i="18"/>
  <c r="I105" i="18"/>
  <c r="I104" i="18"/>
  <c r="I102" i="18"/>
  <c r="I101" i="18"/>
  <c r="I100" i="18"/>
  <c r="I98" i="18"/>
  <c r="I97" i="18"/>
  <c r="I96" i="18"/>
  <c r="I94" i="18"/>
  <c r="I93" i="18"/>
  <c r="I92" i="18"/>
  <c r="I91" i="18"/>
  <c r="I90" i="18"/>
  <c r="I89" i="18"/>
  <c r="I88" i="18"/>
  <c r="I86" i="18"/>
  <c r="I85" i="18"/>
  <c r="I84" i="18"/>
  <c r="I83" i="18"/>
  <c r="I82" i="18"/>
  <c r="I81" i="18"/>
  <c r="I80" i="18"/>
  <c r="I75" i="18"/>
  <c r="I74" i="18"/>
  <c r="I73" i="18"/>
  <c r="I72" i="18"/>
  <c r="I71" i="18"/>
  <c r="I70" i="18"/>
  <c r="I69" i="18"/>
  <c r="I68" i="18"/>
  <c r="I67" i="18"/>
  <c r="I66" i="18"/>
  <c r="I39" i="18"/>
  <c r="I38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5" i="18"/>
  <c r="I14" i="18"/>
  <c r="K357" i="8" l="1"/>
  <c r="K356" i="8"/>
  <c r="K221" i="8"/>
  <c r="K220" i="8"/>
  <c r="K85" i="8"/>
  <c r="K84" i="8"/>
  <c r="K125" i="6"/>
  <c r="K124" i="6"/>
  <c r="K131" i="7"/>
  <c r="K130" i="7"/>
  <c r="K35" i="3" l="1"/>
  <c r="K39" i="3"/>
  <c r="J58" i="16"/>
  <c r="J40" i="16"/>
  <c r="B216" i="22"/>
  <c r="B217" i="22"/>
  <c r="B218" i="22"/>
  <c r="B219" i="22"/>
  <c r="B220" i="22"/>
  <c r="B221" i="22"/>
  <c r="B222" i="22"/>
  <c r="B223" i="22"/>
  <c r="B224" i="22"/>
  <c r="B225" i="22"/>
  <c r="B226" i="22"/>
  <c r="B598" i="22"/>
  <c r="B599" i="22"/>
  <c r="B600" i="22"/>
  <c r="B601" i="22"/>
  <c r="B602" i="22"/>
  <c r="B683" i="22"/>
  <c r="B684" i="22"/>
  <c r="B685" i="22"/>
  <c r="B686" i="22"/>
  <c r="B687" i="22"/>
  <c r="B727" i="22"/>
  <c r="B728" i="22"/>
  <c r="B729" i="22"/>
  <c r="B730" i="22"/>
  <c r="B731" i="22"/>
  <c r="B764" i="22"/>
  <c r="B765" i="22"/>
  <c r="B766" i="22"/>
  <c r="B767" i="22"/>
  <c r="B768" i="22"/>
  <c r="B790" i="22"/>
  <c r="B791" i="22"/>
  <c r="B792" i="22"/>
  <c r="B793" i="22"/>
  <c r="B799" i="22"/>
  <c r="B800" i="22"/>
  <c r="B801" i="22"/>
  <c r="B802" i="22"/>
  <c r="B803" i="22"/>
  <c r="B879" i="22"/>
  <c r="B884" i="22"/>
  <c r="K37" i="8"/>
  <c r="K99" i="8"/>
  <c r="K108" i="8"/>
  <c r="K128" i="8"/>
  <c r="K174" i="8"/>
  <c r="K235" i="8"/>
  <c r="K244" i="8"/>
  <c r="K264" i="8"/>
  <c r="K371" i="8"/>
  <c r="K380" i="8"/>
  <c r="K400" i="8"/>
  <c r="K147" i="7"/>
  <c r="K163" i="7"/>
  <c r="K202" i="7"/>
  <c r="K141" i="6"/>
  <c r="K157" i="6"/>
  <c r="K196" i="6"/>
  <c r="K15" i="3"/>
  <c r="K20" i="3"/>
  <c r="L10" i="3" l="1"/>
  <c r="J103" i="7" l="1"/>
  <c r="J178" i="7"/>
  <c r="J178" i="6"/>
  <c r="J176" i="6"/>
  <c r="J170" i="6"/>
  <c r="J179" i="7"/>
  <c r="J177" i="6"/>
  <c r="J169" i="6"/>
  <c r="J180" i="7"/>
  <c r="J183" i="6"/>
  <c r="J175" i="6"/>
  <c r="J171" i="6"/>
  <c r="J179" i="6"/>
  <c r="J182" i="6"/>
  <c r="J181" i="6"/>
  <c r="J180" i="6"/>
  <c r="J397" i="8"/>
  <c r="J405" i="8"/>
  <c r="J395" i="8"/>
  <c r="J379" i="8"/>
  <c r="J375" i="8"/>
  <c r="J356" i="8"/>
  <c r="J364" i="8"/>
  <c r="J372" i="8"/>
  <c r="J324" i="8"/>
  <c r="J332" i="8"/>
  <c r="J340" i="8"/>
  <c r="J311" i="8"/>
  <c r="J286" i="8"/>
  <c r="J294" i="8"/>
  <c r="L294" i="8" s="1"/>
  <c r="J302" i="8"/>
  <c r="J398" i="8"/>
  <c r="J406" i="8"/>
  <c r="L406" i="8" s="1"/>
  <c r="J389" i="8"/>
  <c r="J380" i="8"/>
  <c r="L380" i="8" s="1"/>
  <c r="J357" i="8"/>
  <c r="J365" i="8"/>
  <c r="J373" i="8"/>
  <c r="J333" i="8"/>
  <c r="J341" i="8"/>
  <c r="J312" i="8"/>
  <c r="J287" i="8"/>
  <c r="J295" i="8"/>
  <c r="J303" i="8"/>
  <c r="J266" i="8"/>
  <c r="L266" i="8" s="1"/>
  <c r="J274" i="8"/>
  <c r="J240" i="8"/>
  <c r="J248" i="8"/>
  <c r="J217" i="8"/>
  <c r="J225" i="8"/>
  <c r="J233" i="8"/>
  <c r="J191" i="8"/>
  <c r="J199" i="8"/>
  <c r="L199" i="8" s="1"/>
  <c r="J207" i="8"/>
  <c r="J170" i="8"/>
  <c r="J155" i="8"/>
  <c r="J163" i="8"/>
  <c r="J126" i="8"/>
  <c r="J134" i="8"/>
  <c r="L134" i="8" s="1"/>
  <c r="J117" i="8"/>
  <c r="J108" i="8"/>
  <c r="L108" i="8" s="1"/>
  <c r="J85" i="8"/>
  <c r="J93" i="8"/>
  <c r="J101" i="8"/>
  <c r="J61" i="8"/>
  <c r="J69" i="8"/>
  <c r="J9" i="8"/>
  <c r="J17" i="8"/>
  <c r="J25" i="8"/>
  <c r="J33" i="8"/>
  <c r="J41" i="8"/>
  <c r="J199" i="7"/>
  <c r="J207" i="7"/>
  <c r="J215" i="7"/>
  <c r="J223" i="7"/>
  <c r="J185" i="7"/>
  <c r="J156" i="7"/>
  <c r="J164" i="7"/>
  <c r="L164" i="7" s="1"/>
  <c r="J172" i="7"/>
  <c r="L172" i="7" s="1"/>
  <c r="J120" i="7"/>
  <c r="J128" i="7"/>
  <c r="J136" i="7"/>
  <c r="L136" i="7" s="1"/>
  <c r="J144" i="7"/>
  <c r="J74" i="7"/>
  <c r="L74" i="7" s="1"/>
  <c r="J82" i="7"/>
  <c r="J90" i="7"/>
  <c r="J98" i="7"/>
  <c r="J106" i="7"/>
  <c r="J53" i="7"/>
  <c r="J61" i="7"/>
  <c r="J6" i="7"/>
  <c r="J14" i="7"/>
  <c r="J22" i="7"/>
  <c r="J30" i="7"/>
  <c r="L30" i="7" s="1"/>
  <c r="J38" i="7"/>
  <c r="L38" i="7" s="1"/>
  <c r="J190" i="6"/>
  <c r="J198" i="6"/>
  <c r="L198" i="6" s="1"/>
  <c r="J206" i="6"/>
  <c r="J214" i="6"/>
  <c r="J155" i="6"/>
  <c r="J163" i="6"/>
  <c r="J119" i="6"/>
  <c r="J135" i="6"/>
  <c r="J143" i="6"/>
  <c r="J85" i="6"/>
  <c r="J93" i="6"/>
  <c r="J399" i="8"/>
  <c r="J407" i="8"/>
  <c r="L407" i="8" s="1"/>
  <c r="J390" i="8"/>
  <c r="J381" i="8"/>
  <c r="L381" i="8" s="1"/>
  <c r="J350" i="8"/>
  <c r="J366" i="8"/>
  <c r="J334" i="8"/>
  <c r="J342" i="8"/>
  <c r="J313" i="8"/>
  <c r="J288" i="8"/>
  <c r="J296" i="8"/>
  <c r="J284" i="8"/>
  <c r="J267" i="8"/>
  <c r="J275" i="8"/>
  <c r="J241" i="8"/>
  <c r="J249" i="8"/>
  <c r="L249" i="8" s="1"/>
  <c r="J218" i="8"/>
  <c r="J226" i="8"/>
  <c r="J234" i="8"/>
  <c r="L234" i="8" s="1"/>
  <c r="J192" i="8"/>
  <c r="J200" i="8"/>
  <c r="L200" i="8" s="1"/>
  <c r="J208" i="8"/>
  <c r="J173" i="8"/>
  <c r="J169" i="8"/>
  <c r="J156" i="8"/>
  <c r="J164" i="8"/>
  <c r="J127" i="8"/>
  <c r="J135" i="8"/>
  <c r="L135" i="8" s="1"/>
  <c r="J118" i="8"/>
  <c r="J109" i="8"/>
  <c r="L109" i="8" s="1"/>
  <c r="J78" i="8"/>
  <c r="J94" i="8"/>
  <c r="J62" i="8"/>
  <c r="J70" i="8"/>
  <c r="J10" i="8"/>
  <c r="J18" i="8"/>
  <c r="J26" i="8"/>
  <c r="J34" i="8"/>
  <c r="J42" i="8"/>
  <c r="J200" i="7"/>
  <c r="J208" i="7"/>
  <c r="J216" i="7"/>
  <c r="J193" i="7"/>
  <c r="J186" i="7"/>
  <c r="J157" i="7"/>
  <c r="J165" i="7"/>
  <c r="L165" i="7" s="1"/>
  <c r="J173" i="7"/>
  <c r="L173" i="7" s="1"/>
  <c r="J121" i="7"/>
  <c r="J129" i="7"/>
  <c r="J137" i="7"/>
  <c r="J145" i="7"/>
  <c r="J67" i="7"/>
  <c r="J75" i="7"/>
  <c r="L75" i="7" s="1"/>
  <c r="J83" i="7"/>
  <c r="J91" i="7"/>
  <c r="J99" i="7"/>
  <c r="J107" i="7"/>
  <c r="J54" i="7"/>
  <c r="J62" i="7"/>
  <c r="L62" i="7" s="1"/>
  <c r="J7" i="7"/>
  <c r="J15" i="7"/>
  <c r="J23" i="7"/>
  <c r="J31" i="7"/>
  <c r="L31" i="7" s="1"/>
  <c r="J400" i="8"/>
  <c r="L400" i="8" s="1"/>
  <c r="J408" i="8"/>
  <c r="J391" i="8"/>
  <c r="J382" i="8"/>
  <c r="J351" i="8"/>
  <c r="J367" i="8"/>
  <c r="J319" i="8"/>
  <c r="J327" i="8"/>
  <c r="J335" i="8"/>
  <c r="L335" i="8" s="1"/>
  <c r="J343" i="8"/>
  <c r="J314" i="8"/>
  <c r="J289" i="8"/>
  <c r="L289" i="8" s="1"/>
  <c r="J297" i="8"/>
  <c r="L297" i="8" s="1"/>
  <c r="J260" i="8"/>
  <c r="J268" i="8"/>
  <c r="J276" i="8"/>
  <c r="J242" i="8"/>
  <c r="J250" i="8"/>
  <c r="L250" i="8" s="1"/>
  <c r="J219" i="8"/>
  <c r="J227" i="8"/>
  <c r="J235" i="8"/>
  <c r="L235" i="8" s="1"/>
  <c r="J193" i="8"/>
  <c r="J201" i="8"/>
  <c r="J188" i="8"/>
  <c r="J174" i="8"/>
  <c r="L174" i="8" s="1"/>
  <c r="J149" i="8"/>
  <c r="J157" i="8"/>
  <c r="J165" i="8"/>
  <c r="J128" i="8"/>
  <c r="L128" i="8" s="1"/>
  <c r="J136" i="8"/>
  <c r="J119" i="8"/>
  <c r="J110" i="8"/>
  <c r="J79" i="8"/>
  <c r="J95" i="8"/>
  <c r="J47" i="8"/>
  <c r="J55" i="8"/>
  <c r="J63" i="8"/>
  <c r="L63" i="8" s="1"/>
  <c r="J71" i="8"/>
  <c r="J11" i="8"/>
  <c r="L11" i="8" s="1"/>
  <c r="J19" i="8"/>
  <c r="L19" i="8" s="1"/>
  <c r="J27" i="8"/>
  <c r="J35" i="8"/>
  <c r="J5" i="8"/>
  <c r="J201" i="7"/>
  <c r="J209" i="7"/>
  <c r="L209" i="7" s="1"/>
  <c r="J217" i="7"/>
  <c r="J176" i="7"/>
  <c r="J187" i="7"/>
  <c r="J158" i="7"/>
  <c r="J166" i="7"/>
  <c r="J153" i="7"/>
  <c r="J122" i="7"/>
  <c r="J130" i="7"/>
  <c r="J138" i="7"/>
  <c r="J146" i="7"/>
  <c r="J76" i="7"/>
  <c r="J92" i="7"/>
  <c r="L92" i="7" s="1"/>
  <c r="J100" i="7"/>
  <c r="J108" i="7"/>
  <c r="J55" i="7"/>
  <c r="J50" i="7"/>
  <c r="J8" i="7"/>
  <c r="J16" i="7"/>
  <c r="J24" i="7"/>
  <c r="L24" i="7" s="1"/>
  <c r="J32" i="7"/>
  <c r="L32" i="7" s="1"/>
  <c r="J40" i="7"/>
  <c r="J192" i="6"/>
  <c r="J200" i="6"/>
  <c r="J208" i="6"/>
  <c r="J216" i="6"/>
  <c r="J149" i="6"/>
  <c r="J157" i="6"/>
  <c r="L157" i="6" s="1"/>
  <c r="J165" i="6"/>
  <c r="J121" i="6"/>
  <c r="J129" i="6"/>
  <c r="J137" i="6"/>
  <c r="J145" i="6"/>
  <c r="J401" i="8"/>
  <c r="J409" i="8"/>
  <c r="J388" i="8"/>
  <c r="J383" i="8"/>
  <c r="J352" i="8"/>
  <c r="J368" i="8"/>
  <c r="J328" i="8"/>
  <c r="J336" i="8"/>
  <c r="L336" i="8" s="1"/>
  <c r="J344" i="8"/>
  <c r="J308" i="8"/>
  <c r="J290" i="8"/>
  <c r="J298" i="8"/>
  <c r="J261" i="8"/>
  <c r="J269" i="8"/>
  <c r="J259" i="8"/>
  <c r="J243" i="8"/>
  <c r="J239" i="8"/>
  <c r="J220" i="8"/>
  <c r="J228" i="8"/>
  <c r="J236" i="8"/>
  <c r="J194" i="8"/>
  <c r="J202" i="8"/>
  <c r="J187" i="8"/>
  <c r="J175" i="8"/>
  <c r="J150" i="8"/>
  <c r="J158" i="8"/>
  <c r="L158" i="8" s="1"/>
  <c r="J166" i="8"/>
  <c r="J129" i="8"/>
  <c r="J137" i="8"/>
  <c r="J116" i="8"/>
  <c r="J111" i="8"/>
  <c r="J80" i="8"/>
  <c r="J96" i="8"/>
  <c r="J56" i="8"/>
  <c r="J64" i="8"/>
  <c r="L64" i="8" s="1"/>
  <c r="J72" i="8"/>
  <c r="J12" i="8"/>
  <c r="J20" i="8"/>
  <c r="J28" i="8"/>
  <c r="J36" i="8"/>
  <c r="J194" i="7"/>
  <c r="J202" i="7"/>
  <c r="L202" i="7" s="1"/>
  <c r="J210" i="7"/>
  <c r="L210" i="7" s="1"/>
  <c r="J218" i="7"/>
  <c r="J177" i="7"/>
  <c r="J188" i="7"/>
  <c r="J159" i="7"/>
  <c r="J167" i="7"/>
  <c r="J123" i="7"/>
  <c r="J131" i="7"/>
  <c r="J139" i="7"/>
  <c r="J147" i="7"/>
  <c r="L147" i="7" s="1"/>
  <c r="J69" i="7"/>
  <c r="J77" i="7"/>
  <c r="J85" i="7"/>
  <c r="J93" i="7"/>
  <c r="J101" i="7"/>
  <c r="J109" i="7"/>
  <c r="J56" i="7"/>
  <c r="J49" i="7"/>
  <c r="J9" i="7"/>
  <c r="J17" i="7"/>
  <c r="J25" i="7"/>
  <c r="L25" i="7" s="1"/>
  <c r="J33" i="7"/>
  <c r="L33" i="7" s="1"/>
  <c r="J41" i="7"/>
  <c r="L41" i="7" s="1"/>
  <c r="J193" i="6"/>
  <c r="J201" i="6"/>
  <c r="J209" i="6"/>
  <c r="J217" i="6"/>
  <c r="J150" i="6"/>
  <c r="J158" i="6"/>
  <c r="L158" i="6" s="1"/>
  <c r="J166" i="6"/>
  <c r="L166" i="6" s="1"/>
  <c r="J114" i="6"/>
  <c r="J122" i="6"/>
  <c r="J130" i="6"/>
  <c r="L130" i="6" s="1"/>
  <c r="J138" i="6"/>
  <c r="J88" i="6"/>
  <c r="J96" i="6"/>
  <c r="J402" i="8"/>
  <c r="J410" i="8"/>
  <c r="J376" i="8"/>
  <c r="J384" i="8"/>
  <c r="J353" i="8"/>
  <c r="J361" i="8"/>
  <c r="J369" i="8"/>
  <c r="J321" i="8"/>
  <c r="J329" i="8"/>
  <c r="J337" i="8"/>
  <c r="J306" i="8"/>
  <c r="J291" i="8"/>
  <c r="J299" i="8"/>
  <c r="J262" i="8"/>
  <c r="J270" i="8"/>
  <c r="L270" i="8" s="1"/>
  <c r="J253" i="8"/>
  <c r="J244" i="8"/>
  <c r="L244" i="8" s="1"/>
  <c r="J221" i="8"/>
  <c r="J229" i="8"/>
  <c r="J237" i="8"/>
  <c r="J195" i="8"/>
  <c r="J203" i="8"/>
  <c r="J186" i="8"/>
  <c r="J176" i="8"/>
  <c r="J151" i="8"/>
  <c r="J159" i="8"/>
  <c r="J167" i="8"/>
  <c r="J130" i="8"/>
  <c r="L130" i="8" s="1"/>
  <c r="J138" i="8"/>
  <c r="J104" i="8"/>
  <c r="J112" i="8"/>
  <c r="J81" i="8"/>
  <c r="J89" i="8"/>
  <c r="J97" i="8"/>
  <c r="J49" i="8"/>
  <c r="J57" i="8"/>
  <c r="J65" i="8"/>
  <c r="J13" i="8"/>
  <c r="L13" i="8" s="1"/>
  <c r="J21" i="8"/>
  <c r="L21" i="8" s="1"/>
  <c r="J29" i="8"/>
  <c r="J37" i="8"/>
  <c r="J195" i="7"/>
  <c r="J203" i="7"/>
  <c r="J211" i="7"/>
  <c r="L211" i="7" s="1"/>
  <c r="J219" i="7"/>
  <c r="J181" i="7"/>
  <c r="J189" i="7"/>
  <c r="J160" i="7"/>
  <c r="J168" i="7"/>
  <c r="J124" i="7"/>
  <c r="J140" i="7"/>
  <c r="J148" i="7"/>
  <c r="J70" i="7"/>
  <c r="J86" i="7"/>
  <c r="L86" i="7" s="1"/>
  <c r="J94" i="7"/>
  <c r="J102" i="7"/>
  <c r="J110" i="7"/>
  <c r="J57" i="7"/>
  <c r="J48" i="7"/>
  <c r="J10" i="7"/>
  <c r="J18" i="7"/>
  <c r="J26" i="7"/>
  <c r="L26" i="7" s="1"/>
  <c r="J34" i="7"/>
  <c r="J42" i="7"/>
  <c r="J194" i="6"/>
  <c r="J202" i="6"/>
  <c r="J210" i="6"/>
  <c r="J187" i="6"/>
  <c r="J151" i="6"/>
  <c r="J159" i="6"/>
  <c r="L159" i="6" s="1"/>
  <c r="J167" i="6"/>
  <c r="L167" i="6" s="1"/>
  <c r="J115" i="6"/>
  <c r="J123" i="6"/>
  <c r="J131" i="6"/>
  <c r="J139" i="6"/>
  <c r="J81" i="6"/>
  <c r="L81" i="6" s="1"/>
  <c r="J89" i="6"/>
  <c r="L89" i="6" s="1"/>
  <c r="J97" i="6"/>
  <c r="J403" i="8"/>
  <c r="J411" i="8"/>
  <c r="J377" i="8"/>
  <c r="J385" i="8"/>
  <c r="L385" i="8" s="1"/>
  <c r="J354" i="8"/>
  <c r="J362" i="8"/>
  <c r="J370" i="8"/>
  <c r="L370" i="8" s="1"/>
  <c r="J322" i="8"/>
  <c r="J330" i="8"/>
  <c r="J338" i="8"/>
  <c r="J309" i="8"/>
  <c r="J305" i="8"/>
  <c r="J292" i="8"/>
  <c r="J300" i="8"/>
  <c r="J263" i="8"/>
  <c r="J271" i="8"/>
  <c r="L271" i="8" s="1"/>
  <c r="J254" i="8"/>
  <c r="J245" i="8"/>
  <c r="L245" i="8" s="1"/>
  <c r="J214" i="8"/>
  <c r="J230" i="8"/>
  <c r="J196" i="8"/>
  <c r="J204" i="8"/>
  <c r="J185" i="8"/>
  <c r="J177" i="8"/>
  <c r="J152" i="8"/>
  <c r="J160" i="8"/>
  <c r="J148" i="8"/>
  <c r="J131" i="8"/>
  <c r="J139" i="8"/>
  <c r="J105" i="8"/>
  <c r="J113" i="8"/>
  <c r="L113" i="8" s="1"/>
  <c r="J82" i="8"/>
  <c r="J90" i="8"/>
  <c r="J98" i="8"/>
  <c r="L98" i="8" s="1"/>
  <c r="J50" i="8"/>
  <c r="J58" i="8"/>
  <c r="J66" i="8"/>
  <c r="J6" i="8"/>
  <c r="J14" i="8"/>
  <c r="L14" i="8" s="1"/>
  <c r="J22" i="8"/>
  <c r="J30" i="8"/>
  <c r="J38" i="8"/>
  <c r="L38" i="8" s="1"/>
  <c r="J196" i="7"/>
  <c r="J204" i="7"/>
  <c r="L204" i="7" s="1"/>
  <c r="J212" i="7"/>
  <c r="J220" i="7"/>
  <c r="J182" i="7"/>
  <c r="J175" i="7"/>
  <c r="J161" i="7"/>
  <c r="J169" i="7"/>
  <c r="J125" i="7"/>
  <c r="J141" i="7"/>
  <c r="J149" i="7"/>
  <c r="J71" i="7"/>
  <c r="J79" i="7"/>
  <c r="J87" i="7"/>
  <c r="L87" i="7" s="1"/>
  <c r="J95" i="7"/>
  <c r="L95" i="7" s="1"/>
  <c r="J58" i="7"/>
  <c r="J45" i="7"/>
  <c r="J11" i="7"/>
  <c r="J19" i="7"/>
  <c r="J27" i="7"/>
  <c r="L27" i="7" s="1"/>
  <c r="J35" i="7"/>
  <c r="L35" i="7" s="1"/>
  <c r="J5" i="7"/>
  <c r="J195" i="6"/>
  <c r="J203" i="6"/>
  <c r="L203" i="6" s="1"/>
  <c r="J211" i="6"/>
  <c r="J152" i="6"/>
  <c r="J160" i="6"/>
  <c r="J147" i="6"/>
  <c r="J116" i="6"/>
  <c r="J124" i="6"/>
  <c r="J132" i="6"/>
  <c r="J140" i="6"/>
  <c r="J82" i="6"/>
  <c r="J90" i="6"/>
  <c r="J98" i="6"/>
  <c r="J396" i="8"/>
  <c r="J404" i="8"/>
  <c r="J161" i="8"/>
  <c r="L161" i="8" s="1"/>
  <c r="J196" i="6"/>
  <c r="L196" i="6" s="1"/>
  <c r="J68" i="6"/>
  <c r="L68" i="6" s="1"/>
  <c r="J29" i="6"/>
  <c r="L29" i="6" s="1"/>
  <c r="K183" i="6" s="1"/>
  <c r="J412" i="8"/>
  <c r="J339" i="8"/>
  <c r="J273" i="8"/>
  <c r="J206" i="8"/>
  <c r="J162" i="8"/>
  <c r="J107" i="8"/>
  <c r="J100" i="8"/>
  <c r="J8" i="8"/>
  <c r="J40" i="8"/>
  <c r="J143" i="7"/>
  <c r="J197" i="6"/>
  <c r="J76" i="6"/>
  <c r="J378" i="8"/>
  <c r="J310" i="8"/>
  <c r="J255" i="8"/>
  <c r="J231" i="8"/>
  <c r="J124" i="8"/>
  <c r="J114" i="8"/>
  <c r="L114" i="8" s="1"/>
  <c r="J51" i="8"/>
  <c r="J15" i="8"/>
  <c r="J197" i="7"/>
  <c r="J183" i="7"/>
  <c r="J150" i="7"/>
  <c r="J96" i="7"/>
  <c r="J46" i="7"/>
  <c r="J36" i="7"/>
  <c r="L36" i="7" s="1"/>
  <c r="J199" i="6"/>
  <c r="J161" i="6"/>
  <c r="J120" i="6"/>
  <c r="J142" i="6"/>
  <c r="J94" i="6"/>
  <c r="L94" i="6" s="1"/>
  <c r="J61" i="6"/>
  <c r="J69" i="6"/>
  <c r="L69" i="6" s="1"/>
  <c r="J77" i="6"/>
  <c r="J51" i="6"/>
  <c r="J6" i="6"/>
  <c r="J14" i="6"/>
  <c r="J22" i="6"/>
  <c r="J30" i="6"/>
  <c r="L30" i="6" s="1"/>
  <c r="J38" i="6"/>
  <c r="L38" i="6" s="1"/>
  <c r="J7" i="6"/>
  <c r="J23" i="6"/>
  <c r="J31" i="6"/>
  <c r="L31" i="6" s="1"/>
  <c r="J23" i="8"/>
  <c r="J126" i="7"/>
  <c r="J104" i="7"/>
  <c r="J12" i="7"/>
  <c r="J205" i="6"/>
  <c r="L205" i="6" s="1"/>
  <c r="J164" i="6"/>
  <c r="J99" i="6"/>
  <c r="L99" i="6" s="1"/>
  <c r="J71" i="6"/>
  <c r="J8" i="6"/>
  <c r="J24" i="6"/>
  <c r="L24" i="6" s="1"/>
  <c r="J40" i="6"/>
  <c r="J20" i="7"/>
  <c r="J65" i="6"/>
  <c r="J18" i="6"/>
  <c r="J323" i="8"/>
  <c r="J154" i="8"/>
  <c r="J92" i="8"/>
  <c r="J32" i="8"/>
  <c r="J163" i="7"/>
  <c r="L163" i="7" s="1"/>
  <c r="J21" i="7"/>
  <c r="L21" i="7" s="1"/>
  <c r="J213" i="6"/>
  <c r="J102" i="6"/>
  <c r="J56" i="6"/>
  <c r="J35" i="6"/>
  <c r="L35" i="6" s="1"/>
  <c r="J272" i="8"/>
  <c r="J106" i="8"/>
  <c r="J7" i="8"/>
  <c r="J142" i="7"/>
  <c r="J59" i="7"/>
  <c r="J117" i="6"/>
  <c r="J103" i="6"/>
  <c r="J75" i="6"/>
  <c r="L75" i="6" s="1"/>
  <c r="J12" i="6"/>
  <c r="J45" i="6"/>
  <c r="J171" i="7"/>
  <c r="J29" i="7"/>
  <c r="L29" i="7" s="1"/>
  <c r="J141" i="6"/>
  <c r="L141" i="6" s="1"/>
  <c r="J13" i="6"/>
  <c r="J386" i="8"/>
  <c r="L386" i="8" s="1"/>
  <c r="J285" i="8"/>
  <c r="J252" i="8"/>
  <c r="J232" i="8"/>
  <c r="J183" i="8"/>
  <c r="J125" i="8"/>
  <c r="J103" i="8"/>
  <c r="J52" i="8"/>
  <c r="J16" i="8"/>
  <c r="L16" i="8" s="1"/>
  <c r="J198" i="7"/>
  <c r="J184" i="7"/>
  <c r="J151" i="7"/>
  <c r="J97" i="7"/>
  <c r="J44" i="7"/>
  <c r="J37" i="7"/>
  <c r="J204" i="6"/>
  <c r="L204" i="6" s="1"/>
  <c r="J162" i="6"/>
  <c r="J125" i="6"/>
  <c r="J144" i="6"/>
  <c r="J95" i="6"/>
  <c r="J70" i="6"/>
  <c r="J52" i="6"/>
  <c r="J15" i="6"/>
  <c r="J39" i="6"/>
  <c r="L39" i="6" s="1"/>
  <c r="J154" i="7"/>
  <c r="J83" i="6"/>
  <c r="L83" i="6" s="1"/>
  <c r="J63" i="6"/>
  <c r="J79" i="6"/>
  <c r="J16" i="6"/>
  <c r="J32" i="6"/>
  <c r="L32" i="6" s="1"/>
  <c r="J51" i="7"/>
  <c r="J86" i="6"/>
  <c r="L86" i="6" s="1"/>
  <c r="J34" i="6"/>
  <c r="J198" i="8"/>
  <c r="J52" i="7"/>
  <c r="J74" i="6"/>
  <c r="L74" i="6" s="1"/>
  <c r="J27" i="6"/>
  <c r="L27" i="6" s="1"/>
  <c r="K181" i="6" s="1"/>
  <c r="J221" i="7"/>
  <c r="J215" i="6"/>
  <c r="J67" i="6"/>
  <c r="J28" i="6"/>
  <c r="L28" i="6" s="1"/>
  <c r="K182" i="6" s="1"/>
  <c r="L182" i="6" s="1"/>
  <c r="J89" i="7"/>
  <c r="L89" i="7" s="1"/>
  <c r="J156" i="6"/>
  <c r="J104" i="6"/>
  <c r="L104" i="6" s="1"/>
  <c r="J21" i="6"/>
  <c r="L21" i="6" s="1"/>
  <c r="J355" i="8"/>
  <c r="J293" i="8"/>
  <c r="J246" i="8"/>
  <c r="J178" i="8"/>
  <c r="J132" i="8"/>
  <c r="J83" i="8"/>
  <c r="J59" i="8"/>
  <c r="J205" i="7"/>
  <c r="J39" i="7"/>
  <c r="L39" i="7" s="1"/>
  <c r="J53" i="6"/>
  <c r="L53" i="6" s="1"/>
  <c r="J189" i="6"/>
  <c r="J133" i="6"/>
  <c r="J73" i="6"/>
  <c r="J26" i="6"/>
  <c r="L26" i="6" s="1"/>
  <c r="J265" i="8"/>
  <c r="J81" i="7"/>
  <c r="L81" i="7" s="1"/>
  <c r="J87" i="6"/>
  <c r="J11" i="6"/>
  <c r="J205" i="8"/>
  <c r="J170" i="7"/>
  <c r="J136" i="6"/>
  <c r="J47" i="6"/>
  <c r="J60" i="7"/>
  <c r="J118" i="6"/>
  <c r="J50" i="6"/>
  <c r="J363" i="8"/>
  <c r="J301" i="8"/>
  <c r="J247" i="8"/>
  <c r="J172" i="8"/>
  <c r="J133" i="8"/>
  <c r="J84" i="8"/>
  <c r="J60" i="8"/>
  <c r="J24" i="8"/>
  <c r="J206" i="7"/>
  <c r="J155" i="7"/>
  <c r="J127" i="7"/>
  <c r="J73" i="7"/>
  <c r="J105" i="7"/>
  <c r="L105" i="7" s="1"/>
  <c r="J13" i="7"/>
  <c r="J188" i="6"/>
  <c r="J207" i="6"/>
  <c r="J84" i="6"/>
  <c r="J100" i="6"/>
  <c r="J64" i="6"/>
  <c r="J80" i="6"/>
  <c r="L80" i="6" s="1"/>
  <c r="J54" i="6"/>
  <c r="L54" i="6" s="1"/>
  <c r="J9" i="6"/>
  <c r="J17" i="6"/>
  <c r="J25" i="6"/>
  <c r="L25" i="6" s="1"/>
  <c r="J33" i="6"/>
  <c r="L33" i="6" s="1"/>
  <c r="J41" i="6"/>
  <c r="L41" i="6" s="1"/>
  <c r="J371" i="8"/>
  <c r="L371" i="8" s="1"/>
  <c r="J264" i="8"/>
  <c r="L264" i="8" s="1"/>
  <c r="J215" i="8"/>
  <c r="J197" i="8"/>
  <c r="J153" i="8"/>
  <c r="L153" i="8" s="1"/>
  <c r="J140" i="8"/>
  <c r="J91" i="8"/>
  <c r="J67" i="8"/>
  <c r="J31" i="8"/>
  <c r="J213" i="7"/>
  <c r="J162" i="7"/>
  <c r="J80" i="7"/>
  <c r="L80" i="7" s="1"/>
  <c r="J212" i="6"/>
  <c r="J148" i="6"/>
  <c r="J101" i="6"/>
  <c r="J55" i="6"/>
  <c r="J10" i="6"/>
  <c r="J42" i="6"/>
  <c r="J216" i="8"/>
  <c r="J123" i="8"/>
  <c r="J68" i="8"/>
  <c r="J214" i="7"/>
  <c r="J135" i="7"/>
  <c r="J191" i="6"/>
  <c r="J153" i="6"/>
  <c r="J134" i="6"/>
  <c r="J48" i="6"/>
  <c r="J19" i="6"/>
  <c r="J44" i="6"/>
  <c r="J331" i="8"/>
  <c r="J99" i="8"/>
  <c r="L99" i="8" s="1"/>
  <c r="J39" i="8"/>
  <c r="J88" i="7"/>
  <c r="J28" i="7"/>
  <c r="L28" i="7" s="1"/>
  <c r="J154" i="6"/>
  <c r="J91" i="6"/>
  <c r="J49" i="6"/>
  <c r="J20" i="6"/>
  <c r="J36" i="6"/>
  <c r="L36" i="6" s="1"/>
  <c r="J222" i="7"/>
  <c r="J92" i="6"/>
  <c r="J5" i="6"/>
  <c r="J37" i="6"/>
  <c r="BO7" i="23"/>
  <c r="BE132" i="23"/>
  <c r="BE67" i="23"/>
  <c r="BE3" i="23"/>
  <c r="C7" i="23"/>
  <c r="AB7" i="23"/>
  <c r="F7" i="20"/>
  <c r="J160" i="3"/>
  <c r="L160" i="3" s="1"/>
  <c r="J156" i="3"/>
  <c r="J152" i="3"/>
  <c r="L152" i="3" s="1"/>
  <c r="J158" i="3"/>
  <c r="L158" i="3" s="1"/>
  <c r="J150" i="3"/>
  <c r="L150" i="3" s="1"/>
  <c r="J159" i="3"/>
  <c r="L159" i="3" s="1"/>
  <c r="J155" i="3"/>
  <c r="J151" i="3"/>
  <c r="L151" i="3" s="1"/>
  <c r="J154" i="3"/>
  <c r="L154" i="3" s="1"/>
  <c r="J157" i="3"/>
  <c r="L157" i="3" s="1"/>
  <c r="J153" i="3"/>
  <c r="L153" i="3" s="1"/>
  <c r="J149" i="3"/>
  <c r="L149" i="3" s="1"/>
  <c r="J38" i="3"/>
  <c r="L38" i="3" s="1"/>
  <c r="J68" i="3"/>
  <c r="L68" i="3" s="1"/>
  <c r="J30" i="3"/>
  <c r="J72" i="3"/>
  <c r="L72" i="3" s="1"/>
  <c r="J34" i="3"/>
  <c r="J32" i="3"/>
  <c r="J31" i="3"/>
  <c r="L8" i="3"/>
  <c r="J111" i="3" s="1"/>
  <c r="J27" i="3"/>
  <c r="J71" i="3"/>
  <c r="L71" i="3" s="1"/>
  <c r="J67" i="3"/>
  <c r="L67" i="3" s="1"/>
  <c r="J69" i="3"/>
  <c r="L69" i="3" s="1"/>
  <c r="J28" i="3"/>
  <c r="J36" i="3"/>
  <c r="J26" i="3"/>
  <c r="J29" i="3"/>
  <c r="J33" i="3"/>
  <c r="J24" i="3"/>
  <c r="J23" i="3"/>
  <c r="J25" i="3"/>
  <c r="J73" i="3"/>
  <c r="L73" i="3" s="1"/>
  <c r="L183" i="6" l="1"/>
  <c r="L140" i="3"/>
  <c r="L136" i="3"/>
  <c r="L133" i="3"/>
  <c r="L144" i="3"/>
  <c r="J129" i="3"/>
  <c r="J130" i="3"/>
  <c r="L137" i="3"/>
  <c r="L134" i="3"/>
  <c r="L142" i="3"/>
  <c r="K23" i="7" s="1"/>
  <c r="L23" i="7" s="1"/>
  <c r="L139" i="3"/>
  <c r="L135" i="3"/>
  <c r="L145" i="3"/>
  <c r="L181" i="6"/>
  <c r="K402" i="8"/>
  <c r="L402" i="8" s="1"/>
  <c r="K66" i="3"/>
  <c r="K70" i="3"/>
  <c r="F6" i="20"/>
  <c r="BO6" i="23"/>
  <c r="BB132" i="23"/>
  <c r="BB3" i="23"/>
  <c r="BB67" i="23"/>
  <c r="AB6" i="23"/>
  <c r="C6" i="23"/>
  <c r="K306" i="8"/>
  <c r="K170" i="8"/>
  <c r="L111" i="3"/>
  <c r="K129" i="3" s="1"/>
  <c r="J98" i="3"/>
  <c r="J115" i="3"/>
  <c r="L115" i="3" s="1"/>
  <c r="J104" i="3"/>
  <c r="J89" i="3"/>
  <c r="J81" i="3"/>
  <c r="J84" i="3"/>
  <c r="J119" i="3"/>
  <c r="L119" i="3" s="1"/>
  <c r="J123" i="3"/>
  <c r="L123" i="3" s="1"/>
  <c r="L143" i="3"/>
  <c r="J93" i="3"/>
  <c r="J112" i="3"/>
  <c r="L112" i="3" s="1"/>
  <c r="K130" i="3" s="1"/>
  <c r="J124" i="3"/>
  <c r="L124" i="3" s="1"/>
  <c r="J85" i="3"/>
  <c r="J94" i="3"/>
  <c r="J100" i="3"/>
  <c r="J113" i="3"/>
  <c r="L113" i="3" s="1"/>
  <c r="J117" i="3"/>
  <c r="L117" i="3" s="1"/>
  <c r="J121" i="3"/>
  <c r="L121" i="3" s="1"/>
  <c r="K22" i="6" s="1"/>
  <c r="J125" i="3"/>
  <c r="L125" i="3" s="1"/>
  <c r="L141" i="3"/>
  <c r="K22" i="7" s="1"/>
  <c r="J82" i="3"/>
  <c r="J86" i="3"/>
  <c r="J91" i="3"/>
  <c r="J96" i="3"/>
  <c r="J101" i="3"/>
  <c r="J106" i="3"/>
  <c r="J116" i="3"/>
  <c r="L116" i="3" s="1"/>
  <c r="I42" i="16" s="1"/>
  <c r="J120" i="3"/>
  <c r="L120" i="3" s="1"/>
  <c r="J80" i="3"/>
  <c r="J90" i="3"/>
  <c r="J105" i="3"/>
  <c r="J114" i="3"/>
  <c r="J118" i="3"/>
  <c r="L118" i="3" s="1"/>
  <c r="I44" i="16" s="1"/>
  <c r="J122" i="3"/>
  <c r="L122" i="3" s="1"/>
  <c r="J126" i="3"/>
  <c r="L126" i="3" s="1"/>
  <c r="L138" i="3"/>
  <c r="L146" i="3"/>
  <c r="J83" i="3"/>
  <c r="J88" i="3"/>
  <c r="J92" i="3"/>
  <c r="J97" i="3"/>
  <c r="J102" i="3"/>
  <c r="J103" i="3"/>
  <c r="B128" i="22"/>
  <c r="K217" i="6"/>
  <c r="L217" i="6" s="1"/>
  <c r="B146" i="22"/>
  <c r="K145" i="6"/>
  <c r="L145" i="6" s="1"/>
  <c r="K143" i="6"/>
  <c r="L143" i="6" s="1"/>
  <c r="K215" i="6"/>
  <c r="L215" i="6" s="1"/>
  <c r="B124" i="22"/>
  <c r="B142" i="22"/>
  <c r="B285" i="22"/>
  <c r="K40" i="6"/>
  <c r="L40" i="6" s="1"/>
  <c r="K34" i="6"/>
  <c r="L34" i="6" s="1"/>
  <c r="B281" i="22"/>
  <c r="B290" i="22"/>
  <c r="K42" i="6"/>
  <c r="L42" i="6" s="1"/>
  <c r="K12" i="8"/>
  <c r="B34" i="22"/>
  <c r="K310" i="8"/>
  <c r="L310" i="8" s="1"/>
  <c r="K36" i="8"/>
  <c r="L36" i="8" s="1"/>
  <c r="B882" i="22"/>
  <c r="B886" i="22"/>
  <c r="J95" i="3"/>
  <c r="K221" i="7"/>
  <c r="L221" i="7" s="1"/>
  <c r="K149" i="7"/>
  <c r="L149" i="7" s="1"/>
  <c r="B123" i="22"/>
  <c r="K187" i="7"/>
  <c r="L187" i="7" s="1"/>
  <c r="B141" i="22"/>
  <c r="B280" i="22"/>
  <c r="K34" i="7"/>
  <c r="L34" i="7" s="1"/>
  <c r="B284" i="22"/>
  <c r="K40" i="7"/>
  <c r="L40" i="7" s="1"/>
  <c r="K37" i="7"/>
  <c r="L37" i="7" s="1"/>
  <c r="B282" i="22"/>
  <c r="B288" i="22"/>
  <c r="K42" i="7"/>
  <c r="L42" i="7" s="1"/>
  <c r="B789" i="22"/>
  <c r="J99" i="3"/>
  <c r="B283" i="22"/>
  <c r="K37" i="6"/>
  <c r="L37" i="6" s="1"/>
  <c r="B126" i="22"/>
  <c r="K216" i="6"/>
  <c r="L216" i="6" s="1"/>
  <c r="B144" i="22"/>
  <c r="K144" i="6"/>
  <c r="L144" i="6" s="1"/>
  <c r="B786" i="22"/>
  <c r="B127" i="22"/>
  <c r="K223" i="7"/>
  <c r="L223" i="7" s="1"/>
  <c r="B145" i="22"/>
  <c r="K151" i="7"/>
  <c r="L151" i="7" s="1"/>
  <c r="K189" i="7"/>
  <c r="L189" i="7" s="1"/>
  <c r="K222" i="7"/>
  <c r="L222" i="7" s="1"/>
  <c r="K150" i="7"/>
  <c r="L150" i="7" s="1"/>
  <c r="B143" i="22"/>
  <c r="B125" i="22"/>
  <c r="K188" i="7"/>
  <c r="L188" i="7" s="1"/>
  <c r="L130" i="3" l="1"/>
  <c r="I56" i="16" s="1"/>
  <c r="L129" i="3"/>
  <c r="K180" i="6"/>
  <c r="L180" i="6" s="1"/>
  <c r="K178" i="6"/>
  <c r="L178" i="6" s="1"/>
  <c r="K179" i="6"/>
  <c r="L179" i="6" s="1"/>
  <c r="K177" i="6"/>
  <c r="L177" i="6" s="1"/>
  <c r="K176" i="6"/>
  <c r="L176" i="6" s="1"/>
  <c r="K175" i="6"/>
  <c r="L175" i="6" s="1"/>
  <c r="I57" i="16"/>
  <c r="I37" i="16"/>
  <c r="I39" i="16"/>
  <c r="K389" i="8"/>
  <c r="L389" i="8" s="1"/>
  <c r="K253" i="8"/>
  <c r="L253" i="8" s="1"/>
  <c r="K117" i="8"/>
  <c r="L117" i="8" s="1"/>
  <c r="K411" i="8"/>
  <c r="L411" i="8" s="1"/>
  <c r="K275" i="8"/>
  <c r="L275" i="8" s="1"/>
  <c r="K139" i="8"/>
  <c r="L139" i="8" s="1"/>
  <c r="K390" i="8"/>
  <c r="L390" i="8" s="1"/>
  <c r="K254" i="8"/>
  <c r="L254" i="8" s="1"/>
  <c r="K118" i="8"/>
  <c r="L118" i="8" s="1"/>
  <c r="K182" i="7"/>
  <c r="L182" i="7" s="1"/>
  <c r="K183" i="7"/>
  <c r="L183" i="7" s="1"/>
  <c r="K181" i="7"/>
  <c r="L181" i="7" s="1"/>
  <c r="B187" i="22"/>
  <c r="I66" i="16"/>
  <c r="B812" i="22"/>
  <c r="K199" i="6"/>
  <c r="L199" i="6" s="1"/>
  <c r="K206" i="6"/>
  <c r="L206" i="6" s="1"/>
  <c r="B807" i="22"/>
  <c r="L221" i="8"/>
  <c r="L85" i="8"/>
  <c r="L22" i="7"/>
  <c r="I63" i="16"/>
  <c r="I41" i="16"/>
  <c r="I58" i="16"/>
  <c r="I45" i="16"/>
  <c r="I61" i="16"/>
  <c r="I38" i="16"/>
  <c r="B274" i="22"/>
  <c r="K218" i="7"/>
  <c r="L218" i="7" s="1"/>
  <c r="I59" i="16"/>
  <c r="I60" i="16"/>
  <c r="I52" i="16"/>
  <c r="I49" i="16"/>
  <c r="B188" i="22"/>
  <c r="I70" i="16"/>
  <c r="I67" i="16"/>
  <c r="I46" i="16"/>
  <c r="K185" i="7"/>
  <c r="L185" i="7" s="1"/>
  <c r="I43" i="16"/>
  <c r="I55" i="16"/>
  <c r="I62" i="16"/>
  <c r="B255" i="22"/>
  <c r="B815" i="22"/>
  <c r="B784" i="22"/>
  <c r="I68" i="16"/>
  <c r="K186" i="7"/>
  <c r="L186" i="7" s="1"/>
  <c r="B256" i="22"/>
  <c r="B273" i="22"/>
  <c r="B186" i="22"/>
  <c r="B797" i="22"/>
  <c r="B271" i="22"/>
  <c r="K184" i="7"/>
  <c r="L184" i="7" s="1"/>
  <c r="K23" i="6"/>
  <c r="L23" i="6" s="1"/>
  <c r="I47" i="16"/>
  <c r="B817" i="22"/>
  <c r="B275" i="22"/>
  <c r="L124" i="6"/>
  <c r="K220" i="7"/>
  <c r="L220" i="7" s="1"/>
  <c r="B276" i="22"/>
  <c r="I69" i="16"/>
  <c r="B254" i="22"/>
  <c r="K205" i="7"/>
  <c r="L205" i="7" s="1"/>
  <c r="I48" i="16"/>
  <c r="K212" i="7"/>
  <c r="L212" i="7" s="1"/>
  <c r="B795" i="22"/>
  <c r="K213" i="6"/>
  <c r="L213" i="6" s="1"/>
  <c r="I51" i="16"/>
  <c r="I65" i="16"/>
  <c r="I64" i="16"/>
  <c r="K212" i="6"/>
  <c r="L212" i="6" s="1"/>
  <c r="K214" i="6"/>
  <c r="L214" i="6" s="1"/>
  <c r="B805" i="22"/>
  <c r="B257" i="22"/>
  <c r="B259" i="22"/>
  <c r="B810" i="22"/>
  <c r="K14" i="6"/>
  <c r="L14" i="6" s="1"/>
  <c r="B185" i="22"/>
  <c r="I50" i="16"/>
  <c r="K219" i="7"/>
  <c r="L219" i="7" s="1"/>
  <c r="B272" i="22"/>
  <c r="B258" i="22"/>
  <c r="K156" i="6"/>
  <c r="L156" i="6" s="1"/>
  <c r="B396" i="22"/>
  <c r="K155" i="6"/>
  <c r="B394" i="22"/>
  <c r="K162" i="7"/>
  <c r="L162" i="7" s="1"/>
  <c r="B395" i="22"/>
  <c r="K161" i="7"/>
  <c r="L161" i="7" s="1"/>
  <c r="B393" i="22"/>
  <c r="J21" i="3"/>
  <c r="K14" i="7" l="1"/>
  <c r="K45" i="6"/>
  <c r="L45" i="6" s="1"/>
  <c r="L155" i="6"/>
  <c r="K154" i="6"/>
  <c r="L154" i="6" s="1"/>
  <c r="L114" i="3"/>
  <c r="L22" i="6"/>
  <c r="J18" i="3"/>
  <c r="K5" i="6"/>
  <c r="L5" i="6" s="1"/>
  <c r="K19" i="6"/>
  <c r="L19" i="6" s="1"/>
  <c r="B30" i="22"/>
  <c r="B32" i="22"/>
  <c r="B788" i="22"/>
  <c r="B840" i="22"/>
  <c r="B28" i="22"/>
  <c r="K18" i="6"/>
  <c r="L18" i="6" s="1"/>
  <c r="K15" i="6"/>
  <c r="K17" i="6"/>
  <c r="L17" i="6" s="1"/>
  <c r="B782" i="22"/>
  <c r="B37" i="22"/>
  <c r="L14" i="7"/>
  <c r="B22" i="22"/>
  <c r="B742" i="22"/>
  <c r="B24" i="22"/>
  <c r="K160" i="7"/>
  <c r="L160" i="7" s="1"/>
  <c r="B741" i="22"/>
  <c r="K158" i="7"/>
  <c r="L158" i="7" s="1"/>
  <c r="B739" i="22"/>
  <c r="K15" i="7" l="1"/>
  <c r="L15" i="7" s="1"/>
  <c r="K18" i="7"/>
  <c r="L18" i="7" s="1"/>
  <c r="K46" i="7"/>
  <c r="L46" i="7" s="1"/>
  <c r="I40" i="16"/>
  <c r="B740" i="22"/>
  <c r="K152" i="6"/>
  <c r="K10" i="8"/>
  <c r="K16" i="6"/>
  <c r="L16" i="6" s="1"/>
  <c r="B39" i="22"/>
  <c r="D4" i="11"/>
  <c r="B843" i="22"/>
  <c r="B845" i="22"/>
  <c r="B847" i="22"/>
  <c r="K44" i="6"/>
  <c r="L44" i="6" s="1"/>
  <c r="K13" i="6"/>
  <c r="L13" i="6" s="1"/>
  <c r="B838" i="22"/>
  <c r="B29" i="22"/>
  <c r="B31" i="22"/>
  <c r="K12" i="6"/>
  <c r="L12" i="6" s="1"/>
  <c r="K11" i="6"/>
  <c r="L11" i="6" s="1"/>
  <c r="B38" i="22"/>
  <c r="B783" i="22"/>
  <c r="B787" i="22"/>
  <c r="K16" i="7"/>
  <c r="L16" i="7" s="1"/>
  <c r="B27" i="22"/>
  <c r="K5" i="7"/>
  <c r="L5" i="7" s="1"/>
  <c r="B36" i="22"/>
  <c r="K17" i="7"/>
  <c r="L17" i="7" s="1"/>
  <c r="K19" i="7"/>
  <c r="L19" i="7" s="1"/>
  <c r="B427" i="22"/>
  <c r="B25" i="22"/>
  <c r="K20" i="7" l="1"/>
  <c r="L20" i="7" s="1"/>
  <c r="K8" i="7" s="1"/>
  <c r="D18" i="11"/>
  <c r="L152" i="6"/>
  <c r="K7" i="6"/>
  <c r="L7" i="6" s="1"/>
  <c r="K44" i="7"/>
  <c r="B846" i="22"/>
  <c r="B842" i="22"/>
  <c r="B858" i="22"/>
  <c r="K12" i="7"/>
  <c r="L12" i="7" s="1"/>
  <c r="L160" i="6"/>
  <c r="B64" i="22"/>
  <c r="B733" i="22"/>
  <c r="K9" i="6"/>
  <c r="L9" i="6" s="1"/>
  <c r="B861" i="22"/>
  <c r="B850" i="22"/>
  <c r="L15" i="6"/>
  <c r="K4" i="11"/>
  <c r="L4" i="11"/>
  <c r="J4" i="11"/>
  <c r="B63" i="22"/>
  <c r="B849" i="22"/>
  <c r="K7" i="7"/>
  <c r="L7" i="7" s="1"/>
  <c r="B860" i="22"/>
  <c r="B732" i="22"/>
  <c r="L166" i="7"/>
  <c r="K9" i="7"/>
  <c r="L9" i="7" s="1"/>
  <c r="B844" i="22"/>
  <c r="B40" i="22"/>
  <c r="K6" i="7"/>
  <c r="L6" i="7" s="1"/>
  <c r="B876" i="22"/>
  <c r="K11" i="7"/>
  <c r="L11" i="7" s="1"/>
  <c r="K13" i="7"/>
  <c r="L13" i="7" s="1"/>
  <c r="M4" i="11"/>
  <c r="K57" i="7"/>
  <c r="B496" i="22" l="1"/>
  <c r="K49" i="6"/>
  <c r="L49" i="6" s="1"/>
  <c r="F4" i="11"/>
  <c r="B20" i="22"/>
  <c r="B21" i="22"/>
  <c r="B413" i="22"/>
  <c r="H4" i="11"/>
  <c r="U4" i="11"/>
  <c r="K10" i="7"/>
  <c r="L10" i="7" s="1"/>
  <c r="N4" i="11"/>
  <c r="S4" i="11"/>
  <c r="T4" i="11"/>
  <c r="B859" i="22"/>
  <c r="B41" i="22"/>
  <c r="K6" i="6"/>
  <c r="L6" i="6" s="1"/>
  <c r="K20" i="6"/>
  <c r="L20" i="6" s="1"/>
  <c r="Q4" i="11"/>
  <c r="O4" i="11"/>
  <c r="B863" i="22"/>
  <c r="L167" i="7"/>
  <c r="L8" i="7"/>
  <c r="B734" i="22"/>
  <c r="B65" i="22"/>
  <c r="B851" i="22"/>
  <c r="F10" i="11" l="1"/>
  <c r="B23" i="22"/>
  <c r="B412" i="22"/>
  <c r="R4" i="11"/>
  <c r="P4" i="11"/>
  <c r="B486" i="22"/>
  <c r="E4" i="11"/>
  <c r="K48" i="6"/>
  <c r="L48" i="6" s="1"/>
  <c r="E12" i="11" s="1"/>
  <c r="B66" i="22"/>
  <c r="B852" i="22"/>
  <c r="B865" i="22"/>
  <c r="B735" i="22"/>
  <c r="L161" i="6"/>
  <c r="K8" i="6"/>
  <c r="L8" i="6" s="1"/>
  <c r="K10" i="6"/>
  <c r="L10" i="6" s="1"/>
  <c r="G4" i="11" l="1"/>
  <c r="I4" i="11"/>
  <c r="L125" i="6"/>
  <c r="I37" i="18" l="1"/>
  <c r="I222" i="18" l="1"/>
  <c r="I220" i="18"/>
  <c r="L299" i="8" l="1"/>
  <c r="L298" i="8"/>
  <c r="L163" i="8"/>
  <c r="L162" i="8"/>
  <c r="L166" i="8"/>
  <c r="L302" i="8"/>
  <c r="L300" i="8"/>
  <c r="L164" i="8"/>
  <c r="L309" i="8"/>
  <c r="AH29" i="11" s="1"/>
  <c r="L57" i="7"/>
  <c r="L37" i="8"/>
  <c r="K303" i="8" l="1"/>
  <c r="L303" i="8" s="1"/>
  <c r="B291" i="22"/>
  <c r="B286" i="22"/>
  <c r="K165" i="8"/>
  <c r="L165" i="8" s="1"/>
  <c r="K301" i="8"/>
  <c r="L301" i="8" s="1"/>
  <c r="B293" i="22"/>
  <c r="K167" i="8"/>
  <c r="L167" i="8" s="1"/>
  <c r="B287" i="22"/>
  <c r="B492" i="22"/>
  <c r="B870" i="22"/>
  <c r="K53" i="7"/>
  <c r="K52" i="7"/>
  <c r="L52" i="7" s="1"/>
  <c r="O21" i="11" s="1"/>
  <c r="L77" i="6" l="1"/>
  <c r="L71" i="6"/>
  <c r="L83" i="7"/>
  <c r="L77" i="7"/>
  <c r="B460" i="22"/>
  <c r="B494" i="22" l="1"/>
  <c r="B464" i="22" l="1"/>
  <c r="L55" i="7"/>
  <c r="L53" i="7"/>
  <c r="L54" i="7"/>
  <c r="B480" i="22"/>
  <c r="B488" i="22"/>
  <c r="B489" i="22"/>
  <c r="B503" i="22"/>
  <c r="B504" i="22"/>
  <c r="B466" i="22"/>
  <c r="B484" i="22"/>
  <c r="B515" i="22"/>
  <c r="B462" i="22"/>
  <c r="B495" i="22"/>
  <c r="B514" i="22"/>
  <c r="K48" i="7" l="1"/>
  <c r="L48" i="7" s="1"/>
  <c r="K50" i="7"/>
  <c r="L50" i="7" s="1"/>
  <c r="I513" i="18"/>
  <c r="I512" i="18"/>
  <c r="B490" i="22"/>
  <c r="B875" i="22"/>
  <c r="K56" i="7"/>
  <c r="L56" i="7" s="1"/>
  <c r="K51" i="7" s="1"/>
  <c r="L51" i="7" s="1"/>
  <c r="O11" i="11" s="1"/>
  <c r="B481" i="22"/>
  <c r="K49" i="7"/>
  <c r="L49" i="7" s="1"/>
  <c r="N21" i="11" s="1"/>
  <c r="B482" i="22"/>
  <c r="B451" i="22"/>
  <c r="B439" i="22"/>
  <c r="B445" i="22"/>
  <c r="B454" i="22"/>
  <c r="B442" i="22"/>
  <c r="B448" i="22"/>
  <c r="O19" i="11" l="1"/>
  <c r="N20" i="11"/>
  <c r="K55" i="6"/>
  <c r="L135" i="7"/>
  <c r="L129" i="6"/>
  <c r="I511" i="18"/>
  <c r="B878" i="22"/>
  <c r="L55" i="6" l="1"/>
  <c r="K50" i="6" s="1"/>
  <c r="L50" i="6" s="1"/>
  <c r="K52" i="6"/>
  <c r="L203" i="8"/>
  <c r="B881" i="22" l="1"/>
  <c r="K60" i="7"/>
  <c r="L60" i="7" s="1"/>
  <c r="K58" i="7" s="1"/>
  <c r="L58" i="7" s="1"/>
  <c r="P12" i="11" s="1"/>
  <c r="B497" i="22"/>
  <c r="F12" i="11"/>
  <c r="I268" i="18"/>
  <c r="I493" i="18"/>
  <c r="I271" i="18"/>
  <c r="I494" i="18"/>
  <c r="I495" i="18"/>
  <c r="I269" i="18"/>
  <c r="I273" i="18"/>
  <c r="I270" i="18"/>
  <c r="I272" i="18"/>
  <c r="L100" i="7"/>
  <c r="L170" i="8"/>
  <c r="L110" i="7"/>
  <c r="L339" i="8"/>
  <c r="L67" i="8"/>
  <c r="K56" i="6" l="1"/>
  <c r="L56" i="6" s="1"/>
  <c r="B880" i="22" s="1"/>
  <c r="B506" i="22"/>
  <c r="B885" i="22"/>
  <c r="L52" i="6"/>
  <c r="L306" i="8"/>
  <c r="K169" i="8"/>
  <c r="B408" i="22"/>
  <c r="K61" i="7" l="1"/>
  <c r="L61" i="7" s="1"/>
  <c r="B505" i="22" s="1"/>
  <c r="B516" i="22"/>
  <c r="B872" i="22"/>
  <c r="K51" i="6"/>
  <c r="L51" i="6" s="1"/>
  <c r="G21" i="11" s="1"/>
  <c r="K47" i="6"/>
  <c r="L47" i="6" s="1"/>
  <c r="B485" i="22"/>
  <c r="B435" i="22"/>
  <c r="K305" i="8"/>
  <c r="B883" i="22" l="1"/>
  <c r="K35" i="8"/>
  <c r="L35" i="8" s="1"/>
  <c r="K59" i="7"/>
  <c r="L59" i="7" s="1"/>
  <c r="P28" i="11" s="1"/>
  <c r="E11" i="11"/>
  <c r="B166" i="22"/>
  <c r="B431" i="22"/>
  <c r="B429" i="22"/>
  <c r="B428" i="22"/>
  <c r="B163" i="22"/>
  <c r="B164" i="22"/>
  <c r="B432" i="22"/>
  <c r="B162" i="22"/>
  <c r="B161" i="22"/>
  <c r="B430" i="22"/>
  <c r="B165" i="22"/>
  <c r="B433" i="22"/>
  <c r="L44" i="7"/>
  <c r="M9" i="11" l="1"/>
  <c r="I496" i="18"/>
  <c r="I498" i="18"/>
  <c r="I497" i="18"/>
  <c r="K45" i="7"/>
  <c r="L45" i="7" s="1"/>
  <c r="M27" i="11" l="1"/>
  <c r="B157" i="22"/>
  <c r="B416" i="22"/>
  <c r="B415" i="22"/>
  <c r="B156" i="22"/>
  <c r="B419" i="22"/>
  <c r="B414" i="22"/>
  <c r="B158" i="22"/>
  <c r="B417" i="22"/>
  <c r="B154" i="22"/>
  <c r="B155" i="22"/>
  <c r="B153" i="22"/>
  <c r="B418" i="22"/>
  <c r="L305" i="8" l="1"/>
  <c r="L169" i="8"/>
  <c r="L60" i="8"/>
  <c r="L33" i="8"/>
  <c r="X34" i="11" s="1"/>
  <c r="L332" i="8"/>
  <c r="L196" i="8"/>
  <c r="L295" i="8"/>
  <c r="L160" i="8"/>
  <c r="L159" i="8"/>
  <c r="L58" i="8"/>
  <c r="L154" i="8"/>
  <c r="L20" i="8"/>
  <c r="L296" i="8"/>
  <c r="L290" i="8"/>
  <c r="L59" i="8"/>
  <c r="AA27" i="11" l="1"/>
  <c r="AF27" i="11"/>
  <c r="B149" i="22"/>
  <c r="B292" i="22"/>
  <c r="B147" i="22"/>
  <c r="B397" i="22"/>
  <c r="B399" i="22"/>
  <c r="B867" i="22"/>
  <c r="L246" i="8"/>
  <c r="K155" i="8"/>
  <c r="L155" i="8" s="1"/>
  <c r="B67" i="22"/>
  <c r="K150" i="8"/>
  <c r="L150" i="8" s="1"/>
  <c r="B33" i="22"/>
  <c r="B853" i="22"/>
  <c r="K151" i="8"/>
  <c r="B869" i="22"/>
  <c r="B69" i="22"/>
  <c r="K286" i="8"/>
  <c r="L286" i="8" s="1"/>
  <c r="B35" i="22"/>
  <c r="K291" i="8"/>
  <c r="L291" i="8" s="1"/>
  <c r="L382" i="8"/>
  <c r="K287" i="8"/>
  <c r="K412" i="8"/>
  <c r="L412" i="8" s="1"/>
  <c r="K255" i="8"/>
  <c r="L255" i="8" s="1"/>
  <c r="K373" i="8"/>
  <c r="L373" i="8" s="1"/>
  <c r="B855" i="22"/>
  <c r="K237" i="8"/>
  <c r="L237" i="8" s="1"/>
  <c r="K391" i="8"/>
  <c r="L391" i="8" s="1"/>
  <c r="K22" i="8"/>
  <c r="K276" i="8"/>
  <c r="L276" i="8" s="1"/>
  <c r="K288" i="8" l="1"/>
  <c r="K152" i="8"/>
  <c r="B857" i="22"/>
  <c r="AH4" i="11"/>
  <c r="B531" i="22"/>
  <c r="AC4" i="11"/>
  <c r="B524" i="22"/>
  <c r="B522" i="22"/>
  <c r="K173" i="8"/>
  <c r="L173" i="8" s="1"/>
  <c r="AC29" i="11" s="1"/>
  <c r="B138" i="22"/>
  <c r="B129" i="22"/>
  <c r="B131" i="22"/>
  <c r="B140" i="22"/>
  <c r="B848" i="22"/>
  <c r="L157" i="8" l="1"/>
  <c r="L292" i="8"/>
  <c r="L156" i="8"/>
  <c r="L293" i="8"/>
  <c r="L22" i="8"/>
  <c r="L23" i="8"/>
  <c r="K149" i="8" l="1"/>
  <c r="B837" i="22"/>
  <c r="B152" i="22"/>
  <c r="B151" i="22"/>
  <c r="K148" i="8"/>
  <c r="L148" i="8" s="1"/>
  <c r="B866" i="22"/>
  <c r="K285" i="8"/>
  <c r="B841" i="22"/>
  <c r="B168" i="22"/>
  <c r="B167" i="22"/>
  <c r="K284" i="8"/>
  <c r="L284" i="8" s="1"/>
  <c r="K24" i="8"/>
  <c r="L24" i="8" s="1"/>
  <c r="B862" i="22"/>
  <c r="B289" i="22"/>
  <c r="L288" i="8" l="1"/>
  <c r="L152" i="8"/>
  <c r="L18" i="8"/>
  <c r="AF4" i="11"/>
  <c r="B437" i="22"/>
  <c r="B26" i="22"/>
  <c r="B436" i="22"/>
  <c r="B410" i="22"/>
  <c r="B19" i="22"/>
  <c r="AA4" i="11"/>
  <c r="B409" i="22"/>
  <c r="B398" i="22"/>
  <c r="K107" i="8"/>
  <c r="L107" i="8" s="1"/>
  <c r="B457" i="22" l="1"/>
  <c r="AE4" i="11"/>
  <c r="AJ4" i="11"/>
  <c r="B477" i="22"/>
  <c r="B744" i="22"/>
  <c r="K106" i="8"/>
  <c r="L106" i="8" s="1"/>
  <c r="L15" i="8" l="1"/>
  <c r="L285" i="8"/>
  <c r="L149" i="8"/>
  <c r="L151" i="8"/>
  <c r="L17" i="8"/>
  <c r="L287" i="8"/>
  <c r="AI4" i="11" l="1"/>
  <c r="AD4" i="11"/>
  <c r="K140" i="8"/>
  <c r="L140" i="8" s="1"/>
  <c r="K119" i="8"/>
  <c r="L119" i="8" s="1"/>
  <c r="B500" i="22"/>
  <c r="AB4" i="11"/>
  <c r="B468" i="22"/>
  <c r="B472" i="22"/>
  <c r="B519" i="22"/>
  <c r="K308" i="8"/>
  <c r="L308" i="8" s="1"/>
  <c r="AG4" i="11"/>
  <c r="B518" i="22"/>
  <c r="B499" i="22"/>
  <c r="K172" i="8"/>
  <c r="L172" i="8" s="1"/>
  <c r="K101" i="8"/>
  <c r="L101" i="8" s="1"/>
  <c r="B148" i="22"/>
  <c r="AB28" i="11" l="1"/>
  <c r="AG28" i="11"/>
  <c r="B139" i="22"/>
  <c r="B130" i="22"/>
  <c r="L12" i="8"/>
  <c r="L10" i="8"/>
  <c r="K6" i="8" l="1"/>
  <c r="L6" i="8" s="1"/>
  <c r="B511" i="22" s="1"/>
  <c r="K5" i="8"/>
  <c r="L5" i="8" s="1"/>
  <c r="K7" i="8"/>
  <c r="L7" i="8" s="1"/>
  <c r="K9" i="8"/>
  <c r="L9" i="8" s="1"/>
  <c r="B737" i="22"/>
  <c r="B854" i="22"/>
  <c r="B839" i="22"/>
  <c r="L110" i="8"/>
  <c r="B856" i="22"/>
  <c r="B868" i="22"/>
  <c r="B159" i="22"/>
  <c r="B160" i="22"/>
  <c r="B864" i="22"/>
  <c r="K8" i="8"/>
  <c r="L8" i="8" s="1"/>
  <c r="B68" i="22"/>
  <c r="B510" i="22" l="1"/>
  <c r="B509" i="22"/>
  <c r="K32" i="8"/>
  <c r="L32" i="8" s="1"/>
  <c r="B508" i="22"/>
  <c r="K30" i="8"/>
  <c r="L30" i="8" s="1"/>
  <c r="K31" i="8"/>
  <c r="L31" i="8" s="1"/>
  <c r="W4" i="11"/>
  <c r="Z4" i="11"/>
  <c r="K34" i="8"/>
  <c r="L34" i="8" s="1"/>
  <c r="X39" i="11" s="1"/>
  <c r="K28" i="8"/>
  <c r="L28" i="8" s="1"/>
  <c r="B424" i="22"/>
  <c r="B529" i="22"/>
  <c r="X4" i="11"/>
  <c r="V4" i="11"/>
  <c r="B422" i="22"/>
  <c r="K26" i="8"/>
  <c r="L26" i="8" s="1"/>
  <c r="V18" i="11" s="1"/>
  <c r="B423" i="22"/>
  <c r="K27" i="8"/>
  <c r="L27" i="8" s="1"/>
  <c r="B425" i="22"/>
  <c r="B421" i="22"/>
  <c r="B526" i="22"/>
  <c r="B474" i="22"/>
  <c r="Y4" i="11"/>
  <c r="B470" i="22"/>
  <c r="W38" i="11" l="1"/>
  <c r="V32" i="11"/>
  <c r="V37" i="11"/>
  <c r="W33" i="11"/>
  <c r="W21" i="11"/>
  <c r="L57" i="8"/>
  <c r="L91" i="8"/>
  <c r="L50" i="8" l="1"/>
  <c r="B811" i="22" l="1"/>
  <c r="K136" i="8"/>
  <c r="L136" i="8" s="1"/>
  <c r="K131" i="8"/>
  <c r="L131" i="8" s="1"/>
  <c r="B806" i="22"/>
  <c r="L42" i="8" l="1"/>
  <c r="K41" i="8" l="1"/>
  <c r="L41" i="8" s="1"/>
  <c r="B712" i="22"/>
  <c r="K40" i="8" l="1"/>
  <c r="L40" i="8" s="1"/>
  <c r="K39" i="8"/>
  <c r="L39" i="8" s="1"/>
  <c r="B527" i="22"/>
  <c r="B512" i="22"/>
  <c r="W29" i="11" l="1"/>
  <c r="X28" i="11"/>
  <c r="L90" i="8"/>
  <c r="L195" i="8"/>
  <c r="L194" i="8"/>
  <c r="L330" i="8"/>
  <c r="L331" i="8"/>
  <c r="K379" i="8" l="1"/>
  <c r="L379" i="8" s="1"/>
  <c r="K243" i="8"/>
  <c r="L243" i="8" s="1"/>
  <c r="L89" i="8"/>
  <c r="I690" i="18"/>
  <c r="B816" i="22"/>
  <c r="B796" i="22"/>
  <c r="B745" i="22" l="1"/>
  <c r="K242" i="8"/>
  <c r="L242" i="8" s="1"/>
  <c r="L84" i="8"/>
  <c r="K378" i="8"/>
  <c r="L378" i="8" s="1"/>
  <c r="B743" i="22"/>
  <c r="B738" i="22"/>
  <c r="B736" i="22"/>
  <c r="I681" i="18" l="1"/>
  <c r="I680" i="18"/>
  <c r="L72" i="8" l="1"/>
  <c r="L193" i="8"/>
  <c r="L186" i="8" l="1"/>
  <c r="K267" i="8" s="1"/>
  <c r="B809" i="22" l="1"/>
  <c r="K272" i="8"/>
  <c r="L272" i="8" s="1"/>
  <c r="L267" i="8"/>
  <c r="B804" i="22"/>
  <c r="L178" i="8" l="1"/>
  <c r="K177" i="8" l="1"/>
  <c r="L177" i="8" s="1"/>
  <c r="B711" i="22"/>
  <c r="K176" i="8" l="1"/>
  <c r="L176" i="8" s="1"/>
  <c r="B523" i="22"/>
  <c r="B501" i="22"/>
  <c r="K175" i="8"/>
  <c r="L175" i="8" s="1"/>
  <c r="AB34" i="11" l="1"/>
  <c r="AC33" i="11"/>
  <c r="L329" i="8"/>
  <c r="L227" i="8"/>
  <c r="L226" i="8"/>
  <c r="L363" i="8"/>
  <c r="B794" i="22" l="1"/>
  <c r="B814" i="22"/>
  <c r="L225" i="8" l="1"/>
  <c r="L220" i="8"/>
  <c r="I826" i="18"/>
  <c r="I816" i="18" l="1"/>
  <c r="I817" i="18"/>
  <c r="L208" i="8" l="1"/>
  <c r="L357" i="8" l="1"/>
  <c r="I962" i="18" l="1"/>
  <c r="I953" i="18" l="1"/>
  <c r="I952" i="18"/>
  <c r="L130" i="7" l="1"/>
  <c r="L131" i="7" l="1"/>
  <c r="L361" i="8" l="1"/>
  <c r="L362" i="8"/>
  <c r="B798" i="22" l="1"/>
  <c r="B818" i="22"/>
  <c r="L322" i="8" l="1"/>
  <c r="K408" i="8" s="1"/>
  <c r="L408" i="8" s="1"/>
  <c r="B813" i="22" l="1"/>
  <c r="K403" i="8"/>
  <c r="L403" i="8" s="1"/>
  <c r="B808" i="22"/>
  <c r="L314" i="8"/>
  <c r="K313" i="8" s="1"/>
  <c r="L313" i="8" s="1"/>
  <c r="B532" i="22" s="1"/>
  <c r="K312" i="8" l="1"/>
  <c r="L312" i="8" s="1"/>
  <c r="B520" i="22"/>
  <c r="K311" i="8"/>
  <c r="L311" i="8" s="1"/>
  <c r="B713" i="22"/>
  <c r="AG39" i="11" l="1"/>
  <c r="AH38" i="11"/>
  <c r="L356" i="8"/>
  <c r="L344" i="8" l="1"/>
  <c r="L5" i="3" l="1"/>
  <c r="J16" i="3" l="1"/>
  <c r="J66" i="3"/>
  <c r="L66" i="3" s="1"/>
  <c r="J22" i="3"/>
  <c r="L22" i="3" s="1"/>
  <c r="P17" i="3"/>
  <c r="J17" i="3"/>
  <c r="I17" i="18" s="1"/>
  <c r="J19" i="3"/>
  <c r="AY67" i="23"/>
  <c r="AY132" i="23"/>
  <c r="K6" i="3"/>
  <c r="L6" i="3" s="1"/>
  <c r="A6" i="2" s="1"/>
  <c r="J35" i="3"/>
  <c r="L35" i="3" s="1"/>
  <c r="AY3" i="23"/>
  <c r="J15" i="3"/>
  <c r="L15" i="3" s="1"/>
  <c r="L82" i="3" s="1"/>
  <c r="F5" i="20"/>
  <c r="J74" i="3"/>
  <c r="BO5" i="23"/>
  <c r="BO12" i="23"/>
  <c r="J70" i="3"/>
  <c r="L70" i="3" s="1"/>
  <c r="J39" i="3"/>
  <c r="L39" i="3" s="1"/>
  <c r="AB5" i="23"/>
  <c r="J37" i="3"/>
  <c r="J75" i="3"/>
  <c r="J14" i="3"/>
  <c r="L14" i="3" s="1"/>
  <c r="J20" i="3"/>
  <c r="L20" i="3" s="1"/>
  <c r="I62" i="3" s="1"/>
  <c r="C5" i="23"/>
  <c r="T6" i="2" l="1"/>
  <c r="D6" i="2"/>
  <c r="P6" i="2"/>
  <c r="O6" i="2"/>
  <c r="M6" i="2"/>
  <c r="L6" i="2"/>
  <c r="W6" i="2"/>
  <c r="F6" i="2"/>
  <c r="U6" i="2"/>
  <c r="S6" i="2"/>
  <c r="C6" i="2"/>
  <c r="B6" i="2"/>
  <c r="N6" i="2"/>
  <c r="Y6" i="2"/>
  <c r="H6" i="2"/>
  <c r="G6" i="2"/>
  <c r="V6" i="2"/>
  <c r="E6" i="2"/>
  <c r="R6" i="2"/>
  <c r="I6" i="2"/>
  <c r="X6" i="2"/>
  <c r="Q6" i="2"/>
  <c r="K6" i="2"/>
  <c r="Z6" i="2"/>
  <c r="J6" i="2"/>
  <c r="BN12" i="23"/>
  <c r="B328" i="22"/>
  <c r="L83" i="3"/>
  <c r="I10" i="16" s="1"/>
  <c r="K34" i="3"/>
  <c r="L34" i="3" s="1"/>
  <c r="I60" i="3"/>
  <c r="K156" i="3"/>
  <c r="L156" i="3" s="1"/>
  <c r="B401" i="22"/>
  <c r="B337" i="22"/>
  <c r="L97" i="3"/>
  <c r="W5" i="11" s="1"/>
  <c r="L98" i="3"/>
  <c r="AC36" i="23" s="1"/>
  <c r="B699" i="22"/>
  <c r="K96" i="8"/>
  <c r="L96" i="8" s="1"/>
  <c r="L84" i="3"/>
  <c r="J5" i="11" s="1"/>
  <c r="J57" i="3"/>
  <c r="J52" i="3"/>
  <c r="K29" i="3"/>
  <c r="L29" i="3" s="1"/>
  <c r="B693" i="22"/>
  <c r="K137" i="6"/>
  <c r="L137" i="6" s="1"/>
  <c r="I44" i="3"/>
  <c r="K36" i="3"/>
  <c r="L36" i="3" s="1"/>
  <c r="P924" i="18" s="1"/>
  <c r="B695" i="22"/>
  <c r="L100" i="3"/>
  <c r="AC38" i="23" s="1"/>
  <c r="L91" i="3"/>
  <c r="I18" i="16" s="1"/>
  <c r="J56" i="3"/>
  <c r="K21" i="3"/>
  <c r="L21" i="3" s="1"/>
  <c r="K23" i="3" s="1"/>
  <c r="L23" i="3" s="1"/>
  <c r="K333" i="8" s="1"/>
  <c r="L333" i="8" s="1"/>
  <c r="B694" i="22"/>
  <c r="B696" i="22"/>
  <c r="K97" i="8"/>
  <c r="L97" i="8" s="1"/>
  <c r="K136" i="6"/>
  <c r="L136" i="6" s="1"/>
  <c r="L106" i="3"/>
  <c r="AJ5" i="11" s="1"/>
  <c r="L92" i="3"/>
  <c r="S5" i="11" s="1"/>
  <c r="J49" i="3"/>
  <c r="J60" i="3"/>
  <c r="B698" i="22"/>
  <c r="B700" i="22"/>
  <c r="K155" i="3"/>
  <c r="L155" i="3" s="1"/>
  <c r="B701" i="22"/>
  <c r="K369" i="8"/>
  <c r="L369" i="8" s="1"/>
  <c r="K143" i="7"/>
  <c r="L143" i="7" s="1"/>
  <c r="L93" i="3"/>
  <c r="T5" i="11" s="1"/>
  <c r="K233" i="8"/>
  <c r="L233" i="8" s="1"/>
  <c r="L105" i="3"/>
  <c r="I32" i="16" s="1"/>
  <c r="L101" i="3"/>
  <c r="I28" i="16" s="1"/>
  <c r="L80" i="3"/>
  <c r="AC12" i="23" s="1"/>
  <c r="L86" i="3"/>
  <c r="AC20" i="23" s="1"/>
  <c r="I53" i="3"/>
  <c r="J44" i="3"/>
  <c r="I50" i="3"/>
  <c r="I61" i="3"/>
  <c r="K37" i="3"/>
  <c r="L37" i="3" s="1"/>
  <c r="L49" i="3" s="1"/>
  <c r="J55" i="3"/>
  <c r="K27" i="3"/>
  <c r="L27" i="3" s="1"/>
  <c r="B336" i="22"/>
  <c r="B209" i="22"/>
  <c r="B208" i="22"/>
  <c r="K232" i="8"/>
  <c r="L232" i="8" s="1"/>
  <c r="L88" i="3"/>
  <c r="M5" i="11" s="1"/>
  <c r="L85" i="3"/>
  <c r="AC19" i="23" s="1"/>
  <c r="I56" i="3"/>
  <c r="I55" i="3"/>
  <c r="J64" i="3"/>
  <c r="I46" i="3"/>
  <c r="L89" i="3"/>
  <c r="AC23" i="23" s="1"/>
  <c r="AS92" i="23" s="1"/>
  <c r="B697" i="22"/>
  <c r="B702" i="22"/>
  <c r="L81" i="3"/>
  <c r="K142" i="7"/>
  <c r="L142" i="7" s="1"/>
  <c r="K368" i="8"/>
  <c r="L368" i="8" s="1"/>
  <c r="L104" i="3"/>
  <c r="AC44" i="23" s="1"/>
  <c r="L90" i="3"/>
  <c r="I17" i="16" s="1"/>
  <c r="L94" i="3"/>
  <c r="I21" i="16" s="1"/>
  <c r="L96" i="3"/>
  <c r="V5" i="11" s="1"/>
  <c r="L102" i="3"/>
  <c r="AE5" i="11" s="1"/>
  <c r="J53" i="3"/>
  <c r="J48" i="3"/>
  <c r="I57" i="3"/>
  <c r="J51" i="3"/>
  <c r="J43" i="3"/>
  <c r="I51" i="3"/>
  <c r="K28" i="3"/>
  <c r="L28" i="3" s="1"/>
  <c r="I54" i="3"/>
  <c r="I42" i="3"/>
  <c r="J50" i="3"/>
  <c r="J42" i="3"/>
  <c r="J61" i="3"/>
  <c r="I48" i="3"/>
  <c r="I52" i="3"/>
  <c r="I58" i="3"/>
  <c r="J54" i="3"/>
  <c r="I63" i="3"/>
  <c r="J58" i="3"/>
  <c r="I47" i="3"/>
  <c r="I43" i="3"/>
  <c r="I64" i="3"/>
  <c r="J63" i="3"/>
  <c r="I49" i="3"/>
  <c r="I59" i="3"/>
  <c r="J46" i="3"/>
  <c r="J59" i="3"/>
  <c r="J62" i="3"/>
  <c r="J47" i="3"/>
  <c r="B332" i="22"/>
  <c r="B331" i="22"/>
  <c r="B330" i="22"/>
  <c r="B338" i="22"/>
  <c r="K30" i="3"/>
  <c r="L30" i="3" s="1"/>
  <c r="B334" i="22"/>
  <c r="B329" i="22"/>
  <c r="K32" i="3"/>
  <c r="L32" i="3" s="1"/>
  <c r="B335" i="22"/>
  <c r="B339" i="22"/>
  <c r="K24" i="3"/>
  <c r="L24" i="3" s="1"/>
  <c r="K26" i="3"/>
  <c r="L26" i="3" s="1"/>
  <c r="K33" i="3"/>
  <c r="L33" i="3" s="1"/>
  <c r="B333" i="22"/>
  <c r="K25" i="3"/>
  <c r="L25" i="3" s="1"/>
  <c r="K31" i="3"/>
  <c r="L31" i="3" s="1"/>
  <c r="F5" i="11"/>
  <c r="AC14" i="23"/>
  <c r="I9" i="16"/>
  <c r="I8" i="16" l="1"/>
  <c r="AC13" i="23"/>
  <c r="AS28" i="23" s="1"/>
  <c r="BP12" i="23"/>
  <c r="BQ12" i="23"/>
  <c r="P222" i="18"/>
  <c r="O652" i="18"/>
  <c r="O922" i="18"/>
  <c r="N650" i="18"/>
  <c r="B722" i="22"/>
  <c r="P220" i="18"/>
  <c r="N220" i="18"/>
  <c r="N652" i="18"/>
  <c r="O786" i="18"/>
  <c r="O924" i="18"/>
  <c r="L786" i="18"/>
  <c r="B724" i="22"/>
  <c r="L924" i="18"/>
  <c r="N222" i="18"/>
  <c r="B723" i="22"/>
  <c r="L788" i="18"/>
  <c r="O447" i="18"/>
  <c r="O650" i="18"/>
  <c r="N924" i="18"/>
  <c r="P922" i="18"/>
  <c r="L922" i="18"/>
  <c r="O788" i="18"/>
  <c r="O220" i="18"/>
  <c r="P445" i="18"/>
  <c r="N447" i="18"/>
  <c r="M924" i="18"/>
  <c r="J320" i="8" s="1"/>
  <c r="P447" i="18"/>
  <c r="P650" i="18"/>
  <c r="M445" i="18"/>
  <c r="J66" i="7" s="1"/>
  <c r="P788" i="18"/>
  <c r="L222" i="18"/>
  <c r="P786" i="18"/>
  <c r="M652" i="18"/>
  <c r="J48" i="8" s="1"/>
  <c r="O445" i="18"/>
  <c r="N922" i="18"/>
  <c r="L652" i="18"/>
  <c r="N786" i="18"/>
  <c r="B725" i="22"/>
  <c r="N445" i="18"/>
  <c r="L447" i="18"/>
  <c r="M922" i="18"/>
  <c r="J318" i="8" s="1"/>
  <c r="N788" i="18"/>
  <c r="P652" i="18"/>
  <c r="O222" i="18"/>
  <c r="M786" i="18"/>
  <c r="J182" i="8" s="1"/>
  <c r="M220" i="18"/>
  <c r="J60" i="6" s="1"/>
  <c r="B721" i="22"/>
  <c r="L650" i="18"/>
  <c r="L445" i="18"/>
  <c r="M788" i="18"/>
  <c r="J184" i="8" s="1"/>
  <c r="L220" i="18"/>
  <c r="M222" i="18"/>
  <c r="J62" i="6" s="1"/>
  <c r="M650" i="18"/>
  <c r="J46" i="8" s="1"/>
  <c r="M447" i="18"/>
  <c r="J68" i="7" s="1"/>
  <c r="I19" i="16"/>
  <c r="AC29" i="23"/>
  <c r="BJ98" i="23" s="1"/>
  <c r="AC15" i="23"/>
  <c r="AS30" i="23" s="1"/>
  <c r="I15" i="16"/>
  <c r="G5" i="11"/>
  <c r="AA5" i="11"/>
  <c r="I33" i="16"/>
  <c r="AC39" i="23"/>
  <c r="AZ149" i="23" s="1"/>
  <c r="AC48" i="23"/>
  <c r="BJ161" i="23" s="1"/>
  <c r="AF5" i="11"/>
  <c r="I27" i="16"/>
  <c r="I29" i="16"/>
  <c r="AB5" i="11"/>
  <c r="I11" i="16"/>
  <c r="K17" i="3"/>
  <c r="L17" i="3" s="1"/>
  <c r="AC24" i="23"/>
  <c r="AS93" i="23" s="1"/>
  <c r="P5" i="11"/>
  <c r="I16" i="16"/>
  <c r="U5" i="11"/>
  <c r="I24" i="16"/>
  <c r="I7" i="16"/>
  <c r="K61" i="8"/>
  <c r="L61" i="8" s="1"/>
  <c r="AC33" i="23"/>
  <c r="AT149" i="23" s="1"/>
  <c r="I25" i="16"/>
  <c r="L5" i="11"/>
  <c r="AC30" i="23"/>
  <c r="BJ99" i="23" s="1"/>
  <c r="Z5" i="11"/>
  <c r="L56" i="3"/>
  <c r="K5" i="11"/>
  <c r="I23" i="16"/>
  <c r="AC45" i="23"/>
  <c r="BF149" i="23" s="1"/>
  <c r="L47" i="3"/>
  <c r="O5" i="11"/>
  <c r="AC28" i="23"/>
  <c r="BJ100" i="23" s="1"/>
  <c r="AC18" i="23"/>
  <c r="BJ36" i="23" s="1"/>
  <c r="AC42" i="23"/>
  <c r="BD161" i="23" s="1"/>
  <c r="I31" i="16"/>
  <c r="AC25" i="23"/>
  <c r="AS94" i="23" s="1"/>
  <c r="I20" i="16"/>
  <c r="D5" i="11"/>
  <c r="K18" i="3"/>
  <c r="L18" i="3" s="1"/>
  <c r="AC32" i="23"/>
  <c r="AT138" i="23" s="1"/>
  <c r="B605" i="22"/>
  <c r="K48" i="3"/>
  <c r="I13" i="16"/>
  <c r="I12" i="16"/>
  <c r="AC22" i="23"/>
  <c r="B604" i="22"/>
  <c r="L60" i="3"/>
  <c r="L61" i="3"/>
  <c r="K58" i="3"/>
  <c r="AG5" i="11"/>
  <c r="K52" i="3"/>
  <c r="K198" i="8"/>
  <c r="L198" i="8" s="1"/>
  <c r="K56" i="3"/>
  <c r="K57" i="3"/>
  <c r="K53" i="3"/>
  <c r="K82" i="6"/>
  <c r="L82" i="6" s="1"/>
  <c r="K62" i="8"/>
  <c r="L62" i="8" s="1"/>
  <c r="L58" i="3"/>
  <c r="K54" i="3"/>
  <c r="K63" i="3"/>
  <c r="L42" i="3"/>
  <c r="L55" i="3"/>
  <c r="B603" i="22"/>
  <c r="B606" i="22"/>
  <c r="K76" i="7"/>
  <c r="L76" i="7" s="1"/>
  <c r="L50" i="3"/>
  <c r="L48" i="3"/>
  <c r="K44" i="3"/>
  <c r="K62" i="3"/>
  <c r="L57" i="3"/>
  <c r="L62" i="3"/>
  <c r="B608" i="22"/>
  <c r="B610" i="22"/>
  <c r="K197" i="8"/>
  <c r="L197" i="8" s="1"/>
  <c r="K334" i="8"/>
  <c r="L334" i="8" s="1"/>
  <c r="K88" i="7"/>
  <c r="L88" i="7" s="1"/>
  <c r="K55" i="3"/>
  <c r="K43" i="3"/>
  <c r="K46" i="3"/>
  <c r="K61" i="3"/>
  <c r="L54" i="3"/>
  <c r="L59" i="3"/>
  <c r="L52" i="3"/>
  <c r="L51" i="3"/>
  <c r="L64" i="3"/>
  <c r="K60" i="3"/>
  <c r="K42" i="3"/>
  <c r="K76" i="6"/>
  <c r="L76" i="6" s="1"/>
  <c r="K70" i="6"/>
  <c r="K82" i="7"/>
  <c r="L82" i="7" s="1"/>
  <c r="K51" i="3"/>
  <c r="K49" i="3"/>
  <c r="L63" i="3"/>
  <c r="K50" i="3"/>
  <c r="K59" i="3"/>
  <c r="L53" i="3"/>
  <c r="K47" i="3"/>
  <c r="L46" i="3"/>
  <c r="K64" i="3"/>
  <c r="BJ34" i="23"/>
  <c r="BJ35" i="23"/>
  <c r="BF138" i="23"/>
  <c r="AX161" i="23"/>
  <c r="AS11" i="23"/>
  <c r="AS29" i="23"/>
  <c r="AZ138" i="23"/>
  <c r="K75" i="3" l="1"/>
  <c r="L75" i="3" s="1"/>
  <c r="K74" i="3"/>
  <c r="D91" i="11" a="1"/>
  <c r="G15" i="20" a="1"/>
  <c r="AF91" i="11"/>
  <c r="O91" i="11"/>
  <c r="N15" i="20"/>
  <c r="Z91" i="11"/>
  <c r="U91" i="11"/>
  <c r="S15" i="20"/>
  <c r="AE15" i="20"/>
  <c r="K19" i="3"/>
  <c r="L19" i="3" s="1"/>
  <c r="K63" i="6" s="1"/>
  <c r="L63" i="6" s="1"/>
  <c r="K56" i="8"/>
  <c r="L56" i="8" s="1"/>
  <c r="M658" i="18" s="1"/>
  <c r="J54" i="8" s="1"/>
  <c r="K103" i="6"/>
  <c r="L103" i="6" s="1"/>
  <c r="AI15" i="20"/>
  <c r="AD15" i="20"/>
  <c r="J15" i="20"/>
  <c r="B634" i="22"/>
  <c r="P91" i="11"/>
  <c r="K99" i="7"/>
  <c r="L99" i="7" s="1"/>
  <c r="B625" i="22"/>
  <c r="B637" i="22"/>
  <c r="K79" i="6"/>
  <c r="L79" i="6" s="1"/>
  <c r="R15" i="20"/>
  <c r="O15" i="20"/>
  <c r="K73" i="7"/>
  <c r="L73" i="7" s="1"/>
  <c r="M451" i="18" s="1"/>
  <c r="J72" i="7" s="1"/>
  <c r="B641" i="22"/>
  <c r="K338" i="8"/>
  <c r="L338" i="8" s="1"/>
  <c r="K337" i="8" s="1"/>
  <c r="L337" i="8" s="1"/>
  <c r="B207" i="22" s="1"/>
  <c r="L74" i="3"/>
  <c r="K214" i="7" s="1"/>
  <c r="L214" i="7" s="1"/>
  <c r="K198" i="7" s="1"/>
  <c r="L198" i="7" s="1"/>
  <c r="AC49" i="23"/>
  <c r="B615" i="22"/>
  <c r="B621" i="22"/>
  <c r="K79" i="7"/>
  <c r="L79" i="7" s="1"/>
  <c r="B360" i="22" s="1"/>
  <c r="K88" i="6"/>
  <c r="L88" i="6" s="1"/>
  <c r="K87" i="6" s="1"/>
  <c r="L87" i="6" s="1"/>
  <c r="K165" i="6" s="1"/>
  <c r="L165" i="6" s="1"/>
  <c r="K150" i="6" s="1"/>
  <c r="L150" i="6" s="1"/>
  <c r="B633" i="22"/>
  <c r="B620" i="22"/>
  <c r="K55" i="8"/>
  <c r="L55" i="8" s="1"/>
  <c r="B364" i="22" s="1"/>
  <c r="K202" i="8"/>
  <c r="L202" i="8" s="1"/>
  <c r="B649" i="22" s="1"/>
  <c r="B642" i="22"/>
  <c r="X15" i="20"/>
  <c r="AC15" i="20"/>
  <c r="K104" i="7"/>
  <c r="L104" i="7" s="1"/>
  <c r="K66" i="8"/>
  <c r="L66" i="8" s="1"/>
  <c r="K65" i="8" s="1"/>
  <c r="L65" i="8" s="1"/>
  <c r="B206" i="22" s="1"/>
  <c r="K207" i="8"/>
  <c r="L207" i="8" s="1"/>
  <c r="B628" i="22"/>
  <c r="K73" i="6"/>
  <c r="L73" i="6" s="1"/>
  <c r="K93" i="6"/>
  <c r="L93" i="6" s="1"/>
  <c r="B632" i="22"/>
  <c r="B618" i="22"/>
  <c r="B622" i="22"/>
  <c r="B630" i="22"/>
  <c r="K85" i="7"/>
  <c r="L85" i="7" s="1"/>
  <c r="P463" i="18" s="1"/>
  <c r="K85" i="6"/>
  <c r="L85" i="6" s="1"/>
  <c r="B653" i="22" s="1"/>
  <c r="K71" i="8"/>
  <c r="L71" i="8" s="1"/>
  <c r="B639" i="22"/>
  <c r="B629" i="22"/>
  <c r="B636" i="22"/>
  <c r="K191" i="8"/>
  <c r="L191" i="8" s="1"/>
  <c r="L793" i="18" s="1"/>
  <c r="B616" i="22"/>
  <c r="K91" i="11"/>
  <c r="B626" i="22"/>
  <c r="B640" i="22"/>
  <c r="K98" i="6"/>
  <c r="L98" i="6" s="1"/>
  <c r="B617" i="22"/>
  <c r="B638" i="22"/>
  <c r="K109" i="7"/>
  <c r="L109" i="7" s="1"/>
  <c r="K328" i="8"/>
  <c r="L328" i="8" s="1"/>
  <c r="N930" i="18" s="1"/>
  <c r="B627" i="22"/>
  <c r="B635" i="22"/>
  <c r="K327" i="8"/>
  <c r="L327" i="8" s="1"/>
  <c r="P929" i="18" s="1"/>
  <c r="B631" i="22"/>
  <c r="K343" i="8"/>
  <c r="L343" i="8" s="1"/>
  <c r="AS75" i="23"/>
  <c r="G15" i="20"/>
  <c r="B619" i="22"/>
  <c r="K94" i="7"/>
  <c r="L94" i="7" s="1"/>
  <c r="B654" i="22" s="1"/>
  <c r="K192" i="8"/>
  <c r="L192" i="8" s="1"/>
  <c r="N794" i="18" s="1"/>
  <c r="K91" i="7"/>
  <c r="L91" i="7" s="1"/>
  <c r="K90" i="7" s="1"/>
  <c r="L90" i="7" s="1"/>
  <c r="K169" i="7" s="1"/>
  <c r="L169" i="7" s="1"/>
  <c r="K155" i="7" s="1"/>
  <c r="L155" i="7" s="1"/>
  <c r="K67" i="6"/>
  <c r="L67" i="6" s="1"/>
  <c r="B623" i="22"/>
  <c r="B624" i="22"/>
  <c r="AJ15" i="20"/>
  <c r="B559" i="22" l="1"/>
  <c r="B558" i="22"/>
  <c r="B561" i="22"/>
  <c r="B569" i="22"/>
  <c r="B555" i="22"/>
  <c r="B556" i="22"/>
  <c r="K410" i="8"/>
  <c r="L410" i="8" s="1"/>
  <c r="B692" i="22" s="1"/>
  <c r="B557" i="22"/>
  <c r="B560" i="22"/>
  <c r="K210" i="6"/>
  <c r="L210" i="6" s="1"/>
  <c r="K211" i="6"/>
  <c r="L211" i="6" s="1"/>
  <c r="K138" i="8"/>
  <c r="L138" i="8" s="1"/>
  <c r="K100" i="8" s="1"/>
  <c r="L100" i="8" s="1"/>
  <c r="K216" i="7"/>
  <c r="L216" i="7" s="1"/>
  <c r="K209" i="6"/>
  <c r="L209" i="6" s="1"/>
  <c r="K142" i="6" s="1"/>
  <c r="K274" i="8"/>
  <c r="L274" i="8" s="1"/>
  <c r="B688" i="22" s="1"/>
  <c r="K217" i="7"/>
  <c r="L217" i="7" s="1"/>
  <c r="K215" i="7"/>
  <c r="L215" i="7" s="1"/>
  <c r="B689" i="22" s="1"/>
  <c r="B570" i="22"/>
  <c r="AC91" i="11"/>
  <c r="I91" i="11"/>
  <c r="R91" i="11"/>
  <c r="AI91" i="11"/>
  <c r="E91" i="11"/>
  <c r="N91" i="11"/>
  <c r="Q91" i="11"/>
  <c r="X91" i="11"/>
  <c r="H91" i="11"/>
  <c r="AH91" i="11"/>
  <c r="Y91" i="11"/>
  <c r="AD91" i="11"/>
  <c r="W91" i="11"/>
  <c r="T91" i="11"/>
  <c r="J91" i="11"/>
  <c r="F91" i="11"/>
  <c r="AJ91" i="11"/>
  <c r="M91" i="11"/>
  <c r="V91" i="11"/>
  <c r="S91" i="11"/>
  <c r="AE91" i="11"/>
  <c r="AG91" i="11"/>
  <c r="AB91" i="11"/>
  <c r="G91" i="11"/>
  <c r="L91" i="11"/>
  <c r="AA91" i="11"/>
  <c r="K15" i="20"/>
  <c r="T15" i="20"/>
  <c r="Q15" i="20"/>
  <c r="AL15" i="20"/>
  <c r="AA15" i="20"/>
  <c r="AG15" i="20"/>
  <c r="AF15" i="20"/>
  <c r="L15" i="20"/>
  <c r="U15" i="20"/>
  <c r="AB15" i="20"/>
  <c r="AK15" i="20"/>
  <c r="H15" i="20"/>
  <c r="I15" i="20"/>
  <c r="AM15" i="20"/>
  <c r="P15" i="20"/>
  <c r="Y15" i="20"/>
  <c r="V15" i="20"/>
  <c r="AH15" i="20"/>
  <c r="Z15" i="20"/>
  <c r="W15" i="20"/>
  <c r="M15" i="20"/>
  <c r="D91" i="11"/>
  <c r="L232" i="18"/>
  <c r="L70" i="6"/>
  <c r="B359" i="22" s="1"/>
  <c r="O226" i="18"/>
  <c r="L226" i="18"/>
  <c r="L238" i="18"/>
  <c r="N232" i="18"/>
  <c r="B545" i="22"/>
  <c r="K324" i="8"/>
  <c r="L324" i="8" s="1"/>
  <c r="B536" i="22"/>
  <c r="K321" i="8"/>
  <c r="L321" i="8" s="1"/>
  <c r="K323" i="8" s="1"/>
  <c r="L323" i="8" s="1"/>
  <c r="K185" i="8"/>
  <c r="L185" i="8" s="1"/>
  <c r="B656" i="22" s="1"/>
  <c r="K52" i="8"/>
  <c r="L52" i="8" s="1"/>
  <c r="B535" i="22"/>
  <c r="K69" i="7"/>
  <c r="L69" i="7" s="1"/>
  <c r="K103" i="7" s="1"/>
  <c r="L103" i="7" s="1"/>
  <c r="K49" i="8"/>
  <c r="L49" i="8" s="1"/>
  <c r="K69" i="8" s="1"/>
  <c r="L69" i="8" s="1"/>
  <c r="B538" i="22"/>
  <c r="B546" i="22"/>
  <c r="K188" i="8"/>
  <c r="L188" i="8" s="1"/>
  <c r="B537" i="22"/>
  <c r="B539" i="22"/>
  <c r="B549" i="22"/>
  <c r="B547" i="22"/>
  <c r="B548" i="22"/>
  <c r="K71" i="7"/>
  <c r="L71" i="7" s="1"/>
  <c r="K65" i="6"/>
  <c r="L65" i="6" s="1"/>
  <c r="O658" i="18"/>
  <c r="N658" i="18"/>
  <c r="B368" i="22"/>
  <c r="P658" i="18"/>
  <c r="L658" i="18"/>
  <c r="K54" i="8"/>
  <c r="P451" i="18"/>
  <c r="P238" i="18"/>
  <c r="B365" i="22"/>
  <c r="N238" i="18"/>
  <c r="K72" i="7"/>
  <c r="P232" i="18"/>
  <c r="M238" i="18"/>
  <c r="J78" i="6" s="1"/>
  <c r="K78" i="6"/>
  <c r="O238" i="18"/>
  <c r="B469" i="22"/>
  <c r="B465" i="22"/>
  <c r="K84" i="6"/>
  <c r="L84" i="6" s="1"/>
  <c r="B202" i="22" s="1"/>
  <c r="B361" i="22"/>
  <c r="B369" i="22"/>
  <c r="L930" i="18"/>
  <c r="M226" i="18"/>
  <c r="J66" i="6" s="1"/>
  <c r="M657" i="18"/>
  <c r="J53" i="8" s="1"/>
  <c r="K78" i="7"/>
  <c r="O794" i="18"/>
  <c r="B463" i="22"/>
  <c r="B562" i="22"/>
  <c r="K409" i="8"/>
  <c r="L409" i="8" s="1"/>
  <c r="K398" i="8" s="1"/>
  <c r="L398" i="8" s="1"/>
  <c r="P457" i="18"/>
  <c r="K273" i="8"/>
  <c r="L273" i="8" s="1"/>
  <c r="K262" i="8" s="1"/>
  <c r="L262" i="8" s="1"/>
  <c r="K213" i="7"/>
  <c r="L213" i="7" s="1"/>
  <c r="K197" i="7" s="1"/>
  <c r="L197" i="7" s="1"/>
  <c r="L457" i="18"/>
  <c r="K190" i="8"/>
  <c r="B566" i="22"/>
  <c r="B564" i="22"/>
  <c r="B471" i="22"/>
  <c r="K384" i="8"/>
  <c r="L384" i="8" s="1"/>
  <c r="K376" i="8" s="1"/>
  <c r="L376" i="8" s="1"/>
  <c r="AI39" i="11" s="1"/>
  <c r="B366" i="22"/>
  <c r="N226" i="18"/>
  <c r="B651" i="22"/>
  <c r="L929" i="18"/>
  <c r="N793" i="18"/>
  <c r="O929" i="18"/>
  <c r="B201" i="22"/>
  <c r="B655" i="22"/>
  <c r="K53" i="8"/>
  <c r="O657" i="18"/>
  <c r="M457" i="18"/>
  <c r="J78" i="7" s="1"/>
  <c r="B362" i="22"/>
  <c r="O457" i="18"/>
  <c r="N457" i="18"/>
  <c r="M232" i="18"/>
  <c r="J72" i="6" s="1"/>
  <c r="M794" i="18"/>
  <c r="J190" i="8" s="1"/>
  <c r="L794" i="18"/>
  <c r="B567" i="22"/>
  <c r="B467" i="22"/>
  <c r="B568" i="22"/>
  <c r="K208" i="6"/>
  <c r="L208" i="6" s="1"/>
  <c r="K192" i="6" s="1"/>
  <c r="L192" i="6" s="1"/>
  <c r="N451" i="18"/>
  <c r="O232" i="18"/>
  <c r="K148" i="7"/>
  <c r="L148" i="7" s="1"/>
  <c r="N657" i="18"/>
  <c r="P657" i="18"/>
  <c r="L657" i="18"/>
  <c r="M929" i="18"/>
  <c r="J325" i="8" s="1"/>
  <c r="K201" i="8"/>
  <c r="L201" i="8" s="1"/>
  <c r="K248" i="8" s="1"/>
  <c r="L248" i="8" s="1"/>
  <c r="K240" i="8" s="1"/>
  <c r="L240" i="8" s="1"/>
  <c r="AD34" i="11" s="1"/>
  <c r="B367" i="22"/>
  <c r="P794" i="18"/>
  <c r="B563" i="22"/>
  <c r="K207" i="6"/>
  <c r="L207" i="6" s="1"/>
  <c r="K191" i="6" s="1"/>
  <c r="L191" i="6" s="1"/>
  <c r="K137" i="8"/>
  <c r="L137" i="8" s="1"/>
  <c r="K126" i="8" s="1"/>
  <c r="L126" i="8" s="1"/>
  <c r="B461" i="22"/>
  <c r="B565" i="22"/>
  <c r="B459" i="22"/>
  <c r="M930" i="18"/>
  <c r="J326" i="8" s="1"/>
  <c r="B204" i="22"/>
  <c r="O451" i="18"/>
  <c r="P793" i="18"/>
  <c r="O793" i="18"/>
  <c r="B652" i="22"/>
  <c r="B650" i="22"/>
  <c r="L451" i="18"/>
  <c r="B358" i="22"/>
  <c r="K72" i="6"/>
  <c r="N929" i="18"/>
  <c r="K325" i="8"/>
  <c r="K189" i="8"/>
  <c r="M793" i="18"/>
  <c r="J189" i="8" s="1"/>
  <c r="K326" i="8"/>
  <c r="O463" i="18"/>
  <c r="K112" i="8"/>
  <c r="L112" i="8" s="1"/>
  <c r="K104" i="8" s="1"/>
  <c r="L104" i="8" s="1"/>
  <c r="Y29" i="11" s="1"/>
  <c r="B363" i="22"/>
  <c r="L463" i="18"/>
  <c r="O930" i="18"/>
  <c r="P930" i="18"/>
  <c r="N463" i="18"/>
  <c r="K84" i="7"/>
  <c r="M463" i="18"/>
  <c r="J84" i="7" s="1"/>
  <c r="P226" i="18"/>
  <c r="K93" i="7"/>
  <c r="L93" i="7" s="1"/>
  <c r="B203" i="22" s="1"/>
  <c r="K91" i="6"/>
  <c r="L91" i="6" s="1"/>
  <c r="K92" i="6"/>
  <c r="L92" i="6" s="1"/>
  <c r="B646" i="22"/>
  <c r="B352" i="22"/>
  <c r="B648" i="22"/>
  <c r="B345" i="22"/>
  <c r="K90" i="6"/>
  <c r="L90" i="6" s="1"/>
  <c r="K100" i="6"/>
  <c r="L100" i="6" s="1"/>
  <c r="K174" i="6" s="1"/>
  <c r="K97" i="6"/>
  <c r="L97" i="6" s="1"/>
  <c r="B343" i="22"/>
  <c r="K101" i="6"/>
  <c r="L101" i="6" s="1"/>
  <c r="K96" i="6"/>
  <c r="L96" i="6" s="1"/>
  <c r="K64" i="6"/>
  <c r="L64" i="6" s="1"/>
  <c r="B350" i="22"/>
  <c r="B354" i="22"/>
  <c r="K102" i="6"/>
  <c r="L102" i="6" s="1"/>
  <c r="K95" i="6"/>
  <c r="L95" i="6" s="1"/>
  <c r="K173" i="6" s="1"/>
  <c r="B644" i="22"/>
  <c r="B341" i="22"/>
  <c r="B543" i="22"/>
  <c r="Q20" i="11"/>
  <c r="I12" i="11"/>
  <c r="K372" i="8" l="1"/>
  <c r="L372" i="8" s="1"/>
  <c r="K236" i="8"/>
  <c r="L236" i="8" s="1"/>
  <c r="B691" i="22"/>
  <c r="B690" i="22"/>
  <c r="K169" i="6"/>
  <c r="L169" i="6" s="1"/>
  <c r="J11" i="11" s="1"/>
  <c r="K172" i="6"/>
  <c r="K194" i="6"/>
  <c r="L194" i="6" s="1"/>
  <c r="K170" i="6"/>
  <c r="L170" i="6" s="1"/>
  <c r="K11" i="11" s="1"/>
  <c r="K195" i="6"/>
  <c r="L195" i="6" s="1"/>
  <c r="K171" i="6"/>
  <c r="L171" i="6" s="1"/>
  <c r="L11" i="11" s="1"/>
  <c r="K108" i="7"/>
  <c r="L108" i="7" s="1"/>
  <c r="K193" i="6"/>
  <c r="L193" i="6" s="1"/>
  <c r="C91" i="11"/>
  <c r="L72" i="7"/>
  <c r="B571" i="22" s="1"/>
  <c r="L54" i="8"/>
  <c r="L189" i="8"/>
  <c r="B575" i="22" s="1"/>
  <c r="L142" i="6"/>
  <c r="K138" i="6" s="1"/>
  <c r="L138" i="6" s="1"/>
  <c r="K117" i="6" s="1"/>
  <c r="L117" i="6" s="1"/>
  <c r="J9" i="11" s="1"/>
  <c r="L53" i="8"/>
  <c r="L78" i="6"/>
  <c r="L84" i="7"/>
  <c r="K159" i="7" s="1"/>
  <c r="L159" i="7" s="1"/>
  <c r="L325" i="8"/>
  <c r="L78" i="7"/>
  <c r="K157" i="7" s="1"/>
  <c r="L157" i="7" s="1"/>
  <c r="L72" i="6"/>
  <c r="K151" i="6" s="1"/>
  <c r="L190" i="8"/>
  <c r="L326" i="8"/>
  <c r="K66" i="6"/>
  <c r="I311" i="18"/>
  <c r="K163" i="6"/>
  <c r="L163" i="6" s="1"/>
  <c r="K149" i="6" s="1"/>
  <c r="L149" i="6" s="1"/>
  <c r="H11" i="11" s="1"/>
  <c r="H13" i="11" s="1"/>
  <c r="B658" i="22"/>
  <c r="K342" i="8"/>
  <c r="L342" i="8" s="1"/>
  <c r="K341" i="8"/>
  <c r="L341" i="8" s="1"/>
  <c r="B348" i="22"/>
  <c r="B544" i="22"/>
  <c r="B357" i="22"/>
  <c r="K340" i="8"/>
  <c r="L340" i="8" s="1"/>
  <c r="B827" i="22" s="1"/>
  <c r="K204" i="8"/>
  <c r="L204" i="8" s="1"/>
  <c r="K252" i="8" s="1"/>
  <c r="L252" i="8" s="1"/>
  <c r="AE33" i="11" s="1"/>
  <c r="B346" i="22"/>
  <c r="K187" i="8"/>
  <c r="L187" i="8" s="1"/>
  <c r="K206" i="8"/>
  <c r="L206" i="8" s="1"/>
  <c r="B540" i="22"/>
  <c r="B355" i="22"/>
  <c r="K205" i="8"/>
  <c r="L205" i="8" s="1"/>
  <c r="B542" i="22"/>
  <c r="B356" i="22"/>
  <c r="B344" i="22"/>
  <c r="B347" i="22"/>
  <c r="B657" i="22"/>
  <c r="K68" i="8"/>
  <c r="L68" i="8" s="1"/>
  <c r="K95" i="8" s="1"/>
  <c r="L95" i="8" s="1"/>
  <c r="K79" i="8" s="1"/>
  <c r="L79" i="8" s="1"/>
  <c r="Z27" i="11" s="1"/>
  <c r="K51" i="8"/>
  <c r="L51" i="8" s="1"/>
  <c r="K70" i="8"/>
  <c r="L70" i="8" s="1"/>
  <c r="B353" i="22"/>
  <c r="B340" i="22"/>
  <c r="B351" i="22"/>
  <c r="K96" i="7"/>
  <c r="L96" i="7" s="1"/>
  <c r="K178" i="7" s="1"/>
  <c r="K107" i="7"/>
  <c r="L107" i="7" s="1"/>
  <c r="K102" i="7"/>
  <c r="L102" i="7" s="1"/>
  <c r="K98" i="7"/>
  <c r="L98" i="7" s="1"/>
  <c r="B645" i="22"/>
  <c r="B349" i="22"/>
  <c r="B647" i="22"/>
  <c r="B541" i="22"/>
  <c r="K70" i="7"/>
  <c r="L70" i="7" s="1"/>
  <c r="K68" i="7" s="1"/>
  <c r="L68" i="7" s="1"/>
  <c r="K106" i="7"/>
  <c r="L106" i="7" s="1"/>
  <c r="K101" i="7"/>
  <c r="L101" i="7" s="1"/>
  <c r="B643" i="22"/>
  <c r="K97" i="7"/>
  <c r="L97" i="7" s="1"/>
  <c r="B342" i="22"/>
  <c r="AI40" i="11"/>
  <c r="Q22" i="11"/>
  <c r="Y30" i="11"/>
  <c r="I14" i="11"/>
  <c r="B205" i="22"/>
  <c r="K171" i="7"/>
  <c r="L171" i="7" s="1"/>
  <c r="K156" i="7" s="1"/>
  <c r="L156" i="7" s="1"/>
  <c r="R21" i="11" s="1"/>
  <c r="R23" i="11" s="1"/>
  <c r="B455" i="22"/>
  <c r="B679" i="22"/>
  <c r="B453" i="22"/>
  <c r="B753" i="22"/>
  <c r="B441" i="22"/>
  <c r="B443" i="22"/>
  <c r="B749" i="22"/>
  <c r="B675" i="22"/>
  <c r="B322" i="22"/>
  <c r="K319" i="8"/>
  <c r="L319" i="8" s="1"/>
  <c r="K318" i="8"/>
  <c r="L318" i="8" s="1"/>
  <c r="B317" i="22"/>
  <c r="K320" i="8"/>
  <c r="L320" i="8" s="1"/>
  <c r="K359" i="8" s="1"/>
  <c r="B751" i="22"/>
  <c r="B447" i="22"/>
  <c r="B677" i="22"/>
  <c r="B449" i="22"/>
  <c r="B321" i="22"/>
  <c r="K62" i="6"/>
  <c r="L62" i="6" s="1"/>
  <c r="B316" i="22"/>
  <c r="K61" i="6"/>
  <c r="L61" i="6" s="1"/>
  <c r="K60" i="6"/>
  <c r="L60" i="6" s="1"/>
  <c r="AD35" i="11"/>
  <c r="K183" i="8" l="1"/>
  <c r="K182" i="8"/>
  <c r="L182" i="8" s="1"/>
  <c r="K229" i="8" s="1"/>
  <c r="L229" i="8" s="1"/>
  <c r="B821" i="22"/>
  <c r="K179" i="7"/>
  <c r="L179" i="7" s="1"/>
  <c r="T19" i="11" s="1"/>
  <c r="K176" i="7"/>
  <c r="L176" i="7" s="1"/>
  <c r="T20" i="11" s="1"/>
  <c r="B823" i="22"/>
  <c r="K180" i="7"/>
  <c r="L180" i="7" s="1"/>
  <c r="U19" i="11" s="1"/>
  <c r="K177" i="7"/>
  <c r="L177" i="7" s="1"/>
  <c r="U20" i="11" s="1"/>
  <c r="K144" i="7"/>
  <c r="L144" i="7" s="1"/>
  <c r="K123" i="7" s="1"/>
  <c r="L123" i="7" s="1"/>
  <c r="S18" i="11" s="1"/>
  <c r="K175" i="7"/>
  <c r="L175" i="7" s="1"/>
  <c r="S20" i="11" s="1"/>
  <c r="L178" i="7"/>
  <c r="S19" i="11" s="1"/>
  <c r="K184" i="8"/>
  <c r="L184" i="8" s="1"/>
  <c r="B318" i="22"/>
  <c r="K48" i="8"/>
  <c r="L48" i="8" s="1"/>
  <c r="O690" i="18" s="1"/>
  <c r="B828" i="22"/>
  <c r="K206" i="7"/>
  <c r="L206" i="7" s="1"/>
  <c r="K194" i="7" s="1"/>
  <c r="L194" i="7" s="1"/>
  <c r="K139" i="7"/>
  <c r="L139" i="7" s="1"/>
  <c r="K120" i="7" s="1"/>
  <c r="L120" i="7" s="1"/>
  <c r="N18" i="11" s="1"/>
  <c r="B479" i="22"/>
  <c r="L66" i="6"/>
  <c r="K200" i="6" s="1"/>
  <c r="L200" i="6" s="1"/>
  <c r="K188" i="6" s="1"/>
  <c r="L188" i="6" s="1"/>
  <c r="B824" i="22"/>
  <c r="B822" i="22"/>
  <c r="K132" i="6"/>
  <c r="L132" i="6" s="1"/>
  <c r="K139" i="6"/>
  <c r="L139" i="6" s="1"/>
  <c r="K118" i="6" s="1"/>
  <c r="L118" i="6" s="1"/>
  <c r="K9" i="11" s="1"/>
  <c r="B820" i="22"/>
  <c r="K140" i="6"/>
  <c r="L140" i="6" s="1"/>
  <c r="K119" i="6" s="1"/>
  <c r="L119" i="6" s="1"/>
  <c r="L9" i="11" s="1"/>
  <c r="K168" i="7"/>
  <c r="L168" i="7" s="1"/>
  <c r="K153" i="7" s="1"/>
  <c r="L153" i="7" s="1"/>
  <c r="O22" i="11" s="1"/>
  <c r="B757" i="22"/>
  <c r="B2" i="22"/>
  <c r="B830" i="22"/>
  <c r="K207" i="7"/>
  <c r="L207" i="7" s="1"/>
  <c r="K195" i="7" s="1"/>
  <c r="L195" i="7" s="1"/>
  <c r="B487" i="22"/>
  <c r="K140" i="7"/>
  <c r="L140" i="7" s="1"/>
  <c r="K121" i="7" s="1"/>
  <c r="L121" i="7" s="1"/>
  <c r="O18" i="11" s="1"/>
  <c r="B573" i="22"/>
  <c r="B833" i="22"/>
  <c r="K141" i="7"/>
  <c r="L141" i="7" s="1"/>
  <c r="K122" i="7" s="1"/>
  <c r="L122" i="7" s="1"/>
  <c r="P18" i="11" s="1"/>
  <c r="B759" i="22"/>
  <c r="K208" i="7"/>
  <c r="L208" i="7" s="1"/>
  <c r="K196" i="7" s="1"/>
  <c r="L196" i="7" s="1"/>
  <c r="K230" i="8"/>
  <c r="L230" i="8" s="1"/>
  <c r="K214" i="8" s="1"/>
  <c r="L214" i="8" s="1"/>
  <c r="AB32" i="11" s="1"/>
  <c r="B832" i="22"/>
  <c r="B498" i="22"/>
  <c r="K268" i="8"/>
  <c r="L268" i="8" s="1"/>
  <c r="K260" i="8" s="1"/>
  <c r="L260" i="8" s="1"/>
  <c r="B576" i="22"/>
  <c r="K170" i="7"/>
  <c r="L170" i="7" s="1"/>
  <c r="K154" i="7" s="1"/>
  <c r="L154" i="7" s="1"/>
  <c r="P23" i="11" s="1"/>
  <c r="B4" i="22"/>
  <c r="B502" i="22"/>
  <c r="B831" i="22"/>
  <c r="B762" i="22"/>
  <c r="K105" i="8"/>
  <c r="L105" i="8" s="1"/>
  <c r="B835" i="22"/>
  <c r="K153" i="6"/>
  <c r="L153" i="6" s="1"/>
  <c r="B763" i="22"/>
  <c r="K377" i="8"/>
  <c r="L377" i="8" s="1"/>
  <c r="K269" i="8"/>
  <c r="L269" i="8" s="1"/>
  <c r="K261" i="8" s="1"/>
  <c r="L261" i="8" s="1"/>
  <c r="K241" i="8"/>
  <c r="L241" i="8" s="1"/>
  <c r="B3" i="22"/>
  <c r="K162" i="6"/>
  <c r="L162" i="6" s="1"/>
  <c r="K201" i="6"/>
  <c r="L201" i="6" s="1"/>
  <c r="K189" i="6" s="1"/>
  <c r="L189" i="6" s="1"/>
  <c r="K134" i="6"/>
  <c r="L134" i="6" s="1"/>
  <c r="K115" i="6" s="1"/>
  <c r="L115" i="6" s="1"/>
  <c r="F9" i="11" s="1"/>
  <c r="B574" i="22"/>
  <c r="B493" i="22"/>
  <c r="B758" i="22"/>
  <c r="K164" i="6"/>
  <c r="L164" i="6" s="1"/>
  <c r="B582" i="22"/>
  <c r="B760" i="22"/>
  <c r="K202" i="6"/>
  <c r="L202" i="6" s="1"/>
  <c r="K190" i="6" s="1"/>
  <c r="L190" i="6" s="1"/>
  <c r="B513" i="22"/>
  <c r="K135" i="6"/>
  <c r="L135" i="6" s="1"/>
  <c r="K116" i="6" s="1"/>
  <c r="L116" i="6" s="1"/>
  <c r="G9" i="11" s="1"/>
  <c r="B5" i="22"/>
  <c r="B578" i="22"/>
  <c r="L151" i="6"/>
  <c r="K111" i="8"/>
  <c r="L111" i="8" s="1"/>
  <c r="B836" i="22"/>
  <c r="K94" i="8"/>
  <c r="L94" i="8" s="1"/>
  <c r="K78" i="8" s="1"/>
  <c r="L78" i="8" s="1"/>
  <c r="W27" i="11" s="1"/>
  <c r="B834" i="22"/>
  <c r="B577" i="22"/>
  <c r="K132" i="8"/>
  <c r="L132" i="8" s="1"/>
  <c r="K124" i="8" s="1"/>
  <c r="L124" i="8" s="1"/>
  <c r="B507" i="22"/>
  <c r="K366" i="8"/>
  <c r="L366" i="8" s="1"/>
  <c r="K350" i="8" s="1"/>
  <c r="L350" i="8" s="1"/>
  <c r="AG37" i="11" s="1"/>
  <c r="B517" i="22"/>
  <c r="K404" i="8"/>
  <c r="L404" i="8" s="1"/>
  <c r="K396" i="8" s="1"/>
  <c r="L396" i="8" s="1"/>
  <c r="K133" i="8"/>
  <c r="L133" i="8" s="1"/>
  <c r="K125" i="8" s="1"/>
  <c r="L125" i="8" s="1"/>
  <c r="K383" i="8"/>
  <c r="L383" i="8" s="1"/>
  <c r="B579" i="22"/>
  <c r="B525" i="22"/>
  <c r="B761" i="22"/>
  <c r="B7" i="22"/>
  <c r="B521" i="22"/>
  <c r="B581" i="22"/>
  <c r="K247" i="8"/>
  <c r="L247" i="8" s="1"/>
  <c r="B6" i="22"/>
  <c r="B580" i="22"/>
  <c r="K133" i="7"/>
  <c r="N511" i="18"/>
  <c r="P511" i="18"/>
  <c r="O511" i="18"/>
  <c r="L511" i="18"/>
  <c r="M511" i="18"/>
  <c r="J132" i="7" s="1"/>
  <c r="K127" i="6"/>
  <c r="O286" i="18"/>
  <c r="P286" i="18"/>
  <c r="M286" i="18"/>
  <c r="J126" i="6" s="1"/>
  <c r="L286" i="18"/>
  <c r="N286" i="18"/>
  <c r="B530" i="22"/>
  <c r="B8" i="22"/>
  <c r="P962" i="18"/>
  <c r="N962" i="18"/>
  <c r="L962" i="18"/>
  <c r="O962" i="18"/>
  <c r="M962" i="18"/>
  <c r="J358" i="8" s="1"/>
  <c r="K405" i="8"/>
  <c r="L405" i="8" s="1"/>
  <c r="K397" i="8" s="1"/>
  <c r="L397" i="8" s="1"/>
  <c r="K146" i="7"/>
  <c r="L146" i="7" s="1"/>
  <c r="K125" i="7" s="1"/>
  <c r="L125" i="7" s="1"/>
  <c r="U18" i="11" s="1"/>
  <c r="B476" i="22"/>
  <c r="K399" i="8"/>
  <c r="L399" i="8" s="1"/>
  <c r="B458" i="22"/>
  <c r="B825" i="22"/>
  <c r="B680" i="22"/>
  <c r="B478" i="22"/>
  <c r="B386" i="22"/>
  <c r="K388" i="8"/>
  <c r="L388" i="8" s="1"/>
  <c r="AJ38" i="11" s="1"/>
  <c r="B682" i="22"/>
  <c r="B456" i="22"/>
  <c r="B756" i="22"/>
  <c r="K367" i="8"/>
  <c r="L367" i="8" s="1"/>
  <c r="K351" i="8" s="1"/>
  <c r="L351" i="8" s="1"/>
  <c r="AJ37" i="11" s="1"/>
  <c r="K231" i="8"/>
  <c r="L231" i="8" s="1"/>
  <c r="K215" i="8" s="1"/>
  <c r="L215" i="8" s="1"/>
  <c r="AE32" i="11" s="1"/>
  <c r="K263" i="8"/>
  <c r="L263" i="8" s="1"/>
  <c r="B754" i="22"/>
  <c r="B313" i="22"/>
  <c r="K66" i="7"/>
  <c r="L66" i="7" s="1"/>
  <c r="B551" i="22" s="1"/>
  <c r="K67" i="7"/>
  <c r="L67" i="7" s="1"/>
  <c r="B15" i="22" s="1"/>
  <c r="B314" i="22"/>
  <c r="B750" i="22"/>
  <c r="B319" i="22"/>
  <c r="B450" i="22"/>
  <c r="K46" i="8"/>
  <c r="L46" i="8" s="1"/>
  <c r="B378" i="22" s="1"/>
  <c r="B320" i="22"/>
  <c r="B676" i="22"/>
  <c r="L183" i="8"/>
  <c r="K47" i="8"/>
  <c r="L47" i="8" s="1"/>
  <c r="B315" i="22"/>
  <c r="B446" i="22"/>
  <c r="K200" i="7"/>
  <c r="L200" i="7" s="1"/>
  <c r="B444" i="22"/>
  <c r="B440" i="22"/>
  <c r="K145" i="7"/>
  <c r="L145" i="7" s="1"/>
  <c r="K124" i="7" s="1"/>
  <c r="L124" i="7" s="1"/>
  <c r="T18" i="11" s="1"/>
  <c r="B475" i="22"/>
  <c r="B473" i="22"/>
  <c r="B752" i="22"/>
  <c r="K127" i="8"/>
  <c r="L127" i="8" s="1"/>
  <c r="B755" i="22"/>
  <c r="B452" i="22"/>
  <c r="B678" i="22"/>
  <c r="B826" i="22"/>
  <c r="B681" i="22"/>
  <c r="K201" i="7"/>
  <c r="L201" i="7" s="1"/>
  <c r="K116" i="8"/>
  <c r="L116" i="8" s="1"/>
  <c r="Z28" i="11" s="1"/>
  <c r="B438" i="22"/>
  <c r="K199" i="7"/>
  <c r="L199" i="7" s="1"/>
  <c r="B748" i="22"/>
  <c r="B819" i="22"/>
  <c r="B674" i="22"/>
  <c r="B382" i="22"/>
  <c r="P963" i="18"/>
  <c r="L963" i="18"/>
  <c r="B554" i="22"/>
  <c r="M963" i="18"/>
  <c r="J359" i="8" s="1"/>
  <c r="O963" i="18"/>
  <c r="B434" i="22"/>
  <c r="K401" i="8"/>
  <c r="L401" i="8" s="1"/>
  <c r="N963" i="18"/>
  <c r="M964" i="18"/>
  <c r="J360" i="8" s="1"/>
  <c r="N964" i="18"/>
  <c r="K364" i="8"/>
  <c r="L364" i="8" s="1"/>
  <c r="P964" i="18"/>
  <c r="B387" i="22"/>
  <c r="L964" i="18"/>
  <c r="B392" i="22"/>
  <c r="O964" i="18"/>
  <c r="K360" i="8"/>
  <c r="K365" i="8"/>
  <c r="L365" i="8" s="1"/>
  <c r="B553" i="22"/>
  <c r="P287" i="18"/>
  <c r="M287" i="18"/>
  <c r="J127" i="6" s="1"/>
  <c r="O287" i="18"/>
  <c r="K197" i="6"/>
  <c r="L197" i="6" s="1"/>
  <c r="B426" i="22"/>
  <c r="L287" i="18"/>
  <c r="N287" i="18"/>
  <c r="O288" i="18"/>
  <c r="M288" i="18"/>
  <c r="J128" i="6" s="1"/>
  <c r="L288" i="18"/>
  <c r="B391" i="22"/>
  <c r="K131" i="6"/>
  <c r="L131" i="6" s="1"/>
  <c r="B383" i="22"/>
  <c r="K128" i="6"/>
  <c r="B385" i="22"/>
  <c r="P288" i="18"/>
  <c r="B384" i="22"/>
  <c r="N288" i="18"/>
  <c r="B381" i="22"/>
  <c r="B380" i="22"/>
  <c r="B326" i="22"/>
  <c r="B17" i="22"/>
  <c r="B213" i="22"/>
  <c r="K126" i="6"/>
  <c r="B327" i="22"/>
  <c r="B214" i="22"/>
  <c r="B18" i="22"/>
  <c r="K358" i="8"/>
  <c r="K86" i="8" l="1"/>
  <c r="M690" i="18"/>
  <c r="J86" i="8" s="1"/>
  <c r="K87" i="8"/>
  <c r="P690" i="18"/>
  <c r="L690" i="18"/>
  <c r="N690" i="18"/>
  <c r="N19" i="11"/>
  <c r="K133" i="6"/>
  <c r="L133" i="6" s="1"/>
  <c r="K114" i="6" s="1"/>
  <c r="L114" i="6" s="1"/>
  <c r="E9" i="11" s="1"/>
  <c r="E10" i="11" s="1"/>
  <c r="B829" i="22"/>
  <c r="B572" i="22"/>
  <c r="B483" i="22"/>
  <c r="L127" i="6"/>
  <c r="O20" i="11"/>
  <c r="AB33" i="11"/>
  <c r="L360" i="8"/>
  <c r="P21" i="11"/>
  <c r="L359" i="8"/>
  <c r="L128" i="6"/>
  <c r="L358" i="8"/>
  <c r="K354" i="8" s="1"/>
  <c r="L354" i="8" s="1"/>
  <c r="L126" i="6"/>
  <c r="B596" i="22" s="1"/>
  <c r="K239" i="8"/>
  <c r="L239" i="8" s="1"/>
  <c r="AC35" i="11" s="1"/>
  <c r="AC34" i="11" s="1"/>
  <c r="K148" i="6"/>
  <c r="L148" i="6" s="1"/>
  <c r="G14" i="11" s="1"/>
  <c r="G12" i="11" s="1"/>
  <c r="K103" i="8"/>
  <c r="L103" i="8" s="1"/>
  <c r="X30" i="11" s="1"/>
  <c r="X29" i="11" s="1"/>
  <c r="K375" i="8"/>
  <c r="L375" i="8" s="1"/>
  <c r="AH40" i="11" s="1"/>
  <c r="AH39" i="11" s="1"/>
  <c r="K147" i="6"/>
  <c r="L147" i="6" s="1"/>
  <c r="F13" i="11" s="1"/>
  <c r="F11" i="11" s="1"/>
  <c r="W28" i="11"/>
  <c r="AG38" i="11"/>
  <c r="B323" i="22"/>
  <c r="L826" i="18"/>
  <c r="N826" i="18"/>
  <c r="M826" i="18"/>
  <c r="J222" i="8" s="1"/>
  <c r="P826" i="18"/>
  <c r="K223" i="8"/>
  <c r="O826" i="18"/>
  <c r="K138" i="7"/>
  <c r="L138" i="7" s="1"/>
  <c r="AJ41" i="11"/>
  <c r="AE36" i="11"/>
  <c r="P512" i="18"/>
  <c r="B388" i="22"/>
  <c r="K134" i="7"/>
  <c r="O512" i="18"/>
  <c r="M513" i="18"/>
  <c r="J134" i="7" s="1"/>
  <c r="B372" i="22"/>
  <c r="B375" i="22"/>
  <c r="B376" i="22"/>
  <c r="B373" i="22"/>
  <c r="K137" i="7"/>
  <c r="L137" i="7" s="1"/>
  <c r="N513" i="18"/>
  <c r="N512" i="18"/>
  <c r="P513" i="18"/>
  <c r="L513" i="18"/>
  <c r="K203" i="7"/>
  <c r="L203" i="7" s="1"/>
  <c r="K193" i="7" s="1"/>
  <c r="L193" i="7" s="1"/>
  <c r="L512" i="18"/>
  <c r="B411" i="22"/>
  <c r="B374" i="22"/>
  <c r="B389" i="22"/>
  <c r="O513" i="18"/>
  <c r="B377" i="22"/>
  <c r="M512" i="18"/>
  <c r="J133" i="7" s="1"/>
  <c r="B211" i="22"/>
  <c r="K132" i="7"/>
  <c r="B324" i="22"/>
  <c r="B420" i="22"/>
  <c r="B325" i="22"/>
  <c r="K88" i="8"/>
  <c r="B390" i="22"/>
  <c r="O691" i="18"/>
  <c r="K93" i="8"/>
  <c r="L93" i="8" s="1"/>
  <c r="P692" i="18"/>
  <c r="B407" i="22"/>
  <c r="B370" i="22"/>
  <c r="N827" i="18"/>
  <c r="N828" i="18"/>
  <c r="B16" i="22"/>
  <c r="O692" i="18"/>
  <c r="N692" i="18"/>
  <c r="K129" i="8"/>
  <c r="L129" i="8" s="1"/>
  <c r="P691" i="18"/>
  <c r="B212" i="22"/>
  <c r="B379" i="22"/>
  <c r="M692" i="18"/>
  <c r="J88" i="8" s="1"/>
  <c r="M691" i="18"/>
  <c r="J87" i="8" s="1"/>
  <c r="L691" i="18"/>
  <c r="K92" i="8"/>
  <c r="L92" i="8" s="1"/>
  <c r="L692" i="18"/>
  <c r="B552" i="22"/>
  <c r="N691" i="18"/>
  <c r="B14" i="22"/>
  <c r="K222" i="8"/>
  <c r="B210" i="22"/>
  <c r="Z31" i="11"/>
  <c r="T25" i="11"/>
  <c r="M828" i="18"/>
  <c r="J224" i="8" s="1"/>
  <c r="L828" i="18"/>
  <c r="M827" i="18"/>
  <c r="J223" i="8" s="1"/>
  <c r="P827" i="18"/>
  <c r="O828" i="18"/>
  <c r="K224" i="8"/>
  <c r="B371" i="22"/>
  <c r="O827" i="18"/>
  <c r="K265" i="8"/>
  <c r="L265" i="8" s="1"/>
  <c r="K228" i="8"/>
  <c r="L228" i="8" s="1"/>
  <c r="P828" i="18"/>
  <c r="B550" i="22"/>
  <c r="L827" i="18"/>
  <c r="S24" i="11"/>
  <c r="U26" i="11"/>
  <c r="K187" i="6"/>
  <c r="L187" i="6" s="1"/>
  <c r="B591" i="22"/>
  <c r="B592" i="22"/>
  <c r="K395" i="8"/>
  <c r="L395" i="8" s="1"/>
  <c r="L86" i="8" l="1"/>
  <c r="L88" i="8"/>
  <c r="L224" i="8"/>
  <c r="L87" i="8"/>
  <c r="L134" i="7"/>
  <c r="L222" i="8"/>
  <c r="B593" i="22" s="1"/>
  <c r="L132" i="7"/>
  <c r="K128" i="7" s="1"/>
  <c r="L128" i="7" s="1"/>
  <c r="L223" i="8"/>
  <c r="L133" i="7"/>
  <c r="B597" i="22"/>
  <c r="B595" i="22"/>
  <c r="P953" i="18"/>
  <c r="O952" i="18"/>
  <c r="O953" i="18"/>
  <c r="L952" i="18"/>
  <c r="K122" i="6"/>
  <c r="L122" i="6" s="1"/>
  <c r="M953" i="18"/>
  <c r="J349" i="8" s="1"/>
  <c r="N952" i="18"/>
  <c r="N953" i="18"/>
  <c r="M952" i="18"/>
  <c r="J348" i="8" s="1"/>
  <c r="B663" i="22"/>
  <c r="L953" i="18"/>
  <c r="M271" i="18"/>
  <c r="J111" i="6" s="1"/>
  <c r="P952" i="18"/>
  <c r="K355" i="8"/>
  <c r="L355" i="8" s="1"/>
  <c r="K353" i="8" s="1"/>
  <c r="L353" i="8" s="1"/>
  <c r="K352" i="8" s="1"/>
  <c r="L352" i="8" s="1"/>
  <c r="K348" i="8" s="1"/>
  <c r="P269" i="18"/>
  <c r="P272" i="18"/>
  <c r="L272" i="18"/>
  <c r="O270" i="18"/>
  <c r="P270" i="18"/>
  <c r="L270" i="18"/>
  <c r="P273" i="18"/>
  <c r="K123" i="6"/>
  <c r="L123" i="6" s="1"/>
  <c r="N268" i="18"/>
  <c r="O269" i="18"/>
  <c r="N272" i="18"/>
  <c r="O272" i="18"/>
  <c r="B662" i="22"/>
  <c r="M270" i="18"/>
  <c r="J110" i="6" s="1"/>
  <c r="M273" i="18"/>
  <c r="J113" i="6" s="1"/>
  <c r="O268" i="18"/>
  <c r="L268" i="18"/>
  <c r="N270" i="18"/>
  <c r="N269" i="18"/>
  <c r="N271" i="18"/>
  <c r="N273" i="18"/>
  <c r="O273" i="18"/>
  <c r="P271" i="18"/>
  <c r="L271" i="18"/>
  <c r="M269" i="18"/>
  <c r="J109" i="6" s="1"/>
  <c r="P268" i="18"/>
  <c r="M268" i="18"/>
  <c r="J108" i="6" s="1"/>
  <c r="L269" i="18"/>
  <c r="O271" i="18"/>
  <c r="L273" i="18"/>
  <c r="M272" i="18"/>
  <c r="J112" i="6" s="1"/>
  <c r="B589" i="22"/>
  <c r="K123" i="8"/>
  <c r="L123" i="8" s="1"/>
  <c r="K259" i="8"/>
  <c r="L259" i="8" s="1"/>
  <c r="K82" i="8"/>
  <c r="L82" i="8" s="1"/>
  <c r="B590" i="22"/>
  <c r="B588" i="22"/>
  <c r="M681" i="18" l="1"/>
  <c r="J77" i="8" s="1"/>
  <c r="B594" i="22"/>
  <c r="B661" i="22"/>
  <c r="O681" i="18"/>
  <c r="N681" i="18"/>
  <c r="N680" i="18"/>
  <c r="P681" i="18"/>
  <c r="L681" i="18"/>
  <c r="P680" i="18"/>
  <c r="L680" i="18"/>
  <c r="M680" i="18"/>
  <c r="J76" i="8" s="1"/>
  <c r="O680" i="18"/>
  <c r="K83" i="8"/>
  <c r="L83" i="8" s="1"/>
  <c r="K81" i="8" s="1"/>
  <c r="L81" i="8" s="1"/>
  <c r="K80" i="8" s="1"/>
  <c r="L80" i="8" s="1"/>
  <c r="K76" i="8" s="1"/>
  <c r="M498" i="18"/>
  <c r="J119" i="7" s="1"/>
  <c r="L348" i="8"/>
  <c r="AF38" i="11" s="1"/>
  <c r="K218" i="8"/>
  <c r="L218" i="8" s="1"/>
  <c r="K121" i="6"/>
  <c r="L121" i="6" s="1"/>
  <c r="K120" i="6" s="1"/>
  <c r="L120" i="6" s="1"/>
  <c r="K110" i="6" s="1"/>
  <c r="M817" i="18"/>
  <c r="J213" i="8" s="1"/>
  <c r="O494" i="18"/>
  <c r="M497" i="18"/>
  <c r="J118" i="7" s="1"/>
  <c r="M496" i="18"/>
  <c r="J117" i="7" s="1"/>
  <c r="N497" i="18"/>
  <c r="L496" i="18"/>
  <c r="N493" i="18"/>
  <c r="M493" i="18"/>
  <c r="J114" i="7" s="1"/>
  <c r="O493" i="18"/>
  <c r="L498" i="18"/>
  <c r="K129" i="7"/>
  <c r="L129" i="7" s="1"/>
  <c r="K127" i="7" s="1"/>
  <c r="L127" i="7" s="1"/>
  <c r="K126" i="7" s="1"/>
  <c r="L126" i="7" s="1"/>
  <c r="K117" i="7" s="1"/>
  <c r="N496" i="18"/>
  <c r="P495" i="18"/>
  <c r="P498" i="18"/>
  <c r="L495" i="18"/>
  <c r="N498" i="18"/>
  <c r="L494" i="18"/>
  <c r="O496" i="18"/>
  <c r="M495" i="18"/>
  <c r="J116" i="7" s="1"/>
  <c r="O495" i="18"/>
  <c r="P497" i="18"/>
  <c r="P494" i="18"/>
  <c r="L493" i="18"/>
  <c r="B660" i="22"/>
  <c r="O498" i="18"/>
  <c r="P493" i="18"/>
  <c r="M494" i="18"/>
  <c r="J115" i="7" s="1"/>
  <c r="P496" i="18"/>
  <c r="O497" i="18"/>
  <c r="N495" i="18"/>
  <c r="N494" i="18"/>
  <c r="L497" i="18"/>
  <c r="N816" i="18"/>
  <c r="O816" i="18"/>
  <c r="M816" i="18"/>
  <c r="J212" i="8" s="1"/>
  <c r="P817" i="18"/>
  <c r="P816" i="18"/>
  <c r="O817" i="18"/>
  <c r="K219" i="8"/>
  <c r="L219" i="8" s="1"/>
  <c r="N817" i="18"/>
  <c r="B659" i="22"/>
  <c r="L816" i="18"/>
  <c r="L817" i="18"/>
  <c r="K349" i="8"/>
  <c r="L349" i="8" l="1"/>
  <c r="AF41" i="11" s="1"/>
  <c r="AF37" i="11" s="1"/>
  <c r="L76" i="8"/>
  <c r="V28" i="11" s="1"/>
  <c r="L110" i="6"/>
  <c r="D12" i="11" s="1"/>
  <c r="L117" i="7"/>
  <c r="M24" i="11" s="1"/>
  <c r="K217" i="8"/>
  <c r="L217" i="8" s="1"/>
  <c r="K216" i="8" s="1"/>
  <c r="L216" i="8" s="1"/>
  <c r="K213" i="8" s="1"/>
  <c r="K108" i="6"/>
  <c r="L108" i="6" s="1"/>
  <c r="D10" i="11" s="1"/>
  <c r="K113" i="6"/>
  <c r="L113" i="6" s="1"/>
  <c r="D17" i="11" s="1"/>
  <c r="K111" i="6"/>
  <c r="L111" i="6" s="1"/>
  <c r="D15" i="11" s="1"/>
  <c r="K109" i="6"/>
  <c r="L109" i="6" s="1"/>
  <c r="D11" i="11" s="1"/>
  <c r="K112" i="6"/>
  <c r="L112" i="6" s="1"/>
  <c r="D16" i="11" s="1"/>
  <c r="K114" i="7"/>
  <c r="K119" i="7"/>
  <c r="K115" i="7"/>
  <c r="K118" i="7"/>
  <c r="K116" i="7"/>
  <c r="K77" i="8"/>
  <c r="D9" i="11" l="1"/>
  <c r="L213" i="8"/>
  <c r="AA36" i="11" s="1"/>
  <c r="L77" i="8"/>
  <c r="V31" i="11" s="1"/>
  <c r="V27" i="11" s="1"/>
  <c r="L114" i="7"/>
  <c r="M19" i="11" s="1"/>
  <c r="L116" i="7"/>
  <c r="M21" i="11" s="1"/>
  <c r="L119" i="7"/>
  <c r="M26" i="11" s="1"/>
  <c r="L118" i="7"/>
  <c r="M25" i="11" s="1"/>
  <c r="L115" i="7"/>
  <c r="M20" i="11" s="1"/>
  <c r="K212" i="8"/>
  <c r="L212" i="8" s="1"/>
  <c r="AA33" i="11" s="1"/>
  <c r="AA32" i="11" l="1"/>
  <c r="M18" i="11"/>
  <c r="J172" i="6"/>
  <c r="L172" i="6" s="1"/>
  <c r="J173" i="6"/>
  <c r="L173" i="6" s="1"/>
  <c r="J174" i="6"/>
  <c r="L174" i="6" s="1"/>
  <c r="L10" i="11" l="1"/>
  <c r="J10" i="11"/>
  <c r="K10" i="11"/>
  <c r="K16" i="11" l="1"/>
  <c r="J15" i="11"/>
  <c r="L17" i="11"/>
  <c r="D45" i="11" l="1" a="1"/>
  <c r="AJ45" i="11" s="1"/>
  <c r="J45" i="11" l="1"/>
  <c r="J55" i="11" s="1"/>
  <c r="S45" i="11"/>
  <c r="AL28" i="23" s="1"/>
  <c r="AB45" i="11"/>
  <c r="AB50" i="11" s="1"/>
  <c r="P45" i="11"/>
  <c r="P87" i="11" s="1"/>
  <c r="AC45" i="11"/>
  <c r="AC74" i="11" s="1"/>
  <c r="L45" i="11"/>
  <c r="L65" i="11" s="1"/>
  <c r="E45" i="11"/>
  <c r="E67" i="11" s="1"/>
  <c r="X45" i="11"/>
  <c r="AG34" i="23" s="1"/>
  <c r="AV158" i="23" s="1"/>
  <c r="Z45" i="11"/>
  <c r="Z79" i="11" s="1"/>
  <c r="AA45" i="11"/>
  <c r="AA55" i="11" s="1"/>
  <c r="V45" i="11"/>
  <c r="V55" i="11" s="1"/>
  <c r="Q45" i="11"/>
  <c r="E23" i="23" s="1"/>
  <c r="M45" i="11"/>
  <c r="M70" i="11" s="1"/>
  <c r="AE45" i="11"/>
  <c r="AE94" i="11" s="1"/>
  <c r="AD45" i="11"/>
  <c r="AD74" i="11" s="1"/>
  <c r="AH45" i="11"/>
  <c r="AH64" i="11" s="1"/>
  <c r="R45" i="11"/>
  <c r="R65" i="11" s="1"/>
  <c r="AF45" i="11"/>
  <c r="AF80" i="11" s="1"/>
  <c r="F45" i="11"/>
  <c r="C19" i="23" s="1"/>
  <c r="U45" i="11"/>
  <c r="U59" i="11" s="1"/>
  <c r="T45" i="11"/>
  <c r="T84" i="11" s="1"/>
  <c r="H45" i="11"/>
  <c r="H94" i="11" s="1"/>
  <c r="G45" i="11"/>
  <c r="G56" i="11" s="1"/>
  <c r="W45" i="11"/>
  <c r="AT155" i="23" s="1"/>
  <c r="N45" i="11"/>
  <c r="N56" i="11" s="1"/>
  <c r="AG45" i="11"/>
  <c r="AG55" i="11" s="1"/>
  <c r="D45" i="11"/>
  <c r="AF12" i="23" s="1"/>
  <c r="AI45" i="11"/>
  <c r="AI50" i="11" s="1"/>
  <c r="Y45" i="11"/>
  <c r="Y58" i="11" s="1"/>
  <c r="K45" i="11"/>
  <c r="O45" i="11"/>
  <c r="O62" i="11" s="1"/>
  <c r="I45" i="11"/>
  <c r="C39" i="23"/>
  <c r="J62" i="11"/>
  <c r="J81" i="11"/>
  <c r="J80" i="11"/>
  <c r="J77" i="11"/>
  <c r="AG18" i="23"/>
  <c r="BD27" i="23" s="1"/>
  <c r="J85" i="11"/>
  <c r="J64" i="11"/>
  <c r="J59" i="11"/>
  <c r="J94" i="11"/>
  <c r="J73" i="11"/>
  <c r="J69" i="11"/>
  <c r="J75" i="11"/>
  <c r="J72" i="11"/>
  <c r="J46" i="11"/>
  <c r="J65" i="11"/>
  <c r="J60" i="11"/>
  <c r="BX12" i="23"/>
  <c r="J68" i="11"/>
  <c r="J86" i="11"/>
  <c r="J57" i="11"/>
  <c r="J63" i="11"/>
  <c r="J76" i="11"/>
  <c r="J58" i="11"/>
  <c r="J84" i="11"/>
  <c r="J70" i="11"/>
  <c r="J71" i="11"/>
  <c r="J78" i="11"/>
  <c r="J66" i="11"/>
  <c r="J83" i="11"/>
  <c r="J79" i="11"/>
  <c r="J74" i="11"/>
  <c r="J87" i="11"/>
  <c r="J82" i="11"/>
  <c r="AL18" i="23"/>
  <c r="J56" i="11"/>
  <c r="AD13" i="23"/>
  <c r="AM16" i="23"/>
  <c r="F80" i="11"/>
  <c r="AK28" i="23"/>
  <c r="S84" i="11"/>
  <c r="S78" i="11"/>
  <c r="S56" i="11"/>
  <c r="S59" i="11"/>
  <c r="S76" i="11"/>
  <c r="S71" i="11"/>
  <c r="AG39" i="23"/>
  <c r="BB152" i="23" s="1"/>
  <c r="AB68" i="11"/>
  <c r="AZ155" i="23"/>
  <c r="AB72" i="11"/>
  <c r="AB63" i="11"/>
  <c r="AB60" i="11"/>
  <c r="R67" i="11"/>
  <c r="CF12" i="23"/>
  <c r="R79" i="11"/>
  <c r="R60" i="11"/>
  <c r="R62" i="11"/>
  <c r="AF57" i="11"/>
  <c r="AJ50" i="11"/>
  <c r="AJ55" i="11"/>
  <c r="K47" i="23"/>
  <c r="AJ78" i="11"/>
  <c r="AJ86" i="11"/>
  <c r="AJ62" i="11"/>
  <c r="AJ60" i="11"/>
  <c r="AJ58" i="11"/>
  <c r="AJ82" i="11"/>
  <c r="AJ68" i="11"/>
  <c r="AJ65" i="11"/>
  <c r="AJ57" i="11"/>
  <c r="AG48" i="23"/>
  <c r="BJ151" i="23" s="1"/>
  <c r="AJ61" i="11"/>
  <c r="AJ72" i="11"/>
  <c r="BJ144" i="23"/>
  <c r="AJ46" i="11"/>
  <c r="AJ75" i="11"/>
  <c r="AJ70" i="11"/>
  <c r="AJ76" i="11"/>
  <c r="AJ85" i="11"/>
  <c r="AJ73" i="11"/>
  <c r="AJ84" i="11"/>
  <c r="AJ80" i="11"/>
  <c r="AJ59" i="11"/>
  <c r="AJ83" i="11"/>
  <c r="AJ64" i="11"/>
  <c r="AJ81" i="11"/>
  <c r="AJ74" i="11"/>
  <c r="AJ63" i="11"/>
  <c r="AK48" i="23"/>
  <c r="AK44" i="23" s="1"/>
  <c r="AJ67" i="11"/>
  <c r="AJ56" i="11"/>
  <c r="AJ71" i="11"/>
  <c r="AJ79" i="11"/>
  <c r="AJ77" i="11"/>
  <c r="AL48" i="23"/>
  <c r="AL45" i="23" s="1"/>
  <c r="BH147" i="23" s="1"/>
  <c r="AJ94" i="11"/>
  <c r="AJ66" i="11"/>
  <c r="CX12" i="23"/>
  <c r="AJ69" i="11"/>
  <c r="AB81" i="11" l="1"/>
  <c r="AB74" i="11"/>
  <c r="AB62" i="11"/>
  <c r="AB67" i="11"/>
  <c r="AB64" i="11"/>
  <c r="AF76" i="11"/>
  <c r="S68" i="11"/>
  <c r="AF44" i="23"/>
  <c r="BG136" i="23" s="1"/>
  <c r="S94" i="11"/>
  <c r="AF61" i="11"/>
  <c r="AF78" i="11"/>
  <c r="AF71" i="11"/>
  <c r="AF87" i="11"/>
  <c r="AF63" i="11"/>
  <c r="AF59" i="11"/>
  <c r="AF79" i="11"/>
  <c r="S61" i="11"/>
  <c r="AG44" i="23"/>
  <c r="BG141" i="23" s="1"/>
  <c r="AF73" i="11"/>
  <c r="S77" i="11"/>
  <c r="S87" i="11"/>
  <c r="AF75" i="11"/>
  <c r="AF85" i="11"/>
  <c r="S57" i="11"/>
  <c r="AF67" i="11"/>
  <c r="AF46" i="11"/>
  <c r="S60" i="11"/>
  <c r="S63" i="11"/>
  <c r="E27" i="23"/>
  <c r="E28" i="23" s="1"/>
  <c r="P84" i="11"/>
  <c r="R75" i="11"/>
  <c r="R78" i="11"/>
  <c r="R63" i="11"/>
  <c r="R82" i="11"/>
  <c r="E35" i="23"/>
  <c r="E36" i="23" s="1"/>
  <c r="AN25" i="23"/>
  <c r="R94" i="11"/>
  <c r="R83" i="11"/>
  <c r="R57" i="11"/>
  <c r="R58" i="11"/>
  <c r="R64" i="11"/>
  <c r="R55" i="11"/>
  <c r="R74" i="11"/>
  <c r="R77" i="11"/>
  <c r="R72" i="11"/>
  <c r="R66" i="11"/>
  <c r="R81" i="11"/>
  <c r="R87" i="11"/>
  <c r="R59" i="11"/>
  <c r="R70" i="11"/>
  <c r="R50" i="11"/>
  <c r="N37" i="23" s="1"/>
  <c r="N36" i="23" s="1"/>
  <c r="R68" i="11"/>
  <c r="AN27" i="23"/>
  <c r="AU104" i="23" s="1"/>
  <c r="R56" i="11"/>
  <c r="R85" i="11"/>
  <c r="R84" i="11"/>
  <c r="R80" i="11"/>
  <c r="AG27" i="23"/>
  <c r="AU108" i="23" s="1"/>
  <c r="R61" i="11"/>
  <c r="R46" i="11"/>
  <c r="R71" i="11"/>
  <c r="R86" i="11"/>
  <c r="R73" i="11"/>
  <c r="F55" i="11"/>
  <c r="AB61" i="11"/>
  <c r="AB70" i="11"/>
  <c r="AB78" i="11"/>
  <c r="P55" i="11"/>
  <c r="P75" i="11"/>
  <c r="P59" i="11"/>
  <c r="R76" i="11"/>
  <c r="AF81" i="11"/>
  <c r="K11" i="23"/>
  <c r="K13" i="23" s="1"/>
  <c r="AF50" i="11"/>
  <c r="AF51" i="11" s="1"/>
  <c r="W11" i="23" s="1"/>
  <c r="AB83" i="11"/>
  <c r="AB59" i="11"/>
  <c r="AB85" i="11"/>
  <c r="AB56" i="11"/>
  <c r="AB76" i="11"/>
  <c r="AB75" i="11"/>
  <c r="T78" i="11"/>
  <c r="U94" i="11"/>
  <c r="F73" i="11"/>
  <c r="U64" i="11"/>
  <c r="U70" i="11"/>
  <c r="F58" i="11"/>
  <c r="F68" i="11"/>
  <c r="U76" i="11"/>
  <c r="F81" i="11"/>
  <c r="F79" i="11"/>
  <c r="F84" i="11"/>
  <c r="AF58" i="11"/>
  <c r="U66" i="11"/>
  <c r="F70" i="11"/>
  <c r="U83" i="11"/>
  <c r="F83" i="11"/>
  <c r="U55" i="11"/>
  <c r="F87" i="11"/>
  <c r="F76" i="11"/>
  <c r="F71" i="11"/>
  <c r="F46" i="11"/>
  <c r="F67" i="11"/>
  <c r="F77" i="11"/>
  <c r="AG14" i="23"/>
  <c r="AX31" i="23" s="1"/>
  <c r="AI14" i="23"/>
  <c r="AX21" i="23" s="1"/>
  <c r="AM14" i="23"/>
  <c r="S67" i="11"/>
  <c r="AF82" i="11"/>
  <c r="AF64" i="11"/>
  <c r="AF68" i="11"/>
  <c r="AF56" i="11"/>
  <c r="AH45" i="23"/>
  <c r="BG147" i="23" s="1"/>
  <c r="S73" i="11"/>
  <c r="AG28" i="23"/>
  <c r="BD91" i="23" s="1"/>
  <c r="S62" i="11"/>
  <c r="S74" i="11"/>
  <c r="S69" i="11"/>
  <c r="AF70" i="11"/>
  <c r="AF74" i="11"/>
  <c r="AF65" i="11"/>
  <c r="AF69" i="11"/>
  <c r="AF60" i="11"/>
  <c r="AJ48" i="23"/>
  <c r="BJ146" i="23" s="1"/>
  <c r="S64" i="11"/>
  <c r="S82" i="11"/>
  <c r="S46" i="11"/>
  <c r="S72" i="11"/>
  <c r="S55" i="11"/>
  <c r="S75" i="11"/>
  <c r="CG12" i="23"/>
  <c r="S86" i="11"/>
  <c r="S79" i="11"/>
  <c r="AF77" i="11"/>
  <c r="AF62" i="11"/>
  <c r="AF86" i="11"/>
  <c r="AF66" i="11"/>
  <c r="AF84" i="11"/>
  <c r="AF55" i="11"/>
  <c r="S83" i="11"/>
  <c r="S66" i="11"/>
  <c r="S58" i="11"/>
  <c r="S80" i="11"/>
  <c r="E39" i="23"/>
  <c r="E40" i="23" s="1"/>
  <c r="AF72" i="11"/>
  <c r="AE44" i="23"/>
  <c r="BE136" i="23" s="1"/>
  <c r="CT12" i="23"/>
  <c r="AF94" i="11"/>
  <c r="S65" i="11"/>
  <c r="S85" i="11"/>
  <c r="S81" i="11"/>
  <c r="S50" i="11"/>
  <c r="AF28" i="23" s="1"/>
  <c r="BD111" i="23" s="1"/>
  <c r="P50" i="11"/>
  <c r="N27" i="23" s="1"/>
  <c r="T94" i="11"/>
  <c r="P79" i="11"/>
  <c r="P74" i="11"/>
  <c r="P69" i="11"/>
  <c r="U84" i="11"/>
  <c r="P46" i="11"/>
  <c r="U56" i="11"/>
  <c r="T57" i="11"/>
  <c r="AB57" i="11"/>
  <c r="AB66" i="11"/>
  <c r="F85" i="11"/>
  <c r="T82" i="11"/>
  <c r="BA145" i="23"/>
  <c r="AB84" i="11"/>
  <c r="F65" i="11"/>
  <c r="AI39" i="23"/>
  <c r="AI38" i="23" s="1"/>
  <c r="AB65" i="11"/>
  <c r="F69" i="11"/>
  <c r="AB94" i="11"/>
  <c r="AB71" i="11"/>
  <c r="F59" i="11"/>
  <c r="CP12" i="23"/>
  <c r="I27" i="23"/>
  <c r="I28" i="23" s="1"/>
  <c r="F64" i="11"/>
  <c r="AB69" i="11"/>
  <c r="AB55" i="11"/>
  <c r="F86" i="11"/>
  <c r="P86" i="11"/>
  <c r="U82" i="11"/>
  <c r="T62" i="11"/>
  <c r="U79" i="11"/>
  <c r="T77" i="11"/>
  <c r="U80" i="11"/>
  <c r="T80" i="11"/>
  <c r="T67" i="11"/>
  <c r="CI12" i="23"/>
  <c r="T74" i="11"/>
  <c r="AM27" i="23"/>
  <c r="AU106" i="23" s="1"/>
  <c r="U74" i="11"/>
  <c r="AC77" i="11"/>
  <c r="P66" i="11"/>
  <c r="U78" i="11"/>
  <c r="AC78" i="11"/>
  <c r="P56" i="11"/>
  <c r="U86" i="11"/>
  <c r="T81" i="11"/>
  <c r="P71" i="11"/>
  <c r="U50" i="11"/>
  <c r="U51" i="11" s="1"/>
  <c r="T47" i="23" s="1"/>
  <c r="AC75" i="11"/>
  <c r="AB58" i="11"/>
  <c r="AB82" i="11"/>
  <c r="AB80" i="11"/>
  <c r="F56" i="11"/>
  <c r="F60" i="11"/>
  <c r="AC55" i="11"/>
  <c r="AB77" i="11"/>
  <c r="AB73" i="11"/>
  <c r="AB87" i="11"/>
  <c r="F62" i="11"/>
  <c r="F94" i="11"/>
  <c r="H84" i="11"/>
  <c r="AB86" i="11"/>
  <c r="AE39" i="23"/>
  <c r="AY147" i="23" s="1"/>
  <c r="BT12" i="23"/>
  <c r="F74" i="11"/>
  <c r="F82" i="11"/>
  <c r="J67" i="11"/>
  <c r="AC72" i="11"/>
  <c r="T55" i="11"/>
  <c r="P85" i="11"/>
  <c r="U87" i="11"/>
  <c r="AC86" i="11"/>
  <c r="AC59" i="11"/>
  <c r="P82" i="11"/>
  <c r="P65" i="11"/>
  <c r="U73" i="11"/>
  <c r="F66" i="11"/>
  <c r="T72" i="11"/>
  <c r="I31" i="23"/>
  <c r="I32" i="23" s="1"/>
  <c r="P64" i="11"/>
  <c r="P58" i="11"/>
  <c r="U69" i="11"/>
  <c r="F61" i="11"/>
  <c r="J50" i="11"/>
  <c r="M41" i="23" s="1"/>
  <c r="M40" i="23" s="1"/>
  <c r="H65" i="11"/>
  <c r="AC73" i="11"/>
  <c r="T58" i="11"/>
  <c r="T60" i="11"/>
  <c r="AC87" i="11"/>
  <c r="T63" i="11"/>
  <c r="E43" i="23"/>
  <c r="E45" i="23" s="1"/>
  <c r="P72" i="11"/>
  <c r="U62" i="11"/>
  <c r="U75" i="11"/>
  <c r="AD15" i="23"/>
  <c r="AU26" i="23" s="1"/>
  <c r="AC85" i="11"/>
  <c r="AC56" i="11"/>
  <c r="T56" i="11"/>
  <c r="P78" i="11"/>
  <c r="P60" i="11"/>
  <c r="U57" i="11"/>
  <c r="U61" i="11"/>
  <c r="AC79" i="11"/>
  <c r="T83" i="11"/>
  <c r="P68" i="11"/>
  <c r="P62" i="11"/>
  <c r="AE13" i="23"/>
  <c r="AS24" i="23" s="1"/>
  <c r="U46" i="11"/>
  <c r="AG30" i="23"/>
  <c r="BF91" i="23" s="1"/>
  <c r="F75" i="11"/>
  <c r="T64" i="11"/>
  <c r="AC68" i="11"/>
  <c r="T73" i="11"/>
  <c r="P70" i="11"/>
  <c r="AE25" i="23"/>
  <c r="AS90" i="23" s="1"/>
  <c r="U65" i="11"/>
  <c r="U85" i="11"/>
  <c r="F78" i="11"/>
  <c r="AK29" i="23"/>
  <c r="BH84" i="23" s="1"/>
  <c r="AM40" i="23"/>
  <c r="AC70" i="11"/>
  <c r="T87" i="11"/>
  <c r="CD12" i="23"/>
  <c r="AG25" i="23"/>
  <c r="AU97" i="23" s="1"/>
  <c r="AK30" i="23"/>
  <c r="BF84" i="23" s="1"/>
  <c r="U81" i="11"/>
  <c r="AC83" i="11"/>
  <c r="AC81" i="11"/>
  <c r="T85" i="11"/>
  <c r="P63" i="11"/>
  <c r="P76" i="11"/>
  <c r="AC46" i="11"/>
  <c r="U67" i="11"/>
  <c r="U60" i="11"/>
  <c r="AK18" i="23"/>
  <c r="BD20" i="23" s="1"/>
  <c r="AC58" i="11"/>
  <c r="AG40" i="23"/>
  <c r="BB158" i="23" s="1"/>
  <c r="AC50" i="11"/>
  <c r="P31" i="23" s="1"/>
  <c r="P32" i="23" s="1"/>
  <c r="P33" i="23" s="1"/>
  <c r="T46" i="11"/>
  <c r="P73" i="11"/>
  <c r="AI25" i="23"/>
  <c r="AU85" i="23" s="1"/>
  <c r="U77" i="11"/>
  <c r="E47" i="23"/>
  <c r="E48" i="23" s="1"/>
  <c r="E64" i="11"/>
  <c r="G94" i="11"/>
  <c r="G66" i="11"/>
  <c r="AE15" i="23"/>
  <c r="AS26" i="23" s="1"/>
  <c r="C27" i="23"/>
  <c r="C29" i="23" s="1"/>
  <c r="L74" i="11"/>
  <c r="H81" i="11"/>
  <c r="H78" i="11"/>
  <c r="AA60" i="11"/>
  <c r="X72" i="11"/>
  <c r="AA80" i="11"/>
  <c r="X59" i="11"/>
  <c r="W87" i="11"/>
  <c r="W76" i="11"/>
  <c r="W63" i="11"/>
  <c r="AU145" i="23"/>
  <c r="W64" i="11"/>
  <c r="X73" i="11"/>
  <c r="W58" i="11"/>
  <c r="N62" i="11"/>
  <c r="N74" i="11"/>
  <c r="G59" i="11"/>
  <c r="G77" i="11"/>
  <c r="N94" i="11"/>
  <c r="AG82" i="11"/>
  <c r="N55" i="11"/>
  <c r="W73" i="11"/>
  <c r="AG83" i="11"/>
  <c r="AG85" i="11"/>
  <c r="AC63" i="11"/>
  <c r="L82" i="11"/>
  <c r="E75" i="11"/>
  <c r="AC82" i="11"/>
  <c r="AC64" i="11"/>
  <c r="Z74" i="11"/>
  <c r="T79" i="11"/>
  <c r="AM25" i="23"/>
  <c r="P61" i="11"/>
  <c r="P80" i="11"/>
  <c r="L61" i="11"/>
  <c r="E59" i="11"/>
  <c r="AG70" i="11"/>
  <c r="U63" i="11"/>
  <c r="AL30" i="23"/>
  <c r="AA46" i="11"/>
  <c r="W65" i="11"/>
  <c r="AA70" i="11"/>
  <c r="AD40" i="23"/>
  <c r="AA81" i="11"/>
  <c r="AC65" i="11"/>
  <c r="Z75" i="11"/>
  <c r="AG72" i="11"/>
  <c r="AC66" i="11"/>
  <c r="AC60" i="11"/>
  <c r="G47" i="23"/>
  <c r="AZ176" i="23" s="1"/>
  <c r="T86" i="11"/>
  <c r="P81" i="11"/>
  <c r="P77" i="11"/>
  <c r="P83" i="11"/>
  <c r="L70" i="11"/>
  <c r="E70" i="11"/>
  <c r="AG62" i="11"/>
  <c r="U58" i="11"/>
  <c r="U68" i="11"/>
  <c r="F72" i="11"/>
  <c r="F50" i="11"/>
  <c r="M19" i="23" s="1"/>
  <c r="N82" i="11"/>
  <c r="AA61" i="11"/>
  <c r="X69" i="11"/>
  <c r="AJ42" i="23"/>
  <c r="BD146" i="23" s="1"/>
  <c r="AK36" i="23"/>
  <c r="AK32" i="23" s="1"/>
  <c r="L75" i="11"/>
  <c r="T76" i="11"/>
  <c r="AB46" i="11"/>
  <c r="AC71" i="11"/>
  <c r="AE40" i="23"/>
  <c r="AY157" i="23" s="1"/>
  <c r="T69" i="11"/>
  <c r="T65" i="11"/>
  <c r="P94" i="11"/>
  <c r="P57" i="11"/>
  <c r="L87" i="11"/>
  <c r="E85" i="11"/>
  <c r="AG78" i="11"/>
  <c r="U71" i="11"/>
  <c r="F63" i="11"/>
  <c r="Z73" i="11"/>
  <c r="AT153" i="23"/>
  <c r="N84" i="11"/>
  <c r="AG33" i="23"/>
  <c r="AV152" i="23" s="1"/>
  <c r="G83" i="11"/>
  <c r="AC57" i="11"/>
  <c r="AC69" i="11"/>
  <c r="AM41" i="23"/>
  <c r="AZ161" i="23" s="1"/>
  <c r="Z59" i="11"/>
  <c r="AG29" i="23"/>
  <c r="BH91" i="23" s="1"/>
  <c r="T61" i="11"/>
  <c r="T50" i="11"/>
  <c r="AF29" i="23" s="1"/>
  <c r="BH111" i="23" s="1"/>
  <c r="X81" i="11"/>
  <c r="L67" i="11"/>
  <c r="E94" i="11"/>
  <c r="AD24" i="23"/>
  <c r="AX89" i="23" s="1"/>
  <c r="P49" i="11"/>
  <c r="Z85" i="11"/>
  <c r="Z82" i="11"/>
  <c r="X83" i="11"/>
  <c r="W66" i="11"/>
  <c r="W86" i="11"/>
  <c r="C15" i="23"/>
  <c r="C16" i="23" s="1"/>
  <c r="W69" i="11"/>
  <c r="G71" i="11"/>
  <c r="AC84" i="11"/>
  <c r="AC67" i="11"/>
  <c r="H79" i="11"/>
  <c r="Z78" i="11"/>
  <c r="AL29" i="23"/>
  <c r="T59" i="11"/>
  <c r="X55" i="11"/>
  <c r="E55" i="11"/>
  <c r="AG77" i="11"/>
  <c r="Z69" i="11"/>
  <c r="AE33" i="23"/>
  <c r="AS147" i="23" s="1"/>
  <c r="G75" i="11"/>
  <c r="AC94" i="11"/>
  <c r="AC62" i="11"/>
  <c r="H62" i="11"/>
  <c r="Z72" i="11"/>
  <c r="CH12" i="23"/>
  <c r="T70" i="11"/>
  <c r="G31" i="23"/>
  <c r="AZ174" i="23" s="1"/>
  <c r="CU12" i="23"/>
  <c r="E15" i="23"/>
  <c r="E16" i="23" s="1"/>
  <c r="W50" i="11"/>
  <c r="W51" i="11" s="1"/>
  <c r="U27" i="23" s="1"/>
  <c r="G62" i="11"/>
  <c r="Z56" i="11"/>
  <c r="X60" i="11"/>
  <c r="X74" i="11"/>
  <c r="W71" i="11"/>
  <c r="G67" i="11"/>
  <c r="AC61" i="11"/>
  <c r="AZ153" i="23"/>
  <c r="H76" i="11"/>
  <c r="CN12" i="23"/>
  <c r="T75" i="11"/>
  <c r="T66" i="11"/>
  <c r="L84" i="11"/>
  <c r="G27" i="23"/>
  <c r="G28" i="23" s="1"/>
  <c r="E62" i="11"/>
  <c r="W55" i="11"/>
  <c r="G74" i="11"/>
  <c r="H75" i="11"/>
  <c r="W80" i="11"/>
  <c r="G61" i="11"/>
  <c r="AC76" i="11"/>
  <c r="H71" i="11"/>
  <c r="Z87" i="11"/>
  <c r="T68" i="11"/>
  <c r="L62" i="11"/>
  <c r="BF155" i="23"/>
  <c r="W77" i="11"/>
  <c r="X68" i="11"/>
  <c r="W83" i="11"/>
  <c r="W94" i="11"/>
  <c r="V94" i="11"/>
  <c r="AA71" i="11"/>
  <c r="AA68" i="11"/>
  <c r="G46" i="11"/>
  <c r="H85" i="11"/>
  <c r="Z67" i="11"/>
  <c r="X57" i="11"/>
  <c r="X85" i="11"/>
  <c r="L66" i="11"/>
  <c r="E72" i="11"/>
  <c r="E74" i="11"/>
  <c r="AG64" i="11"/>
  <c r="AI45" i="23"/>
  <c r="AI44" i="23" s="1"/>
  <c r="AG38" i="23"/>
  <c r="BA141" i="23" s="1"/>
  <c r="AG59" i="11"/>
  <c r="AE32" i="23"/>
  <c r="AS136" i="23" s="1"/>
  <c r="AG63" i="11"/>
  <c r="V68" i="11"/>
  <c r="AI82" i="11"/>
  <c r="AG73" i="11"/>
  <c r="W57" i="11"/>
  <c r="V86" i="11"/>
  <c r="AA65" i="11"/>
  <c r="I11" i="23"/>
  <c r="I12" i="23" s="1"/>
  <c r="G64" i="11"/>
  <c r="H80" i="11"/>
  <c r="Z57" i="11"/>
  <c r="X86" i="11"/>
  <c r="X71" i="11"/>
  <c r="L55" i="11"/>
  <c r="E73" i="11"/>
  <c r="AH23" i="23"/>
  <c r="BA87" i="23" s="1"/>
  <c r="AG81" i="11"/>
  <c r="AA56" i="11"/>
  <c r="N50" i="11"/>
  <c r="N15" i="23" s="1"/>
  <c r="AA76" i="11"/>
  <c r="AI78" i="11"/>
  <c r="W59" i="11"/>
  <c r="V56" i="11"/>
  <c r="AA57" i="11"/>
  <c r="AA50" i="11"/>
  <c r="P11" i="23" s="1"/>
  <c r="AI15" i="23"/>
  <c r="AU21" i="23" s="1"/>
  <c r="H63" i="11"/>
  <c r="Z58" i="11"/>
  <c r="X78" i="11"/>
  <c r="X62" i="11"/>
  <c r="L50" i="11"/>
  <c r="L51" i="11" s="1"/>
  <c r="S47" i="23" s="1"/>
  <c r="E84" i="11"/>
  <c r="AG74" i="11"/>
  <c r="AG60" i="11"/>
  <c r="AA73" i="11"/>
  <c r="Z61" i="11"/>
  <c r="AI85" i="11"/>
  <c r="AA83" i="11"/>
  <c r="AG71" i="11"/>
  <c r="AA77" i="11"/>
  <c r="G80" i="11"/>
  <c r="Z83" i="11"/>
  <c r="E61" i="11"/>
  <c r="AG66" i="11"/>
  <c r="W61" i="11"/>
  <c r="AA66" i="11"/>
  <c r="AH39" i="23"/>
  <c r="BA147" i="23" s="1"/>
  <c r="G85" i="11"/>
  <c r="C23" i="23"/>
  <c r="C24" i="23" s="1"/>
  <c r="Z80" i="11"/>
  <c r="X64" i="11"/>
  <c r="X50" i="11"/>
  <c r="X51" i="11" s="1"/>
  <c r="U31" i="23" s="1"/>
  <c r="E77" i="11"/>
  <c r="AG67" i="11"/>
  <c r="AG57" i="11"/>
  <c r="Z66" i="11"/>
  <c r="AA72" i="11"/>
  <c r="X63" i="11"/>
  <c r="E66" i="11"/>
  <c r="W72" i="11"/>
  <c r="W70" i="11"/>
  <c r="AA62" i="11"/>
  <c r="G78" i="11"/>
  <c r="Z70" i="11"/>
  <c r="Z71" i="11"/>
  <c r="X67" i="11"/>
  <c r="AM35" i="23"/>
  <c r="AT161" i="23" s="1"/>
  <c r="E83" i="11"/>
  <c r="AG58" i="11"/>
  <c r="AE23" i="23"/>
  <c r="AS88" i="23" s="1"/>
  <c r="V50" i="11"/>
  <c r="O11" i="23" s="1"/>
  <c r="D62" i="11"/>
  <c r="D84" i="11"/>
  <c r="AD22" i="23"/>
  <c r="AS73" i="23" s="1"/>
  <c r="G35" i="23"/>
  <c r="G37" i="23" s="1"/>
  <c r="D94" i="11"/>
  <c r="Q58" i="11"/>
  <c r="D66" i="11"/>
  <c r="Q59" i="11"/>
  <c r="D82" i="11"/>
  <c r="Q85" i="11"/>
  <c r="N57" i="11"/>
  <c r="Q67" i="11"/>
  <c r="N61" i="11"/>
  <c r="Q77" i="11"/>
  <c r="N79" i="11"/>
  <c r="AI56" i="11"/>
  <c r="M76" i="11"/>
  <c r="N77" i="11"/>
  <c r="M84" i="11"/>
  <c r="N87" i="11"/>
  <c r="M73" i="11"/>
  <c r="N59" i="11"/>
  <c r="AI75" i="11"/>
  <c r="X56" i="11"/>
  <c r="X61" i="11"/>
  <c r="L60" i="11"/>
  <c r="AG20" i="23"/>
  <c r="BH27" i="23" s="1"/>
  <c r="AH13" i="23"/>
  <c r="BA23" i="23" s="1"/>
  <c r="D64" i="11"/>
  <c r="AD32" i="23"/>
  <c r="AT136" i="23" s="1"/>
  <c r="Q86" i="11"/>
  <c r="N80" i="11"/>
  <c r="N66" i="11"/>
  <c r="AI23" i="23"/>
  <c r="BA85" i="23" s="1"/>
  <c r="K49" i="11"/>
  <c r="AE64" i="11"/>
  <c r="BF159" i="23"/>
  <c r="V85" i="11"/>
  <c r="O82" i="11"/>
  <c r="CJ12" i="23"/>
  <c r="Z46" i="11"/>
  <c r="AN46" i="23"/>
  <c r="D59" i="11"/>
  <c r="D50" i="11"/>
  <c r="D51" i="11" s="1"/>
  <c r="S11" i="23" s="1"/>
  <c r="Q50" i="11"/>
  <c r="Q51" i="11" s="1"/>
  <c r="T23" i="23" s="1"/>
  <c r="N78" i="11"/>
  <c r="N71" i="11"/>
  <c r="W67" i="11"/>
  <c r="W85" i="11"/>
  <c r="W75" i="11"/>
  <c r="V83" i="11"/>
  <c r="H57" i="11"/>
  <c r="Y72" i="11"/>
  <c r="Z64" i="11"/>
  <c r="Z76" i="11"/>
  <c r="Z55" i="11"/>
  <c r="AI58" i="11"/>
  <c r="X77" i="11"/>
  <c r="X58" i="11"/>
  <c r="L72" i="11"/>
  <c r="C47" i="23"/>
  <c r="C49" i="23" s="1"/>
  <c r="BR12" i="23"/>
  <c r="N69" i="11"/>
  <c r="N72" i="11"/>
  <c r="AJ30" i="23"/>
  <c r="BF86" i="23" s="1"/>
  <c r="Q75" i="11"/>
  <c r="O65" i="11"/>
  <c r="Q55" i="11"/>
  <c r="N70" i="11"/>
  <c r="V76" i="11"/>
  <c r="H86" i="11"/>
  <c r="W60" i="11"/>
  <c r="W62" i="11"/>
  <c r="W84" i="11"/>
  <c r="V66" i="11"/>
  <c r="H77" i="11"/>
  <c r="Y77" i="11"/>
  <c r="Z60" i="11"/>
  <c r="Z63" i="11"/>
  <c r="AD61" i="11"/>
  <c r="K35" i="23"/>
  <c r="K36" i="23" s="1"/>
  <c r="X94" i="11"/>
  <c r="X66" i="11"/>
  <c r="L85" i="11"/>
  <c r="D79" i="11"/>
  <c r="AF22" i="23"/>
  <c r="AZ72" i="23" s="1"/>
  <c r="N60" i="11"/>
  <c r="CB12" i="23"/>
  <c r="Y80" i="11"/>
  <c r="D60" i="11"/>
  <c r="H66" i="11"/>
  <c r="Y61" i="11"/>
  <c r="Z50" i="11"/>
  <c r="O47" i="23" s="1"/>
  <c r="AG35" i="23"/>
  <c r="AU164" i="23" s="1"/>
  <c r="W78" i="11"/>
  <c r="AI33" i="23"/>
  <c r="AI32" i="23" s="1"/>
  <c r="W81" i="11"/>
  <c r="V59" i="11"/>
  <c r="K73" i="11"/>
  <c r="H68" i="11"/>
  <c r="Y66" i="11"/>
  <c r="AX144" i="23"/>
  <c r="Z94" i="11"/>
  <c r="AI55" i="11"/>
  <c r="X65" i="11"/>
  <c r="AE34" i="23"/>
  <c r="AS157" i="23" s="1"/>
  <c r="L73" i="11"/>
  <c r="D80" i="11"/>
  <c r="M57" i="11"/>
  <c r="N63" i="11"/>
  <c r="N83" i="11"/>
  <c r="V80" i="11"/>
  <c r="Y94" i="11"/>
  <c r="AI67" i="11"/>
  <c r="AG36" i="23"/>
  <c r="AX151" i="23" s="1"/>
  <c r="AD66" i="11"/>
  <c r="AD39" i="23"/>
  <c r="W68" i="11"/>
  <c r="W79" i="11"/>
  <c r="V78" i="11"/>
  <c r="H73" i="11"/>
  <c r="H87" i="11"/>
  <c r="Y59" i="11"/>
  <c r="Z68" i="11"/>
  <c r="Z84" i="11"/>
  <c r="X87" i="11"/>
  <c r="AM34" i="23"/>
  <c r="X82" i="11"/>
  <c r="L83" i="11"/>
  <c r="D57" i="11"/>
  <c r="M65" i="11"/>
  <c r="N68" i="11"/>
  <c r="N73" i="11"/>
  <c r="AD12" i="23"/>
  <c r="AS9" i="23" s="1"/>
  <c r="I78" i="11"/>
  <c r="AE77" i="11"/>
  <c r="Y60" i="11"/>
  <c r="AE86" i="11"/>
  <c r="W56" i="11"/>
  <c r="W46" i="11"/>
  <c r="CK12" i="23"/>
  <c r="V63" i="11"/>
  <c r="H72" i="11"/>
  <c r="H67" i="11"/>
  <c r="Y83" i="11"/>
  <c r="Z81" i="11"/>
  <c r="Z65" i="11"/>
  <c r="X76" i="11"/>
  <c r="X84" i="11"/>
  <c r="X80" i="11"/>
  <c r="L58" i="11"/>
  <c r="D70" i="11"/>
  <c r="M85" i="11"/>
  <c r="AN24" i="23"/>
  <c r="N67" i="11"/>
  <c r="N86" i="11"/>
  <c r="D61" i="11"/>
  <c r="AL36" i="23"/>
  <c r="AL33" i="23" s="1"/>
  <c r="AV147" i="23" s="1"/>
  <c r="Z62" i="11"/>
  <c r="AI83" i="11"/>
  <c r="AH15" i="23"/>
  <c r="AU23" i="23" s="1"/>
  <c r="N58" i="11"/>
  <c r="N76" i="11"/>
  <c r="X46" i="11"/>
  <c r="W82" i="11"/>
  <c r="V87" i="11"/>
  <c r="H83" i="11"/>
  <c r="H70" i="11"/>
  <c r="Y50" i="11"/>
  <c r="Y51" i="11" s="1"/>
  <c r="U35" i="23" s="1"/>
  <c r="Z86" i="11"/>
  <c r="X70" i="11"/>
  <c r="X79" i="11"/>
  <c r="L57" i="11"/>
  <c r="D56" i="11"/>
  <c r="M67" i="11"/>
  <c r="Q72" i="11"/>
  <c r="N85" i="11"/>
  <c r="N81" i="11"/>
  <c r="K71" i="11"/>
  <c r="AD86" i="11"/>
  <c r="K60" i="11"/>
  <c r="K57" i="11"/>
  <c r="K61" i="11"/>
  <c r="I46" i="11"/>
  <c r="AM46" i="23"/>
  <c r="K77" i="11"/>
  <c r="AG24" i="23"/>
  <c r="AX95" i="23" s="1"/>
  <c r="AD79" i="11"/>
  <c r="AE56" i="11"/>
  <c r="AE61" i="11"/>
  <c r="I62" i="11"/>
  <c r="I87" i="11"/>
  <c r="V49" i="11"/>
  <c r="I85" i="11"/>
  <c r="I94" i="11"/>
  <c r="I81" i="11"/>
  <c r="I75" i="11"/>
  <c r="AJ49" i="11"/>
  <c r="AJ48" i="11" s="1"/>
  <c r="I86" i="11"/>
  <c r="I77" i="11"/>
  <c r="I65" i="11"/>
  <c r="I83" i="11"/>
  <c r="I80" i="11"/>
  <c r="BW12" i="23"/>
  <c r="I58" i="11"/>
  <c r="I84" i="11"/>
  <c r="I79" i="11"/>
  <c r="AN15" i="23"/>
  <c r="I66" i="11"/>
  <c r="I57" i="11"/>
  <c r="I68" i="11"/>
  <c r="Q49" i="11"/>
  <c r="I69" i="11"/>
  <c r="S49" i="11"/>
  <c r="S48" i="11" s="1"/>
  <c r="I64" i="11"/>
  <c r="I59" i="11"/>
  <c r="I74" i="11"/>
  <c r="I71" i="11"/>
  <c r="I70" i="11"/>
  <c r="C35" i="23"/>
  <c r="C36" i="23" s="1"/>
  <c r="G49" i="11"/>
  <c r="I73" i="11"/>
  <c r="I49" i="11"/>
  <c r="I72" i="11"/>
  <c r="I50" i="11"/>
  <c r="M35" i="23" s="1"/>
  <c r="AZ56" i="23" s="1"/>
  <c r="U49" i="11"/>
  <c r="I55" i="11"/>
  <c r="AD82" i="11"/>
  <c r="AD65" i="11"/>
  <c r="AD63" i="11"/>
  <c r="AD68" i="11"/>
  <c r="AN40" i="23"/>
  <c r="AD76" i="11"/>
  <c r="AD85" i="11"/>
  <c r="AD72" i="11"/>
  <c r="AD94" i="11"/>
  <c r="AD77" i="11"/>
  <c r="AD73" i="11"/>
  <c r="AD80" i="11"/>
  <c r="AN41" i="23"/>
  <c r="AD56" i="11"/>
  <c r="AD83" i="11"/>
  <c r="AD60" i="11"/>
  <c r="AD64" i="11"/>
  <c r="AD78" i="11"/>
  <c r="AD58" i="11"/>
  <c r="AD84" i="11"/>
  <c r="AD55" i="11"/>
  <c r="CR12" i="23"/>
  <c r="AD57" i="11"/>
  <c r="AD50" i="11"/>
  <c r="AD51" i="11" s="1"/>
  <c r="V35" i="23" s="1"/>
  <c r="AD75" i="11"/>
  <c r="AD67" i="11"/>
  <c r="I35" i="23"/>
  <c r="BA175" i="23" s="1"/>
  <c r="AZ159" i="23"/>
  <c r="AD59" i="11"/>
  <c r="AD49" i="11"/>
  <c r="K50" i="11"/>
  <c r="K51" i="11" s="1"/>
  <c r="S43" i="23" s="1"/>
  <c r="K74" i="11"/>
  <c r="K72" i="11"/>
  <c r="AK19" i="23"/>
  <c r="BH20" i="23" s="1"/>
  <c r="C43" i="23"/>
  <c r="C45" i="23" s="1"/>
  <c r="K83" i="11"/>
  <c r="K66" i="11"/>
  <c r="K63" i="11"/>
  <c r="K70" i="11"/>
  <c r="K65" i="11"/>
  <c r="K82" i="11"/>
  <c r="AL19" i="23"/>
  <c r="K81" i="11"/>
  <c r="K79" i="11"/>
  <c r="K78" i="11"/>
  <c r="K46" i="11"/>
  <c r="K56" i="11"/>
  <c r="K86" i="11"/>
  <c r="K64" i="11"/>
  <c r="K75" i="11"/>
  <c r="K58" i="11"/>
  <c r="K76" i="11"/>
  <c r="K80" i="11"/>
  <c r="K59" i="11"/>
  <c r="K87" i="11"/>
  <c r="K94" i="11"/>
  <c r="K67" i="11"/>
  <c r="K68" i="11"/>
  <c r="BY12" i="23"/>
  <c r="AG19" i="23"/>
  <c r="BF27" i="23" s="1"/>
  <c r="K85" i="11"/>
  <c r="I82" i="11"/>
  <c r="AG17" i="23"/>
  <c r="AU44" i="23" s="1"/>
  <c r="AH82" i="11"/>
  <c r="K69" i="11"/>
  <c r="AD69" i="11"/>
  <c r="K55" i="11"/>
  <c r="AD46" i="11"/>
  <c r="AH50" i="11"/>
  <c r="Q31" i="23" s="1"/>
  <c r="Q32" i="23" s="1"/>
  <c r="Q33" i="23" s="1"/>
  <c r="AH60" i="11"/>
  <c r="AG46" i="23"/>
  <c r="BH158" i="23" s="1"/>
  <c r="AH55" i="11"/>
  <c r="AH70" i="11"/>
  <c r="AH86" i="11"/>
  <c r="AH72" i="11"/>
  <c r="AH59" i="11"/>
  <c r="K31" i="23"/>
  <c r="BB174" i="23" s="1"/>
  <c r="AH71" i="11"/>
  <c r="AH63" i="11"/>
  <c r="AD34" i="23"/>
  <c r="AT157" i="23" s="1"/>
  <c r="AH67" i="11"/>
  <c r="AM47" i="23"/>
  <c r="BF161" i="23" s="1"/>
  <c r="AH61" i="11"/>
  <c r="AH87" i="11"/>
  <c r="AD45" i="23"/>
  <c r="BF147" i="23" s="1"/>
  <c r="AH80" i="11"/>
  <c r="AH74" i="11"/>
  <c r="AH56" i="11"/>
  <c r="AH49" i="11"/>
  <c r="AH79" i="11"/>
  <c r="AE46" i="23"/>
  <c r="BE157" i="23" s="1"/>
  <c r="AH76" i="11"/>
  <c r="AH84" i="11"/>
  <c r="AH66" i="11"/>
  <c r="AH73" i="11"/>
  <c r="AH58" i="11"/>
  <c r="AH62" i="11"/>
  <c r="BF153" i="23"/>
  <c r="AH69" i="11"/>
  <c r="AH81" i="11"/>
  <c r="AH65" i="11"/>
  <c r="AH94" i="11"/>
  <c r="AH77" i="11"/>
  <c r="O76" i="11"/>
  <c r="O84" i="11"/>
  <c r="O94" i="11"/>
  <c r="O77" i="11"/>
  <c r="O57" i="11"/>
  <c r="O67" i="11"/>
  <c r="O59" i="11"/>
  <c r="AD23" i="23"/>
  <c r="O72" i="11"/>
  <c r="O74" i="11"/>
  <c r="O56" i="11"/>
  <c r="O86" i="11"/>
  <c r="O50" i="11"/>
  <c r="O51" i="11" s="1"/>
  <c r="T19" i="23" s="1"/>
  <c r="O69" i="11"/>
  <c r="O87" i="11"/>
  <c r="O78" i="11"/>
  <c r="AM26" i="23"/>
  <c r="AY98" i="23" s="1"/>
  <c r="O55" i="11"/>
  <c r="O73" i="11"/>
  <c r="O68" i="11"/>
  <c r="O71" i="11"/>
  <c r="CC12" i="23"/>
  <c r="O64" i="11"/>
  <c r="E19" i="23"/>
  <c r="E21" i="23" s="1"/>
  <c r="O83" i="11"/>
  <c r="AM24" i="23"/>
  <c r="O70" i="11"/>
  <c r="O80" i="11"/>
  <c r="O75" i="11"/>
  <c r="O49" i="11"/>
  <c r="O60" i="11"/>
  <c r="O85" i="11"/>
  <c r="O46" i="11"/>
  <c r="O63" i="11"/>
  <c r="AD62" i="11"/>
  <c r="I76" i="11"/>
  <c r="O81" i="11"/>
  <c r="AH83" i="11"/>
  <c r="I63" i="11"/>
  <c r="AD70" i="11"/>
  <c r="T49" i="11"/>
  <c r="T48" i="11" s="1"/>
  <c r="I61" i="11"/>
  <c r="AE72" i="11"/>
  <c r="AE57" i="11"/>
  <c r="AE63" i="11"/>
  <c r="AE81" i="11"/>
  <c r="AE59" i="11"/>
  <c r="AE75" i="11"/>
  <c r="AE78" i="11"/>
  <c r="AE60" i="11"/>
  <c r="BD144" i="23"/>
  <c r="AE70" i="11"/>
  <c r="AL42" i="23"/>
  <c r="AL39" i="23" s="1"/>
  <c r="BB147" i="23" s="1"/>
  <c r="AE76" i="11"/>
  <c r="AE85" i="11"/>
  <c r="AE67" i="11"/>
  <c r="I47" i="23"/>
  <c r="I48" i="23" s="1"/>
  <c r="AE49" i="11"/>
  <c r="AE58" i="11"/>
  <c r="AE69" i="11"/>
  <c r="AE74" i="11"/>
  <c r="AE55" i="11"/>
  <c r="CS12" i="23"/>
  <c r="AE83" i="11"/>
  <c r="AE87" i="11"/>
  <c r="AE66" i="11"/>
  <c r="AE46" i="11"/>
  <c r="AE68" i="11"/>
  <c r="AE84" i="11"/>
  <c r="AE62" i="11"/>
  <c r="AE71" i="11"/>
  <c r="AG42" i="23"/>
  <c r="AE80" i="11"/>
  <c r="AE50" i="11"/>
  <c r="P47" i="23" s="1"/>
  <c r="AE79" i="11"/>
  <c r="AE65" i="11"/>
  <c r="K84" i="11"/>
  <c r="AH78" i="11"/>
  <c r="O61" i="11"/>
  <c r="AE24" i="23"/>
  <c r="AS89" i="23" s="1"/>
  <c r="AG41" i="23"/>
  <c r="BA164" i="23" s="1"/>
  <c r="I56" i="11"/>
  <c r="AH75" i="11"/>
  <c r="AH57" i="11"/>
  <c r="AI24" i="23"/>
  <c r="AD71" i="11"/>
  <c r="AE73" i="11"/>
  <c r="AH68" i="11"/>
  <c r="AN17" i="23"/>
  <c r="AU40" i="23" s="1"/>
  <c r="I67" i="11"/>
  <c r="O79" i="11"/>
  <c r="AD87" i="11"/>
  <c r="AK42" i="23"/>
  <c r="AK38" i="23" s="1"/>
  <c r="AJ28" i="23"/>
  <c r="V77" i="11"/>
  <c r="AM17" i="23"/>
  <c r="AU42" i="23" s="1"/>
  <c r="Y75" i="11"/>
  <c r="Y71" i="11"/>
  <c r="AI77" i="11"/>
  <c r="L49" i="11"/>
  <c r="AJ20" i="23"/>
  <c r="BF22" i="23" s="1"/>
  <c r="D73" i="11"/>
  <c r="E86" i="11"/>
  <c r="E58" i="11"/>
  <c r="M80" i="11"/>
  <c r="AG26" i="23"/>
  <c r="AX99" i="23" s="1"/>
  <c r="W49" i="11"/>
  <c r="V60" i="11"/>
  <c r="V64" i="11"/>
  <c r="V74" i="11"/>
  <c r="CO12" i="23"/>
  <c r="AA69" i="11"/>
  <c r="G68" i="11"/>
  <c r="G84" i="11"/>
  <c r="AC49" i="11"/>
  <c r="H74" i="11"/>
  <c r="H58" i="11"/>
  <c r="H50" i="11"/>
  <c r="M25" i="23" s="1"/>
  <c r="M24" i="23" s="1"/>
  <c r="Y56" i="11"/>
  <c r="Y46" i="11"/>
  <c r="AD33" i="23"/>
  <c r="AT147" i="23" s="1"/>
  <c r="AI69" i="11"/>
  <c r="AI62" i="11"/>
  <c r="L76" i="11"/>
  <c r="BZ12" i="23"/>
  <c r="D78" i="11"/>
  <c r="AH14" i="23"/>
  <c r="AX23" i="23" s="1"/>
  <c r="D76" i="11"/>
  <c r="E57" i="11"/>
  <c r="E82" i="11"/>
  <c r="AI13" i="23"/>
  <c r="BA21" i="23" s="1"/>
  <c r="M77" i="11"/>
  <c r="M72" i="11"/>
  <c r="M49" i="11"/>
  <c r="AG80" i="11"/>
  <c r="AG61" i="11"/>
  <c r="AG46" i="11"/>
  <c r="Q78" i="11"/>
  <c r="Q65" i="11"/>
  <c r="Y55" i="11"/>
  <c r="M60" i="11"/>
  <c r="AT159" i="23"/>
  <c r="AG22" i="23"/>
  <c r="AX72" i="23" s="1"/>
  <c r="M81" i="11"/>
  <c r="V75" i="11"/>
  <c r="V79" i="11"/>
  <c r="AF49" i="11"/>
  <c r="G79" i="11"/>
  <c r="G69" i="11"/>
  <c r="AI84" i="11"/>
  <c r="D87" i="11"/>
  <c r="E78" i="11"/>
  <c r="M63" i="11"/>
  <c r="AJ29" i="23"/>
  <c r="BH86" i="23" s="1"/>
  <c r="Q60" i="11"/>
  <c r="V72" i="11"/>
  <c r="V57" i="11"/>
  <c r="AG32" i="23"/>
  <c r="AU141" i="23" s="1"/>
  <c r="AA63" i="11"/>
  <c r="AA67" i="11"/>
  <c r="AA64" i="11"/>
  <c r="R49" i="11"/>
  <c r="R48" i="11" s="1"/>
  <c r="G73" i="11"/>
  <c r="G87" i="11"/>
  <c r="H64" i="11"/>
  <c r="H56" i="11"/>
  <c r="H55" i="11"/>
  <c r="Y86" i="11"/>
  <c r="Y62" i="11"/>
  <c r="AI57" i="11"/>
  <c r="AI74" i="11"/>
  <c r="AI73" i="11"/>
  <c r="X49" i="11"/>
  <c r="L69" i="11"/>
  <c r="L94" i="11"/>
  <c r="D83" i="11"/>
  <c r="AG12" i="23"/>
  <c r="AX8" i="23" s="1"/>
  <c r="D69" i="11"/>
  <c r="E80" i="11"/>
  <c r="E87" i="11"/>
  <c r="E50" i="11"/>
  <c r="E51" i="11" s="1"/>
  <c r="S15" i="23" s="1"/>
  <c r="M86" i="11"/>
  <c r="M62" i="11"/>
  <c r="M55" i="11"/>
  <c r="AG87" i="11"/>
  <c r="AG86" i="11"/>
  <c r="AG65" i="11"/>
  <c r="Q82" i="11"/>
  <c r="Q46" i="11"/>
  <c r="F49" i="11"/>
  <c r="H49" i="11"/>
  <c r="AI66" i="11"/>
  <c r="M58" i="11"/>
  <c r="Q61" i="11"/>
  <c r="AI87" i="11"/>
  <c r="E65" i="11"/>
  <c r="Q80" i="11"/>
  <c r="V82" i="11"/>
  <c r="V81" i="11"/>
  <c r="AD44" i="23"/>
  <c r="BF136" i="23" s="1"/>
  <c r="AA75" i="11"/>
  <c r="AA84" i="11"/>
  <c r="AA82" i="11"/>
  <c r="G70" i="11"/>
  <c r="G50" i="11"/>
  <c r="M27" i="23" s="1"/>
  <c r="AG16" i="23"/>
  <c r="AX35" i="23" s="1"/>
  <c r="H61" i="11"/>
  <c r="Y70" i="11"/>
  <c r="Y82" i="11"/>
  <c r="Y73" i="11"/>
  <c r="Z49" i="11"/>
  <c r="AI68" i="11"/>
  <c r="CW12" i="23"/>
  <c r="AI94" i="11"/>
  <c r="L56" i="11"/>
  <c r="L80" i="11"/>
  <c r="L81" i="11"/>
  <c r="D65" i="11"/>
  <c r="D81" i="11"/>
  <c r="D46" i="11"/>
  <c r="AG13" i="23"/>
  <c r="BA27" i="23" s="1"/>
  <c r="E81" i="11"/>
  <c r="M78" i="11"/>
  <c r="M75" i="11"/>
  <c r="M87" i="11"/>
  <c r="BG145" i="23"/>
  <c r="AG69" i="11"/>
  <c r="AG79" i="11"/>
  <c r="Q62" i="11"/>
  <c r="Q73" i="11"/>
  <c r="Q70" i="11"/>
  <c r="Y79" i="11"/>
  <c r="AH25" i="23"/>
  <c r="AU87" i="23" s="1"/>
  <c r="Y69" i="11"/>
  <c r="AI49" i="11"/>
  <c r="AI48" i="11" s="1"/>
  <c r="D49" i="11"/>
  <c r="D77" i="11"/>
  <c r="M71" i="11"/>
  <c r="M50" i="11"/>
  <c r="M51" i="11" s="1"/>
  <c r="T11" i="23" s="1"/>
  <c r="AD38" i="23"/>
  <c r="AZ136" i="23" s="1"/>
  <c r="AJ19" i="23"/>
  <c r="BF21" i="23" s="1"/>
  <c r="D63" i="11"/>
  <c r="M56" i="11"/>
  <c r="M79" i="11"/>
  <c r="Q76" i="11"/>
  <c r="V61" i="11"/>
  <c r="V71" i="11"/>
  <c r="AJ36" i="23"/>
  <c r="AJ32" i="23" s="1"/>
  <c r="AE38" i="23"/>
  <c r="AY136" i="23" s="1"/>
  <c r="AA85" i="11"/>
  <c r="AA87" i="11"/>
  <c r="AG15" i="23"/>
  <c r="AU33" i="23" s="1"/>
  <c r="G81" i="11"/>
  <c r="G72" i="11"/>
  <c r="BV12" i="23"/>
  <c r="H60" i="11"/>
  <c r="Y65" i="11"/>
  <c r="Y87" i="11"/>
  <c r="Y49" i="11"/>
  <c r="AI71" i="11"/>
  <c r="AI81" i="11"/>
  <c r="AI46" i="11"/>
  <c r="AL20" i="23"/>
  <c r="L59" i="11"/>
  <c r="L68" i="11"/>
  <c r="C45" i="11"/>
  <c r="G8" i="20" s="1"/>
  <c r="C11" i="23"/>
  <c r="C13" i="23" s="1"/>
  <c r="D85" i="11"/>
  <c r="E68" i="11"/>
  <c r="E69" i="11"/>
  <c r="M83" i="11"/>
  <c r="M74" i="11"/>
  <c r="M59" i="11"/>
  <c r="AG75" i="11"/>
  <c r="AG76" i="11"/>
  <c r="AG50" i="11"/>
  <c r="AG51" i="11" s="1"/>
  <c r="W27" i="23" s="1"/>
  <c r="Q64" i="11"/>
  <c r="Q57" i="11"/>
  <c r="Q83" i="11"/>
  <c r="N49" i="11"/>
  <c r="N48" i="11" s="1"/>
  <c r="N75" i="11"/>
  <c r="AN34" i="23"/>
  <c r="E11" i="23"/>
  <c r="E12" i="23" s="1"/>
  <c r="Y81" i="11"/>
  <c r="AI63" i="11"/>
  <c r="AN47" i="23"/>
  <c r="D67" i="11"/>
  <c r="AH24" i="23"/>
  <c r="AX87" i="23" s="1"/>
  <c r="Q69" i="11"/>
  <c r="J49" i="11"/>
  <c r="J48" i="11" s="1"/>
  <c r="AD25" i="23"/>
  <c r="V70" i="11"/>
  <c r="G65" i="11"/>
  <c r="Y85" i="11"/>
  <c r="AI72" i="11"/>
  <c r="D72" i="11"/>
  <c r="AG49" i="11"/>
  <c r="V69" i="11"/>
  <c r="V67" i="11"/>
  <c r="AH33" i="23"/>
  <c r="AU147" i="23" s="1"/>
  <c r="AA79" i="11"/>
  <c r="AA58" i="11"/>
  <c r="AA94" i="11"/>
  <c r="G86" i="11"/>
  <c r="G60" i="11"/>
  <c r="G76" i="11"/>
  <c r="H69" i="11"/>
  <c r="AN16" i="23"/>
  <c r="AY32" i="23" s="1"/>
  <c r="Y68" i="11"/>
  <c r="Y67" i="11"/>
  <c r="CM12" i="23"/>
  <c r="AI61" i="11"/>
  <c r="AI59" i="11"/>
  <c r="AI70" i="11"/>
  <c r="L64" i="11"/>
  <c r="L71" i="11"/>
  <c r="L78" i="11"/>
  <c r="D68" i="11"/>
  <c r="D71" i="11"/>
  <c r="AJ18" i="23"/>
  <c r="BD22" i="23" s="1"/>
  <c r="E71" i="11"/>
  <c r="E49" i="11"/>
  <c r="E48" i="11" s="1"/>
  <c r="M94" i="11"/>
  <c r="M61" i="11"/>
  <c r="M46" i="11"/>
  <c r="AG94" i="11"/>
  <c r="AE45" i="23"/>
  <c r="BE147" i="23" s="1"/>
  <c r="K27" i="23"/>
  <c r="K29" i="23" s="1"/>
  <c r="Q94" i="11"/>
  <c r="Q81" i="11"/>
  <c r="Q71" i="11"/>
  <c r="AG23" i="23"/>
  <c r="BA91" i="23" s="1"/>
  <c r="AI65" i="11"/>
  <c r="Q79" i="11"/>
  <c r="Y74" i="11"/>
  <c r="AI64" i="11"/>
  <c r="E79" i="11"/>
  <c r="V84" i="11"/>
  <c r="V46" i="11"/>
  <c r="G11" i="23"/>
  <c r="AA74" i="11"/>
  <c r="AF38" i="23"/>
  <c r="BA136" i="23" s="1"/>
  <c r="AA49" i="11"/>
  <c r="G63" i="11"/>
  <c r="BU12" i="23"/>
  <c r="G82" i="11"/>
  <c r="AN14" i="23"/>
  <c r="H82" i="11"/>
  <c r="Y57" i="11"/>
  <c r="Y63" i="11"/>
  <c r="AN35" i="23"/>
  <c r="AI80" i="11"/>
  <c r="AI76" i="11"/>
  <c r="AI60" i="11"/>
  <c r="L46" i="11"/>
  <c r="L86" i="11"/>
  <c r="L77" i="11"/>
  <c r="AB49" i="11"/>
  <c r="AE12" i="23"/>
  <c r="AU10" i="23" s="1"/>
  <c r="D86" i="11"/>
  <c r="D74" i="11"/>
  <c r="E76" i="11"/>
  <c r="E63" i="11"/>
  <c r="CA12" i="23"/>
  <c r="M69" i="11"/>
  <c r="M68" i="11"/>
  <c r="AH46" i="11"/>
  <c r="AG56" i="11"/>
  <c r="AD46" i="23"/>
  <c r="BF157" i="23" s="1"/>
  <c r="Q87" i="11"/>
  <c r="Q74" i="11"/>
  <c r="Q84" i="11"/>
  <c r="N64" i="11"/>
  <c r="Q66" i="11"/>
  <c r="V58" i="11"/>
  <c r="Y78" i="11"/>
  <c r="AN26" i="23"/>
  <c r="AY96" i="23" s="1"/>
  <c r="AF32" i="23"/>
  <c r="AU136" i="23" s="1"/>
  <c r="G55" i="11"/>
  <c r="M66" i="11"/>
  <c r="Q56" i="11"/>
  <c r="V65" i="11"/>
  <c r="V62" i="11"/>
  <c r="AA86" i="11"/>
  <c r="AA59" i="11"/>
  <c r="G57" i="11"/>
  <c r="AM15" i="23"/>
  <c r="H46" i="11"/>
  <c r="Y84" i="11"/>
  <c r="Y64" i="11"/>
  <c r="AG47" i="23"/>
  <c r="BG164" i="23" s="1"/>
  <c r="AI79" i="11"/>
  <c r="L79" i="11"/>
  <c r="AK20" i="23"/>
  <c r="BF20" i="23" s="1"/>
  <c r="D75" i="11"/>
  <c r="D58" i="11"/>
  <c r="E60" i="11"/>
  <c r="M82" i="11"/>
  <c r="AE22" i="23"/>
  <c r="AU74" i="23" s="1"/>
  <c r="AG68" i="11"/>
  <c r="AG45" i="23"/>
  <c r="BH152" i="23" s="1"/>
  <c r="CE12" i="23"/>
  <c r="Q63" i="11"/>
  <c r="BD84" i="23"/>
  <c r="C21" i="23"/>
  <c r="C20" i="23"/>
  <c r="K49" i="23"/>
  <c r="K48" i="23"/>
  <c r="BB176" i="23"/>
  <c r="AY34" i="23"/>
  <c r="AJ51" i="11"/>
  <c r="W47" i="23" s="1"/>
  <c r="Q49" i="23"/>
  <c r="Q48" i="23" s="1"/>
  <c r="AF48" i="23"/>
  <c r="BJ164" i="23" s="1"/>
  <c r="Q47" i="23"/>
  <c r="AB51" i="11"/>
  <c r="V27" i="23" s="1"/>
  <c r="P27" i="23"/>
  <c r="P28" i="23" s="1"/>
  <c r="P29" i="23" s="1"/>
  <c r="AI51" i="11"/>
  <c r="W35" i="23" s="1"/>
  <c r="Q37" i="23"/>
  <c r="Q36" i="23" s="1"/>
  <c r="Q35" i="23"/>
  <c r="AF47" i="23"/>
  <c r="BH164" i="23" s="1"/>
  <c r="AZ8" i="23"/>
  <c r="E25" i="23"/>
  <c r="E24" i="23"/>
  <c r="C40" i="23"/>
  <c r="C41" i="23"/>
  <c r="AF48" i="11" l="1"/>
  <c r="E29" i="23"/>
  <c r="N35" i="23"/>
  <c r="AZ121" i="23" s="1"/>
  <c r="E37" i="23"/>
  <c r="R51" i="11"/>
  <c r="T35" i="23" s="1"/>
  <c r="AF27" i="23"/>
  <c r="AV111" i="23" s="1"/>
  <c r="F48" i="11"/>
  <c r="Q11" i="23"/>
  <c r="Q13" i="23" s="1"/>
  <c r="Y48" i="11"/>
  <c r="BB172" i="23"/>
  <c r="K12" i="23"/>
  <c r="AJ44" i="23"/>
  <c r="I48" i="11"/>
  <c r="G48" i="11"/>
  <c r="S51" i="11"/>
  <c r="T39" i="23" s="1"/>
  <c r="T40" i="23" s="1"/>
  <c r="P48" i="11"/>
  <c r="AG48" i="11"/>
  <c r="E41" i="23"/>
  <c r="P51" i="11"/>
  <c r="T27" i="23" s="1"/>
  <c r="T28" i="23" s="1"/>
  <c r="N39" i="23"/>
  <c r="AZ122" i="23" s="1"/>
  <c r="N41" i="23"/>
  <c r="N40" i="23" s="1"/>
  <c r="AH44" i="23"/>
  <c r="U48" i="11"/>
  <c r="AD48" i="11"/>
  <c r="I29" i="23"/>
  <c r="BA173" i="23"/>
  <c r="D48" i="11"/>
  <c r="AF30" i="23"/>
  <c r="BF111" i="23" s="1"/>
  <c r="N47" i="23"/>
  <c r="AZ124" i="23" s="1"/>
  <c r="N49" i="23"/>
  <c r="N48" i="23" s="1"/>
  <c r="AC51" i="11"/>
  <c r="V31" i="23" s="1"/>
  <c r="V32" i="23" s="1"/>
  <c r="M39" i="23"/>
  <c r="AZ57" i="23" s="1"/>
  <c r="J51" i="11"/>
  <c r="S39" i="23" s="1"/>
  <c r="S41" i="23" s="1"/>
  <c r="AC48" i="11"/>
  <c r="AF18" i="23"/>
  <c r="BD47" i="23" s="1"/>
  <c r="I33" i="23"/>
  <c r="BA174" i="23"/>
  <c r="AK22" i="23"/>
  <c r="E44" i="23"/>
  <c r="C28" i="23"/>
  <c r="E49" i="23"/>
  <c r="BA172" i="23"/>
  <c r="AO40" i="23"/>
  <c r="I13" i="23"/>
  <c r="AA48" i="11"/>
  <c r="AB48" i="11"/>
  <c r="AL24" i="23"/>
  <c r="AY87" i="23" s="1"/>
  <c r="C17" i="23"/>
  <c r="AZ157" i="23"/>
  <c r="F51" i="11"/>
  <c r="S19" i="23" s="1"/>
  <c r="S20" i="23" s="1"/>
  <c r="G29" i="23"/>
  <c r="AE14" i="23"/>
  <c r="AS25" i="23" s="1"/>
  <c r="T51" i="11"/>
  <c r="T43" i="23" s="1"/>
  <c r="T45" i="23" s="1"/>
  <c r="AH51" i="11"/>
  <c r="W31" i="23" s="1"/>
  <c r="W33" i="23" s="1"/>
  <c r="G48" i="23"/>
  <c r="AJ38" i="23"/>
  <c r="G49" i="23"/>
  <c r="O48" i="11"/>
  <c r="O31" i="23"/>
  <c r="O32" i="23" s="1"/>
  <c r="O33" i="23" s="1"/>
  <c r="BD151" i="23"/>
  <c r="G33" i="23"/>
  <c r="G32" i="23"/>
  <c r="E17" i="23"/>
  <c r="M47" i="23"/>
  <c r="AZ59" i="23" s="1"/>
  <c r="C25" i="23"/>
  <c r="AH38" i="23"/>
  <c r="X48" i="11"/>
  <c r="P37" i="23"/>
  <c r="P36" i="23" s="1"/>
  <c r="AH32" i="23"/>
  <c r="AO32" i="23" s="1"/>
  <c r="M49" i="23"/>
  <c r="M48" i="23" s="1"/>
  <c r="AL23" i="23"/>
  <c r="BB87" i="23" s="1"/>
  <c r="N51" i="11"/>
  <c r="T15" i="23" s="1"/>
  <c r="AF20" i="23"/>
  <c r="BF47" i="23" s="1"/>
  <c r="O27" i="23"/>
  <c r="O28" i="23" s="1"/>
  <c r="O29" i="23" s="1"/>
  <c r="N45" i="23"/>
  <c r="N44" i="23" s="1"/>
  <c r="P35" i="23"/>
  <c r="N19" i="23"/>
  <c r="AZ118" i="23" s="1"/>
  <c r="N43" i="23"/>
  <c r="AZ123" i="23" s="1"/>
  <c r="AF41" i="23"/>
  <c r="BB164" i="23" s="1"/>
  <c r="G51" i="11"/>
  <c r="S27" i="23" s="1"/>
  <c r="S28" i="23" s="1"/>
  <c r="AZ173" i="23"/>
  <c r="H48" i="11"/>
  <c r="Z48" i="11"/>
  <c r="F11" i="20"/>
  <c r="G10" i="20" s="1"/>
  <c r="G11" i="20"/>
  <c r="V51" i="11"/>
  <c r="U11" i="23" s="1"/>
  <c r="U13" i="23" s="1"/>
  <c r="E20" i="23"/>
  <c r="P49" i="23"/>
  <c r="P48" i="23" s="1"/>
  <c r="M48" i="11"/>
  <c r="AA51" i="11"/>
  <c r="V11" i="23" s="1"/>
  <c r="V13" i="23" s="1"/>
  <c r="AF16" i="23"/>
  <c r="AX47" i="23" s="1"/>
  <c r="G51" i="23"/>
  <c r="H11" i="23" s="1"/>
  <c r="AV142" i="23" s="1"/>
  <c r="H51" i="11"/>
  <c r="S23" i="23" s="1"/>
  <c r="S24" i="23" s="1"/>
  <c r="AZ175" i="23"/>
  <c r="G36" i="23"/>
  <c r="Z77" i="11"/>
  <c r="Z92" i="11" s="1"/>
  <c r="O37" i="23"/>
  <c r="O36" i="23" s="1"/>
  <c r="AF26" i="23"/>
  <c r="AX111" i="23" s="1"/>
  <c r="AF35" i="23"/>
  <c r="AV164" i="23" s="1"/>
  <c r="N25" i="23"/>
  <c r="N24" i="23" s="1"/>
  <c r="AF36" i="23"/>
  <c r="AX164" i="23" s="1"/>
  <c r="O35" i="23"/>
  <c r="N23" i="23"/>
  <c r="AZ120" i="23" s="1"/>
  <c r="D55" i="11"/>
  <c r="D92" i="11" s="1"/>
  <c r="W48" i="11"/>
  <c r="AO39" i="23"/>
  <c r="C48" i="23"/>
  <c r="AO33" i="23"/>
  <c r="AI12" i="23"/>
  <c r="Z51" i="11"/>
  <c r="U47" i="23" s="1"/>
  <c r="U48" i="23" s="1"/>
  <c r="R69" i="11"/>
  <c r="R93" i="11" s="1"/>
  <c r="O49" i="23"/>
  <c r="O48" i="23" s="1"/>
  <c r="BH22" i="23"/>
  <c r="M11" i="23"/>
  <c r="M13" i="23" s="1"/>
  <c r="AL14" i="23"/>
  <c r="AY23" i="23" s="1"/>
  <c r="V48" i="11"/>
  <c r="C51" i="23"/>
  <c r="D23" i="23" s="1"/>
  <c r="AY37" i="23" s="1"/>
  <c r="U72" i="11"/>
  <c r="U93" i="11" s="1"/>
  <c r="V73" i="11"/>
  <c r="V93" i="11" s="1"/>
  <c r="AG84" i="11"/>
  <c r="AG92" i="11" s="1"/>
  <c r="AO15" i="23"/>
  <c r="C44" i="23"/>
  <c r="S70" i="11"/>
  <c r="S92" i="11" s="1"/>
  <c r="AH22" i="23"/>
  <c r="G58" i="11"/>
  <c r="G93" i="11" s="1"/>
  <c r="AI22" i="23"/>
  <c r="AD81" i="11"/>
  <c r="AD92" i="11" s="1"/>
  <c r="T71" i="11"/>
  <c r="T92" i="11" s="1"/>
  <c r="AO34" i="23"/>
  <c r="J61" i="11"/>
  <c r="J93" i="11" s="1"/>
  <c r="N65" i="11"/>
  <c r="N92" i="11" s="1"/>
  <c r="L48" i="11"/>
  <c r="Y76" i="11"/>
  <c r="Y92" i="11" s="1"/>
  <c r="E51" i="23"/>
  <c r="F11" i="23" s="1"/>
  <c r="AY75" i="23" s="1"/>
  <c r="E56" i="11"/>
  <c r="E92" i="11" s="1"/>
  <c r="K48" i="11"/>
  <c r="M64" i="11"/>
  <c r="M92" i="11" s="1"/>
  <c r="F57" i="11"/>
  <c r="F92" i="11" s="1"/>
  <c r="BB175" i="23"/>
  <c r="AO25" i="23"/>
  <c r="AC80" i="11"/>
  <c r="AC92" i="11" s="1"/>
  <c r="AE48" i="11"/>
  <c r="AH85" i="11"/>
  <c r="AH92" i="11" s="1"/>
  <c r="AE51" i="11"/>
  <c r="V47" i="23" s="1"/>
  <c r="V49" i="23" s="1"/>
  <c r="AJ87" i="11"/>
  <c r="AJ93" i="11" s="1"/>
  <c r="AZ147" i="23"/>
  <c r="AB79" i="11"/>
  <c r="AB92" i="11" s="1"/>
  <c r="AF42" i="23"/>
  <c r="BD164" i="23" s="1"/>
  <c r="AI86" i="11"/>
  <c r="AI93" i="11" s="1"/>
  <c r="L63" i="11"/>
  <c r="L93" i="11" s="1"/>
  <c r="AE82" i="11"/>
  <c r="AE93" i="11" s="1"/>
  <c r="K37" i="23"/>
  <c r="AJ12" i="23"/>
  <c r="AF19" i="23"/>
  <c r="BH47" i="23" s="1"/>
  <c r="E13" i="23"/>
  <c r="C94" i="11"/>
  <c r="H59" i="11"/>
  <c r="H93" i="11" s="1"/>
  <c r="K62" i="11"/>
  <c r="K93" i="11" s="1"/>
  <c r="I60" i="11"/>
  <c r="I92" i="11" s="1"/>
  <c r="O66" i="11"/>
  <c r="O93" i="11" s="1"/>
  <c r="X75" i="11"/>
  <c r="X93" i="11" s="1"/>
  <c r="M43" i="23"/>
  <c r="AZ58" i="23" s="1"/>
  <c r="AK12" i="23"/>
  <c r="BA176" i="23"/>
  <c r="P67" i="11"/>
  <c r="P93" i="11" s="1"/>
  <c r="AF83" i="11"/>
  <c r="AF92" i="11" s="1"/>
  <c r="M45" i="23"/>
  <c r="M44" i="23" s="1"/>
  <c r="AA78" i="11"/>
  <c r="AA92" i="11" s="1"/>
  <c r="AJ22" i="23"/>
  <c r="W74" i="11"/>
  <c r="W93" i="11" s="1"/>
  <c r="C12" i="23"/>
  <c r="I49" i="23"/>
  <c r="M23" i="23"/>
  <c r="AZ55" i="23" s="1"/>
  <c r="AO45" i="23"/>
  <c r="I51" i="23"/>
  <c r="J11" i="23" s="1"/>
  <c r="BB142" i="23" s="1"/>
  <c r="AH48" i="11"/>
  <c r="AG49" i="23"/>
  <c r="C49" i="11"/>
  <c r="BB173" i="23"/>
  <c r="AF17" i="23"/>
  <c r="AV47" i="23" s="1"/>
  <c r="M37" i="23"/>
  <c r="M36" i="23" s="1"/>
  <c r="Q27" i="23"/>
  <c r="Q28" i="23" s="1"/>
  <c r="Q29" i="23" s="1"/>
  <c r="AH12" i="23"/>
  <c r="M15" i="23"/>
  <c r="AZ52" i="23" s="1"/>
  <c r="Q68" i="11"/>
  <c r="Q93" i="11" s="1"/>
  <c r="C46" i="11"/>
  <c r="AL13" i="23"/>
  <c r="BB23" i="23" s="1"/>
  <c r="AZ172" i="23"/>
  <c r="K51" i="23"/>
  <c r="L11" i="23" s="1"/>
  <c r="BH142" i="23" s="1"/>
  <c r="G13" i="23"/>
  <c r="AD14" i="23"/>
  <c r="G12" i="23"/>
  <c r="BD86" i="23"/>
  <c r="K28" i="23"/>
  <c r="I51" i="11"/>
  <c r="S35" i="23" s="1"/>
  <c r="AU90" i="23"/>
  <c r="I36" i="23"/>
  <c r="AX146" i="23"/>
  <c r="I37" i="23"/>
  <c r="C37" i="23"/>
  <c r="K33" i="23"/>
  <c r="N11" i="23"/>
  <c r="N13" i="23" s="1"/>
  <c r="K32" i="23"/>
  <c r="Q48" i="11"/>
  <c r="AO46" i="23"/>
  <c r="M28" i="23"/>
  <c r="M29" i="23" s="1"/>
  <c r="AZ54" i="23"/>
  <c r="W28" i="23"/>
  <c r="W29" i="23"/>
  <c r="T24" i="23"/>
  <c r="T25" i="23"/>
  <c r="O12" i="23"/>
  <c r="O13" i="23"/>
  <c r="U28" i="23"/>
  <c r="U29" i="23"/>
  <c r="U32" i="23"/>
  <c r="U33" i="23"/>
  <c r="V28" i="23"/>
  <c r="V29" i="23"/>
  <c r="S49" i="23"/>
  <c r="S48" i="23"/>
  <c r="W51" i="23"/>
  <c r="W12" i="23"/>
  <c r="W13" i="23"/>
  <c r="U37" i="23"/>
  <c r="U36" i="23"/>
  <c r="S45" i="23"/>
  <c r="S44" i="23"/>
  <c r="AZ119" i="23"/>
  <c r="N28" i="23"/>
  <c r="N29" i="23" s="1"/>
  <c r="T13" i="23"/>
  <c r="T12" i="23"/>
  <c r="S16" i="23"/>
  <c r="S17" i="23"/>
  <c r="T36" i="23"/>
  <c r="T37" i="23"/>
  <c r="T49" i="23"/>
  <c r="T48" i="23"/>
  <c r="M20" i="23"/>
  <c r="M21" i="23" s="1"/>
  <c r="AZ53" i="23"/>
  <c r="W37" i="23"/>
  <c r="W36" i="23"/>
  <c r="AZ117" i="23"/>
  <c r="N16" i="23"/>
  <c r="N17" i="23" s="1"/>
  <c r="V36" i="23"/>
  <c r="V37" i="23"/>
  <c r="AO47" i="23"/>
  <c r="AO48" i="23" s="1"/>
  <c r="T21" i="23"/>
  <c r="T20" i="23"/>
  <c r="W48" i="23"/>
  <c r="W49" i="23"/>
  <c r="S13" i="23"/>
  <c r="S12" i="23"/>
  <c r="P12" i="23"/>
  <c r="P13" i="23"/>
  <c r="AO27" i="23" l="1"/>
  <c r="AO28" i="23" s="1"/>
  <c r="AO29" i="23" s="1"/>
  <c r="Q12" i="23"/>
  <c r="T41" i="23"/>
  <c r="AO44" i="23"/>
  <c r="T29" i="23"/>
  <c r="V33" i="23"/>
  <c r="S40" i="23"/>
  <c r="C48" i="11"/>
  <c r="AO30" i="23"/>
  <c r="AO24" i="23"/>
  <c r="AX85" i="23"/>
  <c r="D39" i="23"/>
  <c r="BD31" i="23" s="1"/>
  <c r="H49" i="23"/>
  <c r="T51" i="23"/>
  <c r="S21" i="23"/>
  <c r="D43" i="23"/>
  <c r="BF31" i="23" s="1"/>
  <c r="D36" i="23"/>
  <c r="F45" i="23"/>
  <c r="D13" i="23"/>
  <c r="D35" i="23"/>
  <c r="AV43" i="23" s="1"/>
  <c r="D28" i="23"/>
  <c r="T17" i="23"/>
  <c r="D45" i="23"/>
  <c r="U92" i="11"/>
  <c r="U95" i="11" s="1"/>
  <c r="F44" i="23"/>
  <c r="D40" i="23"/>
  <c r="D21" i="23"/>
  <c r="D24" i="23"/>
  <c r="T44" i="23"/>
  <c r="T16" i="23"/>
  <c r="W32" i="23"/>
  <c r="F24" i="23"/>
  <c r="F23" i="23"/>
  <c r="AY101" i="23" s="1"/>
  <c r="AO23" i="23"/>
  <c r="D12" i="23"/>
  <c r="F13" i="23"/>
  <c r="D27" i="23"/>
  <c r="AV37" i="23" s="1"/>
  <c r="D29" i="23"/>
  <c r="D48" i="23"/>
  <c r="D44" i="23"/>
  <c r="S29" i="23"/>
  <c r="D93" i="11"/>
  <c r="D95" i="11" s="1"/>
  <c r="AO41" i="23"/>
  <c r="AO42" i="23" s="1"/>
  <c r="F40" i="23"/>
  <c r="F19" i="23"/>
  <c r="AY94" i="23" s="1"/>
  <c r="F16" i="23"/>
  <c r="F35" i="23"/>
  <c r="AV107" i="23" s="1"/>
  <c r="L32" i="23"/>
  <c r="N20" i="23"/>
  <c r="N21" i="23" s="1"/>
  <c r="AO38" i="23"/>
  <c r="D25" i="23"/>
  <c r="U12" i="23"/>
  <c r="L33" i="23"/>
  <c r="AZ51" i="23"/>
  <c r="M12" i="23"/>
  <c r="AO35" i="23"/>
  <c r="AO36" i="23" s="1"/>
  <c r="X92" i="11"/>
  <c r="X95" i="11" s="1"/>
  <c r="H37" i="23"/>
  <c r="H47" i="23"/>
  <c r="AX155" i="23" s="1"/>
  <c r="F20" i="23"/>
  <c r="F29" i="23"/>
  <c r="F41" i="23"/>
  <c r="F12" i="23"/>
  <c r="F48" i="23"/>
  <c r="D17" i="23"/>
  <c r="H33" i="23"/>
  <c r="F21" i="23"/>
  <c r="AA93" i="11"/>
  <c r="AA95" i="11" s="1"/>
  <c r="D15" i="23"/>
  <c r="BB27" i="23" s="1"/>
  <c r="H12" i="23"/>
  <c r="H27" i="23"/>
  <c r="AV150" i="23" s="1"/>
  <c r="E93" i="11"/>
  <c r="E95" i="11" s="1"/>
  <c r="H28" i="23"/>
  <c r="F43" i="23"/>
  <c r="BH96" i="23" s="1"/>
  <c r="F39" i="23"/>
  <c r="BD96" i="23" s="1"/>
  <c r="D19" i="23"/>
  <c r="AY30" i="23" s="1"/>
  <c r="F17" i="23"/>
  <c r="F37" i="23"/>
  <c r="D16" i="23"/>
  <c r="S25" i="23"/>
  <c r="AO14" i="23"/>
  <c r="F27" i="23"/>
  <c r="AV101" i="23" s="1"/>
  <c r="F28" i="23"/>
  <c r="D47" i="23"/>
  <c r="BH31" i="23" s="1"/>
  <c r="H13" i="23"/>
  <c r="D20" i="23"/>
  <c r="D41" i="23"/>
  <c r="D49" i="23"/>
  <c r="H32" i="23"/>
  <c r="H36" i="23"/>
  <c r="D11" i="23"/>
  <c r="AY11" i="23" s="1"/>
  <c r="F36" i="23"/>
  <c r="F49" i="23"/>
  <c r="V12" i="23"/>
  <c r="F47" i="23"/>
  <c r="BF96" i="23" s="1"/>
  <c r="K92" i="11"/>
  <c r="K95" i="11" s="1"/>
  <c r="D37" i="23"/>
  <c r="AO12" i="23"/>
  <c r="AO22" i="23"/>
  <c r="U49" i="23"/>
  <c r="AO16" i="23"/>
  <c r="V92" i="11"/>
  <c r="V95" i="11" s="1"/>
  <c r="L51" i="23"/>
  <c r="AO26" i="23"/>
  <c r="J32" i="23"/>
  <c r="R92" i="11"/>
  <c r="R95" i="11" s="1"/>
  <c r="S51" i="23"/>
  <c r="L48" i="23"/>
  <c r="AD93" i="11"/>
  <c r="AD95" i="11" s="1"/>
  <c r="AE92" i="11"/>
  <c r="AE95" i="11" s="1"/>
  <c r="F25" i="23"/>
  <c r="H35" i="23"/>
  <c r="AV162" i="23" s="1"/>
  <c r="L29" i="23"/>
  <c r="Z93" i="11"/>
  <c r="Z95" i="11" s="1"/>
  <c r="I93" i="11"/>
  <c r="I95" i="11" s="1"/>
  <c r="T93" i="11"/>
  <c r="T95" i="11" s="1"/>
  <c r="L49" i="23"/>
  <c r="J33" i="23"/>
  <c r="L13" i="23"/>
  <c r="H31" i="23"/>
  <c r="AV156" i="23" s="1"/>
  <c r="H29" i="23"/>
  <c r="H48" i="23"/>
  <c r="W92" i="11"/>
  <c r="W95" i="11" s="1"/>
  <c r="AH93" i="11"/>
  <c r="AH95" i="11" s="1"/>
  <c r="U51" i="23"/>
  <c r="AJ92" i="11"/>
  <c r="AJ95" i="11" s="1"/>
  <c r="V51" i="23"/>
  <c r="P92" i="11"/>
  <c r="P95" i="11" s="1"/>
  <c r="L92" i="11"/>
  <c r="L95" i="11" s="1"/>
  <c r="F15" i="23"/>
  <c r="BB91" i="23" s="1"/>
  <c r="S93" i="11"/>
  <c r="S95" i="11" s="1"/>
  <c r="AC93" i="11"/>
  <c r="AC95" i="11" s="1"/>
  <c r="AF93" i="11"/>
  <c r="AF95" i="11" s="1"/>
  <c r="M93" i="11"/>
  <c r="M95" i="11" s="1"/>
  <c r="AG93" i="11"/>
  <c r="AG95" i="11" s="1"/>
  <c r="F93" i="11"/>
  <c r="F95" i="11" s="1"/>
  <c r="AI92" i="11"/>
  <c r="AI95" i="11" s="1"/>
  <c r="H51" i="23"/>
  <c r="J51" i="23"/>
  <c r="L12" i="23"/>
  <c r="V48" i="23"/>
  <c r="AZ116" i="23"/>
  <c r="J28" i="23"/>
  <c r="Y93" i="11"/>
  <c r="Y95" i="11" s="1"/>
  <c r="J92" i="11"/>
  <c r="J95" i="11" s="1"/>
  <c r="N93" i="11"/>
  <c r="N95" i="11" s="1"/>
  <c r="AB93" i="11"/>
  <c r="AB95" i="11" s="1"/>
  <c r="J31" i="23"/>
  <c r="BB156" i="23" s="1"/>
  <c r="AF49" i="23"/>
  <c r="L36" i="23"/>
  <c r="L47" i="23"/>
  <c r="BJ155" i="23" s="1"/>
  <c r="G92" i="11"/>
  <c r="G95" i="11" s="1"/>
  <c r="O92" i="11"/>
  <c r="O95" i="11" s="1"/>
  <c r="J48" i="23"/>
  <c r="J36" i="23"/>
  <c r="J49" i="23"/>
  <c r="J12" i="23"/>
  <c r="F51" i="23"/>
  <c r="H92" i="11"/>
  <c r="H95" i="11" s="1"/>
  <c r="N12" i="23"/>
  <c r="J37" i="23"/>
  <c r="L35" i="23"/>
  <c r="BH162" i="23" s="1"/>
  <c r="J47" i="23"/>
  <c r="BD155" i="23" s="1"/>
  <c r="AO17" i="23"/>
  <c r="AO18" i="23" s="1"/>
  <c r="AO19" i="23" s="1"/>
  <c r="AO20" i="23" s="1"/>
  <c r="L31" i="23"/>
  <c r="BH156" i="23" s="1"/>
  <c r="L37" i="23"/>
  <c r="AX25" i="23"/>
  <c r="J35" i="23"/>
  <c r="BB162" i="23" s="1"/>
  <c r="J13" i="23"/>
  <c r="D51" i="23"/>
  <c r="J29" i="23"/>
  <c r="L28" i="23"/>
  <c r="L27" i="23"/>
  <c r="BH150" i="23" s="1"/>
  <c r="AO13" i="23"/>
  <c r="Q92" i="11"/>
  <c r="Q95" i="11" s="1"/>
  <c r="S36" i="23"/>
  <c r="M16" i="23"/>
  <c r="M17" i="23" s="1"/>
  <c r="S37" i="23"/>
  <c r="J27" i="23"/>
  <c r="BB150" i="23" s="1"/>
  <c r="C93" i="11" l="1"/>
  <c r="AO49" i="23"/>
  <c r="C92" i="11"/>
  <c r="C95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van de Meent</author>
  </authors>
  <commentList>
    <comment ref="G14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van de Meent:</t>
        </r>
        <r>
          <rPr>
            <sz val="8"/>
            <color indexed="81"/>
            <rFont val="Tahoma"/>
            <family val="2"/>
          </rPr>
          <t xml:space="preserve">
initial masses in compartments "m0"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dvdmeent</author>
  </authors>
  <commentList>
    <comment ref="I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header changed, to avoid confusion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dvdmeent</author>
  </authors>
  <commentList>
    <comment ref="I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header changed, to avoid confusion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dvdmeent</author>
  </authors>
  <commentList>
    <comment ref="K12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advection included 20140821</t>
        </r>
      </text>
    </comment>
    <comment ref="K12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advection included 20140821;
correction areafrac(rain) needed?</t>
        </r>
      </text>
    </comment>
    <comment ref="K12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typical length dry interval between rain events = 3.3 d (Joilliet and Hauschild, 2005)
</t>
        </r>
      </text>
    </comment>
    <comment ref="K125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in NL: 6% of time rain &gt;0.3 mm/hr)
</t>
        </r>
      </text>
    </comment>
    <comment ref="K14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44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45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81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82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83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215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  <comment ref="K216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  <comment ref="K217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dvdmeent</author>
  </authors>
  <commentList>
    <comment ref="K128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advection included 20140821</t>
        </r>
      </text>
    </comment>
    <comment ref="K12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advection included 20140821;
correction areafrac(rain) needed?</t>
        </r>
      </text>
    </comment>
    <comment ref="K13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typical length dry interval between rain events = 3.3 d (Joilliet and Hauschild, 2005)
</t>
        </r>
      </text>
    </comment>
    <comment ref="K131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in NL: 6% of time rain &gt;0.3 mm/hr)
</t>
        </r>
      </text>
    </comment>
    <comment ref="K149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50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51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87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88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89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221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  <comment ref="K222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  <comment ref="K223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dvdmeent</author>
  </authors>
  <commentList>
    <comment ref="K8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typical length dry interval between rain events = 3.3 d (Joilliet and Hauschild, 2005)
</t>
        </r>
      </text>
    </comment>
    <comment ref="K85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in NL: 6% of time rain &gt;0.3 mm/hr)
</t>
        </r>
      </text>
    </comment>
    <comment ref="K101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19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140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  <comment ref="K220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typical length dry interval between rain events = 3.3 d (Joilliet and Hauschild, 2005)
</t>
        </r>
      </text>
    </comment>
    <comment ref="K221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in NL: 6% of time rain &gt;0.3 mm/hr)
</t>
        </r>
      </text>
    </comment>
    <comment ref="K237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255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276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  <comment ref="K356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typical length dry interval between rain events = 3.3 d (Joilliet and Hauschild, 2005)
</t>
        </r>
      </text>
    </comment>
    <comment ref="K357" authorId="0" shapeId="0" xr:uid="{00000000-0006-0000-0900-00000C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in NL: 6% of time rain &gt;0.3 mm/hr)
</t>
        </r>
      </text>
    </comment>
    <comment ref="K373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391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0;
soil penetration depth = 0.1 m</t>
        </r>
      </text>
    </comment>
    <comment ref="K412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dvdmeent:</t>
        </r>
        <r>
          <rPr>
            <sz val="9"/>
            <color indexed="81"/>
            <rFont val="Tahoma"/>
            <family val="2"/>
          </rPr>
          <t xml:space="preserve">
conc at relevant depth / soil-depth averaged conc;
relevant soil depth in this case = 0.5 m;
soil penetration depth = 0.1 m</t>
        </r>
      </text>
    </comment>
  </commentList>
</comments>
</file>

<file path=xl/sharedStrings.xml><?xml version="1.0" encoding="utf-8"?>
<sst xmlns="http://schemas.openxmlformats.org/spreadsheetml/2006/main" count="23120" uniqueCount="12023">
  <si>
    <t>SIMPLEBOX DYNAMIC OUTPUT</t>
  </si>
  <si>
    <t>WATERflow.w1C.w1R</t>
  </si>
  <si>
    <t>WATERflow.w2C.w2R</t>
  </si>
  <si>
    <t>FRACTION discharge continental fresh water to regional scale</t>
  </si>
  <si>
    <t>FRACTION discharge regional fresh water to continental scale</t>
  </si>
  <si>
    <t>FRAC.w1R.w1C</t>
  </si>
  <si>
    <t>TAU.w2C</t>
  </si>
  <si>
    <t>FRACa.s2R</t>
  </si>
  <si>
    <t>FRACa.s3R</t>
  </si>
  <si>
    <t>FRACw.s1R</t>
  </si>
  <si>
    <t>FRACw.s2R</t>
  </si>
  <si>
    <t>FRACw.s3R</t>
  </si>
  <si>
    <t>94-75-7</t>
  </si>
  <si>
    <t>GASABSflow.aC.w1C</t>
  </si>
  <si>
    <t>SEDflow.w1C.sd1C</t>
  </si>
  <si>
    <t>VOLUME FRACTION solids other soil</t>
  </si>
  <si>
    <t>BACT.test</t>
  </si>
  <si>
    <t>VOLUME FRACTION of precipitation on natural soil running off to surface water</t>
  </si>
  <si>
    <t>AREAFRAC.wA</t>
  </si>
  <si>
    <t>AREAFRAC.sA</t>
  </si>
  <si>
    <t>HEIGHT.aA</t>
  </si>
  <si>
    <t>DEPTH.sdA</t>
  </si>
  <si>
    <t>DEPTH.sA</t>
  </si>
  <si>
    <t>Total</t>
  </si>
  <si>
    <t>QSAR lookup as in EU TGD</t>
  </si>
  <si>
    <t>108-90-7</t>
  </si>
  <si>
    <t>chlorobenzene</t>
  </si>
  <si>
    <t>108-93-0</t>
  </si>
  <si>
    <t>cyclohexanol</t>
  </si>
  <si>
    <t>108-94-1</t>
  </si>
  <si>
    <t>cyclohexanone</t>
  </si>
  <si>
    <t>109-66-0</t>
  </si>
  <si>
    <t>VOLUME.aM</t>
  </si>
  <si>
    <t>VOLUME.sdM</t>
  </si>
  <si>
    <t>Temperature corretion reaction rate air</t>
  </si>
  <si>
    <t>Temperature correction reaction rate air</t>
  </si>
  <si>
    <t>[-]</t>
  </si>
  <si>
    <t>LookUp</t>
  </si>
  <si>
    <t>FRACa.s3C</t>
  </si>
  <si>
    <t>FRACw.s3C</t>
  </si>
  <si>
    <t>FRACs.s3C</t>
  </si>
  <si>
    <t>FRACw.sdC</t>
  </si>
  <si>
    <t>FRACs.sdC</t>
  </si>
  <si>
    <t>FRACa.s1C</t>
  </si>
  <si>
    <t>FRs.sM</t>
  </si>
  <si>
    <t>ACTIVATION ENERGY OH radical reaction</t>
  </si>
  <si>
    <t>EMISSION to water1</t>
  </si>
  <si>
    <t>EMISSION to water2</t>
  </si>
  <si>
    <t>FRACTION of chemical in water phase soil</t>
  </si>
  <si>
    <t>kwsd.sed.sdT</t>
  </si>
  <si>
    <t>EROSION.sT</t>
  </si>
  <si>
    <t>FRACrun.sT</t>
  </si>
  <si>
    <t>KDEG.aT</t>
  </si>
  <si>
    <t>KDEG.sdT</t>
  </si>
  <si>
    <t>KDEG.sT</t>
  </si>
  <si>
    <t>ARCTIC ZONE</t>
  </si>
  <si>
    <t>TROPICAL ZONE</t>
  </si>
  <si>
    <t>DEPTH.s2R</t>
  </si>
  <si>
    <t>DEPTH.s3R</t>
  </si>
  <si>
    <t>k.w3T.w3M</t>
  </si>
  <si>
    <t>k.w2T.w3T</t>
  </si>
  <si>
    <t>k.w3T.w2T</t>
  </si>
  <si>
    <t>WATERflow.w2T.w2M</t>
  </si>
  <si>
    <t>TRANSFER rate regional air - continental air</t>
  </si>
  <si>
    <t>TRANSFER rate regional fresh water - regional sea water</t>
  </si>
  <si>
    <t>TRANSFER rate regional sea water - continental sea water</t>
  </si>
  <si>
    <t>TRANSFER rate air - fresh water</t>
  </si>
  <si>
    <t>TRANSFER rate air - sea water</t>
  </si>
  <si>
    <t>TRANSFER rate air - natural soil</t>
  </si>
  <si>
    <t>TRANSFER rate air - agricultural soil</t>
  </si>
  <si>
    <t>TRANSFER rate air - other soil</t>
  </si>
  <si>
    <t>TRANSFER rate fresh water - air</t>
  </si>
  <si>
    <t>TRANSFER rate sea water - air</t>
  </si>
  <si>
    <t>TRANSFER rate natural soil - air</t>
  </si>
  <si>
    <t>TRANSFER rate agricultural soil - air</t>
  </si>
  <si>
    <t>TRANSFER rate other soil - air</t>
  </si>
  <si>
    <t>TRANSFER rate fresh water - fresh water sediment</t>
  </si>
  <si>
    <t>TRANSFER rate sea water - marine sediment</t>
  </si>
  <si>
    <t>TRANSFER rate fresh water sediment - fresh water</t>
  </si>
  <si>
    <t>TRANSFER rate marine sediment - sea water</t>
  </si>
  <si>
    <t>TRANSFER rate natural soil - water</t>
  </si>
  <si>
    <t>TRANSFER rate agricultural soil - water</t>
  </si>
  <si>
    <t>TRANSFER rate other soil - water</t>
  </si>
  <si>
    <t>TRANSFER rate continental air - moderate air</t>
  </si>
  <si>
    <t>TRANSFER rate continental air - regional air</t>
  </si>
  <si>
    <t>TRANSFER rate continental fresh water - regional fresh water</t>
  </si>
  <si>
    <t>TRANSFER rate continental fresh water - continental sea water</t>
  </si>
  <si>
    <t>TRANSFER rate continental sea water - regional sea water</t>
  </si>
  <si>
    <t>TRANSFER rate continental sea water - moderate water</t>
  </si>
  <si>
    <t>TRANSFER rate soil to water</t>
  </si>
  <si>
    <t>TRANSFER rate moderate air - continental air</t>
  </si>
  <si>
    <t>TRANSFER rate moderate air - arctic air</t>
  </si>
  <si>
    <t>TRANSFER rate moderate air - tropical air</t>
  </si>
  <si>
    <t>TRANSFER rate air - water</t>
  </si>
  <si>
    <t>TRANSFER rate air - soil</t>
  </si>
  <si>
    <t>TRANSFER rate water - air</t>
  </si>
  <si>
    <t>TRANSFER rate soil - air</t>
  </si>
  <si>
    <t>TRANSFER rate water - sediment</t>
  </si>
  <si>
    <t>TRANSFER rate sediment - water</t>
  </si>
  <si>
    <t>TRANSFER rate soil - water</t>
  </si>
  <si>
    <t>TRANSFER rate arctic air - moderate air</t>
  </si>
  <si>
    <t>TRANSFER rate tropical air - moderate air</t>
  </si>
  <si>
    <t>TRANSFER rate tropical surface ocean - moderate surface ocean</t>
  </si>
  <si>
    <t>TRANSFER rate tropical deep ocean - moderate deep ocean</t>
  </si>
  <si>
    <t>VOLUME deep ocean</t>
  </si>
  <si>
    <t>Depth deep ocean</t>
  </si>
  <si>
    <t>Depth surface ocean</t>
  </si>
  <si>
    <t>FRw.w2T</t>
  </si>
  <si>
    <t>TAU.aR</t>
  </si>
  <si>
    <t>WINDspeed.R</t>
  </si>
  <si>
    <t>TEMP.R</t>
  </si>
  <si>
    <t>HEIGHT.aC</t>
  </si>
  <si>
    <t>DEPTH.w1C</t>
  </si>
  <si>
    <t>Ksdw.T</t>
  </si>
  <si>
    <t>CORG.sdT</t>
  </si>
  <si>
    <t>s</t>
  </si>
  <si>
    <t>s-1</t>
  </si>
  <si>
    <t>MW</t>
  </si>
  <si>
    <t>WATERflow.w1R.w2R</t>
  </si>
  <si>
    <t>WATERflow.w2R.w2C</t>
  </si>
  <si>
    <t>DRYDEPaerosol.R</t>
  </si>
  <si>
    <t>AEROSOLdeprate.R</t>
  </si>
  <si>
    <t>RAINrate.R</t>
  </si>
  <si>
    <t>COLLECTeff.R</t>
  </si>
  <si>
    <t xml:space="preserve">                  Natural soil:</t>
  </si>
  <si>
    <t>Kp.s1C</t>
  </si>
  <si>
    <t>Kp.s1R</t>
  </si>
  <si>
    <t>k.w2A.w3A</t>
  </si>
  <si>
    <t>k.w3A.w2A</t>
  </si>
  <si>
    <t>TRANSFER rate surface ocean - deep ocean</t>
  </si>
  <si>
    <t>TRANSFER rate deep ocean - surface ocean</t>
  </si>
  <si>
    <t>TRANSFER rate moderate deep ocean - tropical deep ocean</t>
  </si>
  <si>
    <t>k.w3M.w3A</t>
  </si>
  <si>
    <t>k.w3M.w3T</t>
  </si>
  <si>
    <t>FRw.w2M</t>
  </si>
  <si>
    <t>FRw.w3M</t>
  </si>
  <si>
    <t>Kp.susp2M</t>
  </si>
  <si>
    <t>Kp.susp3M</t>
  </si>
  <si>
    <t>SUSP.w2M</t>
  </si>
  <si>
    <t>SUSP.w3M</t>
  </si>
  <si>
    <t>Kp.col2M</t>
  </si>
  <si>
    <t>Kp.col3M</t>
  </si>
  <si>
    <t>COL.w2M</t>
  </si>
  <si>
    <t>COL.w3M</t>
  </si>
  <si>
    <t>DEPflow.aM.w2M</t>
  </si>
  <si>
    <t>GASABSflow.aM.w2M</t>
  </si>
  <si>
    <t>VOLATflow.w2M.aM</t>
  </si>
  <si>
    <t>k.w3M.sdM</t>
  </si>
  <si>
    <t>k.sdM.w3M</t>
  </si>
  <si>
    <t>KDEG.w2M</t>
  </si>
  <si>
    <t>KDEG.w3M</t>
  </si>
  <si>
    <t>WATERflow.w2C.w2M</t>
  </si>
  <si>
    <t>SEDflow.w3M.sdM</t>
  </si>
  <si>
    <t>RESUSPflow.sdM.w3M</t>
  </si>
  <si>
    <t>GROSSSEDrate.w3M</t>
  </si>
  <si>
    <t>SEDflow.w3T.sdT</t>
  </si>
  <si>
    <t>RESUSPflow.sdT.w3T</t>
  </si>
  <si>
    <t>GROSSSEDrate.w3T</t>
  </si>
  <si>
    <t>ADSORBflow.w3T.sdT</t>
  </si>
  <si>
    <t>DESORBflow.sdT.w3T</t>
  </si>
  <si>
    <t>SEDflow.w3A.sdA</t>
  </si>
  <si>
    <t>RESUSPflow.sdA.w3A</t>
  </si>
  <si>
    <t>GROSSSEDrate.w3A</t>
  </si>
  <si>
    <t>ADSORBflow.w3A.sdA</t>
  </si>
  <si>
    <t>DESORBflow.sdA.w3A</t>
  </si>
  <si>
    <t>ADSORBflow.w3M.sdM</t>
  </si>
  <si>
    <t>DESORBflow.sdM.w3M</t>
  </si>
  <si>
    <t>Kp.s2C</t>
  </si>
  <si>
    <t>Kp.s2R</t>
  </si>
  <si>
    <t>Kp.s3C</t>
  </si>
  <si>
    <t>Kp.s3R</t>
  </si>
  <si>
    <t>Kp.sA</t>
  </si>
  <si>
    <t>Kp.sd1C</t>
  </si>
  <si>
    <t>Kp.sd1R</t>
  </si>
  <si>
    <t>Kp.sd2C</t>
  </si>
  <si>
    <t>Kp.sd2R</t>
  </si>
  <si>
    <t>Kp.sdA</t>
  </si>
  <si>
    <t>Kp.sdM</t>
  </si>
  <si>
    <t>Kp.sdT</t>
  </si>
  <si>
    <t>Kp.sM</t>
  </si>
  <si>
    <t>Kp.sT</t>
  </si>
  <si>
    <t>Kp.susp1C</t>
  </si>
  <si>
    <t>Kp.susp1R</t>
  </si>
  <si>
    <t>Kp.susp2C</t>
  </si>
  <si>
    <t>Kp.susp2R</t>
  </si>
  <si>
    <t xml:space="preserve">Correction factor depth dependent soil concentration </t>
  </si>
  <si>
    <t>LANSCAPE SETTINGS</t>
  </si>
  <si>
    <t>Continental OH-radical concentration</t>
  </si>
  <si>
    <t>C.OHrad.aC</t>
  </si>
  <si>
    <t>Tempfactor.aC</t>
  </si>
  <si>
    <t>EROSION.sM</t>
  </si>
  <si>
    <t>FRACrun.sM</t>
  </si>
  <si>
    <t>KDEG.aM</t>
  </si>
  <si>
    <t>KDEG.sdM</t>
  </si>
  <si>
    <t>KDEG.sM</t>
  </si>
  <si>
    <t>kesc.aR</t>
  </si>
  <si>
    <t>kdeg.water</t>
  </si>
  <si>
    <t>kesc.aC</t>
  </si>
  <si>
    <t>FRACw.s2C</t>
  </si>
  <si>
    <t>FRACs.s2C</t>
  </si>
  <si>
    <t>SETTLvelocity.M</t>
  </si>
  <si>
    <t>PRODsusp.wM</t>
  </si>
  <si>
    <t>NETsedrate.wM</t>
  </si>
  <si>
    <t>Mass fraction organic carbon in aerosol</t>
  </si>
  <si>
    <t>Dry density of aerosol</t>
  </si>
  <si>
    <t>Other soil:</t>
  </si>
  <si>
    <t xml:space="preserve">   Air</t>
  </si>
  <si>
    <t xml:space="preserve">   Fresh water</t>
  </si>
  <si>
    <t xml:space="preserve">   Fresh water sediment</t>
  </si>
  <si>
    <t>INTER MEDIA PARTITIONING</t>
  </si>
  <si>
    <t>VOLUME other soil compartment</t>
  </si>
  <si>
    <t>EROSION of soil</t>
  </si>
  <si>
    <t>vs 1.0</t>
  </si>
  <si>
    <t>SUSP.w1R</t>
  </si>
  <si>
    <t>SUSP.w2R</t>
  </si>
  <si>
    <t>Trapp and Horobin, 2005</t>
  </si>
  <si>
    <t>VOLUME FRACTION solid particles in air</t>
  </si>
  <si>
    <t>VOLUME FRACTION aqueous phase aerosols in air</t>
  </si>
  <si>
    <t>pH.w1</t>
  </si>
  <si>
    <t>pH.s1</t>
  </si>
  <si>
    <t>pH.s2</t>
  </si>
  <si>
    <t>pH.s3</t>
  </si>
  <si>
    <t>pH.w2</t>
  </si>
  <si>
    <t>range pH 0-5</t>
  </si>
  <si>
    <t>REMOVAL from air</t>
  </si>
  <si>
    <t>REMOVAL from sediment</t>
  </si>
  <si>
    <t>REMOVAL from natural soil</t>
  </si>
  <si>
    <t>k.aR.aC</t>
  </si>
  <si>
    <t>k.w1R.w2R</t>
  </si>
  <si>
    <t>k.w2R.w2C</t>
  </si>
  <si>
    <t>k.aR.w1R</t>
  </si>
  <si>
    <t>k.aR.w2R</t>
  </si>
  <si>
    <t>k.aR.s1R</t>
  </si>
  <si>
    <t>k.aR.s2R</t>
  </si>
  <si>
    <t>k.aR.s3R</t>
  </si>
  <si>
    <t>k.w1R.aR</t>
  </si>
  <si>
    <t>k.w2R.aR</t>
  </si>
  <si>
    <t>k.s1R.aR</t>
  </si>
  <si>
    <t>k.s2R.aR</t>
  </si>
  <si>
    <t>k.s3R.aR</t>
  </si>
  <si>
    <t>k.w1R.sd1R</t>
  </si>
  <si>
    <t>k.sd1R.w1R</t>
  </si>
  <si>
    <t>k.w2R.sd2R</t>
  </si>
  <si>
    <t>k.sd2R.w2R</t>
  </si>
  <si>
    <t>k.s1R.w1R</t>
  </si>
  <si>
    <t>k.s2R.w1R</t>
  </si>
  <si>
    <t>k.s3R.w1R</t>
  </si>
  <si>
    <t>k.aR</t>
  </si>
  <si>
    <t>k.w1R</t>
  </si>
  <si>
    <t>k.sd1R</t>
  </si>
  <si>
    <t>k.s1R</t>
  </si>
  <si>
    <t>k.s2R</t>
  </si>
  <si>
    <t>k.s3R</t>
  </si>
  <si>
    <t>REMOVAL from fresh water</t>
  </si>
  <si>
    <t>REMOVAL from sea water</t>
  </si>
  <si>
    <t>k.w2R</t>
  </si>
  <si>
    <t>REMOVAL from fresh water sediment</t>
  </si>
  <si>
    <t>REMOVAL from marine sediment</t>
  </si>
  <si>
    <t>k.sd2R</t>
  </si>
  <si>
    <t>k.aC.aM</t>
  </si>
  <si>
    <t>k.aC.aR</t>
  </si>
  <si>
    <t>k.w1C.w1R</t>
  </si>
  <si>
    <t>k.w1C.w2C</t>
  </si>
  <si>
    <t>k.w2C.w2R</t>
  </si>
  <si>
    <t>k.aC.w1C</t>
  </si>
  <si>
    <t>k.aC.w2C</t>
  </si>
  <si>
    <t>k.aC.s1C</t>
  </si>
  <si>
    <t>Q.10</t>
  </si>
  <si>
    <t>Tempfactor.aR</t>
  </si>
  <si>
    <t>Gas phase DIFFUSION coefficient</t>
  </si>
  <si>
    <t>Water phase DIFFUSION coefficient</t>
  </si>
  <si>
    <t>SIMPLEBOX STEADY-STATE COMPUTATION</t>
  </si>
  <si>
    <t>FRACinf.sM</t>
  </si>
  <si>
    <t>VOLUME.aA</t>
  </si>
  <si>
    <t>VOLUME.sdA</t>
  </si>
  <si>
    <t>VOLUME.sA</t>
  </si>
  <si>
    <t>SYSTEMAREA.A</t>
  </si>
  <si>
    <t>m.s-1</t>
  </si>
  <si>
    <t>w0R</t>
  </si>
  <si>
    <t>w0C</t>
  </si>
  <si>
    <t>from w0C</t>
  </si>
  <si>
    <t>from w0R</t>
  </si>
  <si>
    <t>VOLUME lake water compartment</t>
  </si>
  <si>
    <t>VOLUME.w0R</t>
  </si>
  <si>
    <t>AREA FRACTION lake water</t>
  </si>
  <si>
    <t>AREAFRAC.w0R</t>
  </si>
  <si>
    <t>Mixed DEPTH lake water compartment</t>
  </si>
  <si>
    <t>DEPTH.w0R</t>
  </si>
  <si>
    <t>k.w0R.w1R</t>
  </si>
  <si>
    <t>k.w1R.w0R</t>
  </si>
  <si>
    <t>k.w0R.w2R</t>
  </si>
  <si>
    <t>FRACTION of chemical truely dissolved in water phase lake water</t>
  </si>
  <si>
    <t>FRw.w0R</t>
  </si>
  <si>
    <t>Kp.susp0R</t>
  </si>
  <si>
    <t>CORG.susp0R</t>
  </si>
  <si>
    <t>SUSP.w0R</t>
  </si>
  <si>
    <t>Kp.col0R</t>
  </si>
  <si>
    <t>COL.w0R</t>
  </si>
  <si>
    <t>TRANSFER rate air - lake water</t>
  </si>
  <si>
    <t>k.aR.w0R</t>
  </si>
  <si>
    <t>k.w0R.aR</t>
  </si>
  <si>
    <t>DEPflow.aR.w0R</t>
  </si>
  <si>
    <t>GASABSflow.aR.w0R</t>
  </si>
  <si>
    <t>VOLATflow.w0R.aR</t>
  </si>
  <si>
    <t>REMOVAL from lake water</t>
  </si>
  <si>
    <t>k.w0R</t>
  </si>
  <si>
    <t>KDEG.w0R</t>
  </si>
  <si>
    <t>BACT.w0R</t>
  </si>
  <si>
    <t>Fraction lake water</t>
  </si>
  <si>
    <t>FRAClake.R</t>
  </si>
  <si>
    <t>FRAClake.C</t>
  </si>
  <si>
    <t>Depth lake water</t>
  </si>
  <si>
    <t>DEPTHlake.R</t>
  </si>
  <si>
    <t>DEPTHlake.C</t>
  </si>
  <si>
    <t>FLOW of REGIONAL lake to regional fresh water</t>
  </si>
  <si>
    <t>WATERflow.w0R.w2R</t>
  </si>
  <si>
    <t>WATERflow.w0R.w1R</t>
  </si>
  <si>
    <t>FLOW of REGIONAL lake to regional sea water</t>
  </si>
  <si>
    <t>TRANSFER rate regional fresh water - regional lake</t>
  </si>
  <si>
    <t>TRANSFER rate regional lake - regional fresh water</t>
  </si>
  <si>
    <t>TRANSFER rate regional lake - regional sea water</t>
  </si>
  <si>
    <t>FLOW of REGIONAL fresh water to regional lake</t>
  </si>
  <si>
    <t>WATERflow.w1R.w0R</t>
  </si>
  <si>
    <t>CAS</t>
  </si>
  <si>
    <t>Modeled after Lake Constantz</t>
  </si>
  <si>
    <t>DEGRADATION in lake water</t>
  </si>
  <si>
    <t>Concentration BACTERIA in lake water</t>
  </si>
  <si>
    <t>VOLUME.w0C</t>
  </si>
  <si>
    <t>AREAFRAC.w0C</t>
  </si>
  <si>
    <t>DEPTH.w0C</t>
  </si>
  <si>
    <t>k.w0C.w1C</t>
  </si>
  <si>
    <t>k.w0C.w2C</t>
  </si>
  <si>
    <t>k.w1C.w0C</t>
  </si>
  <si>
    <t>WATERflow.w0C.w1C</t>
  </si>
  <si>
    <t>WATERflow.w0C.w2C</t>
  </si>
  <si>
    <t>WATERflow.w1C.w0C</t>
  </si>
  <si>
    <t>Water FLOW of continental lake water to continental fresh water</t>
  </si>
  <si>
    <t>Water FLOW of continental lake water to continental sea water</t>
  </si>
  <si>
    <t>Water FLOW of continental fresh water to continental lake water</t>
  </si>
  <si>
    <t>TRANSFER rate continental lake water - continental fresh water</t>
  </si>
  <si>
    <t>TRANSFER rate continental lake water - continental sea water</t>
  </si>
  <si>
    <t>TRANSFER rate continental fresh water - continental lake water</t>
  </si>
  <si>
    <t>FRw.w0C</t>
  </si>
  <si>
    <t>Kp.susp0C</t>
  </si>
  <si>
    <t>CORG.susp0C</t>
  </si>
  <si>
    <t>SUSP.w0C</t>
  </si>
  <si>
    <t>Kp.col0C</t>
  </si>
  <si>
    <t>COL.w0C</t>
  </si>
  <si>
    <t>k.aC.w0C</t>
  </si>
  <si>
    <t>k.w0C.aC</t>
  </si>
  <si>
    <t>DEPflow.aC.w0C</t>
  </si>
  <si>
    <t>GASABSflow.aC.w0C</t>
  </si>
  <si>
    <t>VOLATflow.w0C.aC</t>
  </si>
  <si>
    <t>k.w0C</t>
  </si>
  <si>
    <t>KDEG.w0C</t>
  </si>
  <si>
    <t>BACT.w0C</t>
  </si>
  <si>
    <t>Fresh water lake</t>
  </si>
  <si>
    <t>air-water</t>
  </si>
  <si>
    <t>water-air</t>
  </si>
  <si>
    <t>soil-water</t>
  </si>
  <si>
    <t>air-soil</t>
  </si>
  <si>
    <t>soil-air</t>
  </si>
  <si>
    <t>Output table 1:  Steady-state Concentrations, Fugacities, Emissions and Mass</t>
  </si>
  <si>
    <t>REMOVAL from agricultural soil</t>
  </si>
  <si>
    <t>REMOVAL from other soil</t>
  </si>
  <si>
    <t>Regional Scale</t>
  </si>
  <si>
    <t>transport</t>
  </si>
  <si>
    <t>water-sed</t>
  </si>
  <si>
    <t>sed-water</t>
  </si>
  <si>
    <t>balance</t>
  </si>
  <si>
    <t>mass</t>
  </si>
  <si>
    <t>air</t>
  </si>
  <si>
    <t>fresh water lakes</t>
  </si>
  <si>
    <t>Global Scale - Moderate climate zone</t>
  </si>
  <si>
    <t>Global Scale - Arctic climate zone</t>
  </si>
  <si>
    <t>Global Scale - Tropical climate zone</t>
  </si>
  <si>
    <t>coastal sea water</t>
  </si>
  <si>
    <t>fresh water sediment</t>
  </si>
  <si>
    <t>coastal marine sediment</t>
  </si>
  <si>
    <t>natural soil</t>
  </si>
  <si>
    <t>agricultural soil</t>
  </si>
  <si>
    <t>other soil</t>
  </si>
  <si>
    <t>upper ocean water</t>
  </si>
  <si>
    <t>deep sea</t>
  </si>
  <si>
    <t>ocean sediment</t>
  </si>
  <si>
    <t>soil</t>
  </si>
  <si>
    <t>Non hydrophobics</t>
  </si>
  <si>
    <t>Phenols, anilines, benzonitriles, nitrobenzenes</t>
  </si>
  <si>
    <t>Acetanilides, carbamates, esters, phenylureas, phosphates, triazines, triazoles, uracils</t>
  </si>
  <si>
    <t>Alcohols, organic acids</t>
  </si>
  <si>
    <t>Acetanilides</t>
  </si>
  <si>
    <t>Alcohols</t>
  </si>
  <si>
    <t>Amides</t>
  </si>
  <si>
    <t>Anilines</t>
  </si>
  <si>
    <t>Carbamates</t>
  </si>
  <si>
    <t>Dinitroanilines</t>
  </si>
  <si>
    <t>Esters</t>
  </si>
  <si>
    <t>Nitrobenzenes</t>
  </si>
  <si>
    <t>Organic acids</t>
  </si>
  <si>
    <t>Phenols, benzonitriles</t>
  </si>
  <si>
    <t>Phenylureas</t>
  </si>
  <si>
    <t>Phosphates</t>
  </si>
  <si>
    <t>Triazines</t>
  </si>
  <si>
    <t>Triazoles</t>
  </si>
  <si>
    <t>ChemClass</t>
  </si>
  <si>
    <t>AIRflow.aA.aM</t>
  </si>
  <si>
    <t>TAU.aA</t>
  </si>
  <si>
    <t>WINDspeed.A</t>
  </si>
  <si>
    <t>TEMP.A</t>
  </si>
  <si>
    <t>CORG.sdA</t>
  </si>
  <si>
    <t>CORG.sA</t>
  </si>
  <si>
    <t>Ksdw.A</t>
  </si>
  <si>
    <t>DEPflow.aA.sA</t>
  </si>
  <si>
    <t>DRYDEPaerosol.A</t>
  </si>
  <si>
    <t>RESUSPrate.sd1R</t>
  </si>
  <si>
    <t>GROSSSEDrate.w2R</t>
  </si>
  <si>
    <t>RESUSPrate.sd2R</t>
  </si>
  <si>
    <t>SETTLvelocity.R</t>
  </si>
  <si>
    <t>VOLUME FRACTION water natural soil</t>
  </si>
  <si>
    <t>REMOVAL from SYSTEM</t>
  </si>
  <si>
    <t>LEACHflow.s1C</t>
  </si>
  <si>
    <t>LEACHflow.s2C</t>
  </si>
  <si>
    <t>LEACHflow.s3C</t>
  </si>
  <si>
    <t>FRACinf.s1C</t>
  </si>
  <si>
    <t>FRACinf.s2C</t>
  </si>
  <si>
    <t>FRACinf.s3C</t>
  </si>
  <si>
    <t>DEGRADATION in agricultural soil</t>
  </si>
  <si>
    <t>kdep.T</t>
  </si>
  <si>
    <t>kdry.T</t>
  </si>
  <si>
    <t>kwet.T</t>
  </si>
  <si>
    <t>tdry.T</t>
  </si>
  <si>
    <t>twet.T</t>
  </si>
  <si>
    <t>KDEPmean.T</t>
  </si>
  <si>
    <t>DEGRADATION in other soil</t>
  </si>
  <si>
    <t>VOLUME FRACTION water in sediment</t>
  </si>
  <si>
    <t>* PORE WATER / GROUNDWATER</t>
  </si>
  <si>
    <t>Net SEDIMENT ACCUMULATION rate sea water</t>
  </si>
  <si>
    <t>CORG.sdM</t>
  </si>
  <si>
    <t>Ksdw.M</t>
  </si>
  <si>
    <t>www.rivm.nl</t>
  </si>
  <si>
    <t>Autochtonous PRODUCTION of suspended matter in fresh water</t>
  </si>
  <si>
    <t>FRACw.s1C</t>
  </si>
  <si>
    <t>FRACs.s1C</t>
  </si>
  <si>
    <t>FRACa.s2C</t>
  </si>
  <si>
    <t>Aerosol COLLECTION EFFICIENCY</t>
  </si>
  <si>
    <t>CONTINENTAL SCALE MODEL DEFINITION</t>
  </si>
  <si>
    <t>Air</t>
  </si>
  <si>
    <t>Fresh water</t>
  </si>
  <si>
    <t>Fresh water sediment</t>
  </si>
  <si>
    <t>Marine sediment</t>
  </si>
  <si>
    <t>Natural soil</t>
  </si>
  <si>
    <t>Agricultural soil</t>
  </si>
  <si>
    <t>Other soil</t>
  </si>
  <si>
    <t>78-87-5</t>
  </si>
  <si>
    <t>1,2-dichloropropane</t>
  </si>
  <si>
    <t>trichloroethylene</t>
  </si>
  <si>
    <t>80-62-6</t>
  </si>
  <si>
    <t>methyl methacrylate</t>
  </si>
  <si>
    <t>DEPflow.aC.w1C</t>
  </si>
  <si>
    <t>DRYDEPaerosol.C</t>
  </si>
  <si>
    <t>AEROSOLdeprate.C</t>
  </si>
  <si>
    <t>EROSION of other soil</t>
  </si>
  <si>
    <t>FRACrun.s2R</t>
  </si>
  <si>
    <t>FRACrun.s3R</t>
  </si>
  <si>
    <t>KDEG.aR</t>
  </si>
  <si>
    <t>REGIONAL SCALE MODEL DEFINITION</t>
  </si>
  <si>
    <t>Ksdw1.R</t>
  </si>
  <si>
    <t>kwsd.water.wM</t>
  </si>
  <si>
    <t>kwsd.sed.sdM</t>
  </si>
  <si>
    <t>DEPTH.w2C</t>
  </si>
  <si>
    <t>DEPTH.sd1C</t>
  </si>
  <si>
    <t>DEPTH.sd2C</t>
  </si>
  <si>
    <t>DEPTH.s2C</t>
  </si>
  <si>
    <t>VOLATflow.s3C.aC</t>
  </si>
  <si>
    <t>FRACa.sA</t>
  </si>
  <si>
    <t>VOLUME FRACTION solid in sediment</t>
  </si>
  <si>
    <t>FRACs.sdA</t>
  </si>
  <si>
    <t>FRs.sT</t>
  </si>
  <si>
    <t>FRw.sT</t>
  </si>
  <si>
    <t>Ks1w.C</t>
  </si>
  <si>
    <t>CORG.s1C</t>
  </si>
  <si>
    <t>Ks2w.C</t>
  </si>
  <si>
    <t>CORG.s2C</t>
  </si>
  <si>
    <t>Ks3w.C</t>
  </si>
  <si>
    <t>CORG.s3C</t>
  </si>
  <si>
    <t>Kow</t>
  </si>
  <si>
    <t>-</t>
  </si>
  <si>
    <t>[Pa]</t>
  </si>
  <si>
    <t>Pa</t>
  </si>
  <si>
    <t>DEPflow.aC.s1C</t>
  </si>
  <si>
    <t>DEPflow.aC.s2C</t>
  </si>
  <si>
    <t>DEPflow.aC.s3C</t>
  </si>
  <si>
    <t xml:space="preserve"> * SUSPENDED SOLIDS</t>
  </si>
  <si>
    <t>Dry aerosol DEPOSITION rate</t>
  </si>
  <si>
    <t>AEROSOLdeprate.A</t>
  </si>
  <si>
    <t>RAINrate.A</t>
  </si>
  <si>
    <t>COLLECTeff.A</t>
  </si>
  <si>
    <t>RESUSPrate.sd1C</t>
  </si>
  <si>
    <t>GROSSSEDrate.w2C</t>
  </si>
  <si>
    <t>RESUSPrate.sd2C</t>
  </si>
  <si>
    <t>SETTLvelocity.C</t>
  </si>
  <si>
    <t>PRODsusp.w1C</t>
  </si>
  <si>
    <t>PRODsusp.w2C</t>
  </si>
  <si>
    <t>NETsedrate.w1C</t>
  </si>
  <si>
    <t>RESUSPflow.sd1R.w1R</t>
  </si>
  <si>
    <t>SEDflow.w2R.sd2R</t>
  </si>
  <si>
    <t>RESUSPflow.sd2R.w2R</t>
  </si>
  <si>
    <t>GROSSSEDrate.w1R</t>
  </si>
  <si>
    <t xml:space="preserve">   Natural soil</t>
  </si>
  <si>
    <t xml:space="preserve">   Other soil</t>
  </si>
  <si>
    <t>Emission</t>
  </si>
  <si>
    <t>RESIDENCE TIME of air in tropical scale</t>
  </si>
  <si>
    <t>FLOW of water from tropical to moderate scale</t>
  </si>
  <si>
    <t>TEMPERATURE tropic scale</t>
  </si>
  <si>
    <t>OH-radical concentration tropic scale</t>
  </si>
  <si>
    <t>FRACTION of chemical in water phase natural soil</t>
  </si>
  <si>
    <t>FRACTION of chemical in water phase agricultural soil</t>
  </si>
  <si>
    <t>FRACTION of chemical in water phase other soil</t>
  </si>
  <si>
    <t>s3C</t>
  </si>
  <si>
    <t>aC</t>
  </si>
  <si>
    <t>aM</t>
  </si>
  <si>
    <t>sdM</t>
  </si>
  <si>
    <t>aA</t>
  </si>
  <si>
    <t>sdA</t>
  </si>
  <si>
    <t>aT</t>
  </si>
  <si>
    <t>sdT</t>
  </si>
  <si>
    <t>sM</t>
  </si>
  <si>
    <t>sA</t>
  </si>
  <si>
    <t>sT</t>
  </si>
  <si>
    <t>VOLUME.aR</t>
  </si>
  <si>
    <t>VOLUME.w1R</t>
  </si>
  <si>
    <t>Volumes (m3)</t>
  </si>
  <si>
    <t>emis</t>
  </si>
  <si>
    <t>MASS BALANCE CHECK</t>
  </si>
  <si>
    <t>VOLUME FRACTION water agricultural soil</t>
  </si>
  <si>
    <t>VOLUME FRACTION solids agricultural soil</t>
  </si>
  <si>
    <t>VOLUME FRACTION air natural soil</t>
  </si>
  <si>
    <t>VOLUME FRACTION water other soil</t>
  </si>
  <si>
    <t>FRw.w1R</t>
  </si>
  <si>
    <t>FRw.w2R</t>
  </si>
  <si>
    <t>Tempfactor.wsdsC</t>
  </si>
  <si>
    <t>Tempfactor.wsdsM</t>
  </si>
  <si>
    <t>Tempfactor.wsdsA</t>
  </si>
  <si>
    <t>TEMPERATURE on moderate scale</t>
  </si>
  <si>
    <t>RESIDENCE TIME of air in arctic scale</t>
  </si>
  <si>
    <t>FLOW of water from ARCTIC to moderate scale</t>
  </si>
  <si>
    <t>Mass FRACTION organic carbon sediment</t>
  </si>
  <si>
    <t>AerosolWashout.M</t>
  </si>
  <si>
    <t>GasWashout.M</t>
  </si>
  <si>
    <t>Colloidal organic matter/water partition coefficient</t>
  </si>
  <si>
    <t>Kp.col1R</t>
  </si>
  <si>
    <t>Concentration of colloidal organic matter in water</t>
  </si>
  <si>
    <t>COL.w1R</t>
  </si>
  <si>
    <t>Kp.col2R</t>
  </si>
  <si>
    <t>COL.w2R</t>
  </si>
  <si>
    <t>Kp.col1C</t>
  </si>
  <si>
    <t>COL.w1C</t>
  </si>
  <si>
    <t>Kp.col2C</t>
  </si>
  <si>
    <t>COL.w2C</t>
  </si>
  <si>
    <t>pH aerosol</t>
  </si>
  <si>
    <t>pH fresh water</t>
  </si>
  <si>
    <t>pH natural soil</t>
  </si>
  <si>
    <t>pH agricultural soil</t>
  </si>
  <si>
    <t>pH other soil</t>
  </si>
  <si>
    <t>pH in sea water</t>
  </si>
  <si>
    <t>Net SEDIMENT ACCUMULATION rate</t>
  </si>
  <si>
    <t>MODERATE ZONE</t>
  </si>
  <si>
    <t>WINDspeed.M</t>
  </si>
  <si>
    <t>RUNOFFflow.s1C.w1C</t>
  </si>
  <si>
    <t>RUNOFFflow.s2C.w1C</t>
  </si>
  <si>
    <t>EROSION.s1C</t>
  </si>
  <si>
    <t>EROSION.s2C</t>
  </si>
  <si>
    <t>FRw.w1C</t>
  </si>
  <si>
    <t>FRw.w2C</t>
  </si>
  <si>
    <t>DEPflow.aR.w2R</t>
  </si>
  <si>
    <t>DEPflow.aC.w2C</t>
  </si>
  <si>
    <t>Mixed DEPTH marine sediment compartment</t>
  </si>
  <si>
    <t>FRw.s1C</t>
  </si>
  <si>
    <t>FRw.s2C</t>
  </si>
  <si>
    <t>FRw.s3C</t>
  </si>
  <si>
    <t>DEPflow.aR.s2R</t>
  </si>
  <si>
    <t>DEPflow.aR.s3R</t>
  </si>
  <si>
    <t>SETTLING VELOCITY suspended particles</t>
  </si>
  <si>
    <t>vs 3.0</t>
  </si>
  <si>
    <t>VOLUME FRACTION of precipitation infiltrating into other soil</t>
  </si>
  <si>
    <t>Concentration BACTERIA in fresh water</t>
  </si>
  <si>
    <t>AerosolWashout.R</t>
  </si>
  <si>
    <t>GasWashout.R</t>
  </si>
  <si>
    <t>K</t>
  </si>
  <si>
    <t>FRw.sM</t>
  </si>
  <si>
    <t>FRACw.sM</t>
  </si>
  <si>
    <t>FRACs.sM</t>
  </si>
  <si>
    <t>FRACw.sdM</t>
  </si>
  <si>
    <t>ALL-SCALE</t>
  </si>
  <si>
    <t>Chemical class</t>
  </si>
  <si>
    <t>Dimensionless solids/water PARTITION COEFFICIENT of the original species</t>
  </si>
  <si>
    <t>Dimensionless solids/water PARTITION COEFFICIENT of the alternate form</t>
  </si>
  <si>
    <t>Ksw.alt</t>
  </si>
  <si>
    <t>FRorig.w1</t>
  </si>
  <si>
    <t>FRorig.w2</t>
  </si>
  <si>
    <t>FRorig.sd1</t>
  </si>
  <si>
    <t>FRorig.sd2</t>
  </si>
  <si>
    <t>Fraction original species in fresh water</t>
  </si>
  <si>
    <t>Fraction original species in seawater</t>
  </si>
  <si>
    <t>FRorig.s1</t>
  </si>
  <si>
    <t>FRorig.s2</t>
  </si>
  <si>
    <t>FRorig.s3</t>
  </si>
  <si>
    <t>D</t>
  </si>
  <si>
    <t>Dissociation constant of (conjugated) acid</t>
  </si>
  <si>
    <t>FRaerw.aR</t>
  </si>
  <si>
    <t>FRaers.aR</t>
  </si>
  <si>
    <t>Kaerw.aR</t>
  </si>
  <si>
    <t>Dimensionless aerosol water / air PARTITION COEFFICIENT</t>
  </si>
  <si>
    <t>Dimensionless aerosol solids / air PARTITION COEFFICIENT</t>
  </si>
  <si>
    <t>Kaers.aR</t>
  </si>
  <si>
    <t>FRACTION of chemical in aerosol water</t>
  </si>
  <si>
    <t>FRACTION of chemical in aerosol solids</t>
  </si>
  <si>
    <t>FRcldw.aR</t>
  </si>
  <si>
    <t>Acid</t>
  </si>
  <si>
    <t>Base</t>
  </si>
  <si>
    <t>Neutral</t>
  </si>
  <si>
    <t>FRorig.cldw</t>
  </si>
  <si>
    <t>FRorig.aerw</t>
  </si>
  <si>
    <t>FRACTION of chemical in gas phase</t>
  </si>
  <si>
    <t>FRaerw.aC</t>
  </si>
  <si>
    <t>FRaers.aC</t>
  </si>
  <si>
    <t>FRcldw.aC</t>
  </si>
  <si>
    <t>Kaerw.aC</t>
  </si>
  <si>
    <t>Kaers.aC</t>
  </si>
  <si>
    <t>FRaerw.aT</t>
  </si>
  <si>
    <t>FRaers.aT</t>
  </si>
  <si>
    <t>FRcldw.aT</t>
  </si>
  <si>
    <t>Kaerw.aT</t>
  </si>
  <si>
    <t>Kaers.aT</t>
  </si>
  <si>
    <t>FRaerw.aM</t>
  </si>
  <si>
    <t>FRaers.aM</t>
  </si>
  <si>
    <t>FRcldw.aM</t>
  </si>
  <si>
    <t>Kaerw.aM</t>
  </si>
  <si>
    <t>Kaers.aM</t>
  </si>
  <si>
    <t>FRaerw.aA</t>
  </si>
  <si>
    <t>FRaers.aA</t>
  </si>
  <si>
    <t>FRcldw.aA</t>
  </si>
  <si>
    <t>Kaerw.aA</t>
  </si>
  <si>
    <t>Kaers.aA</t>
  </si>
  <si>
    <t>pH.aerw</t>
  </si>
  <si>
    <t>FRorig.s1w</t>
  </si>
  <si>
    <t>FRorig.s2w</t>
  </si>
  <si>
    <t>FRorig.s3w</t>
  </si>
  <si>
    <t>Fraction original species in aerosol water</t>
  </si>
  <si>
    <t>Fraction original species in freshwater sediment</t>
  </si>
  <si>
    <t>Fraction original species in marine sediment</t>
  </si>
  <si>
    <t>Fraction original species in natural soil</t>
  </si>
  <si>
    <t xml:space="preserve">Fraction original species in porewater of natural soil </t>
  </si>
  <si>
    <t>Fraction original species in agricultural soil</t>
  </si>
  <si>
    <t>Fraction original species in porewater of agricultural soil</t>
  </si>
  <si>
    <t>Fraction original species in other soil</t>
  </si>
  <si>
    <t>Fraction original species in porewater of other soil</t>
  </si>
  <si>
    <t>Hydrophobics</t>
  </si>
  <si>
    <t>FRACs.sdM</t>
  </si>
  <si>
    <t>FRACa.sM</t>
  </si>
  <si>
    <t>NETsedrate.w2C</t>
  </si>
  <si>
    <t>ADSORBflow.w1C.sd1C</t>
  </si>
  <si>
    <t>DESORBflow.sd1C.w1C</t>
  </si>
  <si>
    <t>ADSORBflow.w2C.sd2C</t>
  </si>
  <si>
    <t>DESORBflow.sd2C.w2C</t>
  </si>
  <si>
    <t>kwsd.water.wC</t>
  </si>
  <si>
    <t>kwsd.sed.sdC</t>
  </si>
  <si>
    <t>SYSTEMAREA.R</t>
  </si>
  <si>
    <t>AIRflow.aC.aM</t>
  </si>
  <si>
    <t>EROSION.sA</t>
  </si>
  <si>
    <t>FRACrun.sA</t>
  </si>
  <si>
    <t>KDEG.aA</t>
  </si>
  <si>
    <t>KDEG.sdA</t>
  </si>
  <si>
    <t>KDEG.sA</t>
  </si>
  <si>
    <t>kesc.aA</t>
  </si>
  <si>
    <t>Area land</t>
  </si>
  <si>
    <t>Area sea</t>
  </si>
  <si>
    <t>Fraction fresh water</t>
  </si>
  <si>
    <t>Fraction natural soil</t>
  </si>
  <si>
    <t>Fraction agricultural soil</t>
  </si>
  <si>
    <t>Fraction urban/industrial soil</t>
  </si>
  <si>
    <t>FRACfresh.R</t>
  </si>
  <si>
    <t>FRACnatsoil.R</t>
  </si>
  <si>
    <t>Concentration BACTERIA in deep ocean</t>
  </si>
  <si>
    <t>BACT.w2M</t>
  </si>
  <si>
    <t>BACT.w3M</t>
  </si>
  <si>
    <t>BACT.w1C</t>
  </si>
  <si>
    <t>BACT.w2C</t>
  </si>
  <si>
    <t>BACT.w1R</t>
  </si>
  <si>
    <t>BACT.w2R</t>
  </si>
  <si>
    <t>E.w2M</t>
  </si>
  <si>
    <t>E.w2A</t>
  </si>
  <si>
    <t>E.w2T</t>
  </si>
  <si>
    <t>Vertical mixing flow</t>
  </si>
  <si>
    <t>ChemName</t>
  </si>
  <si>
    <t>Molweight</t>
  </si>
  <si>
    <t>Pvap25</t>
  </si>
  <si>
    <t>H0vap</t>
  </si>
  <si>
    <t>Sol25</t>
  </si>
  <si>
    <t>E.w1R</t>
  </si>
  <si>
    <t>E.aR</t>
  </si>
  <si>
    <t>E.w2R</t>
  </si>
  <si>
    <t>E.s1R</t>
  </si>
  <si>
    <t>Fugacity (Pa)</t>
  </si>
  <si>
    <t>RESIDENCE TIME of air over region</t>
  </si>
  <si>
    <t>Average WIND SPEED</t>
  </si>
  <si>
    <t>Suspended solids/water PARTITION COEFFICIENT</t>
  </si>
  <si>
    <t>CONCENTRATION suspended matter in fresh water</t>
  </si>
  <si>
    <t>VOLUME fresh water compartment</t>
  </si>
  <si>
    <t>VOLUME sea water compartment</t>
  </si>
  <si>
    <t>VOLUME fresh water sediment compartment</t>
  </si>
  <si>
    <t>VOLUME marine sediment compartment</t>
  </si>
  <si>
    <t>VOLUME natural soil compartment</t>
  </si>
  <si>
    <t>VOLUME agricultural soil compartment</t>
  </si>
  <si>
    <t xml:space="preserve"> * GAS PHASE</t>
  </si>
  <si>
    <t xml:space="preserve"> * DISSOLVED</t>
  </si>
  <si>
    <t>mol.s-1</t>
  </si>
  <si>
    <t>* PORE WATER</t>
  </si>
  <si>
    <t>* SOLID PHASE</t>
  </si>
  <si>
    <t>[m]</t>
  </si>
  <si>
    <t>m</t>
  </si>
  <si>
    <t>[cm]</t>
  </si>
  <si>
    <t xml:space="preserve">[-] </t>
  </si>
  <si>
    <t>[d]</t>
  </si>
  <si>
    <t>kdeg(air)</t>
  </si>
  <si>
    <t>kdeg(water)</t>
  </si>
  <si>
    <t>kdeg(sed)</t>
  </si>
  <si>
    <t>kdeg(soil)</t>
  </si>
  <si>
    <t>Name</t>
  </si>
  <si>
    <t>AIRflow.aR.aC</t>
  </si>
  <si>
    <t>[CFU.mL-1]</t>
  </si>
  <si>
    <t>CFU.mL-1</t>
  </si>
  <si>
    <t>Dimensionless sed/water PARTITION COEFFICIENT fresh water</t>
  </si>
  <si>
    <t>VOLUME FRACTION of precipitation on agricultural soil running off to surface water</t>
  </si>
  <si>
    <t>VOLUME sediment compartment</t>
  </si>
  <si>
    <t>VOLUME soil compartment</t>
  </si>
  <si>
    <t>GASABSflow.aR.w2R</t>
  </si>
  <si>
    <t>VOLATflow.w2R.aR</t>
  </si>
  <si>
    <t>GASABSflow.aR.s1R</t>
  </si>
  <si>
    <t>VOLATflow.s1R.aR</t>
  </si>
  <si>
    <t>GASABSflow.aR.s2R</t>
  </si>
  <si>
    <t>VOLATflow.s2R.aR</t>
  </si>
  <si>
    <t>GASABSflow.aR.s3R</t>
  </si>
  <si>
    <t>start</t>
  </si>
  <si>
    <t>[s]</t>
  </si>
  <si>
    <t>Aerosol WASHOUT</t>
  </si>
  <si>
    <t>Gas WASHOUT</t>
  </si>
  <si>
    <t>DEPOSITION VELOCITY aerosol particles</t>
  </si>
  <si>
    <t>Annual PRECIPITATION</t>
  </si>
  <si>
    <t>KDEPmean.M</t>
  </si>
  <si>
    <t>kdep.M</t>
  </si>
  <si>
    <t>kdry.M</t>
  </si>
  <si>
    <t>kwet.M</t>
  </si>
  <si>
    <t>Default</t>
  </si>
  <si>
    <t>User input</t>
  </si>
  <si>
    <t>tdry.M</t>
  </si>
  <si>
    <t>twet.M</t>
  </si>
  <si>
    <t>KDEPmean.A</t>
  </si>
  <si>
    <t>kdep.A</t>
  </si>
  <si>
    <t>kdry.A</t>
  </si>
  <si>
    <t>kwet.A</t>
  </si>
  <si>
    <t>tdry.A</t>
  </si>
  <si>
    <t>twet.A</t>
  </si>
  <si>
    <t xml:space="preserve">s </t>
  </si>
  <si>
    <t>CONCENTRATION BACTERIA in test water</t>
  </si>
  <si>
    <t>biodeg</t>
  </si>
  <si>
    <t>Temperature correction degradation rate water/sed/soil</t>
  </si>
  <si>
    <t>Mixed HEIGHT air compartment</t>
  </si>
  <si>
    <t>Mixed DEPTH fresh water compartment</t>
  </si>
  <si>
    <t>Mixed DEPTH sea water compartment</t>
  </si>
  <si>
    <t>Mixed DEPTH fresh water sediment compartment</t>
  </si>
  <si>
    <t>VOLATflow.w1R.aR</t>
  </si>
  <si>
    <t>DEGRADATION in sediment</t>
  </si>
  <si>
    <t>DEGRADATION in soil</t>
  </si>
  <si>
    <t>Concentrations</t>
  </si>
  <si>
    <t>DEPTH.s3C</t>
  </si>
  <si>
    <t>BALANCE (mol.s-1)</t>
  </si>
  <si>
    <t>kesc.aM</t>
  </si>
  <si>
    <t>SETTLvelocity.T</t>
  </si>
  <si>
    <t>PRODsusp.wT</t>
  </si>
  <si>
    <t>NETsedrate.wT</t>
  </si>
  <si>
    <t>Dimensionless soil/water PARTITION COEFFICIENT agricultural soil</t>
  </si>
  <si>
    <t>BURIALflow.sdM</t>
  </si>
  <si>
    <t>LEACHflow.sM</t>
  </si>
  <si>
    <t>RESUSPrate.sdT</t>
  </si>
  <si>
    <t>Dimensionless soil/water PARTITION COEFFICIENT other soil</t>
  </si>
  <si>
    <t>TAU.aC</t>
  </si>
  <si>
    <t>WINDspeed.C</t>
  </si>
  <si>
    <t>WATERflow.w1C.w2C</t>
  </si>
  <si>
    <t>AIRflow.aM.aC</t>
  </si>
  <si>
    <t>AIRflow.aM.aA</t>
  </si>
  <si>
    <t>AIRflow.aM.aT</t>
  </si>
  <si>
    <t>TEMP.M</t>
  </si>
  <si>
    <t>Tempfactor.wsdsR</t>
  </si>
  <si>
    <t>VOLUME FRACTION solids natural soil</t>
  </si>
  <si>
    <t>VOLUME FRACTION air agricultural soil</t>
  </si>
  <si>
    <t>ESCAPE to stratosphere</t>
  </si>
  <si>
    <t>DEGRADATION in air</t>
  </si>
  <si>
    <t>DEGRADATION in fresh water</t>
  </si>
  <si>
    <t>DEGRADATION in sea water</t>
  </si>
  <si>
    <t>DEGRADATION in fresh water sediment</t>
  </si>
  <si>
    <t>DEGRADATION in marine sediment</t>
  </si>
  <si>
    <t>DEGRADATION in natural soil</t>
  </si>
  <si>
    <t>Autochtonous PRODUCTION of suspended matter</t>
  </si>
  <si>
    <t>C.OHrad.aA</t>
  </si>
  <si>
    <t>Tempfactor.aA</t>
  </si>
  <si>
    <t>TAU.surfA</t>
  </si>
  <si>
    <t>TAU.surfT</t>
  </si>
  <si>
    <t>TAU.surfM</t>
  </si>
  <si>
    <t>Scenario</t>
  </si>
  <si>
    <t>Deep sea/ocean water</t>
  </si>
  <si>
    <t>CORRvolat.sT</t>
  </si>
  <si>
    <t>[km2]</t>
  </si>
  <si>
    <t>[oC]</t>
  </si>
  <si>
    <t>mm.yr-1</t>
  </si>
  <si>
    <t>[t.yr-1]</t>
  </si>
  <si>
    <t>k.aC.s2C</t>
  </si>
  <si>
    <t>k.aC.s3C</t>
  </si>
  <si>
    <t>k.w1C.aC</t>
  </si>
  <si>
    <t>k.w2C.aC</t>
  </si>
  <si>
    <t>k.s1C.aC</t>
  </si>
  <si>
    <t>k.s2C.aC</t>
  </si>
  <si>
    <t>k.s3C.aC</t>
  </si>
  <si>
    <t>k.w1C.sd1C</t>
  </si>
  <si>
    <t>k.w2C.sd2C</t>
  </si>
  <si>
    <t>k.sd1C.w1C</t>
  </si>
  <si>
    <t>k.sd2C.w2C</t>
  </si>
  <si>
    <t>k.s1C.w1C</t>
  </si>
  <si>
    <t>k.s2C.w1C</t>
  </si>
  <si>
    <t>k.s3C.w1C</t>
  </si>
  <si>
    <t>k.aC</t>
  </si>
  <si>
    <t>k.w1C</t>
  </si>
  <si>
    <t>k.w2C</t>
  </si>
  <si>
    <t>k.sd1C</t>
  </si>
  <si>
    <t>k.sd2C</t>
  </si>
  <si>
    <t>k.s1C</t>
  </si>
  <si>
    <t>k.s2C</t>
  </si>
  <si>
    <t>k.s3C</t>
  </si>
  <si>
    <t>k.aM.aC</t>
  </si>
  <si>
    <t>k.aM.aA</t>
  </si>
  <si>
    <t>k.aM.aT</t>
  </si>
  <si>
    <t>k.aM.sM</t>
  </si>
  <si>
    <t>k.sM.aM</t>
  </si>
  <si>
    <t>k.aM</t>
  </si>
  <si>
    <t>REMOVAL from soil</t>
  </si>
  <si>
    <t>k.sM</t>
  </si>
  <si>
    <t>k.aT.aM</t>
  </si>
  <si>
    <t>k.aA.sA</t>
  </si>
  <si>
    <t>k.sA.aA</t>
  </si>
  <si>
    <t>56-23-5</t>
  </si>
  <si>
    <t>AREAFRAC.s3C</t>
  </si>
  <si>
    <t>KDEG.w1R</t>
  </si>
  <si>
    <t>KDEG.w2R</t>
  </si>
  <si>
    <t>96-18-4</t>
  </si>
  <si>
    <t>1,2,3-trichloropropane</t>
  </si>
  <si>
    <t>98-95-3</t>
  </si>
  <si>
    <t>nitrobenzene</t>
  </si>
  <si>
    <t>100-41-4</t>
  </si>
  <si>
    <t>ethylbenzene</t>
  </si>
  <si>
    <t>100-42-5</t>
  </si>
  <si>
    <t>styrene</t>
  </si>
  <si>
    <t>D. van de Meent. SimpleBox, a generic multimedia fate evaluation model.  RIVM report no. 672720 001 (1993)</t>
  </si>
  <si>
    <t>106-46-7</t>
  </si>
  <si>
    <t>1,4-dichlorobenzene</t>
  </si>
  <si>
    <t>107-06-2</t>
  </si>
  <si>
    <t>1,2-dichloroethane</t>
  </si>
  <si>
    <t>108-05-4</t>
  </si>
  <si>
    <t>vinyl acetate</t>
  </si>
  <si>
    <t>108-88-3</t>
  </si>
  <si>
    <t>toluene</t>
  </si>
  <si>
    <t>VOLUME FRACTION of precipitation on other soil running off to surface water</t>
  </si>
  <si>
    <t>DIFFwater</t>
  </si>
  <si>
    <t>PARTIAL MASS TRANSFER COEFFICIENT soil side of air/soil interface</t>
  </si>
  <si>
    <t>CORRleach.sT</t>
  </si>
  <si>
    <t>CORRrunoff.sT</t>
  </si>
  <si>
    <t>BURIALflow.sdA</t>
  </si>
  <si>
    <t>LEACHflow.sA</t>
  </si>
  <si>
    <t>FRACinf.sA</t>
  </si>
  <si>
    <t>National Institute of Public Health and the Environment (RIVM)</t>
  </si>
  <si>
    <t>84-74-2</t>
  </si>
  <si>
    <t>85-68-7</t>
  </si>
  <si>
    <t>88-72-2</t>
  </si>
  <si>
    <t>2-nitrotoluene</t>
  </si>
  <si>
    <t>91-20-3</t>
  </si>
  <si>
    <t>SEDflow.w1R.sd1R</t>
  </si>
  <si>
    <t>vs 2.0</t>
  </si>
  <si>
    <t>AREA FRACTION agricultural soil</t>
  </si>
  <si>
    <t>AREA FRACTION other soil</t>
  </si>
  <si>
    <t>VOLUME FRACTION solids in sediment</t>
  </si>
  <si>
    <t>FRACs.s1R</t>
  </si>
  <si>
    <t>FRACs.s2R</t>
  </si>
  <si>
    <t>FRACs.s3R</t>
  </si>
  <si>
    <t>FRACa.s1R</t>
  </si>
  <si>
    <t>FRACw.sdR</t>
  </si>
  <si>
    <t>FRACs.sdR</t>
  </si>
  <si>
    <t>117-81-7</t>
  </si>
  <si>
    <t>120-83-2</t>
  </si>
  <si>
    <t>121-14-2</t>
  </si>
  <si>
    <t>2,4-dinitrotoluene</t>
  </si>
  <si>
    <t>122-39-4</t>
  </si>
  <si>
    <t>diphenylamine</t>
  </si>
  <si>
    <t>127-18-4</t>
  </si>
  <si>
    <t>tetrachloroethylene</t>
  </si>
  <si>
    <t>131-11-3</t>
  </si>
  <si>
    <t>330-54-1</t>
  </si>
  <si>
    <t>diuron</t>
  </si>
  <si>
    <t>SCENARIOS DATABASE</t>
  </si>
  <si>
    <t>CORRvolat.s3C</t>
  </si>
  <si>
    <t>CORRrunoff.s1C</t>
  </si>
  <si>
    <t>CORRrunoff.s2C</t>
  </si>
  <si>
    <t>CORRrunoff.s3C</t>
  </si>
  <si>
    <t>CORRleach.s1C</t>
  </si>
  <si>
    <t>CORRleach.s2C</t>
  </si>
  <si>
    <t>CORRleach.s3C</t>
  </si>
  <si>
    <t>CORRvolat.sM</t>
  </si>
  <si>
    <t>CORRrunoff.sM</t>
  </si>
  <si>
    <t>CORRleach.sM</t>
  </si>
  <si>
    <t>CORRvolat.sA</t>
  </si>
  <si>
    <t>CORRrunoff.sA</t>
  </si>
  <si>
    <t>CORRleach.sA</t>
  </si>
  <si>
    <t>RUNOFFflow.sM.w2M</t>
  </si>
  <si>
    <t>RUNOFFflow.sA.w2A</t>
  </si>
  <si>
    <t>RUNOFFflow.sT.w2T</t>
  </si>
  <si>
    <t>set to fixed default</t>
  </si>
  <si>
    <t xml:space="preserve">Bidleman (Harner and Bidleman, 1998 ES&amp;T) equation adjusted according to (Götz et al., 2007 ES&amp;T).  </t>
  </si>
  <si>
    <t>KDEPmean.R</t>
  </si>
  <si>
    <t>kdep.R</t>
  </si>
  <si>
    <t>kdry.R</t>
  </si>
  <si>
    <t>kwet.R</t>
  </si>
  <si>
    <t>Duration dry episode</t>
  </si>
  <si>
    <t>tdry.R</t>
  </si>
  <si>
    <t>Duration wet episode</t>
  </si>
  <si>
    <t>twet.R</t>
  </si>
  <si>
    <t>FRACTION of chemical in solid phase other soil</t>
  </si>
  <si>
    <t>GasWashout.C</t>
  </si>
  <si>
    <t>WATERflow.w2M.w2C</t>
  </si>
  <si>
    <t>VOLUME.w2M</t>
  </si>
  <si>
    <t>VOLUME ocean water compartment (surface layer)</t>
  </si>
  <si>
    <t>VOLUME.w3M</t>
  </si>
  <si>
    <t>VOLUME ocean water compartment (lower layer)</t>
  </si>
  <si>
    <t>DEPTH.w3M</t>
  </si>
  <si>
    <t>DEPTH.w2M</t>
  </si>
  <si>
    <t>VOLUME.w3A</t>
  </si>
  <si>
    <t>VOLUME.w2A</t>
  </si>
  <si>
    <t>VOLUME.w2T</t>
  </si>
  <si>
    <t>VOLUME.w3T</t>
  </si>
  <si>
    <t>Ocean mixed layer depth</t>
  </si>
  <si>
    <t>DEPTH.w2T</t>
  </si>
  <si>
    <t>DEPTH.w3T</t>
  </si>
  <si>
    <t>Depth lower ocean layer</t>
  </si>
  <si>
    <t>DEPTH.w2A</t>
  </si>
  <si>
    <t>DEPTH.w3A</t>
  </si>
  <si>
    <t>DEPflow.aT.sT</t>
  </si>
  <si>
    <t>DRYDEPaerosol.T</t>
  </si>
  <si>
    <t>AEROSOLdeprate.T</t>
  </si>
  <si>
    <t>RAINrate.T</t>
  </si>
  <si>
    <t>COLLECTeff.T</t>
  </si>
  <si>
    <t>CORG.sM</t>
  </si>
  <si>
    <t>DEPflow.aM.sM</t>
  </si>
  <si>
    <t>DRYDEPaerosol.M</t>
  </si>
  <si>
    <t>AEROSOLdeprate.M</t>
  </si>
  <si>
    <t>RAINrate.M</t>
  </si>
  <si>
    <t>COLLECTeff.M</t>
  </si>
  <si>
    <t>cm3.s-1</t>
  </si>
  <si>
    <t>cm-3</t>
  </si>
  <si>
    <t>kdeg.air</t>
  </si>
  <si>
    <t>kdeg.sed</t>
  </si>
  <si>
    <t>kdeg.soil</t>
  </si>
  <si>
    <t>Unit</t>
  </si>
  <si>
    <t>Ea.OHrad</t>
  </si>
  <si>
    <t>H0sol</t>
  </si>
  <si>
    <t>k0.OHrad</t>
  </si>
  <si>
    <t>C.OHrad.aR</t>
  </si>
  <si>
    <t>ADSORBflow.w2R.sd2R</t>
  </si>
  <si>
    <t>DESORBflow.sd2R.w2R</t>
  </si>
  <si>
    <t>kwsd.water.wR</t>
  </si>
  <si>
    <t>kwsd.sed.sdR</t>
  </si>
  <si>
    <t>RUNOFFflow.s1R.w1R</t>
  </si>
  <si>
    <t>RUNOFFflow.s2R.w1R</t>
  </si>
  <si>
    <t>EROSION.s1R</t>
  </si>
  <si>
    <t>EROSION.s2R</t>
  </si>
  <si>
    <t>EROSION.s3R</t>
  </si>
  <si>
    <t>FRACrun.s1R</t>
  </si>
  <si>
    <t>CORG</t>
  </si>
  <si>
    <t>Mineral DENSITY sediment and soil</t>
  </si>
  <si>
    <t>RHOsolid</t>
  </si>
  <si>
    <t>FRACTION of chemical in gas phase air</t>
  </si>
  <si>
    <t>FRACTION of chemical in solid phase natural soil</t>
  </si>
  <si>
    <t>Temperature</t>
  </si>
  <si>
    <t>Wind speed</t>
  </si>
  <si>
    <t>Fraction infiltration</t>
  </si>
  <si>
    <t>Fraction run off</t>
  </si>
  <si>
    <t>Average precipitation</t>
  </si>
  <si>
    <t>Depth fresh water</t>
  </si>
  <si>
    <t>Soil erosion</t>
  </si>
  <si>
    <t>pentration depth 0.1 m</t>
  </si>
  <si>
    <t>KDEPmean.C</t>
  </si>
  <si>
    <t>kdep.C</t>
  </si>
  <si>
    <t>kdry.C</t>
  </si>
  <si>
    <t>kwet.C</t>
  </si>
  <si>
    <t>tdry.C</t>
  </si>
  <si>
    <t>twet.C</t>
  </si>
  <si>
    <t>VOLUME FRACTION of precipitation running off to water</t>
  </si>
  <si>
    <t>C.OHrad.aM</t>
  </si>
  <si>
    <t>Tempfactor.aM</t>
  </si>
  <si>
    <t>EMISSION to agricultural soil</t>
  </si>
  <si>
    <t>EMISSION to other soil</t>
  </si>
  <si>
    <t>EMISSION to air</t>
  </si>
  <si>
    <t>Variable Name</t>
  </si>
  <si>
    <t>FRACrun.s1C</t>
  </si>
  <si>
    <t>FRACrun.s2C</t>
  </si>
  <si>
    <t>FRACrun.s3C</t>
  </si>
  <si>
    <t>KDEG.w1C</t>
  </si>
  <si>
    <t>KDEG.w2C</t>
  </si>
  <si>
    <t>KDEG.sd1C</t>
  </si>
  <si>
    <t>end</t>
  </si>
  <si>
    <t>Tempfactor.wsdsT</t>
  </si>
  <si>
    <t>TEMPERATURE arctic scale</t>
  </si>
  <si>
    <t>OH-radical concentration moderate scale</t>
  </si>
  <si>
    <t>AREA arctic scale</t>
  </si>
  <si>
    <t>AREA moderate scale</t>
  </si>
  <si>
    <t>OH-radical concentration arctic scale</t>
  </si>
  <si>
    <t>AREA tropical scale</t>
  </si>
  <si>
    <t>AerosolWashout.A</t>
  </si>
  <si>
    <t>GasWashout.A</t>
  </si>
  <si>
    <t>FRw.s1R</t>
  </si>
  <si>
    <t>FRw.s2R</t>
  </si>
  <si>
    <t>FRw.s3R</t>
  </si>
  <si>
    <t>Regional OH-radical concentration</t>
  </si>
  <si>
    <t>FRs.s1R</t>
  </si>
  <si>
    <t>FRs.s2R</t>
  </si>
  <si>
    <t>FRs.s1C</t>
  </si>
  <si>
    <t>FRs.s2C</t>
  </si>
  <si>
    <t>FRs.s3C</t>
  </si>
  <si>
    <t>Inflow</t>
  </si>
  <si>
    <t>Outflow</t>
  </si>
  <si>
    <t>VOLUME FRACTION of precipitation infiltrating into soil</t>
  </si>
  <si>
    <t>Concentration (mol.m-3)</t>
  </si>
  <si>
    <t>[mg.L-1]</t>
  </si>
  <si>
    <t>[L.kg-1]</t>
  </si>
  <si>
    <t>GASABSflow.aR.w1R</t>
  </si>
  <si>
    <t>DEPflow.aR.w1R</t>
  </si>
  <si>
    <t>DEPflow.aR.s1R</t>
  </si>
  <si>
    <t>Dimensionless air/water PARTITION COEFFICIENT</t>
  </si>
  <si>
    <t>CORG.sT</t>
  </si>
  <si>
    <t>k.w2M</t>
  </si>
  <si>
    <t>k.w2A</t>
  </si>
  <si>
    <t>k.w2T</t>
  </si>
  <si>
    <t>PARTIAL MASS TRANSFER COEFFICIENT water side of air/water interface</t>
  </si>
  <si>
    <t>PARTIAL MASS TRANSFER COEFFICIENT air side of air/soil interface</t>
  </si>
  <si>
    <t>v</t>
  </si>
  <si>
    <t>WINDspeed.T</t>
  </si>
  <si>
    <t>TEMP.T</t>
  </si>
  <si>
    <t>Mixed DEPTH sediment compartment</t>
  </si>
  <si>
    <t>VOLUME FRACTION air in soil</t>
  </si>
  <si>
    <t>VOLUME FRACTION water in soil</t>
  </si>
  <si>
    <t>VOLUME FRACTION solids in soil</t>
  </si>
  <si>
    <t>VOLUME FRACTION of precipitation infiltrating into natural soil</t>
  </si>
  <si>
    <t>VOLUME FRACTION of precipitation infiltrating into agricultural soil</t>
  </si>
  <si>
    <t>RESUSPflow.sd1C.w1C</t>
  </si>
  <si>
    <t>SEDflow.w2C.sd2C</t>
  </si>
  <si>
    <t>RESUSPflow.sd2C.w2C</t>
  </si>
  <si>
    <t>GROSSSEDrate.w1C</t>
  </si>
  <si>
    <t>RAINrate.C</t>
  </si>
  <si>
    <t>COLLECTeff.C</t>
  </si>
  <si>
    <t>Soil/water partition coefficient other soil</t>
  </si>
  <si>
    <t>CORG.sd1R</t>
  </si>
  <si>
    <t>Ksdw2.R</t>
  </si>
  <si>
    <t>CORG.sd2R</t>
  </si>
  <si>
    <t>Ks1w.R</t>
  </si>
  <si>
    <t>CORG.s1R</t>
  </si>
  <si>
    <t>Ks2w.R</t>
  </si>
  <si>
    <t>CORG.s2R</t>
  </si>
  <si>
    <t>Ks3w.R</t>
  </si>
  <si>
    <t>CORG.s3R</t>
  </si>
  <si>
    <t>Standard mass FRACTION organic carbon in soil/sediment</t>
  </si>
  <si>
    <t>PARTIAL MASS TRANSFER COEFFICIENT water side of water/sed interface</t>
  </si>
  <si>
    <t>PARTIAL MASS TRANSFER COEFFICIENT air side of air/water interface</t>
  </si>
  <si>
    <t>FRACw.sdT</t>
  </si>
  <si>
    <t>FRACw.sT</t>
  </si>
  <si>
    <t>FRACs.sT</t>
  </si>
  <si>
    <t>FRACa.sT</t>
  </si>
  <si>
    <t>FRACs.sdT</t>
  </si>
  <si>
    <t>NETsedrate.w1R</t>
  </si>
  <si>
    <t>NETsedrate.w2R</t>
  </si>
  <si>
    <t>ADSORBflow.w1R.sd1R</t>
  </si>
  <si>
    <t>DESORBflow.sd1R.w1R</t>
  </si>
  <si>
    <t>EROSION of natural soil</t>
  </si>
  <si>
    <t>EROSION of agricultural soil</t>
  </si>
  <si>
    <t>VOLUME air compartment</t>
  </si>
  <si>
    <t>AREA regional system</t>
  </si>
  <si>
    <t>AREA FRACTION fresh water</t>
  </si>
  <si>
    <t>AREA FRACTION sea water</t>
  </si>
  <si>
    <t>AREA FRACTION natural soil</t>
  </si>
  <si>
    <t>EMISSION to soil</t>
  </si>
  <si>
    <t>RUNOFFflow.s3R.w1R</t>
  </si>
  <si>
    <t>RUNOFFflow.s3C.w1C</t>
  </si>
  <si>
    <t>EMISSIONS</t>
  </si>
  <si>
    <t>Mass FRACTION organic carbon in suspended matter</t>
  </si>
  <si>
    <t>MOLECULAR WEIGHT</t>
  </si>
  <si>
    <t>ScenarioName</t>
  </si>
  <si>
    <t>SCENARIO- and SUBSTANCE DEFINITION</t>
  </si>
  <si>
    <t>FRACTION of chemical in solid phase agricultural soil</t>
  </si>
  <si>
    <t>ENTHALPY of vaporization</t>
  </si>
  <si>
    <t>ENTHALPY of dissolution</t>
  </si>
  <si>
    <t>OH radical CONCENTRATION</t>
  </si>
  <si>
    <t>FREQUENCY FACTOR OH radical reaction</t>
  </si>
  <si>
    <t>FRs.s3R</t>
  </si>
  <si>
    <t>TEMP.C</t>
  </si>
  <si>
    <t>SUSP.w1C</t>
  </si>
  <si>
    <t>SUSP.w2C</t>
  </si>
  <si>
    <t>Ksdw1.C</t>
  </si>
  <si>
    <t>Biodegradability test result</t>
  </si>
  <si>
    <t>TRANSFER rate moderate surface ocean - moderate deep ocean</t>
  </si>
  <si>
    <t>TRANSFER rate moderate deep ocean - moderate surface ocean</t>
  </si>
  <si>
    <t>k.w3A.w3M</t>
  </si>
  <si>
    <t>k.w2M.w3M</t>
  </si>
  <si>
    <t>k.w3M.w2M</t>
  </si>
  <si>
    <t>TRANSFER rate moderate deep ocean - arctic deep ocean</t>
  </si>
  <si>
    <t>FRACTION of chemical truly dissolved in deep ocean water</t>
  </si>
  <si>
    <t>FRw.w3T</t>
  </si>
  <si>
    <t>Kp.susp2T</t>
  </si>
  <si>
    <t>Suspended solids/water PARTITION COEFFICIENT deep ocean</t>
  </si>
  <si>
    <t>Kp.susp3T</t>
  </si>
  <si>
    <t>Mass FRACTION organic carbon in suspended matter deep ocean</t>
  </si>
  <si>
    <t>SUSP.w2T</t>
  </si>
  <si>
    <t>CONCENTRATION suspended matter in deep ocean</t>
  </si>
  <si>
    <t>SUSP.w3T</t>
  </si>
  <si>
    <t>Kp.col2T</t>
  </si>
  <si>
    <t>Kp.col3T</t>
  </si>
  <si>
    <t>Concentration of colloidal organic matter in deep ocean</t>
  </si>
  <si>
    <t>COL.w3T</t>
  </si>
  <si>
    <t>DEPflow.aT.w2T</t>
  </si>
  <si>
    <t>GASABSflow.aT.w2T</t>
  </si>
  <si>
    <t>VOLATflow.w2T.aT</t>
  </si>
  <si>
    <t>k.w3T.sdT</t>
  </si>
  <si>
    <t>k.sdT.w3T</t>
  </si>
  <si>
    <t>KDEG.w2T</t>
  </si>
  <si>
    <t>DEGRADATION in deep ocean water</t>
  </si>
  <si>
    <t>KDEG.w3T</t>
  </si>
  <si>
    <t>Concentration BACTERIA in surface ocean</t>
  </si>
  <si>
    <t>BACT.w2T</t>
  </si>
  <si>
    <t>BACT.w3T</t>
  </si>
  <si>
    <t>Colloidal organic matter/water partition coefficient deep ocean</t>
  </si>
  <si>
    <t>COL.w2T</t>
  </si>
  <si>
    <t>TRANSFER rate arctic deep ocean - moderate deep ocean</t>
  </si>
  <si>
    <t>TRANSFER rate arctic surface ocean - moderate surface ocean</t>
  </si>
  <si>
    <t>FRw.w2A</t>
  </si>
  <si>
    <t>FRw.w3A</t>
  </si>
  <si>
    <t>Kp.susp2A</t>
  </si>
  <si>
    <t>Kp.susp3A</t>
  </si>
  <si>
    <t>SUSP.w2A</t>
  </si>
  <si>
    <t>SUSP.w3A</t>
  </si>
  <si>
    <t>Kp.col2A</t>
  </si>
  <si>
    <t>Kp.col3A</t>
  </si>
  <si>
    <t>COL.w2A</t>
  </si>
  <si>
    <t>COL.w3A</t>
  </si>
  <si>
    <t>DEPflow.aA.w2A</t>
  </si>
  <si>
    <t>KDEG.w2A</t>
  </si>
  <si>
    <t>KDEG.w3A</t>
  </si>
  <si>
    <t>BACT.w2A</t>
  </si>
  <si>
    <t>BACT.w3A</t>
  </si>
  <si>
    <t>GASABSflow.aA.w2A</t>
  </si>
  <si>
    <t>VOLATflow.w2A.aA</t>
  </si>
  <si>
    <t>k.w3A.sdA</t>
  </si>
  <si>
    <t>k.sdA.w3A</t>
  </si>
  <si>
    <t>FLOW of REGIONAL fresh water to regional sea water</t>
  </si>
  <si>
    <t>FLOW of REGIONAL sea water to continental sea water</t>
  </si>
  <si>
    <t>REMOVAL from deep ocean</t>
  </si>
  <si>
    <t>k.w3M</t>
  </si>
  <si>
    <t>k.w3A</t>
  </si>
  <si>
    <t>k.w3T</t>
  </si>
  <si>
    <t>VOLATflow.s3R.aR</t>
  </si>
  <si>
    <t>kwsd.water.wT</t>
  </si>
  <si>
    <t>DIFFgas</t>
  </si>
  <si>
    <t>E.s2R</t>
  </si>
  <si>
    <t>E.s3R</t>
  </si>
  <si>
    <t>E.w1C</t>
  </si>
  <si>
    <t>E.w2C</t>
  </si>
  <si>
    <t>E.s1C</t>
  </si>
  <si>
    <t>E.s2C</t>
  </si>
  <si>
    <t>E.s3C</t>
  </si>
  <si>
    <t>E.aC</t>
  </si>
  <si>
    <t>E.aM</t>
  </si>
  <si>
    <t>E.aA</t>
  </si>
  <si>
    <t>VOLUME.sM</t>
  </si>
  <si>
    <t>SYSTEMAREA.M</t>
  </si>
  <si>
    <t>AREAFRAC.wM</t>
  </si>
  <si>
    <t>AREAFRAC.sM</t>
  </si>
  <si>
    <t>HEIGHT.aM</t>
  </si>
  <si>
    <t>AREAFRAC.w1R</t>
  </si>
  <si>
    <t>AREAFRAC.w2R</t>
  </si>
  <si>
    <t>AREAFRAC.s1R</t>
  </si>
  <si>
    <t>AREAFRAC.s2R</t>
  </si>
  <si>
    <t>AREAFRAC.s3R</t>
  </si>
  <si>
    <t>HEIGHT.aR</t>
  </si>
  <si>
    <t>DEPTH.w1R</t>
  </si>
  <si>
    <t>DEPTH.w2R</t>
  </si>
  <si>
    <t>DEPTH.sd1R</t>
  </si>
  <si>
    <t>DEPTH.sd2R</t>
  </si>
  <si>
    <t>DEPTH.s1R</t>
  </si>
  <si>
    <t>EMISSION to natural soil</t>
  </si>
  <si>
    <t>KDEG.s3C</t>
  </si>
  <si>
    <t>KDEG.aC</t>
  </si>
  <si>
    <t>AIRflow.aT.aM</t>
  </si>
  <si>
    <t>TAU.aT</t>
  </si>
  <si>
    <t>PRODsusp.w1R</t>
  </si>
  <si>
    <t>PRODsusp.w2R</t>
  </si>
  <si>
    <t>AIRflow.aC.aR</t>
  </si>
  <si>
    <t>Emission (mol.s-1)</t>
  </si>
  <si>
    <t>Transport to (mol.s-1)</t>
  </si>
  <si>
    <t>Removal (mol.s-1)</t>
  </si>
  <si>
    <t>Transport from (mol.s-1)</t>
  </si>
  <si>
    <t>Case</t>
  </si>
  <si>
    <t>CaseName</t>
  </si>
  <si>
    <t>ARCHIVE of PREVIOUSLY STUDIED CASES</t>
  </si>
  <si>
    <t>BURIALflow.sd1C</t>
  </si>
  <si>
    <t>BURIALflow.sd2C</t>
  </si>
  <si>
    <t>Residence time mixed layer</t>
  </si>
  <si>
    <t>BURIALflow.sd2R</t>
  </si>
  <si>
    <t>LEACHflow.s1R</t>
  </si>
  <si>
    <t>LEACHflow.s2R</t>
  </si>
  <si>
    <t>LEACHflow.s3R</t>
  </si>
  <si>
    <t>FRACinf.s1R</t>
  </si>
  <si>
    <t>FRACinf.s2R</t>
  </si>
  <si>
    <t>FRACinf.s3R</t>
  </si>
  <si>
    <t>SimpleBox</t>
  </si>
  <si>
    <t>Contact</t>
  </si>
  <si>
    <t>GROSS SEDIMENTATION rate from fresh water</t>
  </si>
  <si>
    <t>GROSS SEDIMENTATION rate from sea water</t>
  </si>
  <si>
    <t>PARTIAL MASS TRANSFER COEFFICIENT sediment side of water/sed interface</t>
  </si>
  <si>
    <t>GASABSflow.aA.sA</t>
  </si>
  <si>
    <t>VOLATflow.sA.aA</t>
  </si>
  <si>
    <t>Soil/water PARTITION COEFFICIENT agricultural soil</t>
  </si>
  <si>
    <t>FRAC.w1C.w1R</t>
  </si>
  <si>
    <t>Removal</t>
  </si>
  <si>
    <t>Fugacities (Pa)</t>
  </si>
  <si>
    <t>GASABSflow.aC.s2C</t>
  </si>
  <si>
    <t>VOLATflow.s2C.aC</t>
  </si>
  <si>
    <t>GASABSflow.aC.s3C</t>
  </si>
  <si>
    <t>VOLUME.w2R</t>
  </si>
  <si>
    <t>VOLUME.sd1R</t>
  </si>
  <si>
    <t>VOLUME.sd2R</t>
  </si>
  <si>
    <t>VOLUME.s1R</t>
  </si>
  <si>
    <t>VOLUME.s2R</t>
  </si>
  <si>
    <t>VOLUME.s3R</t>
  </si>
  <si>
    <t>EMISSION to water</t>
  </si>
  <si>
    <t>Post Box 1, 3720BA Bilthoven, The Netherlands</t>
  </si>
  <si>
    <t>References</t>
  </si>
  <si>
    <t>Modifications log</t>
  </si>
  <si>
    <t>Model</t>
  </si>
  <si>
    <t>k.aM.w2M</t>
  </si>
  <si>
    <t>k.w2M.w2C</t>
  </si>
  <si>
    <t>k.w2M.aM</t>
  </si>
  <si>
    <t>k.sM.w2M</t>
  </si>
  <si>
    <t>k.sdM</t>
  </si>
  <si>
    <t>k.w2C.w2M</t>
  </si>
  <si>
    <t>k.w2A.w2M</t>
  </si>
  <si>
    <t>k.aA.aM</t>
  </si>
  <si>
    <t>k.aA.w2A</t>
  </si>
  <si>
    <t>k.w2A.aA</t>
  </si>
  <si>
    <t>k.sA.w2A</t>
  </si>
  <si>
    <t>k.sdA</t>
  </si>
  <si>
    <t>k.w2T.w2M</t>
  </si>
  <si>
    <t>k.aT.w2T</t>
  </si>
  <si>
    <t>k.w2T.aT</t>
  </si>
  <si>
    <t>k.sT.w2T</t>
  </si>
  <si>
    <t>k.sdT</t>
  </si>
  <si>
    <t>from w3M</t>
  </si>
  <si>
    <t>from w3A</t>
  </si>
  <si>
    <t>from w3T</t>
  </si>
  <si>
    <t>k.w2M.w2A</t>
  </si>
  <si>
    <t>k.w2M.w2T</t>
  </si>
  <si>
    <t>Mass FRACTION organic carbon agricultural soil</t>
  </si>
  <si>
    <t>Mass FRACTION organic carbon natural soil</t>
  </si>
  <si>
    <t>Mass FRACTION organic carbon sea water sediment</t>
  </si>
  <si>
    <t>Mass FRACTION organic carbon fresh water sediment</t>
  </si>
  <si>
    <t>OceanCurrent</t>
  </si>
  <si>
    <t>WATERflow.w2M.w2A</t>
  </si>
  <si>
    <t>WATERflow.w2M.w2T</t>
  </si>
  <si>
    <t>OceanMixing.M</t>
  </si>
  <si>
    <t>OceanMixing.A</t>
  </si>
  <si>
    <t>WATERflow.w2A.w2M</t>
  </si>
  <si>
    <t>OceanMixing.T</t>
  </si>
  <si>
    <t>RESUSPrate.sdA</t>
  </si>
  <si>
    <t>SETTLvelocity.A</t>
  </si>
  <si>
    <t>PRODsusp.wA</t>
  </si>
  <si>
    <t>NETsedrate.wA</t>
  </si>
  <si>
    <t>kwsd.water.wA</t>
  </si>
  <si>
    <t>kwsd.sed.sdA</t>
  </si>
  <si>
    <t>RESIDENCE TIME of air over continent</t>
  </si>
  <si>
    <t>AerosolWashout.C</t>
  </si>
  <si>
    <t>KDEG.sd2C</t>
  </si>
  <si>
    <t>KDEG.s1C</t>
  </si>
  <si>
    <t>KDEG.s2C</t>
  </si>
  <si>
    <t>[r / r- / i / p]</t>
  </si>
  <si>
    <t>i</t>
  </si>
  <si>
    <t>AREAFRAC.s2C</t>
  </si>
  <si>
    <t>CORG.sd1C</t>
  </si>
  <si>
    <t>Ksdw2.C</t>
  </si>
  <si>
    <t>CORG.sd2C</t>
  </si>
  <si>
    <t>FRACTION of chemical in solid phase soil</t>
  </si>
  <si>
    <t>FRw.sA</t>
  </si>
  <si>
    <t>FRs.sA</t>
  </si>
  <si>
    <t>FRACw.sA</t>
  </si>
  <si>
    <t>FRACs.sA</t>
  </si>
  <si>
    <t>FRACw.sdA</t>
  </si>
  <si>
    <t>Mass distribution (-)</t>
  </si>
  <si>
    <t>ARCTIC ZONE MODEL DEFINITION</t>
  </si>
  <si>
    <t>C.OHrad</t>
  </si>
  <si>
    <t>ENVIRONMENT</t>
  </si>
  <si>
    <t>INTERMEDIA TRANSFER</t>
  </si>
  <si>
    <t>aR</t>
  </si>
  <si>
    <t>w1R</t>
  </si>
  <si>
    <t>w2R</t>
  </si>
  <si>
    <t>sd1R</t>
  </si>
  <si>
    <t>sd2R</t>
  </si>
  <si>
    <t>s1R</t>
  </si>
  <si>
    <t>s2R</t>
  </si>
  <si>
    <t>s3R</t>
  </si>
  <si>
    <t>w1C</t>
  </si>
  <si>
    <t>w2C</t>
  </si>
  <si>
    <t>sd1C</t>
  </si>
  <si>
    <t>sd2C</t>
  </si>
  <si>
    <t>s1C</t>
  </si>
  <si>
    <t>s2C</t>
  </si>
  <si>
    <t>MODERATE ZONE MODEL DEFINITION</t>
  </si>
  <si>
    <t>CONTINENTAL SCALE</t>
  </si>
  <si>
    <t>Soil/water PARTITION COEFFICIENT natural soil</t>
  </si>
  <si>
    <t>Net SEDIMENT ACCUMULATION rate fresh water</t>
  </si>
  <si>
    <t>GASABSflow.aM.sM</t>
  </si>
  <si>
    <t>VOLATflow.sM.aM</t>
  </si>
  <si>
    <t>RESUSPrate.sdM</t>
  </si>
  <si>
    <t>KDEG.sd1R</t>
  </si>
  <si>
    <t>KDEG.sd2R</t>
  </si>
  <si>
    <t>KDEG.s1R</t>
  </si>
  <si>
    <t>KDEG.s2R</t>
  </si>
  <si>
    <t>KDEG.s3R</t>
  </si>
  <si>
    <t>BURIALflow.sd1R</t>
  </si>
  <si>
    <t>pKa</t>
  </si>
  <si>
    <t>FRACagsoil.C</t>
  </si>
  <si>
    <t>FRACothersoil.C</t>
  </si>
  <si>
    <t>DEPTHfreshwater.C</t>
  </si>
  <si>
    <t>FRACinf.C</t>
  </si>
  <si>
    <t>FRACrun.C</t>
  </si>
  <si>
    <t>EROSION.C</t>
  </si>
  <si>
    <t>PLT.C</t>
  </si>
  <si>
    <t>PLT.M</t>
  </si>
  <si>
    <t>PLT.A</t>
  </si>
  <si>
    <t>PLT.T</t>
  </si>
  <si>
    <t>External release 1.0, as described by Van de Meent (1993)</t>
  </si>
  <si>
    <t>External release 2.0, as described by Brandes et al. (1996)</t>
  </si>
  <si>
    <t>External release 3.0, as described by Den Hollander et al. (2004)</t>
  </si>
  <si>
    <t>DEPTH.sdM</t>
  </si>
  <si>
    <t>DEPTH.sM</t>
  </si>
  <si>
    <t>DEPTH.s1C</t>
  </si>
  <si>
    <t>AREA continental system</t>
  </si>
  <si>
    <t>VOLUME FRACTION air other soil</t>
  </si>
  <si>
    <t>Used</t>
  </si>
  <si>
    <t>kg.mol-1</t>
  </si>
  <si>
    <t>Substance</t>
  </si>
  <si>
    <t>Tm</t>
  </si>
  <si>
    <t>Melting point</t>
  </si>
  <si>
    <t>PLT.R</t>
  </si>
  <si>
    <t>Mass (mol)</t>
  </si>
  <si>
    <t>k.aA</t>
  </si>
  <si>
    <t>k.sA</t>
  </si>
  <si>
    <t>k.aT.sT</t>
  </si>
  <si>
    <t>k.sT.aT</t>
  </si>
  <si>
    <t>k.aT</t>
  </si>
  <si>
    <t>k.sT</t>
  </si>
  <si>
    <t>Notes</t>
  </si>
  <si>
    <t>Dimensionless soil/water PARTITION COEFFICIENT soil</t>
  </si>
  <si>
    <t>Soil/water PARTITION COEFFICIENT</t>
  </si>
  <si>
    <t>Mass FRACTION organic carbon soil</t>
  </si>
  <si>
    <t>Dimensionless sed/water PARTITION COEFFICIENT</t>
  </si>
  <si>
    <t>Sediment/water PARTITION COEFFICIENT</t>
  </si>
  <si>
    <t>REGIONAL SCALE</t>
  </si>
  <si>
    <t>Autochtonous PRODUCTION of suspended matter in sea water</t>
  </si>
  <si>
    <t>GASABSflow.aT.sT</t>
  </si>
  <si>
    <t>VOLATflow.sT.aT</t>
  </si>
  <si>
    <t>VOLATflow.w1C.aC</t>
  </si>
  <si>
    <t>GASABSflow.aC.w2C</t>
  </si>
  <si>
    <t>VOLATflow.w2C.aC</t>
  </si>
  <si>
    <t>GASABSflow.aC.s1C</t>
  </si>
  <si>
    <t>VOLATflow.s1C.aC</t>
  </si>
  <si>
    <t>E.sA</t>
  </si>
  <si>
    <t>E.sM</t>
  </si>
  <si>
    <t>E.aT</t>
  </si>
  <si>
    <t>E.sT</t>
  </si>
  <si>
    <t>kesc.aT</t>
  </si>
  <si>
    <t>BURIALflow.sdT</t>
  </si>
  <si>
    <t>LEACHflow.sT</t>
  </si>
  <si>
    <t>FRACinf.sT</t>
  </si>
  <si>
    <t>[kJ.mol-1]</t>
  </si>
  <si>
    <t>J.mol-1</t>
  </si>
  <si>
    <t>mol.m-3</t>
  </si>
  <si>
    <t>SYSTEMAREA.C</t>
  </si>
  <si>
    <t>AREAland.R</t>
  </si>
  <si>
    <t>AREAsea.R</t>
  </si>
  <si>
    <t>AerosolWashout.T</t>
  </si>
  <si>
    <t>GasWashout.T</t>
  </si>
  <si>
    <t>C.OHrad.aT</t>
  </si>
  <si>
    <t>Tempfactor.aT</t>
  </si>
  <si>
    <t>TROPICAL ZONE MODEL DEFINITION</t>
  </si>
  <si>
    <t>Fraction organic carbon other soil</t>
  </si>
  <si>
    <t>VOLUME.aT</t>
  </si>
  <si>
    <t>VOLUME.sdT</t>
  </si>
  <si>
    <t>VOLUME.sT</t>
  </si>
  <si>
    <t>SYSTEMAREA.T</t>
  </si>
  <si>
    <t>AREAFRAC.wT</t>
  </si>
  <si>
    <t>AREAFRAC.sT</t>
  </si>
  <si>
    <t>HEIGHT.aT</t>
  </si>
  <si>
    <t>DEPTH.sdT</t>
  </si>
  <si>
    <t>DEPTH.sT</t>
  </si>
  <si>
    <t>alternate formulation ksoil; pentration depth 0.1 m</t>
  </si>
  <si>
    <t>FRACagsoil.R</t>
  </si>
  <si>
    <t>FRACothersoil.R</t>
  </si>
  <si>
    <t>DEPTHfreshwater.R</t>
  </si>
  <si>
    <t>FRACinf.R</t>
  </si>
  <si>
    <t>FRACrun.R</t>
  </si>
  <si>
    <t>EROSION.R</t>
  </si>
  <si>
    <t>FRACfresh.C</t>
  </si>
  <si>
    <t>FRACnatsoil.C</t>
  </si>
  <si>
    <t>Global ocean circulation current</t>
  </si>
  <si>
    <t>Water FLOW continental fresh water - regional sea water</t>
  </si>
  <si>
    <t>Water FLOW of continental fresh water - continental sea water</t>
  </si>
  <si>
    <t>RESIDENCE TIME of water on continental shelf</t>
  </si>
  <si>
    <t>Water FLOW continental sea water - regional sea water</t>
  </si>
  <si>
    <t>Water FLOW continental sea water - moderate surface ocean</t>
  </si>
  <si>
    <t>Water FLOW moderate surface ocean - continental sea water</t>
  </si>
  <si>
    <t>Water FLOW moderate surface ocean - arctic surface ocean</t>
  </si>
  <si>
    <t>Water FLOW moderate surface ocean - tropical surface ocean</t>
  </si>
  <si>
    <t>Sediment/water PARTITION COEFFICIENT fresh water</t>
  </si>
  <si>
    <t>Dimensionless sed/water PARTITION COEFFICIENT sea water</t>
  </si>
  <si>
    <t>Sediment/water PARTITION COEFFICIENT sea water</t>
  </si>
  <si>
    <t>Dimensionless soil/water PARTITION COEFFICIENT natural soil</t>
  </si>
  <si>
    <t>VOLUME.aC</t>
  </si>
  <si>
    <t>VOLUME.w1C</t>
  </si>
  <si>
    <t>VOLUME.w2C</t>
  </si>
  <si>
    <t>VOLUME.sd1C</t>
  </si>
  <si>
    <t>VOLUME.sd2C</t>
  </si>
  <si>
    <t>VOLUME.s1C</t>
  </si>
  <si>
    <t>VOLUME.s2C</t>
  </si>
  <si>
    <t>VOLUME.s3C</t>
  </si>
  <si>
    <t>AREAland.C</t>
  </si>
  <si>
    <t>AREAsea.C</t>
  </si>
  <si>
    <t>AREAFRAC.w1C</t>
  </si>
  <si>
    <t>AREAFRAC.w2C</t>
  </si>
  <si>
    <t>AREAFRAC.s1C</t>
  </si>
  <si>
    <t xml:space="preserve">   Agricultural soil</t>
  </si>
  <si>
    <t>Concentration BACTERIA in seawater</t>
  </si>
  <si>
    <t>CORG.susp2M</t>
  </si>
  <si>
    <t>CORG.susp3M</t>
  </si>
  <si>
    <t>CORG.susp1C</t>
  </si>
  <si>
    <t>CORG.susp2C</t>
  </si>
  <si>
    <t>CORG.susp1R</t>
  </si>
  <si>
    <t>CORG.susp2R</t>
  </si>
  <si>
    <t>CORG.susp2A</t>
  </si>
  <si>
    <t>CORG.susp3A</t>
  </si>
  <si>
    <t>CORG.susp2T</t>
  </si>
  <si>
    <t>CORG.susp3T</t>
  </si>
  <si>
    <t>STEADY STATE</t>
  </si>
  <si>
    <t>Surface sea/ocean water</t>
  </si>
  <si>
    <t>CORRvolat.s1R</t>
  </si>
  <si>
    <t>CORRvolat.s2R</t>
  </si>
  <si>
    <t>CORRvolat.s3R</t>
  </si>
  <si>
    <t>CORRrunoff.s1R</t>
  </si>
  <si>
    <t>CORRrunoff.s2R</t>
  </si>
  <si>
    <t>CORRrunoff.s3R</t>
  </si>
  <si>
    <t>CORRleach.s1R</t>
  </si>
  <si>
    <t>CORRleach.s2R</t>
  </si>
  <si>
    <t>CORRleach.s3R</t>
  </si>
  <si>
    <t>CORRvolat.s1C</t>
  </si>
  <si>
    <t>CORRvolat.s2C</t>
  </si>
  <si>
    <t xml:space="preserve">   Sea water sediment</t>
  </si>
  <si>
    <t xml:space="preserve">   Sea water</t>
  </si>
  <si>
    <t xml:space="preserve">   Soil</t>
  </si>
  <si>
    <t>w2M</t>
  </si>
  <si>
    <t>w3M</t>
  </si>
  <si>
    <t>w2A</t>
  </si>
  <si>
    <t>w3A</t>
  </si>
  <si>
    <t>w2T</t>
  </si>
  <si>
    <t>w3T</t>
  </si>
  <si>
    <t>from w2M</t>
  </si>
  <si>
    <r>
      <t>g.mol</t>
    </r>
    <r>
      <rPr>
        <vertAlign val="superscript"/>
        <sz val="10"/>
        <rFont val="Calibri"/>
        <family val="2"/>
      </rPr>
      <t>-1</t>
    </r>
  </si>
  <si>
    <r>
      <t>o</t>
    </r>
    <r>
      <rPr>
        <sz val="10"/>
        <rFont val="Calibri"/>
        <family val="2"/>
      </rPr>
      <t>C</t>
    </r>
  </si>
  <si>
    <r>
      <t>mg.L</t>
    </r>
    <r>
      <rPr>
        <vertAlign val="superscript"/>
        <sz val="10"/>
        <rFont val="Calibri"/>
        <family val="2"/>
      </rPr>
      <t>-1</t>
    </r>
  </si>
  <si>
    <r>
      <t>s</t>
    </r>
    <r>
      <rPr>
        <vertAlign val="superscript"/>
        <sz val="10"/>
        <rFont val="Calibri"/>
        <family val="2"/>
      </rPr>
      <t>-1</t>
    </r>
  </si>
  <si>
    <r>
      <t>g.L</t>
    </r>
    <r>
      <rPr>
        <vertAlign val="superscript"/>
        <sz val="10"/>
        <rFont val="Calibri"/>
        <family val="2"/>
      </rPr>
      <t>-1</t>
    </r>
  </si>
  <si>
    <r>
      <t>m.s</t>
    </r>
    <r>
      <rPr>
        <vertAlign val="superscript"/>
        <sz val="10"/>
        <rFont val="Calibri"/>
        <family val="2"/>
      </rPr>
      <t>-1</t>
    </r>
  </si>
  <si>
    <r>
      <t>mm.yr</t>
    </r>
    <r>
      <rPr>
        <vertAlign val="superscript"/>
        <sz val="10"/>
        <rFont val="Calibri"/>
        <family val="2"/>
      </rPr>
      <t>-1</t>
    </r>
  </si>
  <si>
    <r>
      <t>m</t>
    </r>
    <r>
      <rPr>
        <vertAlign val="superscript"/>
        <sz val="10"/>
        <rFont val="Calibri"/>
        <family val="2"/>
      </rPr>
      <t>2</t>
    </r>
  </si>
  <si>
    <r>
      <t>g.m</t>
    </r>
    <r>
      <rPr>
        <vertAlign val="superscript"/>
        <sz val="10"/>
        <rFont val="Calibri"/>
        <family val="2"/>
      </rPr>
      <t>-3</t>
    </r>
  </si>
  <si>
    <r>
      <t>g.kg(d)</t>
    </r>
    <r>
      <rPr>
        <vertAlign val="superscript"/>
        <sz val="10"/>
        <rFont val="Calibri"/>
        <family val="2"/>
      </rPr>
      <t>-1</t>
    </r>
  </si>
  <si>
    <r>
      <t>g.kg(w)</t>
    </r>
    <r>
      <rPr>
        <vertAlign val="superscript"/>
        <sz val="10"/>
        <rFont val="Calibri"/>
        <family val="2"/>
      </rPr>
      <t>-1</t>
    </r>
  </si>
  <si>
    <r>
      <t>m</t>
    </r>
    <r>
      <rPr>
        <vertAlign val="superscript"/>
        <sz val="10"/>
        <rFont val="Calibri"/>
        <family val="2"/>
      </rPr>
      <t>3</t>
    </r>
  </si>
  <si>
    <r>
      <t>kg.m</t>
    </r>
    <r>
      <rPr>
        <vertAlign val="superscript"/>
        <sz val="10"/>
        <rFont val="Calibri"/>
        <family val="2"/>
      </rPr>
      <t>-3</t>
    </r>
  </si>
  <si>
    <r>
      <t>L.kg</t>
    </r>
    <r>
      <rPr>
        <vertAlign val="superscript"/>
        <sz val="10"/>
        <rFont val="Calibri"/>
        <family val="2"/>
      </rPr>
      <t>-1</t>
    </r>
  </si>
  <si>
    <r>
      <t>kg.s</t>
    </r>
    <r>
      <rPr>
        <vertAlign val="superscript"/>
        <sz val="10"/>
        <rFont val="Calibri"/>
        <family val="2"/>
      </rPr>
      <t>-1</t>
    </r>
  </si>
  <si>
    <r>
      <t>cm</t>
    </r>
    <r>
      <rPr>
        <vertAlign val="superscript"/>
        <sz val="10"/>
        <rFont val="Calibri"/>
        <family val="2"/>
      </rPr>
      <t>-3</t>
    </r>
  </si>
  <si>
    <r>
      <t>CFU.mL</t>
    </r>
    <r>
      <rPr>
        <vertAlign val="superscript"/>
        <sz val="10"/>
        <rFont val="Calibri"/>
        <family val="2"/>
      </rPr>
      <t>-1</t>
    </r>
  </si>
  <si>
    <t>from w2A</t>
  </si>
  <si>
    <t>from w2T</t>
  </si>
  <si>
    <t>CONCENTRATION suspended matter in sea water</t>
  </si>
  <si>
    <t>m2.s-1</t>
  </si>
  <si>
    <t>kg.m-3</t>
  </si>
  <si>
    <t>from aR</t>
  </si>
  <si>
    <t>from w1R</t>
  </si>
  <si>
    <t>from w2R</t>
  </si>
  <si>
    <t>from sd1R</t>
  </si>
  <si>
    <t>from sd2R</t>
  </si>
  <si>
    <t>from s1R</t>
  </si>
  <si>
    <t>from s2R</t>
  </si>
  <si>
    <t>from s3R</t>
  </si>
  <si>
    <t>from aC</t>
  </si>
  <si>
    <t>from w1C</t>
  </si>
  <si>
    <t>from w2C</t>
  </si>
  <si>
    <t>from sd1C</t>
  </si>
  <si>
    <t>from sd2C</t>
  </si>
  <si>
    <t>from s1C</t>
  </si>
  <si>
    <t>from s2C</t>
  </si>
  <si>
    <t>from s3C</t>
  </si>
  <si>
    <t>from aM</t>
  </si>
  <si>
    <t>from sdM</t>
  </si>
  <si>
    <t>from sM</t>
  </si>
  <si>
    <t>from aA</t>
  </si>
  <si>
    <t>from sdA</t>
  </si>
  <si>
    <t>from sA</t>
  </si>
  <si>
    <t>from aT</t>
  </si>
  <si>
    <t>from sdT</t>
  </si>
  <si>
    <t>from sT</t>
  </si>
  <si>
    <t>carbon tetrachloride</t>
  </si>
  <si>
    <t>62-53-3</t>
  </si>
  <si>
    <t>aniline</t>
  </si>
  <si>
    <t>67-66-3</t>
  </si>
  <si>
    <t>69-72-7</t>
  </si>
  <si>
    <t>salicylic acid</t>
  </si>
  <si>
    <t>71-43-2</t>
  </si>
  <si>
    <t>benzene</t>
  </si>
  <si>
    <t>dichloromethane</t>
  </si>
  <si>
    <t>EROSION.s3C</t>
  </si>
  <si>
    <t>Ksw</t>
  </si>
  <si>
    <t>SUBSTANCES DATABASE</t>
  </si>
  <si>
    <t>RHOaers</t>
  </si>
  <si>
    <t>Dry density of aerosol solids</t>
  </si>
  <si>
    <t>CORGaers</t>
  </si>
  <si>
    <r>
      <t xml:space="preserve"> * AEROSO</t>
    </r>
    <r>
      <rPr>
        <sz val="10"/>
        <rFont val="Calibri"/>
        <family val="2"/>
      </rPr>
      <t>L- and CLOUD PHASES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</si>
  <si>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aerw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</si>
  <si>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aers</t>
    </r>
    <r>
      <rPr>
        <sz val="10"/>
        <rFont val="Calibri"/>
        <family val="2"/>
      </rPr>
      <t>]</t>
    </r>
  </si>
  <si>
    <r>
      <t>[m.s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</si>
  <si>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rPr>
        <sz val="10"/>
        <rFont val="Calibri"/>
        <family val="2"/>
      </rPr>
      <t xml:space="preserve">Dimensionless gas/water PARTITION COEFFICIENT of the original species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</si>
  <si>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Octanol/water PARTITION COEFFICIENT </t>
    </r>
    <r>
      <rPr>
        <sz val="10"/>
        <rFont val="Calibri"/>
        <family val="2"/>
      </rPr>
      <t>of the original species</t>
    </r>
  </si>
  <si>
    <r>
      <t xml:space="preserve">Octanol/water PARTITION COEFFICIENT of </t>
    </r>
    <r>
      <rPr>
        <sz val="10"/>
        <rFont val="Calibri"/>
        <family val="2"/>
      </rPr>
      <t>alternate form</t>
    </r>
  </si>
  <si>
    <r>
      <t xml:space="preserve">VAPOR PRESSURE </t>
    </r>
    <r>
      <rPr>
        <sz val="10"/>
        <rFont val="Calibri"/>
        <family val="2"/>
      </rPr>
      <t xml:space="preserve">of original species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</si>
  <si>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>s</t>
    </r>
    <r>
      <rPr>
        <vertAlign val="superscript"/>
        <sz val="10"/>
        <rFont val="Calibri"/>
        <family val="2"/>
      </rPr>
      <t>-1</t>
    </r>
    <r>
      <rPr>
        <b/>
        <sz val="10"/>
        <rFont val="MS Sans Serif"/>
        <family val="2"/>
      </rPr>
      <t/>
    </r>
  </si>
  <si>
    <t>cyclohexane</t>
  </si>
  <si>
    <t>1,2-dichlorobenzene</t>
  </si>
  <si>
    <t>chloroethane</t>
  </si>
  <si>
    <t>diphenyl ether</t>
  </si>
  <si>
    <t>1,3-dichlorobenzene</t>
  </si>
  <si>
    <t>97-65-4</t>
  </si>
  <si>
    <t>97-86-9</t>
  </si>
  <si>
    <t>98-73-7</t>
  </si>
  <si>
    <t>98-94-2</t>
  </si>
  <si>
    <t>99-54-7</t>
  </si>
  <si>
    <t>100-00-5</t>
  </si>
  <si>
    <t>100-97-0</t>
  </si>
  <si>
    <t>102-71-6</t>
  </si>
  <si>
    <t>103-23-1</t>
  </si>
  <si>
    <t>104-76-7</t>
  </si>
  <si>
    <t>105-60-2</t>
  </si>
  <si>
    <t>106-89-8</t>
  </si>
  <si>
    <t>107-21-1</t>
  </si>
  <si>
    <t>107-98-2</t>
  </si>
  <si>
    <t>108-45-2</t>
  </si>
  <si>
    <t>108-46-3</t>
  </si>
  <si>
    <t>108-78-1</t>
  </si>
  <si>
    <t>108-95-2</t>
  </si>
  <si>
    <t>109-86-4</t>
  </si>
  <si>
    <t>110-80-5</t>
  </si>
  <si>
    <t>110-82-7</t>
  </si>
  <si>
    <t>111-30-8</t>
  </si>
  <si>
    <t>111-46-6</t>
  </si>
  <si>
    <t>111-76-2</t>
  </si>
  <si>
    <t>112-27-6</t>
  </si>
  <si>
    <t>115-96-8</t>
  </si>
  <si>
    <t>123-31-9</t>
  </si>
  <si>
    <t>123-91-1</t>
  </si>
  <si>
    <t>149-30-4</t>
  </si>
  <si>
    <t>1634-04-4</t>
  </si>
  <si>
    <t>5392-40-5</t>
  </si>
  <si>
    <t>56-81-5</t>
  </si>
  <si>
    <t>57-13-6</t>
  </si>
  <si>
    <t>57-55-6</t>
  </si>
  <si>
    <t>61-82-5</t>
  </si>
  <si>
    <t>709-98-8</t>
  </si>
  <si>
    <t>71-55-6</t>
  </si>
  <si>
    <t>75-35-4</t>
  </si>
  <si>
    <t>78-59-1</t>
  </si>
  <si>
    <t>78-84-2</t>
  </si>
  <si>
    <t>84-65-1</t>
  </si>
  <si>
    <t>872-50-4</t>
  </si>
  <si>
    <t>88-12-0</t>
  </si>
  <si>
    <t>88-73-3</t>
  </si>
  <si>
    <t>95-33-0</t>
  </si>
  <si>
    <t>95-50-1</t>
  </si>
  <si>
    <t>96-48-0</t>
  </si>
  <si>
    <t>97-00-7</t>
  </si>
  <si>
    <t>98-54-4</t>
  </si>
  <si>
    <t>98-82-8</t>
  </si>
  <si>
    <t>91-76-9</t>
  </si>
  <si>
    <t>120-78-5</t>
  </si>
  <si>
    <t>75-45-6</t>
  </si>
  <si>
    <t>75-00-3</t>
  </si>
  <si>
    <t>75-71-8</t>
  </si>
  <si>
    <t>115-11-7</t>
  </si>
  <si>
    <t>119-47-1</t>
  </si>
  <si>
    <t>81-16-3</t>
  </si>
  <si>
    <t>115-07-1</t>
  </si>
  <si>
    <t>25013-15-4</t>
  </si>
  <si>
    <t>6358-85-6</t>
  </si>
  <si>
    <t>106-99-0</t>
  </si>
  <si>
    <t>108-01-0</t>
  </si>
  <si>
    <t>108-91-8</t>
  </si>
  <si>
    <t>110-97-4</t>
  </si>
  <si>
    <t>128-37-0</t>
  </si>
  <si>
    <t>15687-27-1</t>
  </si>
  <si>
    <t>50-00-0</t>
  </si>
  <si>
    <t>542-75-6</t>
  </si>
  <si>
    <t>75-56-9</t>
  </si>
  <si>
    <t>93-65-2</t>
  </si>
  <si>
    <t>94-74-6</t>
  </si>
  <si>
    <t>96-29-7</t>
  </si>
  <si>
    <t>50-78-2</t>
  </si>
  <si>
    <t>1163-19-5</t>
  </si>
  <si>
    <t>110-85-0</t>
  </si>
  <si>
    <t>109-06-8</t>
  </si>
  <si>
    <t>110-98-5</t>
  </si>
  <si>
    <t>112-18-5</t>
  </si>
  <si>
    <t>121-86-8</t>
  </si>
  <si>
    <t>150-78-7</t>
  </si>
  <si>
    <t>25637-99-4</t>
  </si>
  <si>
    <t>2867-47-2</t>
  </si>
  <si>
    <t>77-78-1</t>
  </si>
  <si>
    <t>868-77-9</t>
  </si>
  <si>
    <t>88-44-8</t>
  </si>
  <si>
    <t>90-04-0</t>
  </si>
  <si>
    <t>100-02-7</t>
  </si>
  <si>
    <t>100-21-0</t>
  </si>
  <si>
    <t>101-72-4</t>
  </si>
  <si>
    <t>101-84-8</t>
  </si>
  <si>
    <t>102-01-2</t>
  </si>
  <si>
    <t>103-11-7</t>
  </si>
  <si>
    <t>103-69-5</t>
  </si>
  <si>
    <t>105-53-3</t>
  </si>
  <si>
    <t>105-76-0</t>
  </si>
  <si>
    <t>106-43-4</t>
  </si>
  <si>
    <t>107-41-5</t>
  </si>
  <si>
    <t>107-92-6</t>
  </si>
  <si>
    <t>108-20-3</t>
  </si>
  <si>
    <t>108-80-5</t>
  </si>
  <si>
    <t>108-83-8</t>
  </si>
  <si>
    <t>109-55-7</t>
  </si>
  <si>
    <t>110-12-3</t>
  </si>
  <si>
    <t>110-19-0</t>
  </si>
  <si>
    <t>110-27-0</t>
  </si>
  <si>
    <t>110-63-4</t>
  </si>
  <si>
    <t>111-15-9</t>
  </si>
  <si>
    <t>111-40-0</t>
  </si>
  <si>
    <t>111-41-1</t>
  </si>
  <si>
    <t>111-42-2</t>
  </si>
  <si>
    <t>111-48-8</t>
  </si>
  <si>
    <t>111-69-3</t>
  </si>
  <si>
    <t>111-77-3</t>
  </si>
  <si>
    <t>111-90-0</t>
  </si>
  <si>
    <t>112-07-2</t>
  </si>
  <si>
    <t>112-24-3</t>
  </si>
  <si>
    <t>112-30-1</t>
  </si>
  <si>
    <t>112-34-5</t>
  </si>
  <si>
    <t>112-35-6</t>
  </si>
  <si>
    <t>112-53-8</t>
  </si>
  <si>
    <t>112-57-2</t>
  </si>
  <si>
    <t>112-92-5</t>
  </si>
  <si>
    <t>115-86-6</t>
  </si>
  <si>
    <t>121-57-3</t>
  </si>
  <si>
    <t>121-73-3</t>
  </si>
  <si>
    <t>121-87-9</t>
  </si>
  <si>
    <t>123-05-7</t>
  </si>
  <si>
    <t>123-30-8</t>
  </si>
  <si>
    <t>123-42-2</t>
  </si>
  <si>
    <t>124-04-9</t>
  </si>
  <si>
    <t>124-07-2</t>
  </si>
  <si>
    <t>124-09-4</t>
  </si>
  <si>
    <t>124-30-1</t>
  </si>
  <si>
    <t>126-30-7</t>
  </si>
  <si>
    <t>1319-77-3</t>
  </si>
  <si>
    <t>135-19-3</t>
  </si>
  <si>
    <t>13674-84-5</t>
  </si>
  <si>
    <t>140-31-8</t>
  </si>
  <si>
    <t>140-66-9</t>
  </si>
  <si>
    <t>141-32-2</t>
  </si>
  <si>
    <t>141-43-5</t>
  </si>
  <si>
    <t>141-97-9</t>
  </si>
  <si>
    <t>143-22-6</t>
  </si>
  <si>
    <t>149-57-5</t>
  </si>
  <si>
    <t>1570-64-5</t>
  </si>
  <si>
    <t>1854-26-8</t>
  </si>
  <si>
    <t>2439-35-2</t>
  </si>
  <si>
    <t>25154-52-3</t>
  </si>
  <si>
    <t>26761-40-0</t>
  </si>
  <si>
    <t>28553-12-0</t>
  </si>
  <si>
    <t>541-73-1</t>
  </si>
  <si>
    <t>60-00-4</t>
  </si>
  <si>
    <t>611-06-3</t>
  </si>
  <si>
    <t>71-23-8</t>
  </si>
  <si>
    <t>75-31-0</t>
  </si>
  <si>
    <t>75-86-5</t>
  </si>
  <si>
    <t>75-91-2</t>
  </si>
  <si>
    <t>77-73-6</t>
  </si>
  <si>
    <t>77-99-6</t>
  </si>
  <si>
    <t>78-70-6</t>
  </si>
  <si>
    <t>79-20-9</t>
  </si>
  <si>
    <t>79-31-2</t>
  </si>
  <si>
    <t>79-33-4</t>
  </si>
  <si>
    <t>79-41-4</t>
  </si>
  <si>
    <t>79-92-5</t>
  </si>
  <si>
    <t>79-94-7</t>
  </si>
  <si>
    <t>80-56-8</t>
  </si>
  <si>
    <t>84-69-5</t>
  </si>
  <si>
    <t>85-42-7</t>
  </si>
  <si>
    <t>85-43-8</t>
  </si>
  <si>
    <t>88-74-4</t>
  </si>
  <si>
    <t>89-61-2</t>
  </si>
  <si>
    <t>91-66-7</t>
  </si>
  <si>
    <t>95-54-5</t>
  </si>
  <si>
    <t>95-76-1</t>
  </si>
  <si>
    <r>
      <t xml:space="preserve">EMISSION to </t>
    </r>
    <r>
      <rPr>
        <sz val="10"/>
        <rFont val="Calibri"/>
        <family val="2"/>
      </rPr>
      <t>fresh water</t>
    </r>
  </si>
  <si>
    <r>
      <t xml:space="preserve">EMISSION to </t>
    </r>
    <r>
      <rPr>
        <sz val="10"/>
        <rFont val="Calibri"/>
        <family val="2"/>
      </rPr>
      <t>sea water</t>
    </r>
  </si>
  <si>
    <r>
      <t>K</t>
    </r>
    <r>
      <rPr>
        <sz val="10"/>
        <rFont val="Calibri"/>
        <family val="2"/>
      </rPr>
      <t>sw</t>
    </r>
  </si>
  <si>
    <r>
      <t>K</t>
    </r>
    <r>
      <rPr>
        <sz val="10"/>
        <rFont val="Calibri"/>
        <family val="2"/>
      </rPr>
      <t>aw</t>
    </r>
  </si>
  <si>
    <r>
      <t>Kow.</t>
    </r>
    <r>
      <rPr>
        <sz val="10"/>
        <rFont val="Calibri"/>
        <family val="2"/>
      </rPr>
      <t>alt</t>
    </r>
  </si>
  <si>
    <t>Kp(susp)</t>
  </si>
  <si>
    <t>Kp(sed)</t>
  </si>
  <si>
    <t>Kp(soil)</t>
  </si>
  <si>
    <t>Kp(col)</t>
  </si>
  <si>
    <t>Metal</t>
  </si>
  <si>
    <t>Nr</t>
  </si>
  <si>
    <t>terephthalic acid</t>
  </si>
  <si>
    <t>methenamine</t>
  </si>
  <si>
    <t>dibutyl maleate</t>
  </si>
  <si>
    <t>dimethyl succinate</t>
  </si>
  <si>
    <t>buta-1,3-diene</t>
  </si>
  <si>
    <t>2-dimethylaminoethanol</t>
  </si>
  <si>
    <t>2,4,6-trichloro-1,3,5-triazine</t>
  </si>
  <si>
    <t>pentane</t>
  </si>
  <si>
    <t>isobutyl acetate</t>
  </si>
  <si>
    <t>isopropyl myristate</t>
  </si>
  <si>
    <t>piperazine</t>
  </si>
  <si>
    <t>2,2'-iminodi(ethylamine)</t>
  </si>
  <si>
    <t>2-(2-ethoxyethoxy)ethanol</t>
  </si>
  <si>
    <t>dimethyl glutarate</t>
  </si>
  <si>
    <t>triethyl orthoformate</t>
  </si>
  <si>
    <t>2,6-di-tert-butyl-p-cresol</t>
  </si>
  <si>
    <t>di-''isodecyl'' phthalate</t>
  </si>
  <si>
    <t>di-''isononyl'' phthalate</t>
  </si>
  <si>
    <t>1,2,4-triazole</t>
  </si>
  <si>
    <t>diphenyl ether, octabromo derivative</t>
  </si>
  <si>
    <t>formaldehyde</t>
  </si>
  <si>
    <t>dimethyl adipate</t>
  </si>
  <si>
    <t>isopropylamine</t>
  </si>
  <si>
    <t>1-vinyl-2-pyrrolidone</t>
  </si>
  <si>
    <t>o-anisidine</t>
  </si>
  <si>
    <t>N-cyclohexylbenzothiazole-2-sulphenamide</t>
  </si>
  <si>
    <t>gamma-butyrolactone</t>
  </si>
  <si>
    <t>triacetin</t>
  </si>
  <si>
    <t>bis(2-ethylhexyl) adipate</t>
  </si>
  <si>
    <t>acrylonitrile</t>
  </si>
  <si>
    <t>ethane-1,2-diol</t>
  </si>
  <si>
    <t>melamine</t>
  </si>
  <si>
    <t>2-(2-aminoethylamino)ethanol</t>
  </si>
  <si>
    <t>decan-1-ol</t>
  </si>
  <si>
    <t>propene, pure</t>
  </si>
  <si>
    <t>6,6'-di-tert-butyl-2,2'-methylenedi-p-cresol</t>
  </si>
  <si>
    <t>1,4-dioxane</t>
  </si>
  <si>
    <t>octadecylamine</t>
  </si>
  <si>
    <t>ibuprofen</t>
  </si>
  <si>
    <t>2-ethylhexyl mercaptoacetate</t>
  </si>
  <si>
    <t>dimethyl sulphate</t>
  </si>
  <si>
    <t>3,5,5-trimethylcyclohex-2-enone</t>
  </si>
  <si>
    <t>acrylamide</t>
  </si>
  <si>
    <t>1-aminoanthraquinone</t>
  </si>
  <si>
    <t>anthraquinone</t>
  </si>
  <si>
    <t>3,4-dichloroaniline</t>
  </si>
  <si>
    <t>2-furaldehyde</t>
  </si>
  <si>
    <t>acetoacetanilide</t>
  </si>
  <si>
    <t>epsilon-caprolactam</t>
  </si>
  <si>
    <t>1-methoxypropan-2-ol</t>
  </si>
  <si>
    <t>m-phenylenediamine</t>
  </si>
  <si>
    <t>phenol</t>
  </si>
  <si>
    <t>2,2'-iminodiethanol</t>
  </si>
  <si>
    <t>2-butoxyethanol</t>
  </si>
  <si>
    <t>2-butoxyethyl acetate</t>
  </si>
  <si>
    <t>3,6,9-triazaundecamethylenediamine</t>
  </si>
  <si>
    <t>4-hydroxy-4-methylpentan-2-one</t>
  </si>
  <si>
    <t>exo-1,7,7-trimethylbicyclo[2.2.1]hept-2-yl acetate</t>
  </si>
  <si>
    <t>butyl acrylate</t>
  </si>
  <si>
    <t>2-(dimethylamino)ethyl acrylate</t>
  </si>
  <si>
    <t>2-dimethylaminoethyl methacrylate</t>
  </si>
  <si>
    <t>N-butylbenzenesulphonamide</t>
  </si>
  <si>
    <t>O-acetylsalicylic acid</t>
  </si>
  <si>
    <t>caffeine</t>
  </si>
  <si>
    <t>dodecanedioic acid</t>
  </si>
  <si>
    <t>tert-butyl hydroperoxide</t>
  </si>
  <si>
    <t>isobutyraldehyde</t>
  </si>
  <si>
    <t>isobutyric acid</t>
  </si>
  <si>
    <t>dibutyl phthalate</t>
  </si>
  <si>
    <t>1,4-dichloro-2-nitrobenzene</t>
  </si>
  <si>
    <t>2-(4-chloro-2-methylphenoxy)propionic acid</t>
  </si>
  <si>
    <t>cyclohexyldimethylamine</t>
  </si>
  <si>
    <t>methyl acetoacetate</t>
  </si>
  <si>
    <t>diethyl malonate</t>
  </si>
  <si>
    <t>diisopropyl ether</t>
  </si>
  <si>
    <t>resorcinol</t>
  </si>
  <si>
    <t>5-methylhexan-2-one</t>
  </si>
  <si>
    <t>adiponitrile</t>
  </si>
  <si>
    <t>2-(2-methoxyethoxy)ethanol</t>
  </si>
  <si>
    <t>trientine</t>
  </si>
  <si>
    <t>sulphanilic acid</t>
  </si>
  <si>
    <t>1-chloro-3-nitrobenzene</t>
  </si>
  <si>
    <t>7-methyl-3-methyleneocta-1,6-diene</t>
  </si>
  <si>
    <t>dimethyl phthalate</t>
  </si>
  <si>
    <t>cresol, pure</t>
  </si>
  <si>
    <t>2-naphthol</t>
  </si>
  <si>
    <t>nonylphenol</t>
  </si>
  <si>
    <t>1,3-dichloro-4-nitrobenzene</t>
  </si>
  <si>
    <t>chloroform</t>
  </si>
  <si>
    <t>bis(alpha,alpha-dimethylbenzyl) peroxide</t>
  </si>
  <si>
    <t>2-aminonaphthalene-1-sulphonic acid</t>
  </si>
  <si>
    <t>1-chloro-2-nitrobenzene</t>
  </si>
  <si>
    <t>naphthalene, pure</t>
  </si>
  <si>
    <t>N-isopropyl-N'-phenyl-p-phenylenediamine</t>
  </si>
  <si>
    <t>toluene-4-sulphonic acid</t>
  </si>
  <si>
    <t>4-chlorotoluene</t>
  </si>
  <si>
    <t>2-methoxyethanol</t>
  </si>
  <si>
    <t>butane-1,4-diol</t>
  </si>
  <si>
    <t>1,1'-iminodipropan-2-ol</t>
  </si>
  <si>
    <t>hexamethylenediamine</t>
  </si>
  <si>
    <t>2-(2-butoxyethoxy)ethyl acetate</t>
  </si>
  <si>
    <t>benzothiazole-2-thiol</t>
  </si>
  <si>
    <t>tert-butyl methyl ether</t>
  </si>
  <si>
    <t>vinyltoluene</t>
  </si>
  <si>
    <t>hexabromocyclododecane</t>
  </si>
  <si>
    <t>hexadecan-1-ol</t>
  </si>
  <si>
    <t>edetic acid</t>
  </si>
  <si>
    <t>chloroethylene</t>
  </si>
  <si>
    <t>1,1-dichloroethylene</t>
  </si>
  <si>
    <t>l-(+)-lactic acid</t>
  </si>
  <si>
    <t>1-methyl-2-pyrrolidone</t>
  </si>
  <si>
    <t>2-nitroaniline</t>
  </si>
  <si>
    <t>4-tert-butylphenol</t>
  </si>
  <si>
    <t>1-chloro-4-nitrobenzene</t>
  </si>
  <si>
    <t>N-ethylaniline</t>
  </si>
  <si>
    <t>2-methylpentane-2,4-diol</t>
  </si>
  <si>
    <t>cyanuric acid</t>
  </si>
  <si>
    <t>2-ethoxyethanol</t>
  </si>
  <si>
    <t>1,1'-oxydipropan-2-ol</t>
  </si>
  <si>
    <t>dodecyldimethylamine</t>
  </si>
  <si>
    <t>2-(2-butoxyethoxy)ethanol</t>
  </si>
  <si>
    <t>octadecan-1-ol</t>
  </si>
  <si>
    <t>bis(pentabromophenyl) ether</t>
  </si>
  <si>
    <t>di(benzothiazol-2-yl) disulphide</t>
  </si>
  <si>
    <t>isophthalic acid</t>
  </si>
  <si>
    <t>tris(2-chloro-1-methylethyl) phosphate</t>
  </si>
  <si>
    <t>2-aminoethanol</t>
  </si>
  <si>
    <t>2-ethyl-2-[[(1-oxoallyl)oxy]methyl]-1,3-propanediyl diacrylate</t>
  </si>
  <si>
    <t>4-chloro-o-cresol</t>
  </si>
  <si>
    <t>2-[(p-aminophenyl)sulphonyl]ethyl hydrogensulphate</t>
  </si>
  <si>
    <t>citral</t>
  </si>
  <si>
    <t>glycerol</t>
  </si>
  <si>
    <t>amitrole</t>
  </si>
  <si>
    <t>diethyl sulphate</t>
  </si>
  <si>
    <t>isobutane</t>
  </si>
  <si>
    <t>2-hydroxy-2-methylpropionitrile</t>
  </si>
  <si>
    <t>camphene</t>
  </si>
  <si>
    <t>diisobutyl phthalate</t>
  </si>
  <si>
    <t>o-phenylenediamine</t>
  </si>
  <si>
    <t>2,2',2''-nitrilotriethanol</t>
  </si>
  <si>
    <t>butyric acid</t>
  </si>
  <si>
    <t>2-methoxy-1-methylethyl acetate</t>
  </si>
  <si>
    <t>2,2'-oxydiethanol</t>
  </si>
  <si>
    <t>bis(2-methoxyethyl) ether</t>
  </si>
  <si>
    <t>2,2'-(ethylenedioxy)diethanol</t>
  </si>
  <si>
    <t>2-(2-(2-methoxyethoxy)ethoxy)ethanol</t>
  </si>
  <si>
    <t>triphenyl phosphate</t>
  </si>
  <si>
    <t>2-(2-(2-butoxyethoxy)ethoxy)ethanol</t>
  </si>
  <si>
    <t>N-methyl-3-oxobutyramide</t>
  </si>
  <si>
    <t>1,3-dichloropropene</t>
  </si>
  <si>
    <t>urea</t>
  </si>
  <si>
    <t>propane-1,2-diol</t>
  </si>
  <si>
    <t>dimethyl maleate</t>
  </si>
  <si>
    <t>2,2'-[(3,3'-dichloro[1,1'-biphenyl]-4,4'-diyl)bis(azo)]bis[3-oxo-N-phenylbutyramide]</t>
  </si>
  <si>
    <t>1,1,1-trichloroethane</t>
  </si>
  <si>
    <t>chlorodifluoromethane</t>
  </si>
  <si>
    <t>3a,4,7,7a-tetrahydro-4,7-methanoindene</t>
  </si>
  <si>
    <t>propylidynetrimethanol</t>
  </si>
  <si>
    <t>linalool</t>
  </si>
  <si>
    <t>3-hydroxy-2-naphthoic acid</t>
  </si>
  <si>
    <t>(4-chloro-2-methylphenoxy)acetic acid</t>
  </si>
  <si>
    <t>4-nitrophenol</t>
  </si>
  <si>
    <t>2-ethylhexyl acrylate</t>
  </si>
  <si>
    <t>2-ethylhexan-1-ol</t>
  </si>
  <si>
    <t>3-aminopropyldimethylamine</t>
  </si>
  <si>
    <t>2-methylpropene</t>
  </si>
  <si>
    <t>bis(2-ethylhexyl) phthalate</t>
  </si>
  <si>
    <t>2-ethylhexanal</t>
  </si>
  <si>
    <t>2,2-dimethylpropane-1,3-diol</t>
  </si>
  <si>
    <t>1,4-dimethoxybenzene</t>
  </si>
  <si>
    <t>2-ethylhexyl nitrate</t>
  </si>
  <si>
    <t>acrylic acid</t>
  </si>
  <si>
    <t>2,2',6,6'-tetrabromo-4,4'-isopropylidenediphenol</t>
  </si>
  <si>
    <t>4,4'-isopropylidenediphenol</t>
  </si>
  <si>
    <t>dicyclohexyl phthalate</t>
  </si>
  <si>
    <t>cyclohexane-1,2-dicarboxylic anhydride</t>
  </si>
  <si>
    <t>benzyl butyl phthalate</t>
  </si>
  <si>
    <t>N,N-diethylaniline</t>
  </si>
  <si>
    <t>2,4-D</t>
  </si>
  <si>
    <t>butanone oxime</t>
  </si>
  <si>
    <t>1-chloro-2,4-dinitrobenzene</t>
  </si>
  <si>
    <t>alpha,alpha,alpha-trichlorotoluene</t>
  </si>
  <si>
    <t>4-tert-butylbenzoic acid</t>
  </si>
  <si>
    <t>1,2-dichloro-4-nitrobenzene</t>
  </si>
  <si>
    <t>1-chloro-2,3-epoxypropane</t>
  </si>
  <si>
    <t>2,6-dimethylheptan-4-one</t>
  </si>
  <si>
    <t>cyclohexylamine</t>
  </si>
  <si>
    <t>2-methylpyridine</t>
  </si>
  <si>
    <t>glutaral</t>
  </si>
  <si>
    <t>thiodiglycol</t>
  </si>
  <si>
    <t>dodecan-1-ol</t>
  </si>
  <si>
    <t>tris(2-chloroethyl) phosphate</t>
  </si>
  <si>
    <t>methyl salicylate</t>
  </si>
  <si>
    <t>2-chloro-4-nitrotoluene</t>
  </si>
  <si>
    <t>4-aminophenol</t>
  </si>
  <si>
    <t>2-piperazin-1-ylethylamine</t>
  </si>
  <si>
    <t>4,5-dihydroxy-1,3-bis(hydroxymethyl)imidazolidin-2-one</t>
  </si>
  <si>
    <t>3,6,9,12-tetraoxotridecanol</t>
  </si>
  <si>
    <t>2,4,4-trimethylpentene</t>
  </si>
  <si>
    <t>butyl carbamate</t>
  </si>
  <si>
    <t>tetrasodium ethylenediaminetetraacetate</t>
  </si>
  <si>
    <t>propanil</t>
  </si>
  <si>
    <t>propan-1-ol</t>
  </si>
  <si>
    <t>acetonitrile</t>
  </si>
  <si>
    <t>dichlorodifluoromethane</t>
  </si>
  <si>
    <t>pin-2(3)-ene</t>
  </si>
  <si>
    <t>1,2,3,6-tetrahydrophthalic anhydride</t>
  </si>
  <si>
    <t>4-aminotoluene-3-sulphonic acid</t>
  </si>
  <si>
    <t>cumene</t>
  </si>
  <si>
    <t>2-ethoxyethyl acetate</t>
  </si>
  <si>
    <t>4-nitrotoluene-2-sulphonic acid</t>
  </si>
  <si>
    <t>2-chloro-4-nitroaniline</t>
  </si>
  <si>
    <t>hydroquinone</t>
  </si>
  <si>
    <t>4-(1,1,3,3-tetramethylbutyl)phenol</t>
  </si>
  <si>
    <t>ethyl acetoacetate</t>
  </si>
  <si>
    <t>methyloxirane</t>
  </si>
  <si>
    <t>methyl acetate</t>
  </si>
  <si>
    <t>2-hydroxyethyl methacrylate</t>
  </si>
  <si>
    <t>6-phenyl-1,3,5-triazine-2,4-diyldiamine</t>
  </si>
  <si>
    <t>2',4'-dimethylacetoacetanilide</t>
  </si>
  <si>
    <t>isobutyl methacrylate</t>
  </si>
  <si>
    <t>106-65-0</t>
  </si>
  <si>
    <t>108-77-0</t>
  </si>
  <si>
    <t>1119-40-0</t>
  </si>
  <si>
    <t>122-51-0</t>
  </si>
  <si>
    <t>288-88-0</t>
  </si>
  <si>
    <t>32536-52-0</t>
  </si>
  <si>
    <t>627-93-0</t>
  </si>
  <si>
    <t>102-76-1</t>
  </si>
  <si>
    <t>7659-86-1</t>
  </si>
  <si>
    <t>82-45-1</t>
  </si>
  <si>
    <t>125-12-2</t>
  </si>
  <si>
    <t>3622-84-2</t>
  </si>
  <si>
    <t>693-23-2</t>
  </si>
  <si>
    <t>105-45-3</t>
  </si>
  <si>
    <t>123-35-3</t>
  </si>
  <si>
    <t>80-43-3</t>
  </si>
  <si>
    <t>104-15-4</t>
  </si>
  <si>
    <t>124-17-4</t>
  </si>
  <si>
    <t>36653-82-4</t>
  </si>
  <si>
    <t>121-91-5</t>
  </si>
  <si>
    <t>15625-89-5</t>
  </si>
  <si>
    <t>2494-89-5</t>
  </si>
  <si>
    <t>64-67-5</t>
  </si>
  <si>
    <t>75-28-5</t>
  </si>
  <si>
    <t>108-65-6</t>
  </si>
  <si>
    <t>111-96-6</t>
  </si>
  <si>
    <t>20306-75-6</t>
  </si>
  <si>
    <t>624-48-6</t>
  </si>
  <si>
    <t>92-70-6</t>
  </si>
  <si>
    <t>27247-96-7</t>
  </si>
  <si>
    <t>84-61-7</t>
  </si>
  <si>
    <t>119-36-8</t>
  </si>
  <si>
    <t>23783-42-8</t>
  </si>
  <si>
    <t>25167-70-8</t>
  </si>
  <si>
    <t>592-35-8</t>
  </si>
  <si>
    <t>121-03-9</t>
  </si>
  <si>
    <t>97-36-9</t>
  </si>
  <si>
    <t>mu(logEC50)</t>
  </si>
  <si>
    <t>sd(logEC50)</t>
  </si>
  <si>
    <t>Use</t>
  </si>
  <si>
    <t>EF(air)</t>
  </si>
  <si>
    <t>EF(water)</t>
  </si>
  <si>
    <t>EF(soil)</t>
  </si>
  <si>
    <r>
      <t>t.yr</t>
    </r>
    <r>
      <rPr>
        <vertAlign val="superscript"/>
        <sz val="10"/>
        <rFont val="Calibri"/>
        <family val="2"/>
      </rPr>
      <t>-1</t>
    </r>
  </si>
  <si>
    <t>ChemRowNr</t>
  </si>
  <si>
    <r>
      <t>K</t>
    </r>
    <r>
      <rPr>
        <sz val="10"/>
        <rFont val="Calibri"/>
        <family val="2"/>
      </rPr>
      <t>ow</t>
    </r>
  </si>
  <si>
    <r>
      <t>FRAC</t>
    </r>
    <r>
      <rPr>
        <sz val="10"/>
        <rFont val="Calibri"/>
        <family val="2"/>
      </rPr>
      <t>aers.aR</t>
    </r>
  </si>
  <si>
    <r>
      <t>FRAC</t>
    </r>
    <r>
      <rPr>
        <sz val="10"/>
        <rFont val="Calibri"/>
        <family val="2"/>
      </rPr>
      <t>aerw.aR</t>
    </r>
  </si>
  <si>
    <r>
      <t>FR</t>
    </r>
    <r>
      <rPr>
        <sz val="10"/>
        <rFont val="Calibri"/>
        <family val="2"/>
      </rPr>
      <t>gas.aR</t>
    </r>
  </si>
  <si>
    <r>
      <t>K</t>
    </r>
    <r>
      <rPr>
        <sz val="10"/>
        <rFont val="Calibri"/>
        <family val="2"/>
      </rPr>
      <t>aw.R</t>
    </r>
  </si>
  <si>
    <r>
      <t>K</t>
    </r>
    <r>
      <rPr>
        <sz val="10"/>
        <rFont val="Calibri"/>
        <family val="2"/>
      </rPr>
      <t>aw.C</t>
    </r>
  </si>
  <si>
    <r>
      <t>FR</t>
    </r>
    <r>
      <rPr>
        <sz val="10"/>
        <rFont val="Calibri"/>
        <family val="2"/>
      </rPr>
      <t>gas.aC</t>
    </r>
  </si>
  <si>
    <r>
      <rPr>
        <sz val="10"/>
        <rFont val="Calibri"/>
        <family val="2"/>
      </rPr>
      <t>MTCaw.air.aA</t>
    </r>
  </si>
  <si>
    <r>
      <rPr>
        <sz val="10"/>
        <rFont val="Calibri"/>
        <family val="2"/>
      </rPr>
      <t>MTCaw.water.wA</t>
    </r>
  </si>
  <si>
    <r>
      <rPr>
        <sz val="10"/>
        <rFont val="Calibri"/>
        <family val="2"/>
      </rPr>
      <t>MTCas.air.aA</t>
    </r>
  </si>
  <si>
    <r>
      <rPr>
        <sz val="10"/>
        <rFont val="Calibri"/>
        <family val="2"/>
      </rPr>
      <t>MTCas.soil.sA</t>
    </r>
  </si>
  <si>
    <r>
      <rPr>
        <sz val="10"/>
        <rFont val="Calibri"/>
        <family val="2"/>
      </rPr>
      <t>MTCaw.air.aR</t>
    </r>
  </si>
  <si>
    <r>
      <rPr>
        <sz val="10"/>
        <rFont val="Calibri"/>
        <family val="2"/>
      </rPr>
      <t>MTCaw.water.wR</t>
    </r>
  </si>
  <si>
    <r>
      <rPr>
        <sz val="10"/>
        <rFont val="Calibri"/>
        <family val="2"/>
      </rPr>
      <t>MTCas.air.aR</t>
    </r>
  </si>
  <si>
    <r>
      <rPr>
        <sz val="10"/>
        <rFont val="Calibri"/>
        <family val="2"/>
      </rPr>
      <t>MTCas.soil.sR</t>
    </r>
  </si>
  <si>
    <r>
      <rPr>
        <sz val="10"/>
        <rFont val="Calibri"/>
        <family val="2"/>
      </rPr>
      <t>MTCaw.air.aC</t>
    </r>
  </si>
  <si>
    <r>
      <rPr>
        <sz val="10"/>
        <rFont val="Calibri"/>
        <family val="2"/>
      </rPr>
      <t>MTCaw.water.wC</t>
    </r>
  </si>
  <si>
    <r>
      <rPr>
        <sz val="10"/>
        <rFont val="Calibri"/>
        <family val="2"/>
      </rPr>
      <t>MTCas.air.aC</t>
    </r>
  </si>
  <si>
    <r>
      <rPr>
        <sz val="10"/>
        <rFont val="Calibri"/>
        <family val="2"/>
      </rPr>
      <t>MTCas.soil.sC</t>
    </r>
  </si>
  <si>
    <r>
      <t>FRAC</t>
    </r>
    <r>
      <rPr>
        <sz val="10"/>
        <rFont val="Calibri"/>
        <family val="2"/>
      </rPr>
      <t>aers.aM</t>
    </r>
  </si>
  <si>
    <r>
      <t>FRAC</t>
    </r>
    <r>
      <rPr>
        <sz val="10"/>
        <rFont val="Calibri"/>
        <family val="2"/>
      </rPr>
      <t>aerw.aM</t>
    </r>
  </si>
  <si>
    <r>
      <t>FR</t>
    </r>
    <r>
      <rPr>
        <sz val="10"/>
        <rFont val="Calibri"/>
        <family val="2"/>
      </rPr>
      <t>gas.aM</t>
    </r>
  </si>
  <si>
    <r>
      <t>K</t>
    </r>
    <r>
      <rPr>
        <sz val="10"/>
        <rFont val="Calibri"/>
        <family val="2"/>
      </rPr>
      <t>aw.M</t>
    </r>
  </si>
  <si>
    <r>
      <rPr>
        <sz val="10"/>
        <rFont val="Calibri"/>
        <family val="2"/>
      </rPr>
      <t>MTCaw.air.aM</t>
    </r>
  </si>
  <si>
    <r>
      <rPr>
        <sz val="10"/>
        <rFont val="Calibri"/>
        <family val="2"/>
      </rPr>
      <t>MTCaw.water.wM</t>
    </r>
  </si>
  <si>
    <r>
      <rPr>
        <sz val="10"/>
        <rFont val="Calibri"/>
        <family val="2"/>
      </rPr>
      <t>MTCas.air.aM</t>
    </r>
  </si>
  <si>
    <r>
      <rPr>
        <sz val="10"/>
        <rFont val="Calibri"/>
        <family val="2"/>
      </rPr>
      <t>MTCas.soil.sM</t>
    </r>
  </si>
  <si>
    <r>
      <t>FRAC</t>
    </r>
    <r>
      <rPr>
        <sz val="10"/>
        <rFont val="Calibri"/>
        <family val="2"/>
      </rPr>
      <t>aers.aA</t>
    </r>
  </si>
  <si>
    <r>
      <t>FRAC</t>
    </r>
    <r>
      <rPr>
        <sz val="10"/>
        <rFont val="Calibri"/>
        <family val="2"/>
      </rPr>
      <t>aerw.aA</t>
    </r>
  </si>
  <si>
    <r>
      <t>FR</t>
    </r>
    <r>
      <rPr>
        <sz val="10"/>
        <rFont val="Calibri"/>
        <family val="2"/>
      </rPr>
      <t>gas.aA</t>
    </r>
  </si>
  <si>
    <r>
      <t>K</t>
    </r>
    <r>
      <rPr>
        <sz val="10"/>
        <rFont val="Calibri"/>
        <family val="2"/>
      </rPr>
      <t>aw.A</t>
    </r>
  </si>
  <si>
    <r>
      <t>FRAC</t>
    </r>
    <r>
      <rPr>
        <sz val="10"/>
        <rFont val="Calibri"/>
        <family val="2"/>
      </rPr>
      <t>aers.aT</t>
    </r>
  </si>
  <si>
    <r>
      <t>FRAC</t>
    </r>
    <r>
      <rPr>
        <sz val="10"/>
        <rFont val="Calibri"/>
        <family val="2"/>
      </rPr>
      <t>aerw.aT</t>
    </r>
  </si>
  <si>
    <r>
      <t>FR</t>
    </r>
    <r>
      <rPr>
        <sz val="10"/>
        <rFont val="Calibri"/>
        <family val="2"/>
      </rPr>
      <t>gas.aT</t>
    </r>
  </si>
  <si>
    <r>
      <t>K</t>
    </r>
    <r>
      <rPr>
        <sz val="10"/>
        <rFont val="Calibri"/>
        <family val="2"/>
      </rPr>
      <t>aw.T</t>
    </r>
  </si>
  <si>
    <r>
      <t>K</t>
    </r>
    <r>
      <rPr>
        <sz val="10"/>
        <rFont val="Calibri"/>
        <family val="2"/>
      </rPr>
      <t>slw.T</t>
    </r>
  </si>
  <si>
    <r>
      <rPr>
        <sz val="10"/>
        <rFont val="Calibri"/>
        <family val="2"/>
      </rPr>
      <t>MTCaw.air.aT</t>
    </r>
  </si>
  <si>
    <r>
      <rPr>
        <sz val="10"/>
        <rFont val="Calibri"/>
        <family val="2"/>
      </rPr>
      <t>MTCaw.water.wT</t>
    </r>
  </si>
  <si>
    <r>
      <rPr>
        <sz val="10"/>
        <rFont val="Calibri"/>
        <family val="2"/>
      </rPr>
      <t>MTCas.air.aT</t>
    </r>
  </si>
  <si>
    <r>
      <rPr>
        <sz val="10"/>
        <rFont val="Calibri"/>
        <family val="2"/>
      </rPr>
      <t>MTCas.soil.sT</t>
    </r>
  </si>
  <si>
    <t>Output table 2: Steady-state mass flows (kg.s-1)</t>
  </si>
  <si>
    <r>
      <t>K</t>
    </r>
    <r>
      <rPr>
        <sz val="10"/>
        <rFont val="Calibri"/>
        <family val="2"/>
      </rPr>
      <t>slw.M</t>
    </r>
  </si>
  <si>
    <r>
      <t>K</t>
    </r>
    <r>
      <rPr>
        <sz val="10"/>
        <rFont val="Calibri"/>
        <family val="2"/>
      </rPr>
      <t>slw.A</t>
    </r>
  </si>
  <si>
    <t>fresh water</t>
  </si>
  <si>
    <t>default substance</t>
  </si>
  <si>
    <t>default scenario</t>
  </si>
  <si>
    <t>neutral</t>
  </si>
  <si>
    <t>acid</t>
  </si>
  <si>
    <t>base</t>
  </si>
  <si>
    <t xml:space="preserve">/ / / / / / / / / / </t>
  </si>
  <si>
    <t>/ / / / / / / / / /</t>
  </si>
  <si>
    <t>Agricultural soil:</t>
  </si>
  <si>
    <t xml:space="preserve">   Fresh water lake</t>
  </si>
  <si>
    <t xml:space="preserve">   Surface sea water</t>
  </si>
  <si>
    <t xml:space="preserve">   Deep sea water</t>
  </si>
  <si>
    <t>Formula/value</t>
  </si>
  <si>
    <t>Variable name</t>
  </si>
  <si>
    <r>
      <t>[m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</si>
  <si>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</si>
  <si>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[km</t>
    </r>
    <r>
      <rPr>
        <vertAlign val="superscript"/>
        <sz val="10"/>
        <rFont val="Calibri"/>
        <family val="2"/>
      </rPr>
      <t>2</t>
    </r>
    <r>
      <rPr>
        <sz val="10"/>
        <rFont val="Calibri"/>
        <family val="2"/>
      </rPr>
      <t>]</t>
    </r>
  </si>
  <si>
    <r>
      <t>[CFU.mL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</si>
  <si>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[cm</t>
    </r>
    <r>
      <rPr>
        <vertAlign val="superscript"/>
        <sz val="10"/>
        <rFont val="Calibri"/>
        <family val="2"/>
      </rPr>
      <t>-3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</si>
  <si>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2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</si>
  <si>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[t.yr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</si>
  <si>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FRAC</t>
    </r>
    <r>
      <rPr>
        <sz val="10"/>
        <rFont val="Calibri"/>
        <family val="2"/>
      </rPr>
      <t>aers.aC</t>
    </r>
  </si>
  <si>
    <r>
      <t>FRAC</t>
    </r>
    <r>
      <rPr>
        <sz val="10"/>
        <rFont val="Calibri"/>
        <family val="2"/>
      </rPr>
      <t>aerw.aC</t>
    </r>
  </si>
  <si>
    <r>
      <t>[kJ.mol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</si>
  <si>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</si>
  <si>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[cm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</si>
  <si>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w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</t>
    </r>
    <r>
      <rPr>
        <sz val="10"/>
        <rFont val="Calibri"/>
        <family val="2"/>
      </rPr>
      <t>]</t>
    </r>
  </si>
  <si>
    <r>
      <t>[L.kg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</si>
  <si>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[kg.m</t>
    </r>
    <r>
      <rPr>
        <vertAlign val="superscript"/>
        <sz val="10"/>
        <rFont val="Calibri"/>
        <family val="2"/>
      </rPr>
      <t>-3</t>
    </r>
    <r>
      <rPr>
        <sz val="10"/>
        <rFont val="Calibri"/>
        <family val="2"/>
      </rPr>
      <t>]</t>
    </r>
  </si>
  <si>
    <r>
      <t>[mg.L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</si>
  <si>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C]</t>
    </r>
  </si>
  <si>
    <r>
      <t>[m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]</t>
    </r>
  </si>
  <si>
    <t>=((1/kdry.A)*tdry.A/(tdry.A+twet.A)+(1/kwet.A)*twet.A/(tdry.A+twet.A)-((1/kwet.A-1/kdry.A)^2/(tdry.A+twet.A))*(1-EXP(-kdry.A*tdry.A))*(1-EXP(-kwet.A*twet.A))/(1-EXP(-kdry.A*tdry.A-kwet.A*twet.A)))^-1</t>
  </si>
  <si>
    <t>=((1/kdry.C)*tdry.C/(tdry.C+twet.C)+(1/kwet.C)*twet.C/(tdry.C+twet.C)-((1/kwet.C-1/kdry.C)^2/(tdry.C+twet.C))*(1-EXP(-kdry.C*tdry.C))*(1-EXP(-kwet.C*twet.C))/(1-EXP(-kdry.C*tdry.C-kwet.C*twet.C)))^-1</t>
  </si>
  <si>
    <t>=((1/kdry.M)*tdry.M/(tdry.M+twet.M)+(1/kwet.M)*twet.M/(tdry.M+twet.M)-((1/kwet.M-1/kdry.M)^2/(tdry.M+twet.M))*(1-EXP(-kdry.M*tdry.M))*(1-EXP(-kwet.M*twet.M))/(1-EXP(-kdry.M*tdry.M-kwet.M*twet.M)))^-1</t>
  </si>
  <si>
    <t>=((1/kdry.R)*tdry.R/(tdry.R+twet.R)+(1/kwet.R)*twet.R/(tdry.R+twet.R)-((1/kwet.R-1/kdry.R)^2/(tdry.R+twet.R))*(1-EXP(-kdry.R*tdry.R))*(1-EXP(-kwet.R*twet.R))/(1-EXP(-kdry.R*tdry.R-kwet.R*twet.R)))^-1</t>
  </si>
  <si>
    <t>=((1/kdry.T)*tdry.T/(tdry.T+twet.T)+(1/kwet.T)*twet.T/(tdry.T+twet.T)-((1/kwet.T-1/kdry.T)^2/(tdry.T+twet.T))*(1-EXP(-kdry.T*tdry.T))*(1-EXP(-kwet.T*twet.T))/(1-EXP(-kdry.T*tdry.T-kwet.T*twet.T)))^-1</t>
  </si>
  <si>
    <t>=IF(ChemClass="Acid";1/(1+10^(7-pKa));IF(ChemClass="Base";1/(1+10^(pKa-7));1))*Kow + (1-IF(ChemClass="Acid";1/(1+10^(7-pKa));IF(ChemClass="Base";1/(1+10^(pKa-7));1)))*Kow.alt</t>
  </si>
  <si>
    <t>=(CORRvolat.s1C*SURFfrac.s1C)+((EXP((-1/0,1)*DEPTHsubsurf.s1C)*(1/0,1)*DEPTH.s1C/(1-EXP((-1/0,1)*DEPTH.s1C)))*SUBSURFfrac.s1C)+((EXP((-1/0,1)*DEPTHdrain.s1C)*(1/0,1)*DEPTH.s1C/(1-EXP((-1/0,1)*DEPTH.s1C)))*DRAINfrac.s1C)</t>
  </si>
  <si>
    <t>=(CORRvolat.s1R*SURFfrac.s1R)+((EXP((-1/0,1)*DEPTHsubsurf.s1R)*(1/0,1)*DEPTH.s1R/(1-EXP((-1/0,1)*DEPTH.s1R)))*SUBSURFfrac.s1R)+((EXP((-1/0,1)*DEPTHdrain.s1R)*(1/0,1)*DEPTH.s1R/(1-EXP((-1/0,1)*DEPTH.s1R)))*DRAINfrac.s1R)</t>
  </si>
  <si>
    <t>=(CORRvolat.s2C*SURFfrac.s2C)+((EXP((-1/0,1)*DEPTHsubsurf.s2C)*(1/0,1)*DEPTH.s2C/(1-EXP((-1/0,1)*DEPTH.s2C)))*SUBSURFfrac.s2C)+((EXP((-1/0,1)*DEPTHdrain.s2C)*(1/0,1)*DEPTH.s2C/(1-EXP((-1/0,1)*DEPTH.s2C)))*DRAINfrac.s2C)</t>
  </si>
  <si>
    <t>=(CORRvolat.s2R*SURFfrac.s2R)+((EXP((-1/0,1)*DEPTHsubsurf.s2R)*(1/0,1)*DEPTH.s2R/(1-EXP((-1/0,1)*DEPTH.s2R)))*SUBSURFfrac.s2R)+((EXP((-1/0,1)*DEPTHdrain.s2R)*(1/0,1)*DEPTH.s2R/(1-EXP((-1/0,1)*DEPTH.s2R)))*DRAINfrac.s2R)</t>
  </si>
  <si>
    <t>=(CORRvolat.s3C*SURFfrac.s3C)+((EXP((-1/0,1)*DEPTHsubsurf.s3C)*(1/0,1)*DEPTH.s3C/(1-EXP((-1/0,1)*DEPTH.s3C)))*SUBSURFfrac.s3C)+((EXP((-1/0,1)*DEPTHdrain.s3C)*(1/0,1)*DEPTH.s3C/(1-EXP((-1/0,1)*DEPTH.s3C)))*DRAINfrac.s3C)</t>
  </si>
  <si>
    <t>=(CORRvolat.s3R*SURFfrac.s3R)+((EXP((-1/0,1)*DEPTHsubsurf.s3R)*(1/0,1)*DEPTH.s3R/(1-EXP((-1/0,1)*DEPTH.s3R)))*SUBSURFfrac.s3R)+((EXP((-1/0,1)*DEPTHdrain.s3R)*(1/0,1)*DEPTH.s3R/(1-EXP((-1/0,1)*DEPTH.s3R)))*DRAINfrac.s3R)</t>
  </si>
  <si>
    <t>7440-66-6</t>
  </si>
  <si>
    <t>EMISSION to water0</t>
  </si>
  <si>
    <t>E.w0R</t>
  </si>
  <si>
    <t>EMISSION to lake water</t>
  </si>
  <si>
    <t>E.w0C</t>
  </si>
  <si>
    <r>
      <t>[g.mol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</si>
  <si>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Apparent o</t>
    </r>
    <r>
      <rPr>
        <sz val="10"/>
        <rFont val="Calibri"/>
        <family val="2"/>
      </rPr>
      <t>ctanol/water PARTITION COEFFICIENT at neutral pH</t>
    </r>
  </si>
  <si>
    <r>
      <t xml:space="preserve">Water SOLUBILITY </t>
    </r>
    <r>
      <rPr>
        <sz val="10"/>
        <rFont val="Calibri"/>
        <family val="2"/>
      </rPr>
      <t xml:space="preserve">of neutral species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</si>
  <si>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Gas phase degradation RATE CONSTANT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</si>
  <si>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Dissolved phase degradation RATE CONSTANT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</si>
  <si>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RATE INCREASE factor per 10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</si>
  <si>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Bulk degradation RATE CONSTANT standard sediment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</si>
  <si>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Bulk degradation RATE CONSTANT standard soil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</si>
  <si>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t>[kg.m-3]</t>
  </si>
  <si>
    <t>[J.mol-1]</t>
  </si>
  <si>
    <r>
      <t>[J.mol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</si>
  <si>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[kg.L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</si>
  <si>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2</t>
    </r>
    <r>
      <rPr>
        <sz val="10"/>
        <rFont val="Calibri"/>
        <family val="2"/>
      </rPr>
      <t>]</t>
    </r>
  </si>
  <si>
    <r>
      <t>[K</t>
    </r>
    <r>
      <rPr>
        <sz val="10"/>
        <rFont val="Calibri"/>
        <family val="2"/>
      </rPr>
      <t>]</t>
    </r>
  </si>
  <si>
    <t>H.A. den Hollander et al. SimpleBox 3.0: multimedia mass balance model for evaluating the fate of chemicals in the environment. RIVM report 601200003 (2004)</t>
  </si>
  <si>
    <t>L.J. Brandes et al. SimpleBox 2.0: a nested multimedia fate model for evaluating the environmental fate of chemicals.  RIVM report 719101 029 (1996)</t>
  </si>
  <si>
    <t>neutral organic</t>
  </si>
  <si>
    <t>organic acid</t>
  </si>
  <si>
    <t>organic base</t>
  </si>
  <si>
    <t>trace metal</t>
  </si>
  <si>
    <t>metal</t>
  </si>
  <si>
    <t>USA Mid Atlantic</t>
  </si>
  <si>
    <t>USA New England</t>
  </si>
  <si>
    <t>USA - EN Central</t>
  </si>
  <si>
    <t>USA - WN Central</t>
  </si>
  <si>
    <t>USA South Atlantic</t>
  </si>
  <si>
    <t>USA ES Central</t>
  </si>
  <si>
    <t>USA WS Central</t>
  </si>
  <si>
    <t>USA Mountain</t>
  </si>
  <si>
    <t>USA Pacific</t>
  </si>
  <si>
    <t>CAN Nfld and Lbrdr</t>
  </si>
  <si>
    <t>CAN Atl Maritime</t>
  </si>
  <si>
    <t>CAN Québec</t>
  </si>
  <si>
    <t>CAN Ontario</t>
  </si>
  <si>
    <t>CAN Manitoba</t>
  </si>
  <si>
    <t>CAN Ssktchwn</t>
  </si>
  <si>
    <t>CAN Alberta</t>
  </si>
  <si>
    <t>CAN BC</t>
  </si>
  <si>
    <t>median substance SimpleBox vs 3</t>
  </si>
  <si>
    <t>SUBSTANCE PROPERTIES</t>
  </si>
  <si>
    <t>LANDSCAPE SETTINGS</t>
  </si>
  <si>
    <t>QSAR table equilibrium constants</t>
  </si>
  <si>
    <t>Koc(orig)</t>
  </si>
  <si>
    <t>Koc(alt)</t>
  </si>
  <si>
    <t>Kh(orig)</t>
  </si>
  <si>
    <t>Kh(alt)</t>
  </si>
  <si>
    <t>LOOK-UP TABLE PICKER</t>
  </si>
  <si>
    <t>all</t>
  </si>
  <si>
    <t>Steady-state mass distribution</t>
  </si>
  <si>
    <t>Import + export</t>
  </si>
  <si>
    <t>Advective + diffusive exhange</t>
  </si>
  <si>
    <t>Marine sed</t>
  </si>
  <si>
    <t>Seawater</t>
  </si>
  <si>
    <t>Freshw sed</t>
  </si>
  <si>
    <t xml:space="preserve">                  Nat. soil</t>
  </si>
  <si>
    <t>Agric. soil</t>
  </si>
  <si>
    <t>dation</t>
  </si>
  <si>
    <t>Degra</t>
  </si>
  <si>
    <t>Freshw Lake</t>
  </si>
  <si>
    <t>Deep sea</t>
  </si>
  <si>
    <t>Soil</t>
  </si>
  <si>
    <t>GLOBAL SCALE</t>
  </si>
  <si>
    <t>Mass flows in kg.s-1</t>
  </si>
  <si>
    <t>Removal, degradation</t>
  </si>
  <si>
    <t>Graphic output: steady-state mass flows</t>
  </si>
  <si>
    <t>Modedrate zone</t>
  </si>
  <si>
    <t>Arctic zone</t>
  </si>
  <si>
    <t>Tropical zone</t>
  </si>
  <si>
    <t>Moderate</t>
  </si>
  <si>
    <t>Arctic</t>
  </si>
  <si>
    <t>Tropic</t>
  </si>
  <si>
    <t xml:space="preserve">   Reg</t>
  </si>
  <si>
    <t xml:space="preserve">   Masses (kg)</t>
  </si>
  <si>
    <t xml:space="preserve">   Cont</t>
  </si>
  <si>
    <t xml:space="preserve">   Mod</t>
  </si>
  <si>
    <t xml:space="preserve">   Arct</t>
  </si>
  <si>
    <t xml:space="preserve">   Trop</t>
  </si>
  <si>
    <t>Franco et al., 2011</t>
  </si>
  <si>
    <t>Götz/Harner</t>
  </si>
  <si>
    <t>=FRACaers.aA *Kaers.aA/(1+FRACaerw.aA*Kaerw.aA+FRACaers.aA*Kaers.aA)</t>
  </si>
  <si>
    <t>=FRACaers.aC *Kaers.aC/(1+FRACaerw.aC*Kaerw.aC+FRACaers.aC*Kaers.aC)</t>
  </si>
  <si>
    <t>=FRACaers.aM *Kaers.aM/(1+FRACaerw.aM*Kaerw.aM+FRACaers.aM*Kaers.aM)</t>
  </si>
  <si>
    <t>=FRACaers.aR*Kaers.aR/(1+FRACaerw.aR*Kaerw.aR+FRACaers.aR*Kaers.aR)</t>
  </si>
  <si>
    <t>=FRACaers.aT *Kaers.aT/(1+FRACaerw.aT*Kaerw.aT+FRACaers.aT*Kaers.aT)</t>
  </si>
  <si>
    <t>current settings</t>
  </si>
  <si>
    <t>[hr]</t>
  </si>
  <si>
    <t xml:space="preserve"> Reg</t>
  </si>
  <si>
    <t xml:space="preserve"> Cont</t>
  </si>
  <si>
    <t xml:space="preserve"> Mod</t>
  </si>
  <si>
    <t xml:space="preserve"> Arct</t>
  </si>
  <si>
    <t xml:space="preserve"> Trop</t>
  </si>
  <si>
    <t>Continental Scale</t>
  </si>
  <si>
    <t>defaults only</t>
  </si>
  <si>
    <t>EUSES settings</t>
  </si>
  <si>
    <t>SimpleBox 3.32</t>
  </si>
  <si>
    <r>
      <t>[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C]</t>
    </r>
  </si>
  <si>
    <t>+ lake</t>
  </si>
  <si>
    <t>+ H0vap</t>
  </si>
  <si>
    <t>+ soil depth</t>
  </si>
  <si>
    <t>+ deep ocean</t>
  </si>
  <si>
    <t>+ intercmp exchng</t>
  </si>
  <si>
    <t>Database</t>
  </si>
  <si>
    <t>row nr</t>
  </si>
  <si>
    <t>mol</t>
  </si>
  <si>
    <t>Output table 3:  series calculations</t>
  </si>
  <si>
    <t>VOLATILIZATION flux from lake water</t>
  </si>
  <si>
    <t>VOLATILIZATION flux from fresh water</t>
  </si>
  <si>
    <t>VOLATILIZATION flux from sea water</t>
  </si>
  <si>
    <t>VOLATILIZATION flux from natural soil</t>
  </si>
  <si>
    <t>VOLATILIZATION flux from agricultural soil</t>
  </si>
  <si>
    <t>VOLATILIZATION flux from other soil</t>
  </si>
  <si>
    <t>GAS ABSORPTION flux to water</t>
  </si>
  <si>
    <t>GAS ABSORPTION flux to soil</t>
  </si>
  <si>
    <t>GASABS.aR.wR</t>
  </si>
  <si>
    <t>VOLAT.w0R.aR</t>
  </si>
  <si>
    <t>VOLAT.w1R.aR</t>
  </si>
  <si>
    <t>VOLAT.w2R.aR</t>
  </si>
  <si>
    <t>GASABS.aR.sR</t>
  </si>
  <si>
    <t>VOLAT.s1R.aR</t>
  </si>
  <si>
    <t>VOLAT.s2R.aR</t>
  </si>
  <si>
    <t>VOLAT.s3R.aR</t>
  </si>
  <si>
    <t>Correction factor depth-dependency soil concentrations</t>
  </si>
  <si>
    <t>INTERMEDIA PARTITIONING</t>
  </si>
  <si>
    <t>SEDIMENTATION flux to fresh water sediment</t>
  </si>
  <si>
    <t>RESUSPENSION flux from freshwater sediment</t>
  </si>
  <si>
    <t>SEDIMENTATION flux to marine sediment</t>
  </si>
  <si>
    <t>RESUSPENSION flux from marine sediment</t>
  </si>
  <si>
    <t>ADSORPTION flux to fresh water sediment</t>
  </si>
  <si>
    <t>DESORPTION flux from fresh water sediment</t>
  </si>
  <si>
    <t>ADSORPTION flux to marine sediment</t>
  </si>
  <si>
    <t>DESORPTION flux from marine sediment</t>
  </si>
  <si>
    <t>GASABS.aC.wC</t>
  </si>
  <si>
    <t>GASABS.aC.sC</t>
  </si>
  <si>
    <t>VOLAT.w0C.aC</t>
  </si>
  <si>
    <t>VOLAT.w1C.aC</t>
  </si>
  <si>
    <t>VOLAT.w2C.aC</t>
  </si>
  <si>
    <t>VOLAT.s1C.aC</t>
  </si>
  <si>
    <t>VOLAT.s2C.aC</t>
  </si>
  <si>
    <t>VOLAT.s3C.aC</t>
  </si>
  <si>
    <t>SED.w1C.sd1C</t>
  </si>
  <si>
    <t>RESUSP.sd1C.w1C</t>
  </si>
  <si>
    <t>SED.w2C.sd2C</t>
  </si>
  <si>
    <t>RESUSP.sd2C.w2C</t>
  </si>
  <si>
    <t>ADSORB.w1C.sd1C</t>
  </si>
  <si>
    <t>DESORB.sd1C.w1C</t>
  </si>
  <si>
    <t>ADSORB.w2C.sd2C</t>
  </si>
  <si>
    <t>DESORB.sd2C.w2C</t>
  </si>
  <si>
    <t>SED.w1R.sd1R</t>
  </si>
  <si>
    <t>RESUSP.sd1R.w1R</t>
  </si>
  <si>
    <t>SED.w2R.sd2R</t>
  </si>
  <si>
    <t>RESUSP.sd2R.w2R</t>
  </si>
  <si>
    <t>ADSORB.w1R.sd1R</t>
  </si>
  <si>
    <t>DESORB.sd1R.w1R</t>
  </si>
  <si>
    <t>ADSORB.w2R.sd2R</t>
  </si>
  <si>
    <t>DESORB.sd2R.w2R</t>
  </si>
  <si>
    <t>MeanRem.aR</t>
  </si>
  <si>
    <t>MeanDep.R</t>
  </si>
  <si>
    <t>MeanDep.C</t>
  </si>
  <si>
    <t>MeanRem.aC</t>
  </si>
  <si>
    <t>MEAN atmospheric deposition rate constant</t>
  </si>
  <si>
    <t>Mean removal rate constant from atmosphere</t>
  </si>
  <si>
    <t>GASABS.aM.wM</t>
  </si>
  <si>
    <t>GASABS.aM.sM</t>
  </si>
  <si>
    <t>VOLATILIZATION flux from ocean water</t>
  </si>
  <si>
    <t>VOLAT.w2M.aM</t>
  </si>
  <si>
    <t>VOLATILIZATION flux from soil</t>
  </si>
  <si>
    <t>SEDIMENTATION flux to deep ocean sediment</t>
  </si>
  <si>
    <t>RESUSPENSION flux from deep ocean sediment</t>
  </si>
  <si>
    <t>ADSORPTION flux to deep ocean sediment</t>
  </si>
  <si>
    <t>DESORPTION flux from deep ocean sediment</t>
  </si>
  <si>
    <t>SED.w3M.sdM</t>
  </si>
  <si>
    <t>RESUSP.sdM.w3M</t>
  </si>
  <si>
    <t>ADSORB.w3M.sdM</t>
  </si>
  <si>
    <t>DESORB.sdM.w3M</t>
  </si>
  <si>
    <t>MeanDep.M</t>
  </si>
  <si>
    <t>MeanRem.aM</t>
  </si>
  <si>
    <t>MeanDep.A</t>
  </si>
  <si>
    <t>MeanRem.aA</t>
  </si>
  <si>
    <t>GASABS.aA.wA</t>
  </si>
  <si>
    <t>GASABS.aA.sA</t>
  </si>
  <si>
    <t>VOLAT.w2A.aA</t>
  </si>
  <si>
    <t>VOLAT.sM.aM</t>
  </si>
  <si>
    <t>VOLAT.sA.aA</t>
  </si>
  <si>
    <t>SED.w3A.sdA</t>
  </si>
  <si>
    <t>RESUSP.sdA.w3A</t>
  </si>
  <si>
    <t>ADSORB.w3A.sdA</t>
  </si>
  <si>
    <t>DESORB.sdA.w3A</t>
  </si>
  <si>
    <t>MeanDep.T</t>
  </si>
  <si>
    <t>MeanRem.aT</t>
  </si>
  <si>
    <t>GASABS.aT.wT</t>
  </si>
  <si>
    <t>GASABS.aT.sT</t>
  </si>
  <si>
    <t>VOLAT.w2T.aT</t>
  </si>
  <si>
    <t>VOLAT.sT.aT</t>
  </si>
  <si>
    <t>SED.w3T.sdT</t>
  </si>
  <si>
    <t>RESUSP.sdT.w3T</t>
  </si>
  <si>
    <t>ADSORB.w3T.sdT</t>
  </si>
  <si>
    <t>DESORB.sdT.w3T</t>
  </si>
  <si>
    <r>
      <t>[g.mol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</si>
  <si>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[kJ.mol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</si>
  <si>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[mg.L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</si>
  <si>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C]</t>
    </r>
  </si>
  <si>
    <r>
      <t>[s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</si>
  <si>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[cm</t>
    </r>
    <r>
      <rPr>
        <vertAlign val="superscript"/>
        <sz val="10"/>
        <rFont val="Calibri"/>
        <family val="2"/>
      </rPr>
      <t>-3</t>
    </r>
    <r>
      <rPr>
        <sz val="10"/>
        <rFont val="Calibri"/>
        <family val="2"/>
      </rPr>
      <t>]</t>
    </r>
  </si>
  <si>
    <r>
      <t>[cm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</si>
  <si>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[CFU.mL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</si>
  <si>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[t.yr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</si>
  <si>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[km</t>
    </r>
    <r>
      <rPr>
        <vertAlign val="superscript"/>
        <sz val="10"/>
        <rFont val="Calibri"/>
        <family val="2"/>
      </rPr>
      <t>2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</si>
  <si>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2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</si>
  <si>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[kg.m</t>
    </r>
    <r>
      <rPr>
        <vertAlign val="superscript"/>
        <sz val="10"/>
        <rFont val="Calibri"/>
        <family val="2"/>
      </rPr>
      <t>-3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</si>
  <si>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</si>
  <si>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</si>
  <si>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w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</si>
  <si>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aerw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</si>
  <si>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aers</t>
    </r>
    <r>
      <rPr>
        <sz val="10"/>
        <rFont val="Calibri"/>
        <family val="2"/>
      </rPr>
      <t>]</t>
    </r>
  </si>
  <si>
    <r>
      <t>[L.kg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</si>
  <si>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</si>
  <si>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</t>
    </r>
    <r>
      <rPr>
        <sz val="10"/>
        <rFont val="Calibri"/>
        <family val="2"/>
      </rPr>
      <t>m.s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</si>
  <si>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[g.m</t>
    </r>
    <r>
      <rPr>
        <vertAlign val="superscript"/>
        <sz val="10"/>
        <rFont val="Calibri"/>
        <family val="2"/>
      </rPr>
      <t>-2</t>
    </r>
    <r>
      <rPr>
        <sz val="10"/>
        <rFont val="Calibri"/>
        <family val="2"/>
      </rPr>
      <t>.yr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</si>
  <si>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[mm.yr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</si>
  <si>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t>yr</t>
  </si>
  <si>
    <t>Pov</t>
  </si>
  <si>
    <t>vs 4.0</t>
  </si>
  <si>
    <t>time</t>
  </si>
  <si>
    <r>
      <t>Mt</t>
    </r>
    <r>
      <rPr>
        <sz val="10"/>
        <rFont val="Calibri"/>
        <family val="2"/>
      </rPr>
      <t xml:space="preserve"> [mol]</t>
    </r>
  </si>
  <si>
    <r>
      <rPr>
        <i/>
        <sz val="10"/>
        <rFont val="Calibri"/>
        <family val="2"/>
      </rPr>
      <t>m0</t>
    </r>
    <r>
      <rPr>
        <sz val="10"/>
        <rFont val="Calibri"/>
        <family val="2"/>
      </rPr>
      <t xml:space="preserve"> [mol]</t>
    </r>
  </si>
  <si>
    <r>
      <rPr>
        <i/>
        <sz val="10"/>
        <rFont val="Calibri"/>
        <family val="2"/>
      </rPr>
      <t>e1</t>
    </r>
    <r>
      <rPr>
        <sz val="10"/>
        <rFont val="Calibri"/>
        <family val="2"/>
      </rPr>
      <t xml:space="preserve"> [mol.s-1]</t>
    </r>
  </si>
  <si>
    <r>
      <rPr>
        <i/>
        <sz val="10"/>
        <rFont val="Calibri"/>
        <family val="2"/>
      </rPr>
      <t>e2</t>
    </r>
    <r>
      <rPr>
        <sz val="10"/>
        <rFont val="Calibri"/>
        <family val="2"/>
      </rPr>
      <t xml:space="preserve"> [mol.s-1]</t>
    </r>
  </si>
  <si>
    <t>Total AMOUNTS in compartments as function of time</t>
  </si>
  <si>
    <t>scale</t>
  </si>
  <si>
    <t>MODEL MATRIX</t>
  </si>
  <si>
    <t>to aR (s-1)</t>
  </si>
  <si>
    <t>to w0R (s-1)</t>
  </si>
  <si>
    <t>to w1R (s-1)</t>
  </si>
  <si>
    <t>to w2R (s-1)</t>
  </si>
  <si>
    <t>to sd1R (s-1)</t>
  </si>
  <si>
    <t>to sd2R (s-1)</t>
  </si>
  <si>
    <t>to s1R (s-1)</t>
  </si>
  <si>
    <t>to s2R (s-1)</t>
  </si>
  <si>
    <t>to s3R (s-1)</t>
  </si>
  <si>
    <t>to aC (s-1)</t>
  </si>
  <si>
    <t>to w0C (s-1)</t>
  </si>
  <si>
    <t>to w1C (s-1)</t>
  </si>
  <si>
    <t>to w2C (s-1)</t>
  </si>
  <si>
    <t>to sd1C (s-1)</t>
  </si>
  <si>
    <t>to sd2C (s-1)</t>
  </si>
  <si>
    <t>to s1C (s-1)</t>
  </si>
  <si>
    <t>to s2C (s-1)</t>
  </si>
  <si>
    <t>to s3C (s-1)</t>
  </si>
  <si>
    <t>to aM (s-1)</t>
  </si>
  <si>
    <t>to w2M (s-1)</t>
  </si>
  <si>
    <t>to w3M (s-1)</t>
  </si>
  <si>
    <t>to sdM (s-1)</t>
  </si>
  <si>
    <t>to sM (s-1)</t>
  </si>
  <si>
    <t>to aA (s-1)</t>
  </si>
  <si>
    <t>to w2A (s-1)</t>
  </si>
  <si>
    <t>to w3A (s-1)</t>
  </si>
  <si>
    <t>to sdA (s-1)</t>
  </si>
  <si>
    <t>to sA (s-1)</t>
  </si>
  <si>
    <t>to aT (s-1)</t>
  </si>
  <si>
    <t>to w2T (s-1)</t>
  </si>
  <si>
    <t>to w3T (s-1)</t>
  </si>
  <si>
    <t>to sdT (s-1)</t>
  </si>
  <si>
    <t>to sT (s-1)</t>
  </si>
  <si>
    <t>MASS FLOWS (mol.s-1)</t>
  </si>
  <si>
    <t>to aR</t>
  </si>
  <si>
    <t>to w0R</t>
  </si>
  <si>
    <t>to w1R</t>
  </si>
  <si>
    <t>to w2R</t>
  </si>
  <si>
    <t>to sd1R</t>
  </si>
  <si>
    <t>to sd2R</t>
  </si>
  <si>
    <t>to s1R</t>
  </si>
  <si>
    <t>to s2R</t>
  </si>
  <si>
    <t>to s3R</t>
  </si>
  <si>
    <t>to aC</t>
  </si>
  <si>
    <t>to w0C</t>
  </si>
  <si>
    <t>to w1C</t>
  </si>
  <si>
    <t>to w2C</t>
  </si>
  <si>
    <t>to sd1C</t>
  </si>
  <si>
    <t>to sd2C</t>
  </si>
  <si>
    <t>to s1C</t>
  </si>
  <si>
    <t>to s2C</t>
  </si>
  <si>
    <t>to s3C</t>
  </si>
  <si>
    <t>to aM</t>
  </si>
  <si>
    <t>to w2M</t>
  </si>
  <si>
    <t>to w3M</t>
  </si>
  <si>
    <t>to sdM</t>
  </si>
  <si>
    <t>to sM</t>
  </si>
  <si>
    <t>to aA</t>
  </si>
  <si>
    <t>to w2A</t>
  </si>
  <si>
    <t>to w3A</t>
  </si>
  <si>
    <t>to sdA</t>
  </si>
  <si>
    <t>to sA</t>
  </si>
  <si>
    <t>to aT</t>
  </si>
  <si>
    <t>to w2T</t>
  </si>
  <si>
    <t>to w3T</t>
  </si>
  <si>
    <t>to sdT</t>
  </si>
  <si>
    <t>to sT</t>
  </si>
  <si>
    <t>vs 4.01</t>
  </si>
  <si>
    <t>External release 4.0 (beta test version)</t>
  </si>
  <si>
    <t>External release 4.01 (as 4.0, with bug- and lay-out fixes), as described by Hollander et al. (2015)</t>
  </si>
  <si>
    <t>Pov-units</t>
  </si>
  <si>
    <t xml:space="preserve">  max log(new/old)</t>
  </si>
  <si>
    <t/>
  </si>
  <si>
    <t xml:space="preserve">  Current case ('new')</t>
  </si>
  <si>
    <t xml:space="preserve">  Reference case (SB3.32; 'old')</t>
  </si>
  <si>
    <r>
      <t>mol.s-</t>
    </r>
    <r>
      <rPr>
        <sz val="10"/>
        <color rgb="FFFF0000"/>
        <rFont val="Calibri"/>
        <family val="2"/>
      </rPr>
      <t>1</t>
    </r>
  </si>
  <si>
    <t>RESMETHRIN</t>
  </si>
  <si>
    <t>10453-86-8</t>
  </si>
  <si>
    <t>DI-n-BUTYL TIN DIACETATE</t>
  </si>
  <si>
    <t>1067-33-0</t>
  </si>
  <si>
    <t>PENTANE-1,5-DIAL</t>
  </si>
  <si>
    <t>DIETHYLENE GLYCOL</t>
  </si>
  <si>
    <t>Ethylene glycol, monobutyl ether</t>
  </si>
  <si>
    <t>FENSULFOTHION</t>
  </si>
  <si>
    <t>115-90-2</t>
  </si>
  <si>
    <t>TETRADIFON</t>
  </si>
  <si>
    <t>116-29-0</t>
  </si>
  <si>
    <t>9,10-Anthracenedione, 1,8-dihydroxy-</t>
  </si>
  <si>
    <t>117-10-2</t>
  </si>
  <si>
    <t>di-(2-ethylhexyl)-phthalate (DEHP)</t>
  </si>
  <si>
    <t>1,2,4-trichlorobenzene</t>
  </si>
  <si>
    <t>120-82-1</t>
  </si>
  <si>
    <t>Malathion</t>
  </si>
  <si>
    <t>121-75-5</t>
  </si>
  <si>
    <t>TERBUFOS</t>
  </si>
  <si>
    <t>13071-79-9</t>
  </si>
  <si>
    <t>DIALLYLPHTHALATE</t>
  </si>
  <si>
    <t>131-17-9</t>
  </si>
  <si>
    <t>PHOSPHONIC ACID, METHYL-, DIISOPROPYL ESTER</t>
  </si>
  <si>
    <t>1445-75-6</t>
  </si>
  <si>
    <t>Carbofuran</t>
  </si>
  <si>
    <t>1563-66-2</t>
  </si>
  <si>
    <t>Methyl t-butyl ether</t>
  </si>
  <si>
    <t>Bromoxynil octanoate</t>
  </si>
  <si>
    <t>1689-99-2</t>
  </si>
  <si>
    <t>PENTACHLOROANISOLE</t>
  </si>
  <si>
    <t>1825-21-4</t>
  </si>
  <si>
    <t>NITROFEN</t>
  </si>
  <si>
    <t>1836-75-5</t>
  </si>
  <si>
    <t>CYANAZINE</t>
  </si>
  <si>
    <t>21725-46-2</t>
  </si>
  <si>
    <t>CAPTAFOL</t>
  </si>
  <si>
    <t>191-90-6</t>
  </si>
  <si>
    <t>ISOBENZAN</t>
  </si>
  <si>
    <t>297-78-9</t>
  </si>
  <si>
    <t>Parathion-methyl</t>
  </si>
  <si>
    <t>298-00-0</t>
  </si>
  <si>
    <t>RONNEL</t>
  </si>
  <si>
    <t>299-84-3</t>
  </si>
  <si>
    <t>NALED</t>
  </si>
  <si>
    <t>300-76-5</t>
  </si>
  <si>
    <t>Aldrin</t>
  </si>
  <si>
    <t>309-00-2</t>
  </si>
  <si>
    <t>SULFOTEPP</t>
  </si>
  <si>
    <t>3689-24-5</t>
  </si>
  <si>
    <t>FENPROPATHRIN</t>
  </si>
  <si>
    <t>39515-41-8</t>
  </si>
  <si>
    <t>METHOPRENE</t>
  </si>
  <si>
    <t>40596-69-8</t>
  </si>
  <si>
    <t>PROFENOFOS</t>
  </si>
  <si>
    <t>41198-08-7</t>
  </si>
  <si>
    <t>1,4-DITHIANE</t>
  </si>
  <si>
    <t>505-29-3</t>
  </si>
  <si>
    <t>DELTAMETHRIN</t>
  </si>
  <si>
    <t>52918-63-5</t>
  </si>
  <si>
    <t>2-Chloroacetophenone</t>
  </si>
  <si>
    <t>532-27-4</t>
  </si>
  <si>
    <t>FENTHION</t>
  </si>
  <si>
    <t>55-38-9</t>
  </si>
  <si>
    <t>carbon tetrachloride (CCl4)</t>
  </si>
  <si>
    <t>BIS(TRI-N-BUTYLTIN) OXIDE</t>
  </si>
  <si>
    <t>56-35-9</t>
  </si>
  <si>
    <t>FLURPRIMIDOL</t>
  </si>
  <si>
    <t>56425-91-3</t>
  </si>
  <si>
    <t>TOLCLOFOS-METHYL</t>
  </si>
  <si>
    <t>57018-04-9</t>
  </si>
  <si>
    <t>alpha-Cypermethrin</t>
  </si>
  <si>
    <t>67375-30-8</t>
  </si>
  <si>
    <t>CYFLUTHRIN</t>
  </si>
  <si>
    <t>68359-37-5</t>
  </si>
  <si>
    <t>1,1-DICHLORO-2,2-BIS(ETHYLPHENYL)ETHANE</t>
  </si>
  <si>
    <t>72-56-0</t>
  </si>
  <si>
    <t>PHOSMET</t>
  </si>
  <si>
    <t>732-11-6</t>
  </si>
  <si>
    <t>Ethylene oxide</t>
  </si>
  <si>
    <t>75-21-8</t>
  </si>
  <si>
    <t>IODOFORM</t>
  </si>
  <si>
    <t>75-47-8</t>
  </si>
  <si>
    <t>Chloropicrin</t>
  </si>
  <si>
    <t>76-06-2</t>
  </si>
  <si>
    <t>MEVINPHOS</t>
  </si>
  <si>
    <t>7786-34-7</t>
  </si>
  <si>
    <t>CHLORFENSON</t>
  </si>
  <si>
    <t>80-33-1</t>
  </si>
  <si>
    <t>ETOFENPROX</t>
  </si>
  <si>
    <t>80844-07-1</t>
  </si>
  <si>
    <t>FENTIN ACETATE</t>
  </si>
  <si>
    <t>900-95-8</t>
  </si>
  <si>
    <t>DEMETON-S-METHYL</t>
  </si>
  <si>
    <t>919-86-8</t>
  </si>
  <si>
    <t>2-CHLOROTOLUENE</t>
  </si>
  <si>
    <t>95-49-8</t>
  </si>
  <si>
    <t>Styrene oxide</t>
  </si>
  <si>
    <t>96-09-3</t>
  </si>
  <si>
    <t>GAMMA-BUTYROLACTONE</t>
  </si>
  <si>
    <t>CHLORMEQUAT CHLORIDE</t>
  </si>
  <si>
    <t>999-81-5</t>
  </si>
  <si>
    <t>ANETHOLE</t>
  </si>
  <si>
    <t>104-46-1</t>
  </si>
  <si>
    <t>2-Cyclohexen-1-one, 2-methyl-5-(1-methylethenyl)</t>
  </si>
  <si>
    <t>2244-16-8</t>
  </si>
  <si>
    <t>1,1,1-TRIFLUORO-2-CHLOROETHANE</t>
  </si>
  <si>
    <t>75-88-7</t>
  </si>
  <si>
    <t>CHLOROFLUOROMETHANE</t>
  </si>
  <si>
    <t>593-70-4</t>
  </si>
  <si>
    <t>trans-Cinnamaldehyde</t>
  </si>
  <si>
    <t>14371-10-9</t>
  </si>
  <si>
    <t>O,P'-DDD</t>
  </si>
  <si>
    <t>53-19-0</t>
  </si>
  <si>
    <t>Benzene, 1,1'-sulfonylbis 4-chloro-</t>
  </si>
  <si>
    <t>80-07-9</t>
  </si>
  <si>
    <t>1,2:3,4-DIEPOXYBUTANE DL</t>
  </si>
  <si>
    <t>298-18-0</t>
  </si>
  <si>
    <t>DIFTALONE</t>
  </si>
  <si>
    <t>21626-89-1</t>
  </si>
  <si>
    <t>Oxirane, 2,2'- 1,3-phenylenebis(oxymethylene) bi</t>
  </si>
  <si>
    <t>101-90-6</t>
  </si>
  <si>
    <t>1-CHLORO-2-METHYLPROPENE</t>
  </si>
  <si>
    <t>513-37-1</t>
  </si>
  <si>
    <t>CARBONIC ACID, DIPHENYL ESTER</t>
  </si>
  <si>
    <t>102-09-0</t>
  </si>
  <si>
    <t>Benzene, 1-methoxy-4-(2-propenyl)-</t>
  </si>
  <si>
    <t>140-67-0</t>
  </si>
  <si>
    <t>Iodinated Glycerol</t>
  </si>
  <si>
    <t>5634-39-9</t>
  </si>
  <si>
    <t>1,3,4-Metheno-1H-cyclobuta[cd]pentalene, 1,1a,2,2,3,3a,4,5,5,5a,5b-undecachlorooctahydro- (9CI)</t>
  </si>
  <si>
    <t>39801-14-4</t>
  </si>
  <si>
    <t>MISOPROSTOL</t>
  </si>
  <si>
    <t>59122-46-2</t>
  </si>
  <si>
    <t>1-NITROBUTANE</t>
  </si>
  <si>
    <t>627-05-4</t>
  </si>
  <si>
    <t>PRONETHALOL</t>
  </si>
  <si>
    <t>54-80-8</t>
  </si>
  <si>
    <t>Propane sultone</t>
  </si>
  <si>
    <t>1120-71-4</t>
  </si>
  <si>
    <t>2-Naphthalenecarboxamide, 3-hydroxy-4- (2-methoxy-5-nitrophenyl)azo -N-(3-nitrophenyl)-</t>
  </si>
  <si>
    <t>6471-49-4</t>
  </si>
  <si>
    <t>2,3,5,6-TETRACHLORO-4-NITROANILINE</t>
  </si>
  <si>
    <t>2438-88-2</t>
  </si>
  <si>
    <t>Benzene, 1-(1,1-dimethylethyl)-3,5-dimethyl-2,4,</t>
  </si>
  <si>
    <t>81-15-2</t>
  </si>
  <si>
    <t>Bromoethylene</t>
  </si>
  <si>
    <t>593-60-2</t>
  </si>
  <si>
    <t>chloroethene (vinyl chloride)</t>
  </si>
  <si>
    <t>75-01-4</t>
  </si>
  <si>
    <t>Butanamide, N,N'-(3,3'-dimethyl 1,1'-biphenyl -4,4'-diyl)bis 2- (2,4-dichlorophenyl)azo -3-oxo-</t>
  </si>
  <si>
    <t>5979-28-2</t>
  </si>
  <si>
    <t>Xylenes</t>
  </si>
  <si>
    <t>1330-20-7</t>
  </si>
  <si>
    <t>PROPYLENE OXIDE</t>
  </si>
  <si>
    <t>1,3-PROPANEDIOL, 2,2-BIS(BRME)-</t>
  </si>
  <si>
    <t>3296-90-0</t>
  </si>
  <si>
    <t>Bis-(chloromethyl) ether</t>
  </si>
  <si>
    <t>542-88-1</t>
  </si>
  <si>
    <t>DIFORMYLHYDRAZINE</t>
  </si>
  <si>
    <t>628-36-4</t>
  </si>
  <si>
    <t>UREA, N-(2-HYDROXYETHYL)-N-NITROSO</t>
  </si>
  <si>
    <t>13743-07-2</t>
  </si>
  <si>
    <t>3-NITRO-3-HEXENE</t>
  </si>
  <si>
    <t>4812-22-0</t>
  </si>
  <si>
    <t>TETRANITROMETHANE</t>
  </si>
  <si>
    <t>509-14-8</t>
  </si>
  <si>
    <t>4-ETHYLNITROBENZENE</t>
  </si>
  <si>
    <t>100-12-9</t>
  </si>
  <si>
    <t>4-BROMOPHENYL PHENYL ETHER</t>
  </si>
  <si>
    <t>101-55-3</t>
  </si>
  <si>
    <t>P-TOLUALDEHYDE</t>
  </si>
  <si>
    <t>104-87-0</t>
  </si>
  <si>
    <t>S-BUTYLACETATE</t>
  </si>
  <si>
    <t>105-46-4</t>
  </si>
  <si>
    <t>3-BROMO-1-PROPENE</t>
  </si>
  <si>
    <t>106-95-6</t>
  </si>
  <si>
    <t>Propane, 2,2'-thiobis 2-methyl-</t>
  </si>
  <si>
    <t>107-47-1</t>
  </si>
  <si>
    <t>1,3-DIBROMOPROPANE</t>
  </si>
  <si>
    <t>109-64-8</t>
  </si>
  <si>
    <t>DIETHYL SEBACATE</t>
  </si>
  <si>
    <t>110-40-7</t>
  </si>
  <si>
    <t>2-heptanone</t>
  </si>
  <si>
    <t>110-43-0</t>
  </si>
  <si>
    <t>2-OCTANONE</t>
  </si>
  <si>
    <t>111-13-7</t>
  </si>
  <si>
    <t>1,2-Benzenedicarboxylic acid, heptyl nonyl ester, branched and linear</t>
  </si>
  <si>
    <t>111381-89-6</t>
  </si>
  <si>
    <t>ETHYLENE GLYCOL DIACETATE</t>
  </si>
  <si>
    <t>111-55-7</t>
  </si>
  <si>
    <t>METHYL P-CHLOROBENZOATE</t>
  </si>
  <si>
    <t>1126-46-1</t>
  </si>
  <si>
    <t>Benzonitrile, 4-fluoro-</t>
  </si>
  <si>
    <t>1194-02-1</t>
  </si>
  <si>
    <t>TRICHLOROBENZENES</t>
  </si>
  <si>
    <t>12002-48-1</t>
  </si>
  <si>
    <t>BENZALDEHYDE, 3-ETHOXY-4-HYDROXY-</t>
  </si>
  <si>
    <t>121-32-4</t>
  </si>
  <si>
    <t>BICYCLO(2,2,1)HEPTA-2,5-DIENE</t>
  </si>
  <si>
    <t>121-46-0</t>
  </si>
  <si>
    <t>DODECYLBENZENE</t>
  </si>
  <si>
    <t>123-01-3</t>
  </si>
  <si>
    <t>METHYLSULFONYL CHLORIDE</t>
  </si>
  <si>
    <t>124-63-0</t>
  </si>
  <si>
    <t>HYDROXYUREA</t>
  </si>
  <si>
    <t>127-07-1</t>
  </si>
  <si>
    <t>PCBS</t>
  </si>
  <si>
    <t>1336-36-3</t>
  </si>
  <si>
    <t>O-DIETHYLBENZENE</t>
  </si>
  <si>
    <t>135-01-3</t>
  </si>
  <si>
    <t>Propanedioic acid, chloro-, diethyl ester</t>
  </si>
  <si>
    <t>14064-10-9</t>
  </si>
  <si>
    <t>PROCLONOL</t>
  </si>
  <si>
    <t>14088-71-2</t>
  </si>
  <si>
    <t>BENZENEMETHANOL, 2-CHLORO-</t>
  </si>
  <si>
    <t>17849-38-6</t>
  </si>
  <si>
    <t>Benzthiazuron</t>
  </si>
  <si>
    <t>1929-88-0</t>
  </si>
  <si>
    <t>P-DIBUTYLTEREPHTHALATE</t>
  </si>
  <si>
    <t>1962-75-0</t>
  </si>
  <si>
    <t>Benzene, 1,2-dichloro-3-methoxy-</t>
  </si>
  <si>
    <t>1984-59-4</t>
  </si>
  <si>
    <t>2,3,4,5,6-PENTACHLORPYRIDINE</t>
  </si>
  <si>
    <t>2176-62-7</t>
  </si>
  <si>
    <t>2-PHENETHYLISOTHIOCYANATE</t>
  </si>
  <si>
    <t>130-63-8</t>
  </si>
  <si>
    <t>PHOSPHORIC ACID,2-CHLORO-(2,4-DICHLOROPHENYL)VIN</t>
  </si>
  <si>
    <t>2274-67-1</t>
  </si>
  <si>
    <t>PRALLETHRIN</t>
  </si>
  <si>
    <t>23031-36-9</t>
  </si>
  <si>
    <t>OHRIC</t>
  </si>
  <si>
    <t>24096-53-5</t>
  </si>
  <si>
    <t>DIMETHYLPHENOL PHOSPHATE (3:1)</t>
  </si>
  <si>
    <t>25155-23-1</t>
  </si>
  <si>
    <t>TETRACHLOROETHANES</t>
  </si>
  <si>
    <t>25322-20-7</t>
  </si>
  <si>
    <t>AMOXICILLIN</t>
  </si>
  <si>
    <t>26787-78-0</t>
  </si>
  <si>
    <t>Benzenesulfonic acid, dodecyloxydi-, disodium salt</t>
  </si>
  <si>
    <t>28519-02-0</t>
  </si>
  <si>
    <t>METHYL 2,5-DICHLOROBENZOATE</t>
  </si>
  <si>
    <t>2905-69-3</t>
  </si>
  <si>
    <t>CYCLOHEPTANE</t>
  </si>
  <si>
    <t>291-64-5</t>
  </si>
  <si>
    <t>LETHANE 60</t>
  </si>
  <si>
    <t>301-11-1</t>
  </si>
  <si>
    <t>CUMYLPHENYL DIPHENYL PHOSPHATE</t>
  </si>
  <si>
    <t>34364-42-6</t>
  </si>
  <si>
    <t>ISONONYL ALCOHOL</t>
  </si>
  <si>
    <t>3452-97-9</t>
  </si>
  <si>
    <t>2,4'-DICHLOROBIPHENYL</t>
  </si>
  <si>
    <t>34883-43-7</t>
  </si>
  <si>
    <t>Validamycin</t>
  </si>
  <si>
    <t>37248-47-8</t>
  </si>
  <si>
    <t>THIOFANOX</t>
  </si>
  <si>
    <t>39196-18-4</t>
  </si>
  <si>
    <t>Borneol</t>
  </si>
  <si>
    <t>464-45-9</t>
  </si>
  <si>
    <t>1-HEXEN-3-OL</t>
  </si>
  <si>
    <t>4798-44-1</t>
  </si>
  <si>
    <t>1,4-BENZODIOXAN</t>
  </si>
  <si>
    <t>493-09-4</t>
  </si>
  <si>
    <t>indan</t>
  </si>
  <si>
    <t>496-11-7</t>
  </si>
  <si>
    <t>Methylmercury Dicyandiamide</t>
  </si>
  <si>
    <t>502-39-6</t>
  </si>
  <si>
    <t>cis-Chlordane</t>
  </si>
  <si>
    <t>5103-71-9</t>
  </si>
  <si>
    <t>2,3,7,8-TetraCDF</t>
  </si>
  <si>
    <t>51207-31-9</t>
  </si>
  <si>
    <t>2-IODOBUTANE</t>
  </si>
  <si>
    <t>513-48-4</t>
  </si>
  <si>
    <t>2,4-Dichlorodiphenyl ether</t>
  </si>
  <si>
    <t>51892-26-3</t>
  </si>
  <si>
    <t>1,2-Naphthalenedione</t>
  </si>
  <si>
    <t>524-42-5</t>
  </si>
  <si>
    <t>CYCLOHEPTATRIENE</t>
  </si>
  <si>
    <t>544-25-2</t>
  </si>
  <si>
    <t>METHYL PROPIONATE</t>
  </si>
  <si>
    <t>554-12-1</t>
  </si>
  <si>
    <t>DIFENACOUM</t>
  </si>
  <si>
    <t>56073-07-5</t>
  </si>
  <si>
    <t>TRI-M-CRESYL PHOSPHATE</t>
  </si>
  <si>
    <t>563-04-2</t>
  </si>
  <si>
    <t>B,B,B-TRICHLORO-T-BUTANOL</t>
  </si>
  <si>
    <t>57-15-8</t>
  </si>
  <si>
    <t>1,5-DIMETHYLNAPHTHALENE</t>
  </si>
  <si>
    <t>571-61-9</t>
  </si>
  <si>
    <t>O-BROMONITROBENZENE</t>
  </si>
  <si>
    <t>577-19-5</t>
  </si>
  <si>
    <t>STILBENE</t>
  </si>
  <si>
    <t>588-59-0</t>
  </si>
  <si>
    <t>1,4-DIMETHYLCYCLOHEXANE</t>
  </si>
  <si>
    <t>589-90-2</t>
  </si>
  <si>
    <t>BENZYLMALONIC ACID, DIETHYL ESTER</t>
  </si>
  <si>
    <t>607-81-8</t>
  </si>
  <si>
    <t>METHYL DECYL KETONE</t>
  </si>
  <si>
    <t>6175-49-1</t>
  </si>
  <si>
    <t>3-CYANO-1-NITROBENZENE</t>
  </si>
  <si>
    <t>619-24-9</t>
  </si>
  <si>
    <t>CYCLOHEXYL ACETATE</t>
  </si>
  <si>
    <t>622-45-7</t>
  </si>
  <si>
    <t>4-CHLOROANISOLE</t>
  </si>
  <si>
    <t>623-12-1</t>
  </si>
  <si>
    <t>FUMARYL CHLORIDE</t>
  </si>
  <si>
    <t>627-63-4</t>
  </si>
  <si>
    <t>CYCLOHEPTENE</t>
  </si>
  <si>
    <t>628-92-2</t>
  </si>
  <si>
    <t>OCTANEDINITRILE</t>
  </si>
  <si>
    <t>629-40-3</t>
  </si>
  <si>
    <t>DIPHENYLCHLOROARSINE</t>
  </si>
  <si>
    <t>712-48-1</t>
  </si>
  <si>
    <t>PROPAPHOS</t>
  </si>
  <si>
    <t>7292-16-2</t>
  </si>
  <si>
    <t>4-Ethylbenzyl alcohol</t>
  </si>
  <si>
    <t>768-59-2</t>
  </si>
  <si>
    <t>METHYLVINYLKETONE</t>
  </si>
  <si>
    <t>78-94-4</t>
  </si>
  <si>
    <t>2-HYDROXYETHYL ACRYLATE</t>
  </si>
  <si>
    <t>818-61-1</t>
  </si>
  <si>
    <t>1,2-DICHLOROCYCLOHEXANE -TRANS</t>
  </si>
  <si>
    <t>822-86-6</t>
  </si>
  <si>
    <t>BENZO(B)THIOPHENE S,S-DIOXIDE</t>
  </si>
  <si>
    <t>825-44-5</t>
  </si>
  <si>
    <t>Benzenemethanol, 4-bromo-</t>
  </si>
  <si>
    <t>873-75-6</t>
  </si>
  <si>
    <t>L-Arabinose</t>
  </si>
  <si>
    <t>87-72-9</t>
  </si>
  <si>
    <t>DIPHENYL DISULFIDE</t>
  </si>
  <si>
    <t>882-33-7</t>
  </si>
  <si>
    <t>Benzene, 1-chloro-4-methyl-2-nitro-</t>
  </si>
  <si>
    <t>89-60-1</t>
  </si>
  <si>
    <t>CHLOROMERCURIPHENOL</t>
  </si>
  <si>
    <t>90-03-9</t>
  </si>
  <si>
    <t>1,5-HEXADIEN-3-OL</t>
  </si>
  <si>
    <t>924-41-4</t>
  </si>
  <si>
    <t>NAPHTHALENE, 2-METHOXY-</t>
  </si>
  <si>
    <t>93-04-9</t>
  </si>
  <si>
    <t>BENZALACETOPHENONE</t>
  </si>
  <si>
    <t>94-41-7</t>
  </si>
  <si>
    <t>2-ETHYL-1,3-HEXANDIOL</t>
  </si>
  <si>
    <t>94-96-2</t>
  </si>
  <si>
    <t>ETHYL METHACRYLATE</t>
  </si>
  <si>
    <t>97-63-2</t>
  </si>
  <si>
    <t>TETRAHYDROFURFURYL ALCOHOL</t>
  </si>
  <si>
    <t>97-99-4</t>
  </si>
  <si>
    <t>T-BUTYLBENZENE</t>
  </si>
  <si>
    <t>98-06-6</t>
  </si>
  <si>
    <t>BENZOTRIFLUORIDE</t>
  </si>
  <si>
    <t>98-08-8</t>
  </si>
  <si>
    <t>BENZENESULFONYL CHLORIDE</t>
  </si>
  <si>
    <t>98-09-9</t>
  </si>
  <si>
    <t>PHENYLTRICHLOROSILANE</t>
  </si>
  <si>
    <t>98-13-5</t>
  </si>
  <si>
    <t>P-DINITROBENZENE</t>
  </si>
  <si>
    <t>100-25-4</t>
  </si>
  <si>
    <t>GERANIOL</t>
  </si>
  <si>
    <t>106-24-1</t>
  </si>
  <si>
    <t>BROMOCYCLOHEXANE</t>
  </si>
  <si>
    <t>108-85-0</t>
  </si>
  <si>
    <t>ETHYL VINYL ETHER</t>
  </si>
  <si>
    <t>109-92-2</t>
  </si>
  <si>
    <t>1,3,5-TRIOXANE</t>
  </si>
  <si>
    <t>110-88-3</t>
  </si>
  <si>
    <t>1-OCTADECANOL</t>
  </si>
  <si>
    <t>TRIPHENYLPHOSPHATE</t>
  </si>
  <si>
    <t>Di(n-octyl) phthalate</t>
  </si>
  <si>
    <t>117-84-0</t>
  </si>
  <si>
    <t>2H-3,1-Benzoxazine-2,4(1H)-dione</t>
  </si>
  <si>
    <t>118-48-9</t>
  </si>
  <si>
    <t>PYRIDAPHENTHION</t>
  </si>
  <si>
    <t>119-12-0</t>
  </si>
  <si>
    <t>TETRALIN</t>
  </si>
  <si>
    <t>119-64-2</t>
  </si>
  <si>
    <t>ISOPENTANOL</t>
  </si>
  <si>
    <t>123-51-3</t>
  </si>
  <si>
    <t>2-HYDROXYMETHYL-2-NITRO-1,3-PROPANEDIOL</t>
  </si>
  <si>
    <t>126-11-4</t>
  </si>
  <si>
    <t>Phosphoric acid, tris(2-methylpropyl) ester</t>
  </si>
  <si>
    <t>126-71-6</t>
  </si>
  <si>
    <t>AROCLOR 1248</t>
  </si>
  <si>
    <t>12672-29-6</t>
  </si>
  <si>
    <t>1-NONANOL</t>
  </si>
  <si>
    <t>143-08-8</t>
  </si>
  <si>
    <t>PENTACHLOROBENZYL ALCOHOL</t>
  </si>
  <si>
    <t>16022-69-8</t>
  </si>
  <si>
    <t>2-Propenoic acid, 1,1-dimethylethyl ester</t>
  </si>
  <si>
    <t>1663-39-4</t>
  </si>
  <si>
    <t>IODOFENPHOS</t>
  </si>
  <si>
    <t>18181-70-9</t>
  </si>
  <si>
    <t>2,6-DICHLOROBENZAMIDE</t>
  </si>
  <si>
    <t>2008-58-4</t>
  </si>
  <si>
    <t>PHENKAPTON</t>
  </si>
  <si>
    <t>2275-14-1</t>
  </si>
  <si>
    <t>PENTANOCHLOR</t>
  </si>
  <si>
    <t>2307-68-8</t>
  </si>
  <si>
    <t>1-Chloro-2-nitro-propane</t>
  </si>
  <si>
    <t>2425-66-3</t>
  </si>
  <si>
    <t>Propanoic acid, 2-methyl-, monoester with 2,2,4-trimethyl-1,3-pentanediol</t>
  </si>
  <si>
    <t>25265-77-4</t>
  </si>
  <si>
    <t>Picloram, potassium salt</t>
  </si>
  <si>
    <t>2545-60-0</t>
  </si>
  <si>
    <t>Triethyltin bromide</t>
  </si>
  <si>
    <t>2767-54-6</t>
  </si>
  <si>
    <t>DINOSEB ACETATE</t>
  </si>
  <si>
    <t>2813-95-8</t>
  </si>
  <si>
    <t>DICHLORPROP-ISOOCTYL</t>
  </si>
  <si>
    <t>28631-35-8</t>
  </si>
  <si>
    <t>Sodium dichlorocyanurate</t>
  </si>
  <si>
    <t>2893-78-9</t>
  </si>
  <si>
    <t>Pentanol</t>
  </si>
  <si>
    <t>30899-19-5</t>
  </si>
  <si>
    <t>TRICHLORONATE</t>
  </si>
  <si>
    <t>327-98-0</t>
  </si>
  <si>
    <t>Endosulfan (beta)</t>
  </si>
  <si>
    <t>33213-65-9</t>
  </si>
  <si>
    <t>Triphenyltin fluoride</t>
  </si>
  <si>
    <t>379-52-2</t>
  </si>
  <si>
    <t>CYPHENOTHRIN</t>
  </si>
  <si>
    <t>39515-40-7</t>
  </si>
  <si>
    <t>Cyclohexane, 5-isocyanato-1-(isocyanatomethyl)-1,3,3-trimethyl-</t>
  </si>
  <si>
    <t>4098-71-9</t>
  </si>
  <si>
    <t>CROTONALDEHYDE</t>
  </si>
  <si>
    <t>4170-30-3</t>
  </si>
  <si>
    <t>Neodecanoic acid, ethenyl ester</t>
  </si>
  <si>
    <t>51000-52-3</t>
  </si>
  <si>
    <t>DICLOFOP-METHYL</t>
  </si>
  <si>
    <t>51338-27-3</t>
  </si>
  <si>
    <t>Tributyl tin acetate</t>
  </si>
  <si>
    <t>56-36-0</t>
  </si>
  <si>
    <t>Cetrimonium Bromide</t>
  </si>
  <si>
    <t>57-09-0</t>
  </si>
  <si>
    <t>2,4,5-T triethylammonium salt</t>
  </si>
  <si>
    <t>57213-69-1</t>
  </si>
  <si>
    <t>ALLETHRIN</t>
  </si>
  <si>
    <t>584-79-2</t>
  </si>
  <si>
    <t>2,3-Dinitrotoluene</t>
  </si>
  <si>
    <t>602-01-7</t>
  </si>
  <si>
    <t>3-CHLORO-1-PROPANOL</t>
  </si>
  <si>
    <t>627-30-5</t>
  </si>
  <si>
    <t>METHYLENE BISTHIOCYANATE</t>
  </si>
  <si>
    <t>6317-18-6</t>
  </si>
  <si>
    <t>1,2,3,4-tetrachlorobenzene</t>
  </si>
  <si>
    <t>634-66-2</t>
  </si>
  <si>
    <t>BETA-CYPERMETHRIN ISOMER</t>
  </si>
  <si>
    <t>65732-07-2</t>
  </si>
  <si>
    <t>Alcohols, C12-14, ethoxylated</t>
  </si>
  <si>
    <t>68439-50-9</t>
  </si>
  <si>
    <t>1,2-Benzenedicarboxylic acid, di-C9-11-branched alkyl esters, C10-rich</t>
  </si>
  <si>
    <t>68515-49-1</t>
  </si>
  <si>
    <t>ALKYLBENZENE (C10-C15)</t>
  </si>
  <si>
    <t>68648-87-3</t>
  </si>
  <si>
    <t>DIMETHRIN</t>
  </si>
  <si>
    <t>70-38-2</t>
  </si>
  <si>
    <t>1-pentanol</t>
  </si>
  <si>
    <t>71-41-0</t>
  </si>
  <si>
    <t>DIMETHYLTIN DICHLORIDE</t>
  </si>
  <si>
    <t>753-73-1</t>
  </si>
  <si>
    <t>9-METHYLANTHRACENE</t>
  </si>
  <si>
    <t>779-02-2</t>
  </si>
  <si>
    <t>1,1-Dichloropropane</t>
  </si>
  <si>
    <t>78-99-9</t>
  </si>
  <si>
    <t>METHYL ACETATE</t>
  </si>
  <si>
    <t>3-Buten-2-one, 4-(2,6,6-trimethyl-1-cyclohexen-1-yl)-, (E)-</t>
  </si>
  <si>
    <t>79-77-6</t>
  </si>
  <si>
    <t>CAMPHENE</t>
  </si>
  <si>
    <t>BENZENE, 1-CHLORO-2-METHYL-3-NITRO-</t>
  </si>
  <si>
    <t>83-42-1</t>
  </si>
  <si>
    <t>1,3-Isobenzofurandione, 3a,4,7,7a-tetrahydro-</t>
  </si>
  <si>
    <t>2-CHLOROBENZALDEHYDE</t>
  </si>
  <si>
    <t>89-98-5</t>
  </si>
  <si>
    <t>Octoxynol</t>
  </si>
  <si>
    <t>9002-93-1</t>
  </si>
  <si>
    <t>CARBOPHENOTHION-METHYL</t>
  </si>
  <si>
    <t>953-17-3</t>
  </si>
  <si>
    <t>DICHLOFENTHION</t>
  </si>
  <si>
    <t>97-17-6</t>
  </si>
  <si>
    <t>METHACRYLIC ACID, I-BUTYL ESTER</t>
  </si>
  <si>
    <t>P-(T-BUTYL)TOLUENE</t>
  </si>
  <si>
    <t>98-51-1</t>
  </si>
  <si>
    <t>3,4-DICHLORONITROBENZENE</t>
  </si>
  <si>
    <t>FUMARIC ACID</t>
  </si>
  <si>
    <t>110-17-8</t>
  </si>
  <si>
    <t>BENAZOLIN</t>
  </si>
  <si>
    <t>698-83-6</t>
  </si>
  <si>
    <t>mecoprop</t>
  </si>
  <si>
    <t>2-Methyl-4-chlorophenoxyacetic acid</t>
  </si>
  <si>
    <t>(4-Chloro-2-methylphenoxy)acetic acid compd. with N-Methylmethanamine (1:1)</t>
  </si>
  <si>
    <t>2039-46-5</t>
  </si>
  <si>
    <t>FUROSEMIDE</t>
  </si>
  <si>
    <t>54-31-9</t>
  </si>
  <si>
    <t>OXYTETRACYLCINE</t>
  </si>
  <si>
    <t>79-57-2</t>
  </si>
  <si>
    <t>AUREOMYCIN</t>
  </si>
  <si>
    <t>57-62-5</t>
  </si>
  <si>
    <t>9H-FLUORENE-9-CARBOXYLIC AICD, 2-CHLORO-9-HYDROX</t>
  </si>
  <si>
    <t>2464-37-1</t>
  </si>
  <si>
    <t>BENZENESULFONIC ACID, 4-AMINO-</t>
  </si>
  <si>
    <t>L-Cysteine, N-acetyl-</t>
  </si>
  <si>
    <t>616-91-1</t>
  </si>
  <si>
    <t>PROBENECID</t>
  </si>
  <si>
    <t>57-66-9</t>
  </si>
  <si>
    <t>DINITROPHENOL</t>
  </si>
  <si>
    <t>25550-58-7</t>
  </si>
  <si>
    <t>P-NITROBENZOIC ACID</t>
  </si>
  <si>
    <t>62-23-7</t>
  </si>
  <si>
    <t>Butanedioic acid, methylene-</t>
  </si>
  <si>
    <t>Ampicillin Trihydrate</t>
  </si>
  <si>
    <t>7177-48-2</t>
  </si>
  <si>
    <t>ACETYLSALICYLIC ACID</t>
  </si>
  <si>
    <t>BUTYL XANTHATE</t>
  </si>
  <si>
    <t>110-50-9</t>
  </si>
  <si>
    <t>ENDOTHAL</t>
  </si>
  <si>
    <t>145-73-3</t>
  </si>
  <si>
    <t>Mecoprop-P</t>
  </si>
  <si>
    <t>16484-77-8</t>
  </si>
  <si>
    <t>Ciprofibrate</t>
  </si>
  <si>
    <t>52214-84-3</t>
  </si>
  <si>
    <t>Formic acid</t>
  </si>
  <si>
    <t>64-18-6</t>
  </si>
  <si>
    <t>6-CHLOROPICOLINIC ACID</t>
  </si>
  <si>
    <t>4684-94-0</t>
  </si>
  <si>
    <t>2-AMINO-4-NITROBENZOIC ACID</t>
  </si>
  <si>
    <t>619-17-0</t>
  </si>
  <si>
    <t>BROMOXYNIL</t>
  </si>
  <si>
    <t>1689-84-5</t>
  </si>
  <si>
    <t>OCHRATOXIN A</t>
  </si>
  <si>
    <t>303-47-9</t>
  </si>
  <si>
    <t>M-PHENOXYBENZOIC ACID</t>
  </si>
  <si>
    <t>3739-38-6</t>
  </si>
  <si>
    <t>TRICLOPYR</t>
  </si>
  <si>
    <t>55335-06-3</t>
  </si>
  <si>
    <t>2,6-DINITROPHENOL</t>
  </si>
  <si>
    <t>573-56-8</t>
  </si>
  <si>
    <t>3-CHLOROPROPIONIC ACID</t>
  </si>
  <si>
    <t>107-94-8</t>
  </si>
  <si>
    <t>GIBBERELLIC ACID</t>
  </si>
  <si>
    <t>77-06-5</t>
  </si>
  <si>
    <t>BARBITURIC ACID</t>
  </si>
  <si>
    <t>67-52-7</t>
  </si>
  <si>
    <t>Methionine Hydroxy Analog</t>
  </si>
  <si>
    <t>583-91-5</t>
  </si>
  <si>
    <t>Fluvastatin</t>
  </si>
  <si>
    <t>93957-54-1</t>
  </si>
  <si>
    <t>Meloxicam</t>
  </si>
  <si>
    <t>71125-38-7</t>
  </si>
  <si>
    <t>2,4-Dinitrophenol</t>
  </si>
  <si>
    <t>51-28-5</t>
  </si>
  <si>
    <t>Bixin</t>
  </si>
  <si>
    <t>6983-79-5</t>
  </si>
  <si>
    <t>METHANE ARSONATE</t>
  </si>
  <si>
    <t>124-58-3</t>
  </si>
  <si>
    <t>2-Propynoic acid</t>
  </si>
  <si>
    <t>471-25-0</t>
  </si>
  <si>
    <t>Cyclanilide</t>
  </si>
  <si>
    <t>113136-77-9</t>
  </si>
  <si>
    <t>BUTANEDIOC ACID</t>
  </si>
  <si>
    <t>110-15-6</t>
  </si>
  <si>
    <t>NAPHTHALENEACETIC ACID</t>
  </si>
  <si>
    <t>86-87-3</t>
  </si>
  <si>
    <t>Acrylic acid</t>
  </si>
  <si>
    <t>79-10-7</t>
  </si>
  <si>
    <t>3,4-DIHYDROXYBENZOIC ACID</t>
  </si>
  <si>
    <t>99-50-3</t>
  </si>
  <si>
    <t>M-HYDROXYBENZOIC ACID</t>
  </si>
  <si>
    <t>99-06-9</t>
  </si>
  <si>
    <t>4,6-Dinitro-o-cresol</t>
  </si>
  <si>
    <t>534-52-1</t>
  </si>
  <si>
    <t>Quinclorac</t>
  </si>
  <si>
    <t>84087-01-4</t>
  </si>
  <si>
    <t>Benzoic acid, 2-(4-chlorobenzoyl)-</t>
  </si>
  <si>
    <t>85-56-3</t>
  </si>
  <si>
    <t>BENZOIC ACID, 4-(TERT-BUTYL)-</t>
  </si>
  <si>
    <t>3-PHENYL-N-BUTYRIC ACID</t>
  </si>
  <si>
    <t>4593-90-2</t>
  </si>
  <si>
    <t>ALPHA-PHENYLPROPIONIC ACID</t>
  </si>
  <si>
    <t>492-37-5</t>
  </si>
  <si>
    <t>Benzeneacetic acid, ,alpha,-ethyl-</t>
  </si>
  <si>
    <t>90-27-7</t>
  </si>
  <si>
    <t>6-AMINOHEXANOIC ACID</t>
  </si>
  <si>
    <t>60-32-2</t>
  </si>
  <si>
    <t>HEXANEDIOIC ACID</t>
  </si>
  <si>
    <t>KETOPROFEN</t>
  </si>
  <si>
    <t>22071-15-4</t>
  </si>
  <si>
    <t>Etodolac</t>
  </si>
  <si>
    <t>41340-25-4</t>
  </si>
  <si>
    <t>Actarit</t>
  </si>
  <si>
    <t>18699-02-0</t>
  </si>
  <si>
    <t>CLETHODIM</t>
  </si>
  <si>
    <t>99129-21-2</t>
  </si>
  <si>
    <t>Gemfibrozil</t>
  </si>
  <si>
    <t>25812-30-0</t>
  </si>
  <si>
    <t>ALCOFENAC</t>
  </si>
  <si>
    <t>22131-79-9</t>
  </si>
  <si>
    <t>4-HYDROXY-3-METHOXYBENZOIC ACID</t>
  </si>
  <si>
    <t>121-34-6</t>
  </si>
  <si>
    <t>Trinexapac-ethyl</t>
  </si>
  <si>
    <t>95266-40-3</t>
  </si>
  <si>
    <t>Enoxolone</t>
  </si>
  <si>
    <t>471-53-4</t>
  </si>
  <si>
    <t>4-PENTYNOIC ACID</t>
  </si>
  <si>
    <t>1530-25-0</t>
  </si>
  <si>
    <t>2-PROPENOIC ACID, 3-(3,4-DIHYDROXYPHENYL)-, (E)-</t>
  </si>
  <si>
    <t>331-39-5</t>
  </si>
  <si>
    <t>Dinoseb</t>
  </si>
  <si>
    <t>88-85-7</t>
  </si>
  <si>
    <t>PENTABROMOPHENOL</t>
  </si>
  <si>
    <t>608-71-9</t>
  </si>
  <si>
    <t>4-Pentenoic acid</t>
  </si>
  <si>
    <t>591-80-0</t>
  </si>
  <si>
    <t>METHACRYLIC ACID</t>
  </si>
  <si>
    <t>BETA-PHENYLPROPIONIC ACID</t>
  </si>
  <si>
    <t>501-52-0</t>
  </si>
  <si>
    <t>DAMINOZIDE</t>
  </si>
  <si>
    <t>1596-84-5</t>
  </si>
  <si>
    <t>RETINOIC ACID</t>
  </si>
  <si>
    <t>302-79-4</t>
  </si>
  <si>
    <t>pentachlorophenol</t>
  </si>
  <si>
    <t>87-86-5</t>
  </si>
  <si>
    <t>METHOTREXATE</t>
  </si>
  <si>
    <t>59-05-2</t>
  </si>
  <si>
    <t>2-ETHYLBUTYRIC ACID</t>
  </si>
  <si>
    <t>88-09-5</t>
  </si>
  <si>
    <t>HEXANOIC ACID, 2-ETHYL-</t>
  </si>
  <si>
    <t>Fatty acids, C9-13-neo-</t>
  </si>
  <si>
    <t>68938-07-8</t>
  </si>
  <si>
    <t>CHENODEOXYCHOLIC ACID</t>
  </si>
  <si>
    <t>474-25-9</t>
  </si>
  <si>
    <t>OLEIC ACID</t>
  </si>
  <si>
    <t>112-80-1</t>
  </si>
  <si>
    <t>LITHOCHOLIC ACID</t>
  </si>
  <si>
    <t>434-13-9</t>
  </si>
  <si>
    <t>INDOLE-3-ACETIC ACID</t>
  </si>
  <si>
    <t>87-51-4</t>
  </si>
  <si>
    <t>Butanoic acid, 3,3-dimethyl-</t>
  </si>
  <si>
    <t>1070-83-3</t>
  </si>
  <si>
    <t>PALUSTRIC ACID</t>
  </si>
  <si>
    <t>1945-53-5</t>
  </si>
  <si>
    <t>Endrocide (Endox) (Coumatetralyl)</t>
  </si>
  <si>
    <t>5836-29-3</t>
  </si>
  <si>
    <t>4-PHENYLBUTYRIC ACID</t>
  </si>
  <si>
    <t>1821-12-1</t>
  </si>
  <si>
    <t>ACETIC ACID</t>
  </si>
  <si>
    <t>64-19-7</t>
  </si>
  <si>
    <t>ISOVALERIC ACID</t>
  </si>
  <si>
    <t>503-74-2</t>
  </si>
  <si>
    <t>Abietic acid</t>
  </si>
  <si>
    <t>514-10-3</t>
  </si>
  <si>
    <t>PENTANOIC ACID, 2-METHYL-</t>
  </si>
  <si>
    <t>97-61-0</t>
  </si>
  <si>
    <t>Isopimaric Acid</t>
  </si>
  <si>
    <t>5835-26-7</t>
  </si>
  <si>
    <t>HEPTANOIC ACID</t>
  </si>
  <si>
    <t>111-14-8</t>
  </si>
  <si>
    <t>MANCOZEB</t>
  </si>
  <si>
    <t>2234-56-2</t>
  </si>
  <si>
    <t>Butanoic acid, 2-methyl-, (,+-,)-</t>
  </si>
  <si>
    <t>600-07-7</t>
  </si>
  <si>
    <t>BUTYRIC ACID</t>
  </si>
  <si>
    <t>MCPB</t>
  </si>
  <si>
    <t>94-81-5</t>
  </si>
  <si>
    <t>4-METHYLPENTANOIC ACID</t>
  </si>
  <si>
    <t>646-07-1</t>
  </si>
  <si>
    <t>ISOBUTYRIC ACID</t>
  </si>
  <si>
    <t>hexanoic acid</t>
  </si>
  <si>
    <t>142-62-1</t>
  </si>
  <si>
    <t>5-PHENYLPENTANOIC ACID</t>
  </si>
  <si>
    <t>2270-20-4</t>
  </si>
  <si>
    <t>OCTANOIC ACID</t>
  </si>
  <si>
    <t>IBUPROFEN</t>
  </si>
  <si>
    <t>Hexachloroprene</t>
  </si>
  <si>
    <t>70-30-4</t>
  </si>
  <si>
    <t>NONANOIC ACID</t>
  </si>
  <si>
    <t>112-05-0</t>
  </si>
  <si>
    <t>2,4-DICHLORO-6-NITROPHENOL</t>
  </si>
  <si>
    <t>609-89-2</t>
  </si>
  <si>
    <t>2,2-DIMETHYL BUTYRIC ACID</t>
  </si>
  <si>
    <t>595-37-9</t>
  </si>
  <si>
    <t>2-(1-Methylethyl)-4,6-dinitrophenol</t>
  </si>
  <si>
    <t>118-95-6</t>
  </si>
  <si>
    <t>2,3,5,6-tetrachlorophenol</t>
  </si>
  <si>
    <t>935-95-5</t>
  </si>
  <si>
    <t>BENSULFURON-METHYL (PH7)</t>
  </si>
  <si>
    <t>83055-99-6</t>
  </si>
  <si>
    <t>TRIPHENYLTIN HYDROXIDE</t>
  </si>
  <si>
    <t>76-87-9</t>
  </si>
  <si>
    <t>TETRACHLORO-1,2-BENZENEDIOL</t>
  </si>
  <si>
    <t>1198-55-6</t>
  </si>
  <si>
    <t>2,5-DINITROPHENOL</t>
  </si>
  <si>
    <t>329-71-5</t>
  </si>
  <si>
    <t>TETRACHLOROPHENOLS</t>
  </si>
  <si>
    <t>25167-83-3</t>
  </si>
  <si>
    <t>PICOLINIC ACID</t>
  </si>
  <si>
    <t>98-98-6</t>
  </si>
  <si>
    <t>6-CHLORO-2-NITROPHENOL</t>
  </si>
  <si>
    <t>603-86-1</t>
  </si>
  <si>
    <t>Enrofloxacin</t>
  </si>
  <si>
    <t>93106-60-6</t>
  </si>
  <si>
    <t>Chlorambucil</t>
  </si>
  <si>
    <t>305-03-3</t>
  </si>
  <si>
    <t>2,3,6-TRICHLOROPHENOL</t>
  </si>
  <si>
    <t>933-75-5</t>
  </si>
  <si>
    <t>tetrachloroguaiacol</t>
  </si>
  <si>
    <t>2539-17-5</t>
  </si>
  <si>
    <t>3-TRIFLUOROMETHYL-4-NITROPHENOL</t>
  </si>
  <si>
    <t>88-30-2</t>
  </si>
  <si>
    <t>2,4,6-TRIIODOPHENOL</t>
  </si>
  <si>
    <t>609-23-4</t>
  </si>
  <si>
    <t>2,4,6-trichlorophenol</t>
  </si>
  <si>
    <t>88-06-2</t>
  </si>
  <si>
    <t>TRICHLOROPHENOL</t>
  </si>
  <si>
    <t>25167-82-2</t>
  </si>
  <si>
    <t>3,4,5-TRICHLOROCATECHOL</t>
  </si>
  <si>
    <t>56961-20-7</t>
  </si>
  <si>
    <t>2,4,6-TRICHLORO-3-METHYLPHENOL</t>
  </si>
  <si>
    <t>551-76-8</t>
  </si>
  <si>
    <t>2,3,4,5-tetrachlorophenol</t>
  </si>
  <si>
    <t>4901-51-3</t>
  </si>
  <si>
    <t>Closantel</t>
  </si>
  <si>
    <t>57808-65-8</t>
  </si>
  <si>
    <t>Phenol, 4,4'-(1-methylethylidene)bis 2,6-dichloro-</t>
  </si>
  <si>
    <t>79-95-8</t>
  </si>
  <si>
    <t>2,2-BIS(4-HYDROXY-3,5-DIBROMOPHENYL)PROPANE</t>
  </si>
  <si>
    <t>2,6-dichlorophenol</t>
  </si>
  <si>
    <t>87-65-0</t>
  </si>
  <si>
    <t>2,4,6-TRIBROMOPHENOL</t>
  </si>
  <si>
    <t>118-79-6</t>
  </si>
  <si>
    <t>4,5,6-TRICHLOROGUAIACOL</t>
  </si>
  <si>
    <t>2668-24-8</t>
  </si>
  <si>
    <t>ALIZARINE</t>
  </si>
  <si>
    <t>72-48-0</t>
  </si>
  <si>
    <t>OXOLINIC ACID</t>
  </si>
  <si>
    <t>14698-29-4</t>
  </si>
  <si>
    <t>3,4,5-TRICL-2,6-MEO PHENOL</t>
  </si>
  <si>
    <t>2539-26-6</t>
  </si>
  <si>
    <t>2-MERCAPTOBENZOTHIAZOLE</t>
  </si>
  <si>
    <t>QUERCETIN</t>
  </si>
  <si>
    <t>117-39-5</t>
  </si>
  <si>
    <t>3-METHYL-4-NITROPHENOL</t>
  </si>
  <si>
    <t>2581-34-2</t>
  </si>
  <si>
    <t>2,3,5-trichlorophenol</t>
  </si>
  <si>
    <t>933-78-8</t>
  </si>
  <si>
    <t>EMODIN</t>
  </si>
  <si>
    <t>518-82-1</t>
  </si>
  <si>
    <t>4-Nitrophenol</t>
  </si>
  <si>
    <t>4-METHYL-2,6-DICHLOROPHENOL</t>
  </si>
  <si>
    <t>194-64-9</t>
  </si>
  <si>
    <t>1,3-Benzenediol, 4,6-dichloro-</t>
  </si>
  <si>
    <t>137-19-9</t>
  </si>
  <si>
    <t>Benzaldehyde, 2,4-dihydroxy-</t>
  </si>
  <si>
    <t>95-01-2</t>
  </si>
  <si>
    <t>DL-TRYPTOPHAN</t>
  </si>
  <si>
    <t>54-12-6</t>
  </si>
  <si>
    <t>TRYPTOPHAN</t>
  </si>
  <si>
    <t>73-22-3</t>
  </si>
  <si>
    <t>SALICYLANILIDE</t>
  </si>
  <si>
    <t>87-17-2</t>
  </si>
  <si>
    <t>VANILLIN</t>
  </si>
  <si>
    <t>121-33-5</t>
  </si>
  <si>
    <t>3-METHYL-2-NITROPHENOL</t>
  </si>
  <si>
    <t>4920-77-8</t>
  </si>
  <si>
    <t>3,4,5-TRICHLORO-2-METHOXYPHENOL</t>
  </si>
  <si>
    <t>57057-83-7</t>
  </si>
  <si>
    <t>METHYL 2,4-DIHYDROXYBENZOATE</t>
  </si>
  <si>
    <t>2150-47-2</t>
  </si>
  <si>
    <t>Anthrarobin</t>
  </si>
  <si>
    <t>577-33-3</t>
  </si>
  <si>
    <t>Zearalenone</t>
  </si>
  <si>
    <t>17924-92-4</t>
  </si>
  <si>
    <t>Benzaldehyde, 5-bromo-2-hydroxy-</t>
  </si>
  <si>
    <t>1761-61-1</t>
  </si>
  <si>
    <t>Benzaldehyde, 5-chloro-2-hydroxy-</t>
  </si>
  <si>
    <t>635-93-8</t>
  </si>
  <si>
    <t>4-METHYL-2-NITROPHENOL</t>
  </si>
  <si>
    <t>119-33-5</t>
  </si>
  <si>
    <t>PHENOL,2,2'-METHYLENEBIS 4-CHLORO-</t>
  </si>
  <si>
    <t>97-23-4</t>
  </si>
  <si>
    <t>2-Nitropropane</t>
  </si>
  <si>
    <t>79-46-9</t>
  </si>
  <si>
    <t>Antimycin A</t>
  </si>
  <si>
    <t>1397-94-0</t>
  </si>
  <si>
    <t>2,3-DICHLOROPHENOL</t>
  </si>
  <si>
    <t>576-24-9</t>
  </si>
  <si>
    <t>PHENOL, 4-AMINO-2-NITRO-</t>
  </si>
  <si>
    <t>119-34-6</t>
  </si>
  <si>
    <t>P-CYANOPHENOL</t>
  </si>
  <si>
    <t>767-00-0</t>
  </si>
  <si>
    <t>2,4-DIMETHOXY-6-HYDROXY-BENZALDEHYD</t>
  </si>
  <si>
    <t>708-76-9</t>
  </si>
  <si>
    <t>PROPYL GALLATE</t>
  </si>
  <si>
    <t>121-79-9</t>
  </si>
  <si>
    <t>3,4,5-TRICHLOROPHENOL</t>
  </si>
  <si>
    <t>609-19-8</t>
  </si>
  <si>
    <t>2,4-dichlorophenol</t>
  </si>
  <si>
    <t>DICHLOROPHENOL</t>
  </si>
  <si>
    <t>25167-81-1</t>
  </si>
  <si>
    <t>HYDROCHLOROTHIAZIDE</t>
  </si>
  <si>
    <t>58-93-5</t>
  </si>
  <si>
    <t>O-VANILLIN</t>
  </si>
  <si>
    <t>148-53-8</t>
  </si>
  <si>
    <t>CURCUMIN</t>
  </si>
  <si>
    <t>458-37-7</t>
  </si>
  <si>
    <t>5-CHLORO-2-(2,4-DICHLOROPHENOXY)PHENOL</t>
  </si>
  <si>
    <t>3380-34-5</t>
  </si>
  <si>
    <t>P-HYDROXYACETOPHENONE</t>
  </si>
  <si>
    <t>99-93-4</t>
  </si>
  <si>
    <t>4-CHLORORESORCINOL</t>
  </si>
  <si>
    <t>95-88-5</t>
  </si>
  <si>
    <t>4,6-DICHLORO-O-CRESOL</t>
  </si>
  <si>
    <t>1570-65-6</t>
  </si>
  <si>
    <t>P-PHENYLAZOPHENOL</t>
  </si>
  <si>
    <t>1689-82-3</t>
  </si>
  <si>
    <t>Benzaldehyde, 4-(diethylamino)-2-hydroxy-</t>
  </si>
  <si>
    <t>17754-90-4</t>
  </si>
  <si>
    <t>PHTHALIMIDE</t>
  </si>
  <si>
    <t>85-41-6</t>
  </si>
  <si>
    <t>4-CHLORCATECHOL</t>
  </si>
  <si>
    <t>2138-22-9</t>
  </si>
  <si>
    <t>3-NITROPHENOL</t>
  </si>
  <si>
    <t>554-84-7</t>
  </si>
  <si>
    <t>O-BROMOPHENOL</t>
  </si>
  <si>
    <t>95-56-7</t>
  </si>
  <si>
    <t>2-METHYL-6-CHLOROPHENOL</t>
  </si>
  <si>
    <t>87-64-9</t>
  </si>
  <si>
    <t>PHENYLEPHRINE HCL</t>
  </si>
  <si>
    <t>61-76-7</t>
  </si>
  <si>
    <t>ERYTHROMYCIN</t>
  </si>
  <si>
    <t>114-07-8</t>
  </si>
  <si>
    <t>2,4-PENTANEDIONE</t>
  </si>
  <si>
    <t>123-54-6</t>
  </si>
  <si>
    <t>M-TRIFLUOROMETHYLPHENOL</t>
  </si>
  <si>
    <t>98-17-9</t>
  </si>
  <si>
    <t>Hematoxylin</t>
  </si>
  <si>
    <t>517-28-2</t>
  </si>
  <si>
    <t>DIISOPROPANOLAMINE</t>
  </si>
  <si>
    <t>3-CHLOROPHENOL</t>
  </si>
  <si>
    <t>108-43-0</t>
  </si>
  <si>
    <t>PHENOL, 4-PHENOXY-</t>
  </si>
  <si>
    <t>831-82-3</t>
  </si>
  <si>
    <t>P-BROMOPHENOL</t>
  </si>
  <si>
    <t>106-41-2</t>
  </si>
  <si>
    <t>4-IODOPHENOL</t>
  </si>
  <si>
    <t>540-38-5</t>
  </si>
  <si>
    <t>PHENOLPHTHALEIN</t>
  </si>
  <si>
    <t>77-09-8</t>
  </si>
  <si>
    <t>1,1,1,3,3,3-HEXAFLUOROPROPAN-2-OL</t>
  </si>
  <si>
    <t>920-66-1</t>
  </si>
  <si>
    <t>RESORCINOL</t>
  </si>
  <si>
    <t>1,2-BENZENEDIOL, 4-METHYL-</t>
  </si>
  <si>
    <t>452-86-8</t>
  </si>
  <si>
    <t>1,4-DIHYDROXY-9,10-ANTHRACENEDIONE</t>
  </si>
  <si>
    <t>81-64-1</t>
  </si>
  <si>
    <t>1-NAPHTHOL</t>
  </si>
  <si>
    <t>90-15-3</t>
  </si>
  <si>
    <t>2,7-Naphthalenediol</t>
  </si>
  <si>
    <t>582-17-2</t>
  </si>
  <si>
    <t>4-chlorophenol</t>
  </si>
  <si>
    <t>106-48-9</t>
  </si>
  <si>
    <t>4,4'-BIPHENOL</t>
  </si>
  <si>
    <t>92-88-6</t>
  </si>
  <si>
    <t>5-HYDROXY-1,4-NAPHTHOQUINONE</t>
  </si>
  <si>
    <t>481-39-0</t>
  </si>
  <si>
    <t>catechol</t>
  </si>
  <si>
    <t>120-80-9</t>
  </si>
  <si>
    <t>Diethylstilbestrol</t>
  </si>
  <si>
    <t>56-53-1</t>
  </si>
  <si>
    <t>1-HYDROXYANTHRAQUINONE</t>
  </si>
  <si>
    <t>129-43-1</t>
  </si>
  <si>
    <t>2-Naphthalenol, 1- (4-methyl-2-nitrophenyl)azo -</t>
  </si>
  <si>
    <t>2425-85-6</t>
  </si>
  <si>
    <t>P-PHENYLPHENOL</t>
  </si>
  <si>
    <t>92-69-3</t>
  </si>
  <si>
    <t>3-METHYL-4-CHLOROPHENOL</t>
  </si>
  <si>
    <t>59-50-7</t>
  </si>
  <si>
    <t>M-METHOXYPHENOL</t>
  </si>
  <si>
    <t>150-19-6</t>
  </si>
  <si>
    <t>TRICHLOROACETALDEHYDE</t>
  </si>
  <si>
    <t>75-87-6</t>
  </si>
  <si>
    <t>4-CHLORO-3,5-DIMETHYL PHENOL</t>
  </si>
  <si>
    <t>88-04-0</t>
  </si>
  <si>
    <t>2-METHYL-4-CHLOROPHENOL</t>
  </si>
  <si>
    <t>Ethanol, 2-mercapto-</t>
  </si>
  <si>
    <t>60-24-2</t>
  </si>
  <si>
    <t>P-HYDROXYBENZYL ALCOHOL</t>
  </si>
  <si>
    <t>623-05-2</t>
  </si>
  <si>
    <t>Tannins</t>
  </si>
  <si>
    <t>1401-55-4</t>
  </si>
  <si>
    <t>5-CHLORO-2-HYDROXYDIPHENYLMETHANE</t>
  </si>
  <si>
    <t>120-32-1</t>
  </si>
  <si>
    <t>Phenol, 2-(2-propenyl)-</t>
  </si>
  <si>
    <t>1745-81-9</t>
  </si>
  <si>
    <t>guaiacol</t>
  </si>
  <si>
    <t>90-05-1</t>
  </si>
  <si>
    <t>P-ETHYLPHENOL</t>
  </si>
  <si>
    <t>123-07-9</t>
  </si>
  <si>
    <t>CHORAL HYDRATE</t>
  </si>
  <si>
    <t>302-17-0</t>
  </si>
  <si>
    <t>ETHYL 2-HYDROXYBENZOATE</t>
  </si>
  <si>
    <t>118-61-6</t>
  </si>
  <si>
    <t>Methanone,  2-hydroxy-4-(octyloxy)phenyl phenyl-</t>
  </si>
  <si>
    <t>1843-05-6</t>
  </si>
  <si>
    <t>CARBOFURAN PHENOL</t>
  </si>
  <si>
    <t>1563-38-8</t>
  </si>
  <si>
    <t>3,5-DIMETHYLPHENOL</t>
  </si>
  <si>
    <t>108-68-9</t>
  </si>
  <si>
    <t>1,4-BENZENEDIOL, 2-METHYL-</t>
  </si>
  <si>
    <t>95-71-6</t>
  </si>
  <si>
    <t>Phenol, 4,4'-thiobis 2-(1,1-dimethylethyl)-5-methyl-</t>
  </si>
  <si>
    <t>96-69-5</t>
  </si>
  <si>
    <t>Cresol(s)</t>
  </si>
  <si>
    <t>P-ISOPROPYLPHENOL</t>
  </si>
  <si>
    <t>99-89-8</t>
  </si>
  <si>
    <t>P-NONYLPHENOL</t>
  </si>
  <si>
    <t>104-40-5</t>
  </si>
  <si>
    <t>P-(1,1,3,3-TETRAMETHYLBUTYL)PHENOL</t>
  </si>
  <si>
    <t>NONYLPHENOL</t>
  </si>
  <si>
    <t>P-METHOXYPHENOL</t>
  </si>
  <si>
    <t>150-76-5</t>
  </si>
  <si>
    <t>p-cresol</t>
  </si>
  <si>
    <t>106-44-5</t>
  </si>
  <si>
    <t>o-cresol</t>
  </si>
  <si>
    <t>95-48-7</t>
  </si>
  <si>
    <t>O-T-BUTYLPHENOL</t>
  </si>
  <si>
    <t>88-18-6</t>
  </si>
  <si>
    <t>4-Methyl-2-methoxyphenol</t>
  </si>
  <si>
    <t>93-51-6</t>
  </si>
  <si>
    <t>NITROMETHANE</t>
  </si>
  <si>
    <t>75-52-5</t>
  </si>
  <si>
    <t>CYCLOHEXANONE OXIME</t>
  </si>
  <si>
    <t>100-64-1</t>
  </si>
  <si>
    <t>2,5-DIMETHYLPHENOL</t>
  </si>
  <si>
    <t>95-87-4</t>
  </si>
  <si>
    <t>ETHINYL ESTRADIOL</t>
  </si>
  <si>
    <t>57-63-6</t>
  </si>
  <si>
    <t>ESTRADIOL</t>
  </si>
  <si>
    <t>50-28-2</t>
  </si>
  <si>
    <t>2,3-DIMETHYLPHENOL</t>
  </si>
  <si>
    <t>526-75-0</t>
  </si>
  <si>
    <t>1,4-Benzenediol, 2,3,5-trimethyl-</t>
  </si>
  <si>
    <t>700-13-0</t>
  </si>
  <si>
    <t>2,4-dimethylphenol</t>
  </si>
  <si>
    <t>105-67-9</t>
  </si>
  <si>
    <t>ETHYL MERCAPTAN</t>
  </si>
  <si>
    <t>75-08-1</t>
  </si>
  <si>
    <t>2,6-DIMETHYLPHENOL</t>
  </si>
  <si>
    <t>576-26-1</t>
  </si>
  <si>
    <t>THYMOL</t>
  </si>
  <si>
    <t>89-83-8</t>
  </si>
  <si>
    <t>ETHANONE, 1-[2-HYDROXY-3-PROPYL-4-[4-(1H-TETRAZO</t>
  </si>
  <si>
    <t>88107-10-2</t>
  </si>
  <si>
    <t>2,3,5-TRIMETHYLPHENOL</t>
  </si>
  <si>
    <t>697-82-5</t>
  </si>
  <si>
    <t>BUTANETHIOL</t>
  </si>
  <si>
    <t>109-79-5</t>
  </si>
  <si>
    <t>Hydroquinone</t>
  </si>
  <si>
    <t>2,4,6-TRIMETHYLPHENOL</t>
  </si>
  <si>
    <t>527-60-6</t>
  </si>
  <si>
    <t>3-NITRO-4-TOLUIDINE</t>
  </si>
  <si>
    <t>119-32-4</t>
  </si>
  <si>
    <t>Benzenamine, 2-chloro-4-methyl-</t>
  </si>
  <si>
    <t>615-65-6</t>
  </si>
  <si>
    <t>TRIPROPYNYL-AMINE</t>
  </si>
  <si>
    <t>6921-29-5</t>
  </si>
  <si>
    <t>METHOPROPTRYNE</t>
  </si>
  <si>
    <t>841-06-5</t>
  </si>
  <si>
    <t>2-AMINO-4-NITROPHENOL</t>
  </si>
  <si>
    <t>99-57-0</t>
  </si>
  <si>
    <t>NICOTINE</t>
  </si>
  <si>
    <t>54-11-5</t>
  </si>
  <si>
    <t>Estazolam</t>
  </si>
  <si>
    <t>29975-16-4</t>
  </si>
  <si>
    <t>IRGAROL 1051</t>
  </si>
  <si>
    <t>28159-98-0</t>
  </si>
  <si>
    <t>C,I, Basic Green 4</t>
  </si>
  <si>
    <t>569-64-2</t>
  </si>
  <si>
    <t>1,4-Benzenediamine, 2,6-dichloro-</t>
  </si>
  <si>
    <t>609-20-1</t>
  </si>
  <si>
    <t>3,3'-dichlorobenzidine</t>
  </si>
  <si>
    <t>91-94-1</t>
  </si>
  <si>
    <t>N-FORMYLHYDRAZINE</t>
  </si>
  <si>
    <t>624-84-0</t>
  </si>
  <si>
    <t>ACETIC ACID HYDRAZIDE</t>
  </si>
  <si>
    <t>1068-57-1</t>
  </si>
  <si>
    <t>Benzenamine, 2,6-bis(1-methylethyl)-</t>
  </si>
  <si>
    <t>24544-04-5</t>
  </si>
  <si>
    <t>N-Formyl-N-methyl hydrazine</t>
  </si>
  <si>
    <t>758-17-8</t>
  </si>
  <si>
    <t>1H-BENZIMIDAZOLE, 5-NITRO-</t>
  </si>
  <si>
    <t>94-52-0</t>
  </si>
  <si>
    <t>CHLORIDAZON</t>
  </si>
  <si>
    <t>1698-60-8</t>
  </si>
  <si>
    <t>DIAZEPAM</t>
  </si>
  <si>
    <t>439-14-5</t>
  </si>
  <si>
    <t>2-HYDRAZINO-4-(p-AMINOPHENYL)THIAZOLE</t>
  </si>
  <si>
    <t>26049-71-8</t>
  </si>
  <si>
    <t>4-DIMETHYLAMINO-3'-METHYLAZOBENZENE</t>
  </si>
  <si>
    <t>55-80-1</t>
  </si>
  <si>
    <t>N,N-DIMETHYLTRIAZENOBENZENE</t>
  </si>
  <si>
    <t>7227-91-0</t>
  </si>
  <si>
    <t>HALOSULFURON-METHYL</t>
  </si>
  <si>
    <t>100784-20-1</t>
  </si>
  <si>
    <t>2-METHOXY-3-AMINODIBENZOFURAN</t>
  </si>
  <si>
    <t>5834-17-3</t>
  </si>
  <si>
    <t>SULFOSULFURON</t>
  </si>
  <si>
    <t>141776-32-1</t>
  </si>
  <si>
    <t>3-CHLOROANILINE</t>
  </si>
  <si>
    <t>108-42-9</t>
  </si>
  <si>
    <t>Pyrimethanil</t>
  </si>
  <si>
    <t>53112-28-0</t>
  </si>
  <si>
    <t>Tricaine</t>
  </si>
  <si>
    <t>886-86-2</t>
  </si>
  <si>
    <t>Acetamide, N-(3-amino-4-ethoxyphenyl)-</t>
  </si>
  <si>
    <t>17026-81-2</t>
  </si>
  <si>
    <t>PRAZEPAM</t>
  </si>
  <si>
    <t>2955-38-6</t>
  </si>
  <si>
    <t>METHYLNITROAMINE</t>
  </si>
  <si>
    <t>598-57-2</t>
  </si>
  <si>
    <t>I-NICOTINAMIDE</t>
  </si>
  <si>
    <t>1453-82-3</t>
  </si>
  <si>
    <t>[1,1'-Biphenyl]-4,4'-diamine, 3,3'-dimethoxy-, dihydrochloride</t>
  </si>
  <si>
    <t>20325-40-0</t>
  </si>
  <si>
    <t>Diazinon</t>
  </si>
  <si>
    <t>333-41-5</t>
  </si>
  <si>
    <t>Benzenamine, 4-(4-chlorophenoxy)-</t>
  </si>
  <si>
    <t>101-79-1</t>
  </si>
  <si>
    <t>Gyromitrin</t>
  </si>
  <si>
    <t>16568-02-8</t>
  </si>
  <si>
    <t>Cloquintocet-mexyl</t>
  </si>
  <si>
    <t>99607-70-2</t>
  </si>
  <si>
    <t>PROCHLORAZ</t>
  </si>
  <si>
    <t>67747-09-5</t>
  </si>
  <si>
    <t>METSULFURON-METHYL</t>
  </si>
  <si>
    <t>74223-64-6</t>
  </si>
  <si>
    <t>3-FORMYLPYRIDINE</t>
  </si>
  <si>
    <t>500-22-1</t>
  </si>
  <si>
    <t>M-CHLOROBENZOIC ACID</t>
  </si>
  <si>
    <t>535-80-8</t>
  </si>
  <si>
    <t>4-CHLORO-1,2-BENZENEDIAMINE</t>
  </si>
  <si>
    <t>95-83-0</t>
  </si>
  <si>
    <t>Bentonite</t>
  </si>
  <si>
    <t>1302-78-9</t>
  </si>
  <si>
    <t>PHTHALAZINE</t>
  </si>
  <si>
    <t>253-52-1</t>
  </si>
  <si>
    <t>P-BROMOANILINE</t>
  </si>
  <si>
    <t>106-40-1</t>
  </si>
  <si>
    <t>alpha-Naphthylamine</t>
  </si>
  <si>
    <t>134-32-7</t>
  </si>
  <si>
    <t>Benzenamine, 2-ethyl-6-methyl-</t>
  </si>
  <si>
    <t>24549-06-2</t>
  </si>
  <si>
    <t>2,6-xylidine</t>
  </si>
  <si>
    <t>87-62-7</t>
  </si>
  <si>
    <t>5-AMINOQUINOLINE</t>
  </si>
  <si>
    <t>611-34-7</t>
  </si>
  <si>
    <t>1-PIPERIDINYLOXY, 2,2,6,6-TETRAMETHYL-4-OXO-</t>
  </si>
  <si>
    <t>2896-70-0</t>
  </si>
  <si>
    <t>BENZIDINE DIHYDROCHLORIDE</t>
  </si>
  <si>
    <t>531-85-1</t>
  </si>
  <si>
    <t>HARMONY</t>
  </si>
  <si>
    <t>79277-27-3</t>
  </si>
  <si>
    <t>DESMETRYNE</t>
  </si>
  <si>
    <t>1014-69-3</t>
  </si>
  <si>
    <t>SIMETRYN</t>
  </si>
  <si>
    <t>1014-70-6</t>
  </si>
  <si>
    <t>FUBERIDAZOLE</t>
  </si>
  <si>
    <t>3878-19-1</t>
  </si>
  <si>
    <t>Methapyrilene hydrochloride</t>
  </si>
  <si>
    <t>135-23-9</t>
  </si>
  <si>
    <t>2-DIBENZOFURANAMINE</t>
  </si>
  <si>
    <t>3693-22-9</t>
  </si>
  <si>
    <t>4'-FLUORO-4-AMINODIPHENYL</t>
  </si>
  <si>
    <t>324-93-6</t>
  </si>
  <si>
    <t>1-NAPHTHALENAMINE, N-ETHYL-</t>
  </si>
  <si>
    <t>118-44-5</t>
  </si>
  <si>
    <t>CARBENDAZIM</t>
  </si>
  <si>
    <t>10605-21-7</t>
  </si>
  <si>
    <t>AMITRAZ</t>
  </si>
  <si>
    <t>33089-61-1</t>
  </si>
  <si>
    <t>BENZO(H)QUINOLINE</t>
  </si>
  <si>
    <t>230-27-3</t>
  </si>
  <si>
    <t>MEBENDAZOLE</t>
  </si>
  <si>
    <t>31431-39-7</t>
  </si>
  <si>
    <t>M-METHOXYANILINE</t>
  </si>
  <si>
    <t>536-90-3</t>
  </si>
  <si>
    <t>TERBUTRYN</t>
  </si>
  <si>
    <t>886-50-0</t>
  </si>
  <si>
    <t>O-ETHYLANILINE</t>
  </si>
  <si>
    <t>578-54-1</t>
  </si>
  <si>
    <t>4-Aminobiphenyl</t>
  </si>
  <si>
    <t>92-67-1</t>
  </si>
  <si>
    <t>3-AMINO-9-ETHYLCARBAZOLE, HYDROCHLORIDE</t>
  </si>
  <si>
    <t>6109-97-3</t>
  </si>
  <si>
    <t>PHENOL, 3-AMINO-</t>
  </si>
  <si>
    <t>591-27-5</t>
  </si>
  <si>
    <t>4,4'-Methylene di-o-toluidine</t>
  </si>
  <si>
    <t>838-88-0</t>
  </si>
  <si>
    <t>2-Amino-3-methyl-3H-imidazo(4,5-f)quinoline</t>
  </si>
  <si>
    <t>76180-96-6</t>
  </si>
  <si>
    <t>1,5-DIAMINONAPHTHALENE</t>
  </si>
  <si>
    <t>2243-62-1</t>
  </si>
  <si>
    <t>CGA 219417 (CYPRODINIL)</t>
  </si>
  <si>
    <t>121552-61-2</t>
  </si>
  <si>
    <t>o-Toluidine</t>
  </si>
  <si>
    <t>95-53-4</t>
  </si>
  <si>
    <t>3-(Chloromethyl)pyridine hydrochloride</t>
  </si>
  <si>
    <t>6959-48-4</t>
  </si>
  <si>
    <t>2-PHENYLPYRIDINE</t>
  </si>
  <si>
    <t>1008-89-5</t>
  </si>
  <si>
    <t>PARATHION-AMINO</t>
  </si>
  <si>
    <t>670-22-2</t>
  </si>
  <si>
    <t>PHENYLBUTAZONE</t>
  </si>
  <si>
    <t>50-33-9</t>
  </si>
  <si>
    <t>[1,1'-Biphenyl]-4,4'-diamine, 3,3'-dimethyl-, dihydrochloride</t>
  </si>
  <si>
    <t>612-82-8</t>
  </si>
  <si>
    <t>3,3'-Dimethylbenzidine</t>
  </si>
  <si>
    <t>119-93-7</t>
  </si>
  <si>
    <t>PIRIMICARB</t>
  </si>
  <si>
    <t>23103-98-2</t>
  </si>
  <si>
    <t>o-Anisidine</t>
  </si>
  <si>
    <t>Sethoxydim</t>
  </si>
  <si>
    <t>74051-80-2</t>
  </si>
  <si>
    <t>FLUMETSULAM</t>
  </si>
  <si>
    <t>98967-40-9</t>
  </si>
  <si>
    <t>THIABENDAZOLE</t>
  </si>
  <si>
    <t>148-79-8</t>
  </si>
  <si>
    <t>Triasulfuron</t>
  </si>
  <si>
    <t>82097-50-5</t>
  </si>
  <si>
    <t>Pyrilamine maleate</t>
  </si>
  <si>
    <t>59-33-6</t>
  </si>
  <si>
    <t>Ethionamide</t>
  </si>
  <si>
    <t>536-33-4</t>
  </si>
  <si>
    <t>ANILINE HYDROCHLORIDE</t>
  </si>
  <si>
    <t>142-04-1</t>
  </si>
  <si>
    <t>m-Toluidine, hydrochloride</t>
  </si>
  <si>
    <t>638-03-9</t>
  </si>
  <si>
    <t>BENZ(A)ACRIDINE</t>
  </si>
  <si>
    <t>225-11-6</t>
  </si>
  <si>
    <t>Benz(c)acridine</t>
  </si>
  <si>
    <t>225-51-4</t>
  </si>
  <si>
    <t>2,3-DIMETHYLANILINE</t>
  </si>
  <si>
    <t>87-59-2</t>
  </si>
  <si>
    <t>4-PYRIDINEALDOXIME</t>
  </si>
  <si>
    <t>696-54-8</t>
  </si>
  <si>
    <t>4-FORMYLPYRIDINE</t>
  </si>
  <si>
    <t>872-85-5</t>
  </si>
  <si>
    <t>2-AMINO-4-(5-NITRO-2-FURYL)THIAZOLE</t>
  </si>
  <si>
    <t>38514-71-5</t>
  </si>
  <si>
    <t>9H-PYRIDO[3,4-B]INDOLE</t>
  </si>
  <si>
    <t>244-63-3</t>
  </si>
  <si>
    <t>2,4-DIMETHYLANILINE</t>
  </si>
  <si>
    <t>95-68-1</t>
  </si>
  <si>
    <t>1,2,4-Triazin-3-amine, 5,6-dimethyl-</t>
  </si>
  <si>
    <t>17584-12-2</t>
  </si>
  <si>
    <t>quinoline</t>
  </si>
  <si>
    <t>91-22-5</t>
  </si>
  <si>
    <t>Piperazine, 1-methyl-</t>
  </si>
  <si>
    <t>109-01-3</t>
  </si>
  <si>
    <t>PYRAZOPHOS</t>
  </si>
  <si>
    <t>13457-18-6</t>
  </si>
  <si>
    <t>m-Phenylenediamine dihydrochloride</t>
  </si>
  <si>
    <t>541-69-5</t>
  </si>
  <si>
    <t>Tridemorph</t>
  </si>
  <si>
    <t>24602-86-6</t>
  </si>
  <si>
    <t>P-ETHYLANILINE</t>
  </si>
  <si>
    <t>589-16-2</t>
  </si>
  <si>
    <t>N-Nitrosoanabasine</t>
  </si>
  <si>
    <t>1133-64-8</t>
  </si>
  <si>
    <t>Ethyrimol</t>
  </si>
  <si>
    <t>23947-60-6</t>
  </si>
  <si>
    <t>8-METHYLQUINOLINE</t>
  </si>
  <si>
    <t>611-32-5</t>
  </si>
  <si>
    <t>Benzenamine, N-ethyl-2-methyl-</t>
  </si>
  <si>
    <t>94-68-8</t>
  </si>
  <si>
    <t>HEXAZINONE</t>
  </si>
  <si>
    <t>51235-04-2</t>
  </si>
  <si>
    <t>2,4,5-Trimethylaniline hydrochloride</t>
  </si>
  <si>
    <t>21436-97-5</t>
  </si>
  <si>
    <t>p-Toluidine hydrochloride</t>
  </si>
  <si>
    <t>540-23-8</t>
  </si>
  <si>
    <t>P-TOLUIDINE</t>
  </si>
  <si>
    <t>106-49-0</t>
  </si>
  <si>
    <t>BENZENAMINE, 4-BUTYL-</t>
  </si>
  <si>
    <t>104-13-2</t>
  </si>
  <si>
    <t>P-DODECYLANILINE</t>
  </si>
  <si>
    <t>104-42-7</t>
  </si>
  <si>
    <t>4-Octylaniline</t>
  </si>
  <si>
    <t>16245-79-7</t>
  </si>
  <si>
    <t>4-Decylaniline</t>
  </si>
  <si>
    <t>37529-30-9</t>
  </si>
  <si>
    <t>2-BENZYLPYRIDINE</t>
  </si>
  <si>
    <t>101-82-6</t>
  </si>
  <si>
    <t>N,N-Dimethylaniline</t>
  </si>
  <si>
    <t>121-69-7</t>
  </si>
  <si>
    <t>2,4,5-Trimethylaniline</t>
  </si>
  <si>
    <t>137-17-7</t>
  </si>
  <si>
    <t>SULFOMETURON (pH 5-7)</t>
  </si>
  <si>
    <t>74222-97-2</t>
  </si>
  <si>
    <t>Cyromazine</t>
  </si>
  <si>
    <t>66215-27-8</t>
  </si>
  <si>
    <t>3,4-XYLIDINE</t>
  </si>
  <si>
    <t>95-64-7</t>
  </si>
  <si>
    <t>4-(4-N-METHYL-N-NITROSAMINOSTYRYL)QUINOLINE</t>
  </si>
  <si>
    <t>16699-10-8</t>
  </si>
  <si>
    <t>6-METHYLQUINOLINE</t>
  </si>
  <si>
    <t>91-62-3</t>
  </si>
  <si>
    <t>p-Anisidine</t>
  </si>
  <si>
    <t>104-94-9</t>
  </si>
  <si>
    <t>Ethanol, 2- ethyl(3-methylphenyl)amino -</t>
  </si>
  <si>
    <t>91-88-3</t>
  </si>
  <si>
    <t>MEXACARBATE</t>
  </si>
  <si>
    <t>315-18-4</t>
  </si>
  <si>
    <t>ISOQUINOLINE</t>
  </si>
  <si>
    <t>119-65-3</t>
  </si>
  <si>
    <t>ACRIDINE</t>
  </si>
  <si>
    <t>260-94-6</t>
  </si>
  <si>
    <t>PHENOL, 4-AMINO-</t>
  </si>
  <si>
    <t>Piperazine, 2-methyl-</t>
  </si>
  <si>
    <t>109-07-9</t>
  </si>
  <si>
    <t>4-PHENYLPYRIDINE</t>
  </si>
  <si>
    <t>939-23-1</t>
  </si>
  <si>
    <t>IMAZALIL BASE</t>
  </si>
  <si>
    <t>35554-44-0</t>
  </si>
  <si>
    <t>4-VINYLPYRIDINE</t>
  </si>
  <si>
    <t>100-43-6</t>
  </si>
  <si>
    <t>N,N,4-TRIMETHYLANILINE</t>
  </si>
  <si>
    <t>99-97-8</t>
  </si>
  <si>
    <t>MALEIC HYDRAZIDE</t>
  </si>
  <si>
    <t>123-33-1</t>
  </si>
  <si>
    <t>TRIFENMORPH</t>
  </si>
  <si>
    <t>1420-06-0</t>
  </si>
  <si>
    <t>2-ETHYLPYRIDINE</t>
  </si>
  <si>
    <t>100-71-0</t>
  </si>
  <si>
    <t>3-AMINOPYRIDINE</t>
  </si>
  <si>
    <t>462-08-8</t>
  </si>
  <si>
    <t>2-THIOURACIL</t>
  </si>
  <si>
    <t>141-90-2</t>
  </si>
  <si>
    <t>1H,3H,5H-Oxazolo 3,4-c oxazole, 7a-ethyldihydro-</t>
  </si>
  <si>
    <t>7747-35-5</t>
  </si>
  <si>
    <t>2,6-DIMETHYLQUINOLINE</t>
  </si>
  <si>
    <t>877-43-0</t>
  </si>
  <si>
    <t>PIROXICAM</t>
  </si>
  <si>
    <t>36322-90-4</t>
  </si>
  <si>
    <t>SULFADIAZINE</t>
  </si>
  <si>
    <t>68-35-9</t>
  </si>
  <si>
    <t>N-ETHYL-N'-NITRO-N-NITROSOGUANIDINE</t>
  </si>
  <si>
    <t>63885-23-4</t>
  </si>
  <si>
    <t>N-Nitroso-N-methyl-N'-nitroguanidine</t>
  </si>
  <si>
    <t>70-25-7</t>
  </si>
  <si>
    <t>N-PROPYL-N'-NITRO-N-NITROSOGUANIDINE</t>
  </si>
  <si>
    <t>13010-07-6</t>
  </si>
  <si>
    <t>Sulfentrazone</t>
  </si>
  <si>
    <t>122836-35-5</t>
  </si>
  <si>
    <t>RESERPINE</t>
  </si>
  <si>
    <t>50-55-5</t>
  </si>
  <si>
    <t>Buprofezin</t>
  </si>
  <si>
    <t>69327-76-0</t>
  </si>
  <si>
    <t>Astemizole</t>
  </si>
  <si>
    <t>68844-77-9</t>
  </si>
  <si>
    <t>1H-IMIDAZOLE, 1-(PHENYLMETHYL)-</t>
  </si>
  <si>
    <t>4238-71-5</t>
  </si>
  <si>
    <t>2-DIMETHYLAMINOPYRIDINE</t>
  </si>
  <si>
    <t>5683-33-0</t>
  </si>
  <si>
    <t>3-Amino-1-methyl-5H-pyrido(4,3-b)indole acetate</t>
  </si>
  <si>
    <t>72254-58-1</t>
  </si>
  <si>
    <t>CIMETIDINE</t>
  </si>
  <si>
    <t>51481-61-9</t>
  </si>
  <si>
    <t>1H-IMIDAZOLE, 4-METHYL-</t>
  </si>
  <si>
    <t>822-36-6</t>
  </si>
  <si>
    <t>2-AMINOPYRIDINE</t>
  </si>
  <si>
    <t>504-29-0</t>
  </si>
  <si>
    <t>Methylthiouracil</t>
  </si>
  <si>
    <t>56-04-2</t>
  </si>
  <si>
    <t>IMIDAZOLE</t>
  </si>
  <si>
    <t>288-32-4</t>
  </si>
  <si>
    <t>Retrorsine</t>
  </si>
  <si>
    <t>480-54-6</t>
  </si>
  <si>
    <t>1-Hexadecanamine, N,N-dimethyl-</t>
  </si>
  <si>
    <t>112-69-6</t>
  </si>
  <si>
    <t>Cartap</t>
  </si>
  <si>
    <t>15263-53-3</t>
  </si>
  <si>
    <t>1,1-Dimethyl hydrazine</t>
  </si>
  <si>
    <t>57-14-7</t>
  </si>
  <si>
    <t>S,S'-(2-(DIMETHYLAMINO)-1,3-PROPANEDIYL) CARBAM*</t>
  </si>
  <si>
    <t>15263-52-2</t>
  </si>
  <si>
    <t>Phenobarbital</t>
  </si>
  <si>
    <t>50-06-6</t>
  </si>
  <si>
    <t>UREA, N-ETHYL-N'-(5-NITRO-2-THIAZOLYL)-</t>
  </si>
  <si>
    <t>139-94-6</t>
  </si>
  <si>
    <t>PYRIMETHAMINE</t>
  </si>
  <si>
    <t>58-14-0</t>
  </si>
  <si>
    <t>Fenpropimorph</t>
  </si>
  <si>
    <t>67564-91-4</t>
  </si>
  <si>
    <t>HYDRAZINE, 1,1-DIBUTYL-</t>
  </si>
  <si>
    <t>7422-80-2</t>
  </si>
  <si>
    <t>SULFAMETHAZINE</t>
  </si>
  <si>
    <t>57-68-1</t>
  </si>
  <si>
    <t>Ethanol, 2-hydrazino-</t>
  </si>
  <si>
    <t>109-84-2</t>
  </si>
  <si>
    <t>1,3-Propanediamine, N,N-dimethyl-</t>
  </si>
  <si>
    <t>1H-IMIDAZOLE, 2-METHYL-</t>
  </si>
  <si>
    <t>693-98-1</t>
  </si>
  <si>
    <t>2-AMINOBENZIMIDAZOLE</t>
  </si>
  <si>
    <t>934-32-7</t>
  </si>
  <si>
    <t>ARECOLINE.HCl</t>
  </si>
  <si>
    <t>61-94-9</t>
  </si>
  <si>
    <t>Thiram</t>
  </si>
  <si>
    <t>137-26-8</t>
  </si>
  <si>
    <t>n-Butyl hydrazine hydrochloride</t>
  </si>
  <si>
    <t>56795-65-4</t>
  </si>
  <si>
    <t>n-PENTYLHYDRAZINE.HCl</t>
  </si>
  <si>
    <t>1119-68-2</t>
  </si>
  <si>
    <t>Morpholine, 2,6-dimethyl-</t>
  </si>
  <si>
    <t>141-91-3</t>
  </si>
  <si>
    <t>cis-2,6-dimethylmorpholine</t>
  </si>
  <si>
    <t>6485-55-8</t>
  </si>
  <si>
    <t>BRUCINE</t>
  </si>
  <si>
    <t>357-57-3</t>
  </si>
  <si>
    <t>O-HYDROXYBENZAMIDE</t>
  </si>
  <si>
    <t>65-45-2</t>
  </si>
  <si>
    <t>2-Propenoic acid, 2-(dimethylamino)ethyl ester</t>
  </si>
  <si>
    <t>MORPHOLINE</t>
  </si>
  <si>
    <t>110-91-8</t>
  </si>
  <si>
    <t>Acetimidoylphosphoramidothioic acid, O,O-bis(p-Chlorophenyl) ester</t>
  </si>
  <si>
    <t>4104-14-7</t>
  </si>
  <si>
    <t>N-METHYLDIETHANOLAMINE</t>
  </si>
  <si>
    <t>105-59-9</t>
  </si>
  <si>
    <t>Oxymetholone</t>
  </si>
  <si>
    <t>434-07-1</t>
  </si>
  <si>
    <t>Terbutaline</t>
  </si>
  <si>
    <t>23031-25-6</t>
  </si>
  <si>
    <t>THEOPHYLLINE</t>
  </si>
  <si>
    <t>58-55-9</t>
  </si>
  <si>
    <t>1,4-DIAZABICYCLO(2,2,2)OCTANE  (DABCO)</t>
  </si>
  <si>
    <t>280-57-9</t>
  </si>
  <si>
    <t>PARAROSANILINE</t>
  </si>
  <si>
    <t>569-61-9</t>
  </si>
  <si>
    <t>Diethanolamine</t>
  </si>
  <si>
    <t>HARMALINE</t>
  </si>
  <si>
    <t>304-21-2</t>
  </si>
  <si>
    <t>DODINE</t>
  </si>
  <si>
    <t>197-14-3</t>
  </si>
  <si>
    <t>5H-Pyrido(4,3-b)indol-3-amine, 1,4-dimethyl-, acetate</t>
  </si>
  <si>
    <t>75104-43-7</t>
  </si>
  <si>
    <t>4-AMINOPYRIDINE</t>
  </si>
  <si>
    <t>504-24-5</t>
  </si>
  <si>
    <t>2,4-IMIDAZOLIDINEDIONE, 5,5-DIMETHYL-</t>
  </si>
  <si>
    <t>77-71-4</t>
  </si>
  <si>
    <t>CHLORDIMEFORM</t>
  </si>
  <si>
    <t>6164-98-3</t>
  </si>
  <si>
    <t>BROMACIL</t>
  </si>
  <si>
    <t>314-40-9</t>
  </si>
  <si>
    <t>1,6-Hexanediamine, N,N,N',N'-tetramethyl-</t>
  </si>
  <si>
    <t>111-18-2</t>
  </si>
  <si>
    <t>1-Octanamine, N-methyl-N-octyl-</t>
  </si>
  <si>
    <t>4455-26-9</t>
  </si>
  <si>
    <t>URACIL</t>
  </si>
  <si>
    <t>66-22-8</t>
  </si>
  <si>
    <t>ETHANOLAMINE</t>
  </si>
  <si>
    <t>Albuterol</t>
  </si>
  <si>
    <t>18559-94-9</t>
  </si>
  <si>
    <t>Ethanol, 2-(2-aminoethoxy)-</t>
  </si>
  <si>
    <t>929-06-6</t>
  </si>
  <si>
    <t>Cymoxanil</t>
  </si>
  <si>
    <t>57966-95-7</t>
  </si>
  <si>
    <t>PIPERAZINE</t>
  </si>
  <si>
    <t>BENZENEMETHANAMINE, N-(1-METHYLETHYL)-</t>
  </si>
  <si>
    <t>102-97-6</t>
  </si>
  <si>
    <t>1,2-DIAMINOETHANE</t>
  </si>
  <si>
    <t>107-15-3</t>
  </si>
  <si>
    <t>Guanidine, N,N'''-1,6-hexanediylbis N'-cyano-</t>
  </si>
  <si>
    <t>15894-70-9</t>
  </si>
  <si>
    <t>1-AMINO-2-PROPANOL</t>
  </si>
  <si>
    <t>78-96-6</t>
  </si>
  <si>
    <t>2-(METHYLAMINO)ETHANOL</t>
  </si>
  <si>
    <t>109-83-1</t>
  </si>
  <si>
    <t>1,2-DIAMINOPROPANE</t>
  </si>
  <si>
    <t>78-90-0</t>
  </si>
  <si>
    <t>Cyclohexanamine, 4,4'-methylenebis 2-methyl-</t>
  </si>
  <si>
    <t>6864-37-5</t>
  </si>
  <si>
    <t>NITROFURAZONE</t>
  </si>
  <si>
    <t>59-87-0</t>
  </si>
  <si>
    <t>1-Octanamine, N,N-dimethyl-</t>
  </si>
  <si>
    <t>7378-99-6</t>
  </si>
  <si>
    <t>2-(BIS(1-METHYLETHYL)AMINO)ETHANOL</t>
  </si>
  <si>
    <t>96-80-0</t>
  </si>
  <si>
    <t>N,N'-DIPHENYLGUANIDINE</t>
  </si>
  <si>
    <t>102-06-7</t>
  </si>
  <si>
    <t>Cyclohexanamine, N,N-diethyl-</t>
  </si>
  <si>
    <t>91-65-6</t>
  </si>
  <si>
    <t>4-DIMETHYLAMINOPYRIDINE</t>
  </si>
  <si>
    <t>1122-58-3</t>
  </si>
  <si>
    <t>ETHYL DIMETHYLAMINE</t>
  </si>
  <si>
    <t>598-56-1</t>
  </si>
  <si>
    <t>2-AMINO-2-METHYL-1-PROPANOL</t>
  </si>
  <si>
    <t>124-68-5</t>
  </si>
  <si>
    <t>LENACIL</t>
  </si>
  <si>
    <t>96-63-9</t>
  </si>
  <si>
    <t>1-METHYL-PYRROLIDINE</t>
  </si>
  <si>
    <t>120-94-5</t>
  </si>
  <si>
    <t>2-Pentanamine, 2,4,4-trimethyl-</t>
  </si>
  <si>
    <t>107-45-9</t>
  </si>
  <si>
    <t>3-Methyl-2-butanamine</t>
  </si>
  <si>
    <t>598-74-3</t>
  </si>
  <si>
    <t>9-Octadecen-1-amine, (Z)-</t>
  </si>
  <si>
    <t>112-90-3</t>
  </si>
  <si>
    <t>PENTADECYLAMINE</t>
  </si>
  <si>
    <t>2570-26-5</t>
  </si>
  <si>
    <t>Cyclohexylmethylamine</t>
  </si>
  <si>
    <t>481-43-0</t>
  </si>
  <si>
    <t>1-Heptadecanamine</t>
  </si>
  <si>
    <t>4200-95-7</t>
  </si>
  <si>
    <t>2,2-DIMETHYL-1-PROPYLAMIN</t>
  </si>
  <si>
    <t>5813-64-9</t>
  </si>
  <si>
    <t>AMANTADINE</t>
  </si>
  <si>
    <t>768-94-5</t>
  </si>
  <si>
    <t>2-ETHYLHEXYLAMINE</t>
  </si>
  <si>
    <t>104-75-6</t>
  </si>
  <si>
    <t>TRIFORINE</t>
  </si>
  <si>
    <t>26644-46-2</t>
  </si>
  <si>
    <t>1,3-PROPANEDIAMINE</t>
  </si>
  <si>
    <t>109-76-2</t>
  </si>
  <si>
    <t>CYCLOHEXANAMINE</t>
  </si>
  <si>
    <t>N-PENTYLAMINE</t>
  </si>
  <si>
    <t>110-58-7</t>
  </si>
  <si>
    <t>N-DODECYLAMINE</t>
  </si>
  <si>
    <t>124-22-1</t>
  </si>
  <si>
    <t>N-DECYLAMINE</t>
  </si>
  <si>
    <t>2016-57-1</t>
  </si>
  <si>
    <t>N-OCTYLAMINE</t>
  </si>
  <si>
    <t>111-86-4</t>
  </si>
  <si>
    <t>PENTANAL METHYLFORMYLHYDRAZONE</t>
  </si>
  <si>
    <t>57590-20-2</t>
  </si>
  <si>
    <t>N,N'-DIMETHYLACETAMIDE</t>
  </si>
  <si>
    <t>127-19-5</t>
  </si>
  <si>
    <t>N-BUTYLAMINE</t>
  </si>
  <si>
    <t>109-73-9</t>
  </si>
  <si>
    <t>1-Hexanamine, N-hexyl-</t>
  </si>
  <si>
    <t>143-16-8</t>
  </si>
  <si>
    <t>Azocine, octahydro-</t>
  </si>
  <si>
    <t>1121-92-2</t>
  </si>
  <si>
    <t>ETHYLAMINE</t>
  </si>
  <si>
    <t>75-04-7</t>
  </si>
  <si>
    <t>RUBEANIC ACID</t>
  </si>
  <si>
    <t>79-40-3</t>
  </si>
  <si>
    <t>DIISOBUTYLAMINE</t>
  </si>
  <si>
    <t>110-96-3</t>
  </si>
  <si>
    <t>Dodine</t>
  </si>
  <si>
    <t>Ag(I)</t>
  </si>
  <si>
    <t>7440-22-4</t>
  </si>
  <si>
    <t>Al(III)</t>
  </si>
  <si>
    <t>7429-90-5</t>
  </si>
  <si>
    <t>As(III)</t>
  </si>
  <si>
    <t>7440-38-2</t>
  </si>
  <si>
    <t>As(V)</t>
  </si>
  <si>
    <t>Ba(II)</t>
  </si>
  <si>
    <t>7440-39-3</t>
  </si>
  <si>
    <t>Be(II)</t>
  </si>
  <si>
    <t>7440-41-7</t>
  </si>
  <si>
    <t>Cd(II)</t>
  </si>
  <si>
    <t>7440-43-9</t>
  </si>
  <si>
    <t>Co(II)</t>
  </si>
  <si>
    <t>7440-48-4</t>
  </si>
  <si>
    <t>Cr(III)</t>
  </si>
  <si>
    <t>16065-83-1</t>
  </si>
  <si>
    <t>Cr(VI)</t>
  </si>
  <si>
    <t>18540-29-9</t>
  </si>
  <si>
    <t>Cs(I)</t>
  </si>
  <si>
    <t>7440-46-2</t>
  </si>
  <si>
    <t>Cu(II)</t>
  </si>
  <si>
    <t>7440-50-8</t>
  </si>
  <si>
    <t>Fe(II)</t>
  </si>
  <si>
    <t>7439-89-6</t>
  </si>
  <si>
    <t>Fe(III)</t>
  </si>
  <si>
    <t>Hg(II)</t>
  </si>
  <si>
    <t>7439-97-6</t>
  </si>
  <si>
    <t>Mn(II)</t>
  </si>
  <si>
    <t>7439-96-5</t>
  </si>
  <si>
    <t>Mo(VI)</t>
  </si>
  <si>
    <t>7439-98-7</t>
  </si>
  <si>
    <t>Ni(II)</t>
  </si>
  <si>
    <t>7440-02-0</t>
  </si>
  <si>
    <t>Pb(II)</t>
  </si>
  <si>
    <t>7439-92-1</t>
  </si>
  <si>
    <t>Sb(III)</t>
  </si>
  <si>
    <t>7440-36-0</t>
  </si>
  <si>
    <t>Sb(V)</t>
  </si>
  <si>
    <t>Se(IV)</t>
  </si>
  <si>
    <t>7782-49-2</t>
  </si>
  <si>
    <t>Sn(II)</t>
  </si>
  <si>
    <t>7440-31-5</t>
  </si>
  <si>
    <t>Sr(II)</t>
  </si>
  <si>
    <t>7440-24-6</t>
  </si>
  <si>
    <t>Tl(I)</t>
  </si>
  <si>
    <t>7791-12-0</t>
  </si>
  <si>
    <t>V(V)</t>
  </si>
  <si>
    <t>1314-62-1</t>
  </si>
  <si>
    <t>Zn(II)</t>
  </si>
  <si>
    <t>M Schoorl et al. SimpleBox 4.0: a multimedia mass balance model for evaluating the fate of chemicals in the environment. RIVM report 2015-0161</t>
  </si>
  <si>
    <t>Fix formula</t>
  </si>
  <si>
    <t>J. Quik</t>
  </si>
  <si>
    <t>joris.quik@rivm.nl</t>
  </si>
  <si>
    <t>[fix] formula AerosolWashout.T</t>
  </si>
  <si>
    <t>[improvement] minor improvements (link to dynamic R script)</t>
  </si>
  <si>
    <t>[fix] waterflow from w1C to w1R (continental!K55) and RainRate.R ref (regional!K190-192)</t>
  </si>
  <si>
    <t>Total area land at Continental scale</t>
  </si>
  <si>
    <t>Total area sea at Continental scale</t>
  </si>
  <si>
    <t>TOTAREAland.C</t>
  </si>
  <si>
    <t>TOTAREAsea.C</t>
  </si>
  <si>
    <t>vs4.02</t>
  </si>
  <si>
    <t>[change] calculations of AREAland.C and AREAsea.C calculation of SYSTEMAREA.C</t>
  </si>
  <si>
    <t>No regional</t>
  </si>
  <si>
    <t>[improvement] updated lookup with match and isblank functions</t>
  </si>
  <si>
    <t>[addition] add No Regional case for removing regional scale for Contenental and global scale only calculations</t>
  </si>
  <si>
    <t>The DynamicCalculation macro, which depends on the Rexcell add-in, is not supported anymore. Please use the following R script:</t>
  </si>
  <si>
    <t>The R script can be found at https://github.com/jormercury/SimpleBox/blob/master/Dynamic_SB4_Rnotebook.md</t>
  </si>
  <si>
    <t>github.com/rivm-syso/SimpleBox</t>
  </si>
  <si>
    <t>A. Hollander et al. SimpleBox 4.0: improving the model while keeping it simple. DOI: 10.1016/j.chemosphere.2016.01.006 (2016)</t>
  </si>
  <si>
    <t>[Fix] formula for variables Fraers.aA and Fraerw.aA incorrectly used variables for Moderate scale instead of Arctic scale. This was fixed</t>
  </si>
  <si>
    <t>k.s1R.w0R</t>
  </si>
  <si>
    <t>k.s3R.w0R</t>
  </si>
  <si>
    <r>
      <t>[s</t>
    </r>
    <r>
      <rPr>
        <vertAlign val="superscript"/>
        <sz val="10"/>
        <color rgb="FFFF0000"/>
        <rFont val="Calibri"/>
        <family val="2"/>
      </rPr>
      <t>-1</t>
    </r>
    <r>
      <rPr>
        <sz val="10"/>
        <color rgb="FFFF0000"/>
        <rFont val="Calibri"/>
        <family val="2"/>
      </rPr>
      <t>]</t>
    </r>
  </si>
  <si>
    <t>k.s1C.w0C</t>
  </si>
  <si>
    <t>k.s2C.w0C</t>
  </si>
  <si>
    <t>k.s3C.w0C</t>
  </si>
  <si>
    <t>[Fix] 'in the regional scale: calculation of runoff for agricultural soil was related to FRACrun.s1R instead of FRACrun.s2R</t>
  </si>
  <si>
    <t>[Fix] 'Runoff was not being input to lake water (Regional and Continental). This is now implemented based on fraction surface area of W0 and W1</t>
  </si>
  <si>
    <t>k.s2R.w0R</t>
  </si>
  <si>
    <r>
      <t>[km</t>
    </r>
    <r>
      <rPr>
        <vertAlign val="superscript"/>
        <sz val="10"/>
        <color theme="1"/>
        <rFont val="Calibri"/>
        <family val="2"/>
      </rPr>
      <t>2</t>
    </r>
    <r>
      <rPr>
        <sz val="10"/>
        <color theme="1"/>
        <rFont val="Calibri"/>
        <family val="2"/>
      </rPr>
      <t>]</t>
    </r>
  </si>
  <si>
    <t>[Fix] 'In the continental scale: calculation of FRs.sx for the three soil types (natural, agricultural, other), all used the Kp for natural soil,</t>
  </si>
  <si>
    <t>instead of the one corresponding to the soil type. Changed to soiltype specific Kp. Formulas were already correct at regional scale</t>
  </si>
  <si>
    <t>vs4.04</t>
  </si>
  <si>
    <t>[fix] FRgas.Aa used variable from Moderate scale.</t>
  </si>
  <si>
    <t>[fix] Waterflow from w0R to W1R should be 10% of flow to the sea (w2) of freshwater (w1)</t>
  </si>
  <si>
    <t>TRANSFER rate natural soil - lake water</t>
  </si>
  <si>
    <t>TRANSFER rate agricultural soil - lake water</t>
  </si>
  <si>
    <t>TRANSFER rate other soil - lake water</t>
  </si>
  <si>
    <t>See changes for k.s1.w0C/R, k.s2.w0C/R, k.s3.w0C/R and .......w1. include the surface area correction</t>
  </si>
  <si>
    <r>
      <t xml:space="preserve">Take care that the cases related to comparison to SimpleBox v3.32 are </t>
    </r>
    <r>
      <rPr>
        <u/>
        <sz val="10"/>
        <rFont val="Calibri"/>
        <family val="2"/>
      </rPr>
      <t xml:space="preserve">not </t>
    </r>
    <r>
      <rPr>
        <sz val="10"/>
        <rFont val="Calibri"/>
        <family val="2"/>
      </rPr>
      <t>updated</t>
    </r>
  </si>
  <si>
    <r>
      <t>K</t>
    </r>
    <r>
      <rPr>
        <sz val="10"/>
        <rFont val="Calibri"/>
        <family val="2"/>
      </rPr>
      <t>sw</t>
    </r>
  </si>
  <si>
    <r>
      <rPr>
        <sz val="10"/>
        <rFont val="Calibri"/>
        <family val="2"/>
      </rPr>
      <t xml:space="preserve">Dimensionless gas/water PARTITION COEFFICIENT of the original species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</si>
  <si>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>K</t>
    </r>
    <r>
      <rPr>
        <sz val="10"/>
        <rFont val="Calibri"/>
        <family val="2"/>
      </rPr>
      <t>aw</t>
    </r>
  </si>
  <si>
    <r>
      <t xml:space="preserve">Octanol/water PARTITION COEFFICIENT </t>
    </r>
    <r>
      <rPr>
        <sz val="10"/>
        <rFont val="Calibri"/>
        <family val="2"/>
      </rPr>
      <t>of the original species</t>
    </r>
  </si>
  <si>
    <r>
      <t xml:space="preserve">Octanol/water PARTITION COEFFICIENT of </t>
    </r>
    <r>
      <rPr>
        <sz val="10"/>
        <rFont val="Calibri"/>
        <family val="2"/>
      </rPr>
      <t>alternate form</t>
    </r>
  </si>
  <si>
    <r>
      <t>Kow.</t>
    </r>
    <r>
      <rPr>
        <sz val="10"/>
        <rFont val="Calibri"/>
        <family val="2"/>
      </rPr>
      <t>alt</t>
    </r>
  </si>
  <si>
    <r>
      <t>Apparent o</t>
    </r>
    <r>
      <rPr>
        <sz val="10"/>
        <rFont val="Calibri"/>
        <family val="2"/>
      </rPr>
      <t>ctanol/water PARTITION COEFFICIENT at neutral pH</t>
    </r>
  </si>
  <si>
    <r>
      <t xml:space="preserve">VAPOR PRESSURE </t>
    </r>
    <r>
      <rPr>
        <sz val="10"/>
        <rFont val="Calibri"/>
        <family val="2"/>
      </rPr>
      <t xml:space="preserve">of original species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</si>
  <si>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Water SOLUBILITY </t>
    </r>
    <r>
      <rPr>
        <sz val="10"/>
        <rFont val="Calibri"/>
        <family val="2"/>
      </rPr>
      <t xml:space="preserve">of neutral species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</si>
  <si>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Gas phase degradation RATE CONSTANT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</si>
  <si>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Dissolved phase degradation RATE CONSTANT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</si>
  <si>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RATE INCREASE factor per 10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</si>
  <si>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Bulk degradation RATE CONSTANT standard sediment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</si>
  <si>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 xml:space="preserve">Bulk degradation RATE CONSTANT standard soil at 25 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</t>
    </r>
  </si>
  <si>
    <r>
      <t>Mixing</t>
    </r>
    <r>
      <rPr>
        <sz val="10"/>
        <rFont val="Calibri"/>
        <family val="2"/>
      </rPr>
      <t xml:space="preserve"> DEPTH natural soil compartment</t>
    </r>
  </si>
  <si>
    <r>
      <t xml:space="preserve">Mixing </t>
    </r>
    <r>
      <rPr>
        <sz val="10"/>
        <rFont val="Calibri"/>
        <family val="2"/>
      </rPr>
      <t>DEPTH agricultural soil compartment</t>
    </r>
  </si>
  <si>
    <r>
      <t>Mixing</t>
    </r>
    <r>
      <rPr>
        <sz val="10"/>
        <rFont val="Calibri"/>
        <family val="2"/>
      </rPr>
      <t xml:space="preserve"> DEPTH other soil compartment</t>
    </r>
  </si>
  <si>
    <r>
      <t>FRAC</t>
    </r>
    <r>
      <rPr>
        <sz val="10"/>
        <rFont val="Calibri"/>
        <family val="2"/>
      </rPr>
      <t>aers.aR</t>
    </r>
  </si>
  <si>
    <r>
      <t>FRAC</t>
    </r>
    <r>
      <rPr>
        <sz val="10"/>
        <rFont val="Calibri"/>
        <family val="2"/>
      </rPr>
      <t>aerw.aR</t>
    </r>
  </si>
  <si>
    <r>
      <t xml:space="preserve">FRACTION of chemical in gas phase </t>
    </r>
    <r>
      <rPr>
        <sz val="10"/>
        <rFont val="Calibri"/>
        <family val="2"/>
      </rPr>
      <t>of air</t>
    </r>
  </si>
  <si>
    <r>
      <t>FR</t>
    </r>
    <r>
      <rPr>
        <sz val="10"/>
        <rFont val="Calibri"/>
        <family val="2"/>
      </rPr>
      <t>gas.aR</t>
    </r>
  </si>
  <si>
    <r>
      <t xml:space="preserve">Dimensionless air/water PARTITION COEFFICIENT </t>
    </r>
    <r>
      <rPr>
        <sz val="10"/>
        <rFont val="Calibri"/>
        <family val="2"/>
      </rPr>
      <t>of original species at regional temp</t>
    </r>
  </si>
  <si>
    <r>
      <t>K</t>
    </r>
    <r>
      <rPr>
        <sz val="10"/>
        <rFont val="Calibri"/>
        <family val="2"/>
      </rPr>
      <t>aw.R</t>
    </r>
  </si>
  <si>
    <r>
      <t xml:space="preserve">FRACTION of chemical </t>
    </r>
    <r>
      <rPr>
        <sz val="10"/>
        <rFont val="Calibri"/>
        <family val="2"/>
      </rPr>
      <t>truely dissolved in water phase fresh water</t>
    </r>
  </si>
  <si>
    <r>
      <t xml:space="preserve">FRACTION of chemical </t>
    </r>
    <r>
      <rPr>
        <sz val="10"/>
        <rFont val="Calibri"/>
        <family val="2"/>
      </rPr>
      <t>truely dissolved in water phase sea water</t>
    </r>
  </si>
  <si>
    <r>
      <t xml:space="preserve">MEAN atmospheric deposition rate </t>
    </r>
    <r>
      <rPr>
        <sz val="10"/>
        <rFont val="Calibri"/>
        <family val="2"/>
      </rPr>
      <t>constant</t>
    </r>
  </si>
  <si>
    <r>
      <t xml:space="preserve">Mean </t>
    </r>
    <r>
      <rPr>
        <sz val="10"/>
        <rFont val="Calibri"/>
        <family val="2"/>
      </rPr>
      <t>removal rate constant from atmosphere</t>
    </r>
  </si>
  <si>
    <r>
      <t xml:space="preserve">Total </t>
    </r>
    <r>
      <rPr>
        <sz val="10"/>
        <rFont val="Calibri"/>
        <family val="2"/>
      </rPr>
      <t>removal rate constant from atmosphere during dry episodes</t>
    </r>
  </si>
  <si>
    <r>
      <t xml:space="preserve">Total </t>
    </r>
    <r>
      <rPr>
        <sz val="10"/>
        <rFont val="Calibri"/>
        <family val="2"/>
      </rPr>
      <t>removal rate constant from atmosphere during wet episodes</t>
    </r>
  </si>
  <si>
    <r>
      <rPr>
        <sz val="10"/>
        <rFont val="Calibri"/>
        <family val="2"/>
      </rPr>
      <t>MTCaw.air.aR</t>
    </r>
  </si>
  <si>
    <r>
      <rPr>
        <sz val="10"/>
        <rFont val="Calibri"/>
        <family val="2"/>
      </rPr>
      <t>MTCaw.water.wR</t>
    </r>
  </si>
  <si>
    <r>
      <rPr>
        <sz val="10"/>
        <rFont val="Calibri"/>
        <family val="2"/>
      </rPr>
      <t>MTCas.air.aR</t>
    </r>
  </si>
  <si>
    <r>
      <rPr>
        <sz val="10"/>
        <rFont val="Calibri"/>
        <family val="2"/>
      </rPr>
      <t>MTCas.soil.sR</t>
    </r>
  </si>
  <si>
    <r>
      <t>Mixing</t>
    </r>
    <r>
      <rPr>
        <sz val="10"/>
        <rFont val="Calibri"/>
        <family val="2"/>
      </rPr>
      <t xml:space="preserve"> DEPTH agricultural soil compartment</t>
    </r>
  </si>
  <si>
    <r>
      <t>FRAC</t>
    </r>
    <r>
      <rPr>
        <sz val="10"/>
        <rFont val="Calibri"/>
        <family val="2"/>
      </rPr>
      <t>aers.aC</t>
    </r>
  </si>
  <si>
    <r>
      <t>FRAC</t>
    </r>
    <r>
      <rPr>
        <sz val="10"/>
        <rFont val="Calibri"/>
        <family val="2"/>
      </rPr>
      <t>aerw.aC</t>
    </r>
  </si>
  <si>
    <r>
      <t>FR</t>
    </r>
    <r>
      <rPr>
        <sz val="10"/>
        <rFont val="Calibri"/>
        <family val="2"/>
      </rPr>
      <t>gas.aC</t>
    </r>
  </si>
  <si>
    <r>
      <t>K</t>
    </r>
    <r>
      <rPr>
        <sz val="10"/>
        <rFont val="Calibri"/>
        <family val="2"/>
      </rPr>
      <t>aw.C</t>
    </r>
  </si>
  <si>
    <r>
      <rPr>
        <sz val="10"/>
        <rFont val="Calibri"/>
        <family val="2"/>
      </rPr>
      <t>MTCaw.air.aC</t>
    </r>
  </si>
  <si>
    <r>
      <rPr>
        <sz val="10"/>
        <rFont val="Calibri"/>
        <family val="2"/>
      </rPr>
      <t>MTCaw.water.wC</t>
    </r>
  </si>
  <si>
    <r>
      <rPr>
        <sz val="10"/>
        <rFont val="Calibri"/>
        <family val="2"/>
      </rPr>
      <t>MTCas.air.aC</t>
    </r>
  </si>
  <si>
    <r>
      <rPr>
        <sz val="10"/>
        <rFont val="Calibri"/>
        <family val="2"/>
      </rPr>
      <t>MTCas.soil.sC</t>
    </r>
  </si>
  <si>
    <r>
      <t xml:space="preserve">AREA FRACTION </t>
    </r>
    <r>
      <rPr>
        <sz val="10"/>
        <rFont val="Calibri"/>
        <family val="2"/>
      </rPr>
      <t>ocean</t>
    </r>
  </si>
  <si>
    <r>
      <t xml:space="preserve">AREA FRACTION </t>
    </r>
    <r>
      <rPr>
        <sz val="10"/>
        <rFont val="Calibri"/>
        <family val="2"/>
      </rPr>
      <t>land</t>
    </r>
  </si>
  <si>
    <r>
      <t>Mixing</t>
    </r>
    <r>
      <rPr>
        <sz val="10"/>
        <rFont val="Calibri"/>
        <family val="2"/>
      </rPr>
      <t xml:space="preserve"> DEPTH soil compartment</t>
    </r>
  </si>
  <si>
    <r>
      <t>FRAC</t>
    </r>
    <r>
      <rPr>
        <sz val="10"/>
        <rFont val="Calibri"/>
        <family val="2"/>
      </rPr>
      <t>aers.aM</t>
    </r>
  </si>
  <si>
    <r>
      <t>FRAC</t>
    </r>
    <r>
      <rPr>
        <sz val="10"/>
        <rFont val="Calibri"/>
        <family val="2"/>
      </rPr>
      <t>aerw.aM</t>
    </r>
  </si>
  <si>
    <r>
      <t xml:space="preserve">TRANSFER rate moderate </t>
    </r>
    <r>
      <rPr>
        <sz val="10"/>
        <rFont val="Calibri"/>
        <family val="2"/>
      </rPr>
      <t>surface ocean - continental sea water</t>
    </r>
  </si>
  <si>
    <r>
      <t xml:space="preserve">TRANSFER rate moderate </t>
    </r>
    <r>
      <rPr>
        <sz val="10"/>
        <rFont val="Calibri"/>
        <family val="2"/>
      </rPr>
      <t>surface ocean - arctic surface ocean</t>
    </r>
  </si>
  <si>
    <r>
      <t xml:space="preserve">TRANSFER rate moderate </t>
    </r>
    <r>
      <rPr>
        <sz val="10"/>
        <rFont val="Calibri"/>
        <family val="2"/>
      </rPr>
      <t>surface ocean - tropical surface ocean</t>
    </r>
  </si>
  <si>
    <r>
      <t>FR</t>
    </r>
    <r>
      <rPr>
        <sz val="10"/>
        <rFont val="Calibri"/>
        <family val="2"/>
      </rPr>
      <t>gas.aM</t>
    </r>
  </si>
  <si>
    <r>
      <t>K</t>
    </r>
    <r>
      <rPr>
        <sz val="10"/>
        <rFont val="Calibri"/>
        <family val="2"/>
      </rPr>
      <t>aw.M</t>
    </r>
  </si>
  <si>
    <r>
      <t xml:space="preserve">FRACTION of chemical </t>
    </r>
    <r>
      <rPr>
        <sz val="10"/>
        <rFont val="Calibri"/>
        <family val="2"/>
      </rPr>
      <t>truly dissolved in surface ocean water</t>
    </r>
  </si>
  <si>
    <r>
      <t xml:space="preserve">Suspended solids/water PARTITION COEFFICIENT </t>
    </r>
    <r>
      <rPr>
        <sz val="10"/>
        <rFont val="Calibri"/>
        <family val="2"/>
      </rPr>
      <t>surface ocean</t>
    </r>
  </si>
  <si>
    <r>
      <t xml:space="preserve">Mass FRACTION organic carbon in suspended matter </t>
    </r>
    <r>
      <rPr>
        <sz val="10"/>
        <rFont val="Calibri"/>
        <family val="2"/>
      </rPr>
      <t>surface ocean</t>
    </r>
  </si>
  <si>
    <r>
      <t xml:space="preserve">CONCENTRATION suspended matter in </t>
    </r>
    <r>
      <rPr>
        <sz val="10"/>
        <rFont val="Calibri"/>
        <family val="2"/>
      </rPr>
      <t>surface ocean</t>
    </r>
  </si>
  <si>
    <r>
      <t xml:space="preserve">Colloidal organic matter/water partition coefficient </t>
    </r>
    <r>
      <rPr>
        <sz val="10"/>
        <rFont val="Calibri"/>
        <family val="2"/>
      </rPr>
      <t>surface ocean</t>
    </r>
  </si>
  <si>
    <r>
      <t xml:space="preserve">Concentration of colloidal organic matter in </t>
    </r>
    <r>
      <rPr>
        <sz val="10"/>
        <rFont val="Calibri"/>
        <family val="2"/>
      </rPr>
      <t>surface ocean</t>
    </r>
  </si>
  <si>
    <r>
      <t>K</t>
    </r>
    <r>
      <rPr>
        <sz val="10"/>
        <rFont val="Calibri"/>
        <family val="2"/>
      </rPr>
      <t>slw.M</t>
    </r>
  </si>
  <si>
    <r>
      <rPr>
        <sz val="10"/>
        <rFont val="Calibri"/>
        <family val="2"/>
      </rPr>
      <t>MTCaw.air.aM</t>
    </r>
  </si>
  <si>
    <r>
      <rPr>
        <sz val="10"/>
        <rFont val="Calibri"/>
        <family val="2"/>
      </rPr>
      <t>MTCaw.water.wM</t>
    </r>
  </si>
  <si>
    <r>
      <rPr>
        <sz val="10"/>
        <rFont val="Calibri"/>
        <family val="2"/>
      </rPr>
      <t>MTCas.air.aM</t>
    </r>
  </si>
  <si>
    <r>
      <rPr>
        <sz val="10"/>
        <rFont val="Calibri"/>
        <family val="2"/>
      </rPr>
      <t>MTCas.soil.sM</t>
    </r>
  </si>
  <si>
    <r>
      <t xml:space="preserve">REMOVAL from </t>
    </r>
    <r>
      <rPr>
        <sz val="10"/>
        <rFont val="Calibri"/>
        <family val="2"/>
      </rPr>
      <t>surface ocean</t>
    </r>
  </si>
  <si>
    <r>
      <t xml:space="preserve">DEGRADATION in </t>
    </r>
    <r>
      <rPr>
        <sz val="10"/>
        <rFont val="Calibri"/>
        <family val="2"/>
      </rPr>
      <t>surface ocean water</t>
    </r>
  </si>
  <si>
    <r>
      <t xml:space="preserve">Concentration BACTERIA in </t>
    </r>
    <r>
      <rPr>
        <sz val="10"/>
        <rFont val="Calibri"/>
        <family val="2"/>
      </rPr>
      <t>surface ocean</t>
    </r>
  </si>
  <si>
    <r>
      <t xml:space="preserve">VOLUME </t>
    </r>
    <r>
      <rPr>
        <sz val="10"/>
        <rFont val="Calibri"/>
        <family val="2"/>
      </rPr>
      <t>surface ocean</t>
    </r>
  </si>
  <si>
    <r>
      <t>FRAC</t>
    </r>
    <r>
      <rPr>
        <sz val="10"/>
        <rFont val="Calibri"/>
        <family val="2"/>
      </rPr>
      <t>aers.aA</t>
    </r>
  </si>
  <si>
    <r>
      <t>FRAC</t>
    </r>
    <r>
      <rPr>
        <sz val="10"/>
        <rFont val="Calibri"/>
        <family val="2"/>
      </rPr>
      <t>aerw.aA</t>
    </r>
  </si>
  <si>
    <r>
      <t>FR</t>
    </r>
    <r>
      <rPr>
        <sz val="10"/>
        <rFont val="Calibri"/>
        <family val="2"/>
      </rPr>
      <t>gas.aA</t>
    </r>
  </si>
  <si>
    <r>
      <t>K</t>
    </r>
    <r>
      <rPr>
        <sz val="10"/>
        <rFont val="Calibri"/>
        <family val="2"/>
      </rPr>
      <t>aw.A</t>
    </r>
  </si>
  <si>
    <r>
      <t>K</t>
    </r>
    <r>
      <rPr>
        <sz val="10"/>
        <rFont val="Calibri"/>
        <family val="2"/>
      </rPr>
      <t>slw.A</t>
    </r>
  </si>
  <si>
    <r>
      <rPr>
        <sz val="10"/>
        <rFont val="Calibri"/>
        <family val="2"/>
      </rPr>
      <t>MTCaw.air.aA</t>
    </r>
  </si>
  <si>
    <r>
      <rPr>
        <sz val="10"/>
        <rFont val="Calibri"/>
        <family val="2"/>
      </rPr>
      <t>MTCaw.water.wA</t>
    </r>
  </si>
  <si>
    <r>
      <rPr>
        <sz val="10"/>
        <rFont val="Calibri"/>
        <family val="2"/>
      </rPr>
      <t>MTCas.air.aA</t>
    </r>
  </si>
  <si>
    <r>
      <rPr>
        <sz val="10"/>
        <rFont val="Calibri"/>
        <family val="2"/>
      </rPr>
      <t>MTCas.soil.sA</t>
    </r>
  </si>
  <si>
    <r>
      <t>FRAC</t>
    </r>
    <r>
      <rPr>
        <sz val="10"/>
        <rFont val="Calibri"/>
        <family val="2"/>
      </rPr>
      <t>aers.aT</t>
    </r>
  </si>
  <si>
    <r>
      <t>FRAC</t>
    </r>
    <r>
      <rPr>
        <sz val="10"/>
        <rFont val="Calibri"/>
        <family val="2"/>
      </rPr>
      <t>aerw.aT</t>
    </r>
  </si>
  <si>
    <r>
      <t>FR</t>
    </r>
    <r>
      <rPr>
        <sz val="10"/>
        <rFont val="Calibri"/>
        <family val="2"/>
      </rPr>
      <t>gas.aT</t>
    </r>
  </si>
  <si>
    <r>
      <t>K</t>
    </r>
    <r>
      <rPr>
        <sz val="10"/>
        <rFont val="Calibri"/>
        <family val="2"/>
      </rPr>
      <t>aw.T</t>
    </r>
  </si>
  <si>
    <r>
      <t>K</t>
    </r>
    <r>
      <rPr>
        <sz val="10"/>
        <rFont val="Calibri"/>
        <family val="2"/>
      </rPr>
      <t>slw.T</t>
    </r>
  </si>
  <si>
    <r>
      <rPr>
        <sz val="10"/>
        <rFont val="Calibri"/>
        <family val="2"/>
      </rPr>
      <t>MTCaw.air.aT</t>
    </r>
  </si>
  <si>
    <r>
      <rPr>
        <sz val="10"/>
        <rFont val="Calibri"/>
        <family val="2"/>
      </rPr>
      <t>MTCaw.water.wT</t>
    </r>
  </si>
  <si>
    <r>
      <rPr>
        <sz val="10"/>
        <rFont val="Calibri"/>
        <family val="2"/>
      </rPr>
      <t>MTCas.air.aT</t>
    </r>
  </si>
  <si>
    <r>
      <rPr>
        <sz val="10"/>
        <rFont val="Calibri"/>
        <family val="2"/>
      </rPr>
      <t>MTCas.soil.sT</t>
    </r>
  </si>
  <si>
    <r>
      <t>[m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]</t>
    </r>
  </si>
  <si>
    <r>
      <t>[km</t>
    </r>
    <r>
      <rPr>
        <vertAlign val="superscript"/>
        <sz val="10"/>
        <rFont val="Calibri"/>
        <family val="2"/>
      </rPr>
      <t>2</t>
    </r>
    <r>
      <rPr>
        <sz val="10"/>
        <rFont val="Calibri"/>
        <family val="2"/>
      </rPr>
      <t>]</t>
    </r>
  </si>
  <si>
    <r>
      <t>[s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</si>
  <si>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</si>
  <si>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m</t>
    </r>
    <r>
      <rPr>
        <vertAlign val="superscript"/>
        <sz val="10"/>
        <rFont val="Calibri"/>
        <family val="2"/>
      </rPr>
      <t>3</t>
    </r>
    <r>
      <rPr>
        <sz val="10"/>
        <rFont val="Calibri"/>
        <family val="2"/>
      </rPr>
      <t>.s</t>
    </r>
    <r>
      <rPr>
        <vertAlign val="superscript"/>
        <sz val="10"/>
        <rFont val="Calibri"/>
        <family val="2"/>
      </rPr>
      <t>-1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</si>
  <si>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w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</si>
  <si>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aerw</t>
    </r>
    <r>
      <rPr>
        <sz val="10"/>
        <rFont val="Calibri"/>
        <family val="2"/>
      </rPr>
      <t>]</t>
    </r>
  </si>
  <si>
    <r>
      <t>[m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aers</t>
    </r>
    <r>
      <rPr>
        <sz val="10"/>
        <rFont val="Calibri"/>
        <family val="2"/>
      </rPr>
      <t>]</t>
    </r>
  </si>
  <si>
    <r>
      <t>[L.kg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</si>
  <si>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[mg.L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</si>
  <si>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[m.s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</si>
  <si>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</t>
    </r>
    <r>
      <rPr>
        <sz val="10"/>
        <rFont val="Calibri"/>
        <family val="2"/>
      </rPr>
      <t>m.s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</si>
  <si>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rPr>
        <sz val="10"/>
        <rFont val="Calibri"/>
        <family val="2"/>
      </rPr>
      <t>m.s</t>
    </r>
    <r>
      <rPr>
        <vertAlign val="superscript"/>
        <sz val="10"/>
        <rFont val="Calibri"/>
        <family val="2"/>
      </rPr>
      <t>-1</t>
    </r>
  </si>
  <si>
    <r>
      <t>[g.m</t>
    </r>
    <r>
      <rPr>
        <vertAlign val="superscript"/>
        <sz val="10"/>
        <rFont val="Calibri"/>
        <family val="2"/>
      </rPr>
      <t>-2</t>
    </r>
    <r>
      <rPr>
        <sz val="10"/>
        <rFont val="Calibri"/>
        <family val="2"/>
      </rPr>
      <t>.yr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</si>
  <si>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r>
      <t>[cm</t>
    </r>
    <r>
      <rPr>
        <vertAlign val="superscript"/>
        <sz val="10"/>
        <rFont val="Calibri"/>
        <family val="2"/>
      </rPr>
      <t>-3</t>
    </r>
    <r>
      <rPr>
        <sz val="10"/>
        <rFont val="Calibri"/>
        <family val="2"/>
      </rPr>
      <t>]</t>
    </r>
  </si>
  <si>
    <r>
      <t>[</t>
    </r>
    <r>
      <rPr>
        <vertAlign val="superscript"/>
        <sz val="10"/>
        <rFont val="Calibri"/>
        <family val="2"/>
      </rPr>
      <t>o</t>
    </r>
    <r>
      <rPr>
        <sz val="10"/>
        <rFont val="Calibri"/>
        <family val="2"/>
      </rPr>
      <t>C]</t>
    </r>
  </si>
  <si>
    <r>
      <t>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aerw</t>
    </r>
  </si>
  <si>
    <r>
      <t>m</t>
    </r>
    <r>
      <rPr>
        <vertAlign val="superscript"/>
        <sz val="10"/>
        <rFont val="Calibri"/>
        <family val="2"/>
      </rPr>
      <t>3</t>
    </r>
    <r>
      <rPr>
        <vertAlign val="subscript"/>
        <sz val="10"/>
        <rFont val="Calibri"/>
        <family val="2"/>
      </rPr>
      <t xml:space="preserve">a </t>
    </r>
    <r>
      <rPr>
        <sz val="10"/>
        <rFont val="Calibri"/>
        <family val="2"/>
      </rPr>
      <t>m</t>
    </r>
    <r>
      <rPr>
        <vertAlign val="superscript"/>
        <sz val="10"/>
        <rFont val="Calibri"/>
        <family val="2"/>
      </rPr>
      <t>-3</t>
    </r>
    <r>
      <rPr>
        <vertAlign val="subscript"/>
        <sz val="10"/>
        <rFont val="Calibri"/>
        <family val="2"/>
      </rPr>
      <t>aers</t>
    </r>
  </si>
  <si>
    <r>
      <t>[mm.yr</t>
    </r>
    <r>
      <rPr>
        <vertAlign val="superscript"/>
        <sz val="10"/>
        <rFont val="Calibri"/>
        <family val="2"/>
      </rPr>
      <t>-1</t>
    </r>
    <r>
      <rPr>
        <sz val="10"/>
        <rFont val="Calibri"/>
        <family val="2"/>
      </rPr>
      <t>]</t>
    </r>
  </si>
  <si>
    <t>Perfluorobutanoic acid (PFBA)</t>
  </si>
  <si>
    <t>375-22-4</t>
  </si>
  <si>
    <t>Perfluoropentanoic acid (PFPeA)</t>
  </si>
  <si>
    <t>2706-90-3</t>
  </si>
  <si>
    <t>Perfluorobutane sulfonic acid (PFBS)</t>
  </si>
  <si>
    <t>375-73-5</t>
  </si>
  <si>
    <t>Acetic acid</t>
  </si>
  <si>
    <t>Hexadecyltrimethoxysilane</t>
  </si>
  <si>
    <t>16415-12-6</t>
  </si>
  <si>
    <t>Octyltrimethoxysilane</t>
  </si>
  <si>
    <t>3069-40-7</t>
  </si>
  <si>
    <t>107-46-0</t>
  </si>
  <si>
    <t>1185-55-3</t>
  </si>
  <si>
    <t>2996-92-1</t>
  </si>
  <si>
    <t>2-Octenylsuccinic anhydride</t>
  </si>
  <si>
    <t>42482-06-4</t>
  </si>
  <si>
    <t>Dodecyltriethoxysilane</t>
  </si>
  <si>
    <t>18536-91-9</t>
  </si>
  <si>
    <t>Glycerol</t>
  </si>
  <si>
    <t>https://comptox.epa.gov/dashboard/chemical/properties/DTXSID4059916</t>
  </si>
  <si>
    <t xml:space="preserve">https://comptox.epa.gov/dashboard/chemical/properties/DTXSID6062599 </t>
  </si>
  <si>
    <t>Perfluorohexanoic acid (PFHxA)</t>
  </si>
  <si>
    <t>307-24-4</t>
  </si>
  <si>
    <t xml:space="preserve">https://comptox.epa.gov/dashboard/chemical/properties/DTXSID3031862 </t>
  </si>
  <si>
    <t>Perfluoroheptanoic acid (PFHpA)</t>
  </si>
  <si>
    <t>375-85-9</t>
  </si>
  <si>
    <t xml:space="preserve">https://comptox.epa.gov/dashboard/chemical/properties/DTXSID1037303 </t>
  </si>
  <si>
    <t>Perfluorooctanoic acid (PFOA)</t>
  </si>
  <si>
    <t>335-67-1</t>
  </si>
  <si>
    <t xml:space="preserve">https://comptox.epa.gov/dashboard/chemical/properties/DTXSID8031865 </t>
  </si>
  <si>
    <t>Perfluorononanoic acid (PFNA)</t>
  </si>
  <si>
    <t>375-95-1</t>
  </si>
  <si>
    <t xml:space="preserve">https://comptox.epa.gov/dashboard/chemical/properties/DTXSID8031863 </t>
  </si>
  <si>
    <t>Perfluorodecanoic acid (PFDA)</t>
  </si>
  <si>
    <t>335-76-2</t>
  </si>
  <si>
    <t xml:space="preserve">https://comptox.epa.gov/dashboard/chemical/properties/DTXSID3031860 </t>
  </si>
  <si>
    <t>Perfluoroundecanoic acid (PFUnA)</t>
  </si>
  <si>
    <t>2058-94-8</t>
  </si>
  <si>
    <t xml:space="preserve">https://comptox.epa.gov/dashboard/chemical/properties/DTXSID8047553 </t>
  </si>
  <si>
    <t>Perfluorododecanoic acid (PFDoDA)</t>
  </si>
  <si>
    <t>307-55-1</t>
  </si>
  <si>
    <t xml:space="preserve">https://comptox.epa.gov/dashboard/chemical/properties/DTXSID8031861 </t>
  </si>
  <si>
    <t>Perfluorotridecanoic acid (PFTrDA)</t>
  </si>
  <si>
    <t>72629-94-8</t>
  </si>
  <si>
    <t xml:space="preserve">https://comptox.epa.gov/dashboard/chemical/properties/DTXSID90868151 </t>
  </si>
  <si>
    <t>Perfluorotetradecanoic acid (PFTeDA)</t>
  </si>
  <si>
    <t>376-06-7</t>
  </si>
  <si>
    <t xml:space="preserve">https://comptox.epa.gov/dashboard/chemical/properties/DTXSID3059921 </t>
  </si>
  <si>
    <t xml:space="preserve">https://comptox.epa.gov/dashboard/chemical/properties/DTXSID5030030 </t>
  </si>
  <si>
    <t>Perfluoropentane sulfonic acid (PFPeS)</t>
  </si>
  <si>
    <t>2706-91-4</t>
  </si>
  <si>
    <t xml:space="preserve">https://comptox.epa.gov/dashboard/chemical/properties/DTXSID8062600 </t>
  </si>
  <si>
    <t>Perfluorohexane sulfonic acid (PFHxS)</t>
  </si>
  <si>
    <t>355-46-4</t>
  </si>
  <si>
    <t xml:space="preserve">https://comptox.epa.gov/dashboard/chemical/properties/DTXSID7040150 </t>
  </si>
  <si>
    <t>Perfluoroheptane sulfonic acid (PFHpS)</t>
  </si>
  <si>
    <t>375-92-8</t>
  </si>
  <si>
    <t xml:space="preserve">https://comptox.epa.gov/dashboard/chemical/properties/DTXSID8059920 </t>
  </si>
  <si>
    <t>Perfluoroooctane sulfonic acid (PFOS)</t>
  </si>
  <si>
    <t>1763-23-1</t>
  </si>
  <si>
    <t xml:space="preserve">https://comptox.epa.gov/dashboard/chemical/properties/DTXSID3031864 </t>
  </si>
  <si>
    <t>Perfluorononane sulfonic acid (PFNS)</t>
  </si>
  <si>
    <t>68259-12-1</t>
  </si>
  <si>
    <t xml:space="preserve">https://comptox.epa.gov/dashboard/chemical/properties/DTXSID8071356 </t>
  </si>
  <si>
    <t>Perfluorodecane sulfonic acid (PFDS)</t>
  </si>
  <si>
    <t>335-77-3</t>
  </si>
  <si>
    <t xml:space="preserve">https://comptox.epa.gov/dashboard/chemical/properties/DTXSID3040148 </t>
  </si>
  <si>
    <t>5:3 Fluorotelomer carboxylic acid (5:3 FTCA)</t>
  </si>
  <si>
    <t>914637-49-3</t>
  </si>
  <si>
    <t>https://comptox.epa.gov/dashboard/chemical/properties/DTXSID20874028</t>
  </si>
  <si>
    <t>6:2 Fluorotelomer carboxylic acid (6:2 FTCA)</t>
  </si>
  <si>
    <t>53826-12-3</t>
  </si>
  <si>
    <t xml:space="preserve">https://comptox.epa.gov/dashboard/chemical/properties/DTXSID50472556 </t>
  </si>
  <si>
    <t>4:2 Fluorotelomer sulfonic acid (4:2 FTSA)</t>
  </si>
  <si>
    <t>757124-72-4</t>
  </si>
  <si>
    <t xml:space="preserve">https://comptox.epa.gov/dashboard/chemical/properties/DTXSID30891564 </t>
  </si>
  <si>
    <t>6:2 Fluorotelomer sulfonic acid (6:2 FTSA)</t>
  </si>
  <si>
    <t>27619-97-2</t>
  </si>
  <si>
    <t xml:space="preserve">https://comptox.epa.gov/dashboard/chemical/properties/DTXSID6067331 </t>
  </si>
  <si>
    <t>8:2 Fluorotelomer sulfonic acid (8:2 FTSA)</t>
  </si>
  <si>
    <t>39108-34-4</t>
  </si>
  <si>
    <t xml:space="preserve">https://comptox.epa.gov/dashboard/chemical/properties/DTXSID00192353 </t>
  </si>
  <si>
    <t>10:2 Fluorotelomer sulfonic acid (10:2 FTSA)</t>
  </si>
  <si>
    <t>120226-60-0</t>
  </si>
  <si>
    <t xml:space="preserve">https://comptox.epa.gov/dashboard/chemical/properties/DTXSID50892578 </t>
  </si>
  <si>
    <t>Perfluorobutane sulfonamide (FBSA/PFBSA)</t>
  </si>
  <si>
    <t>30334-69-1</t>
  </si>
  <si>
    <t xml:space="preserve">https://comptox.epa.gov/dashboard/chemical/properties/DTXSID30880251 </t>
  </si>
  <si>
    <t>Perfluorohexane sulfonamide (FHxSA/PFHxSA)</t>
  </si>
  <si>
    <t>41997-13-1</t>
  </si>
  <si>
    <t xml:space="preserve">https://comptox.epa.gov/dashboard/chemical/properties/DTXSID50469320 </t>
  </si>
  <si>
    <t>Perfluorooctane sulfonamide (FOSA/PFOSA)</t>
  </si>
  <si>
    <t>754-91-6</t>
  </si>
  <si>
    <t xml:space="preserve">https://comptox.epa.gov/dashboard/chemical/properties/DTXSID3038939 </t>
  </si>
  <si>
    <t>N-Methyl perfluorooctane sulfonamide (MeFOSA)</t>
  </si>
  <si>
    <t>31506-32-8</t>
  </si>
  <si>
    <t xml:space="preserve">https://comptox.epa.gov/dashboard/chemical/properties/DTXSID1067629 </t>
  </si>
  <si>
    <t>N-Ethyl perfluorooctane sulfonamide (EtFOSA)</t>
  </si>
  <si>
    <t>4151-50-2</t>
  </si>
  <si>
    <t xml:space="preserve">https://comptox.epa.gov/dashboard/chemical/properties/DTXSID1032646 </t>
  </si>
  <si>
    <t>Perfluorooctane sulfonamidoethanol (FOSE)</t>
  </si>
  <si>
    <t>10116-92-4</t>
  </si>
  <si>
    <t xml:space="preserve">https://comptox.epa.gov/dashboard/chemical/properties/DTXSID80892329 </t>
  </si>
  <si>
    <t>N-Methyl perfluorooctane sulfonamidoethanol (MeFOSE)</t>
  </si>
  <si>
    <t>24448-09-7</t>
  </si>
  <si>
    <t xml:space="preserve">https://comptox.epa.gov/dashboard/chemical/properties/DTXSID7027831 </t>
  </si>
  <si>
    <t>N-Ethyl perfluorooctane sulfonamidoethanol (EtFOSE)</t>
  </si>
  <si>
    <t>1691-99-2</t>
  </si>
  <si>
    <t xml:space="preserve">https://comptox.epa.gov/dashboard/chemical/properties/DTXSID6027426 </t>
  </si>
  <si>
    <t>Perfluorooctane sulfonamido acetic acid (FOSAA)</t>
  </si>
  <si>
    <t>2806-24-8</t>
  </si>
  <si>
    <t xml:space="preserve">https://comptox.epa.gov/dashboard/chemical/properties/DTXSID40440941 </t>
  </si>
  <si>
    <t>N-Methyl perfluorooctane sulfonamido acetic acid (MeFOSAA)</t>
  </si>
  <si>
    <t>2355-31-9</t>
  </si>
  <si>
    <t xml:space="preserve">https://comptox.epa.gov/dashboard/chemical/properties/DTXSID10624392 </t>
  </si>
  <si>
    <t>N-Ethyl perfluorooctane sulfonamido acetic acid (EtFOSAA)</t>
  </si>
  <si>
    <t>2991-50-6</t>
  </si>
  <si>
    <t>https://comptox.epa.gov/dashboard/chemical/properties/DTXSID5062760</t>
  </si>
  <si>
    <t>4:2 Fluorotelomer alcohol (4:2 FTOH)</t>
  </si>
  <si>
    <t>2043-47-2</t>
  </si>
  <si>
    <t xml:space="preserve">https://comptox.epa.gov/dashboard/chemical/properties/DTXSID1062122 </t>
  </si>
  <si>
    <t>6:2 Fluorotelomer alcohol (6:2 FTOH)</t>
  </si>
  <si>
    <t>647-42-7</t>
  </si>
  <si>
    <t xml:space="preserve">https://comptox.epa.gov/dashboard/chemical/properties/DTXSID5044572 </t>
  </si>
  <si>
    <t>8:2 Fluorotelomer alcohol (8:2 FTOH)</t>
  </si>
  <si>
    <t>678-39-7</t>
  </si>
  <si>
    <t xml:space="preserve">https://comptox.epa.gov/dashboard/chemical/properties/DTXSID7029904 </t>
  </si>
  <si>
    <t>10:2 Fluorotelomer alcohol (10:2 FTOH)</t>
  </si>
  <si>
    <t>865-86-1</t>
  </si>
  <si>
    <t xml:space="preserve">https://comptox.epa.gov/dashboard/chemical/properties/DTXSID2029905 </t>
  </si>
  <si>
    <t>Hexafluoropropylene oxide dimer acid (HFPO-DA)</t>
  </si>
  <si>
    <t>13252-13-6</t>
  </si>
  <si>
    <t xml:space="preserve">https://comptox.epa.gov/dashboard/chemical/properties/DTXSID70880215 </t>
  </si>
  <si>
    <t>Hexafluoropropylene oxide dimer acid ammonium salt (GenX)</t>
  </si>
  <si>
    <t>62037-80-3</t>
  </si>
  <si>
    <t xml:space="preserve">https://comptox.epa.gov/dashboard/chemical/properties/DTXSID40108559 </t>
  </si>
  <si>
    <t>Perfluoro-3-methoxypropanoic acid (PFMPA)</t>
  </si>
  <si>
    <t>377-73-1</t>
  </si>
  <si>
    <t xml:space="preserve">https://comptox.epa.gov/dashboard/chemical/properties/DTXSID70191136 </t>
  </si>
  <si>
    <t>Perfluoro-4-methoxybutanoic acid (PFMBA)</t>
  </si>
  <si>
    <t>863090-89-5</t>
  </si>
  <si>
    <t xml:space="preserve">https://comptox.epa.gov/dashboard/chemical/properties/DTXSID60500450 </t>
  </si>
  <si>
    <t>Perfluoro-3,6-dioxaheptanoic acid (NFDHA)</t>
  </si>
  <si>
    <t>151772-58-6</t>
  </si>
  <si>
    <t xml:space="preserve">https://comptox.epa.gov/dashboard/chemical/properties/DTXSID30382063 </t>
  </si>
  <si>
    <t>11-chloroeicosafluoro-3-oxaundecane-1-sulfonic acid (F53B Minor)</t>
  </si>
  <si>
    <t>763051-92-9</t>
  </si>
  <si>
    <t xml:space="preserve">https://comptox.epa.gov/dashboard/chemical/properties/DTXSID40892507 </t>
  </si>
  <si>
    <t>9-chlorohexadecafluoro-3-oxanone-1-sulfonic acid (F53B Major)</t>
  </si>
  <si>
    <t>756426-58-1</t>
  </si>
  <si>
    <t xml:space="preserve">https://comptox.epa.gov/dashboard/chemical/properties/DTXSID80892506 </t>
  </si>
  <si>
    <t>Perfluoro(2-ethoxyethane)sulfonic acid (PFEESA)</t>
  </si>
  <si>
    <t>113507-82-7</t>
  </si>
  <si>
    <t xml:space="preserve">https://comptox.epa.gov/dashboard/chemical/properties/DTXSID50379814 </t>
  </si>
  <si>
    <t>4,8-dioxa-3H-perfluorononanoic acid (DONA)</t>
  </si>
  <si>
    <t>919005-14-4</t>
  </si>
  <si>
    <t xml:space="preserve">https://comptox.epa.gov/dashboard/chemical/properties/DTXSID40881350 </t>
  </si>
  <si>
    <t>Polytetrafluoroethylene (PTFE)</t>
  </si>
  <si>
    <t>9002-84-0</t>
  </si>
  <si>
    <t xml:space="preserve">https://comptox.epa.gov/dashboard/chemical/properties/DTXSID7047724 </t>
  </si>
  <si>
    <t>Polyurethane</t>
  </si>
  <si>
    <t>9009-54-5</t>
  </si>
  <si>
    <t xml:space="preserve">https://comptox.epa.gov/dashboard/chemical/properties/DTXSID5031929 </t>
  </si>
  <si>
    <t>Polyvinylidene fluoride</t>
  </si>
  <si>
    <t>24937-79-9</t>
  </si>
  <si>
    <t xml:space="preserve">https://comptox.epa.gov/dashboard/chemical/details/DTXSID80895097 </t>
  </si>
  <si>
    <t>NEW</t>
  </si>
  <si>
    <t>Barium bis(6,6,7,7,8,8,8-heptafluoro-2,2-dimethyl-5-oxooct-3-en-3-olate)</t>
  </si>
  <si>
    <t xml:space="preserve">  36885-31-1</t>
  </si>
  <si>
    <t>Palladium, dichlorobis[tris[4-(2-(perfluorooctyl)ethyl)phenyl]phosphine-βP]-</t>
  </si>
  <si>
    <t xml:space="preserve">  326475-46-1</t>
  </si>
  <si>
    <t>Palladium, dichlorobis[tris[4-(heptadecafluorooctyl)phenyl]phosphine-βP]- (9CI)</t>
  </si>
  <si>
    <t xml:space="preserve">  326475-44-9</t>
  </si>
  <si>
    <t>(2S)-2-Pyrrolidinyl-bis(4-(perfluorooctyl)phenyl)methanol</t>
  </si>
  <si>
    <t xml:space="preserve">  862589-19-3</t>
  </si>
  <si>
    <t>Ammonium bis(N-ethyl-2-perfluorooctylsulfonaminoethyl)phosphate</t>
  </si>
  <si>
    <t xml:space="preserve">  30381-98-7</t>
  </si>
  <si>
    <t>Bis(heneicosafluorodecyl)phosphinic acid</t>
  </si>
  <si>
    <t xml:space="preserve">  52299-27-1</t>
  </si>
  <si>
    <t>Tris(2-(perfluorododecyl)ethyl)phosphate</t>
  </si>
  <si>
    <t xml:space="preserve">  393098-42-5</t>
  </si>
  <si>
    <t>1,4-bis(Perfluorooctyl) fumarate</t>
  </si>
  <si>
    <t xml:space="preserve">  934166-50-4</t>
  </si>
  <si>
    <t>1,4-bis(1H,1H,2H,2H-Perfluorooctyl) fumarate</t>
  </si>
  <si>
    <t xml:space="preserve">  24120-19-2</t>
  </si>
  <si>
    <t>1,4-bis(Perfluorooctyl) maleate</t>
  </si>
  <si>
    <t xml:space="preserve">  234096-30-1</t>
  </si>
  <si>
    <t>(3ß,7a)-25,26,26,26,27,27,27-Heptafluorocholest-5-ene-3,7-diol</t>
  </si>
  <si>
    <t xml:space="preserve"> 240129-40-2</t>
  </si>
  <si>
    <t>(3ß,7ß)-25,26,26,26,27,27,27-Heptafluorocholest-5-ene-3,7-diol</t>
  </si>
  <si>
    <t>240129-42-4</t>
  </si>
  <si>
    <t>(3ß,5a,6a)-5,6-Epoxy-25,26,26,26,27,27,27-heptafluorocholestan-3-ol</t>
  </si>
  <si>
    <t>240129-21-9</t>
  </si>
  <si>
    <t>(3ß,5ß,6ß)-5,6-Epoxy-25,26,26,26,27,27,27-heptafluorocholestan-3-ol</t>
  </si>
  <si>
    <t>240129-24-2</t>
  </si>
  <si>
    <t>Lithium bis[(pentafluoroethyl)sulfonyl]azanide</t>
  </si>
  <si>
    <t xml:space="preserve">  132843-44-8</t>
  </si>
  <si>
    <t>Sodium bis(heptadecafluorooctyl)phosphinate</t>
  </si>
  <si>
    <t xml:space="preserve">  500776-69-2</t>
  </si>
  <si>
    <t>1,4-Bis(1H,1H,9H-perfluorononyl) sulfobutanedioate sodium</t>
  </si>
  <si>
    <t xml:space="preserve">  63367-17-9</t>
  </si>
  <si>
    <t>Diammonium 3,3,4,4,5,5,6,6,7,7,8,8,9,9,10,10,11,11,12,12,13,13,14,14,15,15,16,16,17,18,18,18-dotriacontafluoro-17-(trifluoromethyl)octadecyl phosphate</t>
  </si>
  <si>
    <t xml:space="preserve">  93857-43-3</t>
  </si>
  <si>
    <t>Diammonium 4,4,5,5,6,6,7,7,8,8,9,9,10,10,11,11,12,12,13,13,14,14,15,15,16,16,17,17,18,19,19,19-dotriacontafluoro-2-hydroxy-18-(trifluoromethyl)nonadecyl phosphate</t>
  </si>
  <si>
    <t xml:space="preserve">  94200-53-0</t>
  </si>
  <si>
    <t>Ammonium 2,2,3,3,4,4,5,5,6,6,7,7,8,8,9,9,10,10,11,11-icosafluoroundecanoate</t>
  </si>
  <si>
    <t xml:space="preserve">  5081-02-7</t>
  </si>
  <si>
    <t>Ammonium bis[3,3,4,4,5,5,6,6,7,7,8,8,9,10,10,10-hexadecafluoro9-(trifluoromethyl)decyl] phosphate</t>
  </si>
  <si>
    <t xml:space="preserve">  93776-24-0</t>
  </si>
  <si>
    <t>Ammonium bis[3,3,4,4,5,5,6,6,7,7,8,8,9,9,10,10,11,12,12,12-icosafluoro-11-(trifluoromethyl)dodecyl] phosphate</t>
  </si>
  <si>
    <t xml:space="preserve">  93776-25-1</t>
  </si>
  <si>
    <t>Ammonium bis(3,3,4,4,5,5,6,6,7,7,8,8,9,9,10,10,11,11,12,12,13,14,14,14-tetracosafluoro-13-(trifluoromethyl)tetradecyl) phosphate</t>
  </si>
  <si>
    <t xml:space="preserve">  93776-26-2</t>
  </si>
  <si>
    <t>Ammonium bis[3,3,4,4,5,5,6,6,7,7,8,8,9,9,10,10,11,11,12,12,13,13,14,14,15,16,16,16-octacosafluoro-15-(trifluoromethyl)hexadecyl] phosphate</t>
  </si>
  <si>
    <t xml:space="preserve">  93776-27-3</t>
  </si>
  <si>
    <t>Ammonium bis[3,3,4,4,5,5,6,6,7,7,8,8,9,9,10,10,11,11,12,12,13,13,14,14,15,15,16,16,17,18,18,18-dotriacontafluoro-17-(trifluoromethyl)octadecyl] phosphate</t>
  </si>
  <si>
    <t xml:space="preserve">  93776-28-4</t>
  </si>
  <si>
    <t>Ammonium bis[3,3,4,4,5,5,6,6,7,7,8,8,9,9,10,10,11,11,12,12,13,13,14,14,15,15,16,16,17,17,18,18,18-tritriacontafluorooctadecyl] phosphate</t>
  </si>
  <si>
    <t xml:space="preserve">  93776-23-9</t>
  </si>
  <si>
    <t>Ammonium bis[3,3,4,4,5,5,6,6,7,7,8,8,9,9,10,10,11,11,12,12,13,13,14,14,15,15,16,16,16-nonacosafluorohexadecyl] phosphate</t>
  </si>
  <si>
    <t xml:space="preserve">  93777-13-0</t>
  </si>
  <si>
    <t>Ammonium bis(3,3,4,4,5,5,6,6,7,7,8,8,9,9,10,10,11,11,12,12,13,13,14,14,14-pentacosafluorotetradecyl) phosphate</t>
  </si>
  <si>
    <t xml:space="preserve">  93776-22-8</t>
  </si>
  <si>
    <t>Ammonium bis[3,3,4,4,5,5,6,6,7,7,8,8,9,9,10,10,11,11,12,12,12-henicosafluorododecyl] phosphate</t>
  </si>
  <si>
    <t xml:space="preserve">  93776-21-7</t>
  </si>
  <si>
    <t>Ammonium bis(3,3,4,4,5,5,6,6,7,7,8,8,9,9,10,10,10-heptadecafluorodecyl) phosphate</t>
  </si>
  <si>
    <t xml:space="preserve">  93776-20-6</t>
  </si>
  <si>
    <t>Ammonium bis[2-[ethyl[(pentadecafluoroheptyl)sulphonyl]amino]ethyl] phosphate</t>
  </si>
  <si>
    <t xml:space="preserve">  67939-97-3</t>
  </si>
  <si>
    <t>N-(4-Nitrophenyl)perfluorobutanamide</t>
  </si>
  <si>
    <t xml:space="preserve">  3869-06-5</t>
  </si>
  <si>
    <t>NEW partners</t>
  </si>
  <si>
    <t>Hexamethyldisiloxane (HMDSO)</t>
  </si>
  <si>
    <t>Trimethoxy methyl silane (TMMS)</t>
  </si>
  <si>
    <t>Trimethoxyphenylsilane (Ph-Silane)</t>
  </si>
  <si>
    <t>Tetraethylorthosilicate (TEOS)</t>
  </si>
  <si>
    <t>78-10-4</t>
  </si>
  <si>
    <t>Diethoxydimethyl silane (DEDMS)</t>
  </si>
  <si>
    <t>78-62-6</t>
  </si>
  <si>
    <t>n-Hexiltrietoxisilano (C6)</t>
  </si>
  <si>
    <t>18166-37-5</t>
  </si>
  <si>
    <t>3-(Trimethoxysilyl)propyl methacrylate (MAPTS)</t>
  </si>
  <si>
    <t>2530-85-0</t>
  </si>
  <si>
    <t>Ethylene glycol dimethyalcrylate (EDGMA)</t>
  </si>
  <si>
    <t>97-90-5</t>
  </si>
  <si>
    <t>Luperox DI, tert-Butyl peroxide (Luperox DI)</t>
  </si>
  <si>
    <t>110-05-4</t>
  </si>
  <si>
    <t>Azobisisobutyronitrile (AIBN)</t>
  </si>
  <si>
    <t>78-67-1</t>
  </si>
  <si>
    <t>Vinyltrimethoxysilane (VTMO)</t>
  </si>
  <si>
    <t>2768-02-7</t>
  </si>
  <si>
    <t>n-Propyltriethoxysilane (C3)</t>
  </si>
  <si>
    <t>2550-02-9</t>
  </si>
  <si>
    <t>metacrylic acid (MAAH)</t>
  </si>
  <si>
    <t>Hexamethyldisilazane (HMDS)</t>
  </si>
  <si>
    <t>999-97-3</t>
  </si>
  <si>
    <t>Poly(dimethylsiloxane) (PDMS)</t>
  </si>
  <si>
    <t>Trichloromethyl silane (TCMS)</t>
  </si>
  <si>
    <t>75-79-6</t>
  </si>
  <si>
    <t>Tetramethoxysilane (TMOS)</t>
  </si>
  <si>
    <t>681-84-5</t>
  </si>
  <si>
    <t>Trimethylchlorosilane (TMCS)</t>
  </si>
  <si>
    <t>75-77-4</t>
  </si>
  <si>
    <t>Methyltriethoxysilane (MTES)</t>
  </si>
  <si>
    <t>2031-67-6</t>
  </si>
  <si>
    <t>Vinyltrimethoxysilane (VTMS)</t>
  </si>
  <si>
    <t>Ethanol (EtOH)</t>
  </si>
  <si>
    <t>64-17-5</t>
  </si>
  <si>
    <t>n-Propanol (n-PropOH)</t>
  </si>
  <si>
    <t>2-propanol  (2-PropOH)</t>
  </si>
  <si>
    <t>67-63-0</t>
  </si>
  <si>
    <t>Nitric acid (HNO3)</t>
  </si>
  <si>
    <t>7697-37-2</t>
  </si>
  <si>
    <t>Sulphuric acid (HSO4)</t>
  </si>
  <si>
    <t>7664-93-9</t>
  </si>
  <si>
    <t>Dimethoxydimethylsilane (DMDMS)</t>
  </si>
  <si>
    <t>1112-39-6</t>
  </si>
  <si>
    <t>2-Phenylphenol (OOP)</t>
  </si>
  <si>
    <t>90-43-7</t>
  </si>
  <si>
    <t>Metacrylic acid (MAAH)</t>
  </si>
  <si>
    <t>Eugenol (Eu)</t>
  </si>
  <si>
    <t>97-53-0</t>
  </si>
  <si>
    <t>Zirconium(IV) propoxide (TPOZ)</t>
  </si>
  <si>
    <t>23519-77-9</t>
  </si>
  <si>
    <t>Titanium (IV) isopropoxide (TISP)</t>
  </si>
  <si>
    <t>546-68-9</t>
  </si>
  <si>
    <t>LUDOX AS-40 colloidal silica (Ludox - silica dispersion)</t>
  </si>
  <si>
    <t>7631-86-9</t>
  </si>
  <si>
    <t>acetil acetone (acac)</t>
  </si>
  <si>
    <t>Ethylene gycol dimethylacrylate (EGDMA)</t>
  </si>
  <si>
    <t>Luperox® TBEC, tert-Butylperoxy 2-ethylhexyl carbonate (Luperox TBEC)</t>
  </si>
  <si>
    <t>34443-12-4</t>
  </si>
  <si>
    <t>Hexadecyltrimethoxysilane (C16)</t>
  </si>
  <si>
    <t>Trimethoxy(octyl)silane (C8M)</t>
  </si>
  <si>
    <t>Triethoxy(octyl)silane (C8E)</t>
  </si>
  <si>
    <t>2943-75-1</t>
  </si>
  <si>
    <t>1,1,1,3,3,3-Hexaethyldisiloxane (HDESO)</t>
  </si>
  <si>
    <t>994-49-0</t>
  </si>
  <si>
    <t>Hexamethyldisilazane (HDMS)</t>
  </si>
  <si>
    <t>3-aminopropyltriethoxysilane (APTES/APTS)</t>
  </si>
  <si>
    <t>919-30-2</t>
  </si>
  <si>
    <t>Trimethylolpropane triacrylate (TMPTA)</t>
  </si>
  <si>
    <t>6-Nitro-2-(pentafluoroethyl)-1H-benzimidazole</t>
  </si>
  <si>
    <t>4229-01-0</t>
  </si>
  <si>
    <t>Perfluorooctanesulfonate</t>
  </si>
  <si>
    <t>45298-90-6</t>
  </si>
  <si>
    <t>(4-Cyclohexylphenyl)(diphenyl)sulfanium nonafluorobutane-1-sulfonate</t>
  </si>
  <si>
    <t>425670-64-0</t>
  </si>
  <si>
    <t>Bis(4-tert-butylphenyl)iodanium nonafluorobutane-1-sulfonate</t>
  </si>
  <si>
    <t>194999-85-4</t>
  </si>
  <si>
    <t>[4-(2-tert-Butoxy-2-oxoethoxy)phenyl](diphenyl)sulfanium nonafluorobutane-1-sulfonate</t>
  </si>
  <si>
    <t>857285-80-4</t>
  </si>
  <si>
    <t>1-Butanesulfonic acid, 1,1,2,2,3,3,4,4,4-nonafluoro-, ion(1-), 1-(4-butoxy-1-naphthalenyl)tetrahydrothiophenium</t>
  </si>
  <si>
    <t>209482-18-8</t>
  </si>
  <si>
    <t>Chlorotrifluoroethylene</t>
  </si>
  <si>
    <t>79-38-9</t>
  </si>
  <si>
    <t>1,1,2,3,3,3-Hexafluoro-1-propene</t>
  </si>
  <si>
    <t>116-15-4</t>
  </si>
  <si>
    <t>Tetrafluoroethylene</t>
  </si>
  <si>
    <t>116-14-3</t>
  </si>
  <si>
    <t>N-[(1,1,2,2,3,3,4,4,5,5,6,6,7,7,8,8,8-Heptadecafluorooctyl)sulfonyl]glycine (FOSAA)</t>
  </si>
  <si>
    <t>(1H,1H-Perfluoro-16-methylheptadecyl)oxirane</t>
  </si>
  <si>
    <t>54009-79-9</t>
  </si>
  <si>
    <t>Diammonium 3-(perfluoro-15-methylhexadecyl)-2-hydroxypropyl dihydrogen phosphate</t>
  </si>
  <si>
    <t>94200-53-0</t>
  </si>
  <si>
    <t>Bis(2-(perfluorododecyl)ethyl) hydrogen phosphate</t>
  </si>
  <si>
    <t>57677-99-3</t>
  </si>
  <si>
    <t>12:2 Fluorotelomer phosphate diester</t>
  </si>
  <si>
    <t>1895-26-7</t>
  </si>
  <si>
    <t>Bis(2-(perfluoro-7-methyloctyl)ethyl) hydrogen phosphate</t>
  </si>
  <si>
    <t>78974-41-1</t>
  </si>
  <si>
    <t>Bis((perfluoro-9-methyldecyl)ethyl) phosphate</t>
  </si>
  <si>
    <t>93857-55-7</t>
  </si>
  <si>
    <t>Bis((perfluoro-11-methyldodecyl)ethyl) hydrogen phosphate</t>
  </si>
  <si>
    <t>93857-56-8</t>
  </si>
  <si>
    <t>Bis((perfluoro-13-methyltetradecyl)ethyl) hydrogen phosphate</t>
  </si>
  <si>
    <t>93776-29-5</t>
  </si>
  <si>
    <t>(Perfluoro-15-methylhexadecyl)ethyl dihydrogen phosphate</t>
  </si>
  <si>
    <t>94231-59-1</t>
  </si>
  <si>
    <t>(Perfluoro-15-methylhexadecyl)ethyl methacrylate</t>
  </si>
  <si>
    <t>94158-65-3</t>
  </si>
  <si>
    <t>(Perfluoro-15-methylhexadecyl)ethyl acrylate</t>
  </si>
  <si>
    <t>94158-63-1</t>
  </si>
  <si>
    <t>18:2 Fluorotelomer iodide</t>
  </si>
  <si>
    <t>65104-63-4</t>
  </si>
  <si>
    <t>18:2 Fluorotelomer alcohol</t>
  </si>
  <si>
    <t>65104-65-6</t>
  </si>
  <si>
    <t>Bis((perfluorotetradecyl)ethyl) hydrogen phosphate</t>
  </si>
  <si>
    <t>93857-53-5</t>
  </si>
  <si>
    <t>Nonafluoro-tert-butanol</t>
  </si>
  <si>
    <t xml:space="preserve">  2378-02-1</t>
  </si>
  <si>
    <t>Undecafluorocyclohexanemethanol dihydrogen phosphate</t>
  </si>
  <si>
    <t>32582-74-4</t>
  </si>
  <si>
    <t>Undecafluorocyclohexanemethanol hydrogen phosphate</t>
  </si>
  <si>
    <t>32582-75-5</t>
  </si>
  <si>
    <t>p,p'-Bis(undecafluorocyclohexanemethanol) pyrophosphate</t>
  </si>
  <si>
    <t>48240-25-1</t>
  </si>
  <si>
    <t>N,N'-[Phosphinicobis(oxy-2,1-ethanediyl)]bis[N-ethyl-perfluorohexanesulfonamide]</t>
  </si>
  <si>
    <t>67939-92-8</t>
  </si>
  <si>
    <t>N,N',N''-(Phosphoryltris(oxyethylene))tris(N-ethyl-perfluoroheptane-1-sulphonamide)</t>
  </si>
  <si>
    <t>67939-94-0</t>
  </si>
  <si>
    <t>not found</t>
  </si>
  <si>
    <t>Poly(difluoromethylene), .alpha.,.alpha.'-[phosphinicobis(oxy-2,1-ethanediyl)]bis[.omega.-fluoro-|Ethanol, 2,2'-iminobis-, compd. with .alpha.,.alpha.'-[phosphinicobis(oxy-2,1-ethanediyl)]bis[.omega.-fluoropoly(difluoromethylene)] (1:1)</t>
  </si>
  <si>
    <t>65530-62-3|65530-64-5</t>
  </si>
  <si>
    <t>Poly(difluoromethylene), alpha-fluoro-omega-[2-sulphoethyl)-|Poly(difluoromethylene), .alpha.-fluoro-.omega.-(2-sulfoethyl)-, ammonium salt</t>
  </si>
  <si>
    <t>80010-37-3|80010-38-4</t>
  </si>
  <si>
    <t>Bis(2-{ethyl[(perfluorooctyl)sulfonyl]amino}ethyl) hydrogen phosphate</t>
  </si>
  <si>
    <t>2965-52-8</t>
  </si>
  <si>
    <t>1-Octanesulfonamide, N,N',N''-[phosphinylidynetris(oxy-2,1-ethanediyl)]tris[N-ethyl-1,1,2,2,3,3,4,4,5,5,6,6,7,7,8,8,8-heptadecafluoro-</t>
  </si>
  <si>
    <t>2250-98-8</t>
  </si>
  <si>
    <t>N-Butyl-N-(2-hydroxyethyl)perfluoro-1-octanesulfonamide</t>
  </si>
  <si>
    <t xml:space="preserve"> 2263-09-4</t>
  </si>
  <si>
    <t>Bis(2-{ethyl[(perfluoroheptyl)sulfonyl]amino}ethyl) hydrogen phosphate</t>
  </si>
  <si>
    <t>67939-93-9</t>
  </si>
  <si>
    <t>Bis((perfluoro-15-methylhexadecyl)ethyl) hydrogen phosphate</t>
  </si>
  <si>
    <t>93776-19-3</t>
  </si>
  <si>
    <t>Bis((perfluorohexadecyl)ethyl) hydrogen phosphate</t>
  </si>
  <si>
    <t>93857-54-6</t>
  </si>
  <si>
    <t>1,H,1H,2H,2H-perfluoroeicosyl methacrylate</t>
  </si>
  <si>
    <t>65104-66-7</t>
  </si>
  <si>
    <t>(Perfluorooctadecyl)ethyl 2-propenoate</t>
  </si>
  <si>
    <t>65104-64-5</t>
  </si>
  <si>
    <t>Fulvestrant sulfone</t>
  </si>
  <si>
    <t>98008-06-1</t>
  </si>
  <si>
    <t>S-Deoxo fulvestrant</t>
  </si>
  <si>
    <t>153004-31-0</t>
  </si>
  <si>
    <t>(2S)-2-{Bis[4-(heptadecafluorooctyl)phenyl][(trimethylsilyl)oxy]methyl}pyrrolidine</t>
  </si>
  <si>
    <t>906077-31-4</t>
  </si>
  <si>
    <t>1,3-Bis(3,3,4,4,5,5,6,6,7,7,8,8,9,9,10,10,10-heptadecafluorodecyl)-1,1,3,3-tetramethyldisiloxane</t>
  </si>
  <si>
    <t>129498-18-6</t>
  </si>
  <si>
    <t>Bis[2-[ethyl[(perfluorooctyl)sulfonyl]amino]ethyl] (4-methyl-1,3-phenylene)-bis(carbamate)</t>
  </si>
  <si>
    <t>21055-88-9</t>
  </si>
  <si>
    <t>2,2,3,3,4,4,5,5,6,6,7,7,8,8,9,9,10,10,11,11,12,12,13,13,14,14,15,15,16,16,17,17,18,18,19,19,20,20,21,21,21-Hentetracontafluorohenicosyl 2-methylprop-2-enoate</t>
  </si>
  <si>
    <t>132405-54-0</t>
  </si>
  <si>
    <t>1H,1H-Perfluoropropyl methacrylate</t>
  </si>
  <si>
    <t>45115-53-5</t>
  </si>
  <si>
    <t>Poly(difluoromethylene), alpha-fluoro-omega-[2-[(2-methyl-1-oxo-2-propenyl)oxy]ethyl]-|2-Propenoic acid, esters, 2-methyl-, dodecyl ester, polymer with .alpha.-fluoro-.omega.-[2-[(2-methyl-1-oxo-2-propen-1-yl)oxy]ethyl]poly(difluoromethylene)|2-Propenoic acid, 2-methyl-, 2-ethylhexyl ester, polymer with a-fluoro-&lt;U+03C9&gt;-[2-[(2-methyl-1-oxo-2-propen-1-yl)oxy]ethyl]poly(difluoromethylene), 2-hydroxyethyl 2-methyl-2-propenoate and N-(hydroxymethyl)-2-propenamide|POLYFLGSID_897592</t>
  </si>
  <si>
    <t>65530-66-7|65605-58-5|68239-43-0|65636-35-3</t>
  </si>
  <si>
    <t>Methyl perfluoropentyl ketone</t>
  </si>
  <si>
    <t xml:space="preserve">  2708-07-8</t>
  </si>
  <si>
    <t>Methyl perfluoroethyl ketone</t>
  </si>
  <si>
    <t>374-41-4</t>
  </si>
  <si>
    <t>N-[(Perfluorobutyl)phenyl-lambda4-sulfanylidene]acetamide</t>
  </si>
  <si>
    <t>1178899-18-7</t>
  </si>
  <si>
    <t>3-(Perfluoropropyl)-2-iodopropanol acetate</t>
  </si>
  <si>
    <t xml:space="preserve"> 3108-05-2</t>
  </si>
  <si>
    <t>4H,4H-Perfluoro-6,6-dimethylheptane-3,5-dione</t>
  </si>
  <si>
    <t>2145-68-8</t>
  </si>
  <si>
    <t>1,4-Bis(1,1-dimethylethyl)-2,3,5,6-tetrafluorobenzene</t>
  </si>
  <si>
    <t>54111-17-0</t>
  </si>
  <si>
    <t>Phenol, 2,2'-[(1R,2R)-1,2-cyclohexanediylbis[(E)-nitrilomethylidyne]]bis[6-(1,1-dimethylethyl)-4-(heptadecafluorooctyl)-</t>
  </si>
  <si>
    <t>417715-98-1</t>
  </si>
  <si>
    <t>Tris(4-tert-butylphenyl)sulfonium</t>
  </si>
  <si>
    <t>241806-75-7</t>
  </si>
  <si>
    <t>1-Methylethyl perfluorobutanimidoate</t>
  </si>
  <si>
    <t xml:space="preserve"> 4192-05-6</t>
  </si>
  <si>
    <t>1,1'-(Oxybis(propyleneoxy))bis(3-(perfluoro-7-methyloctyl)propan-2-ol)</t>
  </si>
  <si>
    <t>93776-05-7</t>
  </si>
  <si>
    <t>1,1'-(Oxybis((1-methylethylene)oxy))bis(3-(perfluoro-11-methyldodecyl)propan-2-ol)</t>
  </si>
  <si>
    <t>93776-03-5</t>
  </si>
  <si>
    <t>1,1'-(Oxybis((1-methylethylene)oxy))bis(3-(perfluorododecyl)propan-2-ol)</t>
  </si>
  <si>
    <t>93776-00-2</t>
  </si>
  <si>
    <t>1,1'-(Oxybis(propyleneoxy))bis(3-(perfluorooctyl)propan-2-ol)</t>
  </si>
  <si>
    <t>93776-02-4</t>
  </si>
  <si>
    <t>1-Pentafluoroethylethanol</t>
  </si>
  <si>
    <t>374-40-3</t>
  </si>
  <si>
    <t>3,3,4,4-Tetrafluoro-2-butanol</t>
  </si>
  <si>
    <t>17425-25-1</t>
  </si>
  <si>
    <t>1,1'-(Oxybis((2-methylethylene)oxy))bis(3-(perfluoro-9-methyldecyl)propan-2-ol)</t>
  </si>
  <si>
    <t>93776-04-6</t>
  </si>
  <si>
    <t>1,1'-[Oxybis[(1-methyl-2,1-ethanediyl)oxy]]bis[3-(perfluorodecyl)propan-2-ol]</t>
  </si>
  <si>
    <t>93776-01-3</t>
  </si>
  <si>
    <t>(2S)-2-{Bis[4-(heptadecafluorooctyl)phenyl][(triethylsilyl)oxy]methyl}pyrrolidine</t>
  </si>
  <si>
    <t>914391-37-0</t>
  </si>
  <si>
    <t>2,2,3,3,3-Pentafluoropropyl 4-methylbenzene-1-sulfonate</t>
  </si>
  <si>
    <t>565-42-4</t>
  </si>
  <si>
    <t>2-Methyl-N-(2-methyl-5-(((1,3-bis((perfluoro-9-methyldecyl)ethylthio)-2-propoxy)carbonyl)amino)phenyl)-1-aziridinecarboxamide</t>
  </si>
  <si>
    <t>72779-04-5</t>
  </si>
  <si>
    <t>1,3-bis((perfluoro-5-methylhexyl)ethylthio)prop-2-yl (4-methyl-3-(((2-methyl-1-aziridinyl)carbonyl)amino)phenyl)carbamate</t>
  </si>
  <si>
    <t>72779-05-6</t>
  </si>
  <si>
    <t>1,3-Bis(2-(perfluoro-7-methyloctyl)-1-ethylsulfanyl)propan-2-yl {4-methyl-3-[(2-methylaziridine-1-carbonyl)amino]phenyl}carbamate</t>
  </si>
  <si>
    <t>53122-42-2</t>
  </si>
  <si>
    <t>1,1,1,2,2,3,3-Heptafluoropentane</t>
  </si>
  <si>
    <t>30423-63-3</t>
  </si>
  <si>
    <t>N,N,N-Tributylbutan-1-aminium nonafluorobutane-1-sulfonate</t>
  </si>
  <si>
    <t>108427-52-7</t>
  </si>
  <si>
    <t>Tetrabutylphosphonium perfluorobutanesulfonate</t>
  </si>
  <si>
    <t>220689-12-3</t>
  </si>
  <si>
    <t>Tetratriacontafluoro-10,13,16,19-tetraoxaoctacosadiene</t>
  </si>
  <si>
    <t>84029-54-9</t>
  </si>
  <si>
    <t>1-bromo-1,1,2,2-tetrafluorooctane</t>
  </si>
  <si>
    <t>231630-92-5</t>
  </si>
  <si>
    <t>1,1,1,2,2,3,3,4,4,5,5-Undecafluorononadecane</t>
  </si>
  <si>
    <t>112344-48-6</t>
  </si>
  <si>
    <t>Butyl 5-chloro-2-oxo-2H-1,3-benzoxathiol-6-yl carbonate</t>
  </si>
  <si>
    <t>5611-44-9</t>
  </si>
  <si>
    <t>Ethyl perfluoropropionate</t>
  </si>
  <si>
    <t>426-65-3</t>
  </si>
  <si>
    <t>Ethyl 2,4,4,5,7,7,8,10,10,11,13,13,14,16,16,17,19,19,20,20,21,21,21-tricosafluoro-2,5,8,11,14,17-hexakis(trifluoromethyl)-3,6,9,12,15,18-hexaoxahenicosan-1-oate</t>
  </si>
  <si>
    <t>121368-60-3</t>
  </si>
  <si>
    <t>Ethyl pentafluoropropionyl acetate</t>
  </si>
  <si>
    <t>663-35-4</t>
  </si>
  <si>
    <t>1-Ethoxy-2-(1,1,2,2-tetrafluoroethoxy)ethane</t>
  </si>
  <si>
    <t>85567-23-3</t>
  </si>
  <si>
    <t>3,3,4,4-Tetrafluoropyrrolidine Hydrochloride</t>
  </si>
  <si>
    <t>1810-13-5</t>
  </si>
  <si>
    <t>Bis[tris(3-(perfluorooctyl)phenyl)phosphine]palladium(II) dichloride</t>
  </si>
  <si>
    <t>326475-45-0</t>
  </si>
  <si>
    <t>Dichloropalladium--tris[3-(3,3,4,4,5,5,6,6,7,7,8,8,9,9,10,10,10-heptadecafluorodecyl)phenyl]phosphane (1/2)</t>
  </si>
  <si>
    <t>343343-17-9</t>
  </si>
  <si>
    <t>2-((8-chloro-1,1,2,2,3,3,4,4,5,5,6,6,7,7,8,8-hexadecafluorooctyl)oxy)-1,1,2,2-tetrafluoroethanesulfonic acid</t>
  </si>
  <si>
    <t>N,N-dimethyl-2H-perfluoroethanamine</t>
  </si>
  <si>
    <t>1550-50-1</t>
  </si>
  <si>
    <t>N,N-Dimethyl perfluorooctane sulfonamide</t>
  </si>
  <si>
    <t>213181-78-3</t>
  </si>
  <si>
    <t>Methyl perfluorooctadecanoate</t>
  </si>
  <si>
    <t>16753-33-6</t>
  </si>
  <si>
    <t>Methyl 3-chloroperfluoropropanoate</t>
  </si>
  <si>
    <t>127589-63-3</t>
  </si>
  <si>
    <t>Methyl pentafluoropropionate</t>
  </si>
  <si>
    <t>378-75-6</t>
  </si>
  <si>
    <t>Methyl 2,4,4,5,7,7,8,10,10,11,13,13,14,16,16,17,17,18,18,18-icosafluoro-2,5,8,11,14-pentakis(trifluoromethyl)-3,6,9,12,15-pentaoxaoctadecan-1-oate</t>
  </si>
  <si>
    <t>1005033-64-6</t>
  </si>
  <si>
    <t>Methyl 3,4,5-tris[1,1,2-trifluoro-2-(heptafluoropropoxy)ethoxy]benzoate</t>
  </si>
  <si>
    <t>1233312-86-1</t>
  </si>
  <si>
    <t>Methyl 4,6,6-trichloro-7,7,7-trifluoro-3,3-dimethylheptanoate</t>
  </si>
  <si>
    <t>72714-62-6</t>
  </si>
  <si>
    <t>1-Chloro-3,3,4,4,5,5-hexafluoro-2-methoxycyclopentene</t>
  </si>
  <si>
    <t>336-34-5</t>
  </si>
  <si>
    <t>Methyl nonaflate</t>
  </si>
  <si>
    <t xml:space="preserve">  6401-03-2</t>
  </si>
  <si>
    <t>1-Methyl-3-octylimidazolium hexafluorophosphate</t>
  </si>
  <si>
    <t>304680-36-2</t>
  </si>
  <si>
    <t>Pentafluoropropionyl fluoride</t>
  </si>
  <si>
    <t>422-61-7</t>
  </si>
  <si>
    <t>HFPO hexamer acid fluoride</t>
  </si>
  <si>
    <t>13252-15-8</t>
  </si>
  <si>
    <t>3,6,9,12,15,18-Hexaoxaheneicosanoyl fluoride, 2,4,4,5,7,7,8,10,10,11,13,13,14,16,16,17,19,19,20,20,21,21,21-tricosafluoro-2,5,8,11,14,17-hexakis(trifluoromethyl)-</t>
  </si>
  <si>
    <t>13140-24-4</t>
  </si>
  <si>
    <t>3,6,9,12,15,18,21-Heptaoxatetracosanoyl fluoride, 2,4,4,5,7,7,8,10,10,11,13,13,14,16,16,17,19,19,20,22,22,23,23,24,24,24-hexacosafluoro-2,5,8,11,14,17,20-heptakis(trifluoromethyl)-</t>
  </si>
  <si>
    <t>13140-25-5</t>
  </si>
  <si>
    <t>3,6,9,12,15,18,21,24-Octaoxaheptacosanoyl fluoride, 2,4,4,5,7,7,8,10,10,11,13,13,14,16,16,17,19,19,20,22,22,23,25,25,26,26,27,27,27-nonacosafluoro-2,5,8,11,14,17,20,23-octakis(trifluoromethyl)-</t>
  </si>
  <si>
    <t>13140-26-6</t>
  </si>
  <si>
    <t>2,4,4,5,7,7,8,10,10,11,13,13,14,16,16,17,19,19,20,22,22,23,25,25,26,28,28,29,29,30,30,30-Dotriacontafluoro-2,5,8,11,14,17,20,23,26-nonakis(trifluoromethyl)-3,6,9,12,15,18,21,24,27-nonaoxatriacontan-1-oyl fluoride</t>
  </si>
  <si>
    <t>65150-88-1</t>
  </si>
  <si>
    <t>Tribromofluoromethane</t>
  </si>
  <si>
    <t>353-54-8</t>
  </si>
  <si>
    <t>Perfluoroeicosyl iodide</t>
  </si>
  <si>
    <t>29809-34-5</t>
  </si>
  <si>
    <t>Perfluorooctadecyl iodide</t>
  </si>
  <si>
    <t>29809-35-6</t>
  </si>
  <si>
    <t>N3-(2-(((heptadecafluorooctyl)sulfonyl)methylamino)ethyl)-N1-(2-(((heptadecafluorooctyl)sulfonyl)propylamino)ethyl)-4-methyl-1,3-benzenedicarboxamide</t>
  </si>
  <si>
    <t>73019-20-2</t>
  </si>
  <si>
    <t>1,1,2,2,3,3,4,4,5,5,6,6,7,7,7-pentadecafluoro-N-(2-hydroxyethyl)heptane-1-sulfonamide</t>
  </si>
  <si>
    <t>167398-54-1</t>
  </si>
  <si>
    <t>12:2 Fluorotelomer unsaturated carboxylic acid</t>
  </si>
  <si>
    <t>70887-95-5</t>
  </si>
  <si>
    <t>3,3,4,4,5,5,6,6,7,7,8,8,9,9,10,10,11,11,12,12,12-henicosafluorododecyl (3,3,4,4,5,5,6,6,7,7,8,8,9,9,10,10,11,11,12,12,13,13,14,14,14-pentacosafluorotetradecyl) hydrogen phosphate</t>
  </si>
  <si>
    <t>1158182-61-6</t>
  </si>
  <si>
    <t>(Perfluorohexadecyl)hexadecene</t>
  </si>
  <si>
    <t>1244062-14-3</t>
  </si>
  <si>
    <t>3,3-Dichloro-1,1,1-trifluoroacetone hydrate</t>
  </si>
  <si>
    <t>1049731-87-4</t>
  </si>
  <si>
    <t>Perfluorononanal hydrate</t>
  </si>
  <si>
    <t>191528-99-1</t>
  </si>
  <si>
    <t>3,3,4,4,5,5,6,6,7,7,8,8,9,9,10,10,11,11,12,12,12-Henicosafluorododecyl 3,3,4,4,5,5,6,6,7,7,8,8,9,9,10,10,10-heptadecafluorodecyl hydrogen phosphate</t>
  </si>
  <si>
    <t>1158182-60-5</t>
  </si>
  <si>
    <t>1,1,2,2,3,3,4,4,5,5,6,6,6-tridecafluoro-N-(2-hydroxyethyl)hexane-1-sulfonamide</t>
  </si>
  <si>
    <t>106443-63-4</t>
  </si>
  <si>
    <t>1,2,2,2-Tetrafluoroethanesulfonyl fluoride</t>
  </si>
  <si>
    <t>2127-74-4</t>
  </si>
  <si>
    <t>2-Vinyl(1-bromoperfluoroethane)</t>
  </si>
  <si>
    <t>18599-22-9</t>
  </si>
  <si>
    <t>1,4-Dibromo-1,1,2,2-tetrafluorobutane</t>
  </si>
  <si>
    <t>18599-20-7</t>
  </si>
  <si>
    <t>6:2/8:2 Fluorotelomer phosphate diester</t>
  </si>
  <si>
    <t>943913-15-3</t>
  </si>
  <si>
    <t>8:2 Fluorotelomer unsaturated aldehyde</t>
  </si>
  <si>
    <t>58544-13-1</t>
  </si>
  <si>
    <t>3,3,4,4,5,5,6,6,6-nonafluorohexyl (3,3,4,4,5,5,6,6,7,7,8,8,8-tridecafluorooctyl) hydrogen phosphate</t>
  </si>
  <si>
    <t>1158182-59-2</t>
  </si>
  <si>
    <t>bis(3,3,4,4,5,5,6,6,6-nonafluorohexyl) hydrogen phosphate</t>
  </si>
  <si>
    <t>135098-69-0</t>
  </si>
  <si>
    <t>1,1,2,2,3,3,4,4,5,5,6,6,7,7,7-pentadecafluoroheptane-1-sulfonamide</t>
  </si>
  <si>
    <t>82765-77-3</t>
  </si>
  <si>
    <t>Perfluorooctanesulfonamido ethanol</t>
  </si>
  <si>
    <t>N-ethyl-1,1,2,2,3,3,4,4,5,5,6,6,6-tridecafluorohexane-1-sulfonamide</t>
  </si>
  <si>
    <t>87988-56-5</t>
  </si>
  <si>
    <t>1,1,1,2,2,3,3,4,4,5,5-undecafluoro-5-(propylsulfonyl)pentane</t>
  </si>
  <si>
    <t>40630-67-9</t>
  </si>
  <si>
    <t>1,1,2,2,3,3,4,4,5,5,5-undecafluoropentane-1-sulfonamide</t>
  </si>
  <si>
    <t>82765-76-2</t>
  </si>
  <si>
    <t>N-ethyl-1,1,2,2,3,3,4,4,5,5,5-undecafluoropentane-1-sulfonamide</t>
  </si>
  <si>
    <t>162682-16-8</t>
  </si>
  <si>
    <t>[1,1,1,2,2,3,3,4,4,14,14,15,15,16,16,17,17,17-Octadecafluoro-10-(4,4,5,5,6,6,7,7,7-nonafluoroheptyl)heptadec-9-en-8-yl]-lambda~2~-stannanyl</t>
  </si>
  <si>
    <t>217805-03-3</t>
  </si>
  <si>
    <t>8:2 Fluorotelomer phosphate diester</t>
  </si>
  <si>
    <t xml:space="preserve"> 678-41-1</t>
  </si>
  <si>
    <t>6:2 Fluorotelomer phosphate diester</t>
  </si>
  <si>
    <t>4004-51-7</t>
  </si>
  <si>
    <t>3,5,6-Trichloro-2,2,3,4,4,5,6,6-octafluorohexanoyl chloride</t>
  </si>
  <si>
    <t>1422-98-6</t>
  </si>
  <si>
    <t>1,1,3-trichloro-1,2,2,3,3-pentafluoropropane</t>
  </si>
  <si>
    <t>1652-81-9</t>
  </si>
  <si>
    <t>1H,1H,6H,6H-Perfluorohexane-1,6-diol diacrylate</t>
  </si>
  <si>
    <t xml:space="preserve">  2264-01-9</t>
  </si>
  <si>
    <t>1,1-Bis(trifluoromethyl)ethene</t>
  </si>
  <si>
    <t xml:space="preserve">  382-10-5</t>
  </si>
  <si>
    <t>3H,3H-Perfluoro-2,4-hexanedione</t>
  </si>
  <si>
    <t xml:space="preserve">  20825-07-4</t>
  </si>
  <si>
    <t>Hexafluoro-2,2,3,3-tetrachlorobutane</t>
  </si>
  <si>
    <t xml:space="preserve">  375-34-8</t>
  </si>
  <si>
    <t>1,2-Dibromohexafluoropropane</t>
  </si>
  <si>
    <t xml:space="preserve">  661-95-0</t>
  </si>
  <si>
    <t>Perfluoroisoheptyl Iodide</t>
  </si>
  <si>
    <t xml:space="preserve">  3486-08-6</t>
  </si>
  <si>
    <t>2,3-Dichloro-1,1,1,2,3,4,5,5,5-nonafluoro-4-(trifluoromethyl)pentane</t>
  </si>
  <si>
    <t xml:space="preserve">  85720-79-2</t>
  </si>
  <si>
    <t>1,2-Dichlorohexafluoropropane</t>
  </si>
  <si>
    <t xml:space="preserve">  661-97-2</t>
  </si>
  <si>
    <t>2λ5,4λ5,6λ5-1,3,5,2,4,6-Triazatriphosphorine, 2,2,4,4,6,6-hexakis[2,3,3,3-tetrafluoro-2-[1,1,2,3,3,3-hexafluoro-2-(1,1,2,2,3,3,3-heptafluoropropoxy)propoxy]propoxy]-</t>
  </si>
  <si>
    <t xml:space="preserve">  1383437-42-0</t>
  </si>
  <si>
    <t>1,1,1,2,2,4,4,5,5,5-Decafluoro-3-pentanone</t>
  </si>
  <si>
    <t xml:space="preserve">  684-32-2</t>
  </si>
  <si>
    <t>1-(2,2,3,3,3-Pentafluoro-1-oxopropyl)-1H-imidazole</t>
  </si>
  <si>
    <t xml:space="preserve">  71735-32-5</t>
  </si>
  <si>
    <t>3,3-Dichloro-1,1,1,2,2-pentafluoropropane</t>
  </si>
  <si>
    <t xml:space="preserve">  422-56-0</t>
  </si>
  <si>
    <t>4:2 Fluorotelomer unsaturated aldehyde</t>
  </si>
  <si>
    <t xml:space="preserve">  864551-39-3</t>
  </si>
  <si>
    <t>Tris{4-[3,3,4,4,5,5,5-heptafluoro-2,2-bis(trifluoromethyl)pentyl]phenyl}phosphane</t>
  </si>
  <si>
    <t xml:space="preserve">  322647-82-5</t>
  </si>
  <si>
    <t>Trichloroheptafluorobutane</t>
  </si>
  <si>
    <t xml:space="preserve">  28984-80-7</t>
  </si>
  <si>
    <t>3,5-Bis(perfluorohexyl)-1-(nonafluoropentanoyl)-1H-pyrazole</t>
  </si>
  <si>
    <t xml:space="preserve">  231630-88-9</t>
  </si>
  <si>
    <t>(1R,2R)-N,N'-bis(Perfluorooctanoyl)-1,2-cyclohexanediamine</t>
  </si>
  <si>
    <t xml:space="preserve">  864149-62-2</t>
  </si>
  <si>
    <t>3,4-Bis((perfluoro-1-oxooctyl)amino)benzenesulfonyl chloride</t>
  </si>
  <si>
    <t xml:space="preserve">  24216-05-5</t>
  </si>
  <si>
    <t>N,N'-(Propane-1,3-diyl)bis(2,2,3,3,4,4,5,5,6,6,7,7,8,8,8-pentadecafluorooctanamide)</t>
  </si>
  <si>
    <t xml:space="preserve">  29680-98-6</t>
  </si>
  <si>
    <t>3,3,4,4,5,5,6,6,7,7,8,8,9,9,10,10,10-Heptadecafluorodecyl pentadecafluorooctanoate</t>
  </si>
  <si>
    <t xml:space="preserve">  886046-97-5</t>
  </si>
  <si>
    <t>N,N'-bis(Perfluorononanoyl)1,12-dodecandiamine</t>
  </si>
  <si>
    <t xml:space="preserve">  204922-38-3</t>
  </si>
  <si>
    <t>N,N'-bis(Perfluorononanoyl)1,6-hexanediamine</t>
  </si>
  <si>
    <t xml:space="preserve">  174495-83-1</t>
  </si>
  <si>
    <t>N,N'-bis(Perfluorononanoyl)1,2-ethanediamine</t>
  </si>
  <si>
    <t xml:space="preserve">  97005-61-3</t>
  </si>
  <si>
    <t>Nonadecafluorodecanoic anhydride</t>
  </si>
  <si>
    <t xml:space="preserve">  942199-24-8</t>
  </si>
  <si>
    <t>Perfluorotetracosane</t>
  </si>
  <si>
    <t xml:space="preserve">  1766-41-2</t>
  </si>
  <si>
    <t>Hexatetracontafluorodocosane</t>
  </si>
  <si>
    <t xml:space="preserve">  1127427-64-8</t>
  </si>
  <si>
    <t>Dotetracontafluoroicosane</t>
  </si>
  <si>
    <t xml:space="preserve">  37589-57-4</t>
  </si>
  <si>
    <t>Octatriacontafluorooctadecane</t>
  </si>
  <si>
    <t xml:space="preserve">  24768-65-8</t>
  </si>
  <si>
    <t>(Perfluorohexadecyl)hexadecane</t>
  </si>
  <si>
    <t xml:space="preserve">  137338-42-2</t>
  </si>
  <si>
    <t>Perfluorohexadecane</t>
  </si>
  <si>
    <t xml:space="preserve">  355-49-7</t>
  </si>
  <si>
    <t>Perfluoropentadecane</t>
  </si>
  <si>
    <t xml:space="preserve">  2264-03-1</t>
  </si>
  <si>
    <t>Tris(2-(perfluorotetradecanyl)ethyl)phosphate</t>
  </si>
  <si>
    <t xml:space="preserve">  393098-44-7</t>
  </si>
  <si>
    <t>1,1,1,2,2,3,3,4,4,5,5,6,6,7,7,8,8,9,9,10,10,11,11,12,12,19,19,20,20,21,21,22,22,23,23,24,24,25,25,26,26,27,27,28,28,29,29,30,30,30-Pentacontafluoro-14,17-diiodotriacontane</t>
  </si>
  <si>
    <t xml:space="preserve">  114221-75-9</t>
  </si>
  <si>
    <t>1,8-Bis(perfluorododecyl)-2,7-diiodooctane</t>
  </si>
  <si>
    <t xml:space="preserve">  1980044-62-9</t>
  </si>
  <si>
    <t>1,1,1,2,2,3,3,4,4,5,5,6,6,7,7,8,8,9,9,10,10,11,11,12,12,25,25,26,26,27,27,28,28,29,29,30,30,31,31,32,32,33,33,34,34,35,35,36,36,36-Pentacontafluoro-14,23-diiodohexatriacontane</t>
  </si>
  <si>
    <t xml:space="preserve">  1980039-13-1</t>
  </si>
  <si>
    <t>1,1,1,2,2,3,3,4,4,5,5,6,6,7,7,8,8,9,9,10,10,11,11,12,12,35,35,36,36,37,37,38,38,39,39,40,40,41,41,42,42,43,43,44,44,45,45,46,46,46-Pentacontafluoro-14,33-diiodohexatetracontane</t>
  </si>
  <si>
    <t xml:space="preserve">  114221-76-0</t>
  </si>
  <si>
    <t>1,1,1,2,2,3,3,4,4,5,5,6,6,7,7,8,8,9,9,10,10,11,11,12,12,19,19,20,20,21,21,22,22,23,23,24,24,25,25,26,26,27,27,28,28,29,29,30,30,30-Pentacontafluorotriacontane</t>
  </si>
  <si>
    <t xml:space="preserve">  114221-77-1</t>
  </si>
  <si>
    <t>1,1,1,2,2,3,3,4,4,5,5,6,6,7,7,8,8,9,9,10,10,11,11,12,12,21,21,22,22,23,23,24,24,25,25,26,26,27,27,28,28,29,29,30,30,31,31,32,32,32-Pentacontafluorodotriacontane</t>
  </si>
  <si>
    <t xml:space="preserve">  100550-09-2</t>
  </si>
  <si>
    <t>1,1,1,2,2,3,3,4,4,5,5,6,6,7,7,8,8,9,9,10,10,11,11,12,12,23,23,24,24,25,25,26,26,27,27,28,28,29,29,30,30,31,31,32,32,33,33,34,34,34-Pentacontafluorotetratriacontane</t>
  </si>
  <si>
    <t xml:space="preserve">  100550-10-5</t>
  </si>
  <si>
    <t>1,1,1,2,2,3,3,4,4,5,5,6,6,7,7,8,8,9,9,10,10,11,11,12,12,25,25,26,26,27,27,28,28,29,29,30,30,31,31,32,32,33,33,34,34,35,35,36,36,36-Pentacontafluorohexatriacontane</t>
  </si>
  <si>
    <t xml:space="preserve">  100550-11-6</t>
  </si>
  <si>
    <t>1,1,1,2,2,3,3,4,4,5,5,6,6,7,7,8,8,9,9,10,10,11,11,12,12,33,33,34,34,35,35,36,36,37,37,38,38,39,39,40,40,41,41,42,42,43,43,44,44,44-Pentacontafluorotetratetracontane</t>
  </si>
  <si>
    <t xml:space="preserve">  114221-78-2</t>
  </si>
  <si>
    <t>1,1,1,2,2,3,3,4,4,5,5,6,6,7,7,8,8,9,9,10,10,11,11,12,12,35,35,36,36,37,37,38,38,39,39,40,40,41,41,42,42,43,43,44,44,45,45,46,46,46-Pentacontafluorohexatetracontane</t>
  </si>
  <si>
    <t xml:space="preserve">  114221-79-3</t>
  </si>
  <si>
    <t>2,2,3,3,4,4,5,5,6,6,7,7,8,8,9,9,10,10,11,11,12,12,12-Tricosafluorododecyl nonafluorobutane-1-sulfonate</t>
  </si>
  <si>
    <t xml:space="preserve">  924894-11-1</t>
  </si>
  <si>
    <t>1,1,1,2,2,3,3,4,4,5,5,6,6,7,7,8,8,9,9,10,10,17,17,18,18,19,19,20,20,21,21,22,22,23,23,24,24,25,25,26,26,26-Dotetracontafluoro-12,15-diiodohexacosane</t>
  </si>
  <si>
    <t xml:space="preserve">  1980086-18-7</t>
  </si>
  <si>
    <t>1,1,1,2,2,3,3,4,4,5,5,6,6,7,7,8,8,9,9,10,10,18,18,19,19,20,20,21,21,22,22,23,23,24,24,25,25,26,26,27,27,27-Dotetracontafluoro-12,16-diiodoheptacosane</t>
  </si>
  <si>
    <t xml:space="preserve">  784189-62-4</t>
  </si>
  <si>
    <t>1,1,1,2,2,3,3,4,4,5,5,6,6,7,7,8,8,9,9,10,10,19,19,20,20,21,21,22,22,23,23,24,24,25,25,26,26,27,27,28,28,28-Dotetracontafluoro-12,17-diiodooctacosane</t>
  </si>
  <si>
    <t xml:space="preserve">  1980064-30-9</t>
  </si>
  <si>
    <t>1,12-Bis(perfluorodecyl)-2,11-diiodododecane</t>
  </si>
  <si>
    <t xml:space="preserve">  1980048-92-7</t>
  </si>
  <si>
    <t>1,1,1,2,2,3,3,4,4,5,5,6,6,7,7,8,8,9,9,10,10,17,17,18,18,19,19,20,20,21,21,22,22,23,23,24,24,25,25,26,26,26-Dotetracontafluorohexacosane</t>
  </si>
  <si>
    <t xml:space="preserve">  391894-95-4</t>
  </si>
  <si>
    <t>1,1,1,2,2,3,3,4,4,5,5,6,6,7,7,8,8,9,9,10,10,19,19,20,20,21,21,22,22,23,23,24,24,25,25,26,26,27,27,28,28,28-Dotetracontafluorooctacosane</t>
  </si>
  <si>
    <t xml:space="preserve">  115249-34-8</t>
  </si>
  <si>
    <t>1,1,1,2,2,3,3,4,4,5,5,6,6,7,7,8,8,9,9,10,10,21,21,22,22,23,23,24,24,25,25,26,26,27,27,28,28,29,29,30,30,30-Dotetracontafluorotriacontane</t>
  </si>
  <si>
    <t xml:space="preserve">  135588-58-8</t>
  </si>
  <si>
    <t>1,12-Bis(perfluorodecyl)-n-dodecane</t>
  </si>
  <si>
    <t xml:space="preserve">  1980039-46-0</t>
  </si>
  <si>
    <t>Tris(3,3,4,4,5,5,6,6,7,7,8,8,9,9,10,10,11,11,12,12,12-henicosafluorododecyl) phosphate</t>
  </si>
  <si>
    <t xml:space="preserve">  106554-16-9</t>
  </si>
  <si>
    <t>2,4,6-Tris(nonadecafluorononyl)-1,3,5-triazine</t>
  </si>
  <si>
    <t xml:space="preserve">  57101-59-4</t>
  </si>
  <si>
    <t>(9E)-1,1,1,2,2,3,3,4,4,5,5,6,6,7,7,8,8,11,11,12,12,13,13,14,14,15,15,16,16,17,17,18,18,18-Tetratriacontafluorooctadec-9-ene</t>
  </si>
  <si>
    <t xml:space="preserve">  51249-70-8</t>
  </si>
  <si>
    <t>Tris[3-(perfluorooctyl)phenyl]phosphine</t>
  </si>
  <si>
    <t xml:space="preserve">  325459-91-4</t>
  </si>
  <si>
    <t>Tris[4-(heptadecafluorooctyl)phenyl]phosphine</t>
  </si>
  <si>
    <t xml:space="preserve">  284472-92-0</t>
  </si>
  <si>
    <t>1,1,1,2,2,3,3,4,4,5,5,6,6,7,7,8,8,11,11,12,12,13,13,14,14,15,15,16,16,17,17,18,18,18-Tetratriacontafluoro-9-iodooctadecane</t>
  </si>
  <si>
    <t xml:space="preserve">  53638-12-3</t>
  </si>
  <si>
    <t>1,1,1,2,2,3,3,4,4,5,5,6,6,7,7,8,8,14,14,15,15,16,16,17,17,18,18,19,19,20,20,21,21,21-Tetratriacontafluoro-10,12-diiodohenicosane</t>
  </si>
  <si>
    <t xml:space="preserve">  1254971-75-9</t>
  </si>
  <si>
    <t>1,1,1,2,2,3,3,4,4,5,5,6,6,7,7,8,8,15,15,16,16,17,17,18,18,19,19,20,20,21,21,22,22,22-Tetratriacontafluoro-10,13-diiododocosane</t>
  </si>
  <si>
    <t xml:space="preserve">  460744-98-3</t>
  </si>
  <si>
    <t>1,1,1,2,2,3,3,4,4,5,5,6,6,7,7,8,8,17,17,18,18,19,19,20,20,21,21,22,22,23,23,24,24,24-Tetratriacontafluoro-10,15-diiodotetracosane</t>
  </si>
  <si>
    <t xml:space="preserve">  959462-52-3</t>
  </si>
  <si>
    <t>Bis[2-iodo-3-(perfluorooctyl)propyl] adipate</t>
  </si>
  <si>
    <t xml:space="preserve">  238742-84-2</t>
  </si>
  <si>
    <t>1,1,1,2,2,3,3,4,4,5,5,6,6,7,7,8,8,11,11,12,12,13,13,14,14,15,15,16,16,17,17,18,18,18-Tetratriacontafluorooctadecane</t>
  </si>
  <si>
    <t xml:space="preserve">  181765-99-1</t>
  </si>
  <si>
    <t>Tris[3-(3,3,4,4,5,5,6,6,7,7,8,8,9,9,10,10,10-heptadecafluorodecyl)phenyl]phosphane</t>
  </si>
  <si>
    <t xml:space="preserve">  342889-38-7</t>
  </si>
  <si>
    <t>Tris[4-(3,3,4,4,5,5,6,6,7,7,8,8,9,9,10,10,10-heptadecafluorodecyl)phenyl]phosphane</t>
  </si>
  <si>
    <t xml:space="preserve">  325459-92-5</t>
  </si>
  <si>
    <t>Bis[4-(1H,1H,2H,2H-perfluorodecyl)phenyl]phenylphosphine</t>
  </si>
  <si>
    <t xml:space="preserve">  892154-91-5</t>
  </si>
  <si>
    <t>1,1,1,2,2,3,3,4,4,5,5,6,6,7,7,8,8,13,13,14,14,15,15,16,16,17,17,18,18,19,19,20,20,20-Tetratriacontafluoroicosane</t>
  </si>
  <si>
    <t xml:space="preserve">  133299-41-9</t>
  </si>
  <si>
    <t>1,1,1,2,2,3,3,4,4,5,5,6,6,7,7,8,8,15,15,16,16,17,17,18,18,19,19,20,20,21,21,22,22,22-Tetratriacontafluorodocosane</t>
  </si>
  <si>
    <t xml:space="preserve">  959462-55-6</t>
  </si>
  <si>
    <t>1,1,1,2,2,3,3,4,4,5,5,6,6,7,7,8,8,17,17,18,18,19,19,20,20,21,21,22,22,23,23,24,24,24-Tetratriacontafluorotetracosane</t>
  </si>
  <si>
    <t xml:space="preserve">  100550-08-1</t>
  </si>
  <si>
    <t>Tris(3,3,4,4,5,5,6,6,7,7,8,8,9,9,10,10,10-heptadecafluorodecyl) phosphate</t>
  </si>
  <si>
    <t xml:space="preserve">  149790-22-7</t>
  </si>
  <si>
    <t>1,1,1,2,2,3,3,4,4,5,5,6,6,7,7,8,8-Heptadecafluoro-10-[(3,3,4,4,5,5,6,6,7,7,8,8,9,9,10,10,10-heptadecafluorodecyl)sulfanyl]decane</t>
  </si>
  <si>
    <t xml:space="preserve">  96497-21-1</t>
  </si>
  <si>
    <t>Bis(3,3,4,4,5,5,6,6,7,7,8,8,9,9,10,10,10-heptadecafluorodecyl) disulphide</t>
  </si>
  <si>
    <t xml:space="preserve">  42977-21-9</t>
  </si>
  <si>
    <t>Bis(heptadecafluorooctyl) 2-methylidenebutanedioate</t>
  </si>
  <si>
    <t xml:space="preserve">  243977-25-5</t>
  </si>
  <si>
    <t>Bis(Perfluorooctylsulfonyl)amine</t>
  </si>
  <si>
    <t xml:space="preserve">  39847-41-1</t>
  </si>
  <si>
    <t>2,4,6-Tris(pentadecafluoroheptyl)-1,3,5-triazine</t>
  </si>
  <si>
    <t xml:space="preserve">  21674-38-4</t>
  </si>
  <si>
    <t>1,1,1,2,2,3,3,4,4,5,5,6,6,7,7,14,14,15,15,16,16,17,17,18,18,19,19,20,20,20-Triacontafluoro-9,12-diiodoicosane</t>
  </si>
  <si>
    <t xml:space="preserve">  25474-72-0</t>
  </si>
  <si>
    <t>Bis(2,2,3,3,4,4,5,5,6,6,7,7,8,8,8-pentadecafluorooctyl) (2E)-but-2-enedioate</t>
  </si>
  <si>
    <t xml:space="preserve">  24120-18-1</t>
  </si>
  <si>
    <t>Bis(2,2,3,3,4,4,5,5,6,6,7,7,8,8,8-pentadecafluorooctyl) 3,4,5,6-tetrachlorobenzene-1,2-dicarboxylate</t>
  </si>
  <si>
    <t xml:space="preserve">  2212-77-3</t>
  </si>
  <si>
    <t>AC1MCPYN</t>
  </si>
  <si>
    <t xml:space="preserve">  186043-52-7</t>
  </si>
  <si>
    <t>Tris[4-(tridecafluorohexyl)phenyl]phosphine</t>
  </si>
  <si>
    <t xml:space="preserve">  193197-68-1</t>
  </si>
  <si>
    <t>1~5~,4~5~-Bis(tridecafluorohexyl)-1~2~,2~2~:2~5~,3~2~:3~5~,4~2~-quaterthiophene</t>
  </si>
  <si>
    <t xml:space="preserve">  446043-85-2</t>
  </si>
  <si>
    <t>1,1'-[1,3-Phenylenebis(oxy)]bis[3-(tridecafluorohexyl)benzene]</t>
  </si>
  <si>
    <t xml:space="preserve">  151707-04-9</t>
  </si>
  <si>
    <t>3,3'-(1,4-Phenylene)bis[5-(tridecafluorohexyl)-1,2,4-oxadiazole]</t>
  </si>
  <si>
    <t xml:space="preserve">  146304-71-4</t>
  </si>
  <si>
    <t>Tris(3,3,4,4,5,5,6,6,7,7,8,8,8-tridecafluorooctyl)tin bromide</t>
  </si>
  <si>
    <t xml:space="preserve">  175354-31-1</t>
  </si>
  <si>
    <t>Phenyltris((perfluorohexyl)ethyl)stannane</t>
  </si>
  <si>
    <t xml:space="preserve">  175354-30-0</t>
  </si>
  <si>
    <t>Allyltris(3,3,4,4,5,5,6,6,7,7,8,8,8-tridecafluorooctyl)stannane</t>
  </si>
  <si>
    <t xml:space="preserve">  192212-66-1</t>
  </si>
  <si>
    <t>Tris(3,3,4,4,5,5,6,6,7,7,8,8,8-tridecafluorooctyl)tin azide</t>
  </si>
  <si>
    <t xml:space="preserve">  201740-73-0</t>
  </si>
  <si>
    <t>Tris((perfluorohexyl)ethyl)stannane</t>
  </si>
  <si>
    <t xml:space="preserve">  175354-32-2</t>
  </si>
  <si>
    <t>Tris[4-(3,3,4,4,5,5,6,6,7,7,8,8,8-tridecafluorooctyl)phenyl]phosphine</t>
  </si>
  <si>
    <t xml:space="preserve">  219985-31-6</t>
  </si>
  <si>
    <t>Phenylbis[4-(3,3,4,4,5,5,6,6,7,7,8,8,8-tridecafluorooctyl)phenyl]phosphane</t>
  </si>
  <si>
    <t xml:space="preserve">  290827-94-0</t>
  </si>
  <si>
    <t>[2,7-Bis((perfluorohexyl)ethyl)-9H-fluoren-9-yl]methyl carbonochloridate</t>
  </si>
  <si>
    <t xml:space="preserve">  932710-57-1</t>
  </si>
  <si>
    <t>1,1,1,2,2,3,3,4,4,5,5,6,6,17,17,18,18,19,19,20,20,21,21,22,22,22-Hexacosafluorodocosane</t>
  </si>
  <si>
    <t xml:space="preserve">  1835255-18-9</t>
  </si>
  <si>
    <t>Bis(4,4,5,5,6,6,7,7,8,8,9,9,9-tridecafluorononyl) diazene-1,2-dicarboxylate</t>
  </si>
  <si>
    <t xml:space="preserve">  462996-01-6</t>
  </si>
  <si>
    <t>2-Chloro-4,6-bis[(4,4,5,5,6,6,7,7,8,8,9,9,9-tridecafluorononyl)oxy]-1,3,5-triazine</t>
  </si>
  <si>
    <t xml:space="preserve">  916770-15-5</t>
  </si>
  <si>
    <t>Bis(3,3,4,4,5,5,6,6,7,7,8,8,8-tridecafluorooctyl) but-2-enedioate</t>
  </si>
  <si>
    <t xml:space="preserve">  55003-96-8</t>
  </si>
  <si>
    <t>Bis(3,3,4,4,5,5,6,6,7,7,8,8,8-tridecafluorooctyl) 2-methylidenebutanedioate</t>
  </si>
  <si>
    <t xml:space="preserve">  49676-56-4</t>
  </si>
  <si>
    <t>Bis((perfluorohexyl)ethyl) diazene-1,2-dicarboxylate</t>
  </si>
  <si>
    <t xml:space="preserve">  452912-11-7</t>
  </si>
  <si>
    <t>Tris(3,3,4,4,5,5,6,6,7,7,8,8,8-tridecafluorooctyl) phosphate</t>
  </si>
  <si>
    <t xml:space="preserve">  165325-62-2</t>
  </si>
  <si>
    <t>Bis[3-(3,3,4,4,5,5,6,6,7,7,8,8,8-tridecafluorooctylsulfanyl)propyl] But-2-enedioate</t>
  </si>
  <si>
    <t xml:space="preserve">  56927-83-4</t>
  </si>
  <si>
    <t>Perfluorotrihexylamine</t>
  </si>
  <si>
    <t xml:space="preserve">  432-08-6</t>
  </si>
  <si>
    <t>Hexane, 1-(pentafluorothio)-tridecafluoro-</t>
  </si>
  <si>
    <t xml:space="preserve">  1423-20-7</t>
  </si>
  <si>
    <t>2,4,6-Tris(undecafluoropentyl)-1,3,5-triazine</t>
  </si>
  <si>
    <t xml:space="preserve">  23790-50-3</t>
  </si>
  <si>
    <t>Tris(1H,1H,2H,2H-perfluorohexyl) phosphate</t>
  </si>
  <si>
    <t xml:space="preserve">  1887067-55-1</t>
  </si>
  <si>
    <t>Nonafluorobutyl prop-2-enoate</t>
  </si>
  <si>
    <t xml:space="preserve">  2708-03-4</t>
  </si>
  <si>
    <t>Phosphorane, difluorotris(nonafluorobutyl)-</t>
  </si>
  <si>
    <t xml:space="preserve">  91543-34-9</t>
  </si>
  <si>
    <t>Perfluorobutane sulfonamidoacetic acid</t>
  </si>
  <si>
    <t xml:space="preserve">  347872-22-4</t>
  </si>
  <si>
    <t>2-(Perfluoropropyl)benzoxazole</t>
  </si>
  <si>
    <t xml:space="preserve">  2008-06-2</t>
  </si>
  <si>
    <t>2-(Heptafluoropropyl)-1H-imidazole</t>
  </si>
  <si>
    <t xml:space="preserve">  81769-47-3</t>
  </si>
  <si>
    <t>Imidazolidine, 2-heptafluoropropyl-</t>
  </si>
  <si>
    <t>31185-53-2</t>
  </si>
  <si>
    <t>1,3,5,2,4,6-Triazatriphosphorine, 2,2,4,4,6,6-hexakis(2,2,3,3,4,4,4-heptafluorobutoxy)-2,2,4,4,6,6-hexahydro-</t>
  </si>
  <si>
    <t xml:space="preserve">  470-73-5</t>
  </si>
  <si>
    <t>Perfluoro-N,N,N',N'-tetrakis(heptafluoropropyl)-1,6-hexanediamine</t>
  </si>
  <si>
    <t xml:space="preserve">  143356-32-5</t>
  </si>
  <si>
    <t>Tris{4-[1,1,2,3,3,3-hexafluoro-2-(heptafluoropropoxy)propyl]phenyl}phosphane</t>
  </si>
  <si>
    <t xml:space="preserve">  62512-90-7</t>
  </si>
  <si>
    <t>1,1,1,2,2,3,3,5,6,6,8,9,9,11,12,14,14,15,17,17,18,20,20,21,21,22,22,22-Octacosafluoro-5,8,11,12,15,18-hexakis(trifluoromethyl)-4,7,10,13,16,19-hexaoxadocosane</t>
  </si>
  <si>
    <t xml:space="preserve">  61098-01-9</t>
  </si>
  <si>
    <t>Perfluoro-5,6-dimethyl-4,7-dioxadecane</t>
  </si>
  <si>
    <t xml:space="preserve">  2501-01-1</t>
  </si>
  <si>
    <t>(R*,S*)-1,1,2,3,4,4-Hexafluoro-1,2,3,4-tetrakis(heptafluoropropoxy)butane</t>
  </si>
  <si>
    <t xml:space="preserve">  54572-17-7</t>
  </si>
  <si>
    <t>1,1,2,3,4,4-Hexafluoro-1,2,3,4-tetrakis(heptafluoropropoxy)butane</t>
  </si>
  <si>
    <t xml:space="preserve">  54208-66-1</t>
  </si>
  <si>
    <t>1,1,2,2,3,3,3-heptafluoro-1-(vinyloxy)propane</t>
  </si>
  <si>
    <t xml:space="preserve">  6996-01-6</t>
  </si>
  <si>
    <t>2,4,6-Tris(pentafluoroethyl)-1,3,5-triazine</t>
  </si>
  <si>
    <t xml:space="preserve">  858-46-8</t>
  </si>
  <si>
    <t>Bis(3-(perfluoroethyl)-1-(9-bromononyl)propyl) thioether</t>
  </si>
  <si>
    <t xml:space="preserve">  148757-89-5</t>
  </si>
  <si>
    <t>2:2 Fluorotelomer iodide</t>
  </si>
  <si>
    <t xml:space="preserve">  40723-80-6</t>
  </si>
  <si>
    <t>(Perfluoroethyl)methyl iodide</t>
  </si>
  <si>
    <t xml:space="preserve">  354-69-8</t>
  </si>
  <si>
    <t>1H,1H-Perfluoropropyl acrylate</t>
  </si>
  <si>
    <t xml:space="preserve">  356-86-5</t>
  </si>
  <si>
    <t>Perfluoroethane</t>
  </si>
  <si>
    <t xml:space="preserve">  76-16-4</t>
  </si>
  <si>
    <t>Pentafluoroiodoethane</t>
  </si>
  <si>
    <t xml:space="preserve">  354-64-3</t>
  </si>
  <si>
    <t>1-Bromo-1,1,2,2,4,5,5,7,8,8,10,11,11,13,14,14,16,16,17,17,17-henicosafluoro-4,7,10,13-tetrakis(trifluoromethyl)-3,6,9,12,15-pentaoxaheptadecane</t>
  </si>
  <si>
    <t xml:space="preserve">  1482416-52-3</t>
  </si>
  <si>
    <t>Pentafluoroethane-1-sulfonyl chloride</t>
  </si>
  <si>
    <t xml:space="preserve">  64773-40-6</t>
  </si>
  <si>
    <t>Hexafluoroisopropyl acrylate</t>
  </si>
  <si>
    <t xml:space="preserve">  2160-89-6</t>
  </si>
  <si>
    <t>Poly(difluoromethylene), .alpha.-[2-[(2-carboxyethyl)thio]ethyl]-.omega.-fluoro-, lithium salt (1:1)|Poly(difluoromethylene), .alpha.-[2-[(2-carboxyethyl)thio]ethyl]-.omega.-fluoro-  (Zonyl 7950)</t>
  </si>
  <si>
    <t xml:space="preserve">  65530-69-0|65530-83-8</t>
  </si>
  <si>
    <t>multiple ether-substituted perfluoroalkyl (linear) caborxylic acids, n=2</t>
  </si>
  <si>
    <t xml:space="preserve">  39492-89-2</t>
  </si>
  <si>
    <t>multiple ether-substituted perfluoroalkyl (linear) caborxylic acids, n=3</t>
  </si>
  <si>
    <t xml:space="preserve">  39492-90-5</t>
  </si>
  <si>
    <t>multiple ether-substituted perfluoroalkyl (linear) caborxylic acids, n=4</t>
  </si>
  <si>
    <t xml:space="preserve">  39492-91-6</t>
  </si>
  <si>
    <t>3,3,4,4-Tetrafluoro-4-iodo-1-butene</t>
  </si>
  <si>
    <t xml:space="preserve">  33831-83-3</t>
  </si>
  <si>
    <t>1,2-Diiodotetrafluoroethane</t>
  </si>
  <si>
    <t xml:space="preserve">  354-65-4</t>
  </si>
  <si>
    <t>2-Allyloxyperfluoroethanesulfonyl fluoride</t>
  </si>
  <si>
    <t xml:space="preserve">  73606-13-0</t>
  </si>
  <si>
    <t>Vinylidene fluoride</t>
  </si>
  <si>
    <t xml:space="preserve">  75-38-7</t>
  </si>
  <si>
    <t>Bromotrifluoroethylene</t>
  </si>
  <si>
    <t xml:space="preserve">  598-73-2</t>
  </si>
  <si>
    <t>2-(difluoromethylene)-4,4,5-trifluoro-5-(trifluoromethyl)-1,3-dioxolane</t>
  </si>
  <si>
    <t xml:space="preserve">  17256-52-9</t>
  </si>
  <si>
    <t>1,1,3,3,3-Pentafluoropropene</t>
  </si>
  <si>
    <t xml:space="preserve">  690-27-7</t>
  </si>
  <si>
    <t>2,2,4,4,6,6-Hexakis[(2,2,3,3,4,4,5,5-octafluoropentyl)oxy]-1,3,5,2lambda~5~,4lambda~5~,6lambda~5~-triazatriphosphinine</t>
  </si>
  <si>
    <t xml:space="preserve">  16059-16-8</t>
  </si>
  <si>
    <t>1H,4H-Octafluorobutane</t>
  </si>
  <si>
    <t xml:space="preserve">  377-36-6</t>
  </si>
  <si>
    <t>1,1,2,2-Tetrafluoro-3-iodopropane</t>
  </si>
  <si>
    <t xml:space="preserve">  679-87-8</t>
  </si>
  <si>
    <t>2,2,3,3-Tetrafluoropropyl acrylate</t>
  </si>
  <si>
    <t xml:space="preserve">  7383-71-3</t>
  </si>
  <si>
    <t>(2H-Perfluoroethyl)(1H,1H,3H-perfluoropropyl)ether</t>
  </si>
  <si>
    <t xml:space="preserve">  16627-68-2</t>
  </si>
  <si>
    <t>Vinyl 1H,1H,3H-perfluoropropyl ether</t>
  </si>
  <si>
    <t xml:space="preserve">  29819-80-5</t>
  </si>
  <si>
    <t>((2,2,3,3-Tetrafluoropropoxy)methyl)oxirane</t>
  </si>
  <si>
    <t xml:space="preserve">  19932-26-4</t>
  </si>
  <si>
    <t>1H,1H,3H-Perfluoropropyl triflate</t>
  </si>
  <si>
    <t xml:space="preserve">  6401-02-1</t>
  </si>
  <si>
    <t>(1H,1H-Perfluoroethyl)(2H-perfluoroethyl)ether</t>
  </si>
  <si>
    <t xml:space="preserve">  406-78-0</t>
  </si>
  <si>
    <t>3-(1,1,2,2-tetrafluoroethoxy)propene</t>
  </si>
  <si>
    <t xml:space="preserve">  1428-33-7</t>
  </si>
  <si>
    <t>(2H-Perfluoroethoxy)methyloxirane</t>
  </si>
  <si>
    <t xml:space="preserve">  85567-21-1</t>
  </si>
  <si>
    <t>2,2,4,4,6-Pentakis[(2,2,3,3,4,4,5,5,6,6,7,7-dodecafluoroheptyl)oxy]-6-[(2,2,7,7-tetrafluoroheptyl)oxy]-1,3,5,2lambda~5~,4lambda~5~,6lambda~5~-triazatriphosphinine</t>
  </si>
  <si>
    <t xml:space="preserve">  3830-74-8</t>
  </si>
  <si>
    <t>Refrigerant 502</t>
  </si>
  <si>
    <t xml:space="preserve">  39432-81-0</t>
  </si>
  <si>
    <t>Tripentacontafluoro-26-iodohexacosane</t>
  </si>
  <si>
    <t xml:space="preserve">  65975-15-7</t>
  </si>
  <si>
    <t>Nonatetracontafluoro-24-iodotetracosane</t>
  </si>
  <si>
    <t xml:space="preserve">  39823-55-7</t>
  </si>
  <si>
    <t>Pentatetracontafluoro-22-iododocosane</t>
  </si>
  <si>
    <t xml:space="preserve">  29809-36-7</t>
  </si>
  <si>
    <t>2H-Tricosafluoro-5,8,11,14-tetrakis(trifluoromethyl)-3,6,9,12,15-pentaoxaoctadecane</t>
  </si>
  <si>
    <t xml:space="preserve">  37486-69-4</t>
  </si>
  <si>
    <t>Fluoroether E-6</t>
  </si>
  <si>
    <t xml:space="preserve">  55154-18-2</t>
  </si>
  <si>
    <t>3,6,9,12,15,18,21-Heptaoxatetracosane, 1,1,1,2,4,4,5,7,7,8,10,10,11,13,13,14,16,16,17,19,19,20,22,22,23,23,24,24,24-nonacosafluoro-5,8,11,14,17,20-hexakis(trifluoromethyl)-</t>
  </si>
  <si>
    <t xml:space="preserve">  59852-65-2</t>
  </si>
  <si>
    <t>3,6,9,12,15,18,21,24-Octaoxaheptacosane, 1,1,1,2,4,4,5,7,7,8,10,10,11,13,13,14,16,16,17,19,19,20,22,22,23,25,25,26,26,27,27,27-dotriacontafluoro-5,8,11,14,17,20,23-heptakis(trifluoromethyl)-</t>
  </si>
  <si>
    <t xml:space="preserve">  27120-63-4</t>
  </si>
  <si>
    <t>1,1,1,2,4,4,5,7,7,8,10,10,11,13,13,14,16,16,17,19,19,20,22,22,23,25,25,26,28,28,29,29,30,30,30-Pentatriacontafluoro-5,8,11,14,17,20,23,26-octakis(trifluoromethyl)-3,6,9,12,15,18,21,24,27-nonaoxatriacontane</t>
  </si>
  <si>
    <t xml:space="preserve">  58979-41-2</t>
  </si>
  <si>
    <t>(Z)-1,2,3,3,3-pentafluoropropene</t>
  </si>
  <si>
    <t xml:space="preserve">  5528-43-8</t>
  </si>
  <si>
    <t>Perfluorosuccinic anhydride</t>
  </si>
  <si>
    <t xml:space="preserve">  699-30-9</t>
  </si>
  <si>
    <t>1,2-Dichloroperfluorocyclohexene</t>
  </si>
  <si>
    <t xml:space="preserve">  336-19-6</t>
  </si>
  <si>
    <t>2,2,3,3-Tetrafluorooxetane</t>
  </si>
  <si>
    <t xml:space="preserve">  765-63-9</t>
  </si>
  <si>
    <t>6-Isocyanato-2,2,4,4-tetrefluoro-1,3-benzodioxene</t>
  </si>
  <si>
    <t xml:space="preserve">  26030-46-6</t>
  </si>
  <si>
    <t>Tetrafluoroethane beta-sultone</t>
  </si>
  <si>
    <t xml:space="preserve">  697-18-7</t>
  </si>
  <si>
    <t>2,2,4,4-Tetrafluoro-1,3-dithietane</t>
  </si>
  <si>
    <t xml:space="preserve">  1717-50-6</t>
  </si>
  <si>
    <t>1-Chloroheptafluorocyclopentene</t>
  </si>
  <si>
    <t xml:space="preserve">  1759-63-3</t>
  </si>
  <si>
    <t>Perfluorotetralin</t>
  </si>
  <si>
    <t xml:space="preserve">  2342-07-6</t>
  </si>
  <si>
    <t>Octafluoronaphthalene</t>
  </si>
  <si>
    <t xml:space="preserve">  313-72-4</t>
  </si>
  <si>
    <t>5,10,15,20-Tetrakis{2,3,5,6-tetrafluoro-4-[(3,3,4,4,5,5,6,6,7,7,8,8,9,9,10,10,11,11,12,12,12-henicosafluorododecyl)sulfanyl]phenyl}porphyrin</t>
  </si>
  <si>
    <t xml:space="preserve">  956790-67-3</t>
  </si>
  <si>
    <t>Pentafluoropropionamide</t>
  </si>
  <si>
    <t xml:space="preserve">  354-76-7</t>
  </si>
  <si>
    <t>2,2,3,3-Tetrafluoropropionamide</t>
  </si>
  <si>
    <t xml:space="preserve">  2069-86-5</t>
  </si>
  <si>
    <t>Flupoxam</t>
  </si>
  <si>
    <t xml:space="preserve">  119126-15-7</t>
  </si>
  <si>
    <t>5-(1,1,2,2,3,3,3-heptafluoropropyl)benzene-1,3-diamine</t>
  </si>
  <si>
    <t xml:space="preserve">  5141-88-8</t>
  </si>
  <si>
    <t>1H,1H-Perfluoropropylamine</t>
  </si>
  <si>
    <t xml:space="preserve">  422-03-7</t>
  </si>
  <si>
    <t>Perfluorooctadecanoic acid (PFODA)</t>
  </si>
  <si>
    <t xml:space="preserve">  16517-11-6</t>
  </si>
  <si>
    <t>Hexafluoroacetone</t>
  </si>
  <si>
    <t xml:space="preserve">  684-16-2</t>
  </si>
  <si>
    <t>Perfluoroeicosanoic acid</t>
  </si>
  <si>
    <t xml:space="preserve">  68310-12-3</t>
  </si>
  <si>
    <t>(Perfluorooctane)-1-carbaldehydle</t>
  </si>
  <si>
    <t xml:space="preserve">  63967-40-8</t>
  </si>
  <si>
    <t>12:2 Fluorotelomer aldehyde</t>
  </si>
  <si>
    <t xml:space="preserve">  67659-33-0</t>
  </si>
  <si>
    <t>Ethanol, 2,2'-iminobis-, compd. with .alpha.-fluoro-.omega.-[2-(phosphonooxy)ethyl]poly(difluoromethylene) (2:1)|Ethanol, 2,2'-iminobis-, compd. with .alpha.-fluoro-.omega.-[2-(phosphonooxy)ethyl]poly(difluoromethylene) (1:1)</t>
  </si>
  <si>
    <t xml:space="preserve">  65530-63-4|65530-74-7</t>
  </si>
  <si>
    <t>Fluorotelomer phosphate monoester (Perfluorodecyl phosphate)</t>
  </si>
  <si>
    <t xml:space="preserve">  576-16-9</t>
  </si>
  <si>
    <t>p-perfluorous nonenoxybenzenesulfonate</t>
  </si>
  <si>
    <t xml:space="preserve">  271794-15-1</t>
  </si>
  <si>
    <t>2H-Perfluoroisobutyric acid</t>
  </si>
  <si>
    <t xml:space="preserve">  564-10-3</t>
  </si>
  <si>
    <t>Nonanoic acid, 2,4,6,8,9-pentachloro-2,3,3,4,5,5,6,7,7,8,9,9-dodecafluoro-</t>
  </si>
  <si>
    <t xml:space="preserve">  754-87-0</t>
  </si>
  <si>
    <t>Perfluoro-3,5,5-trimethylhexanoic acid</t>
  </si>
  <si>
    <t xml:space="preserve">  238403-51-5</t>
  </si>
  <si>
    <t>3,5,7,9,11,11-Hexachloro-2,2,3,4,4,5,6,6,7,8,8,9,10,10,11-pentadecafluoroundecanoic acid</t>
  </si>
  <si>
    <t xml:space="preserve">  53281-37-1</t>
  </si>
  <si>
    <t>3,5,7,9,9-Pentachloro-2,2,3,4,4,5,6,6,7,8,8,9-dodecafluorononanoic acid</t>
  </si>
  <si>
    <t xml:space="preserve">  53281-25-7</t>
  </si>
  <si>
    <t>3,5,7,8-Tetrachloroperfluorooctanoic acid</t>
  </si>
  <si>
    <t xml:space="preserve">  2923-68-4</t>
  </si>
  <si>
    <t>3,5,7,7-Tetrachloro-2,2,3,4,4,5,6,6,7-nonafluoroheptanoic acid</t>
  </si>
  <si>
    <t xml:space="preserve">  16069-78-6</t>
  </si>
  <si>
    <t>3,5,6-Trichloroperfluorohexanoic acid</t>
  </si>
  <si>
    <t xml:space="preserve">  2106-54-9</t>
  </si>
  <si>
    <t>Perfluoro-1,10-decanedicarboxylic acid</t>
  </si>
  <si>
    <t xml:space="preserve">  865-85-0</t>
  </si>
  <si>
    <t>Perfluoroazelaic acid</t>
  </si>
  <si>
    <t xml:space="preserve">  23453-64-7</t>
  </si>
  <si>
    <t>Tetrafluorosuccinic acid</t>
  </si>
  <si>
    <t xml:space="preserve">  377-38-8</t>
  </si>
  <si>
    <t>Perfluoropropanoic acid</t>
  </si>
  <si>
    <t xml:space="preserve">  422-64-0</t>
  </si>
  <si>
    <t>Perfluoro(3,3'-(piperazine-1,4-diyl)dipropanoic acid)</t>
  </si>
  <si>
    <t xml:space="preserve">  948014-40-2</t>
  </si>
  <si>
    <t>Flupropanate</t>
  </si>
  <si>
    <t xml:space="preserve">  756-09-2</t>
  </si>
  <si>
    <t>Perfluoro-3,6,9-trioxaundecane-1,11-dioic acid</t>
  </si>
  <si>
    <t xml:space="preserve">  55621-18-6</t>
  </si>
  <si>
    <t>Perfluoro-3,6-dioxaoctane-1,8-dioic acid</t>
  </si>
  <si>
    <t xml:space="preserve">  55621-21-1</t>
  </si>
  <si>
    <t>Perfluoro(2,5,8,11,14-pentamethyl-3,6,9,12,15-pentaoxaoctadecanoic) acid</t>
  </si>
  <si>
    <t xml:space="preserve">  52481-85-3</t>
  </si>
  <si>
    <t>2-(1,1,2,2-Tetrafluoroethoxy)benzoic acid</t>
  </si>
  <si>
    <t xml:space="preserve">  10008-97-6</t>
  </si>
  <si>
    <t>5-Bromo-4,4,5,5-tetrafluoropentanoic acid</t>
  </si>
  <si>
    <t xml:space="preserve">  234443-22-2</t>
  </si>
  <si>
    <t>1,1,1,3,3,4,4,4-Octafluoro-2-butanol</t>
  </si>
  <si>
    <t xml:space="preserve">  127256-73-9</t>
  </si>
  <si>
    <t>12:2 Fluorotelomer carboxylic acid</t>
  </si>
  <si>
    <t xml:space="preserve">  70887-93-3</t>
  </si>
  <si>
    <t>Perfluoroheptane sulfonamidoacetic acid</t>
  </si>
  <si>
    <t xml:space="preserve">  1003194-00-0</t>
  </si>
  <si>
    <t>Perfluorohexane sulfonamidoacetic acid</t>
  </si>
  <si>
    <t xml:space="preserve">  1003193-99-4</t>
  </si>
  <si>
    <t>Perfluoropentane sulfonamidoacetic acid</t>
  </si>
  <si>
    <t xml:space="preserve">  647-43-8</t>
  </si>
  <si>
    <t>Bis[(perfluoro-7-methyloctyl)-2-hydroxypropyl] hydrogen phosphate</t>
  </si>
  <si>
    <t xml:space="preserve">  63295-20-5</t>
  </si>
  <si>
    <t>Bis(3-(perfluorooctyl)-2-hydroxypropyl) hydrogen phosphate</t>
  </si>
  <si>
    <t xml:space="preserve">  170004-70-3</t>
  </si>
  <si>
    <t>1,1,2,2,3,3,4,4,5,5,6,6,7,7-Tetradecafluoroheptan-1-ol</t>
  </si>
  <si>
    <t xml:space="preserve">  7098-02-4</t>
  </si>
  <si>
    <t>N,N'-bis(Perfluorooctanoyl)-1,2-cyclohexanediamine</t>
  </si>
  <si>
    <t xml:space="preserve">  305848-92-4</t>
  </si>
  <si>
    <t>1H-Perfluoro-1,1-propanediol</t>
  </si>
  <si>
    <t xml:space="preserve">  422-63-9</t>
  </si>
  <si>
    <t>ST50324648</t>
  </si>
  <si>
    <t xml:space="preserve">  6385-15-5</t>
  </si>
  <si>
    <t>1h,1h-perfluorooctadecan-1-ol</t>
  </si>
  <si>
    <t xml:space="preserve">  242142-82-1</t>
  </si>
  <si>
    <t>2:1 Fluorotelomer alcohol</t>
  </si>
  <si>
    <t xml:space="preserve">  422-05-9</t>
  </si>
  <si>
    <t>2,2,3,3-Tetrafluoro-1-propanol</t>
  </si>
  <si>
    <t xml:space="preserve">  76-37-9</t>
  </si>
  <si>
    <t>2,4,4,5,7,7,8,10,10,11,13,13,14,16,16,17,17,18,18,18-Icosafluoro-2,5,8,11,14-pentakis(trifluoromethyl)-3,6,9,12,15-pentaoxaoctadecan-1-ol</t>
  </si>
  <si>
    <t xml:space="preserve">  27617-34-1</t>
  </si>
  <si>
    <t>2,4,4,5,7,7,8,10,10,11,13,13,14,16,16,17,19,19,20,20,21,21,21-Tricosafluoro-2,5,8,11,14,17-hexakis(trifluoromethyl)-3,6,9,12,15,18-hexaoxahenicosan-1-ol</t>
  </si>
  <si>
    <t xml:space="preserve">  167631-99-4</t>
  </si>
  <si>
    <t>3-(2,2,3,3-Tetrafluoropropoxy)propane-1,2-diol</t>
  </si>
  <si>
    <t xml:space="preserve">  25385-68-6</t>
  </si>
  <si>
    <t>Bis(2-hydroxyethyl)ammonium bis(3,3,4,4,5,5,6,6,7,7,8,8,9,9,10,10,11,11,12,12,13,14,14,14-tetracosafluoro-13-(trifluoromethyl)tetradecyl) phosphate</t>
  </si>
  <si>
    <t xml:space="preserve">  94231-56-8</t>
  </si>
  <si>
    <t>Bis(2-hydroxyethyl)ammonium bis[3,3,4,4,5,5,6,6,7,7,8,8,9,9,10,10,11,11,12,12,13,13,14,14,15,16,16,16-octacosafluoro-15-(trifluoromethyl)hexadecyl] phosphate</t>
  </si>
  <si>
    <t xml:space="preserve">  93776-30-8</t>
  </si>
  <si>
    <t>Bis(2-hydroxyethyl)ammonium bis(3,3,4,4,5,5,6,6,7,7,8,8,9,9,10,10,11,11,12,12,13,13,14,14,15,15,16,16,16-nonacosafluorohexadecyl) phosphate</t>
  </si>
  <si>
    <t xml:space="preserve">  94291-75-5</t>
  </si>
  <si>
    <t>Bis(2-hydroxyethyl)ammonium bis[3,3,4,4,5,5,6,6,7,7,8,8,9,9,10,10,11,11,12,12,13,13,14,14,14-pentacosafluorotetradecyl] phosphate</t>
  </si>
  <si>
    <t xml:space="preserve">  57678-00-9</t>
  </si>
  <si>
    <t>{3,4,5-Tris[1,1,2-trifluoro-2-(heptafluoropropoxy)ethoxy]phenyl}methanol</t>
  </si>
  <si>
    <t xml:space="preserve">  1233312-87-2</t>
  </si>
  <si>
    <t>2:2 fluorotelomer alcohol</t>
  </si>
  <si>
    <t xml:space="preserve">  54949-74-5</t>
  </si>
  <si>
    <t>4:4 Fluorotelomer alcohol</t>
  </si>
  <si>
    <t xml:space="preserve">  3792-02-7</t>
  </si>
  <si>
    <t>9-[(4,4,5,5,5-Pentafluoropentyl)sulfanyl]nonan-1-ol</t>
  </si>
  <si>
    <t xml:space="preserve">  511545-94-1</t>
  </si>
  <si>
    <t>1,1-Bis((perfluoro-1-nonyl)ethyloxy)-N-(2-hydroxyethyl)-2-oxa-3-aza-1-phosphapentan-5-ol 1-oxide</t>
  </si>
  <si>
    <t xml:space="preserve">  101896-22-4</t>
  </si>
  <si>
    <t>Bis[3,3,4,4,5,5,6,6,7,7,8,8,9,10,10,10-hexadecafluoro-9-(trifluoromethyl)decyl] hydrogen phosphate, compound with 2,2'-iminodiethanol (1:1)</t>
  </si>
  <si>
    <t xml:space="preserve">  94291-77-7</t>
  </si>
  <si>
    <t>Bis[3,3,4,4,5,5,6,6,7,7,8,8,9,9,10,10,11,12,12,12-icosafluoro-11-(trifluoromethyl)dodecyl] hydrogen phosphate, compound with 2,2'-iminodiethanol (1:1)</t>
  </si>
  <si>
    <t xml:space="preserve">  94291-78-8</t>
  </si>
  <si>
    <t>Bis[3,3,4,4,5,5,6,6,7,7,8,8,9,9,10,10,11,11,12,12,13,13,14,14,15,15,16,16,17,18,18,18-dotriacontafluoro-17-(trifluoromethyl)octadecyl] hydrogen phosphate, compound with 2,2'-iminodiethanol (1:1)</t>
  </si>
  <si>
    <t xml:space="preserve">  93776-31-9</t>
  </si>
  <si>
    <t>Bis[3,3,4,4,5,5,6,6,7,7,8,8,9,9,10,10,11,11,12,12,13,13,14,14,15,15,16,16,17,17,18,18,18-tritriacontafluorooctadecyl] hydrogen phosphate, compound with 2,2'-iminodiethanol (1:1)</t>
  </si>
  <si>
    <t xml:space="preserve">  94291-76-6</t>
  </si>
  <si>
    <t>Bis[3,3,4,4,5,5,6,6,7,7,8,8,9,9,10,10,11,11,12,12,12-henicosafluorododecyl] hydrogen phosphate, compound with 2,2'-iminodiethanol (1:1)</t>
  </si>
  <si>
    <t xml:space="preserve">  57677-98-2</t>
  </si>
  <si>
    <t>Bis(3,3,4,4,5,5,6,6,7,7,8,8,9,9,10,10,10-heptadecafluorodecyl) hydrogen phosphate, compound with 2,2'-iminodiethanol (1:1)</t>
  </si>
  <si>
    <t xml:space="preserve">  57677-97-1</t>
  </si>
  <si>
    <t>Bis(pentacosafluorododecyl)phosphinic acid</t>
  </si>
  <si>
    <t xml:space="preserve">  63225-54-7</t>
  </si>
  <si>
    <t>7:2 Fluorotelomer dihydrogen phosphate</t>
  </si>
  <si>
    <t xml:space="preserve">  37013-72-2</t>
  </si>
  <si>
    <t>1,1,2,2-Tetrafluoroethanesulfonic acid</t>
  </si>
  <si>
    <t xml:space="preserve">  464-14-2</t>
  </si>
  <si>
    <t>N-methyl perfluorobutane sulfonamido acetic acid, n=4</t>
  </si>
  <si>
    <t xml:space="preserve">  159381-10-9</t>
  </si>
  <si>
    <t>Silver perfluorooctanoate</t>
  </si>
  <si>
    <t xml:space="preserve">  335-93-3</t>
  </si>
  <si>
    <t>Silver heptafluorobutyrate</t>
  </si>
  <si>
    <t xml:space="preserve">  3794-64-7</t>
  </si>
  <si>
    <t>2-(2,4-Di-tert-pentylphenoxy)-3'-hydroxy-4'-[(5H-perfluorovaleryl)amino]hexananilide</t>
  </si>
  <si>
    <t xml:space="preserve">  72494-14-5</t>
  </si>
  <si>
    <t>Perfluoroundecanoic acid calcium salt (2:1)</t>
  </si>
  <si>
    <t xml:space="preserve">  97163-17-2</t>
  </si>
  <si>
    <t>Cerium, tris(6,6,7,7,8,8,8-heptafluoro-2,2-dimethyl-3,5-octanedionato-βO3,βO5)-</t>
  </si>
  <si>
    <t xml:space="preserve">  172424-98-5</t>
  </si>
  <si>
    <t>N,N,N-trimethyl-3-[(perfluorooctanoyl)amino]-1-propanaminium chloride</t>
  </si>
  <si>
    <t xml:space="preserve">  53517-98-9</t>
  </si>
  <si>
    <t>Chromium(3+) perfluorooctanoate</t>
  </si>
  <si>
    <t xml:space="preserve">  68141-02-6</t>
  </si>
  <si>
    <t>Caesium perfluoroheptanoate</t>
  </si>
  <si>
    <t xml:space="preserve">  171198-24-6</t>
  </si>
  <si>
    <t>1,1,1,2,2,3,3-Heptafluoro-6-hydroxy-7,7-dimethyloct-5-en-4-one--copper (2/1)</t>
  </si>
  <si>
    <t xml:space="preserve">  38926-19-1</t>
  </si>
  <si>
    <t>Dysprosium, tris(6,6,7,7,8,8,8-heptafluoro-2,2-dimethyl-3,5-octanedionato-βO3,βO5)-</t>
  </si>
  <si>
    <t xml:space="preserve">  18323-98-3</t>
  </si>
  <si>
    <t>Er(hfc)3</t>
  </si>
  <si>
    <t xml:space="preserve">  123359-45-5</t>
  </si>
  <si>
    <t>Erbium, tris(6,6,7,7,8,8,8-heptafluoro-2,2-dimethyl-3,5-octanedionato-βO3,βO5)-</t>
  </si>
  <si>
    <t xml:space="preserve">  17978-75-5</t>
  </si>
  <si>
    <t>Europium, tris(6,6,7,7,8,8,8-heptafluoro-2,2-dimethyl-3,5-octanedionato-βO3,βO5)-</t>
  </si>
  <si>
    <t xml:space="preserve">  17631-68-4</t>
  </si>
  <si>
    <t>Europium, tris[3-[2,2,3,3,4,4,4-heptafluoro-1-(oxo-βO)butyl]-1,7,7-trimethylbicyclo[2.2.1]heptan-2-onato-βO]-</t>
  </si>
  <si>
    <t xml:space="preserve">  34788-82-4</t>
  </si>
  <si>
    <t>Tris(6,6,7,7,8,8,8-heptafluoro-2,2-dimethyl-3,5-octanedionato)gadolinium(III)</t>
  </si>
  <si>
    <t xml:space="preserve">  17631-67-3</t>
  </si>
  <si>
    <t>(17β)-3-[(Trimethylsilyl)oxy]estra-1,3,5(10)-trien-17-ol perfluorobutanoate</t>
  </si>
  <si>
    <t xml:space="preserve">  120623-45-2</t>
  </si>
  <si>
    <t>Ammonium perfluorooctanoate</t>
  </si>
  <si>
    <t xml:space="preserve">  3825-26-1</t>
  </si>
  <si>
    <t>Ammonium perfluorohexanoate</t>
  </si>
  <si>
    <t xml:space="preserve">  21615-47-4</t>
  </si>
  <si>
    <t>Ammonium perfluoro-9-(methyl)decanoate</t>
  </si>
  <si>
    <t xml:space="preserve">  3658-63-7</t>
  </si>
  <si>
    <t>Ammonium perfluoroundecanoate</t>
  </si>
  <si>
    <t xml:space="preserve">  4234-23-5</t>
  </si>
  <si>
    <t>Ammonium perfluoroheptanoate</t>
  </si>
  <si>
    <t xml:space="preserve">  6130-43-4</t>
  </si>
  <si>
    <t>(3β,5α)-Cholestan-3-ol 2,3,3,4,4,5,5,6,6,7,7,8,8,8-tetradecafluorooctanoate</t>
  </si>
  <si>
    <t xml:space="preserve">  123613-18-3</t>
  </si>
  <si>
    <t>4'-[2-(2,4-Di-tert-pentylphenoxy)butyramido]perfluoro-2'-hydroxybutyranilide</t>
  </si>
  <si>
    <t xml:space="preserve">  346-10-1</t>
  </si>
  <si>
    <t>N-(3,4-Dichlorophenyl)-2,2,3,3,4,4,4-heptafluorobutanamide</t>
  </si>
  <si>
    <t xml:space="preserve">  106376-37-8</t>
  </si>
  <si>
    <t>N-(3,5-Dichlorophenyl)-2,2,3,3,4,4,4-heptafluorobutanamide</t>
  </si>
  <si>
    <t xml:space="preserve">  106376-38-9</t>
  </si>
  <si>
    <t>Heptafluorobutanoic acid anhydride, compd. with dihexyl phosphonate (2:1)</t>
  </si>
  <si>
    <t xml:space="preserve">  110086-60-7</t>
  </si>
  <si>
    <t>Holmium, tris(6,6,7,7,8,8,8-heptafluoro-2,2-dimethyl-3,5-octanedionato-βO3,βO5)-</t>
  </si>
  <si>
    <t xml:space="preserve">  18323-97-2</t>
  </si>
  <si>
    <t>N,N,N-Trimethyl-3-[(1,1,2,2,3,3,4,4,5,5,6,6,7,7,8-pentadecafluoro-8-oxooctyl)amino]propan-1-aminium iodide</t>
  </si>
  <si>
    <t xml:space="preserve">  335-90-0</t>
  </si>
  <si>
    <t>Potassium 2,3,3,3-tetrafluoro-2-(trifluoromethyl)propanoate</t>
  </si>
  <si>
    <t xml:space="preserve">  95091-35-3</t>
  </si>
  <si>
    <t>Potassium 2,2,3,3,4,4,5,5,6,7,7,7-dodecafluoro-6-(trifluoromethyl)heptanoate</t>
  </si>
  <si>
    <t xml:space="preserve">  29457-73-6</t>
  </si>
  <si>
    <t>Potassium henicosafluoroundecanoate</t>
  </si>
  <si>
    <t xml:space="preserve">  30377-53-8</t>
  </si>
  <si>
    <t>Potassium 2,2,3,3,4,4,5,5,6,6,7,7,8,8,9,9,10,10,11,11-icosafluoroundecanoate</t>
  </si>
  <si>
    <t xml:space="preserve">  307-71-1</t>
  </si>
  <si>
    <t>Potassium heptadecafluorononanoate</t>
  </si>
  <si>
    <t xml:space="preserve">  21049-38-7</t>
  </si>
  <si>
    <t>Potassium perfluorooctanoate</t>
  </si>
  <si>
    <t xml:space="preserve">  2395-00-8</t>
  </si>
  <si>
    <t>Potassium tridecafluoroheptanoate</t>
  </si>
  <si>
    <t xml:space="preserve">  21049-36-5</t>
  </si>
  <si>
    <t>Potassium undecafluorohexanoate</t>
  </si>
  <si>
    <t xml:space="preserve">  3109-94-2</t>
  </si>
  <si>
    <t>Potassium nonafluoropentanoate</t>
  </si>
  <si>
    <t xml:space="preserve">  336-23-2</t>
  </si>
  <si>
    <t>Potassium heptafluorobutanoate</t>
  </si>
  <si>
    <t xml:space="preserve">  2966-54-3</t>
  </si>
  <si>
    <t>Lanthanum, tris(6,6,7,7,8,8,8-heptafluoro-2,2-dimethyl-3,5-octanedionato-βO3,βO5)-</t>
  </si>
  <si>
    <t xml:space="preserve">  19106-89-9</t>
  </si>
  <si>
    <t>Sodium 2,3,3,4,4,5,5,6,6,6-decafluoro-2-(pentafluoroethyl)hexanoate</t>
  </si>
  <si>
    <t xml:space="preserve">  1195164-59-0</t>
  </si>
  <si>
    <t>Sodium 2,2,3,3,4,4,5,5,6,7,7,7-dodecafluoro-6-(trifluoromethyl)heptanoate</t>
  </si>
  <si>
    <t xml:space="preserve">  18017-22-6</t>
  </si>
  <si>
    <t>Sodium henicosafluoroundecanoate</t>
  </si>
  <si>
    <t xml:space="preserve">  60871-96-7</t>
  </si>
  <si>
    <t>Sodium perfluorodecanoate</t>
  </si>
  <si>
    <t xml:space="preserve">  3830-45-3</t>
  </si>
  <si>
    <t>Sodium heptadecafluorononanoate</t>
  </si>
  <si>
    <t xml:space="preserve">  21049-39-8</t>
  </si>
  <si>
    <t>Sodium pentadecafluorooctanoate</t>
  </si>
  <si>
    <t xml:space="preserve">  335-95-5</t>
  </si>
  <si>
    <t>Sodium 2,2,3,3,4,4,5,5,6,6,7,7-dodecafluoroheptanoate</t>
  </si>
  <si>
    <t xml:space="preserve">  2264-25-7</t>
  </si>
  <si>
    <t>Sodium undecafluorohexanoate</t>
  </si>
  <si>
    <t xml:space="preserve">  2923-26-4</t>
  </si>
  <si>
    <t>Sodium heptafluorobutyrate</t>
  </si>
  <si>
    <t xml:space="preserve">  2218-54-4</t>
  </si>
  <si>
    <t>N-Ethyl-N-(perfluoro-1-oxoheptyl)-glycine sodium salt</t>
  </si>
  <si>
    <t xml:space="preserve">  116537-74-7</t>
  </si>
  <si>
    <t>3-[Ethyl(perfluoro-1-oxooctyl)amino]-1-propanesulfonic acid sodium salt</t>
  </si>
  <si>
    <t xml:space="preserve">  89685-61-0</t>
  </si>
  <si>
    <t>Neodymium, tris(6,6,7,7,8,8,8-heptafluoro-2,2-dimethyl-3,5-octanedionato-βO3,βO5)-</t>
  </si>
  <si>
    <t xml:space="preserve">  17978-76-6</t>
  </si>
  <si>
    <t>Cyclohexanaminium perfluorononanoate</t>
  </si>
  <si>
    <t xml:space="preserve">  328531-06-2</t>
  </si>
  <si>
    <t>Ammonium 2,3,3,4,4,5,5,6,6,6-decafluoro-2-(pentafluoroethyl)hexanoate</t>
  </si>
  <si>
    <t xml:space="preserve">  13058-06-5</t>
  </si>
  <si>
    <t>Ammonium 2,2,3,3,4,4,5,5,6,7,7,7-dodecafluoro-6-(trifluoromethyl)heptanoate</t>
  </si>
  <si>
    <t xml:space="preserve">  19742-57-5</t>
  </si>
  <si>
    <t>Ammonium perfluoro(7-methyloctanoate)</t>
  </si>
  <si>
    <t xml:space="preserve">  3658-62-6</t>
  </si>
  <si>
    <t>Ammonium tricosafluorododecanoate</t>
  </si>
  <si>
    <t xml:space="preserve">  3793-74-6</t>
  </si>
  <si>
    <t>Ammonium nonadecafluorodecanoate</t>
  </si>
  <si>
    <t xml:space="preserve">  3108-42-7</t>
  </si>
  <si>
    <t>Ammonium perfluorononanoate</t>
  </si>
  <si>
    <t xml:space="preserve">  4149-60-4</t>
  </si>
  <si>
    <t>Ammonium 2,2,3,3,4,4,5,5,6,6,7,7,8,8,9,9-hexadecafluorononan-1-oate</t>
  </si>
  <si>
    <t xml:space="preserve">  1868-86-6</t>
  </si>
  <si>
    <t>Ammonium 8-chlorotetradecafluorooctanoate</t>
  </si>
  <si>
    <t xml:space="preserve">  16557-94-1</t>
  </si>
  <si>
    <t>Ammonium 2,2,3,3,4,4,5,5,6,6,7,7-dodecafluoroheptanoate</t>
  </si>
  <si>
    <t xml:space="preserve">  376-34-1</t>
  </si>
  <si>
    <t>Ammonium perfluoropentanoate</t>
  </si>
  <si>
    <t xml:space="preserve">  68259-11-0</t>
  </si>
  <si>
    <t>Ammonium 2,2,3,3,4,4,5,5-octafluorovalerate</t>
  </si>
  <si>
    <t xml:space="preserve">  22715-45-3</t>
  </si>
  <si>
    <t>Butanamide, N-(2-bromo-4-nitrophenyl)-2,2,3,3,4,4,4-heptafluoro-</t>
  </si>
  <si>
    <t xml:space="preserve">  111189-67-4</t>
  </si>
  <si>
    <t>3-Nitrophenyl heptafluorobutanoate</t>
  </si>
  <si>
    <t xml:space="preserve">  52512-15-9</t>
  </si>
  <si>
    <t>4-Nitrophenyl heptafluorobutanoate</t>
  </si>
  <si>
    <t xml:space="preserve">  1799-92-4</t>
  </si>
  <si>
    <t>2,2,3,3,4,4,5,5,6,6,7,7,8,8,9,9,9-Heptadecafluoro-N-(4-nitrophenyl)nonanamide</t>
  </si>
  <si>
    <t xml:space="preserve">  164796-46-7</t>
  </si>
  <si>
    <t>2,2,3,3,4,4,5,5,6,6,7,7,7-Tridecafluoro-N-(4-nitrophenyl)heptanamide</t>
  </si>
  <si>
    <t xml:space="preserve">  164796-44-5</t>
  </si>
  <si>
    <t>2,2,3,3,4,4,5,5,5-Nonafluoro-N-(4-nitrophenyl)pentanamide</t>
  </si>
  <si>
    <t xml:space="preserve">  150333-62-3</t>
  </si>
  <si>
    <t>Perfluorooctanoate ion(1-)</t>
  </si>
  <si>
    <t xml:space="preserve">  45285-51-6</t>
  </si>
  <si>
    <t>Perfluoroheptanoate</t>
  </si>
  <si>
    <t xml:space="preserve">  120885-29-2</t>
  </si>
  <si>
    <t>2-Carboxyethylbis(2-hydroxyethyl)-3-((perfluoro-1-oxooctyl)amino)propylammonium hydroxide</t>
  </si>
  <si>
    <t xml:space="preserve">  39186-68-0</t>
  </si>
  <si>
    <t>Lead, bis(6,6,7,7,8,8,8-heptafluoro-2,2-dimethyl-3,5-octanedionato-βO,βO')-, (T-4)- (9CI)</t>
  </si>
  <si>
    <t xml:space="preserve">  21600-78-2</t>
  </si>
  <si>
    <t>Praseodymium, tris[6,6,7,7,8,8,8-heptafluoro-2,2-di(methyl-d3)-3,5-octanedion-1,1,1-d3-ato-O,O']- (9CI)</t>
  </si>
  <si>
    <t xml:space="preserve">  42942-19-8</t>
  </si>
  <si>
    <t>Praseodymium, tris(6,6,7,7,8,8,8-heptafluoro-2,2-dimethyl-3,5-octanedionato-βO3,βO5)-</t>
  </si>
  <si>
    <t xml:space="preserve">  17978-77-7</t>
  </si>
  <si>
    <t>Praseodymium, tris[3-[2,2,3,3,4,4,4-heptafluoro-1-(oxo-βO)butyl]-1,7,7-trimethylbicyclo[2.2.1]heptan-2-onato-βO]-</t>
  </si>
  <si>
    <t xml:space="preserve">  38832-94-9</t>
  </si>
  <si>
    <t>Rhodium(II) perfluorobutyrate dimer</t>
  </si>
  <si>
    <t xml:space="preserve">  73755-28-9</t>
  </si>
  <si>
    <t>Yttrium, tris(6,6,7,7,8,8,8-heptafluoro-2,2-dimethyl-3,5-octanedionato-βO,βO')- (9CI)</t>
  </si>
  <si>
    <t xml:space="preserve">  19186-73-3</t>
  </si>
  <si>
    <t>Ytterbium, tris(6,6,7,7,8,8,8-heptafluoro-2,2-dimethyl-3,5-octanedionato-βO3,βO5)-</t>
  </si>
  <si>
    <t xml:space="preserve">  18323-96-1</t>
  </si>
  <si>
    <t>Ytterbium, tris[3-[2,2,3,3,4,4,4-heptafluoro-1-(oxo-βO)butyl]-1,7,7-trimethylbicyclo[2.2.1]heptan-2-onato-βO]-</t>
  </si>
  <si>
    <t xml:space="preserve">  80464-74-0</t>
  </si>
  <si>
    <t>7H-Perfluoroheptanoyl chloride</t>
  </si>
  <si>
    <t xml:space="preserve">  41405-35-0</t>
  </si>
  <si>
    <t>Pentanoic acid, 2,2,3,3,4,4,5,5-octafluoro-, octyl ester</t>
  </si>
  <si>
    <t xml:space="preserve">  72828-80-9</t>
  </si>
  <si>
    <t>Diethyl perfluoroadipate</t>
  </si>
  <si>
    <t xml:space="preserve">  376-50-1</t>
  </si>
  <si>
    <t>17-Oxoestra-1,3,5(10)-trien-3-yl heptafluorobutanoate</t>
  </si>
  <si>
    <t xml:space="preserve">  2192-60-1</t>
  </si>
  <si>
    <t>N-(2,2,3,3,4,4,5,5,6,6,7,7,8,8,9,9,9-Heptadecafluorononanoyl)-L-alanine</t>
  </si>
  <si>
    <t xml:space="preserve">  330548-64-6</t>
  </si>
  <si>
    <t>Perfluorooctanoate N,N,N-trimethylmethanaminium</t>
  </si>
  <si>
    <t xml:space="preserve">  32609-65-7</t>
  </si>
  <si>
    <t>N-(2-Carboxyethyl)-3-[(perfluoro-1-oxononyl)amino]-N,N-dimethyl-1-propanaminium</t>
  </si>
  <si>
    <t xml:space="preserve">  119131-05-4</t>
  </si>
  <si>
    <t>N-(2-Carboxyethyl)-N,N-dimethyl-3-[(perfluoro-1-oxodecyl)amino]propanaminium</t>
  </si>
  <si>
    <t xml:space="preserve">  113933-98-5</t>
  </si>
  <si>
    <t>Perfluorooctaneamide betaine</t>
  </si>
  <si>
    <t xml:space="preserve">  90179-39-8</t>
  </si>
  <si>
    <t>(2-Carboxyethyl)dimethyl[3-(perfluorooctanamido)propyl]ammonium</t>
  </si>
  <si>
    <t xml:space="preserve">  5158-52-1</t>
  </si>
  <si>
    <t>Methanaminium perfluorononanoate</t>
  </si>
  <si>
    <t xml:space="preserve">  77032-23-6</t>
  </si>
  <si>
    <t>Trimethylsilyl heptafluorobutanoate</t>
  </si>
  <si>
    <t xml:space="preserve">  24929-99-5</t>
  </si>
  <si>
    <t>1-(Carboxymethyl)-1-(2-hydroxyethyl)-4-(perfluoro-1-oxodecyl)piperazinium</t>
  </si>
  <si>
    <t xml:space="preserve">  71356-38-2</t>
  </si>
  <si>
    <t>Piperidinium perfluorononanoate</t>
  </si>
  <si>
    <t xml:space="preserve">  95682-66-9</t>
  </si>
  <si>
    <t>Undecafluorohexanoic acid--piperazine (1/1)</t>
  </si>
  <si>
    <t xml:space="preserve">  423-47-2</t>
  </si>
  <si>
    <t>Heptafluorobutanoic acid--piperazine (1/1)</t>
  </si>
  <si>
    <t xml:space="preserve">  375-04-2</t>
  </si>
  <si>
    <t>2-[(2-Methylprop-2-enoyl)oxy]ethyl heptafluorobutanoate</t>
  </si>
  <si>
    <t xml:space="preserve">  146615-73-8</t>
  </si>
  <si>
    <t>1-[3,5-Bis({[tert-butyl(dimethyl)silyl]oxy}methyl)phenyl]-2,2,3,3,4,4,5,5,6,6,7,7,7-tridecafluoroheptan-1-one</t>
  </si>
  <si>
    <t xml:space="preserve">  1335496-60-0</t>
  </si>
  <si>
    <t>N-tert-Butyl-2,2,3,3,4,4,4-heptafluorobutanamide</t>
  </si>
  <si>
    <t xml:space="preserve">  99089-22-2</t>
  </si>
  <si>
    <t>tert-Butyl heptafluorobutanoate</t>
  </si>
  <si>
    <t xml:space="preserve">  425-24-1</t>
  </si>
  <si>
    <t>tert-Butyl heptafluorobutaneperoxoate</t>
  </si>
  <si>
    <t xml:space="preserve">  91481-65-1</t>
  </si>
  <si>
    <t>N-(2,2,3,3,4,4,4-Heptafluorobutanoyl)-2-methylalanine</t>
  </si>
  <si>
    <t xml:space="preserve">  880353-20-8</t>
  </si>
  <si>
    <t>6-(1-Methylethylidene)-5-(triphenylphosphoranylidene)-(perfluoro)-nonan-4-one</t>
  </si>
  <si>
    <t xml:space="preserve">  139225-92-6</t>
  </si>
  <si>
    <t>3-Methylbutyl heptadecafluorononanoate</t>
  </si>
  <si>
    <t xml:space="preserve">  117374-32-0</t>
  </si>
  <si>
    <t>Diisopentyl 2-[(2,2,3,3,4,4,4-heptafluorobutanoyl)amino]succinate</t>
  </si>
  <si>
    <t xml:space="preserve">  75743-06-5</t>
  </si>
  <si>
    <t>2,2,3,3,4,4,4-Heptafluoro-N,N-bis(2-methylpropyl)butanamide</t>
  </si>
  <si>
    <t xml:space="preserve">  336-30-1</t>
  </si>
  <si>
    <t>2,2,3,3,4,4,4-Heptafluoro-N-(2-methylpropyl)butanamide</t>
  </si>
  <si>
    <t xml:space="preserve">  75668-25-6</t>
  </si>
  <si>
    <t>Tris(2-methylpropyl) 3-(2,2,3,3,4,4,4-heptafluorobutanamido)propane-1,1,3-tricarboxylate</t>
  </si>
  <si>
    <t xml:space="preserve">  95654-14-1</t>
  </si>
  <si>
    <t>2,2,3,3,4,4,5,5,6,6,7,7,8,8,9,9,9-Heptadecafluoro-N-(propan-2-yl)nonanamide</t>
  </si>
  <si>
    <t xml:space="preserve">  6104-22-9</t>
  </si>
  <si>
    <t>Propan-2-yl heptadecafluorononanoate</t>
  </si>
  <si>
    <t xml:space="preserve">  70910-41-7</t>
  </si>
  <si>
    <t>2,2,3,3,4,4,4-Heptafluoro-N-(1-phenylpropan-2-yl)butanamide</t>
  </si>
  <si>
    <t xml:space="preserve">  90582-01-7</t>
  </si>
  <si>
    <t>2,2,3,3,4,4,4-Heptafluoro-N-(2-phenylpropyl)butanamide</t>
  </si>
  <si>
    <t xml:space="preserve">  70414-03-8</t>
  </si>
  <si>
    <t>N,N'-(Propane-1,2-diyl)bis(2,2,3,3,4,4,4-heptafluorobutanamide)</t>
  </si>
  <si>
    <t xml:space="preserve">  133911-24-7</t>
  </si>
  <si>
    <t>2,2,3,3,4,4,4-Heptafluoro-N-(1-phenylethyl)butanamide</t>
  </si>
  <si>
    <t xml:space="preserve">  51241-61-3</t>
  </si>
  <si>
    <t>2,2,3,3,4,4,5,5,6,6,7,7,8,8,8-Pentadecafluoro-N-(2-hydroxypropyl)octanamide</t>
  </si>
  <si>
    <t xml:space="preserve">  1407514-44-6</t>
  </si>
  <si>
    <t>N,N,N-Triethylethanaminium pentadecafluorooctanoate</t>
  </si>
  <si>
    <t xml:space="preserve">  98241-25-9</t>
  </si>
  <si>
    <t>N,N-Diethylethanaminium heptadecafluorononanoate</t>
  </si>
  <si>
    <t xml:space="preserve">  327176-80-7</t>
  </si>
  <si>
    <t>Perfluoro-11-methyldodecanoic acid compd. with ethanamine</t>
  </si>
  <si>
    <t xml:space="preserve">  68015-87-2</t>
  </si>
  <si>
    <t>Perfluoro-13-methyltetradecanoic acid compd. with ethanamine</t>
  </si>
  <si>
    <t xml:space="preserve">  68052-68-6</t>
  </si>
  <si>
    <t>N'-(3,3-Dimethyl-3,4-dihydroisoquinolin-1-yl)-2,2,3,3,4,4,4-heptafluorobutanehydrazide</t>
  </si>
  <si>
    <t xml:space="preserve">  304435-60-7</t>
  </si>
  <si>
    <t>2,2,3,3,4,4,5,5,6,6,7,7,7-Tridecafluoro-N'-[(4-methylphenyl)methylidene]heptanehydrazide</t>
  </si>
  <si>
    <t xml:space="preserve">  445258-02-6</t>
  </si>
  <si>
    <t>N-(2,4-Dimethylphenyl)-2,2,3,3,4,4,4-heptafluorobutanamide</t>
  </si>
  <si>
    <t xml:space="preserve">  90791-28-9</t>
  </si>
  <si>
    <t>N-(3-Chloro-4-methylphenyl)-2,2,3,3,4,4,4-heptafluorobutanamide</t>
  </si>
  <si>
    <t xml:space="preserve">  111216-49-0</t>
  </si>
  <si>
    <t>N-(2,6-Dimethylphenyl)-2,2,3,3,4,4,4-heptafluorobutanamide</t>
  </si>
  <si>
    <t xml:space="preserve">  101948-89-4</t>
  </si>
  <si>
    <t>N-(Butan-2-yl)-2,2,3,3,4,4,4-heptafluorobutanamide</t>
  </si>
  <si>
    <t xml:space="preserve">  75668-26-7</t>
  </si>
  <si>
    <t>Butan-2-yl N-(2,2,3,3,4,4,4-heptafluorobutanoyl)-D-alaninate</t>
  </si>
  <si>
    <t xml:space="preserve">  93080-42-3</t>
  </si>
  <si>
    <t>Tetrapropylammonium perfluorooctanoate</t>
  </si>
  <si>
    <t xml:space="preserve">  277749-00-5</t>
  </si>
  <si>
    <t>N'-[(4-Ethylphenyl)methylidene]-2,2,3,3,4,4,5,5,6,6,7,7,7-tridecafluoroheptanehydrazide</t>
  </si>
  <si>
    <t xml:space="preserve">  445258-05-9</t>
  </si>
  <si>
    <t>N-(2-Ethylphenyl)-2,2,3,3,4,4,4-heptafluorobutanamide</t>
  </si>
  <si>
    <t xml:space="preserve">  51814-65-4</t>
  </si>
  <si>
    <t>Hexanamide, 2-[2,4-bis(1,1-dimethylpropyl)phenoxy]-N-[4-[(2,2,3,3,4,4,4-heptafluoro-1-oxobutyl)amino]-3-hydroxyphenyl]-</t>
  </si>
  <si>
    <t xml:space="preserve">  2923-93-5</t>
  </si>
  <si>
    <t>2,2,3,3,4,4,4-heptafluoro-N-heptan-2-ylbutanamide</t>
  </si>
  <si>
    <t xml:space="preserve">  61578-74-3</t>
  </si>
  <si>
    <t>Octan-2-yl heptafluorobutanoate</t>
  </si>
  <si>
    <t xml:space="preserve">  560-01-0</t>
  </si>
  <si>
    <t>N,N,N-Trimethyloctan-1-aminium pentadecafluorooctanoate</t>
  </si>
  <si>
    <t xml:space="preserve">  927835-01-6</t>
  </si>
  <si>
    <t>2-(o-Cyanophenoxy)-3'-hydroxy-4'-(perfluorobutyryl)aminotetradecananilide</t>
  </si>
  <si>
    <t xml:space="preserve">  117844-18-5</t>
  </si>
  <si>
    <t>Octadecyl 2,2,3,3,4,4,4-heptafluorobutanoate</t>
  </si>
  <si>
    <t xml:space="preserve">  400-57-7</t>
  </si>
  <si>
    <t>(2R)-2-(Acetyloxy)-3-(hexadecyloxy)propyl heptafluorobutanoate</t>
  </si>
  <si>
    <t xml:space="preserve">  119206-62-1</t>
  </si>
  <si>
    <t>N-[5-(2-Chloro-1,1,2-trifluoroethoxy)-2-hydroxy-4-{2-[3-(pentadecyloxy)phenoxy]butanamido}phenyl]-2,2,3,3,4,4,4-heptafluorobutanamide</t>
  </si>
  <si>
    <t xml:space="preserve">  92589-42-9</t>
  </si>
  <si>
    <t>Tetradecyl heptafluorobutanoate</t>
  </si>
  <si>
    <t xml:space="preserve">  7365-36-8</t>
  </si>
  <si>
    <t>N-Dodecyl-2,2,3,3,4,4,5,5,6,6,7,7,8,8,9,9,9-heptadecafluorononanamide</t>
  </si>
  <si>
    <t xml:space="preserve">  34111-24-5</t>
  </si>
  <si>
    <t>N-Dodecyl-2,2,3,3,4,4,5,5,6,6,7,7,8,8,8-pentadecafluorooctanamide</t>
  </si>
  <si>
    <t xml:space="preserve">  37696-86-9</t>
  </si>
  <si>
    <t>N-Dodecyl-2,2,3,3,4,4,4-heptafluorobutanamide</t>
  </si>
  <si>
    <t xml:space="preserve">  2284-51-7</t>
  </si>
  <si>
    <t>2,2,3,3,4,4,4-Heptafluoro-N-undecylbutanamide</t>
  </si>
  <si>
    <t xml:space="preserve">  120253-76-1</t>
  </si>
  <si>
    <t>N-Decyl-2,2,3,3,4,4,4-heptafluorobutanamide</t>
  </si>
  <si>
    <t xml:space="preserve">  120219-44-5</t>
  </si>
  <si>
    <t>1-Heptafluorobutyryloxydecane</t>
  </si>
  <si>
    <t xml:space="preserve">  2994-16-3</t>
  </si>
  <si>
    <t>2,2,3,3,4,4,5,5,6,6,7,7,8,8,9,9,9-Heptadecafluoro-N-octylnonanamide</t>
  </si>
  <si>
    <t xml:space="preserve">  33496-55-8</t>
  </si>
  <si>
    <t>2,2,3,3,4,4,4-Heptafluoro-N-hexylbutanamide</t>
  </si>
  <si>
    <t xml:space="preserve">  75668-28-9</t>
  </si>
  <si>
    <t>Hexyl heptafluorobutanoate</t>
  </si>
  <si>
    <t xml:space="preserve">  336-65-2</t>
  </si>
  <si>
    <t>2,2,3,3,4,4,5,5,6,6,7,7,8,8,9,9,9-Heptadecafluoro-N-pentylnonanamide</t>
  </si>
  <si>
    <t xml:space="preserve">  33496-54-7</t>
  </si>
  <si>
    <t>2,2,3,3,4,4,4-Heptafluoro-N-pentylbutanamide</t>
  </si>
  <si>
    <t xml:space="preserve">  75668-27-8</t>
  </si>
  <si>
    <t>N,N-Dibutyl-2,2,3,3,4,4,4-heptafluorobutanamide</t>
  </si>
  <si>
    <t xml:space="preserve">  120219-46-7</t>
  </si>
  <si>
    <t>N-Butyl-2,2,3,3,4,4,5,5,6,6,7,7,8,8,9,9,9-heptadecafluorononanamide</t>
  </si>
  <si>
    <t xml:space="preserve">  73602-42-3</t>
  </si>
  <si>
    <t>N-Butyl-2,2,3,3,4,4,5,5,6,6,7,7,8,8,8-pentadecafluorooctanamide</t>
  </si>
  <si>
    <t xml:space="preserve">  37696-83-6</t>
  </si>
  <si>
    <t>N-Butyl-2,2,3,3,4,4,5,5,6,6,7,7,7-tridecafluoroheptanamide</t>
  </si>
  <si>
    <t xml:space="preserve">  570420-18-7</t>
  </si>
  <si>
    <t>N-Butyl-2,2,3,3,4,4,5,5,5-nonafluoropentanamide</t>
  </si>
  <si>
    <t xml:space="preserve">  73602-44-5</t>
  </si>
  <si>
    <t>N-Butyl-2,2,3,3,4,4,4-heptafluorobutanamide</t>
  </si>
  <si>
    <t xml:space="preserve">  377-67-3</t>
  </si>
  <si>
    <t>Butyl heptadecafluorononanoate</t>
  </si>
  <si>
    <t xml:space="preserve">  117374-31-9</t>
  </si>
  <si>
    <t>Butyl pentadecafluorooctanoate</t>
  </si>
  <si>
    <t xml:space="preserve">  307-96-0</t>
  </si>
  <si>
    <t>Butyl heptafluorobutanoate</t>
  </si>
  <si>
    <t xml:space="preserve">  1559-07-5</t>
  </si>
  <si>
    <t>N-(Perfluoro-1-oxobutyl)aspartic acid 1-butyl ester</t>
  </si>
  <si>
    <t xml:space="preserve">  88434-83-7</t>
  </si>
  <si>
    <t>2,2,3,3,4,4,4-Heptafluoro-N-propylbutanamide</t>
  </si>
  <si>
    <t xml:space="preserve">  75668-24-5</t>
  </si>
  <si>
    <t>N-(Perfluoro-1-oxobutyl)aspartic acid 1-propyl ester</t>
  </si>
  <si>
    <t xml:space="preserve">  88436-09-3</t>
  </si>
  <si>
    <t>Propyl heptadecafluorononanoate</t>
  </si>
  <si>
    <t xml:space="preserve">  99156-01-1</t>
  </si>
  <si>
    <t>Heptanoic acid, tridecafluoro-, propyl ester</t>
  </si>
  <si>
    <t xml:space="preserve">  134638-94-1</t>
  </si>
  <si>
    <t>Hexanoic acid, 2,2,3,3,4,4,5,6,6,6-decafluoro-5-(trifluoromethyl)-, compd. with ethanamine (1:1)</t>
  </si>
  <si>
    <t xml:space="preserve">  68015-84-9</t>
  </si>
  <si>
    <t>Perfluoro-7-(trifluoromethyl)octanoic acid ethanamine</t>
  </si>
  <si>
    <t xml:space="preserve">  68015-86-1</t>
  </si>
  <si>
    <t>Ethanaminium perfluoro-9-methyldecanoate</t>
  </si>
  <si>
    <t xml:space="preserve">  68015-85-0</t>
  </si>
  <si>
    <t>N,N-Diethyl-2,2,3,3,4,4,5,5,6,6,7,7,8,8,9,9,9-heptadecafluorononanamide</t>
  </si>
  <si>
    <t xml:space="preserve">  90403-88-6</t>
  </si>
  <si>
    <t>Heptanamide, N,N-diethyl-2,2,3,3,4,4,5,5,6,6,7,7,7-tridecafluoro-</t>
  </si>
  <si>
    <t xml:space="preserve">  61881-15-0</t>
  </si>
  <si>
    <t>N,N-Diethyl-2,2,3,3,4,4,5,5,5-nonafluoropentanamide</t>
  </si>
  <si>
    <t xml:space="preserve">  158018-94-1</t>
  </si>
  <si>
    <t>N,N-Diethyl-2,2,3,3,4,4,4-heptafluorobutanamide</t>
  </si>
  <si>
    <t xml:space="preserve">  377-58-2</t>
  </si>
  <si>
    <t>N-Ethyl-2,2,3,3,4,4,5,5,5-nonafluoropentanamide</t>
  </si>
  <si>
    <t xml:space="preserve">  158018-93-0</t>
  </si>
  <si>
    <t>N-Ethyl-2,2,3,3,4,4,4-heptafluorobutanamide</t>
  </si>
  <si>
    <t xml:space="preserve">  70473-76-6</t>
  </si>
  <si>
    <t>Heptadecafluorononanoic acid--N-ethylethanamine (1/1)</t>
  </si>
  <si>
    <t xml:space="preserve">  77032-27-0</t>
  </si>
  <si>
    <t>N-(3-Triethoxysilylpropyl)perfluorooctanoamide</t>
  </si>
  <si>
    <t xml:space="preserve">  37043-12-2</t>
  </si>
  <si>
    <t>N-[3-(trimethoxysilyl)propyl]perfluorohexanamide</t>
  </si>
  <si>
    <t xml:space="preserve">  154380-34-4</t>
  </si>
  <si>
    <t>N-(Perfluorobutanoyl)glutamic acid 1-ethyl ester</t>
  </si>
  <si>
    <t xml:space="preserve">  88435-87-4</t>
  </si>
  <si>
    <t>N-(Perfluoro-1-oxobutyl)aspartic acid 1-ethyl ester</t>
  </si>
  <si>
    <t xml:space="preserve">  88435-83-0</t>
  </si>
  <si>
    <t>Ethyl 2,3,3,3-tetrafluoro-2-(trifluoromethyl)propanoate</t>
  </si>
  <si>
    <t xml:space="preserve">  1526-49-4</t>
  </si>
  <si>
    <t>Diethyl perfluoroglutarate</t>
  </si>
  <si>
    <t xml:space="preserve">  424-40-8</t>
  </si>
  <si>
    <t>Ethyl perfluorododecanoate</t>
  </si>
  <si>
    <t xml:space="preserve">  158607-41-1</t>
  </si>
  <si>
    <t>Ethyl perfluorononan-1-oate</t>
  </si>
  <si>
    <t xml:space="preserve">  30377-52-7</t>
  </si>
  <si>
    <t>Ethyl perfluorooctanoate</t>
  </si>
  <si>
    <t xml:space="preserve">  3108-24-5</t>
  </si>
  <si>
    <t>Ethyl perfluoroheptanoate</t>
  </si>
  <si>
    <t xml:space="preserve">  41430-70-0</t>
  </si>
  <si>
    <t>Ethyl nonafluoropentanoate</t>
  </si>
  <si>
    <t xml:space="preserve">  424-36-2</t>
  </si>
  <si>
    <t>Ethyl heptafluorobutyrate</t>
  </si>
  <si>
    <t xml:space="preserve">  356-27-4</t>
  </si>
  <si>
    <t>Ethyl 5-(2,2,3,3,4,4,4-heptafluorobutanamido)-1-phenyl-1H-pyrazole-4-carboxylate</t>
  </si>
  <si>
    <t xml:space="preserve">  545359-89-5</t>
  </si>
  <si>
    <t>Ethyl N-(2,2,3,3,4,4,4-heptafluorobutanoyl)glycinate</t>
  </si>
  <si>
    <t xml:space="preserve">  88435-34-1</t>
  </si>
  <si>
    <t>2,2,3,3,4,4,5,5,6,6,7,7,7-Tridecafluoro-1-[4-(2-hydroxyethyl)piperazin-1-yl]heptan-1-one--hydrogen chloride (1/1)</t>
  </si>
  <si>
    <t xml:space="preserve">  95851-62-0</t>
  </si>
  <si>
    <t>4-Chlorobenzenediazonium perfluorobutanoate perfluorobutanoic acid (1:1:1)</t>
  </si>
  <si>
    <t xml:space="preserve">  630-31-9</t>
  </si>
  <si>
    <t>N-Methyl-N-trimethylsilylheptafluorobutyramide</t>
  </si>
  <si>
    <t xml:space="preserve">  53296-64-3</t>
  </si>
  <si>
    <t>N-Methyl-bis-heptafluorobutyramide</t>
  </si>
  <si>
    <t xml:space="preserve">  73980-71-9</t>
  </si>
  <si>
    <t>N'-{[4-(Dimethylamino)phenyl]methylidene}-2,2,3,3,4,4,5,5,6,6,7,7,7-tridecafluoroheptanehydrazide</t>
  </si>
  <si>
    <t xml:space="preserve">  328016-16-6</t>
  </si>
  <si>
    <t>N-[4-(Dimethylamino)butyl]-2,2,3,3,4,4,5,5,6,6,7,7,8,8,8-pentadecafluorooctanamide</t>
  </si>
  <si>
    <t xml:space="preserve">  118454-01-6</t>
  </si>
  <si>
    <t>2,2,3,3,4,4,4-Heptafluoro-N-hydroxy-N-methylbutanamide</t>
  </si>
  <si>
    <t xml:space="preserve">  193008-44-5</t>
  </si>
  <si>
    <t>2,2,3,3,4,4,5,5,6,6,7,7,7-Tridecafluoro-1-(4-methylpiperazin-1-yl)heptan-1-one</t>
  </si>
  <si>
    <t xml:space="preserve">  560092-29-7</t>
  </si>
  <si>
    <t>2,2,3,3,4,4,4-Heptafluoro-1-(4-methylpiperazin-1-yl)butan-1-one</t>
  </si>
  <si>
    <t xml:space="preserve">  499975-92-7</t>
  </si>
  <si>
    <t>Heptadecafluorononanoic acid--N-methylmethanamine (1/1)</t>
  </si>
  <si>
    <t xml:space="preserve">  77032-24-7</t>
  </si>
  <si>
    <t>2,2,3,3,4,4,5,5,6,6,7,7,8,8,9,9,9-Heptadecafluoro-N-methylnonanamide</t>
  </si>
  <si>
    <t xml:space="preserve">  314053-71-9</t>
  </si>
  <si>
    <t>N-Methylperfluoroheptanamide</t>
  </si>
  <si>
    <t xml:space="preserve">  89932-74-1</t>
  </si>
  <si>
    <t>2,2,3,3,4,4,5,5,5-Nonafluoro-N-methylpentanamide</t>
  </si>
  <si>
    <t xml:space="preserve">  115585-00-7</t>
  </si>
  <si>
    <t>2,2,3,3,4,4,4-Heptafluoro-N-methylbutanamide</t>
  </si>
  <si>
    <t xml:space="preserve">  4314-42-5</t>
  </si>
  <si>
    <t>Methyl tetrafluoro-2-(trifluoromethyl)propionate</t>
  </si>
  <si>
    <t xml:space="preserve">  680-05-7</t>
  </si>
  <si>
    <t>Methyl perfluorohexadecanoate</t>
  </si>
  <si>
    <t xml:space="preserve">  165457-57-8</t>
  </si>
  <si>
    <t>Methyl perfluoropentadecanoate</t>
  </si>
  <si>
    <t xml:space="preserve">  203303-00-8</t>
  </si>
  <si>
    <t>Methyl perfluorotetradecanoate</t>
  </si>
  <si>
    <t xml:space="preserve">  203302-99-2</t>
  </si>
  <si>
    <t>Methyl pentacosafluorotridecanoate</t>
  </si>
  <si>
    <t xml:space="preserve">  185230-63-1</t>
  </si>
  <si>
    <t>Methyl Perfluorododecanoate</t>
  </si>
  <si>
    <t xml:space="preserve">  56554-52-0</t>
  </si>
  <si>
    <t>Methyl perfluoroundecanoate</t>
  </si>
  <si>
    <t xml:space="preserve">  203302-98-1</t>
  </si>
  <si>
    <t>Methyl Perfluorodecanoate</t>
  </si>
  <si>
    <t xml:space="preserve">  307-79-9</t>
  </si>
  <si>
    <t>Methyl Perfluorononanoate</t>
  </si>
  <si>
    <t xml:space="preserve">  51502-45-5</t>
  </si>
  <si>
    <t>Methyl perfluorooctanoate</t>
  </si>
  <si>
    <t xml:space="preserve">  376-27-2</t>
  </si>
  <si>
    <t>Methyl perfluoroheptanoate</t>
  </si>
  <si>
    <t xml:space="preserve">  14312-89-1</t>
  </si>
  <si>
    <t>Methyl perfluorohexanoate</t>
  </si>
  <si>
    <t xml:space="preserve">  424-18-0</t>
  </si>
  <si>
    <t>Methyl nonafluorovalerate</t>
  </si>
  <si>
    <t xml:space="preserve">  13038-26-1</t>
  </si>
  <si>
    <t>Methyl heptafluorobutyrate</t>
  </si>
  <si>
    <t xml:space="preserve">  356-24-1</t>
  </si>
  <si>
    <t>Methyl N-(2,2,3,3,4,4,4-heptafluorobutanoyl)glycinate</t>
  </si>
  <si>
    <t xml:space="preserve">  81084-29-9</t>
  </si>
  <si>
    <t>N-[2-(3,4-Dimethoxyphenyl)ethyl]-2,2,3,3,4,4,4-heptafluorobutanamide</t>
  </si>
  <si>
    <t xml:space="preserve">  13230-87-0</t>
  </si>
  <si>
    <t>2,5-Dimethoxyphenyl heptafluorobutanoate</t>
  </si>
  <si>
    <t xml:space="preserve">  87461-68-5</t>
  </si>
  <si>
    <t>Butanoic acid, heptafluoro-, (4-methoxyphenyl)methyl ester</t>
  </si>
  <si>
    <t xml:space="preserve">  87461-67-4</t>
  </si>
  <si>
    <t>N'-(6,7-Dimethoxy-3,3-dimethyl-3,4-dihydroisoquinolin-1-yl)-2,2,3,3,4,4,4-heptafluorobutanehydrazide</t>
  </si>
  <si>
    <t xml:space="preserve">  304435-61-8</t>
  </si>
  <si>
    <t>2,2,3,3,4,4,5,5,6,6,7,7,8,8,8-Pentadecafluoro-N-(4-methoxyphenyl)octanamide</t>
  </si>
  <si>
    <t xml:space="preserve">  103188-04-1</t>
  </si>
  <si>
    <t>2,2,3,3,4,4,4-Heptafluoro-N-(4-methoxy-2-nitrophenyl)butanamide</t>
  </si>
  <si>
    <t xml:space="preserve">  1799-52-6</t>
  </si>
  <si>
    <t>2,2,3,3,4,4,4-Heptafluoro-N-(4-methoxyphenyl)butanamide</t>
  </si>
  <si>
    <t xml:space="preserve">  793-36-2</t>
  </si>
  <si>
    <t>2,2,3,3,4,4,5,5,6,6,7,7,7-Tridecafluoro-N-(3-methoxyphenyl)heptanamide</t>
  </si>
  <si>
    <t xml:space="preserve">  904565-42-0</t>
  </si>
  <si>
    <t>2,2,3,3,4,4,4-Heptafluoro-N-(3-methoxyphenyl)butanamide</t>
  </si>
  <si>
    <t xml:space="preserve">  550302-16-4</t>
  </si>
  <si>
    <t>2,2,3,3,4,4,4-Heptafluoro-N-(2-methoxyethyl)butanamide</t>
  </si>
  <si>
    <t xml:space="preserve">  70473-74-4</t>
  </si>
  <si>
    <t>Hentriacontafluorohexadecanoyl fluoride</t>
  </si>
  <si>
    <t xml:space="preserve">  210972-74-0</t>
  </si>
  <si>
    <t>Heptadecafluorononanoyl fluoride</t>
  </si>
  <si>
    <t xml:space="preserve">  558-95-2</t>
  </si>
  <si>
    <t>Perfluoropentanoyl fluoride</t>
  </si>
  <si>
    <t xml:space="preserve">  375-62-2</t>
  </si>
  <si>
    <t>Cyclopentanecarbonyl fluoride, 1,2,2,3,3,4,5,5-octafluoro-4-(trifluoromethyl)-</t>
  </si>
  <si>
    <t xml:space="preserve">  1646599-70-3</t>
  </si>
  <si>
    <t>Perfluorocyclohexanecarbonyl fluoride</t>
  </si>
  <si>
    <t xml:space="preserve">  6588-63-2</t>
  </si>
  <si>
    <t>Bis(2,2,3,3,4,4,5,5,6,6,7,7-dodecafluoroheptanoyl) peroxide</t>
  </si>
  <si>
    <t xml:space="preserve">  32687-76-6</t>
  </si>
  <si>
    <t>Perfluoroheptadecanoic acid</t>
  </si>
  <si>
    <t xml:space="preserve">  57475-95-3</t>
  </si>
  <si>
    <t>Perfluoropentadecanoic acid (PFPeDA)</t>
  </si>
  <si>
    <t xml:space="preserve">  141074-63-7</t>
  </si>
  <si>
    <t>Hexafluoroglutaryl chloride</t>
  </si>
  <si>
    <t xml:space="preserve">  678-77-3</t>
  </si>
  <si>
    <t>Perfluoroadipoyl chloride</t>
  </si>
  <si>
    <t xml:space="preserve">  336-06-1</t>
  </si>
  <si>
    <t>Bis(3,5,6-trichloro-2,2,3,4,4,5,6,6-octafluoro-1-oxohexyl)peroxide</t>
  </si>
  <si>
    <t xml:space="preserve">  28285-49-6</t>
  </si>
  <si>
    <t>2,2,3,3,4,4,4-Heptafluoro-N-[(trifluoroacetyl)oxy]butanamide</t>
  </si>
  <si>
    <t xml:space="preserve">  88326-80-1</t>
  </si>
  <si>
    <t>Benzyl 2,3,3,3-tetrafluoro-2-(trifluoromethyl)propanoate</t>
  </si>
  <si>
    <t xml:space="preserve">  38392-11-9</t>
  </si>
  <si>
    <t>Bis[2,3,3,3-tetrafluoro-1-oxo-2-(trifluoromethyl)propyl] peroxide</t>
  </si>
  <si>
    <t xml:space="preserve">  111632-55-4</t>
  </si>
  <si>
    <t>N,N-Dicyclohexyl-2,2,3,3,4,4,4-heptafluorobutanamide</t>
  </si>
  <si>
    <t xml:space="preserve">  386-84-5</t>
  </si>
  <si>
    <t>N,N-Dichloro-2,2,3,3,4,4,4-heptafluorobutanamide</t>
  </si>
  <si>
    <t xml:space="preserve">  86451-48-1</t>
  </si>
  <si>
    <t>1-(Heptafluorobutyryl)imidazole</t>
  </si>
  <si>
    <t xml:space="preserve">  32477-35-3</t>
  </si>
  <si>
    <t>N-Heptafluorobutyrylproline</t>
  </si>
  <si>
    <t xml:space="preserve">  56236-41-0</t>
  </si>
  <si>
    <t>1-(2,3-Dihydro-1H-indol-1-yl)-2,2,3,3,4,4,4-heptafluoro-1-butanone</t>
  </si>
  <si>
    <t xml:space="preserve">  543708-46-9</t>
  </si>
  <si>
    <t>2,2,3,3,4,4,4-Heptafluoro-1-(piperidin-1-yl)butan-1-one</t>
  </si>
  <si>
    <t xml:space="preserve">  425-19-4</t>
  </si>
  <si>
    <t>1,1'-(Piperazine-1,4-diyl)bis(heptafluorobutan-1-one)</t>
  </si>
  <si>
    <t xml:space="preserve">  120219-50-3</t>
  </si>
  <si>
    <t>1-{4-[(2H-1,3-Benzodioxol-5-yl)methyl]piperazin-1-yl}-2,2,3,3,4,4,4-heptafluorobutan-1-one</t>
  </si>
  <si>
    <t xml:space="preserve">  546063-97-2</t>
  </si>
  <si>
    <t>2,2,3,3,4,4,4-Heptafluoro-1-(piperazin-1-yl)butan-1-one</t>
  </si>
  <si>
    <t xml:space="preserve">  89245-13-6</t>
  </si>
  <si>
    <t>2,2,3,3,4,4,4-Heptafluoro-1-(morpholin-4-yl)butan-1-one</t>
  </si>
  <si>
    <t xml:space="preserve">  425-20-7</t>
  </si>
  <si>
    <t>N,N'-1,3-Phenylenebis(perfluorobutanamide)</t>
  </si>
  <si>
    <t xml:space="preserve">  524726-48-5</t>
  </si>
  <si>
    <t>Butanamide, N,N'-(1,1'-biphenyl)-4,4'-diylbis(2,2,3,3,4,4,4-heptafluoro-</t>
  </si>
  <si>
    <t xml:space="preserve">  75042-07-8</t>
  </si>
  <si>
    <t>N,N'-(Methylenedi-1,4-phenylene)bis(perfluorobutanamide)</t>
  </si>
  <si>
    <t xml:space="preserve">  124232-75-3</t>
  </si>
  <si>
    <t>N,N'-1,4-Phenylenebis(perfluorobutanamide)</t>
  </si>
  <si>
    <t xml:space="preserve">  524726-49-6</t>
  </si>
  <si>
    <t>AI 3-18011</t>
  </si>
  <si>
    <t xml:space="preserve">  336-61-8</t>
  </si>
  <si>
    <t>Thiobenzyl N-heptafluorobutyrylanthranilate</t>
  </si>
  <si>
    <t xml:space="preserve">  82422-25-1</t>
  </si>
  <si>
    <t>N-2-Pyridinylperfluorobutanamide</t>
  </si>
  <si>
    <t xml:space="preserve">  283172-09-8</t>
  </si>
  <si>
    <t>2,2,3,3,4,4,4-Heptafluoro-N-(2-oxo-2,3-dihydropyrimidin-4-yl)butanamide</t>
  </si>
  <si>
    <t xml:space="preserve">  94720-20-4</t>
  </si>
  <si>
    <t>(2-Naphthalenyl)perfluorobutanamide</t>
  </si>
  <si>
    <t xml:space="preserve">  582-00-3</t>
  </si>
  <si>
    <t>N-(2,6-Dichlorophenyl)-2,2,3,3,4,4,4-heptafluorobutanamide</t>
  </si>
  <si>
    <t xml:space="preserve">  121806-69-7</t>
  </si>
  <si>
    <t>2,2,3,3,4,4,4-Heptafluoro-N-(2,4,5-trichlorophenyl)butanamide</t>
  </si>
  <si>
    <t xml:space="preserve">  121806-70-0</t>
  </si>
  <si>
    <t>N-(2,5-Dichlorophenyl)-2,2,3,3,4,4,4-heptafluorobutanamide</t>
  </si>
  <si>
    <t xml:space="preserve">  121806-67-5</t>
  </si>
  <si>
    <t>N-(4-Bromophenyl)-2,2,3,3,4,4,4-heptafluorobutanamide</t>
  </si>
  <si>
    <t xml:space="preserve">  308-67-8</t>
  </si>
  <si>
    <t>N-(4-Chlorophenyl)-2,2,3,3,4,4,4-heptafluorobutanamide</t>
  </si>
  <si>
    <t xml:space="preserve">  79497-98-6</t>
  </si>
  <si>
    <t>N-(2,4-Dichlorophenyl)-2,2,3,3,4,4,4-heptafluorobutanamide</t>
  </si>
  <si>
    <t xml:space="preserve">  121806-66-4</t>
  </si>
  <si>
    <t>N-(3-Chlorophenyl)-2,2,3,3,4,4,4-heptafluorobutanamide</t>
  </si>
  <si>
    <t xml:space="preserve">  106376-36-7</t>
  </si>
  <si>
    <t>N-(2,3-Dichlorophenyl)-2,2,3,3,4,4,4-heptafluorobutanamide</t>
  </si>
  <si>
    <t xml:space="preserve">  121806-68-6</t>
  </si>
  <si>
    <t>N-(9,10-Dioxo-9,10-dihydroanthracen-1-yl)-2,2,3,3,4,4,4-heptafluorobutanamide</t>
  </si>
  <si>
    <t xml:space="preserve">  162441-56-7</t>
  </si>
  <si>
    <t>N-Cyclohexyl-2,2,3,3,4,4,4-heptafluorobutanamide</t>
  </si>
  <si>
    <t xml:space="preserve">  56663-38-8</t>
  </si>
  <si>
    <t>N-(2-Chlorophenyl)-2,2,3,3,4,4,4-heptafluorobutanamide</t>
  </si>
  <si>
    <t xml:space="preserve">  121806-65-3</t>
  </si>
  <si>
    <t>2,2,3,3,4,4,4-Heptafluoro-N-(2-iodophenyl)butanamide</t>
  </si>
  <si>
    <t xml:space="preserve">  378215-44-2</t>
  </si>
  <si>
    <t>(1R-trans)-N,N'-1,2-Cyclohexanediylbis(perfluorobutanamide)</t>
  </si>
  <si>
    <t xml:space="preserve">  133964-60-0</t>
  </si>
  <si>
    <t>2,2,3,3,4,4,4-Heptafluoro-N-(1H-1,2,4-triazol-5-yl)butanamide</t>
  </si>
  <si>
    <t xml:space="preserve">  70501-47-2</t>
  </si>
  <si>
    <t>Allylperfluorobutanamide</t>
  </si>
  <si>
    <t xml:space="preserve">  24429-61-6</t>
  </si>
  <si>
    <t>N-(Phenylmethyl)perfluorobutanamide</t>
  </si>
  <si>
    <t xml:space="preserve">  560-02-1</t>
  </si>
  <si>
    <t>2,2,3,3,4,4,4-Heptafluoro-N-(2-phenylethyl)butanamide</t>
  </si>
  <si>
    <t xml:space="preserve">  29723-29-3</t>
  </si>
  <si>
    <t>2,2,3,3,4,4,4-Heptafluoro-N-(3-phenylpropyl)butanamide</t>
  </si>
  <si>
    <t xml:space="preserve">  77970-73-1</t>
  </si>
  <si>
    <t>N,N'-bis(Perfluorobutanoyl)1,6-hexanediamine</t>
  </si>
  <si>
    <t xml:space="preserve">  123665-83-8</t>
  </si>
  <si>
    <t>N,N'-bis(Perfluorobutanoyl)1,5-pentanediamine</t>
  </si>
  <si>
    <t xml:space="preserve">  1814-80-8</t>
  </si>
  <si>
    <t>N,N'-bis(Perfluorobutanoyl)1,4-butanediamine</t>
  </si>
  <si>
    <t xml:space="preserve">  2967-59-1</t>
  </si>
  <si>
    <t>n-(2-chloroethyl)-2,2,3,3,4,4,4-heptafluorobutanamide</t>
  </si>
  <si>
    <t xml:space="preserve">  4314-29-8</t>
  </si>
  <si>
    <t>N,N'-bis(Perfluorobutanoyl)1,3-propanediamine</t>
  </si>
  <si>
    <t xml:space="preserve">  149981-59-9</t>
  </si>
  <si>
    <t>ST50925188</t>
  </si>
  <si>
    <t xml:space="preserve">  86273-64-5</t>
  </si>
  <si>
    <t>N'-Benzylidene-2,2,3,3,4,4,4-heptafluorobutanehydrazide</t>
  </si>
  <si>
    <t xml:space="preserve">  736-62-9</t>
  </si>
  <si>
    <t>2,2,3,3,4,4,4-Heptafluoro-N'-[(pyridin-4-yl)methylidene]butanehydrazide</t>
  </si>
  <si>
    <t xml:space="preserve">  109373-81-1</t>
  </si>
  <si>
    <t>2,2,3,3,4,4,4-heptafluoro-n'-(2,2,3,3,4,4,4-heptafluorobutanoyl)butanehydrazide</t>
  </si>
  <si>
    <t xml:space="preserve">  648-19-1</t>
  </si>
  <si>
    <t>2,2,3,3,4,4,4-Heptafluoro-N'-phenylbutanehydrazide</t>
  </si>
  <si>
    <t xml:space="preserve">  77146-66-8</t>
  </si>
  <si>
    <t>4-Chlorophenyl (2,2,3,3,4,4,4-heptafluorobutanoyl)sulfamate</t>
  </si>
  <si>
    <t xml:space="preserve">  1443258-17-0</t>
  </si>
  <si>
    <t>1,1,1,3,3,3-Hexafluoro-2-(trifluoromethyl)propan-2-yl heptafluorobutanoate</t>
  </si>
  <si>
    <t xml:space="preserve">  922168-38-5</t>
  </si>
  <si>
    <t>Vinyl perfluorobutyrate</t>
  </si>
  <si>
    <t xml:space="preserve">  356-28-5</t>
  </si>
  <si>
    <t>Decane-1,10-diyl bis(heptafluorobutanoate)</t>
  </si>
  <si>
    <t xml:space="preserve">  426-64-2</t>
  </si>
  <si>
    <t>bis(heptafluorobutyryl)peroxide</t>
  </si>
  <si>
    <t xml:space="preserve">  336-64-1</t>
  </si>
  <si>
    <t>heptafluorobutanoyl bromide</t>
  </si>
  <si>
    <t xml:space="preserve">  375-13-3</t>
  </si>
  <si>
    <t>Heptafluorobutyryl Chloride</t>
  </si>
  <si>
    <t xml:space="preserve">  375-16-6</t>
  </si>
  <si>
    <t>2,2,3,3,4,4,5,5,5-Nonafluoro-N-phenylpentanamide</t>
  </si>
  <si>
    <t xml:space="preserve">  122590-97-0</t>
  </si>
  <si>
    <t>N,N'-bis(Perfluoropentanoyl)1,2-ethanediamine</t>
  </si>
  <si>
    <t xml:space="preserve">  119403-53-1</t>
  </si>
  <si>
    <t>Sodium perfluorovalerate</t>
  </si>
  <si>
    <t xml:space="preserve">  2706-89-0</t>
  </si>
  <si>
    <t>Perfluoropentanoic anhydride</t>
  </si>
  <si>
    <t xml:space="preserve">  308-28-1</t>
  </si>
  <si>
    <t>Vinyl perfluorovalerate</t>
  </si>
  <si>
    <t xml:space="preserve">  424-37-3</t>
  </si>
  <si>
    <t>Allyl perfluoropentanoate</t>
  </si>
  <si>
    <t xml:space="preserve">  84145-17-5</t>
  </si>
  <si>
    <t>3-(Trifluorosilyl)propyl nonafluoropentanoate</t>
  </si>
  <si>
    <t xml:space="preserve">  92916-37-5</t>
  </si>
  <si>
    <t>Nonafluoropentanoyl bromide</t>
  </si>
  <si>
    <t xml:space="preserve">  159623-35-5</t>
  </si>
  <si>
    <t>Nonafluoropentanoyl chloride</t>
  </si>
  <si>
    <t xml:space="preserve">  375-60-0</t>
  </si>
  <si>
    <t>2,2,3,3,4,4,5,5,6,6,6-Undecafluoro-N-(2-phenylethyl)hexanamide</t>
  </si>
  <si>
    <t xml:space="preserve">  70414-01-6</t>
  </si>
  <si>
    <t>Perfluorohexanoic anhydride</t>
  </si>
  <si>
    <t xml:space="preserve">  308-13-4</t>
  </si>
  <si>
    <t>Ethenyl undecafluorohexanoate</t>
  </si>
  <si>
    <t xml:space="preserve">  464-35-7</t>
  </si>
  <si>
    <t>Undecafluorohexanoyl chloride</t>
  </si>
  <si>
    <t xml:space="preserve">  335-53-5</t>
  </si>
  <si>
    <t>2,2,3,3,4,4,5,5,6,6,7,7,7-Tridecafluoro-1-(morpholin-4-yl)heptan-1-one</t>
  </si>
  <si>
    <t xml:space="preserve">  144237-77-4</t>
  </si>
  <si>
    <t>N-Cyclohexyl-2,2,3,3,4,4,5,5,6,6,7,7,7-tridecafluoroheptanamide</t>
  </si>
  <si>
    <t xml:space="preserve">  73602-45-6</t>
  </si>
  <si>
    <t>Sodium perfluoroheptanoate</t>
  </si>
  <si>
    <t xml:space="preserve">  20109-59-5</t>
  </si>
  <si>
    <t>Perfluoroheptanoic anhydride</t>
  </si>
  <si>
    <t xml:space="preserve">  78225-99-7</t>
  </si>
  <si>
    <t>Ethenyl tridecafluoroheptanoate</t>
  </si>
  <si>
    <t xml:space="preserve">  240408-96-2</t>
  </si>
  <si>
    <t>Prop-2-en-1-yl tridecafluoroheptanoate</t>
  </si>
  <si>
    <t xml:space="preserve">  53378-90-8</t>
  </si>
  <si>
    <t>tridecafluoroheptanoyl bromide</t>
  </si>
  <si>
    <t xml:space="preserve">  159623-34-4</t>
  </si>
  <si>
    <t>Perfluoroheptanoyl chloride</t>
  </si>
  <si>
    <t xml:space="preserve">  52447-22-0</t>
  </si>
  <si>
    <t>Perfluorooctanoic anhydride</t>
  </si>
  <si>
    <t xml:space="preserve">  33496-48-9</t>
  </si>
  <si>
    <t>Vinyl perfluorooctanoate</t>
  </si>
  <si>
    <t xml:space="preserve">  307-93-7</t>
  </si>
  <si>
    <t>Prop-2-en-1-yl pentadecafluorooctanoate</t>
  </si>
  <si>
    <t xml:space="preserve">  20120-44-9</t>
  </si>
  <si>
    <t>4-Vinylbenzyl perfluorooctanoate</t>
  </si>
  <si>
    <t xml:space="preserve">  230295-06-4</t>
  </si>
  <si>
    <t>Pentadecafluorooctanoyl bromide</t>
  </si>
  <si>
    <t xml:space="preserve">  222037-87-8</t>
  </si>
  <si>
    <t>Pentadecafluorooctyl chloride</t>
  </si>
  <si>
    <t xml:space="preserve">  335-64-8</t>
  </si>
  <si>
    <t>2,2,3,3,4,4,5,5,6,6,7,7,8,8,9,9,9-Heptadecafluoro-N,N-diphenylnonanamide</t>
  </si>
  <si>
    <t xml:space="preserve">  157584-47-9</t>
  </si>
  <si>
    <t>2,2,3,3,4,4,5,5,6,6,7,7,8,8,9,9,9-Heptadecafluoro-N-phenylnonanamide</t>
  </si>
  <si>
    <t xml:space="preserve">  313366-93-7</t>
  </si>
  <si>
    <t>N-Cyclohexyl-2,2,3,3,4,4,5,5,6,6,7,7,8,8,9,9,9-heptadecafluorononanamide</t>
  </si>
  <si>
    <t xml:space="preserve">  73602-46-7</t>
  </si>
  <si>
    <t>N-Allylperfluorononanamide</t>
  </si>
  <si>
    <t xml:space="preserve">  221466-77-9</t>
  </si>
  <si>
    <t>Ethenyl heptadecafluorononanoate</t>
  </si>
  <si>
    <t xml:space="preserve">  54640-64-1</t>
  </si>
  <si>
    <t>Prop-2-en-1-yl heptadecafluorononanoate</t>
  </si>
  <si>
    <t xml:space="preserve">  117374-33-1</t>
  </si>
  <si>
    <t>Benzyl heptadecafluorononanoate</t>
  </si>
  <si>
    <t xml:space="preserve">  117374-38-6</t>
  </si>
  <si>
    <t>Heptadecafluorononanoyl bromide</t>
  </si>
  <si>
    <t xml:space="preserve">  261503-42-8</t>
  </si>
  <si>
    <t>Perfluorononanoyl chloride</t>
  </si>
  <si>
    <t xml:space="preserve">  52447-23-1</t>
  </si>
  <si>
    <t>Ethenyl nonadecafluorodecanoate</t>
  </si>
  <si>
    <t xml:space="preserve">  423-88-1</t>
  </si>
  <si>
    <t>Nonadecafluorodecanoyl chloride</t>
  </si>
  <si>
    <t xml:space="preserve">  307-38-0</t>
  </si>
  <si>
    <t>Allyl heptafluorobutyrate</t>
  </si>
  <si>
    <t xml:space="preserve">  17165-55-8</t>
  </si>
  <si>
    <t>2,2,3,3,4,4,4-Heptafluorobutyl heptafluorobutanoate</t>
  </si>
  <si>
    <t xml:space="preserve">  308-45-2</t>
  </si>
  <si>
    <t>1,1,1,3,3,3-Hexafluoropropan-2-yl heptafluorobutanoate</t>
  </si>
  <si>
    <t xml:space="preserve">  922168-41-0</t>
  </si>
  <si>
    <t>2,2,3,3,4,4,5,5,6,6,7,7,8,8,9,9,9-Heptadecafluoro-N-[3-(trifluoromethyl)phenyl]nonanamide</t>
  </si>
  <si>
    <t xml:space="preserve">  325989-96-6</t>
  </si>
  <si>
    <t>2,2,3,3,4,4,4-Heptafluoro-N-[3-(trifluoromethyl)phenyl]butanamide</t>
  </si>
  <si>
    <t xml:space="preserve">  2059-15-6</t>
  </si>
  <si>
    <t>Perfluoroglutaric anhydride</t>
  </si>
  <si>
    <t xml:space="preserve">  376-68-1</t>
  </si>
  <si>
    <t>Perfluorocyclohexanecarbonyl bromide</t>
  </si>
  <si>
    <t xml:space="preserve">  261761-76-6</t>
  </si>
  <si>
    <t>2,3,3,3-Tetrafluoro-N-(pentafluorophenyl)-2-(trifluoromethyl)propanamide</t>
  </si>
  <si>
    <t xml:space="preserve">  105923-37-3</t>
  </si>
  <si>
    <t>2,2,3,3,4,4,4-Heptafluoro-N-(pentafluorophenyl)butanamide</t>
  </si>
  <si>
    <t xml:space="preserve">  60839-98-7</t>
  </si>
  <si>
    <t>N-[4-(3,4-Difluorophenyl)-1,3-thiazol-2-yl]-2,2,3,3,4,4,4-heptafluorobutanamide</t>
  </si>
  <si>
    <t xml:space="preserve">  299198-90-6</t>
  </si>
  <si>
    <t>2,2,3,3,4,4,5,5,6,6,7,7,8,8,9,9,9-Heptadecafluoro-N-(4-fluorophenyl)nonanamide</t>
  </si>
  <si>
    <t xml:space="preserve">  344282-18-4</t>
  </si>
  <si>
    <t>2,2,3,3,4,4,4-Heptafluoro-N-(4-fluorophenyl)butanamide</t>
  </si>
  <si>
    <t xml:space="preserve">  550301-92-3</t>
  </si>
  <si>
    <t>2,2,3,3,4,4,5,5,6,6,7,7,8,8,9,9,9-Heptadecafluoro-N-(3-fluorophenyl)nonanamide</t>
  </si>
  <si>
    <t xml:space="preserve">  541514-85-6</t>
  </si>
  <si>
    <t>2,2,3,3,4,4,4-Heptafluoro-N-(3-fluorophenyl)butanamide</t>
  </si>
  <si>
    <t xml:space="preserve">  332031-88-6</t>
  </si>
  <si>
    <t>2,2,3,3,4,4,5,5,6,6,7,7,8,8,9,9,9-Heptadecafluoro-N-(2-fluorophenyl)nonanamide</t>
  </si>
  <si>
    <t xml:space="preserve">  344282-15-1</t>
  </si>
  <si>
    <t>Ammonium perfluorobutanoate</t>
  </si>
  <si>
    <t xml:space="preserve">  10495-86-0</t>
  </si>
  <si>
    <t>2-(2,2,3,3,4,4,4-Heptafluorobutanoyl)hydrazine-1-carboximidamide</t>
  </si>
  <si>
    <t xml:space="preserve">  25978-98-7</t>
  </si>
  <si>
    <t>2,3,3,3-Tetrafluoro-2-(trifluoromethyl)propanamide</t>
  </si>
  <si>
    <t xml:space="preserve">  662-20-4</t>
  </si>
  <si>
    <t>nonadecafluorodecanamide</t>
  </si>
  <si>
    <t xml:space="preserve">  307-40-4</t>
  </si>
  <si>
    <t>2,2,3,3,4,4,5,5,6,6,7,7,8,8,9,9,9-Heptadecafluorononanamide</t>
  </si>
  <si>
    <t xml:space="preserve">  82854-34-0</t>
  </si>
  <si>
    <t>Perfluorooctanamide</t>
  </si>
  <si>
    <t xml:space="preserve">  423-54-1</t>
  </si>
  <si>
    <t>Perfluorooctanedioic diamide</t>
  </si>
  <si>
    <t xml:space="preserve">  3492-23-7</t>
  </si>
  <si>
    <t>Perfluoroheptanamide</t>
  </si>
  <si>
    <t xml:space="preserve">  2358-22-7</t>
  </si>
  <si>
    <t>2,2,3,3,4,4,5,5,6,6,6-Undecafluorohexanamide</t>
  </si>
  <si>
    <t xml:space="preserve">  335-54-6</t>
  </si>
  <si>
    <t>Octafluoroadipamide</t>
  </si>
  <si>
    <t xml:space="preserve">  355-66-8</t>
  </si>
  <si>
    <t>Nonafluoropentanamide</t>
  </si>
  <si>
    <t xml:space="preserve">  13485-61-5</t>
  </si>
  <si>
    <t>Perfluoropentanamide</t>
  </si>
  <si>
    <t xml:space="preserve">  355-81-7</t>
  </si>
  <si>
    <t>Heptafluorobutyramide</t>
  </si>
  <si>
    <t xml:space="preserve">  662-50-0</t>
  </si>
  <si>
    <t>N-[2-Amino-3-nitro-5-(trifluoromethyl)phenyl]-2,2,3,3,4,4,4-heptafluorobutanamide</t>
  </si>
  <si>
    <t xml:space="preserve">  57450-70-1</t>
  </si>
  <si>
    <t>Butanamide, N-(4-amino-2-hydroxyphenyl)-2,2,3,3,4,4,4-heptafluoro-</t>
  </si>
  <si>
    <t xml:space="preserve">  847-51-8</t>
  </si>
  <si>
    <t>Heptadecafluorononanoic acid--aniline (1/1)</t>
  </si>
  <si>
    <t xml:space="preserve">  95682-67-0</t>
  </si>
  <si>
    <t>N-(3-Aminopropyl)-2,2,3,3,4,4,5,5,6,6,7,7,8,8,8-pentadecafluorooctanamide</t>
  </si>
  <si>
    <t xml:space="preserve">  85938-56-3</t>
  </si>
  <si>
    <t>Perfluorotetradecanedioic acid dihydrazide</t>
  </si>
  <si>
    <t xml:space="preserve">  5102-53-4</t>
  </si>
  <si>
    <t>2,2,3,3,4,4,5,5,6,6,7,7,7-Tridecafluoroheptanehydrazide</t>
  </si>
  <si>
    <t xml:space="preserve">  33843-69-5</t>
  </si>
  <si>
    <t>2,2,3,3,4,4,4-heptafluorobutanehydrazide</t>
  </si>
  <si>
    <t xml:space="preserve">  1515-05-5</t>
  </si>
  <si>
    <t>2,2,3,3,4,4,5,5,6,6,7,7,8,8,9,9,9-Heptadecafluoro-N-[(4-sulfamoylphenyl)methyl]nonanamide</t>
  </si>
  <si>
    <t xml:space="preserve">  316827-33-5</t>
  </si>
  <si>
    <t>2,2,3,3,4,4,5,5,6,6,7,7,7-Tridecafluoro-N-[(4-sulfamoylphenyl)methyl]heptanamide</t>
  </si>
  <si>
    <t xml:space="preserve">  165618-99-5</t>
  </si>
  <si>
    <t>2,2,3,3,4,4,5,5,5-Nonafluoro-N-[(4-sulfamoylphenyl)methyl]pentanamide</t>
  </si>
  <si>
    <t xml:space="preserve">  165618-98-4</t>
  </si>
  <si>
    <t>2,2,3,3,4,4,4-Heptafluoro-N-[(4-sulfamoylphenyl)methyl]butanamide</t>
  </si>
  <si>
    <t xml:space="preserve">  165618-97-3</t>
  </si>
  <si>
    <t>Potassium pentadecafluorooctanoate--water (1/1/2)</t>
  </si>
  <si>
    <t xml:space="preserve">  98065-31-7</t>
  </si>
  <si>
    <t>Perfluorooctanoic acid-1,2-13C2</t>
  </si>
  <si>
    <t xml:space="preserve">  864071-08-9</t>
  </si>
  <si>
    <t>Pentadecafluoro(1-13C)octanoic acid</t>
  </si>
  <si>
    <t xml:space="preserve">  864071-09-0</t>
  </si>
  <si>
    <t>ammonium 8-chlorotetradecafluorooctanoate (EINECS)</t>
  </si>
  <si>
    <t>Perfluorohexadecanoic acid (PFHxDA)</t>
  </si>
  <si>
    <t xml:space="preserve">  67905-19-5</t>
  </si>
  <si>
    <t>Hexacosafluoro-13-(trifluoromethyl)myristic acid</t>
  </si>
  <si>
    <t xml:space="preserve">  18024-09-4</t>
  </si>
  <si>
    <t xml:space="preserve">  376-06-7</t>
  </si>
  <si>
    <t>Perfluoro-11-(trifluoromethyl)dodecanoic acid</t>
  </si>
  <si>
    <t xml:space="preserve">  16486-96-7</t>
  </si>
  <si>
    <t>11-H-Perfluoroundecanoic acid</t>
  </si>
  <si>
    <t xml:space="preserve">  1765-48-6</t>
  </si>
  <si>
    <t>Perfluoro-9-(trifluoromethyl)decanoic acid</t>
  </si>
  <si>
    <t xml:space="preserve">  16486-94-5</t>
  </si>
  <si>
    <t>2,2,3,3,4,4,5,5,6,6,7,7,8,8,9,9-Hexadecafluorononanoyl chloride</t>
  </si>
  <si>
    <t xml:space="preserve">  423-95-0</t>
  </si>
  <si>
    <t>9-H-Perfluorononanoic acid</t>
  </si>
  <si>
    <t xml:space="preserve">  76-21-1</t>
  </si>
  <si>
    <t>Ammonium 8-chlorohexadecafluoro-7-methyloctanoate</t>
  </si>
  <si>
    <t xml:space="preserve">  3658-57-9</t>
  </si>
  <si>
    <t>Perfluoro-6-methylheptanecarboxylic acid</t>
  </si>
  <si>
    <t xml:space="preserve">  15899-31-7</t>
  </si>
  <si>
    <t>Perfluorooctanoyl fluoride</t>
  </si>
  <si>
    <t xml:space="preserve">  335-66-0</t>
  </si>
  <si>
    <t>Perfluoro-5-(trifluoromethyl)hexanoic acid</t>
  </si>
  <si>
    <t xml:space="preserve">  15899-29-3</t>
  </si>
  <si>
    <t>Octafluoroadipic acid</t>
  </si>
  <si>
    <t xml:space="preserve">  336-08-3</t>
  </si>
  <si>
    <t>Perfluorobutanoyl fluoride</t>
  </si>
  <si>
    <t xml:space="preserve">  335-42-2</t>
  </si>
  <si>
    <t>Octafluoropentanoic acid</t>
  </si>
  <si>
    <t xml:space="preserve">  376-72-7</t>
  </si>
  <si>
    <t>Hexafluoroglutaryl difluoride</t>
  </si>
  <si>
    <t xml:space="preserve">  678-78-4</t>
  </si>
  <si>
    <t>Hexanoyl fluoride, 2,2,3,3,4,4,5,6,6,6-decafluoro-5-(trifluoromethyl)-</t>
  </si>
  <si>
    <t xml:space="preserve">  18017-31-7</t>
  </si>
  <si>
    <t>Octafluoroadipoyl difluoride</t>
  </si>
  <si>
    <t xml:space="preserve">  37881-62-2</t>
  </si>
  <si>
    <t>Octanoyl fluoride, 2,2,3,3,4,4,5,5,6,6,7,8,8,8-tetradecafluoro-7-(trifluoromethyl)-</t>
  </si>
  <si>
    <t xml:space="preserve">  15742-62-8</t>
  </si>
  <si>
    <t>Perfluoro-9-methyldecanoyl fluoride</t>
  </si>
  <si>
    <t xml:space="preserve">  15720-98-6</t>
  </si>
  <si>
    <t>Perfluoro-11-methyldodecanoyl fluoride</t>
  </si>
  <si>
    <t xml:space="preserve">  15811-52-6</t>
  </si>
  <si>
    <t>Perfluoro-13-(methyl)tetradecanoyl fluoride</t>
  </si>
  <si>
    <t xml:space="preserve">  68025-62-7</t>
  </si>
  <si>
    <t>Perfluoroheptanoyl fluoride</t>
  </si>
  <si>
    <t xml:space="preserve">  375-84-8</t>
  </si>
  <si>
    <t>Perfluorohexanoyl fluoride</t>
  </si>
  <si>
    <t xml:space="preserve">  355-38-4</t>
  </si>
  <si>
    <t xml:space="preserve">  72629-94-8</t>
  </si>
  <si>
    <t xml:space="preserve">  335-76-2</t>
  </si>
  <si>
    <t xml:space="preserve">  375-95-1</t>
  </si>
  <si>
    <t xml:space="preserve">  375-85-9</t>
  </si>
  <si>
    <t xml:space="preserve">  307-24-4</t>
  </si>
  <si>
    <t xml:space="preserve">  2706-90-3</t>
  </si>
  <si>
    <t>Perfluorobutanoic acid</t>
  </si>
  <si>
    <t xml:space="preserve">  375-22-4</t>
  </si>
  <si>
    <t>N-(2,2,3,3,4,4,4-Heptafluorobutanoyl)-D-phenylalanine</t>
  </si>
  <si>
    <t xml:space="preserve">  868275-40-5</t>
  </si>
  <si>
    <t>3,3,4,4,4-Pentafluoro-2,2-bis(pentafluoroethyl)butanoic acid</t>
  </si>
  <si>
    <t xml:space="preserve">  1882109-58-1</t>
  </si>
  <si>
    <t>3,3,4,4,4-Pentafluoro-2-(1,1,1,2,3,3,3-heptafluoropropan-2-yl)-2-(trifluoromethyl)butanoic acid</t>
  </si>
  <si>
    <t xml:space="preserve">  1882109-59-2</t>
  </si>
  <si>
    <t>3,3,4,4,5,5,5-Heptafluoro-2-(pentafluoroethyl)-2-(trifluoromethyl)pentanoic acid</t>
  </si>
  <si>
    <t xml:space="preserve">  1882109-63-8</t>
  </si>
  <si>
    <t>4,4,4-Trifluoro-2,2,3,3-tetrakis(trifluoromethyl)butanoic acid</t>
  </si>
  <si>
    <t xml:space="preserve">  1882109-62-7</t>
  </si>
  <si>
    <t>3,4,4,5,5,5-Hexafluoro-2,2,3-tris(trifluoromethyl)pentanoic acid</t>
  </si>
  <si>
    <t xml:space="preserve">  1882109-69-4</t>
  </si>
  <si>
    <t>3,3,4,5,5,5-Hexafluoro-2,2,4-tris(trifluoromethyl)pentanoic acid</t>
  </si>
  <si>
    <t xml:space="preserve">  1882109-70-7</t>
  </si>
  <si>
    <t>3,3,4,4,5,5,6,6,6-Nonafluoro-2,2-bis(trifluoromethyl)hexanoic acid</t>
  </si>
  <si>
    <t xml:space="preserve">  1812247-17-8</t>
  </si>
  <si>
    <t>2,3,4,4,4-Pentafluoro-2-(1,1,1,2,3,3,3-heptafluoropropan-2-yl)-3-(trifluoromethyl)butanoic acid</t>
  </si>
  <si>
    <t xml:space="preserve">  1882109-61-6</t>
  </si>
  <si>
    <t>2,3,3,4,4,5,5,5-Octafluoro-2-(1,1,1,2,3,3,3-heptafluoropropan-2-yl)pentanoic acid</t>
  </si>
  <si>
    <t xml:space="preserve">  1882109-76-3</t>
  </si>
  <si>
    <t>2,3,3,4,4,5,5,5-Octafluoro-2-(heptafluoropropyl)pentanoic acid</t>
  </si>
  <si>
    <t xml:space="preserve">  1882109-77-4</t>
  </si>
  <si>
    <t>2,3,3,4,4,4-Hexafluoro-2-[1,1,1,3,3,3-hexafluoro-2-(trifluoromethyl)propan-2-yl]butanoic acid</t>
  </si>
  <si>
    <t xml:space="preserve">  1882109-60-5</t>
  </si>
  <si>
    <t>2,3,4,4,5,5,5-Heptafluoro-2-(pentafluoroethyl)-3-(trifluoromethyl)pentanoic acid</t>
  </si>
  <si>
    <t xml:space="preserve">  1882109-64-9</t>
  </si>
  <si>
    <t>2,3,3,4,5,5,5-Heptafluoro-2-(pentafluoroethyl)-4-(trifluoromethyl)pentanoic acid</t>
  </si>
  <si>
    <t xml:space="preserve">  1882109-65-0</t>
  </si>
  <si>
    <t>2,3,3,4,4,5,5,6,6,6-Decafluoro-2-(pentafluoroethyl)hexanoic acid</t>
  </si>
  <si>
    <t xml:space="preserve">  35605-76-6</t>
  </si>
  <si>
    <t>2,4,4,5,5,5-Hexafluoro-2,3,3-tris(trifluoromethyl)pentanoic acid</t>
  </si>
  <si>
    <t xml:space="preserve">  1882109-71-8</t>
  </si>
  <si>
    <t>2,3,4,4,5,5,5-Heptafluoro-3-(pentafluoroethyl)-2-(trifluoromethyl)pentanoic acid</t>
  </si>
  <si>
    <t xml:space="preserve">  1882109-66-1</t>
  </si>
  <si>
    <t>2,3,4,5,5,5-Hexafluoro-2,3,4-tris(trifluoromethyl)pentanoic acid</t>
  </si>
  <si>
    <t xml:space="preserve">  1882109-72-9</t>
  </si>
  <si>
    <t>2,3,4,4,5,5,6,6,6-Nonafluoro-2,3-bis(trifluoromethyl)hexanoic acid</t>
  </si>
  <si>
    <t xml:space="preserve">  1812247-18-9</t>
  </si>
  <si>
    <t>2,3,3,5,5,5-Hexafluoro-2,4,4-tris(trifluoromethyl)pentanoic acid</t>
  </si>
  <si>
    <t xml:space="preserve">  1882109-73-0</t>
  </si>
  <si>
    <t>2,3,3,4,5,5,6,6,6-Nonafluoro-2,4-bis(trifluoromethyl)hexanoic acid</t>
  </si>
  <si>
    <t xml:space="preserve">  1812247-19-0</t>
  </si>
  <si>
    <t>2,3,3,4,4,5,6,6,6-Nonafluoro-2,5-bis(trifluoromethyl)hexanoic acid</t>
  </si>
  <si>
    <t xml:space="preserve">  1882109-80-9</t>
  </si>
  <si>
    <t>2,3,3,4,4,5,5,6,6,7,7,7-Dodecafluoro-2-(trifluoromethyl)heptanoic acid</t>
  </si>
  <si>
    <t xml:space="preserve">  207678-51-1</t>
  </si>
  <si>
    <t>Perfluoroisobutyric acid</t>
  </si>
  <si>
    <t xml:space="preserve">  335-10-4</t>
  </si>
  <si>
    <t>2,2,4,4,5,5,5-Heptafluoro-3-(pentafluoroethyl)-3-(trifluoromethyl)pentanoic acid</t>
  </si>
  <si>
    <t xml:space="preserve">  1882109-67-2</t>
  </si>
  <si>
    <t>2,2,4,5,5,5-Hexafluoro-3,3,4-tris(trifluoromethyl)pentanoic acid</t>
  </si>
  <si>
    <t xml:space="preserve">  1882109-74-1</t>
  </si>
  <si>
    <t>2,2,4,4,5,5,6,6,6-Nonafluoro-3,3-bis(trifluoromethyl)hexanoic acid</t>
  </si>
  <si>
    <t xml:space="preserve">  1812247-20-3</t>
  </si>
  <si>
    <t>2,2,3,4,4,5,5,5-Octafluoro-3-(1,1,1,2,3,3,3-heptafluoropropan-2-yl)pentanoic acid</t>
  </si>
  <si>
    <t xml:space="preserve">  1882109-68-3</t>
  </si>
  <si>
    <t>2,2,3,4,4,5,5,6,6,6-Decafluoro-3-(pentafluoroethyl)hexanoic acid</t>
  </si>
  <si>
    <t xml:space="preserve">  1882109-78-5</t>
  </si>
  <si>
    <t>2,2,3,5,5,5-Hexafluoro-3,4,4-tris(trifluoromethyl)pentanoic acid</t>
  </si>
  <si>
    <t xml:space="preserve">  1882109-75-2</t>
  </si>
  <si>
    <t>2,2,3,4,5,5,6,6,6-Nonafluoro-3,4-bis(trifluoromethyl)hexanoic acid</t>
  </si>
  <si>
    <t xml:space="preserve">  1882109-81-0</t>
  </si>
  <si>
    <t>2,2,3,4,4,5,6,6,6-Nonafluoro-3,5-bis(trifluoromethyl)hexanoic acid</t>
  </si>
  <si>
    <t xml:space="preserve">  1144512-35-5</t>
  </si>
  <si>
    <t>Perfluoro-3,7-dimethyloctanoic acid</t>
  </si>
  <si>
    <t xml:space="preserve">  172155-07-6</t>
  </si>
  <si>
    <t>2,2,3,4,4,5,5,6,6,7,7,7-Dodecafluoro-3-(trifluoromethyl)heptanoic acid</t>
  </si>
  <si>
    <t xml:space="preserve">  705240-04-6</t>
  </si>
  <si>
    <t>2,2,3,3,5,5,6,6,6-Nonafluoro-4,4-bis(trifluoromethyl)hexanoic acid</t>
  </si>
  <si>
    <t xml:space="preserve">  1192593-79-5</t>
  </si>
  <si>
    <t>2,2,3,3,4,5,5,6,6,6-Decafluoro-4-(pentafluoroethyl)hexanoic acid</t>
  </si>
  <si>
    <t xml:space="preserve">  1882109-79-6</t>
  </si>
  <si>
    <t>2,2,3,3,4,5,6,6,6-Nonafluoro-4,5-bis(trifluoromethyl)hexanoic acid</t>
  </si>
  <si>
    <t xml:space="preserve">  1144512-36-6</t>
  </si>
  <si>
    <t>2,2,3,3,4,5,5,6,6,7,7,7-Dodecafluoro-4-(trifluoromethyl)heptanoic acid</t>
  </si>
  <si>
    <t xml:space="preserve">  1144512-18-4</t>
  </si>
  <si>
    <t>2,2,3,3,4,4,6,6,6-Nonafluoro-5,5-bis(trifluoromethyl)hexanoic acid</t>
  </si>
  <si>
    <t xml:space="preserve">  1144512-34-4</t>
  </si>
  <si>
    <t>2,2,3,3,4,4,5,6,6,7,7,7-Dodecafluoro-5-(trifluoromethyl)heptanoic acid</t>
  </si>
  <si>
    <t xml:space="preserve">  909009-42-3</t>
  </si>
  <si>
    <t>Perfluoro-6-(trifluoromethyl)heptanoic acid</t>
  </si>
  <si>
    <t xml:space="preserve">  15166-06-0</t>
  </si>
  <si>
    <t xml:space="preserve">  307-55-1</t>
  </si>
  <si>
    <t>Perfluoroundecanoic acid (PFUdA)</t>
  </si>
  <si>
    <t xml:space="preserve">  2058-94-8</t>
  </si>
  <si>
    <t>Perfluorosebacic acid</t>
  </si>
  <si>
    <t xml:space="preserve">  307-78-8</t>
  </si>
  <si>
    <t>9-Chloro-perfluorononanoic acid</t>
  </si>
  <si>
    <t xml:space="preserve">  865-79-2</t>
  </si>
  <si>
    <t xml:space="preserve">  335-67-1</t>
  </si>
  <si>
    <t>8-H-Perfluorooctanoic acid</t>
  </si>
  <si>
    <t xml:space="preserve">  13973-14-3</t>
  </si>
  <si>
    <t>Perfluorosuberic acid</t>
  </si>
  <si>
    <t xml:space="preserve">  678-45-5</t>
  </si>
  <si>
    <t>7-H-Perfluoroheptanoic acid</t>
  </si>
  <si>
    <t xml:space="preserve">  1546-95-8</t>
  </si>
  <si>
    <t>6-H-Perfluorohexanoic acid</t>
  </si>
  <si>
    <t xml:space="preserve">  1726-50-7</t>
  </si>
  <si>
    <t>Hexafluoroglutaric acid</t>
  </si>
  <si>
    <t xml:space="preserve">  376-73-8</t>
  </si>
  <si>
    <t>2,3,4,4,4-Pentafluoro-3-(trifluoromethyl)butanoic acid</t>
  </si>
  <si>
    <t xml:space="preserve">  917951-62-3</t>
  </si>
  <si>
    <t>2-[(2,2,3,3,4,4,4-heptafluorobutanoyl)amino]benzoic acid</t>
  </si>
  <si>
    <t xml:space="preserve">  82422-33-1</t>
  </si>
  <si>
    <t>N-(Perfluoroheptanoyl)-3-aminopropanoic acid</t>
  </si>
  <si>
    <t xml:space="preserve">  160845-44-3</t>
  </si>
  <si>
    <t>Butanamide, 2,2,3,3,4,4,4-heptafluoro-N-(2-hydroxy-4-nitrophenyl)-</t>
  </si>
  <si>
    <t xml:space="preserve">  2712-83-6</t>
  </si>
  <si>
    <t>N-(3-(Bis(2-hydroxyethyl)amino)propyl)-perfluorooctanamide</t>
  </si>
  <si>
    <t xml:space="preserve">  41358-63-8</t>
  </si>
  <si>
    <t>2,2,3,3,4,4,5,5,6,6,7,7,8,8,9,9,9-Heptadecafluoro-N-(2-hydroxyethyl)nonanamide</t>
  </si>
  <si>
    <t xml:space="preserve">  6104-17-2</t>
  </si>
  <si>
    <t>2,2,3,3,4,4,5,5,6,6,7,7,7-Tridecafluoro-N-(2-hydroxyethyl)heptanamide</t>
  </si>
  <si>
    <t xml:space="preserve">  58301-28-3</t>
  </si>
  <si>
    <t>2,2,3,3,4,4,5,5,5-Nonafluoro-N-(2-hydroxyethyl)pentanamide</t>
  </si>
  <si>
    <t xml:space="preserve">  313535-73-8</t>
  </si>
  <si>
    <t>N-(2-Hydroxyethyl)perfluorobutanamide</t>
  </si>
  <si>
    <t xml:space="preserve">  377-66-2</t>
  </si>
  <si>
    <t>2-Hydroxyethyl heptadecafluorononanoate</t>
  </si>
  <si>
    <t xml:space="preserve">  92746-93-5</t>
  </si>
  <si>
    <t>2,2,3,3,4,4,5,5,6,6,7,7,8,8,8-Pentadecafluoro-N-[2-(2-hydroxyethoxy)ethyl]octanamide</t>
  </si>
  <si>
    <t xml:space="preserve">  110388-02-8</t>
  </si>
  <si>
    <t>2,2,3,3,4,4,5,5,6,6,7,7,8,8,8-Pentadecafluoro-N-hydroxyoctanamide</t>
  </si>
  <si>
    <t xml:space="preserve">  15435-88-8</t>
  </si>
  <si>
    <t>2,2,3,3,4,4,4-Heptafluoro-N-hydroxybutanamide</t>
  </si>
  <si>
    <t xml:space="preserve">  87050-96-2</t>
  </si>
  <si>
    <t>Perfluorooctane sulfonamido ammonium bromide</t>
  </si>
  <si>
    <t xml:space="preserve">  73149-44-7</t>
  </si>
  <si>
    <t>[3-[[(heptadecafluorooctyl)sulphonyl]amino]propyl]trimethylammonium chloride</t>
  </si>
  <si>
    <t xml:space="preserve">  38006-74-5</t>
  </si>
  <si>
    <t>Trimethyl-3-[[(pentadecafluoroheptyl)sulphonyl]amino]propylammonium chloride</t>
  </si>
  <si>
    <t xml:space="preserve">  68555-81-7</t>
  </si>
  <si>
    <t>Trimethyl-3-[[(tridecafluorohexyl)sulphonyl]amino]propylammonium chloride</t>
  </si>
  <si>
    <t xml:space="preserve">  52166-82-2</t>
  </si>
  <si>
    <t>Trimethyl-3-[[(undecafluoropentyl)sulphonyl]amino]propylammonium chloride</t>
  </si>
  <si>
    <t xml:space="preserve">  68957-55-1</t>
  </si>
  <si>
    <t>Trimethyl-3-[[(nonafluorobutyl)sulphonyl]amino]propylammonium chloride</t>
  </si>
  <si>
    <t xml:space="preserve">  53518-00-6</t>
  </si>
  <si>
    <t>Glycine, N-[(heptadecafluorooctyl)sulfonyl]-N-methyl-, chromium complex</t>
  </si>
  <si>
    <t xml:space="preserve">  97298-47-0</t>
  </si>
  <si>
    <t>Diaquatetrachloro[mu-[N-ethyl-N-[(perfluorooctyl)sulfonyl]glycinato-O1:O1']]-mu-hydroxybis[2-methylpropanol]dichromium</t>
  </si>
  <si>
    <t xml:space="preserve">  68891-96-3</t>
  </si>
  <si>
    <t>Diaquatetrachloro(mu-(N-ethyl-N-((perfluorobutyl)sulfonyl)glycinato-O1:O1'))-mu-hydroxybis(2-propanol)dichromium</t>
  </si>
  <si>
    <t xml:space="preserve">  68900-97-0</t>
  </si>
  <si>
    <t>Diaquatetrachloro(mu-(N-ethyl-N-((pentadecafluoroheptyl)sulfonyl)glycinato-O1:O1'))-mu-hydroxybis(2-propanol) chromium</t>
  </si>
  <si>
    <t xml:space="preserve">  68891-97-4</t>
  </si>
  <si>
    <t>Diaquatetrachloro(mu-(N-ethyl-N-((perfluorohexyl)sulfonyl)glycinato-O1:O1'))-mu-hydroxybis(2-propanol)dichromium</t>
  </si>
  <si>
    <t xml:space="preserve">  68891-98-5</t>
  </si>
  <si>
    <t>Diaquatetrachloro(mu-(N-ethyl-N-((perfluoropentyl)sulfonyl)glycinato-O1:O1'))-mu-hydroxybis(2-propanol)dichromium</t>
  </si>
  <si>
    <t xml:space="preserve">  68891-99-6</t>
  </si>
  <si>
    <t>[N(E),S(S)]-N-(2-Fluorophenyl)methyleneperfluorobutanesulfinamide</t>
  </si>
  <si>
    <t xml:space="preserve">  1612778-40-1</t>
  </si>
  <si>
    <t>[N(E),S(S)]-N-(3-Fluorophenyl)methyleneperfluorobutanesulfinamide</t>
  </si>
  <si>
    <t xml:space="preserve">  1612778-41-2</t>
  </si>
  <si>
    <t>[N(E),S(S)]-N-(4-methylphenyl)methyleneperfluorobutanesulfinamide</t>
  </si>
  <si>
    <t xml:space="preserve">  1612778-39-8</t>
  </si>
  <si>
    <t>[N(E),S(S)]-N-(4-nitrophenyl)methyleneperfluorobutanesulfinamide</t>
  </si>
  <si>
    <t xml:space="preserve">  1612778-37-6</t>
  </si>
  <si>
    <t>[N(E),S(S)]-N-(4-chlorophenyl)methyleneperfluorobutanesulfinamide</t>
  </si>
  <si>
    <t xml:space="preserve">  1612778-35-4</t>
  </si>
  <si>
    <t>[N(E),S(S)]-N-phenylmethyleneperfluorobutanesulfinamide</t>
  </si>
  <si>
    <t xml:space="preserve">  1612778-34-3</t>
  </si>
  <si>
    <t>Ethyl (2E)-2-[(S)-perfluorobutylsulfinylimino]acetate</t>
  </si>
  <si>
    <t xml:space="preserve">  1612778-42-3</t>
  </si>
  <si>
    <t>2-Propenoic acid, 2-methyl-, 2-[[[[5-[[[2-[ethyl[(heptadecafluorooctyl)sulfonyl]amino]ethoxy]carbonyl]amino]-2-methylphenyl]amino]carbonyl]oxy]propyl ester</t>
  </si>
  <si>
    <t xml:space="preserve">  68298-72-6</t>
  </si>
  <si>
    <t>2-Propenoic acid, 2-methyl-, 2-[[[[5-[[[2-[ethyl[(pentadecafluoroheptyl)sulfonyl]amino]ethoxy]carbonyl]amino]-2-methylphenyl]amino]carbonyl]oxy]propyl ester</t>
  </si>
  <si>
    <t xml:space="preserve">  68298-73-7</t>
  </si>
  <si>
    <t>2-Propenoic acid, 2-methyl-, 2-[[[[5-[[[2-[ethyl[(tridecafluorohexyl)sulfonyl]amino]ethoxy]carbonyl]amino]-2-methylphenyl]amino]carbonyl]oxy]propyl ester</t>
  </si>
  <si>
    <t xml:space="preserve">  68298-74-8</t>
  </si>
  <si>
    <t>2-Propenoic acid, 2-methyl-, 2-[[[[5-[[[2-[ethyl[(undecafluoropentyl)sulfonyl]amino]ethoxy]carbonyl]amino]-2-methylphenyl]amino]carbonyl]oxy]propyl ester</t>
  </si>
  <si>
    <t xml:space="preserve">  68298-75-9</t>
  </si>
  <si>
    <t>2-Propenoic acid, 2-methyl-, 2-[[[[5-[[[2-[ethyl[(nonafluorobutyl)sulfonyl]amino]ethoxy]carbonyl]amino]-2-methylphenyl]amino]carbonyl]oxy]propyl ester</t>
  </si>
  <si>
    <t xml:space="preserve">  68298-76-0</t>
  </si>
  <si>
    <t>Bis(1,1,2,2,3,3,4,4,4-nonafluoro-1-butanesulfonyl)imide</t>
  </si>
  <si>
    <t xml:space="preserve">  39847-39-7</t>
  </si>
  <si>
    <t>3-((Perfluorooctylsulphonyl)amino)-N,N,N-trimethylpropanaminium iodide</t>
  </si>
  <si>
    <t xml:space="preserve">  68310-75-8</t>
  </si>
  <si>
    <t>Perfluorooctanesulfonamido ammonium iodide</t>
  </si>
  <si>
    <t xml:space="preserve">  1652-63-7</t>
  </si>
  <si>
    <t>Trimethyl-3-[[(pentadecafluoroheptyl)sulphonyl]amino]propylammonium iodide</t>
  </si>
  <si>
    <t xml:space="preserve">  67584-58-1</t>
  </si>
  <si>
    <t>Trimethyl-3-[[(tridecafluorohexyl)sulphonyl]amino]propylammonium iodide</t>
  </si>
  <si>
    <t xml:space="preserve">  68957-58-4</t>
  </si>
  <si>
    <t>Trimethyl-3-[[(undecafluoropentyl)sulphonyl]amino]propylammonium iodide</t>
  </si>
  <si>
    <t xml:space="preserve">  68957-57-3</t>
  </si>
  <si>
    <t>Trimethyl-3-[[(nonafluorobutyl)sulphonyl]amino]propylammonium iodide</t>
  </si>
  <si>
    <t xml:space="preserve">  67939-95-1</t>
  </si>
  <si>
    <t>2-[[(Heptadecafluorooctyl)sulfonyl]amino]-N,N,N-trimethylethanaminium iodide</t>
  </si>
  <si>
    <t xml:space="preserve">  57765-32-9</t>
  </si>
  <si>
    <t>2-[[(Heptadecafluorooctyl)sulfonyl]amino]-N,N,N-trimethyl-1-propanaminium iodide</t>
  </si>
  <si>
    <t xml:space="preserve">  75033-26-0</t>
  </si>
  <si>
    <t>Diethyl(3-(((heptadecafluoroisooctyl)sulphonyl)amino)propyl)methylammonium iodide</t>
  </si>
  <si>
    <t xml:space="preserve">  93894-72-5</t>
  </si>
  <si>
    <t>Diethyl(3-(((heptadecafluorooctyl)sulphonyl)amino)propyl)methylammonium iodide</t>
  </si>
  <si>
    <t xml:space="preserve">  93803-06-6</t>
  </si>
  <si>
    <t>4-[(Perfluorooctyl)sulfonyl]-1,1-dioctylpiperazinium iodide</t>
  </si>
  <si>
    <t xml:space="preserve">  113584-52-4</t>
  </si>
  <si>
    <t>Diphenyliodanium nonafluorobutane-1-sulfonate</t>
  </si>
  <si>
    <t xml:space="preserve">  194999-82-1</t>
  </si>
  <si>
    <t>Potassium perfluoro-p-ethylcyclohexanesulfonate</t>
  </si>
  <si>
    <t xml:space="preserve">  335-24-0</t>
  </si>
  <si>
    <t>Pentapotassium 6,9,12-tris(carboxylatomethyl)-3-(1,1,2,2,3,3,4,4,5,5,6,6,7,7,8,8,8-heptadecafluorooctane-1-sulfonyl)-3,6,9,12,15-pentaazaheptadecane-1,17-dioate</t>
  </si>
  <si>
    <t xml:space="preserve">  155286-99-0</t>
  </si>
  <si>
    <t>Potassium 2,3,4,5-tetrachloro-6-[[[3-[[(heptadecafluorooctyl)sulphonyl]oxy]phenyl]amino]carbonyl]benzoate</t>
  </si>
  <si>
    <t xml:space="preserve">  57589-85-2</t>
  </si>
  <si>
    <t>Potassium 2,3,4,5-tetrachloro-6-[[[3-[[(pentadecafluoroheptyl)sulphonyl]oxy]phenyl]amino]carbonyl]benzoate</t>
  </si>
  <si>
    <t xml:space="preserve">  68541-01-5</t>
  </si>
  <si>
    <t>Potassium 2,3,4,5-tetrachloro-6-[[[3-[[(tridecafluorohexyl)sulphonyl]oxy]phenyl]amino]carbonyl]benzoate</t>
  </si>
  <si>
    <t xml:space="preserve">  68815-72-5</t>
  </si>
  <si>
    <t>Potassium 2,3,4,5-tetrachloro-6-[[[3-[[(undecafluoropentyl)sulphonyl]oxy]phenyl]amino]carbonyl]benzoate</t>
  </si>
  <si>
    <t xml:space="preserve">  68541-02-6</t>
  </si>
  <si>
    <t>Potassium 2,3,4,5-tetrachloro-6-[[[3-[[(nonafluorobutyl)sulphonyl]oxy]phenyl]amino]carbonyl]benzoate</t>
  </si>
  <si>
    <t xml:space="preserve">  68568-54-7</t>
  </si>
  <si>
    <t>Potassium [(1,1,2,2,3,3,4,4,5,5,6,6,7,7,8,8,8-heptadecafluorooctane-1-sulfonyl)amino]acetate</t>
  </si>
  <si>
    <t xml:space="preserve">  75260-69-4</t>
  </si>
  <si>
    <t>Potassium 1,1,2,3,3,3-hexafluoro-2-(trifluoromethyl)propanesulphonate</t>
  </si>
  <si>
    <t xml:space="preserve">  93762-10-8</t>
  </si>
  <si>
    <t>Potassium 1,1,2,2,3,3,4,4,5,5,6,6,7,7,8,8,9,9,10,10,11,11,12,12,12-pentacosafluorododecane-1-sulphonate</t>
  </si>
  <si>
    <t xml:space="preserve">  85187-17-3</t>
  </si>
  <si>
    <t>Potassium henicosafluorodecanesulphonate</t>
  </si>
  <si>
    <t xml:space="preserve">  2806-16-8</t>
  </si>
  <si>
    <t>Perfluorononanesulfonate potassium</t>
  </si>
  <si>
    <t xml:space="preserve">  29359-39-5</t>
  </si>
  <si>
    <t>Potassium heptadecafluorooctane-1-sulphonate</t>
  </si>
  <si>
    <t xml:space="preserve">  2795-39-3</t>
  </si>
  <si>
    <t>Potassium 1,1,2,2,3,3,4,4,5,5,6,6,7,7,7-pentadecafluoroheptane-1-sulphonate</t>
  </si>
  <si>
    <t xml:space="preserve">  60270-55-5</t>
  </si>
  <si>
    <t>PFHS-K</t>
  </si>
  <si>
    <t xml:space="preserve">  3871-99-6</t>
  </si>
  <si>
    <t>Potassium perfluoropentanesulfonate</t>
  </si>
  <si>
    <t xml:space="preserve">  3872-25-1</t>
  </si>
  <si>
    <t>Potassium 1,1,2,2,3,3,4,4,4-nonafluorobutane-1-sulphonate</t>
  </si>
  <si>
    <t xml:space="preserve">  29420-49-3</t>
  </si>
  <si>
    <t>Potassium 1,1,2,2,3,3,4,4-octafluorobutane-1-sulphonate</t>
  </si>
  <si>
    <t xml:space="preserve">  70259-85-7</t>
  </si>
  <si>
    <t>Cyclohexanesulfonic acid, decafluoro(trifluoromethyl)-, potassium salt (1:1)</t>
  </si>
  <si>
    <t xml:space="preserve">  68156-07-0</t>
  </si>
  <si>
    <t>Potassium 1,2,2,3,3,4,5,5,6,6-decafluoro-4-(pentafluoroethyl)cyclohexanesulphonate</t>
  </si>
  <si>
    <t>Potassium undecafluorocyclohexanesulphonate</t>
  </si>
  <si>
    <t xml:space="preserve">  3107-18-4</t>
  </si>
  <si>
    <t>3-[(Perfluorooctane-1-sulfonyl)amino]-N,N-dimethylpropan-1-amine N-oxide potassium</t>
  </si>
  <si>
    <t xml:space="preserve">  178094-69-4</t>
  </si>
  <si>
    <t>3-[(Perfluoroheptane-1-sulfonyl)amino]-N,N-dimethylpropan-1-amine N-oxide potassium salt</t>
  </si>
  <si>
    <t xml:space="preserve">  178094-70-7</t>
  </si>
  <si>
    <t>3-[(Perfluorohexane-1-sulfonyl)amino]-N,N-dimethylpropan-1-amine N-oxide potassium salt</t>
  </si>
  <si>
    <t xml:space="preserve">  178094-71-8</t>
  </si>
  <si>
    <t>3-[(Perfluoropentane-1-sulfonyl)amino]-N,N-dimethylpropan-1-amine N-oxide potassium salt</t>
  </si>
  <si>
    <t xml:space="preserve">  178094-72-9</t>
  </si>
  <si>
    <t>3-[(Perfluorobutane-1-sulfonyl)amino]-N,N-dimethylpropan-1-amine N-oxide potassium salt</t>
  </si>
  <si>
    <t xml:space="preserve">  178094-73-0</t>
  </si>
  <si>
    <t>Cyclohexanesulfonic acid, decafluoro(pentafluoroethyl)-, potassium salt (TSCA, DSL, AICS)</t>
  </si>
  <si>
    <t xml:space="preserve">  67584-42-3</t>
  </si>
  <si>
    <t>Potassium N-propyl-N-((tridecafluorohexyl)sulphonyl)glycinate</t>
  </si>
  <si>
    <t xml:space="preserve">  85665-66-3</t>
  </si>
  <si>
    <t>Potassium N-[(heptadecafluorooctyl)sulphonyl]-N-propylglycinate</t>
  </si>
  <si>
    <t xml:space="preserve">  55910-10-6</t>
  </si>
  <si>
    <t>Potassium N-ethyl-N-[(heptadecafluorooctyl)sulphonyl]glycinate</t>
  </si>
  <si>
    <t xml:space="preserve">  2991-51-7</t>
  </si>
  <si>
    <t>Potassium N-ethyl-N-[(pentadecafluoroheptyl)sulphonyl]glycinate</t>
  </si>
  <si>
    <t xml:space="preserve">  67584-62-7</t>
  </si>
  <si>
    <t>Potassium N-ethyl-N-[(tridecafluorohexyl)sulphonyl]glycinate</t>
  </si>
  <si>
    <t xml:space="preserve">  67584-53-6</t>
  </si>
  <si>
    <t>Potassium N-ethyl-N-[(undecafluoropentyl)sulphonyl]glycinate</t>
  </si>
  <si>
    <t xml:space="preserve">  67584-52-5</t>
  </si>
  <si>
    <t>Potassium N-ethyl-N-[(nonafluorobutyl)sulphonyl]glycinate</t>
  </si>
  <si>
    <t xml:space="preserve">  67584-51-4</t>
  </si>
  <si>
    <t>1-[2-[Ethyl[(perfluorooctyl)sulfonyl]amino]ethyl] butanedioate potassium</t>
  </si>
  <si>
    <t xml:space="preserve">  92340-26-6</t>
  </si>
  <si>
    <t>Potassium N,N-Bis(perfluorobutanesulfonyl)amide</t>
  </si>
  <si>
    <t xml:space="preserve">  129135-87-1</t>
  </si>
  <si>
    <t>Potassium 4,4,5,5,6,6-hexafluoro-1,1,3,3-tetraoxo-1lambda~6~,3lambda~6~,2-dithiazinan-2-ide</t>
  </si>
  <si>
    <t xml:space="preserve">  588668-97-7</t>
  </si>
  <si>
    <t>Potassium decafluoro(pentafluoroethyl)cyclohexanesulphonate</t>
  </si>
  <si>
    <t>Isooctanesulfonic acid, heptadecafluoro-, lithium salt</t>
  </si>
  <si>
    <t xml:space="preserve">  93894-67-8</t>
  </si>
  <si>
    <t>Lithium heptadecafluorooctanesulphonate</t>
  </si>
  <si>
    <t xml:space="preserve">  29457-72-5</t>
  </si>
  <si>
    <t>Lithium perfluoroheptanesulfonate</t>
  </si>
  <si>
    <t xml:space="preserve">  117806-54-9</t>
  </si>
  <si>
    <t>Lithium perfluorohexanesulfonate</t>
  </si>
  <si>
    <t xml:space="preserve">  55120-77-9</t>
  </si>
  <si>
    <t>Lithium nonafluorobutane-1-sulfonate</t>
  </si>
  <si>
    <t xml:space="preserve">  131651-65-5</t>
  </si>
  <si>
    <t>N,N-bis(1,1,2,2,3,3,4,4,4-nonafluorobutyl)sulfonylamine lithium salt</t>
  </si>
  <si>
    <t xml:space="preserve">  119229-99-1</t>
  </si>
  <si>
    <t>Lithium 4,4,5,5,6,6-hexafluoro-1,1,3,3-tetraoxo-1lambda~6~,3lambda~6~,2-dithiazinan-2-ide</t>
  </si>
  <si>
    <t xml:space="preserve">  189217-62-7</t>
  </si>
  <si>
    <t>Magnesium heptadecafluoroisooctanesulphonate</t>
  </si>
  <si>
    <t xml:space="preserve">  93894-73-6</t>
  </si>
  <si>
    <t>Magnesium nonafluorobutanesulfonate</t>
  </si>
  <si>
    <t xml:space="preserve">  507453-86-3</t>
  </si>
  <si>
    <t>Magnesium bis[heptadecafluorooctanesulphonate]</t>
  </si>
  <si>
    <t xml:space="preserve">  91036-71-4</t>
  </si>
  <si>
    <t>Sodium 3-(methyl(3-(((tridecafluorohexyl)sulphonyl)amino)propyl)amino)propanesulphonate</t>
  </si>
  <si>
    <t xml:space="preserve">  80621-17-6</t>
  </si>
  <si>
    <t>N-(Carboxymethyl)-N-[3-[[(perfluorooctyl)sulfonyl]amino]propyl]-N,N-bis(2-hydroxy-3-sulfopropyl)ammonium chloride, trisodium</t>
  </si>
  <si>
    <t xml:space="preserve">  109669-84-3</t>
  </si>
  <si>
    <t>Sodium perfluorodecanesulfonate</t>
  </si>
  <si>
    <t xml:space="preserve">  2806-15-7</t>
  </si>
  <si>
    <t>Sodium Perfluorononanesulfonate</t>
  </si>
  <si>
    <t xml:space="preserve">  98789-57-2</t>
  </si>
  <si>
    <t>Sodium perfluorooctanesulfonate</t>
  </si>
  <si>
    <t xml:space="preserve">  4021-47-0</t>
  </si>
  <si>
    <t>Sodium perfluorohexanesulfonate</t>
  </si>
  <si>
    <t xml:space="preserve">  82382-12-5</t>
  </si>
  <si>
    <t>Sodium nonafluorobutane-1-sulfonate</t>
  </si>
  <si>
    <t xml:space="preserve">  60453-92-1</t>
  </si>
  <si>
    <t>4-Heptadecafluorooctanesulfonamidobenzenesulfonic acid sodium salt</t>
  </si>
  <si>
    <t xml:space="preserve">  172398-80-0</t>
  </si>
  <si>
    <t>Sodium [[[(heptadecafluorooctyl)sulphonyl]amino]methyl]benzenesulphonate</t>
  </si>
  <si>
    <t xml:space="preserve">  51032-47-4</t>
  </si>
  <si>
    <t>Sodium [[[(tridecafluorohexyl)sulphonyl]amino]methyl]benzenesulphonate</t>
  </si>
  <si>
    <t xml:space="preserve">  68299-21-8</t>
  </si>
  <si>
    <t>Sodium [[[(undecafluoropentyl)sulphonyl]amino]methyl]benzenesulphonate</t>
  </si>
  <si>
    <t xml:space="preserve">  68299-20-7</t>
  </si>
  <si>
    <t>Sodium heptadecafluorooctanesulphinate</t>
  </si>
  <si>
    <t xml:space="preserve">  68555-67-9</t>
  </si>
  <si>
    <t>Sodium 1,1,2,2,3,3,4,4,5,5,6,6,7,7,7-pentadecafluoroheptane-1-sulphinate</t>
  </si>
  <si>
    <t xml:space="preserve">  68555-66-8</t>
  </si>
  <si>
    <t>Sodium undecafluoropentane-1-sulfinate</t>
  </si>
  <si>
    <t xml:space="preserve">  1997344-07-6</t>
  </si>
  <si>
    <t>Sodium 1,1,2,2,3,3,4,4,4-nonafluoro1-butanesulfinate</t>
  </si>
  <si>
    <t xml:space="preserve">  102061-82-5</t>
  </si>
  <si>
    <t>Sodium N-ethyl-N-[(heptadecafluorooctyl)sulphonyl]glycinate</t>
  </si>
  <si>
    <t xml:space="preserve">  3871-50-9</t>
  </si>
  <si>
    <t>Sodium N-ethyl-N-[(pentadecafluoroheptyl)sulphonyl]glycinate</t>
  </si>
  <si>
    <t xml:space="preserve">  68555-71-5</t>
  </si>
  <si>
    <t>Sodium N-ethyl-N-[(tridecafluorohexyl)sulphonyl]glycinate</t>
  </si>
  <si>
    <t xml:space="preserve">  68555-70-4</t>
  </si>
  <si>
    <t>Sodium N-ethyl-N-[(undecafluoropentyl)sulphonyl]glycinate</t>
  </si>
  <si>
    <t xml:space="preserve">  68555-69-1</t>
  </si>
  <si>
    <t>Sodium N-ethyl-N-[(nonafluorobutyl)sulphonyl]glycinate</t>
  </si>
  <si>
    <t xml:space="preserve">  68555-68-0</t>
  </si>
  <si>
    <t>1-Propanesulfonic acid, 3-[ethyl[(heptadecafluorooctyl)sulfonyl]amino]-, sodium salt</t>
  </si>
  <si>
    <t xml:space="preserve">  75032-81-4</t>
  </si>
  <si>
    <t>Sodium 3-[[3-(dimethylamino)propyl][(perfluorooctyl)sulfonyl]amino]-2-hydroxypropanesulfonateSodium 3-[[3-(dimethylamino)propyl][(heptadecafluorooctyl)sulphonyl]amino]-2-hydroxypropanesulphonate</t>
  </si>
  <si>
    <t xml:space="preserve">  94133-90-1</t>
  </si>
  <si>
    <t>Sodium 3-[[3-(dimethylamino)propyl][(tridecafluorohexyl)sulphonyl]amino]-2-hydroxypropanesulphonate</t>
  </si>
  <si>
    <t xml:space="preserve">  73772-32-4</t>
  </si>
  <si>
    <t>Sodium {[2-(dimethylamino)ethyl](1,1,2,2,3,3,4,4,5,5,6,6,7,7,8,8,8-heptadecafluorooctane-1-sulfonyl)amino}acetate</t>
  </si>
  <si>
    <t xml:space="preserve">  96426-90-3</t>
  </si>
  <si>
    <t>N-(Perfluoro-1-oxononyl)-N-methylglycine sodium salt</t>
  </si>
  <si>
    <t xml:space="preserve">  51588-53-5</t>
  </si>
  <si>
    <t>Sodium 3-((3-(((heptadecafluorooctyl)sulphonyl)amino)propyl)methylamino)propanesulphonate</t>
  </si>
  <si>
    <t xml:space="preserve">  85665-65-2</t>
  </si>
  <si>
    <t>Perfluoro-N-[(trifluoromethyl)sulfonyl]butanesulfonamide sodium salt</t>
  </si>
  <si>
    <t xml:space="preserve">  176719-69-0</t>
  </si>
  <si>
    <t>N-ethyl-N-[2-(phosphonooxy)ethyl]perfluorooctanesulfonamide diammonium salt</t>
  </si>
  <si>
    <t xml:space="preserve">  67969-69-1</t>
  </si>
  <si>
    <t>Diammonium 2-[ethyl[(pentadecafluoroheptyl)sulphonyl]amino]ethyl phosphate</t>
  </si>
  <si>
    <t xml:space="preserve">  67939-98-4</t>
  </si>
  <si>
    <t>Ammonium 2-{[(nonafluorobutyl)sulfonyl]amino}ethanolate</t>
  </si>
  <si>
    <t xml:space="preserve">  484024-67-1</t>
  </si>
  <si>
    <t>Ammonium perfluorodecanesulfonate</t>
  </si>
  <si>
    <t xml:space="preserve">  67906-42-7</t>
  </si>
  <si>
    <t>Ammonium nonadecafluorononanesulphonate</t>
  </si>
  <si>
    <t xml:space="preserve">  17202-41-4</t>
  </si>
  <si>
    <t>Ammonium heptadecafluorooctanesulphonate</t>
  </si>
  <si>
    <t xml:space="preserve">  29081-56-9</t>
  </si>
  <si>
    <t>Ammonium 1,1,2,2,3,3,4,4,5,5,6,6,7,7,7-pentadecafluoroheptane-1-sulphonate</t>
  </si>
  <si>
    <t xml:space="preserve">  68259-07-4</t>
  </si>
  <si>
    <t>Ammonium perfluorohexanesulfonate</t>
  </si>
  <si>
    <t xml:space="preserve">  68259-08-5</t>
  </si>
  <si>
    <t>Ammonium 1,1,2,2,3,3,4,4,5,5,5-undecafluoropentane-1-sulphonate</t>
  </si>
  <si>
    <t xml:space="preserve">  68259-09-6</t>
  </si>
  <si>
    <t>Ammonium 1,1,2,2,3,3,4,4,4-nonafluorobutane-1-sulphonate</t>
  </si>
  <si>
    <t xml:space="preserve">  68259-10-9</t>
  </si>
  <si>
    <t>Ammonium N-ethyl-N-[(heptadecafluorooctyl)sulphonyl]glycinate</t>
  </si>
  <si>
    <t xml:space="preserve">  2991-52-8</t>
  </si>
  <si>
    <t>2-Hydroxy-3-[ethyl[(nonafluorobutyl)sulfonyl]amino]propanesulfonic acid monoammonium salt</t>
  </si>
  <si>
    <t xml:space="preserve">  484023-83-8</t>
  </si>
  <si>
    <t>Ammonium N,N-bis(perfluorobutanesulfonyl)amide</t>
  </si>
  <si>
    <t xml:space="preserve">  129318-48-5</t>
  </si>
  <si>
    <t>2-Hydroxy-3-[(2-hydroxyethyl)[(nonafluorobutyl)sulfonyl]amino]propanesulfonic acid monoammonium salt</t>
  </si>
  <si>
    <t xml:space="preserve">  484023-82-7</t>
  </si>
  <si>
    <t>1-Propanaminium, 3-[[(heptadecafluorooctyl)sulfonyl]amino]-N,N,N-trimethyl-, sulfate (2:1)</t>
  </si>
  <si>
    <t xml:space="preserve">  70225-26-2</t>
  </si>
  <si>
    <t>Perfluorohexanesulfonate</t>
  </si>
  <si>
    <t xml:space="preserve">  108427-53-8</t>
  </si>
  <si>
    <t>3-((Perfluorooctylsulfonyl)-2-hydroxy-3-sulfopropylamino)-N-(2-hydroxyethyl)-N,N-dimethyl-1-propanaminium  monosodium hydroxide</t>
  </si>
  <si>
    <t xml:space="preserve">  94133-91-2</t>
  </si>
  <si>
    <t>[3-[[(heptadecafluorooctyl)sulphonyl]amino]propyl]trimethylammonium hydroxide</t>
  </si>
  <si>
    <t xml:space="preserve">  85665-67-4</t>
  </si>
  <si>
    <t>Perfluorohexanesulfinate zinc salt</t>
  </si>
  <si>
    <t xml:space="preserve">  86525-30-6</t>
  </si>
  <si>
    <t>N,N-Dimethyl-N-(2-hydroxyethyl)-3-((2-hydroxy-3-sulfopropyl)((perfluorohexyl)sulfonyl)amino)propanaminium hydroxide sodium</t>
  </si>
  <si>
    <t xml:space="preserve">  81190-38-7</t>
  </si>
  <si>
    <t>Perfluorononanesulfonyl fluoride</t>
  </si>
  <si>
    <t xml:space="preserve">  68259-06-3</t>
  </si>
  <si>
    <t>Perfluorooctanesulfonic acid (PFOS)</t>
  </si>
  <si>
    <t xml:space="preserve">  1763-23-1</t>
  </si>
  <si>
    <t>Perfluorobutanesulfonic anhydride</t>
  </si>
  <si>
    <t xml:space="preserve">  36913-91-4</t>
  </si>
  <si>
    <t>Perfluorobutanesulfonic acid (PFBS)</t>
  </si>
  <si>
    <t xml:space="preserve">  375-73-5</t>
  </si>
  <si>
    <t>N-(2-Carboxyethyl)-N,N-dimethyl-3-[methyl[(perfluorohexyl)ethylsulfonyl]amino]-1-propanaminium</t>
  </si>
  <si>
    <t xml:space="preserve">  66008-72-8</t>
  </si>
  <si>
    <t>1-Propanesulfonic acid, 3-[[3-(dimethylamino)propyl][(heptadecafluorooctyl)sulfonyl]amino]-</t>
  </si>
  <si>
    <t xml:space="preserve">  72785-08-1</t>
  </si>
  <si>
    <t>N,N'-[Phosphinicobis(oxy-2,1-ethanediyl)]bis[N-ethyl-perfluoropentanesulfonamide]</t>
  </si>
  <si>
    <t xml:space="preserve">  67939-87-1</t>
  </si>
  <si>
    <t>N-ethyl-N-[2-(phosphonooxy)ethyl]perfluorooctanesulfonamide</t>
  </si>
  <si>
    <t xml:space="preserve">  3820-83-5</t>
  </si>
  <si>
    <t>N-[3-Dimethylaminopropyl]-N-2-[2-(2-hydroxyethoxy)ethoxy]ethylperfluorohexanesulfonamide</t>
  </si>
  <si>
    <t xml:space="preserve">  73772-34-6</t>
  </si>
  <si>
    <t>1,1,2,2,3,3,4,4,4-Nonafluoro-N,N-bis(2-hydroxyethyl)butane-1-sulphonamide</t>
  </si>
  <si>
    <t xml:space="preserve">  34455-00-0</t>
  </si>
  <si>
    <t>N-(4-Hydroxybutyl)-N-methylperfluorooctanesulfonamide</t>
  </si>
  <si>
    <t xml:space="preserve">  68239-73-6</t>
  </si>
  <si>
    <t>4-{[(Perfluorooctyl)sulfonyl](methyl)amino}butyl 2-methyl-2-propenoate</t>
  </si>
  <si>
    <t xml:space="preserve">  61577-14-8</t>
  </si>
  <si>
    <t>4-(Methyl((perfluorooctyl)sulfonyl)amino)butyl 2-propenoate</t>
  </si>
  <si>
    <t xml:space="preserve">  58920-31-3</t>
  </si>
  <si>
    <t>2-(((Heptadecafluorooctyl)sulfonyl)methylamino)ethyl methacrylate</t>
  </si>
  <si>
    <t xml:space="preserve">  14650-24-9</t>
  </si>
  <si>
    <t>Glycine, N-ethyl-N-[(heptadecafluorooctyl)sulfonyl]-, ethyl ester</t>
  </si>
  <si>
    <t xml:space="preserve">  1869-77-8</t>
  </si>
  <si>
    <t>N-Allyl-N-ethyl-perfluorooctanesulfonamide</t>
  </si>
  <si>
    <t xml:space="preserve">  24924-36-5</t>
  </si>
  <si>
    <t>Potassium N-((heptadecafluorooctyl)sulphonyl)-N-propylglycinate</t>
  </si>
  <si>
    <t>N,N,N-Trimethyl-3-(carboxymethyl(perfluorooctylsulfonyl)amino)-1-propanaminium</t>
  </si>
  <si>
    <t xml:space="preserve">  68318-36-5</t>
  </si>
  <si>
    <t>Phosphonic acid, [3-[ethyl[(heptadecafluorooctyl)sulfonyl]amino]propyl]-</t>
  </si>
  <si>
    <t xml:space="preserve">  71463-78-0</t>
  </si>
  <si>
    <t>Phosphonic acid, [3-[ethyl[(heptadecafluorooctyl)sulfonyl]amino]propyl]-, diethyl ester</t>
  </si>
  <si>
    <t xml:space="preserve">  71463-80-4</t>
  </si>
  <si>
    <t>Perfluorooctylsulfonylpropylaminoethyl acrylate</t>
  </si>
  <si>
    <t xml:space="preserve">  2357-60-0</t>
  </si>
  <si>
    <t>N-(4-Hydroxybutyl)-N-methyl-perfluoroheptanesulfonamide</t>
  </si>
  <si>
    <t xml:space="preserve">  68298-89-5</t>
  </si>
  <si>
    <t>4-[Methyl[(pentadecafluoroheptyl)sulfonyl]amino]butyl methacrylate</t>
  </si>
  <si>
    <t xml:space="preserve">  67906-38-1</t>
  </si>
  <si>
    <t>2-Propenoic acid, 4-[methyl[(pentadecafluoroheptyl)sulfonyl]amino]butyl ester</t>
  </si>
  <si>
    <t xml:space="preserve">  68227-97-4</t>
  </si>
  <si>
    <t>N-(2-Hydroxyethyl)-N-methyl-perfluoroheptanesulfonamide</t>
  </si>
  <si>
    <t xml:space="preserve">  68555-76-0</t>
  </si>
  <si>
    <t>2-Propenoic acid, 2-methyl-, 2-[methyl[(pentadecafluoroheptyl)sulfonyl]amino]ethyl ester</t>
  </si>
  <si>
    <t xml:space="preserve">  67939-96-2</t>
  </si>
  <si>
    <t>2-Propenoic acid, 2-[methyl[(pentadecafluoroheptyl)sulfonyl]amino]ethyl ester</t>
  </si>
  <si>
    <t xml:space="preserve">  68084-62-8</t>
  </si>
  <si>
    <t>Glycine, N-ethyl-N-[(pentadecafluoroheptyl)sulfonyl]-</t>
  </si>
  <si>
    <t xml:space="preserve">  68957-63-1</t>
  </si>
  <si>
    <t>Glycine, N-ethyl-N-[(pentadecafluoroheptyl)sulfonyl]-, ethyl ester</t>
  </si>
  <si>
    <t xml:space="preserve">  68957-54-0</t>
  </si>
  <si>
    <t>N-Ethyl-N-2-propenylperfluoroheptanesulfonamide</t>
  </si>
  <si>
    <t xml:space="preserve">  67906-41-6</t>
  </si>
  <si>
    <t>Phosphonic acid, [3-[ethyl[(pentadecafluoroheptyl)sulfonyl]amino]propyl]-</t>
  </si>
  <si>
    <t xml:space="preserve">  71463-79-1</t>
  </si>
  <si>
    <t>Phosphonic acid, [3-[ethyl[(pentadecafluoroheptyl)sulfonyl]amino]propyl]-, diethyl ester</t>
  </si>
  <si>
    <t xml:space="preserve">  71463-81-5</t>
  </si>
  <si>
    <t>N-Butyl-N-(2-hydroxyethyl)perfluoroheptanesulfonamide</t>
  </si>
  <si>
    <t xml:space="preserve">  68310-02-1</t>
  </si>
  <si>
    <t>N-Ethyl--N-[2-(phosphonooxy)ethyl]perfluoroheptanesulfonamide</t>
  </si>
  <si>
    <t xml:space="preserve">  67923-61-9</t>
  </si>
  <si>
    <t>2-Propenoic acid, 2-methyl-, 2-[ethyl[(pentadecafluoroheptyl)sulfonyl]amino]ethyl ester</t>
  </si>
  <si>
    <t xml:space="preserve">  67939-36-0</t>
  </si>
  <si>
    <t>2-Propenoic acid, 2-[ethyl[(pentadecafluoroheptyl)sulfonyl]amino]ethyl ester</t>
  </si>
  <si>
    <t xml:space="preserve">  59071-10-2</t>
  </si>
  <si>
    <t>2-Propenoic acid, 2-[butyl[(pentadecafluoroheptyl)sulfonyl]amino]ethyl ester</t>
  </si>
  <si>
    <t xml:space="preserve">  68298-60-2</t>
  </si>
  <si>
    <t>1-Hexanesulfonamide, 1,1,2,2,3,3,4,4,5,5,6,6,6-tridecafluoro-N-(4-hydroxybutyl)-N-methyl-</t>
  </si>
  <si>
    <t xml:space="preserve">  68239-74-7</t>
  </si>
  <si>
    <t>4-[Methyl[(tridecafluorohexyl)sulfonyl]amino]butyl methacrylate</t>
  </si>
  <si>
    <t xml:space="preserve">  67939-61-1</t>
  </si>
  <si>
    <t>2-Propenoic acid, 4-[methyl[(tridecafluorohexyl)sulfonyl]amino]butyl ester</t>
  </si>
  <si>
    <t xml:space="preserve">  68227-98-5</t>
  </si>
  <si>
    <t>N-(2-Hydroxyethyl)-N-methylperfluorohexanesulfonamide</t>
  </si>
  <si>
    <t xml:space="preserve">  68555-75-9</t>
  </si>
  <si>
    <t>2-Propenoic acid, 2-methyl-, 2-[methyl[(tridecafluorohexyl)sulfonyl]amino]ethyl ester</t>
  </si>
  <si>
    <t xml:space="preserve">  67584-61-6</t>
  </si>
  <si>
    <t>2-Propenoic acid, 2-[methyl[(tridecafluorohexyl)sulfonyl]amino]ethyl ester</t>
  </si>
  <si>
    <t xml:space="preserve">  67584-57-0</t>
  </si>
  <si>
    <t>N-Ethyl-N-((tridecafluorohexyl)sulfonyl)glycine</t>
  </si>
  <si>
    <t xml:space="preserve">  68957-32-4</t>
  </si>
  <si>
    <t>Glycine, N-ethyl-N-[(tridecafluorohexyl)sulfonyl]-, ethyl ester</t>
  </si>
  <si>
    <t xml:space="preserve">  68957-53-9</t>
  </si>
  <si>
    <t>3-(Carboxymethyl(perfluorohexylsulfonyl)amino)-N,N,N-trimethylpropanaminium</t>
  </si>
  <si>
    <t xml:space="preserve">  38850-52-1</t>
  </si>
  <si>
    <t>(2-Hydroxyethyl)dimethyl(3-((3-sulfopropyl)((tridecafluorohexyl)sulfonyl)amino)propyl)ammonium</t>
  </si>
  <si>
    <t xml:space="preserve">  38850-58-7</t>
  </si>
  <si>
    <t>1-Hexanesulfonamide, N-ethyl-1,1,2,2,3,3,4,4,5,5,6,6,6-tridecafluoro-N-(2-hydroxyethyl)-</t>
  </si>
  <si>
    <t xml:space="preserve">  34455-03-3</t>
  </si>
  <si>
    <t>N-Ethyl-N-[2-(phosphonooxy)ethyl]perfluorohexanesulfonamide</t>
  </si>
  <si>
    <t xml:space="preserve">  67969-65-7</t>
  </si>
  <si>
    <t>2-Propenoic acid, 2-methyl-, 2-[ethyl[(tridecafluorohexyl)sulfonyl]amino]ethyl ester</t>
  </si>
  <si>
    <t xml:space="preserve">  67906-70-1</t>
  </si>
  <si>
    <t>2-Propenoic acid, 2-[ethyl[(tridecafluorohexyl)sulfonyl]amino]ethyl ester</t>
  </si>
  <si>
    <t xml:space="preserve">  1893-52-3</t>
  </si>
  <si>
    <t>1-Pentanesulfonamide, 1,1,2,2,3,3,4,4,5,5,5-undecafluoro-N-(4-hydroxybutyl)-N-methyl-</t>
  </si>
  <si>
    <t xml:space="preserve">  68239-72-5</t>
  </si>
  <si>
    <t>4-[Methyl[(undecafluoropentyl)sulfonyl]amino]butyl methacrylate</t>
  </si>
  <si>
    <t xml:space="preserve">  67906-40-5</t>
  </si>
  <si>
    <t>2-Propenoic acid, 4-[methyl[(undecafluoropentyl)sulfonyl]amino]butyl ester</t>
  </si>
  <si>
    <t xml:space="preserve">  68227-99-6</t>
  </si>
  <si>
    <t>2-Propenoic acid, 2-methyl-, 2-[methyl[(undecafluoropentyl)sulfonyl]amino]ethyl ester</t>
  </si>
  <si>
    <t xml:space="preserve">  67584-60-5</t>
  </si>
  <si>
    <t>Glycine, N-ethyl-N-[(undecafluoropentyl)sulfonyl]-</t>
  </si>
  <si>
    <t xml:space="preserve">  68957-31-3</t>
  </si>
  <si>
    <t>Glycine, N-ethyl-N-[(undecafluoropentyl)sulfonyl]-, ethyl ester</t>
  </si>
  <si>
    <t xml:space="preserve">  68555-79-3</t>
  </si>
  <si>
    <t>N-Ethyl-N-(2-(phosphonooxy)ethyl)perfluoropentanesulfonamide</t>
  </si>
  <si>
    <t xml:space="preserve">  67939-90-6</t>
  </si>
  <si>
    <t>2-Propenoic acid, 2-methyl-, 2-[ethyl[(undecafluoropentyl)sulfonyl]amino]ethyl ester</t>
  </si>
  <si>
    <t xml:space="preserve">  67906-73-4</t>
  </si>
  <si>
    <t>2-Propenoic acid, 2-[ethyl[(undecafluoropentyl)sulfonyl]amino]ethyl ester</t>
  </si>
  <si>
    <t xml:space="preserve">  68298-06-6</t>
  </si>
  <si>
    <t>1-Butanesulfonamide, 1,1,2,2,3,3,4,4,4-nonafluoro-N-(4-hydroxybutyl)-N-methyl-</t>
  </si>
  <si>
    <t xml:space="preserve">  812-94-2</t>
  </si>
  <si>
    <t>4-[Methyl[(nonafluorobutyl)sulfonyl]amino]butyl methacrylate</t>
  </si>
  <si>
    <t xml:space="preserve">  67906-39-2</t>
  </si>
  <si>
    <t>2-Propenoic acid, 4-[methyl[(nonafluorobutyl)sulfonyl]amino]butyl ester</t>
  </si>
  <si>
    <t xml:space="preserve">  1492-87-1</t>
  </si>
  <si>
    <t>2-Propenoic acid, 2-methyl-, 2-[methyl[(nonafluorobutyl)sulfonyl]amino]ethyl ester</t>
  </si>
  <si>
    <t xml:space="preserve">  67584-59-2</t>
  </si>
  <si>
    <t>N-Ethyl-N-[(nonafluorobutyl)sulfonyl]glycine</t>
  </si>
  <si>
    <t xml:space="preserve">  68957-33-5</t>
  </si>
  <si>
    <t>Glycine, N-ethyl-N-[(nonafluorobutyl)sulfonyl]-, ethyl ester</t>
  </si>
  <si>
    <t xml:space="preserve">  67584-63-8</t>
  </si>
  <si>
    <t>N,N'-Phosphinicobis(oxy-2,1-ethanediyl)bis(N-ethyl-perfluoro-1-butanesulfonamide)</t>
  </si>
  <si>
    <t xml:space="preserve">  67939-91-7</t>
  </si>
  <si>
    <t>1-Butanesulfonamide, N-ethyl-1,1,2,2,3,3,4,4,4-nonafluoro-N-(2-hydroxyethyl)-</t>
  </si>
  <si>
    <t xml:space="preserve">  34449-89-3</t>
  </si>
  <si>
    <t>1-Butanesulfonamide, N-ethyl-1,1,2,2,3,3,4,4,4-nonafluoro-N-[2-(phosphonooxy)ethyl]-</t>
  </si>
  <si>
    <t xml:space="preserve">  67939-89-3</t>
  </si>
  <si>
    <t>2-Propenoic acid, 2-methyl-, 2-[ethyl[(nonafluorobutyl)sulfonyl]amino]ethyl ester</t>
  </si>
  <si>
    <t xml:space="preserve">  67939-33-7</t>
  </si>
  <si>
    <t>2-Propenoic acid, 2-[ethyl[(nonafluorobutyl)sulfonyl]amino]ethyl ester</t>
  </si>
  <si>
    <t xml:space="preserve">  17329-79-2</t>
  </si>
  <si>
    <t>N-Methyl-N-(2-hydroxyethyl)perfluorooctanesulfonamide</t>
  </si>
  <si>
    <t xml:space="preserve">  24448-09-7</t>
  </si>
  <si>
    <t>N-Ethyl-N-(2-hydroxyethyl)perfluorooctanesulfonamide</t>
  </si>
  <si>
    <t xml:space="preserve">  1691-99-2</t>
  </si>
  <si>
    <t>Heptadecafluoro-N-(2-hydroxyethyl)-N-propyloctanesulphonamide</t>
  </si>
  <si>
    <t xml:space="preserve">  4236-15-1</t>
  </si>
  <si>
    <t>3-((3-(Dimethylamino)propyl)((tridecafluorohexyl)sulfonyl)amino)-1-propanesulfonic acid</t>
  </si>
  <si>
    <t xml:space="preserve">  38850-60-1</t>
  </si>
  <si>
    <t>1-Octanesulfonamide, 1,1,2,2,3,3,4,4,5,5,6,6,7,7,8,8,8-heptadecafluoro-N-2-propenyl-</t>
  </si>
  <si>
    <t xml:space="preserve">  423-86-9</t>
  </si>
  <si>
    <t>1-Propanaminium, 3-[[(heptadecafluorooctyl)sulfonyl]amino]-N,N,N-trimethyl-, sulfate (2:1) (TSCA, NDSL, ENCS)</t>
  </si>
  <si>
    <t>Perfluorooctane sulfonamido amine</t>
  </si>
  <si>
    <t xml:space="preserve">  13417-01-1</t>
  </si>
  <si>
    <t>1-Heptanesulfonamide, N-ethyl-1,1,2,2,3,3,4,4,5,5,6,6,7,7,7-pentadecafluoro-</t>
  </si>
  <si>
    <t xml:space="preserve">  68957-62-0</t>
  </si>
  <si>
    <t>1-Heptanesulfonamide, 1,1,2,2,3,3,4,4,5,5,6,6,7,7,7-pentadecafluoro-N-2-propenyl-</t>
  </si>
  <si>
    <t xml:space="preserve">  67584-49-0</t>
  </si>
  <si>
    <t>Perfluoroheptane sulfonamido amine</t>
  </si>
  <si>
    <t xml:space="preserve">  67584-54-7</t>
  </si>
  <si>
    <t>1-Hexanesulfonamide, 1,1,2,2,3,3,4,4,5,5,6,6,6-tridecafluoro-N-2-propenyl-</t>
  </si>
  <si>
    <t xml:space="preserve">  67584-48-9</t>
  </si>
  <si>
    <t>Perfluorohexane sulfonamido amine</t>
  </si>
  <si>
    <t xml:space="preserve">  50598-28-2</t>
  </si>
  <si>
    <t>1-Pentanesulfonamide, 1,1,2,2,3,3,4,4,5,5,5-undecafluoro-N-2-propenyl-</t>
  </si>
  <si>
    <t xml:space="preserve">  335-97-7</t>
  </si>
  <si>
    <t>Perfluoropentane sulfonamido amine</t>
  </si>
  <si>
    <t xml:space="preserve">  68555-78-2</t>
  </si>
  <si>
    <t>N-Allylperfluorobutanesulfonamide</t>
  </si>
  <si>
    <t xml:space="preserve">  40630-65-7</t>
  </si>
  <si>
    <t>3-((Perfluoroheptyl)sulfonylamino)-N,N,N-trimethyl-1-propanaminium iodide</t>
  </si>
  <si>
    <t>3-((Perfluorohexylsulfonyl)amino)-N,N,N-trimethyl-1-propanaminium iodide</t>
  </si>
  <si>
    <t>3-((Perfluoropentylsulfonyl)amino)-N,N,N-trimethylpropanaminium chloride</t>
  </si>
  <si>
    <t>Trimethyl-3-((perfluorobutylsulphonyl)amino)propylammonium chloride</t>
  </si>
  <si>
    <t>Heptadecafluoro-N,N-bis(2-hydroxyethyl)octanesulphonamide</t>
  </si>
  <si>
    <t xml:space="preserve">  40630-61-3</t>
  </si>
  <si>
    <t>Tridecafluoro-N-(2-hydroxyethyl)-N-propylhexanesulphonamide</t>
  </si>
  <si>
    <t xml:space="preserve">  85665-64-1</t>
  </si>
  <si>
    <t>1,1,2,2,3,3,4,4-Octafluoro-N-(2-hydroxyethyl)-N-methylbutane-1-sulphonamide</t>
  </si>
  <si>
    <t xml:space="preserve">  93894-53-2</t>
  </si>
  <si>
    <t>1,1,2,2,3,3,4,4-Octafluoro-N,N-bis(2-hydroxyethyl)butane-1-sulphonamide</t>
  </si>
  <si>
    <t xml:space="preserve">  93894-54-3</t>
  </si>
  <si>
    <t>Heptadecafluoro-N-(2-(phosphonooxy)ethyl)-N-propyloctanesulphonamide</t>
  </si>
  <si>
    <t xml:space="preserve">  64264-44-4</t>
  </si>
  <si>
    <t>2-(((Heptadecafluorooctyl)sulphonyl)propylamino)ethyl methacrylate</t>
  </si>
  <si>
    <t xml:space="preserve">  13285-40-0</t>
  </si>
  <si>
    <t>Sulfonamides, C4-8-alkane, perfluoro, N-[3-(dimethylamino)propyl], reaction products with acrylic acid</t>
  </si>
  <si>
    <t xml:space="preserve">  192662-29-6</t>
  </si>
  <si>
    <t>3-(((Perfluorooctyl)sulfonyl)(3-sulfopropyl)amino)-N-(2-hydroxyethyl)-N,N-dimethylpropanaminium</t>
  </si>
  <si>
    <t xml:space="preserve">  68298-11-3</t>
  </si>
  <si>
    <t>Sulfonamides, C4-8-alkane, perfluoro, N-[3-(dimethyloxidoamino)propyl], potassium salts</t>
  </si>
  <si>
    <t xml:space="preserve">  179005-06-2</t>
  </si>
  <si>
    <t>N-Methylperfluorooctanesulfonamidoethyl acrylate</t>
  </si>
  <si>
    <t xml:space="preserve">  25268-77-3</t>
  </si>
  <si>
    <t>Bis[trimethyl-3-[[(pentadecafluoroheptyl)sulphonyl]amino]propylammonium] sulphate</t>
  </si>
  <si>
    <t xml:space="preserve">  70225-20-6</t>
  </si>
  <si>
    <t>Bis[trimethyl-3-[[(tridecafluorohexyl)sulphonyl]amino]propylammonium] sulphate</t>
  </si>
  <si>
    <t xml:space="preserve">  70248-52-1</t>
  </si>
  <si>
    <t>Bis[trimethyl-3-[[(undecafluoropentyl)sulphonyl]amino]propylammonium] sulphate</t>
  </si>
  <si>
    <t xml:space="preserve">  70225-24-0</t>
  </si>
  <si>
    <t>Bis[trimethyl-3-[[(nonafluorobutyl)sulphonyl]amino]propylammonium] sulphate</t>
  </si>
  <si>
    <t xml:space="preserve">  70225-22-8</t>
  </si>
  <si>
    <t>Perfluorononane sulfonamido ammonium iodide</t>
  </si>
  <si>
    <t xml:space="preserve">  69091-20-9</t>
  </si>
  <si>
    <t>Perfluorodecane amide betaine</t>
  </si>
  <si>
    <t xml:space="preserve">  70674-74-7</t>
  </si>
  <si>
    <t>Perfluorononane amide betaine</t>
  </si>
  <si>
    <t xml:space="preserve">  77958-18-0</t>
  </si>
  <si>
    <t>Perfluoroheptane amide betaine</t>
  </si>
  <si>
    <t xml:space="preserve">  130114-31-7</t>
  </si>
  <si>
    <t>Perfluorooctanesulfonamido betaine</t>
  </si>
  <si>
    <t xml:space="preserve">  75046-16-1</t>
  </si>
  <si>
    <t>1-Butanesulfonic acid, 1,1,2,2,3,3,4,4,4-nonafluoro-, salt with sulfonium, dimethylphenyl- (1:1)</t>
  </si>
  <si>
    <t xml:space="preserve">  220133-51-7</t>
  </si>
  <si>
    <t>Trimethylsilyl perfluorobutanesulfonate</t>
  </si>
  <si>
    <t xml:space="preserve">  68734-62-3</t>
  </si>
  <si>
    <t>Sodium 2-(N-ethylperfluorooctanesulfonamido)acetate</t>
  </si>
  <si>
    <t>2-((Perfluorooctyl)sulfonylaminomethyl)benzenesulfonate sodium</t>
  </si>
  <si>
    <t>Sodium 2-((pentadecafluoroheptylsulphonylamino)methyl)benzenesulphonate</t>
  </si>
  <si>
    <t xml:space="preserve">  68299-29-6</t>
  </si>
  <si>
    <t>Sodium 2-((tridecafluorohexylsulphonylamino)methyl)benzenesulphonate</t>
  </si>
  <si>
    <t>Sodium 2-((undecafluoropentylsulphonylamino)methyl)benzenesulphonate</t>
  </si>
  <si>
    <t>Sodium 2-((nonafluorobutylsulfonylamino)methyl)benzenesulfonate</t>
  </si>
  <si>
    <t xml:space="preserve">  68299-19-4</t>
  </si>
  <si>
    <t>2,3,4,5-Tetrachloro-6-((3-(perfluorooctyl)sulfonyloxy)phenylaminocarbonyl)benzoic acid, potassium salt</t>
  </si>
  <si>
    <t>Potassium 6-(((3-(perfluorobutylsulphonyloxy)phenyl)amino)carbonyl)perchlorobenzoate</t>
  </si>
  <si>
    <t>1-Octanesulfonamide, 1,1,2,2,3,3,4,4,5,5,6,6,7,7,8,8,8-heptadecafluoro-N-(phenylmethyl)-</t>
  </si>
  <si>
    <t xml:space="preserve">  50598-29-3</t>
  </si>
  <si>
    <t>1-Heptanesulfonamide, 1,1,2,2,3,3,4,4,5,5,6,6,7,7,7-pentadecafluoro-N-(phenylmethyl)-</t>
  </si>
  <si>
    <t xml:space="preserve">  68298-10-2</t>
  </si>
  <si>
    <t>1-Hexanesulfonamide, 1,1,2,2,3,3,4,4,5,5,6,6,6-tridecafluoro-N-(phenylmethyl)-</t>
  </si>
  <si>
    <t xml:space="preserve">  68298-09-9</t>
  </si>
  <si>
    <t>1-Pentanesulfonamide, 1,1,2,2,3,3,4,4,5,5,5-undecafluoro-N-(phenylmethyl)-</t>
  </si>
  <si>
    <t xml:space="preserve">  68298-08-8</t>
  </si>
  <si>
    <t>1-Butanesulfonamide, 1,1,2,2,3,3,4,4,4-nonafluoro-N-(phenylmethyl)-</t>
  </si>
  <si>
    <t xml:space="preserve">  68298-07-7</t>
  </si>
  <si>
    <t>Piperidinium perfluorooctanesulfonate</t>
  </si>
  <si>
    <t xml:space="preserve">  71463-74-6</t>
  </si>
  <si>
    <t>2,3,4,5-Tetrachloro-6-[3-(perfluoroheptyl)sulfonyloxyphenylamino]carbonylbenzoate potassium</t>
  </si>
  <si>
    <t>Potassium 6-(3-(perfluorohexyl)sulfonyloxyphenylaminocarbonyl)perchlorobenzoate</t>
  </si>
  <si>
    <t>2,3,4,5-Tetrachloro-6-[3-[(perfluoropentyl)sulfonyloxy]phenylaminocarbonyl]benzoate potassium salt</t>
  </si>
  <si>
    <t>4-Acetamidophenyl nonafluorobutane-1-sulfonate</t>
  </si>
  <si>
    <t xml:space="preserve">  41605-57-6</t>
  </si>
  <si>
    <t>4-Acetamido-3-chlorophenyl nonafluorobutane-1-sulfonate</t>
  </si>
  <si>
    <t xml:space="preserve">  1428370-26-6</t>
  </si>
  <si>
    <t>N-{4-[(1,1,2,2,3,3,4,4,4-Nonafluorobutane-1-sulfonyl)amino]benzene-1-sulfonyl}acetamide</t>
  </si>
  <si>
    <t xml:space="preserve">  320599-24-4</t>
  </si>
  <si>
    <t>[3,4,6-triacetyloxy-5-(1,1,2,2,3,3,4,4,4-nonafluorobutylsulfonyloxy)oxan-2-yl]methyl Acetate</t>
  </si>
  <si>
    <t xml:space="preserve">  480438-48-0</t>
  </si>
  <si>
    <t>N-[(2S)-2-Amino-3-methylbutyl]-1,1,2,2,3,3,4,4,4-nonafluorobutane-1-sulfonamide</t>
  </si>
  <si>
    <t xml:space="preserve">  1417316-15-4</t>
  </si>
  <si>
    <t>N,N-Dimethyl-N-(propan-2-yl)propan-2-aminium nonafluorobutane-1-sulfonate</t>
  </si>
  <si>
    <t xml:space="preserve">  374571-81-0</t>
  </si>
  <si>
    <t>2-Methylprop-1-en-1-yl nonafluorobutane-1-sulfonate</t>
  </si>
  <si>
    <t xml:space="preserve">  84224-48-6</t>
  </si>
  <si>
    <t>1,1,1,7,7,7-Hexafluoro-5-methylhept-4-en-3-one</t>
  </si>
  <si>
    <t xml:space="preserve">  502457-69-4</t>
  </si>
  <si>
    <t>Sulfonic acids, C6-8-alkane, perfluoro, compds. with polyethylene-polypropylene glycol bis(2-aminopropyl) ether</t>
  </si>
  <si>
    <t xml:space="preserve">  306974-45-8</t>
  </si>
  <si>
    <t>N-[3-(Dimethylamino)propyl]-perfluoro-1-hexanesulfonamide acetate</t>
  </si>
  <si>
    <t xml:space="preserve">  73772-33-5</t>
  </si>
  <si>
    <t>1,1,1-Trifluoropropan-2-yl nonafluorobutane-1-sulfonate</t>
  </si>
  <si>
    <t xml:space="preserve">  118334-94-4</t>
  </si>
  <si>
    <t>N,N,N,-Triethylethanaminium 1,1,2,2,3,3,4,4,4-nonafluorobutane-1-sulfonate</t>
  </si>
  <si>
    <t xml:space="preserve">  25628-08-4</t>
  </si>
  <si>
    <t>Tetraethylammonium perfluoroisooctanesulfonate</t>
  </si>
  <si>
    <t xml:space="preserve">  93894-70-3</t>
  </si>
  <si>
    <t>tetraethylammonium heptadecafluorooctanesulphonate</t>
  </si>
  <si>
    <t xml:space="preserve">  56773-42-3</t>
  </si>
  <si>
    <t>1-Ethyl-3-methylpyridin-1-ium nonafluorobutane-1-sulfonate</t>
  </si>
  <si>
    <t xml:space="preserve">  1015420-87-7</t>
  </si>
  <si>
    <t>1,1,1,2,2,3,3,4,4-Nonafluoro-4-(prop-1-ene-1-sulfonyl)butane</t>
  </si>
  <si>
    <t xml:space="preserve">  66406-80-2</t>
  </si>
  <si>
    <t>1-Methyl-N-(1,1,2,2,3,3,4,4,4-nonafluorobutane-1-sulfonyl)cyclopentane-1-carboxamide</t>
  </si>
  <si>
    <t xml:space="preserve">  1440968-23-9</t>
  </si>
  <si>
    <t>Diphenyl(2,4,6-trimethylphenyl)sulfonium perfluoro-1-octanesulfonate</t>
  </si>
  <si>
    <t xml:space="preserve">  258341-99-0</t>
  </si>
  <si>
    <t>1,3-Diethyl-2-methyl-5-[(perfluorohexyl)sulfonyl]-1H-benzimidazolium 4-methylbenzenesulfonate</t>
  </si>
  <si>
    <t xml:space="preserve">  76848-68-5</t>
  </si>
  <si>
    <t>(2-methylphenyl) 1,1,2,2,3,3,4,4,4-nonafluorobutane-1-sulfonate</t>
  </si>
  <si>
    <t xml:space="preserve">  42096-33-3</t>
  </si>
  <si>
    <t>4-Methylphenyl nonafluorobutane-1-sulfonate</t>
  </si>
  <si>
    <t xml:space="preserve">  93131-73-8</t>
  </si>
  <si>
    <t>1-Methyl-4H-[1,2,4]triazolo[4,3-a][1]benzazepin-6-yl nonafluorobutane-1-sulfonate</t>
  </si>
  <si>
    <t xml:space="preserve">  1588522-06-8</t>
  </si>
  <si>
    <t>1-[4-(1,1,2,2,3,3,4,4,5,5,6,6,7,7,8,8,8-Heptadecafluorooctane-1-sulfonyl)piperazin-1-yl]propan-1-one</t>
  </si>
  <si>
    <t xml:space="preserve">  113584-34-2</t>
  </si>
  <si>
    <t>N,N-Dibutyl-N-methylbutan-1-aminium heptadecafluorooctane-1-sulfonate</t>
  </si>
  <si>
    <t xml:space="preserve">  124472-68-0</t>
  </si>
  <si>
    <t>N,N-Dibutyl-N-methylbutan-1-aminium nonafluorobutane-1-sulfonate</t>
  </si>
  <si>
    <t xml:space="preserve">  124472-66-8</t>
  </si>
  <si>
    <t>Tetrabutylammonium perfluorooctanesulfonate</t>
  </si>
  <si>
    <t xml:space="preserve">  111873-33-7</t>
  </si>
  <si>
    <t>N,N,N-Tripropylpentan-1-aminium heptadecafluorooctane-1-sulfonate</t>
  </si>
  <si>
    <t xml:space="preserve">  56773-56-9</t>
  </si>
  <si>
    <t>N,N,N-Tripropylpentan-1-aminium nonafluorobutane-1-sulfonate</t>
  </si>
  <si>
    <t xml:space="preserve">  56773-55-8</t>
  </si>
  <si>
    <t>1-[4-(1,1,2,2,3,3,4,4,5,5,6,6,7,7,8,8,8-Heptadecafluorooctane-1-sulfonyl)piperazin-1-yl]hexan-1-one</t>
  </si>
  <si>
    <t xml:space="preserve">  113584-36-4</t>
  </si>
  <si>
    <t>(Z)-Octadec-9-enyl (5-(((2-(((perfluorooctyl)sulphonyl)methylamino)ethoxy)carbonyl)amino)-o-tolyl)carbamate</t>
  </si>
  <si>
    <t xml:space="preserve">  94313-84-5</t>
  </si>
  <si>
    <t>Carbamic acid, [5-[[[2-[[(heptadecafluoroisooctyl)sulfonyl]methylamino]ethoxy]carbonyl]amino]-2-methylphenyl]-, 9-octadecenyl ester</t>
  </si>
  <si>
    <t xml:space="preserve">  93894-74-7</t>
  </si>
  <si>
    <t>N-Decyl-N,N-dimethyl-1-decanaminium perfluorooctanesulfonate</t>
  </si>
  <si>
    <t xml:space="preserve">  251099-16-8</t>
  </si>
  <si>
    <t>N,N,N-Triethyldecan-1-aminium heptadecafluorooctane-1-sulfonate</t>
  </si>
  <si>
    <t xml:space="preserve">  773895-92-4</t>
  </si>
  <si>
    <t>N-methyl-N-[(3-octadecyl-2-oxo-4-oxazolidinyl)methyl]perfluorooctanesulfonamide</t>
  </si>
  <si>
    <t xml:space="preserve">  348144-85-4</t>
  </si>
  <si>
    <t>N-Methyl-N-[(3-octadecyl-2-oxo-5-oxazolidinyl)methyl]perfluoro-1-octanesulfonamide</t>
  </si>
  <si>
    <t xml:space="preserve">  138704-55-9</t>
  </si>
  <si>
    <t>4-(4-(2-((Perfluorooctylsulfonyl)propylamino)ethylaminocarbonyl)phenylmethyl)-N-octadecylbenzamide</t>
  </si>
  <si>
    <t xml:space="preserve">  73019-19-9</t>
  </si>
  <si>
    <t>1-Methyl-3-octyl-1H-imidazolium perfluorobutanesulfonate</t>
  </si>
  <si>
    <t xml:space="preserve">  905972-83-0</t>
  </si>
  <si>
    <t>3-Hexyl-1-methyl-1H-Imidazolium perfluorobutanesulfonate</t>
  </si>
  <si>
    <t xml:space="preserve">  1001557-05-6</t>
  </si>
  <si>
    <t>2-(N-Butylperfluorooctanesulfonamido)ethyl acrylate</t>
  </si>
  <si>
    <t xml:space="preserve">  383-07-3</t>
  </si>
  <si>
    <t>3-Butyl-1-methyl-1H-imidazolium N,N-bis(perfluorobutanesulfonyl)amide</t>
  </si>
  <si>
    <t xml:space="preserve">  872345-66-9</t>
  </si>
  <si>
    <t>N-Butylperfluorooctane-1-sulfonamide</t>
  </si>
  <si>
    <t xml:space="preserve">  31506-34-0</t>
  </si>
  <si>
    <t>N-[(Heptadecafluorooctyl)sulfonyl]-N-propylglycine</t>
  </si>
  <si>
    <t xml:space="preserve">  66551-19-7</t>
  </si>
  <si>
    <t>N-(2,3-Dihydroxypropyl)-1,1,2,2,3,3,4,4,5,5,6,6,7,7,8,8,8-heptadecafluoro-N-propyloctane-1-sulfonamide</t>
  </si>
  <si>
    <t xml:space="preserve">  2262-49-9</t>
  </si>
  <si>
    <t>1,1,2,2,3,3,4,4,5,5,6,6,7,7,8,8,8-Heptadecafluoro-N-[(oxiran-2-yl)methyl]-N-propyloctane-1-sulfonamide</t>
  </si>
  <si>
    <t xml:space="preserve">  77620-64-5</t>
  </si>
  <si>
    <t>Poly(oxy-1,2-ethanediyl), .alpha.-[2-[[(perfluorooctyl)sulfonyl]propylamino]ethyl]-.omega.-hydroxy-</t>
  </si>
  <si>
    <t xml:space="preserve">  52550-45-5</t>
  </si>
  <si>
    <t>(Ethyl{3-[(1,1,2,2,3,3,4,4,5,5,6,6,6-tridecafluorohexane-1-sulfonyl)amino]propyl}amino)oxidanide</t>
  </si>
  <si>
    <t xml:space="preserve">  30295-56-8</t>
  </si>
  <si>
    <t>N-Ethyl-1,1,2,2,3,3,4,4,5,5,6,6,6-tridecafluoro-N-methylhexane-1-sulfonamide</t>
  </si>
  <si>
    <t xml:space="preserve">  1427176-17-7</t>
  </si>
  <si>
    <t>N-Ethyl-1,1,2,2,3,3,4,4,4-nonafluoro-N-methylbutane-1-sulfonamide</t>
  </si>
  <si>
    <t xml:space="preserve">  1427176-16-6</t>
  </si>
  <si>
    <t>N-Ethyl-N-[(heptadecafluorooctyl)sulfonyl]glycine methyl ester</t>
  </si>
  <si>
    <t xml:space="preserve">  87988-69-0</t>
  </si>
  <si>
    <t>Heptadecafluorooctane-1-sulphonamide, compound with triethylamine (1:1)</t>
  </si>
  <si>
    <t xml:space="preserve">  76752-82-4</t>
  </si>
  <si>
    <t>N,N-Diethyl-1,1,2,2,3,3,4,4,5,5,6,6,6-tridecafluorohexane-1-sulfonamide</t>
  </si>
  <si>
    <t xml:space="preserve">  1270179-93-5</t>
  </si>
  <si>
    <t>N-ethyl-N-[3-(trichlorosilyl)propyl]perfluorooctanesulfonamide</t>
  </si>
  <si>
    <t xml:space="preserve">  67939-42-8</t>
  </si>
  <si>
    <t>N-Ethyl-N-[3-(trimethoxysilyl)propyl]perfluorooctanesulfonamide</t>
  </si>
  <si>
    <t xml:space="preserve">  61660-12-6</t>
  </si>
  <si>
    <t>N-Ethyl-1,1,2,2,3,3,4,4,5,5,6,6,7,7,8,8,8-heptadecafluoro-N-(11-{2-[2-(2-methoxyethoxy)ethoxy]ethyl}-2,5,8-trioxa-11-azatetradecan-14-yl)octane-1-sulfonamide</t>
  </si>
  <si>
    <t xml:space="preserve">  117413-27-1</t>
  </si>
  <si>
    <t>N-Ethyl--N-(2-hydroxyethyl)perfluoroheptanesulfonamide</t>
  </si>
  <si>
    <t xml:space="preserve">  68555-73-7</t>
  </si>
  <si>
    <t>1-Pentanesulfonamide, N-ethyl-1,1,2,2,3,3,4,4,5,5,5-undecafluoro-N-(2-hydroxyethyl)-</t>
  </si>
  <si>
    <t xml:space="preserve">  68555-72-6</t>
  </si>
  <si>
    <t>2-[Ethyl[(heptadecafluorooctyl)sulfonyl]amino]ethyl methacrylate</t>
  </si>
  <si>
    <t xml:space="preserve">  376-14-7</t>
  </si>
  <si>
    <t>2-[Ethyl[(heptadecafluorooctyl)sulfonyl]amino]ethyl acrylate</t>
  </si>
  <si>
    <t xml:space="preserve">  423-82-5</t>
  </si>
  <si>
    <t>Sulfonamides, C4-8-alkane, perfluoro, N-ethyl-N-(hydroxyethyl), reaction products with 1,1'-methylenebis[4-isocyanatobenzene]</t>
  </si>
  <si>
    <t xml:space="preserve">  68608-14-0</t>
  </si>
  <si>
    <t>Sulfonamides, C4-8-alkane, perfluoro, N-ethyl-N-(hydroxyethyl), reaction products with TDI</t>
  </si>
  <si>
    <t xml:space="preserve">  68608-13-9</t>
  </si>
  <si>
    <t>[Ethyl(1,1,2,2,3,3,4,4,5,5,6,6,7,7,8,8,8-heptadecafluorooctane-1-sulfonyl)amino]methanesulfonic acid</t>
  </si>
  <si>
    <t xml:space="preserve">  94196-26-6</t>
  </si>
  <si>
    <t>1,1,2,2,3,3,4,4,5,5,6,6,7,7,8,8,8-Heptadecafluoro-N-[3-(triethoxysilyl)propyl]octane-1-sulfonamide</t>
  </si>
  <si>
    <t xml:space="preserve">  106790-26-5</t>
  </si>
  <si>
    <t>Ethyl 2-(1,1,2,2,3,3,4,4,4-nonafluorobutane-1-sulfinyl)prop-2-enoate</t>
  </si>
  <si>
    <t xml:space="preserve">  1606997-40-3</t>
  </si>
  <si>
    <t>Ethyl 3-[4-(dimethylamino)phenyl]-2-(1,1,2,2,3,3,4,4,4-nonafluorobutane-1-sulfonyl)prop-2-enoate</t>
  </si>
  <si>
    <t xml:space="preserve">  75988-12-4</t>
  </si>
  <si>
    <t>Ethyl (2E)-3-(1,1,2,2,3,3,4,4,4-nonafluorobutane-1-sulfinyl)prop-2-enoate</t>
  </si>
  <si>
    <t xml:space="preserve">  1606997-39-0</t>
  </si>
  <si>
    <t>Ethyl 4,4-difluoro-5-[(1,1,2,2,3,3,4,4,4-nonafluorobutane-1-sulfonyl)oxy]pentanoate</t>
  </si>
  <si>
    <t xml:space="preserve">  1361253-41-9</t>
  </si>
  <si>
    <t>Ethyl (1,1,2,2,3,3,4,4,4-nonafluorobutane-1-sulfonyl)acetate</t>
  </si>
  <si>
    <t xml:space="preserve">  161123-65-5</t>
  </si>
  <si>
    <t>N-[3-(dimethylamino)propyl]heptadecafluorooctanesulphonamide monohydrochloride</t>
  </si>
  <si>
    <t xml:space="preserve">  67939-88-2</t>
  </si>
  <si>
    <t>N-[3-(dimethylamino)propyl]-1,1,2,2,3,3,4,4,5,5,6,6,7,7,7-pentadecafluoroheptane-1-sulphonamide monohydrochloride</t>
  </si>
  <si>
    <t xml:space="preserve">  67940-02-7</t>
  </si>
  <si>
    <t>N-[3-(dimethylamino)propyl]tridecafluorohexanesulphonamide monohydrochloride</t>
  </si>
  <si>
    <t xml:space="preserve">  68957-61-9</t>
  </si>
  <si>
    <t>N-[3-(dimethylamino)propyl]-1,1,2,2,3,3,4,4,5,5,5-undecafluoropentane-1-sulphonamide monohydrochloride</t>
  </si>
  <si>
    <t xml:space="preserve">  68957-60-8</t>
  </si>
  <si>
    <t>N-[3-(dimethylamino)propyl]-1,1,2,2,3,3,4,4,4-nonafluorobutane-1-sulphonamide monohydrochloride</t>
  </si>
  <si>
    <t xml:space="preserve">  68957-59-5</t>
  </si>
  <si>
    <t>Perfluorooctanesulfonamido amine oxide</t>
  </si>
  <si>
    <t xml:space="preserve">  30295-51-3</t>
  </si>
  <si>
    <t>4-(Dimethylamino)phenyl nonafluorobutane-1-sulfonate</t>
  </si>
  <si>
    <t xml:space="preserve">  1463426-91-6</t>
  </si>
  <si>
    <t>1-Propanesulfonic acid, 3-[[3-(dimethylamino)propyl][(tridecafluorohexyl)sulfonyl]amino]-2-hydroxy-, monosodium salt</t>
  </si>
  <si>
    <t>Perfluorobutane sulfonamido amine</t>
  </si>
  <si>
    <t xml:space="preserve">  68555-77-1</t>
  </si>
  <si>
    <t>1,1,2,2,3,3,4,4,5,5,6,6,6-Tridecafluoro-N,N-dimethylhexane-1-sulfonamide</t>
  </si>
  <si>
    <t xml:space="preserve">  1270179-82-2</t>
  </si>
  <si>
    <t>Isooctanesulfonamide, heptadecafluoro-N-(2-hydroxyethyl)-N-methyl-</t>
  </si>
  <si>
    <t xml:space="preserve">  93894-65-6</t>
  </si>
  <si>
    <t>N-(2-hydroxyethyl)-N-methylperfluoro-2-methylpropanesulfonamide</t>
  </si>
  <si>
    <t xml:space="preserve">  93762-11-9</t>
  </si>
  <si>
    <t>1-Pentanesulfonamide, 1,1,2,2,3,3,4,4,5,5,5-undecafluoro-N-(2-hydroxyethyl)-N-methyl-</t>
  </si>
  <si>
    <t xml:space="preserve">  68555-74-8</t>
  </si>
  <si>
    <t>1-Butanesulfonamide, 1,1,2,2,3,3,4,4,4-nonafluoro-N-(2-hydroxyethyl)-N-methyl-</t>
  </si>
  <si>
    <t xml:space="preserve">  34454-97-2</t>
  </si>
  <si>
    <t>3,3,4,4,5,5,6,6,7,7,8,8,8-Tridecafluoro-N-(2-hydroxyethyl)-N-methyl-1-octanesulfonamide</t>
  </si>
  <si>
    <t xml:space="preserve">  51619-73-9</t>
  </si>
  <si>
    <t>2-Propenoic acid, 2-[methyl[(undecafluoropentyl)sulfonyl]amino]ethyl ester</t>
  </si>
  <si>
    <t xml:space="preserve">  67584-56-9</t>
  </si>
  <si>
    <t>2-Propenoic acid, 2-[methyl[(nonafluorobutyl)sulfonyl]amino]ethyl ester</t>
  </si>
  <si>
    <t xml:space="preserve">  67584-55-8</t>
  </si>
  <si>
    <t>Bis[N-methyl(perfluorobutyl)sulfonamidoethyl]phosphoric acid</t>
  </si>
  <si>
    <t xml:space="preserve">  120945-47-3</t>
  </si>
  <si>
    <t>2-{Methyl[(nonafluorobutyl)sulfonyl]amino}ethyl phosphate</t>
  </si>
  <si>
    <t xml:space="preserve">  147545-41-3</t>
  </si>
  <si>
    <t>1,1,2,2,3,3,4,4,4-Nonafluoro-N-methyl-N-(trimethylstannyl)butane-1-sulfinamide</t>
  </si>
  <si>
    <t xml:space="preserve">  41006-33-1</t>
  </si>
  <si>
    <t>Heptadecafluoro-N-methylisooctanesulphonamide</t>
  </si>
  <si>
    <t xml:space="preserve">  93894-71-4</t>
  </si>
  <si>
    <t>1-Heptanesulfonamide, 1,1,2,2,3,3,4,4,5,5,6,6,7,7,7-pentadecafluoro-N-methyl-</t>
  </si>
  <si>
    <t xml:space="preserve">  68259-14-3</t>
  </si>
  <si>
    <t>1-Hexanesulfonamide, 1,1,2,2,3,3,4,4,5,5,6,6,6-tridecafluoro-N-methyl-</t>
  </si>
  <si>
    <t xml:space="preserve">  68259-15-4</t>
  </si>
  <si>
    <t>1-Pentanesulfonamide, 1,1,2,2,3,3,4,4,5,5,5-undecafluoro-N-methyl-</t>
  </si>
  <si>
    <t xml:space="preserve">  68298-13-5</t>
  </si>
  <si>
    <t>1-Butanesulfonamide, 1,1,2,2,3,3,4,4,4-nonafluoro-N-methyl-</t>
  </si>
  <si>
    <t xml:space="preserve">  68298-12-4</t>
  </si>
  <si>
    <t>1-(1-Methyl-1H-indol-3-yl)thiolan-1-ium nonafluorobutane-1-sulfonate</t>
  </si>
  <si>
    <t xml:space="preserve">  867373-18-0</t>
  </si>
  <si>
    <t>Methyl 2-methoxy-6-[(1,1,2,2,3,3,4,4,4-nonafluorobutane-1-sulfonyl)oxy]benzoate</t>
  </si>
  <si>
    <t xml:space="preserve">  475630-76-3</t>
  </si>
  <si>
    <t>Methyl 2,4-dichloro-3-[(1,1,2,2,3,3,4,4,4-nonafluorobutane-1-sulfonyl)oxy]benzoate</t>
  </si>
  <si>
    <t xml:space="preserve">  1451750-40-5</t>
  </si>
  <si>
    <t>4-(4-Methoxyphenyl)-2-methyl-5-(1,1,2,2,3,3,4,4,5,5,6,6,6-tridecafluorohexane-1-sulfonyl)-1,2-oxazolidine</t>
  </si>
  <si>
    <t xml:space="preserve">  93416-31-0</t>
  </si>
  <si>
    <t>2-Chloro-4-methoxyphenyl nonafluorobutane-1-sulfonate</t>
  </si>
  <si>
    <t xml:space="preserve">  1131890-97-5</t>
  </si>
  <si>
    <t>6-Methoxyquinolin-4-yl nonafluorobutane-1-sulfonate</t>
  </si>
  <si>
    <t xml:space="preserve">  1161941-02-1</t>
  </si>
  <si>
    <t>1,1,2,2,3,3,4,4,5,5,6,6,6-Tridecafluoro-N,N-bis(2-methoxyethyl)hexane-1-sulfonamide</t>
  </si>
  <si>
    <t xml:space="preserve">  1427176-20-2</t>
  </si>
  <si>
    <t>1,1,2,2,3,3,4,4,4-Nonafluoro-N,N-bis(2-methoxyethyl)butane-1-sulfonamide</t>
  </si>
  <si>
    <t xml:space="preserve">  1427176-19-9</t>
  </si>
  <si>
    <t>1,1,1,2,2,3,3,4,4-Nonafluoro-4-(methanesulfonyl)butane</t>
  </si>
  <si>
    <t xml:space="preserve">  40630-22-6</t>
  </si>
  <si>
    <t>2,2,3,4,4,4-Hexafluorobutyl nonafluorobutane-1-sulfonate</t>
  </si>
  <si>
    <t xml:space="preserve">  1205020-79-6</t>
  </si>
  <si>
    <t>Perfluorooctanesulfonamide (PFOSA)</t>
  </si>
  <si>
    <t xml:space="preserve">  754-91-6</t>
  </si>
  <si>
    <t>N-Methylperfluorooctanesulfonamide (N-MeFOSA)</t>
  </si>
  <si>
    <t xml:space="preserve">  31506-32-8</t>
  </si>
  <si>
    <t>2-(N-Methylperfluorooctanesulfonamido)acetic acid (MeFOSAA)</t>
  </si>
  <si>
    <t xml:space="preserve">  2355-31-9</t>
  </si>
  <si>
    <t>2-(N-Ethylperfluorooctanesulfonamido)acetic acid (EtFOSAA)</t>
  </si>
  <si>
    <t xml:space="preserve">  2991-50-6</t>
  </si>
  <si>
    <t>N-Ethylperfluorooctanesulfonamide</t>
  </si>
  <si>
    <t xml:space="preserve">  4151-50-2</t>
  </si>
  <si>
    <t>Perfluorohexanesulfonamide</t>
  </si>
  <si>
    <t xml:space="preserve">  41997-13-1</t>
  </si>
  <si>
    <t>Perfluorobutylsulphonamide</t>
  </si>
  <si>
    <t xml:space="preserve">  30334-69-1</t>
  </si>
  <si>
    <t>1,1,2,3,3,3-Hexafluoro-2-(trifluoromethyl)propane-1-sulphonic anhydride</t>
  </si>
  <si>
    <t xml:space="preserve">  93894-52-1</t>
  </si>
  <si>
    <t>2-[[3-[(Perfluorooctyl)sulfonyl]propyl]amino]ethyl-2-propenoate</t>
  </si>
  <si>
    <t xml:space="preserve">  110570-90-6</t>
  </si>
  <si>
    <t>1-(1,1,2,2,3,3,4,4,5,5,6,6,7,7,8,8,8-Heptadecafluorooctane-1-sulfonyl)piperazine</t>
  </si>
  <si>
    <t xml:space="preserve">  113584-32-0</t>
  </si>
  <si>
    <t>4-(1,1,2,2,3,3,4,4,5,5,6,6,7,7,8,8,8-Heptadecafluorooctane-1-sulfonyl)morpholine</t>
  </si>
  <si>
    <t xml:space="preserve">  312-19-6</t>
  </si>
  <si>
    <t>N-(1,1,2,2,3,3,4,4,5,5,6,6,7,7,8,8,8-Heptadecafluorooctane-1-sulfonyl)benzamide</t>
  </si>
  <si>
    <t xml:space="preserve">  87988-75-8</t>
  </si>
  <si>
    <t>1,1,2,2,3,3,4,4,5,5,6,6,7,7,8,8,8-Heptadecafluoro-N-(2-oxocyclooctyl)octane-1-sulfonamide</t>
  </si>
  <si>
    <t xml:space="preserve">  240801-56-3</t>
  </si>
  <si>
    <t>2-[(Perfluorooctane-1-sulfonyl)amino]ethyl prop-2-enoate</t>
  </si>
  <si>
    <t xml:space="preserve">  60194-47-0</t>
  </si>
  <si>
    <t>Perfluoro-1-octanesulfonyl chloride</t>
  </si>
  <si>
    <t xml:space="preserve">  423-60-9</t>
  </si>
  <si>
    <t>2,2,3,3,4,4,5,5,6,6,7,7,8,8,8-Pentadecafluorooctyl nonafluorobutane-1-sulfonate</t>
  </si>
  <si>
    <t xml:space="preserve">  187039-77-6</t>
  </si>
  <si>
    <t>1-Chloro-4-(1,1,2,2,3,3,4,4,5,5,6,6,6-tridecafluorohexane-1-sulfonyl)benzene</t>
  </si>
  <si>
    <t xml:space="preserve">  76848-59-4</t>
  </si>
  <si>
    <t>1-(Perfluorohexyl)sulfonylaminopyridinium</t>
  </si>
  <si>
    <t xml:space="preserve">  254889-10-6</t>
  </si>
  <si>
    <t>Hexane, 1-(ethenylsulfinyl)-1,1,2,2,3,3,4,4,5,5,6,6,6-tridecafluoro-</t>
  </si>
  <si>
    <t xml:space="preserve">  680187-85-3</t>
  </si>
  <si>
    <t>2,2,3,3,4,4,5,5,6,6,6-Undecafluorohexyl nonafluorobutane-1-sulfonate</t>
  </si>
  <si>
    <t xml:space="preserve">  924894-08-6</t>
  </si>
  <si>
    <t>3,4,4-Trifluoro-3-(nonafluorobutyl)-1,2lambda~6~-oxathietane-2,2-dione</t>
  </si>
  <si>
    <t xml:space="preserve">  85211-95-6</t>
  </si>
  <si>
    <t>[S-(1,1,2,2,3,3,4,4,4-Nonafluorobutane-1-)sulfonimidoyl]benzene</t>
  </si>
  <si>
    <t xml:space="preserve">  1335014-68-0</t>
  </si>
  <si>
    <t>N-[(4-Bromophenyl)(perfluorobutyl)oxido-λ4-sulfanylidene]-1,1,1-trifluoromethanesulfonamide</t>
  </si>
  <si>
    <t xml:space="preserve">  1421133-01-8</t>
  </si>
  <si>
    <t>bis(Perfluorobutylsulfonyl)methylenephenyliodine</t>
  </si>
  <si>
    <t xml:space="preserve">  681477-42-9</t>
  </si>
  <si>
    <t>1-[Bis(1,1,2,2,3,3,4,4,4-nonafluorobutane-1-sulfonyl)methanesulfonyl]-1,1,2,2,3,3,4,4,4-nonafluorobutane</t>
  </si>
  <si>
    <t xml:space="preserve">  182505-69-7</t>
  </si>
  <si>
    <t>[(1,1,2,2,3,3,4,4,4-Nonafluorobutane-1-sulfonyl)ethynyl]benzene</t>
  </si>
  <si>
    <t xml:space="preserve">  63369-94-8</t>
  </si>
  <si>
    <t>2-(1,1,2,2,3,3,4,4,4-Nonafluorobutane-1-sulfonyl)-1-phenylethan-1-one</t>
  </si>
  <si>
    <t xml:space="preserve">  58510-75-1</t>
  </si>
  <si>
    <t>[(1,1,2,2,3,3,4,4,4-Nonafluorobutane-1-sulfonyl)methyl]benzene</t>
  </si>
  <si>
    <t xml:space="preserve">  879081-10-4</t>
  </si>
  <si>
    <t>1,1,1,2,2,3,3,4,4-Nonafluoro-4-[(1,1,2,2,3,3,4,4,4-nonafluorobutane-1-sulfonyl)methanesulfonyl]butane</t>
  </si>
  <si>
    <t xml:space="preserve">  29214-37-7</t>
  </si>
  <si>
    <t>N-[(4-Bromophenyl)oxido(trifluoromethyl)sulfanylidene]perfluorobutanesulfonamide</t>
  </si>
  <si>
    <t xml:space="preserve">  1421133-00-7</t>
  </si>
  <si>
    <t>1-(1,1,2,2,3,3,4,4,4-Nonafluorobutane-1-sulfonyl)-1H-benzotriazole</t>
  </si>
  <si>
    <t xml:space="preserve">  681443-29-8</t>
  </si>
  <si>
    <t>N-(1,1,2,2,3,3,4,4,4-Nonafluorobutane-1-sulfonyl)cyclopent-2-ene-1-carboxamide</t>
  </si>
  <si>
    <t xml:space="preserve">  1440968-24-0</t>
  </si>
  <si>
    <t>N-(1,1,2,2,3,3,4,4,4-Nonafluorobutane-1-sulfonyl)cyclopentanecarboxamide</t>
  </si>
  <si>
    <t xml:space="preserve">  1440968-21-7</t>
  </si>
  <si>
    <t>N-(1,1,2,2,3,3,4,4,4-Nonafluorobutane-1-sulfonyl)cyclohexanecarboxamide</t>
  </si>
  <si>
    <t xml:space="preserve">  1440968-37-5</t>
  </si>
  <si>
    <t>N,N'-(3,4-Dioxocyclobut-1-ene-1,2-diyl)bis(1,1,2,2,3,3,4,4,4-nonafluorobutane-1-sulfonamide)</t>
  </si>
  <si>
    <t xml:space="preserve">  1234571-87-9</t>
  </si>
  <si>
    <t>N-Cyclooctyl-1,1,2,2,3,3,4,4,4-nonafluorobutane-1-sulfonamide</t>
  </si>
  <si>
    <t xml:space="preserve">  1456900-48-3</t>
  </si>
  <si>
    <t>1,1,2,2,3,3,4,4,4-nonafluoro-N-[(trifluoromethyl)sulfonyl]-1-Butanesulfonamide</t>
  </si>
  <si>
    <t xml:space="preserve">  39847-37-5</t>
  </si>
  <si>
    <t>Vinyl nonafluoro-1-butanesulfonate</t>
  </si>
  <si>
    <t xml:space="preserve">  42409-05-2</t>
  </si>
  <si>
    <t>Phenyl nonafluorobutane-1-sulfonate</t>
  </si>
  <si>
    <t xml:space="preserve">  25628-11-9</t>
  </si>
  <si>
    <t>Cyclopent-1-en-1-yl nonafluorobutane-1-sulfonate</t>
  </si>
  <si>
    <t xml:space="preserve">  36839-94-8</t>
  </si>
  <si>
    <t>Cyclohex-1-en-1-yl nonafluorobutane-1-sulfonate</t>
  </si>
  <si>
    <t xml:space="preserve">  36839-95-9</t>
  </si>
  <si>
    <t>Cyclohept-1-en-1-yl nonafluorobutane-1-sulfonate</t>
  </si>
  <si>
    <t xml:space="preserve">  42108-79-2</t>
  </si>
  <si>
    <t>4-Cyanophenyl nonafluorobutane-1-sulfonate</t>
  </si>
  <si>
    <t xml:space="preserve">  626201-15-8</t>
  </si>
  <si>
    <t>2,4-Dichlorophenyl nonafluorobutane-1-sulfonate</t>
  </si>
  <si>
    <t xml:space="preserve">  32848-21-8</t>
  </si>
  <si>
    <t>Quinolin-8-yl nonafluorobutane-1-sulfonate</t>
  </si>
  <si>
    <t xml:space="preserve">  41605-60-1</t>
  </si>
  <si>
    <t>2-Cyanophenyl nonafluorobutane-1-sulfonate</t>
  </si>
  <si>
    <t xml:space="preserve">  873838-37-0</t>
  </si>
  <si>
    <t>1,2-Ethanediyl bis(perfluorobutanesulfonate)</t>
  </si>
  <si>
    <t xml:space="preserve">  92982-03-1</t>
  </si>
  <si>
    <t>2-[(1,1,2,2,3,3,4,4,4-Nonafluorobutane-1-sulfonyl)oxy]-3a,4,7,7a-tetrahydro-1H-4,7-methanoisoindole-1,3(2H)-dione</t>
  </si>
  <si>
    <t xml:space="preserve">  307531-76-6</t>
  </si>
  <si>
    <t>1,1,2,2,3,3,4,4,4-nonafluoro-N-(2-hydroxyethyl)-1-Butanesulfonamide</t>
  </si>
  <si>
    <t xml:space="preserve">  34454-99-4</t>
  </si>
  <si>
    <t>[1-(1,1,2,2,3,3,4,4,4-Nonafluorobutane-1-sulfinyl)ethenyl]benzene</t>
  </si>
  <si>
    <t xml:space="preserve">  1606997-41-4</t>
  </si>
  <si>
    <t>Perfluoro-1-butanesulfonyl chloride</t>
  </si>
  <si>
    <t xml:space="preserve">  2991-84-6</t>
  </si>
  <si>
    <t>Perfluorobutanesulfinyl chloride</t>
  </si>
  <si>
    <t xml:space="preserve">  41006-41-1</t>
  </si>
  <si>
    <t>Perfluoroalkyl (linear) sulfinate, n=4</t>
  </si>
  <si>
    <t xml:space="preserve">  34642-43-8</t>
  </si>
  <si>
    <t>3,4,4-Trifluoro-3-(heptafluoropropyl)-1,2lambda~6~-oxathietane-2,2-dione</t>
  </si>
  <si>
    <t xml:space="preserve">  156465-44-0</t>
  </si>
  <si>
    <t>1H,1H-Perfluorobutyl perfluorobutanesulfonate</t>
  </si>
  <si>
    <t xml:space="preserve">  883499-32-9</t>
  </si>
  <si>
    <t>2,2,3,3,3-Pentafluoropropyl nonafluorobutane-1-sulfonate</t>
  </si>
  <si>
    <t xml:space="preserve">  893556-35-9</t>
  </si>
  <si>
    <t>1,1,1,3,3,3-Hexafluoropropan-2-yl nonafluorobutane-1-sulfonate</t>
  </si>
  <si>
    <t xml:space="preserve">  118334-96-6</t>
  </si>
  <si>
    <t>Cyclohexanesulfonyl fluoride, decafluoro(trifluoromethyl)-</t>
  </si>
  <si>
    <t xml:space="preserve">  68318-34-3</t>
  </si>
  <si>
    <t>2,2,2-Trifluoroethyl perfluorobutanesulfonate</t>
  </si>
  <si>
    <t xml:space="preserve">  79963-95-4</t>
  </si>
  <si>
    <t>1,1,2,2,3,3,4,4-Octafluorobutane-1-sulphonic anhydride</t>
  </si>
  <si>
    <t xml:space="preserve">  93894-55-4</t>
  </si>
  <si>
    <t>1-(6H-Perfluorohexyl)-1-(fluoren-2-yl)-N-(perfluorobutyl)sulfonyloxymethanimine</t>
  </si>
  <si>
    <t xml:space="preserve">  691358-66-4</t>
  </si>
  <si>
    <t>2,2,3,3-Tetrafluoropropyl nonafluorobutane-1-sulfonate</t>
  </si>
  <si>
    <t xml:space="preserve">  66959-14-6</t>
  </si>
  <si>
    <t>2,2-Difluoroethyl nonafluorobutane-1-sulfonate</t>
  </si>
  <si>
    <t xml:space="preserve">  1036375-28-6</t>
  </si>
  <si>
    <t>4,4,5,5,6,6-hexafluoro-1,3,2-dithiazinane 1,1,3,3-tetraoxide</t>
  </si>
  <si>
    <t xml:space="preserve">  84246-29-7</t>
  </si>
  <si>
    <t>1-Fluoro-4-(1,1,2,2,3,3,4,4,5,5,6,6,6-tridecafluorohexane-1-sulfonyl)benzene</t>
  </si>
  <si>
    <t xml:space="preserve">  149652-30-2</t>
  </si>
  <si>
    <t>N-(2,4-Difluorophenyl)-1,1,2,2,3,3,4,4,4-nonafluorobutane-1-sulfonamide</t>
  </si>
  <si>
    <t xml:space="preserve">  23375-29-3</t>
  </si>
  <si>
    <t>Isooctanesulfonamide, heptadecafluoro-</t>
  </si>
  <si>
    <t xml:space="preserve">  93894-56-5</t>
  </si>
  <si>
    <t>(S)-Perfluorobutanesulfinamide</t>
  </si>
  <si>
    <t xml:space="preserve">  1303994-31-1</t>
  </si>
  <si>
    <t>4-{2-[(1,1,2,2,3,3,4,4,4-Nonafluorobutane-1-sulfonyl)amino]ethyl}benzene-1-sulfonamide</t>
  </si>
  <si>
    <t xml:space="preserve">  316826-59-2</t>
  </si>
  <si>
    <t>Perfluorodecane sulfonic acid</t>
  </si>
  <si>
    <t xml:space="preserve">  335-77-3</t>
  </si>
  <si>
    <t>Cyclohexanesulfonic acid, nonafluorobis(trifluoromethyl)-, potassium salt (1:1)</t>
  </si>
  <si>
    <t xml:space="preserve">  68156-01-4</t>
  </si>
  <si>
    <t>Cyclohexanesulfonic acid, decafluoro(trifluoromethyl)-, potassium salt (TSCA, DSL, AICS)</t>
  </si>
  <si>
    <t>Cyclohexanesulfonic acid, undecafluoro-, potassium salt (TSCA, DSL, AICS)</t>
  </si>
  <si>
    <t>1-Octanesulfinic acid, 1,1,2,2,3,3,4,4,5,5,6,6,7,7,8,8,8-heptadecafluoro-, sodium salt</t>
  </si>
  <si>
    <t>1-Heptanesulfinic acid, 1,1,2,2,3,3,4,4,5,5,6,6,7,7,7-pentadecafluoro-, sodium salt</t>
  </si>
  <si>
    <t>Cyclohexanesulfonyl fluoride, decafluoro(1,1,2,2,2-pentafluoroethyl)-</t>
  </si>
  <si>
    <t xml:space="preserve">  68156-06-9</t>
  </si>
  <si>
    <t>Perfluorododecanesulfonic acid (PFDOS)</t>
  </si>
  <si>
    <t xml:space="preserve">  79780-39-5</t>
  </si>
  <si>
    <t>Perfluorononanesulfonic acid (PFNS)</t>
  </si>
  <si>
    <t xml:space="preserve">  68259-12-1</t>
  </si>
  <si>
    <t>Perfluoroheptanesulfonic acid (PFHpS)</t>
  </si>
  <si>
    <t xml:space="preserve">  375-92-8</t>
  </si>
  <si>
    <t>Perfluoropentanesulfonic acid</t>
  </si>
  <si>
    <t xml:space="preserve">  2706-91-4</t>
  </si>
  <si>
    <t>Perfluorodecanesulphonyl fluoride</t>
  </si>
  <si>
    <t xml:space="preserve">  307-51-7</t>
  </si>
  <si>
    <t>Perfluorooctanesulfonyl fluoride</t>
  </si>
  <si>
    <t xml:space="preserve">  307-35-7</t>
  </si>
  <si>
    <t>1,1,2,2,3,3,4,4,5,5,6,6,6-Tridecafluorohexane-1-sulphonyl chloride</t>
  </si>
  <si>
    <t xml:space="preserve">  55591-23-6</t>
  </si>
  <si>
    <t>Perfluorohexanesulphonyl fluoride</t>
  </si>
  <si>
    <t xml:space="preserve">  423-50-7</t>
  </si>
  <si>
    <t>Perfluorobutanesulfonyl fluoride</t>
  </si>
  <si>
    <t xml:space="preserve">  375-72-4</t>
  </si>
  <si>
    <t>Cyclohexanesulfonyl fluoride, nonafluorobis(trifluoromethyl)-</t>
  </si>
  <si>
    <t xml:space="preserve">  68156-00-3</t>
  </si>
  <si>
    <t>Perfluoroheptanesulphonyl fluoride</t>
  </si>
  <si>
    <t xml:space="preserve">  335-71-7</t>
  </si>
  <si>
    <t>Perfluoropentanesulfonyl fluoride</t>
  </si>
  <si>
    <t xml:space="preserve">  375-81-5</t>
  </si>
  <si>
    <t>Cyclohexanesulfonyl fluoride, undecafluoro-</t>
  </si>
  <si>
    <t xml:space="preserve">  355-03-3</t>
  </si>
  <si>
    <t>1,1,2,2,3,3,4,4-Octafluorobutane-1-sulphonic acid</t>
  </si>
  <si>
    <t xml:space="preserve">  70259-86-8</t>
  </si>
  <si>
    <t>Octafluorotetrahydrothiophene 1,1-dioxide</t>
  </si>
  <si>
    <t xml:space="preserve">  42060-64-0</t>
  </si>
  <si>
    <t>2-[[[[5-[[[4-[[(heptadecafluorooctyl)sulphonyl]methylamino]butoxy]carbonyl]amino]-2-methylphenyl]amino]carbonyl]oxy]propyl methacrylate</t>
  </si>
  <si>
    <t xml:space="preserve">  70900-34-4</t>
  </si>
  <si>
    <t>2-[[[[2-methyl-5-[[[4-[methyl[(pentadecafluoroheptyl)sulphonyl]amino]butoxy]carbonyl]amino]phenyl]amino]carbonyl]oxy]propyl methacrylate</t>
  </si>
  <si>
    <t xml:space="preserve">  70900-35-5</t>
  </si>
  <si>
    <t>2-[[[[2-methyl-5-[[[4-[methyl[(tridecafluorohexyl)sulphonyl]amino]butoxy]carbonyl]amino]phenyl]amino]carbonyl]oxy]propyl methacrylate</t>
  </si>
  <si>
    <t xml:space="preserve">  70900-36-6</t>
  </si>
  <si>
    <t>2-[[[[2-methyl-5-[[[4-[methyl[(undecafluoropentyl)sulphonyl]amino]butoxy]carbonyl]amino]phenyl]amino]carbonyl]oxy]propyl methacrylate</t>
  </si>
  <si>
    <t xml:space="preserve">  70900-37-7</t>
  </si>
  <si>
    <t>2-[[[[2-methyl-5-[[[4-[methyl[(nonafluorobutyl)sulphonyl]amino]butoxy]carbonyl]amino]phenyl]amino]carbonyl]oxy]propyl methacrylate</t>
  </si>
  <si>
    <t xml:space="preserve">  70900-38-8</t>
  </si>
  <si>
    <t>N-ethyl-1,1,2,2,3,3,4,4,5,5,6,6,7,7,7-pentadecafluoro-N-[3-(trichlorosilyl)propyl]heptane-1-sulphonamide</t>
  </si>
  <si>
    <t xml:space="preserve">  67584-50-3</t>
  </si>
  <si>
    <t>N-ethyl-1,1,2,2,3,3,4,4,5,5,6,6,7,7,7-pentadecafluoro-N-[3-(trimethoxysilyl)propyl]heptane-1-sulphonamide</t>
  </si>
  <si>
    <t xml:space="preserve">  68239-75-8</t>
  </si>
  <si>
    <t>4-Hydroxyphenyl nonafluorobutane-1-sulfonate</t>
  </si>
  <si>
    <t xml:space="preserve">  1463426-93-8</t>
  </si>
  <si>
    <t>Bis(2-hydroxyethyl)ammonium perfluorooctanesulfonic acid</t>
  </si>
  <si>
    <t xml:space="preserve">  70225-14-8</t>
  </si>
  <si>
    <t>Bis(2-hydroxyethyl)ammonium pentadecafluoroheptane-1-sulphonate</t>
  </si>
  <si>
    <t xml:space="preserve">  70225-15-9</t>
  </si>
  <si>
    <t>Bis(2-hydroxyethyl)ammonium perfluorohexanesulfonate</t>
  </si>
  <si>
    <t xml:space="preserve">  70225-16-0</t>
  </si>
  <si>
    <t>Bis(2-hydroxyethyl)ammonium 1,1,2,2,3,3,4,4,5,5,5-undecafluoropentane-1-sulphonate</t>
  </si>
  <si>
    <t xml:space="preserve">  70225-17-1</t>
  </si>
  <si>
    <t>Bis(2-hydroxyethyl)ammonium perfluorobutanesulfonate</t>
  </si>
  <si>
    <t xml:space="preserve">  70225-18-2</t>
  </si>
  <si>
    <t>3-(1,1,2,2,3,3,4,4,4-Nonafluorobutane-1-sulfonyl)propan-1-ol</t>
  </si>
  <si>
    <t xml:space="preserve">  762241-70-3</t>
  </si>
  <si>
    <t>Isooctanesulfonamide, heptadecafluoro-N,N-bis(2-hydroxyethyl)-</t>
  </si>
  <si>
    <t xml:space="preserve">  93894-66-7</t>
  </si>
  <si>
    <t>1,1,2,3,3,3-Hexafluoro-N,N-bis(2-hydroxyethyl)-2-(trifluoromethyl)propane-1-sulphonamide</t>
  </si>
  <si>
    <t xml:space="preserve">  93762-12-0</t>
  </si>
  <si>
    <t>Nonafluorobutane-1-sulfonoperoxoic acid</t>
  </si>
  <si>
    <t xml:space="preserve">  85963-79-7</t>
  </si>
  <si>
    <t>Heptadecafluorooctane-2-sulfonic acid</t>
  </si>
  <si>
    <t xml:space="preserve">  927670-12-0</t>
  </si>
  <si>
    <t>Perfluoro-2-(trifluoromethyl)propanesulphonic acid</t>
  </si>
  <si>
    <t xml:space="preserve">  93762-09-5</t>
  </si>
  <si>
    <t>Perfluorohexanesulfonic acid (PFHxS)</t>
  </si>
  <si>
    <t xml:space="preserve">  355-46-4</t>
  </si>
  <si>
    <t>perfluoroalkanesulfonamido quaternary ammonium oxide, n=6</t>
  </si>
  <si>
    <t>Sodium bis(tridecafluorohexyl)phosphinate</t>
  </si>
  <si>
    <t xml:space="preserve">  70609-44-8</t>
  </si>
  <si>
    <t>Bis(nonafluorobutyl)phosphinic acid</t>
  </si>
  <si>
    <t xml:space="preserve">  52299-25-9</t>
  </si>
  <si>
    <t>(Heptadecafluorooctyl)phosphonic acid--4-methylaniline (1/1)</t>
  </si>
  <si>
    <t xml:space="preserve">  1263361-03-0</t>
  </si>
  <si>
    <t>(Tridecafluorohexyl)phosphonic acid--4-methylaniline (1/1)</t>
  </si>
  <si>
    <t xml:space="preserve">  1263361-02-9</t>
  </si>
  <si>
    <t>Tris(nonafluorobutyl)(oxo)-lambda~5~-phosphane</t>
  </si>
  <si>
    <t xml:space="preserve">  58431-34-8</t>
  </si>
  <si>
    <t>1-Octanesulfonic acid, 3,3,4,4,5,5,6,6,7,7,8,8,8-tridecafluoro-, barium salt (2:1)</t>
  </si>
  <si>
    <t xml:space="preserve">  1807944-82-6</t>
  </si>
  <si>
    <t>6:2 Fluorotelomer thiohydroxy ammonium chloride</t>
  </si>
  <si>
    <t xml:space="preserve">  88992-45-4</t>
  </si>
  <si>
    <t>(-)-1-Perfluoropropylethanol</t>
  </si>
  <si>
    <t xml:space="preserve">  85571-83-1</t>
  </si>
  <si>
    <t>2-Chloro-2-propenoic acid 3,3,4,4,5,5,6,6,6-nonafluorohexyl ester</t>
  </si>
  <si>
    <t xml:space="preserve">  701909-41-3</t>
  </si>
  <si>
    <t>(3β,7α)-25,26,26,26,27,27,27-Heptafluorocholest-5-ene-3,7-diol</t>
  </si>
  <si>
    <t xml:space="preserve">  240129-40-2</t>
  </si>
  <si>
    <t>(3β,7β)-25,26,26,26,27,27,27-Heptafluorocholest-5-ene-3,7-diol</t>
  </si>
  <si>
    <t xml:space="preserve">  240129-42-4</t>
  </si>
  <si>
    <t>(3β)-25,26,26,26,27,27,27-Heptafluoro-3-hydroxycholest-5-en-7-one</t>
  </si>
  <si>
    <t xml:space="preserve">  215094-37-4</t>
  </si>
  <si>
    <t>(3β,5α,6α)-5,6-Epoxy-25,26,26,26,27,27,27-heptafluorocholestan-3-ol</t>
  </si>
  <si>
    <t xml:space="preserve">  240129-21-9</t>
  </si>
  <si>
    <t>(3β,5β,6β)-5,6-Epoxy-25,26,26,26,27,27,27-heptafluorocholestan-3-ol</t>
  </si>
  <si>
    <t xml:space="preserve">  240129-24-2</t>
  </si>
  <si>
    <t>(3β)-25,26,26,26,27,27,27-Heptafluoro-cholest-5-en-3-ol</t>
  </si>
  <si>
    <t xml:space="preserve">  153463-21-9</t>
  </si>
  <si>
    <t>(Z)-(Perfluorodecyl)ethyl 9-octadecenoate</t>
  </si>
  <si>
    <t xml:space="preserve">  125768-41-4</t>
  </si>
  <si>
    <t>(Z)-(Perfluorooctyl)ethyl 9-octadecenoate</t>
  </si>
  <si>
    <t xml:space="preserve">  167289-73-8</t>
  </si>
  <si>
    <t>(Z)-(Perfluorohexyl)ethyl 9-octadecenoate</t>
  </si>
  <si>
    <t xml:space="preserve">  220237-47-8</t>
  </si>
  <si>
    <t>(αR,7α)-3-Hydroxy-α-((perfluorobutyl)propyl)-17-oxo-estra-1,3,5(10)-triene-7-decanoic acid</t>
  </si>
  <si>
    <t xml:space="preserve">  615563-01-4</t>
  </si>
  <si>
    <t>D-Galactose-6-[5-[(3(-perfluorooctyl)-1-nonylpropyl)oxy]pentylhydrogen phosphate]</t>
  </si>
  <si>
    <t xml:space="preserve">  172916-27-7</t>
  </si>
  <si>
    <t>1H-Perfluoro-3,3-bis(trifluoromethyl)hexyne</t>
  </si>
  <si>
    <t xml:space="preserve">  261503-44-0</t>
  </si>
  <si>
    <t>(2-Carboxylatoethyl)dimethyl(((perfluorododecyl)-2-hydroxypropyl)amino)propylammonium</t>
  </si>
  <si>
    <t xml:space="preserve">  93776-12-6</t>
  </si>
  <si>
    <t>Trimethyl-3-((perfluorohexyl)ethylsulfonyl)aminopropylammonium iodide</t>
  </si>
  <si>
    <t xml:space="preserve">  94088-80-9</t>
  </si>
  <si>
    <t>[4,4,5,5,6,6,7,7,8,8,9,9,10,11,11,11-hexadecafluoro-2-hydroxy-10-(trifluoromethyl)undecyl]trimethylammonium iodide</t>
  </si>
  <si>
    <t xml:space="preserve">  80909-29-1</t>
  </si>
  <si>
    <t>((Perfluorooctyl)-2-hydroxypropyl)trimethylammonium iodide</t>
  </si>
  <si>
    <t xml:space="preserve">  92071-84-6</t>
  </si>
  <si>
    <t>1-(3-(4-((Heptadecafluorononyl)oxy)-benzamido)propyl)-N,N,N-trimethylammonium iodide</t>
  </si>
  <si>
    <t xml:space="preserve">  59493-72-0</t>
  </si>
  <si>
    <t>3-[[[4-[(Heptadecafluorononenyl)oxy]phenyl]sulfonyl]amino]-N,N,N-trimethyl-1-propanaminium, iodide</t>
  </si>
  <si>
    <t xml:space="preserve">  59493-70-8</t>
  </si>
  <si>
    <t>Bis(2-hydroxyethyl)methyl(1(-perfluoro-7-methyloctyl))-2-hydroxyprop-3-ylammonium iodide</t>
  </si>
  <si>
    <t xml:space="preserve">  94159-78-1</t>
  </si>
  <si>
    <t>Bis(2-hydroxyethyl)methyl(1-(perfluoro-9-methyldecyl))-2-hydroxyprop-3-ylammonium iodide</t>
  </si>
  <si>
    <t xml:space="preserve">  94159-77-0</t>
  </si>
  <si>
    <t>Bis(2-hydroxyethyl)methyl(1-(perfluoro-11-methyldodecyl))-2-hydroxyprop-3-ylammonium iodide</t>
  </si>
  <si>
    <t xml:space="preserve">  94159-76-9</t>
  </si>
  <si>
    <t>Bis(2-hydroxyethyl)methyl(3-(perfluorododecyl)-2-hydroxypropyl)ammonium iodide</t>
  </si>
  <si>
    <t xml:space="preserve">  93776-16-0</t>
  </si>
  <si>
    <t>Bis(2-hydroxyethyl)methyl(3-(perfluorodecyl)-2-hydroxypropyl)ammonium iodide</t>
  </si>
  <si>
    <t xml:space="preserve">  93776-17-1</t>
  </si>
  <si>
    <t>Bis(2-hydroxyethyl)methyl(3-(perfluorooctyl)-2-hydroxypropyl)ammonium iodide</t>
  </si>
  <si>
    <t xml:space="preserve">  93776-18-2</t>
  </si>
  <si>
    <t>(3,3,4,4,5,5,6,6,7,7,8,8,9,9,10,10,10-heptadecafluorodecyl)bis(2-hydroxyethyl)methylammonium iodide</t>
  </si>
  <si>
    <t xml:space="preserve">  31841-41-5</t>
  </si>
  <si>
    <t>1-(3,3,4,4,5,5,6,6,7,7,8,8,9,9,10,10,10-heptadecafluorodecyl)pyridinium iodide</t>
  </si>
  <si>
    <t xml:space="preserve">  25935-14-2</t>
  </si>
  <si>
    <t>Triphenyl(3,3,4,4,5,5,6,6,7,7,8,8,8-tridecafluorooctyl)phosphanium iodide</t>
  </si>
  <si>
    <t xml:space="preserve">  94190-73-5</t>
  </si>
  <si>
    <t>(3,3,4,4,5,5,6,6,6-Nonafluorohexyl)(triphenyl)phosphanium iodide</t>
  </si>
  <si>
    <t xml:space="preserve">  94190-72-4</t>
  </si>
  <si>
    <t>Potassium 4,4,5,5,6,6,7,7,8,8,9,9,10,10,11,11,11-heptadecafluoroundecanoate</t>
  </si>
  <si>
    <t xml:space="preserve">  83310-58-1</t>
  </si>
  <si>
    <t>Potassium 3,3,4,4,5,5,6,6,7,7,8,8,8-tridecafluorooctanesulphonate</t>
  </si>
  <si>
    <t xml:space="preserve">  59587-38-1</t>
  </si>
  <si>
    <t>Potassium 5,5,6,6,7,7,8,8,8-nonafluorooctane-1-sulfonate</t>
  </si>
  <si>
    <t xml:space="preserve">  1604816-60-5</t>
  </si>
  <si>
    <t>Potassium 3,3,4,4,5,5,6,6,7,7,8,8,9,9,10,10,11,11,12,12,12-henicosafluorododecyl sulfate</t>
  </si>
  <si>
    <t xml:space="preserve">  1262446-14-9</t>
  </si>
  <si>
    <t>Potassium 3,3,4,4,5,5,6,6,7,7,8,8,9,9,10,10,10-heptadecafluorodecyl sulfate</t>
  </si>
  <si>
    <t xml:space="preserve">  1262446-13-8</t>
  </si>
  <si>
    <t>Potassium N-[(heptadecafluorooctyl)sulphonyl]-N-methylglycinate</t>
  </si>
  <si>
    <t xml:space="preserve">  70281-93-5</t>
  </si>
  <si>
    <t>Potassium N-((perfluoro-7-methyloctyl)-2-hydroxypropyl)-N-methylaminoacetate</t>
  </si>
  <si>
    <t xml:space="preserve">  94159-89-4</t>
  </si>
  <si>
    <t>Potassium N-((perfluorooctyl)-2-hydroxypropyl)-N-methylglycinate</t>
  </si>
  <si>
    <t xml:space="preserve">  94159-87-2</t>
  </si>
  <si>
    <t>Bis((perfluorobutyl)ethyl) 2-[(carboxymethyl)thio]butanedioate lithium salt</t>
  </si>
  <si>
    <t xml:space="preserve">  503534-33-6</t>
  </si>
  <si>
    <t>3-[(3,3,4,4,5,5,6,6,7,7,8,8,8-Tridecafluorooctyl)thio]propanoic acid lithium salt</t>
  </si>
  <si>
    <t xml:space="preserve">  433333-62-1</t>
  </si>
  <si>
    <t>Lithium 5,5,6,6,7,7,8,8,8-nonafluorooctane-1-sulfonate</t>
  </si>
  <si>
    <t xml:space="preserve">  1604816-75-2</t>
  </si>
  <si>
    <t>3-[(3,3,4,4,5,5,6,6,7,7,8,8,9,9,10,10,10-Heptadecafluorodecyl)thio]-2-methylpropanoic acid lithium salt</t>
  </si>
  <si>
    <t xml:space="preserve">  476304-39-9</t>
  </si>
  <si>
    <t>Sodium hydrogen ((perfluorohexyl)ethyl)phosphonate</t>
  </si>
  <si>
    <t xml:space="preserve">  1189052-95-6</t>
  </si>
  <si>
    <t>Disodium 2,2,3,3,4,4,5,5,6,6,7,7-dodecafluoroheptyl phosphate</t>
  </si>
  <si>
    <t xml:space="preserve">  3107-32-2</t>
  </si>
  <si>
    <t>Bis(2,2,3,3,4,4,5,5,6,6,7,7-Dodecafluoroheptyl)sulfosuccinate sodium salt</t>
  </si>
  <si>
    <t xml:space="preserve">  60131-27-3</t>
  </si>
  <si>
    <t>Bis(1H,1H,6H-perfluorohexyl)-2-sulfobutanedioate sodium salt</t>
  </si>
  <si>
    <t xml:space="preserve">  98151-22-5</t>
  </si>
  <si>
    <t>Sodium 1,4-bis(3,3,4,4,5,5,6,6,7,7,8,8,8-tridecafluorooctyl) sulphonatosuccinate</t>
  </si>
  <si>
    <t xml:space="preserve">  54950-05-9</t>
  </si>
  <si>
    <t>Sodium 4-perfluorononyloxybenzenesulphonate</t>
  </si>
  <si>
    <t xml:space="preserve">  59536-17-3</t>
  </si>
  <si>
    <t>Sodium 4-perfluorohexenyloxybenzenesulfonate</t>
  </si>
  <si>
    <t xml:space="preserve">  59493-84-4</t>
  </si>
  <si>
    <t>Sodium 1-(2,2,3,3,4,4,5,5,6,6,7,7-dodecafluoroheptyl) 2-sulphonatobenzoate</t>
  </si>
  <si>
    <t xml:space="preserve">  29811-19-6</t>
  </si>
  <si>
    <t>Sodium 3,3,4,4,5,5,6,6,7,7,8,8,8-tridecafluorooctane-1-sulfonate</t>
  </si>
  <si>
    <t xml:space="preserve">  27619-94-9</t>
  </si>
  <si>
    <t>Sodium 5,5,6,6,7,7,8,8,8-nonafluorooctane-1-sulfonate</t>
  </si>
  <si>
    <t xml:space="preserve">  65345-91-7</t>
  </si>
  <si>
    <t>1,3-Bis[(6H-perfluorohexyl)methoxy]-2-propanol hydrogen sulfate sodium</t>
  </si>
  <si>
    <t xml:space="preserve">  61119-62-8</t>
  </si>
  <si>
    <t>Sodium 2-(((perfluorohexyl)ethyloxy)carbonylamino)ethylsulfanylsulfonate</t>
  </si>
  <si>
    <t xml:space="preserve">  82199-07-3</t>
  </si>
  <si>
    <t>Lodyne S 103A</t>
  </si>
  <si>
    <t xml:space="preserve">  62880-93-7</t>
  </si>
  <si>
    <t>1-(Perfluorooctyl)nonanol sulfate sodium</t>
  </si>
  <si>
    <t xml:space="preserve">  799267-73-5</t>
  </si>
  <si>
    <t>(1H,1H,7H-perfluoroheptyl)-2-sulfohexadecanoate sodium salt</t>
  </si>
  <si>
    <t xml:space="preserve">  75032-94-9</t>
  </si>
  <si>
    <t>N-[[4-[(Heptadecafluorononenyl)oxy]phenyl]sulfonyl]-N-methylglycine sodium salt</t>
  </si>
  <si>
    <t xml:space="preserve">  85228-95-1</t>
  </si>
  <si>
    <t>Sodium (2S)-3-carboxy-2-({2-hydroxy-3-[(3,3,4,4,5,5,6,6,7,7,8,8,8-tridecafluorooctyl)sulfanyl]propyl}amino)propanoate</t>
  </si>
  <si>
    <t xml:space="preserve">  93128-61-1</t>
  </si>
  <si>
    <t>[[4-[(Heptadecafluorononenyl)oxy]phenyl]methyl]phosphonic acid, monosodium salt</t>
  </si>
  <si>
    <t xml:space="preserve">  63661-51-8</t>
  </si>
  <si>
    <t>Sodium hydrogen (3,3,4,4,5,5,6,6,7,7,8,8,9,9,10,10,10-heptadecafluorodecyl)phosphonate</t>
  </si>
  <si>
    <t xml:space="preserve">  92678-93-8</t>
  </si>
  <si>
    <t>7:2 Fluorotelomer diammonium phosphate</t>
  </si>
  <si>
    <t xml:space="preserve">  63439-39-4</t>
  </si>
  <si>
    <t>Diammonium 3,3,4,4,5,5,6,6,7,7,8,8,9,10,10,10-hexadecafluoro-9-(trifluoromethyl)decyl phosphate</t>
  </si>
  <si>
    <t xml:space="preserve">  93857-49-9</t>
  </si>
  <si>
    <t>Diammonium 3,3,4,4,5,5,6,6,7,7,8,8,9,9,10,10,11,12,12,12-icosafluoro-11-(trifluoromethyl)dodecyl phosphate</t>
  </si>
  <si>
    <t xml:space="preserve">  93857-50-2</t>
  </si>
  <si>
    <t>Diammonium 3,3,4,4,5,5,6,6,7,7,8,8,9,9,10,10,11,11,12,12,13,14,14,14-tetracosafluoro-13-(trifluoromethyl)tetradecyl phosphate</t>
  </si>
  <si>
    <t xml:space="preserve">  93857-51-3</t>
  </si>
  <si>
    <t>Diammonium 3,3,4,4,5,5,6,6,7,7,8,8,9,9,10,10,11,11,12,12,13,13,14,14,15,16,16,16-octacosafluoro-15-(trifluoromethyl)hexadecyl phosphate</t>
  </si>
  <si>
    <t xml:space="preserve">  93857-52-4</t>
  </si>
  <si>
    <t>Diammonium 3,3,4,4,5,5,6,6,7,7,8,8,9,9,10,10,11,11,12,12,13,13,14,14,15,15,16,16,17,17,18,18,18-tritriacontafluorooctadecyl phosphate</t>
  </si>
  <si>
    <t xml:space="preserve">  93857-48-8</t>
  </si>
  <si>
    <t>Diammonium 3,3,4,4,5,5,6,6,7,7,8,8,9,9,10,10,11,11,12,12,13,13,14,14,15,15,16,16,16-nonacosafluorohexadecyl phosphate</t>
  </si>
  <si>
    <t xml:space="preserve">  93857-47-7</t>
  </si>
  <si>
    <t>Diammonium 3,3,4,4,5,5,6,6,7,7,8,8,9,9,10,10,11,11,12,12,13,13,14,14,14-pentacosafluorotetradecyl phosphate</t>
  </si>
  <si>
    <t xml:space="preserve">  93857-46-6</t>
  </si>
  <si>
    <t>Diammonium 3,3,4,4,5,5,6,6,7,7,8,8,9,9,10,10,11,11,12,12,12-henicosafluorododecyl phosphate</t>
  </si>
  <si>
    <t xml:space="preserve">  93857-45-5</t>
  </si>
  <si>
    <t>Diammonium 3,3,4,4,5,5,6,6,7,7,8,8,9,9,10,10,10-heptadecafluorodecyl phosphate</t>
  </si>
  <si>
    <t xml:space="preserve">  93857-44-4</t>
  </si>
  <si>
    <t>Diammonium 4,4,5,5,6,6,7,7,8,8,9,9,10,11,11,11-hexadecafluoro-2-hydroxy-10-(trifluoromethyl)undecyl phosphate</t>
  </si>
  <si>
    <t xml:space="preserve">  63295-18-1</t>
  </si>
  <si>
    <t>Diammonium 4,4,5,5,6,6,7,7,8,8,9,9,10,10,11,11,12,13,13,13-icosafluoro-2-hydroxy-12-(trifluoromethyl)tridecyl phosphate</t>
  </si>
  <si>
    <t xml:space="preserve">  94200-50-7</t>
  </si>
  <si>
    <t>Diammonium 4,4,5,5,6,6,7,7,8,8,9,9,10,10,11,11,12,12,13,13,14,15,15,15-tetracosafluoro-2-hydroxy-14-(trifluoromethyl)pentadecyl phosphate</t>
  </si>
  <si>
    <t xml:space="preserve">  94200-51-8</t>
  </si>
  <si>
    <t>Diammonium 4,4,5,5,6,6,7,7,8,8,9,9,10,10,11,11,12,12,13,13,14,14,15,15,16,17,17,17-octacosafluoro-2-hydroxy-16-(trifluoromethyl)heptadecyl phosphate</t>
  </si>
  <si>
    <t xml:space="preserve">  94200-52-9</t>
  </si>
  <si>
    <t>Diammonium 4,4,5,5,6,6,7,7,8,8,9,9,10,10,11,11,12,12,13,13,14,14,15,15,16,16,17,17,18,18,19,19,19-tritriacontafluoro-2-hydroxynonadecyl phosphate</t>
  </si>
  <si>
    <t xml:space="preserve">  94200-49-4</t>
  </si>
  <si>
    <t>Diammonium 4,4,5,5,6,6,7,7,8,8,9,9,10,10,11,11,12,12,13,13,14,14,15,15,16,16,17,17,17-nonacosafluoro-2-hydroxyheptadecyl phosphate</t>
  </si>
  <si>
    <t xml:space="preserve">  94200-48-3</t>
  </si>
  <si>
    <t>Diammonium 4,4,5,5,6,6,7,7,8,8,9,9,10,10,11,11,12,12,13,13,14,14,15,15,15-pentacosafluoro-2-hydroxypentadecyl phosphate</t>
  </si>
  <si>
    <t xml:space="preserve">  94200-47-2</t>
  </si>
  <si>
    <t>Diammonium 4,4,5,5,6,6,7,7,8,8,9,9,10,10,11,11,12,12,13,13,13-henicosafluoro-2-hydroxytridecyl phosphate</t>
  </si>
  <si>
    <t xml:space="preserve">  94200-46-1</t>
  </si>
  <si>
    <t>Diammonium 4,4,5,5,6,6,7,7,8,8,9,9,10,10,11,11,11-heptadecafluoro-2-hydroxyundecyl phosphate</t>
  </si>
  <si>
    <t xml:space="preserve">  94200-45-0</t>
  </si>
  <si>
    <t>8:2 Fluorotelomer sulfonate ammonium salt</t>
  </si>
  <si>
    <t xml:space="preserve">  149724-40-3</t>
  </si>
  <si>
    <t>6:2 Fluorotelomer sulphonate ammonium</t>
  </si>
  <si>
    <t xml:space="preserve">  59587-39-2</t>
  </si>
  <si>
    <t>1H,1H,2H,2H-Perfluorotetradecanol sulfate ammonium salt</t>
  </si>
  <si>
    <t xml:space="preserve">  63225-59-2</t>
  </si>
  <si>
    <t>1H,1H,2H,2H-Perfluorododecanol sulfate ammonium salt</t>
  </si>
  <si>
    <t xml:space="preserve">  63225-58-1</t>
  </si>
  <si>
    <t>1H,1H,2H,2H-Perfluorodecanol sulfate ammonium salt</t>
  </si>
  <si>
    <t xml:space="preserve">  63225-57-0</t>
  </si>
  <si>
    <t>1H,1H,2H,2H-Perfluorooctanol sulfate ammonium salt</t>
  </si>
  <si>
    <t xml:space="preserve">  63225-56-9</t>
  </si>
  <si>
    <t>3,3,4,4,5,5,6,6,6-nonafluoro-1-nitrohex-1-ene</t>
  </si>
  <si>
    <t xml:space="preserve">  306935-66-0</t>
  </si>
  <si>
    <t>1H,2H,2H-perfluorooctanal (2,4-dinitrophenyl)hydrazone</t>
  </si>
  <si>
    <t xml:space="preserve">  128917-19-1</t>
  </si>
  <si>
    <t>2,2,3,3,4,4,5,5,5-Nonafluoropentyl 2,5,7-trinitro-9-oxo-9H-fluorene-4-carboxylate</t>
  </si>
  <si>
    <t xml:space="preserve">  253605-71-9</t>
  </si>
  <si>
    <t>1-Nitro-4-[(2,2,3,3,4,4,5,5,6,6,6-undecafluorohexyl)oxy]benzene</t>
  </si>
  <si>
    <t xml:space="preserve">  183997-46-8</t>
  </si>
  <si>
    <t>1-(2,2,3,3,4,4,4-Heptafluorobutoxy)-4-nitrobenzene</t>
  </si>
  <si>
    <t xml:space="preserve">  109230-68-4</t>
  </si>
  <si>
    <t>1,1,1,2,2,3,3-heptafluoro-5-nitro-4-(nitromethyl)pentane</t>
  </si>
  <si>
    <t xml:space="preserve">  355-91-9</t>
  </si>
  <si>
    <t>3,3,4,4,5,5,6,6,6-Nonafluorohexyl nitrate</t>
  </si>
  <si>
    <t xml:space="preserve">  34839-44-6</t>
  </si>
  <si>
    <t>(1,1,1,2,3,3,3-Heptafluoropropan-2-yl)(phenyl)iodanium trifluoromethanesulfonate</t>
  </si>
  <si>
    <t xml:space="preserve">  82959-18-0</t>
  </si>
  <si>
    <t>(Heptafluoropropyl)(phenyl)iodanium trifluoromethanesulfonate</t>
  </si>
  <si>
    <t xml:space="preserve">  77758-79-3</t>
  </si>
  <si>
    <t>Phenyl(tridecafluorohexyl)iodanium trifluoromethanesulfonate</t>
  </si>
  <si>
    <t xml:space="preserve">  77758-84-0</t>
  </si>
  <si>
    <t>(Heptadecafluorooctyl)(phenyl)iodanium trifluoromethanesulfonate</t>
  </si>
  <si>
    <t xml:space="preserve">  77758-89-5</t>
  </si>
  <si>
    <t>Pyridinium, 1-(2,2,3,3,4,4,5,5,6,6,7,7,8,8,8-pentadecafluorooctyl)-, trifluoromethanesulfonate</t>
  </si>
  <si>
    <t xml:space="preserve">  25061-59-0</t>
  </si>
  <si>
    <t>6:2 Fluorotelomer sulfonate</t>
  </si>
  <si>
    <t xml:space="preserve">  425670-75-3</t>
  </si>
  <si>
    <t>(2-carboxyethyl)-3-[[4,4,5,5,6,6,7,7,8,8,9,9,10,11,11,11-hexadecafluoro-2-hydroxy-10-(trifluoromethyl)undecyl]amino]propyldimethylammonium hydroxide</t>
  </si>
  <si>
    <t xml:space="preserve">  73353-25-0</t>
  </si>
  <si>
    <t>3-(Perfluoro-7-(methyl)octyl)-2-hydroxypropyltrimethylammonium iodide</t>
  </si>
  <si>
    <t>8:2 Fluorotelomer sulfonic acid</t>
  </si>
  <si>
    <t xml:space="preserve">  39108-34-4</t>
  </si>
  <si>
    <t>(Perfluorododecyl)ethylsulfonyl chloride</t>
  </si>
  <si>
    <t xml:space="preserve">  68758-57-6</t>
  </si>
  <si>
    <t>(Perfluorodecanyl)ethylsulfonyl chloride</t>
  </si>
  <si>
    <t xml:space="preserve">  27619-91-6</t>
  </si>
  <si>
    <t>1-Undecanesulfonyl chloride, 3,3,4,4,5,5,6,6,7,7,8,8,9,9,10,10,11,11,11-nonadecafluoro-</t>
  </si>
  <si>
    <t xml:space="preserve">  65702-24-1</t>
  </si>
  <si>
    <t>1-Nonanesulfonyl chloride, 3,3,4,4,5,5,6,6,7,7,8,8,9,9,9-pentadecafluoro-</t>
  </si>
  <si>
    <t xml:space="preserve">  27607-61-0</t>
  </si>
  <si>
    <t>1-Heptanesulfonyl chloride, 3,3,4,4,5,5,6,6,7,7,7-undecafluoro-</t>
  </si>
  <si>
    <t xml:space="preserve">  65702-23-0</t>
  </si>
  <si>
    <t>1-Hexanesulfonyl chloride, 3,3,4,4,5,5,6,6,6-nonafluoro-</t>
  </si>
  <si>
    <t xml:space="preserve">  27619-88-1</t>
  </si>
  <si>
    <t>10:2 Fluorotelomer unsaturated aldehyde</t>
  </si>
  <si>
    <t xml:space="preserve">  864551-40-6</t>
  </si>
  <si>
    <t>2-Perfluorooctyl ethanoic acid</t>
  </si>
  <si>
    <t xml:space="preserve">  27854-31-5</t>
  </si>
  <si>
    <t>2-Perfluorohexyl ethanoic acid</t>
  </si>
  <si>
    <t xml:space="preserve">  53826-12-3</t>
  </si>
  <si>
    <t>1,1,2,2-Tetrahydroperfluoro-1-octadecanol</t>
  </si>
  <si>
    <t xml:space="preserve">  65104-67-8</t>
  </si>
  <si>
    <t>3-(Perfluoro(13-methyltetradecyl))-2-hydroxypropyl dihydrogen phosphate</t>
  </si>
  <si>
    <t xml:space="preserve">  63295-29-4</t>
  </si>
  <si>
    <t>2-(Perfluorotetradecyl)ethan-1-ol</t>
  </si>
  <si>
    <t xml:space="preserve">  60699-51-6</t>
  </si>
  <si>
    <t>(Perfluorotetradecyl)ethyl 2-methyl-2-propenoate</t>
  </si>
  <si>
    <t xml:space="preserve">  4980-53-4</t>
  </si>
  <si>
    <t>1,1,2,2-Tetrahydroperfluorohexadecyl acrylate</t>
  </si>
  <si>
    <t xml:space="preserve">  34362-49-7</t>
  </si>
  <si>
    <t>3-(Perfluoro(11-methyldodecyl))-2-hydroxypropyl dihydrogen phosphate</t>
  </si>
  <si>
    <t xml:space="preserve">  63295-28-3</t>
  </si>
  <si>
    <t>(1H,1H-Perfluoro-12-methyltridecyl)oxirane</t>
  </si>
  <si>
    <t xml:space="preserve">  54009-78-8</t>
  </si>
  <si>
    <t>1-Iodo-1H,1H,2H,2H-perfluorotetradecane</t>
  </si>
  <si>
    <t xml:space="preserve">  30046-31-2</t>
  </si>
  <si>
    <t>2-(Perfluorododecyl)ethanol</t>
  </si>
  <si>
    <t xml:space="preserve">  39239-77-5</t>
  </si>
  <si>
    <t>(Perfluorododecyl)ethyl methacrylate</t>
  </si>
  <si>
    <t xml:space="preserve">  6014-75-1</t>
  </si>
  <si>
    <t>1,1,2,2-Tetrahydroperfluorotetradecyl acrylate</t>
  </si>
  <si>
    <t xml:space="preserve">  34395-24-9</t>
  </si>
  <si>
    <t>3-(Perfluoro(9-methyldecyl))-2-hydroxypropyl dihydrogen phosphate</t>
  </si>
  <si>
    <t xml:space="preserve">  63295-27-2</t>
  </si>
  <si>
    <t>((Perfluoro-9-methyldecyl)methyl)oxirane</t>
  </si>
  <si>
    <t xml:space="preserve">  47795-34-6</t>
  </si>
  <si>
    <t>(Perfluoro-9-methyldecyl)ethyl methacrylate</t>
  </si>
  <si>
    <t xml:space="preserve">  74256-14-7</t>
  </si>
  <si>
    <t>(Perfluoro-9-methyldecyl)ethyl acrylate</t>
  </si>
  <si>
    <t xml:space="preserve">  52956-81-7</t>
  </si>
  <si>
    <t>(Perfluorodecyl)ethylene</t>
  </si>
  <si>
    <t xml:space="preserve">  30389-25-4</t>
  </si>
  <si>
    <t>10:2 Fluorotelomer iodide</t>
  </si>
  <si>
    <t xml:space="preserve">  2043-54-1</t>
  </si>
  <si>
    <t>3-(Perfluoro-7-methyloctyl)-2-hydroxypropyl acrylate</t>
  </si>
  <si>
    <t xml:space="preserve">  24407-09-8</t>
  </si>
  <si>
    <t>(2,2,3,3,4,4,5,5,6,6,7,7,8,9,9,9-Hexadecafluoro-8-(trifluoromethyl)nonyl)oxirane</t>
  </si>
  <si>
    <t xml:space="preserve">  41925-33-1</t>
  </si>
  <si>
    <t>3,3,4,4,5,5,6,6,7,7,8,8,9,10,10,10-Hexadecafluoro-9-(trifluoromethyl)decyl methacrylate</t>
  </si>
  <si>
    <t xml:space="preserve">  15166-00-4</t>
  </si>
  <si>
    <t>3,3,4,4,5,5,6,6,7,7,8,8,9,10,10,10-Hexadecafluoro-9-(trifluoromethyl)decyl acrylate</t>
  </si>
  <si>
    <t xml:space="preserve">  15577-26-1</t>
  </si>
  <si>
    <t>(2-(Perfluorooctyl)-1-ethyl)bis(2-hydroxyethyl)methylammonium iodide</t>
  </si>
  <si>
    <t>1-Decanesulfonyl chloride, 3,3,4,4,5,5,6,6,7,7,8,8,9,9,10,10,10-heptadecafluoro-</t>
  </si>
  <si>
    <t xml:space="preserve">  27619-90-5</t>
  </si>
  <si>
    <t>3-(Perfluorooctyl)-1,2-propenoxide</t>
  </si>
  <si>
    <t xml:space="preserve">  38565-53-6</t>
  </si>
  <si>
    <t>8:2 Fluorotelomer iodide</t>
  </si>
  <si>
    <t xml:space="preserve">  2043-53-0</t>
  </si>
  <si>
    <t>8:2 Fluorotelomer alcohol</t>
  </si>
  <si>
    <t xml:space="preserve">  678-39-7</t>
  </si>
  <si>
    <t>8:2 Fluorotelomer acrylate</t>
  </si>
  <si>
    <t xml:space="preserve">  27905-45-9</t>
  </si>
  <si>
    <t>1H,1H,9H-Hexadecafluoro-1-nonanol</t>
  </si>
  <si>
    <t xml:space="preserve">  376-18-1</t>
  </si>
  <si>
    <t>1H,1H,9H-perfluorononyl methacrylate</t>
  </si>
  <si>
    <t xml:space="preserve">  1841-46-9</t>
  </si>
  <si>
    <t>1H,1H,9H-Perfluorononyl acrylate</t>
  </si>
  <si>
    <t xml:space="preserve">  4180-26-1</t>
  </si>
  <si>
    <t>7:1 Fluorotelomer alcohol</t>
  </si>
  <si>
    <t xml:space="preserve">  307-30-2</t>
  </si>
  <si>
    <t>1H,1H-Perfluorooctyl methacrylate</t>
  </si>
  <si>
    <t xml:space="preserve">  3934-23-4</t>
  </si>
  <si>
    <t>1H,1H-Perfluorooctyl acrylate</t>
  </si>
  <si>
    <t xml:space="preserve">  307-98-2</t>
  </si>
  <si>
    <t>3-(Perfluorohexyl)-1,2-epoxypropane</t>
  </si>
  <si>
    <t xml:space="preserve">  38565-52-5</t>
  </si>
  <si>
    <t>1H,1H,2H,2H-Perfluorooctyl iodide</t>
  </si>
  <si>
    <t xml:space="preserve">  2043-57-4</t>
  </si>
  <si>
    <t>6:2 Fluorotelomer alcohol</t>
  </si>
  <si>
    <t xml:space="preserve">  647-42-7</t>
  </si>
  <si>
    <t>6:2 Fluorotelomer methacrylate</t>
  </si>
  <si>
    <t xml:space="preserve">  2144-53-8</t>
  </si>
  <si>
    <t>6:1 Fluorotelomer alcohol</t>
  </si>
  <si>
    <t xml:space="preserve">  375-82-6</t>
  </si>
  <si>
    <t>Dodecafluoroheptanol</t>
  </si>
  <si>
    <t xml:space="preserve">  335-99-9</t>
  </si>
  <si>
    <t>(Perfluorohexyl)ethylene</t>
  </si>
  <si>
    <t xml:space="preserve">  25291-17-2</t>
  </si>
  <si>
    <t>5:1 Fluorotelomer alcohol</t>
  </si>
  <si>
    <t xml:space="preserve">  423-46-1</t>
  </si>
  <si>
    <t>1,1,1,2,2,3,3,4,4-Nonafluoro-6-iodohexane</t>
  </si>
  <si>
    <t xml:space="preserve">  2043-55-2</t>
  </si>
  <si>
    <t>1H,1H,2H,2H-Perfluorohexyl methacrylate</t>
  </si>
  <si>
    <t xml:space="preserve">  1799-84-4</t>
  </si>
  <si>
    <t>2-(Perfluorobutyl)ethyl acrylate</t>
  </si>
  <si>
    <t xml:space="preserve">  52591-27-2</t>
  </si>
  <si>
    <t>1H,1H,5H-Perfluoropentanol</t>
  </si>
  <si>
    <t xml:space="preserve">  355-80-6</t>
  </si>
  <si>
    <t>1H,1H,2H-Perfluoro-1-decene</t>
  </si>
  <si>
    <t xml:space="preserve">  21652-58-4</t>
  </si>
  <si>
    <t>1H,1H,11H-Eicosafluoro-1-undecanol</t>
  </si>
  <si>
    <t xml:space="preserve">  307-70-0</t>
  </si>
  <si>
    <t>3-(Perfluoro(11-methyl)dodecyl)-2-hydroxypropyl propenoate</t>
  </si>
  <si>
    <t xml:space="preserve">  16083-87-7</t>
  </si>
  <si>
    <t>(Perfluoro-7-methyloctyl)-2-hydroxypropyl dihydrogen phosphate</t>
  </si>
  <si>
    <t xml:space="preserve">  54009-73-3</t>
  </si>
  <si>
    <t>4-((Perfluoro-7-methyloctyl)methyl)-2,2-dimethyl-1,3-dioxolane</t>
  </si>
  <si>
    <t xml:space="preserve">  94159-90-7</t>
  </si>
  <si>
    <t>8:2 Fluorotelomer 9-(trifluoromethyl)-dihydrogen phosphate</t>
  </si>
  <si>
    <t xml:space="preserve">  78974-42-2</t>
  </si>
  <si>
    <t>32-(Perfluoro-9-methyldecyl)-2,5,8,11,14,17,20,23,26,29-decaoxodotriacontan-31-ol</t>
  </si>
  <si>
    <t xml:space="preserve">  93776-10-4</t>
  </si>
  <si>
    <t>(2-Carboxylatoethyl)-3-((perfluoro-9-methyldecyl)-2-hydroxypropyl)aminopropyldimethylammonium</t>
  </si>
  <si>
    <t xml:space="preserve">  93777-12-9</t>
  </si>
  <si>
    <t>(Perfluoro-9-methyldecyl)ethyl dihydrogen phosphate</t>
  </si>
  <si>
    <t xml:space="preserve">  94200-56-3</t>
  </si>
  <si>
    <t>((Perfluoro-11-methyldodecyl)ethyl) dihydrogen phosphate</t>
  </si>
  <si>
    <t xml:space="preserve">  94200-57-4</t>
  </si>
  <si>
    <t>(Perfluoro-11-methyldodecyl)ethyl methacrylate</t>
  </si>
  <si>
    <t xml:space="preserve">  74256-15-8</t>
  </si>
  <si>
    <t>3-(Perfluoro(13-methyl)tetradecyl)-2-hydroxypropyl acrylate</t>
  </si>
  <si>
    <t xml:space="preserve">  16083-78-6</t>
  </si>
  <si>
    <t>(Perfluoro-13-methyltetradecyl)ethyl dihydrogen phosphate</t>
  </si>
  <si>
    <t xml:space="preserve">  93857-42-2</t>
  </si>
  <si>
    <t>((Perfluoro-13-methyltetradecyl)ethyl) methacrylate</t>
  </si>
  <si>
    <t xml:space="preserve">  94158-64-2</t>
  </si>
  <si>
    <t>((Perfluoro-13-methyltetradecyl)ethyl) acrylate</t>
  </si>
  <si>
    <t xml:space="preserve">  91615-22-4</t>
  </si>
  <si>
    <t>3-(Perfluorohexadecyl)-2-hydroxypropyl dihydrogen phosphate</t>
  </si>
  <si>
    <t xml:space="preserve">  94200-44-9</t>
  </si>
  <si>
    <t>3-(Perfluorotetradecyl)-2-hydroxypropyl dihydrogen phosphate</t>
  </si>
  <si>
    <t xml:space="preserve">  94200-43-8</t>
  </si>
  <si>
    <t>14:2 Fluorotelomer dihydrogen phosphate</t>
  </si>
  <si>
    <t xml:space="preserve">  94200-54-1</t>
  </si>
  <si>
    <t>3-(Perfluorododecyl)-2-hydroxypropyl dihydrogen phosphate</t>
  </si>
  <si>
    <t xml:space="preserve">  94200-42-7</t>
  </si>
  <si>
    <t>3,3,4,4,5,5,6,6,7,7,8,8,9,9,10,10,11,11,12,12,12-Henicosafluorododecanoyl chloride</t>
  </si>
  <si>
    <t xml:space="preserve">  64018-26-4</t>
  </si>
  <si>
    <t>(2-Carboxylatoethyl)-3-((perfluorodecyl)-2-hydroxypropyl)aminopropyldimethylammonium</t>
  </si>
  <si>
    <t xml:space="preserve">  93776-13-7</t>
  </si>
  <si>
    <t>3-(Perfluorodecyl)-2-hydroxypropyl dihydrogen phosphate</t>
  </si>
  <si>
    <t xml:space="preserve">  94158-70-0</t>
  </si>
  <si>
    <t>N-(Carboxymethyl)-N,N-dimethyl-3-(methyl((perfluorohexyl)ethylsulfonyl)amino)-1-propanaminium</t>
  </si>
  <si>
    <t xml:space="preserve">  66008-71-7</t>
  </si>
  <si>
    <t>6:2 Fluorotelomer sulfonamide betaine</t>
  </si>
  <si>
    <t xml:space="preserve">  34455-29-3</t>
  </si>
  <si>
    <t>N-(2-Carboxyethyl)-N,N-dimethyl-3-[[(perfluorohexyl)ethylsulfonyl]amino]propanaminium</t>
  </si>
  <si>
    <t xml:space="preserve">  61798-69-4</t>
  </si>
  <si>
    <t>1,4-Bis((perfluorohexyl)ethyl) sulphonatosuccinate sodium</t>
  </si>
  <si>
    <t>10:2 Fluorotelomer aldehyde</t>
  </si>
  <si>
    <t xml:space="preserve">  864551-38-2</t>
  </si>
  <si>
    <t>(1H,1H-Perfluoro-14-methylpentadecyl)oxirane</t>
  </si>
  <si>
    <t xml:space="preserve">  54009-77-7</t>
  </si>
  <si>
    <t>Propanedioic acid, 2-(3,3,4,4,5,5,6,6,7,7,8,8,8-tridecafluorooctyl)-, 1,3-dimethyl ester</t>
  </si>
  <si>
    <t xml:space="preserve">  220075-01-4</t>
  </si>
  <si>
    <t>1,3-Bis[4-(ethenyloxy)butyl] 2-(perfluorohexyl)ethylpropanedioate</t>
  </si>
  <si>
    <t xml:space="preserve">  226409-30-9</t>
  </si>
  <si>
    <t>6:3 Fluorotelomer carboxylic acid</t>
  </si>
  <si>
    <t xml:space="preserve">  27854-30-4</t>
  </si>
  <si>
    <t>2H,2H,3H,3H-Perfluorooctanoic acid</t>
  </si>
  <si>
    <t xml:space="preserve">  914637-49-3</t>
  </si>
  <si>
    <t>16:2 Fluorotelomer dihydrogen phosphate</t>
  </si>
  <si>
    <t xml:space="preserve">  94200-55-2</t>
  </si>
  <si>
    <t>(Perfluorohexadecyl)ethyl iodide</t>
  </si>
  <si>
    <t xml:space="preserve">  65150-94-9</t>
  </si>
  <si>
    <t>2-(Perfluorotetradecyl)-1-iodoethane</t>
  </si>
  <si>
    <t xml:space="preserve">  65510-55-6</t>
  </si>
  <si>
    <t>1,1,1,2,2,3,3,4,4,5,5,6,6,7,7,8,8,9,9-nonadecafluoro-11-iodoundecane</t>
  </si>
  <si>
    <t xml:space="preserve">  65510-56-7</t>
  </si>
  <si>
    <t>1-Iodo-1H,1H,2H,2H-perfluorononane</t>
  </si>
  <si>
    <t xml:space="preserve">  2043-52-9</t>
  </si>
  <si>
    <t>1-Iodo-1H,1H,2H,2H-perfluoroheptane</t>
  </si>
  <si>
    <t xml:space="preserve">  1682-31-1</t>
  </si>
  <si>
    <t>2-[N-(1,1-Dihydroperfluorotridecylsulfonyl)-N-methylamino]ethyl acrylate</t>
  </si>
  <si>
    <t xml:space="preserve">  66008-67-1</t>
  </si>
  <si>
    <t>2-[N-(1,1-Dihydroperfluoroundecylsulfonyl)-N-methylamino]ethyl acrylate</t>
  </si>
  <si>
    <t xml:space="preserve">  66008-68-2</t>
  </si>
  <si>
    <t>2-(N-((Perfluorooctyl)methylsulfonyl)-N-methylamino)ethyl acrylate</t>
  </si>
  <si>
    <t xml:space="preserve">  66008-69-3</t>
  </si>
  <si>
    <t>2-(Methyl((perfluorohexyl)methylsulfonyl)amino)ethyl 2-propenoate</t>
  </si>
  <si>
    <t xml:space="preserve">  66008-70-6</t>
  </si>
  <si>
    <t>2-[Methyl[(perfluorododecyl)ethylsulfonyl]amino]ethyl 2-propenoate</t>
  </si>
  <si>
    <t xml:space="preserve">  72276-06-3</t>
  </si>
  <si>
    <t>(((Perfluorodecyl)ethylsulphonyl)methylamino)ethyl acrylate</t>
  </si>
  <si>
    <t xml:space="preserve">  72276-05-2</t>
  </si>
  <si>
    <t>2-(1-(Perfluorooctyl)-2-ethylsulfonylmethylamino)ethyl 2-propenoate</t>
  </si>
  <si>
    <t xml:space="preserve">  48077-95-8</t>
  </si>
  <si>
    <t>2-[Methyl[(perfluorohexyl)ethylsulfonyl]amino]ethyl 2-propenoate</t>
  </si>
  <si>
    <t xml:space="preserve">  49859-70-3</t>
  </si>
  <si>
    <t>1-((3-(Dimethylamino)propyl)amino)-(3-(perfluoro-9-methyldecyl))propanol</t>
  </si>
  <si>
    <t xml:space="preserve">  94159-83-8</t>
  </si>
  <si>
    <t>S-(3-(Ethoxycarbonylaminomethyl)-3-(perfluorohexyl)propyl)sulfurothioate sodium</t>
  </si>
  <si>
    <t xml:space="preserve">  67846-66-6</t>
  </si>
  <si>
    <t>(2-Carboxyethyl)-3-(((perfluoro-7-methyloctyl)2-hydroxypropyl)amino)propyldimethylammonium hydroxide</t>
  </si>
  <si>
    <t>1-((3-(Dimethylamino)propyl)amino)-3-(perfluoro-7-methyloctyl)propan-2-ol</t>
  </si>
  <si>
    <t xml:space="preserve">  73353-26-1</t>
  </si>
  <si>
    <t>1-((3-(Dimethylamino)propyl)amino)-(3-(perfluoro-11-methyldodecyl))propan-2-ol</t>
  </si>
  <si>
    <t xml:space="preserve">  94159-82-7</t>
  </si>
  <si>
    <t>1-((3-(Dimethylamino)propyl)amino)-(3-(perfluorododecyl))propan-2-ol</t>
  </si>
  <si>
    <t xml:space="preserve">  94159-79-2</t>
  </si>
  <si>
    <t>1-((3-(Dimethylamino)propyl)amino)-(3-(perfluorodecyl))propan-2-ol</t>
  </si>
  <si>
    <t xml:space="preserve">  94159-80-5</t>
  </si>
  <si>
    <t>4,4,5,5,6,6,7,7,8,8,9,9,10,11,11,11-Hexadecafluoro-10-(trifluoromethyl)undecane-1,2-diol</t>
  </si>
  <si>
    <t xml:space="preserve">  67824-44-6</t>
  </si>
  <si>
    <t>12:2 Fluorotelomer dihydrogen phosphate</t>
  </si>
  <si>
    <t xml:space="preserve">  57678-07-6</t>
  </si>
  <si>
    <t>10:2 Fluorotelomer dihydrogen phosphate</t>
  </si>
  <si>
    <t xml:space="preserve">  57678-05-4</t>
  </si>
  <si>
    <t>(Perfluorohexadecyl)ethyl 2-methyl-2-propenoate</t>
  </si>
  <si>
    <t xml:space="preserve">  59778-97-1</t>
  </si>
  <si>
    <t>1,1,2,2-Tetrahydroperfluorooctadecyl acrylate</t>
  </si>
  <si>
    <t xml:space="preserve">  65150-93-8</t>
  </si>
  <si>
    <t>2-(Perfluoro-11-methyldodecyl)ethyl propenoate</t>
  </si>
  <si>
    <t xml:space="preserve">  52956-82-8</t>
  </si>
  <si>
    <t>2-[Methyl[(perfluorohexadecyl)methylsulfonyl]amino]ethyl 2-propenoate</t>
  </si>
  <si>
    <t xml:space="preserve">  68758-56-5</t>
  </si>
  <si>
    <t>2-(N-(1,1-dihydroperfluoropentadecylsulfonyl)-N-methylamino)ethyl acrylate</t>
  </si>
  <si>
    <t xml:space="preserve">  68758-55-4</t>
  </si>
  <si>
    <t>2-[Methyl[(perfluorohexadecyl)ethylsulfonyl]amino]ethyl 2-propenoate</t>
  </si>
  <si>
    <t xml:space="preserve">  72276-08-5</t>
  </si>
  <si>
    <t>2-[Methyl[(perfluorotetradecyl)ethylsulfonyl]amino]ethyl 2-propenoate</t>
  </si>
  <si>
    <t xml:space="preserve">  72276-07-4</t>
  </si>
  <si>
    <t>1,1,2,2,3,3,4,4,5,5,6,6,7,7,8,8,9,9,10,10-Icosafluoro-11-(vinyloxy)undecane</t>
  </si>
  <si>
    <t xml:space="preserve">  94231-58-0</t>
  </si>
  <si>
    <t>1,1,2,2,3,3,4,4,5,5,6,6,7,7,8,8-Hexadecafluoro-9-(vinyloxy)nonane</t>
  </si>
  <si>
    <t xml:space="preserve">  71726-31-3</t>
  </si>
  <si>
    <t>1,1,2,2,3,3,4,4,5,5,6,6-Dodecafluoro-7-(vinyloxy)heptane</t>
  </si>
  <si>
    <t xml:space="preserve">  78971-81-0</t>
  </si>
  <si>
    <t>1,1,2,2,3,3,4,4-Octafluoro-5-(vinyloxy)pentane</t>
  </si>
  <si>
    <t xml:space="preserve">  66396-73-4</t>
  </si>
  <si>
    <t>1-(Perfluoro-7-methyloctyl)-4,7,10-trioxatetradecan-2-ol</t>
  </si>
  <si>
    <t xml:space="preserve">  94158-62-0</t>
  </si>
  <si>
    <t>(2S)-3,3,4,4,5,5,5-Heptafluoropentan-2-ol</t>
  </si>
  <si>
    <t xml:space="preserve">  1313024-90-6</t>
  </si>
  <si>
    <t>1-Propanaminium, 3-[[4-[(heptadecafluorononyl)oxy]benzoyl]amino]-N,N,N-trimethyl- (9CI)</t>
  </si>
  <si>
    <t xml:space="preserve">  59493-71-9</t>
  </si>
  <si>
    <t>7:3 Fluorotelomer betaine</t>
  </si>
  <si>
    <t xml:space="preserve">  171184-15-9</t>
  </si>
  <si>
    <t>(2-Carboxyethyl)-3-((perfluorooctyl)-2-hydroxypropyl)aminopropyldimethylammonium hydroxide</t>
  </si>
  <si>
    <t xml:space="preserve">  93776-14-8</t>
  </si>
  <si>
    <t>10:2 Fluorotelomer sulfonamide betaine</t>
  </si>
  <si>
    <t xml:space="preserve">  34455-35-1</t>
  </si>
  <si>
    <t>8:2 Fuorotelomer sulfonamide betaine</t>
  </si>
  <si>
    <t xml:space="preserve">  34455-21-5</t>
  </si>
  <si>
    <t>(2-Carboxylatoethyl)-3-((perfluoro-11-methyldodecyl)-2-hydroxypropyl)aminopropyldimethylammonium</t>
  </si>
  <si>
    <t xml:space="preserve">  93776-15-9</t>
  </si>
  <si>
    <t>(3,3,4,4,5,5,5-Heptafluoro-1-iodopentyl)(trimethyl)silane</t>
  </si>
  <si>
    <t xml:space="preserve">  89608-32-2</t>
  </si>
  <si>
    <t>1,1,1,3-Tetramethyl-3,3-bis(1,1,2,2,3,3,6,6,6-nonafluorohexyl)disiloxane</t>
  </si>
  <si>
    <t xml:space="preserve">  122179-35-5</t>
  </si>
  <si>
    <t>1,1,1,3,5,5,5-Heptamethyl-3-(3,3,4,4,5,5,6,6,7,7,8,8,8-tridecafluorooctyl)trisiloxane</t>
  </si>
  <si>
    <t xml:space="preserve">  136772-44-6</t>
  </si>
  <si>
    <t>Trimethylsilyloxy-1,1,1,5,5,5-hexamethyl-3-((perfluorohexyl)ethyl)trisiloxane</t>
  </si>
  <si>
    <t xml:space="preserve">  94237-07-7</t>
  </si>
  <si>
    <t>1,1,3,3-Tetramethyl-1,3-bis((perfluorohexyl)ethyl)disiloxane</t>
  </si>
  <si>
    <t xml:space="preserve">  71363-70-7</t>
  </si>
  <si>
    <t>3-Chloro-1,1,3,5,5-pentamethyl-1,5-bis(3,3,4,4,5,5,6,6,7,7,8,8,8-tridecafluorooctyl)trisiloxane</t>
  </si>
  <si>
    <t xml:space="preserve">  521069-01-2</t>
  </si>
  <si>
    <t>Tricyclo[7.3.3.15,11]heptasiloxane-3,7-diol, 1,3,5,7,9,11,14-heptacyclopentyl-14-[[dimethyl(3,3,4,4,5,5,6,6,7,7,8,8,8-tridecafluorooctyl)silyl]oxy]-</t>
  </si>
  <si>
    <t xml:space="preserve">  352538-84-2</t>
  </si>
  <si>
    <t>2-(Perfluorooctyl)ethyldimethylchlorosilane</t>
  </si>
  <si>
    <t xml:space="preserve">  74612-30-9</t>
  </si>
  <si>
    <t>1H,1H,2H,2H-Perfluorooctyldimethylchlorosilane</t>
  </si>
  <si>
    <t xml:space="preserve">  102488-47-1</t>
  </si>
  <si>
    <t>Dimethyl(3,3,4,4,5,5,6,6,6-nonafluorohexyl)chlorosilane</t>
  </si>
  <si>
    <t xml:space="preserve">  119386-82-2</t>
  </si>
  <si>
    <t>1H,1H,2H,2H-Perfluorodecylmethyldichlorosilane</t>
  </si>
  <si>
    <t xml:space="preserve">  3102-79-2</t>
  </si>
  <si>
    <t>1,1,3,5,5-Pentamethyl-1,5-bis(3,3,4,4,5,5,6,6,7,7,8,8,8-tridecafluorooctyl)trisiloxane</t>
  </si>
  <si>
    <t xml:space="preserve">  521069-00-1</t>
  </si>
  <si>
    <t>1,1,3,5,5-Pentamethyl-1,5-bis(3,3,4,4,5,5,6,6,6-nonafluorohexyl)trisiloxane</t>
  </si>
  <si>
    <t xml:space="preserve">  147986-73-0</t>
  </si>
  <si>
    <t>(Perfluorododecyl)ethylene</t>
  </si>
  <si>
    <t xml:space="preserve">  67103-05-3</t>
  </si>
  <si>
    <t>N-((Perfluorooctyl)-1-ethyl)pyridinium 4-methylbenzenesulfonate</t>
  </si>
  <si>
    <t xml:space="preserve">  61798-68-3</t>
  </si>
  <si>
    <t>1-Phenoxy(3-(perfluoro-7-methyloctyl)propan-2-ol)</t>
  </si>
  <si>
    <t xml:space="preserve">  94159-92-9</t>
  </si>
  <si>
    <t>2,2,3,3,4,4,5,5,6,6,7,7,8,8,9,9,10,10,11,11-Icosafluoroundecyl methacrylate</t>
  </si>
  <si>
    <t xml:space="preserve">  41123-44-8</t>
  </si>
  <si>
    <t>2,2,3,3,4,4,5,5,6,6,7,7,8,8,9,9,10,10,11,11,11-Henicosafluoroundecyl methacrylate</t>
  </si>
  <si>
    <t xml:space="preserve">  48077-86-7</t>
  </si>
  <si>
    <t>2,2,3,3,4,4,5,5,6,6,7,7,8,8,9,9,10,10,10-nonadecafluorodecyl 2-methylprop-2-enoate</t>
  </si>
  <si>
    <t xml:space="preserve">  23069-32-1</t>
  </si>
  <si>
    <t>2,2,3,3,4,4,5,5,6,6,7,7,8,8,9,9,9-Heptadecafluorononyl methacrylate</t>
  </si>
  <si>
    <t xml:space="preserve">  48077-33-4</t>
  </si>
  <si>
    <t>(Perfluorohexyl)methyl methacrylate</t>
  </si>
  <si>
    <t xml:space="preserve">  48076-44-4</t>
  </si>
  <si>
    <t>(6H-Perfluorohexyl)methyl methacrylate</t>
  </si>
  <si>
    <t xml:space="preserve">  2261-99-6</t>
  </si>
  <si>
    <t>2,2,3,3,4,4,5,5,6,6,6-Undecafluorohexyl 2-methylprop-2-enoate</t>
  </si>
  <si>
    <t xml:space="preserve">  13173-36-9</t>
  </si>
  <si>
    <t>2,2,3,3,4,4,5,5,5-Nonafluoropentyl methacrylate</t>
  </si>
  <si>
    <t xml:space="preserve">  59006-65-4</t>
  </si>
  <si>
    <t>1H,1H,5H-Perfluoropentyl methacrylate</t>
  </si>
  <si>
    <t xml:space="preserve">  355-93-1</t>
  </si>
  <si>
    <t>1H,1H-Perfluorobutyl methacrylate</t>
  </si>
  <si>
    <t xml:space="preserve">  13695-31-3</t>
  </si>
  <si>
    <t>1H,1H,3H-Perfluorobutyl 2-methylacrylate</t>
  </si>
  <si>
    <t xml:space="preserve">  36405-47-7</t>
  </si>
  <si>
    <t>4,4,5,5,6,7,7,7-Octafluoro-2-hydroxy-6-(trifluoromethyl)heptyl 2-methylprop-2-enoate</t>
  </si>
  <si>
    <t xml:space="preserve">  16083-79-7</t>
  </si>
  <si>
    <t>3-(Perfluoro-5-methylhexyl)-2-hydroxypropyl methacrylate</t>
  </si>
  <si>
    <t xml:space="preserve">  16083-81-1</t>
  </si>
  <si>
    <t>(Perfluoro-7-methyloctyl)-2-hydroxypropyl 2-methylprop-2-enoate</t>
  </si>
  <si>
    <t xml:space="preserve">  88752-37-8</t>
  </si>
  <si>
    <t>4,4,5,5,6,6,7,7,8,8,9,9,10,10,11,11,11-Heptadecafluoro-2-hydroxyundecyl 2-methylprop-2-enoate</t>
  </si>
  <si>
    <t xml:space="preserve">  93706-76-4</t>
  </si>
  <si>
    <t>4,4,5,5,6,6,7,7,8,8,9,9,9-Tridecafluoro-2-hydroxynonyl 2-methylprop-2-enoate</t>
  </si>
  <si>
    <t xml:space="preserve">  86994-47-0</t>
  </si>
  <si>
    <t>4,4,5,5,6,6,7,7,7-Nonafluoro-2-hydroxyheptyl 2-methylprop-2-enoate</t>
  </si>
  <si>
    <t xml:space="preserve">  36915-03-4</t>
  </si>
  <si>
    <t>(Perfluorocyclohexyl)methyl methacrylate</t>
  </si>
  <si>
    <t xml:space="preserve">  25965-83-7</t>
  </si>
  <si>
    <t>2-(Perfluoro-3-methylbutyl)ethylÂ methacrylate</t>
  </si>
  <si>
    <t xml:space="preserve">  65195-44-0</t>
  </si>
  <si>
    <t>3,3,4,4,5,5,6,6,7,7-Decafluorooctyl 2-methylprop-2-enoate</t>
  </si>
  <si>
    <t xml:space="preserve">  61915-92-2</t>
  </si>
  <si>
    <t>(Perfluoro-5-methylhexyl)ethyl 2-methylprop-2-enoate</t>
  </si>
  <si>
    <t xml:space="preserve">  50836-66-3</t>
  </si>
  <si>
    <t>10:2 Fluorotelomer methacrylate</t>
  </si>
  <si>
    <t xml:space="preserve">  2144-54-9</t>
  </si>
  <si>
    <t>8:2 Fluorotelomer methacrylate</t>
  </si>
  <si>
    <t xml:space="preserve">  1996-88-9</t>
  </si>
  <si>
    <t>3,3,4,4,5,5,5-Heptafluoropentyl 2-methylprop-2-enoate</t>
  </si>
  <si>
    <t xml:space="preserve">  2145-81-5</t>
  </si>
  <si>
    <t>4,4,5,5,6,6,7,7,8,8,9,9,10,10,11,11,11-Heptadecafluoroundecyl 2-methylprop-2-enoate</t>
  </si>
  <si>
    <t xml:space="preserve">  150625-20-0</t>
  </si>
  <si>
    <t>4,4,5,5,6,6,7,7,8,8,9,9,9-Tridecafluorononyl 2-methylprop-2-enoate</t>
  </si>
  <si>
    <t xml:space="preserve">  1228350-17-1</t>
  </si>
  <si>
    <t>4,4,5,5,6,6,7,7,7-Nonafluoroheptyl 2-methylprop-2-enoate</t>
  </si>
  <si>
    <t xml:space="preserve">  243842-15-1</t>
  </si>
  <si>
    <t>S-((Perfluoro-5-methylhexyl)ethyl)-2-methylpropenethioate</t>
  </si>
  <si>
    <t xml:space="preserve">  30769-91-6</t>
  </si>
  <si>
    <t>S-((Perfluoro-7-(methyl)octyl)ethyl) thiomethacrylate</t>
  </si>
  <si>
    <t xml:space="preserve">  28506-33-4</t>
  </si>
  <si>
    <t>S-((Perfluoro-9-methyldecyl)ethyl) 2-methyl-2-propenethioate</t>
  </si>
  <si>
    <t xml:space="preserve">  30769-88-1</t>
  </si>
  <si>
    <t>(3Z)-4,5,5,6,6,7,7,8,8,9,9,10,10,11,11,11-Hexadecafluoroundec-3-en-2-one</t>
  </si>
  <si>
    <t xml:space="preserve">  136909-85-8</t>
  </si>
  <si>
    <t>4-Amino-5,5,6,6,7,7,7-heptafluorohept-3-en-2-one</t>
  </si>
  <si>
    <t xml:space="preserve">  70168-24-0</t>
  </si>
  <si>
    <t>4,4,5,5,6,6,7,7,8,8,9,9,9-tridecafluorononan-2-one</t>
  </si>
  <si>
    <t xml:space="preserve">  77893-60-8</t>
  </si>
  <si>
    <t>4,4,5,5,6,6,7,7,7-Nonafluoroheptan-2-one</t>
  </si>
  <si>
    <t xml:space="preserve">  86358-19-2</t>
  </si>
  <si>
    <t>3-(Perfluoropropyl)-2-propanone</t>
  </si>
  <si>
    <t xml:space="preserve">  136909-72-3</t>
  </si>
  <si>
    <t>5,5,6,6,7,7,8,8,9,9,10,10,11,11,12,12,12-Heptadecafluorododecan-2-one</t>
  </si>
  <si>
    <t xml:space="preserve">  82486-22-4</t>
  </si>
  <si>
    <t>4-(Perfluorobutyl)-2-butanone</t>
  </si>
  <si>
    <t xml:space="preserve">  140834-64-6</t>
  </si>
  <si>
    <t>1-[3-Methylidene-4-(2,2,3,3,4,4,5,5,5-nonafluoropentyl)pyrrolidin-1-yl]ethan-1-one</t>
  </si>
  <si>
    <t xml:space="preserve">  31164-13-3</t>
  </si>
  <si>
    <t>Iodine, bis(acetato-βO)[4-(3,3,4,4,5,5,6,6,7,7,8,8,9,9,10,10,10-heptadecafluorodecyl)phenyl]- (9CI)</t>
  </si>
  <si>
    <t xml:space="preserve">  882186-02-9</t>
  </si>
  <si>
    <t>(1H,1H,2H,2H-perfluorooctyl)triacetoxysilane</t>
  </si>
  <si>
    <t xml:space="preserve">  1034681-41-8</t>
  </si>
  <si>
    <t>4,4,5,5,6,6,6-Heptafluorohex-1-en-2-yl acetate</t>
  </si>
  <si>
    <t xml:space="preserve">  136909-80-3</t>
  </si>
  <si>
    <t>3,4,6-Trichloro-2-(2-chloro-4,4,5,5,6,6,7,7,8,8,9,9,10,10,11,11,11-heptadecafluoroundecyl)phenyl acetate</t>
  </si>
  <si>
    <t xml:space="preserve">  38506-78-4</t>
  </si>
  <si>
    <t>5-Chloro-2-(2-chloro-4,4,5,5,6,6,7,7,8,8,9,9,10,10,11,11,11-heptadecafluoroundecyl)phenyl acetate</t>
  </si>
  <si>
    <t xml:space="preserve">  38506-72-8</t>
  </si>
  <si>
    <t>4-Chloro-2-(2-chloro-4,4,5,5,6,6,7,7,8,8,9,9,10,10,11,11,11-heptadecafluoroundecyl)phenyl acetate</t>
  </si>
  <si>
    <t xml:space="preserve">  38506-76-2</t>
  </si>
  <si>
    <t>2,2,3,3,4,4,4-Heptafluorobutyl acetate</t>
  </si>
  <si>
    <t xml:space="preserve">  356-06-9</t>
  </si>
  <si>
    <t>3,3,4,4,5,5,6,6,7,7,8,8,9,9,10,10,10-Heptadecafluorodecyl acetate</t>
  </si>
  <si>
    <t xml:space="preserve">  37858-04-1</t>
  </si>
  <si>
    <t>3,3,4,4,5,5,6,6,7,7,8,8,8-Tridecafluorooctyl acetate</t>
  </si>
  <si>
    <t xml:space="preserve">  37858-03-0</t>
  </si>
  <si>
    <t>3,3,4,4,5,5,6,6,6-Nonafluorohexyl acetate</t>
  </si>
  <si>
    <t xml:space="preserve">  80705-15-3</t>
  </si>
  <si>
    <t>3,3,4,4,5,5,5-Heptafluoropentyl acetate</t>
  </si>
  <si>
    <t xml:space="preserve">  425-68-3</t>
  </si>
  <si>
    <t>(Perfluorooctyl)propyl acetate</t>
  </si>
  <si>
    <t xml:space="preserve">  150225-00-6</t>
  </si>
  <si>
    <t>4,4,5,5,6,6,6-Heptafluorohexyl acetate</t>
  </si>
  <si>
    <t xml:space="preserve">  25600-64-0</t>
  </si>
  <si>
    <t>S-[3,4,4,4-Tetrafluoro-3-(trifluoromethyl)butyl] ethanethioate</t>
  </si>
  <si>
    <t xml:space="preserve">  1097631-01-0</t>
  </si>
  <si>
    <t>S-(3,3,4,4,5,5,6,6,7,7,8,8,9,9,10,10,10-Heptadecafluorodecyl) ethanethioate</t>
  </si>
  <si>
    <t xml:space="preserve">  125640-21-3</t>
  </si>
  <si>
    <t>S-(3,3,4,4,5,5,6,6,7,7,8,8,8-Tridecafluorooctyl) ethanethioate</t>
  </si>
  <si>
    <t xml:space="preserve">  213681-67-5</t>
  </si>
  <si>
    <t>2-Bromo-3-(bromomethyl)-4,4,5,5,6,6,6-heptafluorohexan-3-ol</t>
  </si>
  <si>
    <t xml:space="preserve">  93339-87-8</t>
  </si>
  <si>
    <t>3,3,4,4,5,5,6,6,7,7,8,8,9,9,10,10,10-Heptadecafluoro-2-methyldecanoic acid</t>
  </si>
  <si>
    <t xml:space="preserve">  136022-86-1</t>
  </si>
  <si>
    <t>1,1,1,2,2,3,3,4,4,5,5,6,6-Tridecafluoro-7-methyl-7-nitrooctane</t>
  </si>
  <si>
    <t xml:space="preserve">  84108-41-8</t>
  </si>
  <si>
    <t>N-{1-[3,5-Bis({[tert-butyl(dimethyl)silyl]oxy}methyl)phenyl]-2,2,3,3,4,4,5,5,6,6,7,7,7-tridecafluoroheptylidene}hydroxylamine</t>
  </si>
  <si>
    <t xml:space="preserve">  1335496-61-1</t>
  </si>
  <si>
    <t>6,6,7,7,8,8,9,9,9-Nonafluoro-2,2-dimethylnon-4-en-3-one</t>
  </si>
  <si>
    <t xml:space="preserve">  105602-69-5</t>
  </si>
  <si>
    <t>1,1,1,2,2,3,3,4,4-Nonafluoro-6-iodo-7,7-dimethyloctane</t>
  </si>
  <si>
    <t xml:space="preserve">  1464148-69-3</t>
  </si>
  <si>
    <t>1,1,1,2,2,3,3-heptafluoro-6-hydroxy-7,7-dimethyloct-5-en-4-one</t>
  </si>
  <si>
    <t xml:space="preserve">  62773-05-1</t>
  </si>
  <si>
    <t>5-(4-tert-Butylphenyl)-N-(2,2,3,3,4,4,4-heptafluorobutyl)-1,2-oxazole-3-carboxamide</t>
  </si>
  <si>
    <t xml:space="preserve">  922421-40-7</t>
  </si>
  <si>
    <t>1,1,1,2,2,3,3,4-Octafluoro-7,7-dimethyloct-4-ene</t>
  </si>
  <si>
    <t xml:space="preserve">  90292-33-4</t>
  </si>
  <si>
    <t>tert-Butyl (4,4,5,5,6,6,7,7,7-nonafluoro-2-iodoheptyl)carbamate</t>
  </si>
  <si>
    <t xml:space="preserve">  1301739-79-6</t>
  </si>
  <si>
    <t>1,1,1,2,2,3,3,4-Octafluoro-7-methyl-7-nitrooct-4-ene</t>
  </si>
  <si>
    <t xml:space="preserve">  90292-31-2</t>
  </si>
  <si>
    <t>(2-Perfluorooctylethyl)isopropoxycarbonyloxyiminophenylacetonitrile</t>
  </si>
  <si>
    <t xml:space="preserve">  350716-42-6</t>
  </si>
  <si>
    <t>3,3,4,4,5,5,6,6,7,7,8,8,9,9,9-Pentadecafluoro-2-methylnonan-2-ol</t>
  </si>
  <si>
    <t xml:space="preserve">  92914-88-0</t>
  </si>
  <si>
    <t>2-Perfluoropropyl-2-propanol</t>
  </si>
  <si>
    <t xml:space="preserve">  355-22-6</t>
  </si>
  <si>
    <t>5,5,6,6,7,7,8,8,8-Nonafluoro-2-methyloct-3-yn-2-ol</t>
  </si>
  <si>
    <t xml:space="preserve">  82721-68-4</t>
  </si>
  <si>
    <t>5,5,6,6,7,7,8,8,9,9,10,10,11,11,12,12,12-Heptadecafluoro-2-methyldodecan-2-ol</t>
  </si>
  <si>
    <t xml:space="preserve">  141183-94-0</t>
  </si>
  <si>
    <t>5,5,6,6,7,7,8,8,9,9,10,10,10-Tridecafluoro-2-methyldecan-2-ol</t>
  </si>
  <si>
    <t xml:space="preserve">  159142-65-1</t>
  </si>
  <si>
    <t>5,5,6,6,7,7,8,8,8-Nonafluoro-2-methyloctan-2-ol</t>
  </si>
  <si>
    <t xml:space="preserve">  269394-08-3</t>
  </si>
  <si>
    <t>(4S,5R)-4-(Propan-2-yl)-5-(3,3,4,4,5,5,6,6,7,7,8,8,8-tridecafluorooctyl)-1,3-oxazolidin-2-one</t>
  </si>
  <si>
    <t xml:space="preserve">  871210-22-9</t>
  </si>
  <si>
    <t>(3,3,4,4,5,5,6,6,7,7,8,8,9,9,10,10,11,11,12,12,12-Henicosafluorododecyl)di(propan-2-yl)silane</t>
  </si>
  <si>
    <t xml:space="preserve">  356056-16-1</t>
  </si>
  <si>
    <t>((Perfluorooctyl)ethyl)di(propan-2-yl)silane</t>
  </si>
  <si>
    <t xml:space="preserve">  356056-15-0</t>
  </si>
  <si>
    <t>Di(propan-2-yl)(3,3,4,4,5,5,6,6,7,7,8,8,8-tridecafluorooctyl)silane</t>
  </si>
  <si>
    <t xml:space="preserve">  356056-14-9</t>
  </si>
  <si>
    <t>(3,3,4,4,5,5,6,6,6-Nonafluorohexyl)di(propan-2-yl)silane</t>
  </si>
  <si>
    <t xml:space="preserve">  356056-13-8</t>
  </si>
  <si>
    <t>5,6,6,7,7,8,8,8-Octafluoro-2-methylocta-2,4-diene</t>
  </si>
  <si>
    <t xml:space="preserve">  90292-28-7</t>
  </si>
  <si>
    <t>5,5,6,6,7,7,8,8,8-Nonafluoro-2-methyloct-2-ene</t>
  </si>
  <si>
    <t xml:space="preserve">  97294-02-5</t>
  </si>
  <si>
    <t>3,3,4,4,5,5,6,6,7,7,8,8,8-tridecafluorooctyl 2-methylpropanoate</t>
  </si>
  <si>
    <t xml:space="preserve">  242812-05-1</t>
  </si>
  <si>
    <t>3,3,4,4,5,5,6,6,6-Nonafluorohexyl 2,2-difluoro-3-hydroxy-4-methylpentanoate</t>
  </si>
  <si>
    <t xml:space="preserve">  1370345-78-0</t>
  </si>
  <si>
    <t>1-(1,3-Dimethylbutoxy)-2-(perfluorohexyl)ethane</t>
  </si>
  <si>
    <t xml:space="preserve">  210896-25-6</t>
  </si>
  <si>
    <t>2-Cyanoethyl 4,4,5,5,6,6,7,7,8,8,9,9,10,10,11,11,11-heptadecafluoroundecyl N,N-dipropan-2-ylphosphoramidoite</t>
  </si>
  <si>
    <t xml:space="preserve">  1036029-24-9</t>
  </si>
  <si>
    <t>1H,1H,2H,2H-Perfluorodecyl(tri-iso-propoxy)silane</t>
  </si>
  <si>
    <t xml:space="preserve">  246234-80-0</t>
  </si>
  <si>
    <t>Dipropan-2-yl (3,3,4,4,5,5,6,6,7,7,8,8,9,9,10,10,10-heptadecafluorodecyl)phosphonate</t>
  </si>
  <si>
    <t xml:space="preserve">  90183-56-5</t>
  </si>
  <si>
    <t>4,4,5,5,6,6,7,7,8,8,9,9,9-Tridecafluoro-2-methylnonanenitrile</t>
  </si>
  <si>
    <t xml:space="preserve">  1274722-59-6</t>
  </si>
  <si>
    <t>4,4,5,5,6,6,6-Heptafluorohexan-2-yl acetate</t>
  </si>
  <si>
    <t xml:space="preserve">  136909-75-6</t>
  </si>
  <si>
    <t>4,4-Bis[(3,3,4,4,5,5,6,6,6-nonafluorohexyl)sulfanyl]pentanoic acid</t>
  </si>
  <si>
    <t xml:space="preserve">  92886-04-9</t>
  </si>
  <si>
    <t>Pentanoic acid, 4,4-bis[(.gamma.-.omega.-perfluoro-C8-20-alkyl)thio] derivs., compds. with diethanolamine</t>
  </si>
  <si>
    <t xml:space="preserve">  71608-61-2</t>
  </si>
  <si>
    <t>3,3,4,4,5,5,6,6,7,7,8,8,9,9,10,10,10-Heptadecafluoro-2-methyldecan-1-ol</t>
  </si>
  <si>
    <t xml:space="preserve">  136022-91-8</t>
  </si>
  <si>
    <t>2-Propenoic acid, 3,3,4,4,5,5,6,6,7,7,8,8,9,9,10,10,11,11-octadecafluorododecyl ester</t>
  </si>
  <si>
    <t xml:space="preserve">  57678-90-7</t>
  </si>
  <si>
    <t>Disulfides, bis(.gamma.-.omega.-perfluoro-C6-20-alkyl)</t>
  </si>
  <si>
    <t xml:space="preserve">  118400-71-8</t>
  </si>
  <si>
    <t>6-(1,1-Difluoroethoxy)-1,1,1,2,2,3,3,4,4,5,5-undecafluorohexane</t>
  </si>
  <si>
    <t xml:space="preserve">  197963-86-3</t>
  </si>
  <si>
    <t>4-(1,1-Difluoroethoxy)-1,1,1,2,2,3,3-heptafluorobutane</t>
  </si>
  <si>
    <t xml:space="preserve">  1365808-20-3</t>
  </si>
  <si>
    <t>1,1,1,2,2,3,3,4,4,5,5,6,6,7,7,8,8,9,9,10,10-Henicosafluoro-12-iodotridecane</t>
  </si>
  <si>
    <t xml:space="preserve">  38550-36-6</t>
  </si>
  <si>
    <t>1,1,1,2,2,3,3,4,4,5,5,6,6,7,7,8,8-Heptadecafluoro-10-iodoundecane</t>
  </si>
  <si>
    <t xml:space="preserve">  38550-35-5</t>
  </si>
  <si>
    <t>1-(Perfluoroheptyl)-2-iodopropane</t>
  </si>
  <si>
    <t xml:space="preserve">  25291-12-7</t>
  </si>
  <si>
    <t>1-(Perfluorohexyl)-2-iodopropane</t>
  </si>
  <si>
    <t xml:space="preserve">  38550-34-4</t>
  </si>
  <si>
    <t>1,1,1,2,2,3,3,4,4-Nonafluoro-6-iodoheptane</t>
  </si>
  <si>
    <t xml:space="preserve">  89889-25-8</t>
  </si>
  <si>
    <t>3,3,4,4,5,5,5-Heptafluoropentan-2-amine</t>
  </si>
  <si>
    <t xml:space="preserve">  1446355-42-5</t>
  </si>
  <si>
    <t>3,3,4,4,5,5,6,6,7,7,8,8,8-Tridecafluorooctan-2-ol</t>
  </si>
  <si>
    <t xml:space="preserve">  64773-44-0</t>
  </si>
  <si>
    <t>1H,1H,1H,2H-Perfluoro-2-heptanol</t>
  </si>
  <si>
    <t xml:space="preserve">  914637-05-1</t>
  </si>
  <si>
    <t>1-Perfluoropropylethanol</t>
  </si>
  <si>
    <t xml:space="preserve">  375-14-4</t>
  </si>
  <si>
    <t>3,3,4,5,5,6,6,7,7,7-Decafluoroheptan-2-ol</t>
  </si>
  <si>
    <t xml:space="preserve">  7618-17-9</t>
  </si>
  <si>
    <t>4,4,5,5,6,6,7,7,8,9,9,9-Dodecafluoro-2-(2-hydroxypropyl)-8-(trifluoromethyl)non-2-enoate</t>
  </si>
  <si>
    <t xml:space="preserve">  16083-75-3</t>
  </si>
  <si>
    <t>4(perfluorooctyl)-2-butanol</t>
  </si>
  <si>
    <t xml:space="preserve">  149868-74-6</t>
  </si>
  <si>
    <t>1-(2,2,3,3,4,4,4-Heptafluorobutoxy)ethyl acetate</t>
  </si>
  <si>
    <t xml:space="preserve">  378-08-5</t>
  </si>
  <si>
    <t>2,2,3,3,4,4,5,5,6,6,7,7,8,8,8-Pentadecafluorooctyl 4'-[(2S)-2-methylbutyl][1,1'-biphenyl]-4-carboxylate</t>
  </si>
  <si>
    <t xml:space="preserve">  118826-52-1</t>
  </si>
  <si>
    <t>N,N-diethylethanaminium ((perfluorooctyl)ethyl)phosphonate (1:1)</t>
  </si>
  <si>
    <t xml:space="preserve">  92678-96-1</t>
  </si>
  <si>
    <t>[(4-{3-[(3,3,4,4,5,5,6,6,7,7,8,8,8-Tridecafluorooctyl)sulfanyl]propyl}-1,2-phenylene)bis(oxy)]bis(triethylsilane)</t>
  </si>
  <si>
    <t xml:space="preserve">  1637311-39-7</t>
  </si>
  <si>
    <t>4,4,5,5,6,6,7,7,8,8,9,9,10,10,11,11,11-Heptadecafluoroundec-2-ene</t>
  </si>
  <si>
    <t xml:space="preserve">  67103-04-2</t>
  </si>
  <si>
    <t>(2E)-4,4,5,5,6,6,7,7,8,8,9,9,10,10,10-Pentadecafluorodec-2-ene</t>
  </si>
  <si>
    <t xml:space="preserve">  89889-22-5</t>
  </si>
  <si>
    <t>(2E)-4,4,5,5,6,6,7,7,8,8,9,9,9-Tridecafluoro-2-nonene</t>
  </si>
  <si>
    <t xml:space="preserve">  80793-20-0</t>
  </si>
  <si>
    <t>4,4,5,5,6,6,7,7,8,8,9,9,9-Tridecafluoro-2-nonene</t>
  </si>
  <si>
    <t xml:space="preserve">  63967-46-4</t>
  </si>
  <si>
    <t>Bis-(1H,1H,7H-perfluoroheptyl) (1S,3R)-camphorate</t>
  </si>
  <si>
    <t xml:space="preserve">  2355-57-9</t>
  </si>
  <si>
    <t>Bicyclo[2.2.1]heptan-2-one, 3-(2,2,3,3,4,4,4-heptafluoro-1-hydroxybutylidene)-1,7,7-trimethyl-, (1R,4S)-</t>
  </si>
  <si>
    <t xml:space="preserve">  63180-06-3</t>
  </si>
  <si>
    <t>4-(2,2,3,3,4,4,5,5,6,6,7,7,8,8,9,9,9-Heptadecafluorononyl)-2,2-dimethyl-1,3-dioxolane</t>
  </si>
  <si>
    <t xml:space="preserve">  94159-88-3</t>
  </si>
  <si>
    <t>3-[(2,2,3,3,4,4,4-Heptafluorobutoxy)methyl]-3-methyloxetane</t>
  </si>
  <si>
    <t xml:space="preserve">  156294-55-2</t>
  </si>
  <si>
    <t>Oxetane, 3-methyl-3-[[(3,3,4,4,5,5,6,6,6-nonafluorohexyl)oxy]methyl]-</t>
  </si>
  <si>
    <t xml:space="preserve">  475678-78-5</t>
  </si>
  <si>
    <t>4-(2,2,3,3,4,4,4-Heptafluorobutoxy)-1,2-dimethylpyridin-1-ium</t>
  </si>
  <si>
    <t xml:space="preserve">  140160-19-6</t>
  </si>
  <si>
    <t>2,2,3,3,4,4,5,5,6,6,7,7,8,8,8-Pentadecafluorooctyl 4-methylbenzene-1-sulfonate</t>
  </si>
  <si>
    <t xml:space="preserve">  24962-65-0</t>
  </si>
  <si>
    <t>1H,1H,7H-Perfluoroheptyl 4-methylbenzenesulfonate</t>
  </si>
  <si>
    <t xml:space="preserve">  424-16-8</t>
  </si>
  <si>
    <t>1h,1h-perfluorohexyl p-toluenesulfonate</t>
  </si>
  <si>
    <t xml:space="preserve">  355-77-1</t>
  </si>
  <si>
    <t>1h,1h-nonafluoropentyl p-toluenesulfonate</t>
  </si>
  <si>
    <t xml:space="preserve">  883499-79-4</t>
  </si>
  <si>
    <t>2,2,3,3,4,4,4-Heptafluorobutyl 4-methylbenzene-1-sulfonate</t>
  </si>
  <si>
    <t xml:space="preserve">  312-66-3</t>
  </si>
  <si>
    <t>5-Methyl-6-[(3,3,4,4,5,5,6,6,7,7,8,8,8-tridecafluorooctyl)sulfanyl]hexahydro-4,7-methano-2-benzofuran-1,3-dione</t>
  </si>
  <si>
    <t xml:space="preserve">  94413-32-8</t>
  </si>
  <si>
    <t>3-methyl-4-(2,2,3,3,4,4,5,5,5-nonafluoropentyl)cyclopentane-1,1-dicarboxylic Acid</t>
  </si>
  <si>
    <t xml:space="preserve">  20116-32-9</t>
  </si>
  <si>
    <t>1-(3,3,4,4,5,5,6,6,7,7,8,8,9,9,10,10,10-heptadecafluorodecyl)pyridinium toluene-p-sulphonate</t>
  </si>
  <si>
    <t>2,2,3,3,4,4,5,5,6,6,7,7,7-Tridecafluoroheptyl 4-methylbenzene-1-sulfonate</t>
  </si>
  <si>
    <t xml:space="preserve">  883500-11-6</t>
  </si>
  <si>
    <t>3,3,4,4,5,5,6,6,7,7,8,8,9,9,10,10,10-Heptadecafluorodecyl 4-methylbenzene-1-sulfonate</t>
  </si>
  <si>
    <t xml:space="preserve">  113823-56-6</t>
  </si>
  <si>
    <t>3,3,4,4,5,5,6,6,6-Nonafluorohexyl 4-methylbenzene-1-sulfonate</t>
  </si>
  <si>
    <t xml:space="preserve">  188492-56-0</t>
  </si>
  <si>
    <t>5,5,6,6,7,7,7-Heptafluoro-4-methylheptan-3-one</t>
  </si>
  <si>
    <t xml:space="preserve">  61282-89-1</t>
  </si>
  <si>
    <t>2-Ethyl-3,3,4,4,5,5,6,6,7,7,8,8,8-tridecafluorooctanoic acid</t>
  </si>
  <si>
    <t xml:space="preserve">  136022-87-2</t>
  </si>
  <si>
    <t>4,4,5,5,6,6,6-Heptafluoro-3-methylhexan-3-ol</t>
  </si>
  <si>
    <t xml:space="preserve">  423-43-8</t>
  </si>
  <si>
    <t>6,6,7,7,8,8,9,9,9-Nonafluoro-3-methylnon-4-yn-3-ol</t>
  </si>
  <si>
    <t xml:space="preserve">  82721-69-5</t>
  </si>
  <si>
    <t>Butan-2-one O,O',O''-((3,3,4,4,5,5,6,6,7,7,8,8,8-tridecafluorooctyl)silylidyne)oxime</t>
  </si>
  <si>
    <t xml:space="preserve">  94158-20-0</t>
  </si>
  <si>
    <t>1-[(Butan-2-yl)amino]-3,3,4,4,5,5,6,6,7,7,8,8,9,9,10,10,11,11,11-nonadecafluoroundecan-2-ol</t>
  </si>
  <si>
    <t xml:space="preserve">  94817-79-5</t>
  </si>
  <si>
    <t>2-Ethyl-3,3,4,4,5,5,6,6,7,7,8,8,8-tridecafluorooctanal (2,4-dinitrophenyl)hydrazone</t>
  </si>
  <si>
    <t xml:space="preserve">  136022-83-8</t>
  </si>
  <si>
    <t>2-Ethyl-3,4,4,5,5,6,6,7,7,8,8,8-dodecafluorooct-2-enal</t>
  </si>
  <si>
    <t xml:space="preserve">  61282-83-5</t>
  </si>
  <si>
    <t>1,1,1,2,2,3,3-heptafluoro-5-nitroheptane</t>
  </si>
  <si>
    <t xml:space="preserve">  356-66-1</t>
  </si>
  <si>
    <t>1,1,1,2,2,3,3,4,4,5,5,6,6,7,7,8,8-Heptadecafluoro-10-iodododecane</t>
  </si>
  <si>
    <t xml:space="preserve">  99325-00-5</t>
  </si>
  <si>
    <t>5,5,6,6,7,7,7-Heptafluoroheptan-3-amine</t>
  </si>
  <si>
    <t xml:space="preserve">  679-00-5</t>
  </si>
  <si>
    <t>5,5,6,6,7,7,7-Heptafluorohept-3-ene</t>
  </si>
  <si>
    <t xml:space="preserve">  355-98-6</t>
  </si>
  <si>
    <t>2,2,3,3,4,4,4-Heptafluorobutyl butanoate</t>
  </si>
  <si>
    <t xml:space="preserve">  2926-44-5</t>
  </si>
  <si>
    <t>1,2,4,5-Benzenetetracarboxylic acid, mixed 3-chloro-2-hydroxypropyl and .gamma.-.omega.-perfluoro-C8-10-alkyl esters</t>
  </si>
  <si>
    <t xml:space="preserve">  68954-01-8</t>
  </si>
  <si>
    <t>1,1,1,2,2,3,3,4,4,5,5,6,6,7,7-Pentadecafluoro-9-iodododecane</t>
  </si>
  <si>
    <t xml:space="preserve">  25431-48-5</t>
  </si>
  <si>
    <t>1,1,1,2,2,3,3-heptafluoroheptan-4-ol</t>
  </si>
  <si>
    <t xml:space="preserve">  425-21-8</t>
  </si>
  <si>
    <t>1-(Butylselanyl)-2,2,3,3,4,4,4-heptafluorobutan-1-ol</t>
  </si>
  <si>
    <t xml:space="preserve">  1092379-04-8</t>
  </si>
  <si>
    <t>1,1,1,2,2,3,3-Heptafluorooct-4-ene</t>
  </si>
  <si>
    <t xml:space="preserve">  2707-72-4</t>
  </si>
  <si>
    <t>2-Butyl-5,6,6,7,7,8,8,8-octafluorooct-4-enoic acid</t>
  </si>
  <si>
    <t xml:space="preserve">  90292-29-8</t>
  </si>
  <si>
    <t>(5Z)-1,1,1,2,2,3,3,4,4-Nonafluoro-6-iododec-5-ene</t>
  </si>
  <si>
    <t xml:space="preserve">  107831-93-6</t>
  </si>
  <si>
    <t>1,1,1,2,2,3,3-Heptafluoro-6-iodo-4,4-bis(trifluoromethyl)decane</t>
  </si>
  <si>
    <t xml:space="preserve">  123629-50-5</t>
  </si>
  <si>
    <t>1,1,1,2-Tetrafluoro-4-iodo-2-(trifluoromethyl)octane</t>
  </si>
  <si>
    <t xml:space="preserve">  161094-94-6</t>
  </si>
  <si>
    <t>1,1,1,2,2,3,3,4,4,5,5,6,6,7,7,8,8,9,9,10,10-Henicosafluoro-12-iodohexadecane</t>
  </si>
  <si>
    <t xml:space="preserve">  129838-38-6</t>
  </si>
  <si>
    <t>1,1,1,2,2,3,3,4,4,5,5,6,6,7,7,8,8-Heptadecafluoro-10-iodotetradecane</t>
  </si>
  <si>
    <t xml:space="preserve">  92835-74-0</t>
  </si>
  <si>
    <t>1,1,1,2,2,3,3,4,4,5,5,6,6-Tridecafluoro-8-iodododecane</t>
  </si>
  <si>
    <t xml:space="preserve">  120695-82-1</t>
  </si>
  <si>
    <t>1,1,1,2,2,3,3,4,4-Nonafluoro-6-iododecane</t>
  </si>
  <si>
    <t xml:space="preserve">  40735-32-8</t>
  </si>
  <si>
    <t>1,1,1,2,2,3,3-heptafluoro-5-iodononane</t>
  </si>
  <si>
    <t xml:space="preserve">  755-48-6</t>
  </si>
  <si>
    <t>(5E)-7,7,8,8,9,9,10,10,11,11,12,12,13,13,14,14,14-Heptadecafluorotetradec-5-ene</t>
  </si>
  <si>
    <t xml:space="preserve">  210491-04-6</t>
  </si>
  <si>
    <t>7,7,8,8,9,9,10,10,11,11,12,12,13,13,13-Pentadecafluorotridec-5-ene</t>
  </si>
  <si>
    <t xml:space="preserve">  52717-05-2</t>
  </si>
  <si>
    <t>(5E)-1,1,1,2,2,3,3,4,4-Nonafluorodec-5-ene</t>
  </si>
  <si>
    <t xml:space="preserve">  131294-67-2</t>
  </si>
  <si>
    <t>1,1,1,2,2,3,3-heptafluoronon-4-ene</t>
  </si>
  <si>
    <t xml:space="preserve">  57325-40-3</t>
  </si>
  <si>
    <t>1,1,1,2-Tetrafluoro-4-iodo-2-(trifluoromethyl)nonane</t>
  </si>
  <si>
    <t xml:space="preserve">  756-92-3</t>
  </si>
  <si>
    <t>1,1,1,2,2,3,3,4,4,5,5,6,6,7,7,8,8,9,9,10,10-Henicosafluoro-12-iodoheptadecane</t>
  </si>
  <si>
    <t xml:space="preserve">  129838-39-7</t>
  </si>
  <si>
    <t>1,1,1,2,2,3,3,4,4,5,5,6,6,7,7-Pentadecafluoro-9-iodotetradecane</t>
  </si>
  <si>
    <t xml:space="preserve">  38787-66-5</t>
  </si>
  <si>
    <t>1,1,1,2,2,3,3,4,4-Nonafluoro-6-iodoundecane</t>
  </si>
  <si>
    <t xml:space="preserve">  40735-33-9</t>
  </si>
  <si>
    <t>1,1,1,2,2,3,3-Heptafluoro-5-iododecane</t>
  </si>
  <si>
    <t xml:space="preserve">  755-49-7</t>
  </si>
  <si>
    <t>(2S)-2-(Nonafluorobutyl)octan-1-ol</t>
  </si>
  <si>
    <t xml:space="preserve">  1180131-16-1</t>
  </si>
  <si>
    <t>1,1,1,2,2,3,3,4,4-Nonafluoro-5-methylundec-5-ene</t>
  </si>
  <si>
    <t xml:space="preserve">  113999-55-6</t>
  </si>
  <si>
    <t>1,1,1,2,2,3,3,4,4,5,5,6-Dodecafluorododec-6-ene</t>
  </si>
  <si>
    <t xml:space="preserve">  92610-11-2</t>
  </si>
  <si>
    <t>1,1,1,2,2,3,3,4-Octafluorodec-4-ene</t>
  </si>
  <si>
    <t xml:space="preserve">  90292-32-3</t>
  </si>
  <si>
    <t>(6E)-8,8,9,9,10,10,11,11,12,12,13,13,14,14,15,15,15-Heptadecafluoropentadec-6-ene</t>
  </si>
  <si>
    <t xml:space="preserve">  350608-65-0</t>
  </si>
  <si>
    <t>8,8,9,9,10,10,11,11,12,12,13,13,14,14,14-Pentadecafluorotetradec-6-ene</t>
  </si>
  <si>
    <t xml:space="preserve">  38787-60-9</t>
  </si>
  <si>
    <t>(6E)-8,8,9,9,10,10,11,11,12,12,13,13,13-Tridecafluorotridec-6-ene</t>
  </si>
  <si>
    <t xml:space="preserve">  350608-60-5</t>
  </si>
  <si>
    <t>1,1,1,2,2,3,3,4,4-Nonafluoroundec-5-ene</t>
  </si>
  <si>
    <t xml:space="preserve">  383145-46-8</t>
  </si>
  <si>
    <t>(4E)-1,1,1,2,2,3,3-Heptafluorodec-4-ene</t>
  </si>
  <si>
    <t xml:space="preserve">  57325-42-5</t>
  </si>
  <si>
    <t>(5E)-1,1,1,2,2,3,3,4,4-Nonafluoro-6-iodododec-5-ene</t>
  </si>
  <si>
    <t xml:space="preserve">  109574-88-1</t>
  </si>
  <si>
    <t>1,1,1,2,2,3,3,4,4,5,5,6,6,7,7,8,8,9,9,10,10,11,11,12,12-Pentacosafluoro-14-iodoicosane</t>
  </si>
  <si>
    <t xml:space="preserve">  93454-69-4</t>
  </si>
  <si>
    <t>1,1,1,2,2,3,3,4,4,5,5,6,6,7,7,8,8,9,9,10,10-Henicosafluoro-12-iodooctadecane</t>
  </si>
  <si>
    <t xml:space="preserve">  129838-40-0</t>
  </si>
  <si>
    <t>1,1,1,2,2,3,3,4,4,5,5,6,6,7,7,8,8-Heptadecafluoro-10-iodohexadecane</t>
  </si>
  <si>
    <t xml:space="preserve">  96791-81-0</t>
  </si>
  <si>
    <t>1,1,1,2,2,3,3,4,4,5,5,6,6,7,7-Pentadecafluoro-9-iodopentadecane</t>
  </si>
  <si>
    <t xml:space="preserve">  918-32-1</t>
  </si>
  <si>
    <t>1,1,1,2,2,3,3,4,4,5,5,6,6-Tridecafluoro-8-iodotetradecane</t>
  </si>
  <si>
    <t xml:space="preserve">  109574-84-7</t>
  </si>
  <si>
    <t>Dodecane, 1,1,1,2,2,3,3,4,4-nonafluoro-6-iodo-</t>
  </si>
  <si>
    <t xml:space="preserve">  109603-73-8</t>
  </si>
  <si>
    <t>1,1,1,2,2,3,3-Heptafluoro-5-iodoundecane</t>
  </si>
  <si>
    <t xml:space="preserve">  23885-16-7</t>
  </si>
  <si>
    <t>(7E)-9,9,10,10,11,11,12,12,13,13,14,14,15,15,16,16,16-Heptadecafluorohexadec-7-ene</t>
  </si>
  <si>
    <t xml:space="preserve">  84201-60-5</t>
  </si>
  <si>
    <t>1,1,1,2,2,3,3,4,4,5,5,6,6-Tridecafluorotetradec-7-ene</t>
  </si>
  <si>
    <t xml:space="preserve">  120464-26-8</t>
  </si>
  <si>
    <t>(5E)-1,1,1,2,2,3,3,4,4-Nonafluorododec-5-ene</t>
  </si>
  <si>
    <t xml:space="preserve">  113999-54-5</t>
  </si>
  <si>
    <t>1,1,1,2,2,3,3,4,4,5,5,6,6,7,7,8,8,9,9,10,10-Henicosafluoro-12-iodononadecane</t>
  </si>
  <si>
    <t xml:space="preserve">  129838-41-1</t>
  </si>
  <si>
    <t>1,1,1,2,2,3,3,4,4-Nonafluorododecan-5-ol</t>
  </si>
  <si>
    <t xml:space="preserve">  131294-52-5</t>
  </si>
  <si>
    <t>1,1,1,2,2,3,3,4,4,5,5,6,6-Tridecafluoropentadec-7-ene</t>
  </si>
  <si>
    <t xml:space="preserve">  1980786-99-9</t>
  </si>
  <si>
    <t>1,1,1,2,2,3,3,4,4,5,5,6,6,7,7,8,8,9,9,10,10-Henicosafluoro-12-iodoicosane</t>
  </si>
  <si>
    <t xml:space="preserve">  121633-31-6</t>
  </si>
  <si>
    <t>1,1,1,2,2,3,3,4,4,5,5,6,6,7,7,8,8-Heptadecafluoro-10-iodooctadecane</t>
  </si>
  <si>
    <t xml:space="preserve">  176979-17-2</t>
  </si>
  <si>
    <t>1,1,1,2,2,3,3,4,4,5,5,6,6-Tridecafluoro-8-iodohexadecane</t>
  </si>
  <si>
    <t xml:space="preserve">  207122-00-7</t>
  </si>
  <si>
    <t>(9E)-1,1,1,2,2,3,3,4,4,5,5,6,6,7,7,8,8-Heptadecafluorooctadec-9-ene</t>
  </si>
  <si>
    <t xml:space="preserve">  113999-61-4</t>
  </si>
  <si>
    <t>1,1,1,2,2,3,3,4,4,5,5,6,6,7,7-Pentadecafluoroheptadec-8-ene</t>
  </si>
  <si>
    <t xml:space="preserve">  52717-06-3</t>
  </si>
  <si>
    <t>1,1,1,2,2,3,3,4,4,5,5,6,6-tridecafluorohexadec-7-ene</t>
  </si>
  <si>
    <t xml:space="preserve">  120464-27-9</t>
  </si>
  <si>
    <t>(7E)-1,1,1,2,2,3,3,4,4,5,5,6,6-Tridecafluorohexadec-7-ene</t>
  </si>
  <si>
    <t xml:space="preserve">  152128-75-1</t>
  </si>
  <si>
    <t>(5E)-1,1,1,2,2,3,3,4,4-Nonafluorotetradec-5-ene</t>
  </si>
  <si>
    <t xml:space="preserve">  104504-30-5</t>
  </si>
  <si>
    <t>1,1,1,2,2,3,3,4,4,5,5,6,6,7,7,8,8,9,9,10,10-Henicosafluoro-12-iodohenicosane</t>
  </si>
  <si>
    <t xml:space="preserve">  129838-42-2</t>
  </si>
  <si>
    <t>1,1,1,2,2,3,3,4,4,5,5,6,6-Tridecafluoro-8-iodoheptadecane</t>
  </si>
  <si>
    <t xml:space="preserve">  207122-01-8</t>
  </si>
  <si>
    <t>1,1,1,2,2,3,3,4,4,5,5,6,6,7,7,8,8,9,9,10,10-Henicosafluoro-12-iododocosane</t>
  </si>
  <si>
    <t xml:space="preserve">  129838-43-3</t>
  </si>
  <si>
    <t>1,1,1,2,2,3,3,4,4,5,5,6,6,7,7,8,8-Heptadecafluoro-10-iodoicosane</t>
  </si>
  <si>
    <t xml:space="preserve">  1257261-93-0</t>
  </si>
  <si>
    <t>1,1,1,2,2,3,3,4,4,5,5,6,6,7,7-Pentadecafluoro-9-iodononadecane</t>
  </si>
  <si>
    <t xml:space="preserve">  25431-52-1</t>
  </si>
  <si>
    <t>1,1,1,2,2,3,3,4,4,5,5,6,6-Tridecafluoro-8-iodooctadecane</t>
  </si>
  <si>
    <t xml:space="preserve">  125081-35-8</t>
  </si>
  <si>
    <t>1,1,1,2,2,3,3,4,4-Nonafluoro-6-iodohexadecane</t>
  </si>
  <si>
    <t xml:space="preserve">  1789721-11-4</t>
  </si>
  <si>
    <t>(9E)-1,1,1,2,2,3,3,4,4,5,5,6,6,7,7,8,8-Heptadecafluoroicos-9-ene</t>
  </si>
  <si>
    <t xml:space="preserve">  124921-25-1</t>
  </si>
  <si>
    <t>(7E)-1,1,1,2,2,3,3,4,4,5,5,6,6-Tridecafluorooctadec-7-ene</t>
  </si>
  <si>
    <t xml:space="preserve">  125081-49-4</t>
  </si>
  <si>
    <t>1,1,1,2,2,3,3,4,4-Nonafluorohexadec-5-ene</t>
  </si>
  <si>
    <t xml:space="preserve">  131851-20-2</t>
  </si>
  <si>
    <t>Tetradecanoic acid, 1,1'-(methyl(3,3,4,4,5,5,6,6,6-nonafluorohexyl)silylene) ester</t>
  </si>
  <si>
    <t xml:space="preserve">  94094-26-5</t>
  </si>
  <si>
    <t>1,1,1,2,2,3,3,4,4,5,5,6,6,7,7,8,8,9,9,10,10-Henicosafluoro-12-iodotetracosane</t>
  </si>
  <si>
    <t xml:space="preserve">  1257261-92-9</t>
  </si>
  <si>
    <t>1,1,1,2,2,3,3,4,4,5,5,6,6,7,7,8,8-Heptadecafluoro-10-iododocosane</t>
  </si>
  <si>
    <t xml:space="preserve">  176979-18-3</t>
  </si>
  <si>
    <t>1,1,1,2,2,3,3,4,4,5,5,6,6,7,7,8,8-Heptadecafluorodocos-9-ene</t>
  </si>
  <si>
    <t xml:space="preserve">  118642-84-5</t>
  </si>
  <si>
    <t>1,1,1,2,2,3,3,4,4,5,5,6,6-Tridecafluoroicos-7-ene</t>
  </si>
  <si>
    <t xml:space="preserve">  160460-04-8</t>
  </si>
  <si>
    <t>1,1,1,2,2,3,3,4,4-Nonafluorooctadec-5-ene</t>
  </si>
  <si>
    <t xml:space="preserve">  160460-03-7</t>
  </si>
  <si>
    <t>1,1,1,2,2,3,3,4,4,5,5,6,6,7,7,8,8,9,9,10,10-Henicosafluoro-12-iodohexacosane</t>
  </si>
  <si>
    <t xml:space="preserve">  1257261-91-8</t>
  </si>
  <si>
    <t>1,1,1,2,2,3,3,4,4,5,5,6,6,7,7,8,8-Heptadecafluoro-10-iodotetracosane</t>
  </si>
  <si>
    <t xml:space="preserve">  1257261-94-1</t>
  </si>
  <si>
    <t>1,1,1,2,2,3,3,4,4,5,5,6,6,7,7-Pentadecafluoro-9-iodotricosane</t>
  </si>
  <si>
    <t xml:space="preserve">  57325-43-6</t>
  </si>
  <si>
    <t>1,1,1,2,2,3,3,4,4,5,5,6,6,7,7,8,8,9,9,10,10,11,11,12,12-Pentacosafluorooctacos-13-ene</t>
  </si>
  <si>
    <t xml:space="preserve">  1151525-71-1</t>
  </si>
  <si>
    <t>1,1,1,2,2,3,3,4,4,5,5,6,6,7,7,8,8,9,9,10,10-Henicosafluorohexacos-11-ene</t>
  </si>
  <si>
    <t xml:space="preserve">  1244062-18-7</t>
  </si>
  <si>
    <t>1,1,1,2,2,3,3,4,4,5,5,6,6,7,7,8,8-Heptadecafluorotetracos-9-ene</t>
  </si>
  <si>
    <t xml:space="preserve">  1244062-16-5</t>
  </si>
  <si>
    <t>1,1,1,2,2,3,3,4,4,5,5,6,6-Tridecafluorodocos-7-ene</t>
  </si>
  <si>
    <t xml:space="preserve">  1244062-15-4</t>
  </si>
  <si>
    <t>2,2,3,3,4,4,5,5,6,6,7,7,8,8,8-pentadecafluorooctyl hexadecanoate</t>
  </si>
  <si>
    <t xml:space="preserve">  111918-97-9</t>
  </si>
  <si>
    <t>1,1,1,2,2,3,3,4,4,5,5,6,6,7,7,8,8,9,9,10,10-Henicosafluoro-12-iodooctacosane</t>
  </si>
  <si>
    <t xml:space="preserve">  1257261-90-7</t>
  </si>
  <si>
    <t>1,1,1,2,2,3,3,4,4,5,5,6,6,7,7,8,8-Heptadecafluoro-10-iodohexacosane</t>
  </si>
  <si>
    <t xml:space="preserve">  176979-19-4</t>
  </si>
  <si>
    <t>1,1,1,2,2,3,3,4,4,5,5,6,6,7,7-Pentadecafluoro-9-iodopentacosane</t>
  </si>
  <si>
    <t xml:space="preserve">  2837-34-5</t>
  </si>
  <si>
    <t>1,1,1,2,2,3,3,4,4,5,5,6,6,7,7,8,8-Heptadecafluorohexacos-9-ene</t>
  </si>
  <si>
    <t xml:space="preserve">  907206-01-3</t>
  </si>
  <si>
    <t>1,1,1,2,2,3,3,4,4,5,5,6,6,7,7,8,8,9,9,10,10-Henicosafluoro-12-iodotriacontane</t>
  </si>
  <si>
    <t xml:space="preserve">  1257261-89-4</t>
  </si>
  <si>
    <t>1,1,1,2,2,3,3,4,4,5,5,6,6,7,7,8,8-Heptadecafluoro-10-iodooctacosane</t>
  </si>
  <si>
    <t xml:space="preserve">  1257261-95-2</t>
  </si>
  <si>
    <t>1-(3,3,4,4,5,5,6,6,7,7,8,8,9,9,10,10,11,11,12,12,12-Henicosafluorododecane-1-sulfonyl)-4-(hexyloxy)benzene</t>
  </si>
  <si>
    <t xml:space="preserve">  1161917-33-4</t>
  </si>
  <si>
    <t>Pentyl 4,4,5,5,6,6,7,7,7-nonafluoroheptanoate</t>
  </si>
  <si>
    <t xml:space="preserve">  94345-13-8</t>
  </si>
  <si>
    <t>1,1,1,2,2,3,3,4,4,5,5,6,6-Tridecafluoro-8-(pentyloxy)octane</t>
  </si>
  <si>
    <t xml:space="preserve">  1193009-93-6</t>
  </si>
  <si>
    <t>1,1,1,2,2,3,3,4,4-Nonafluoro-6-(pentyloxy)hexane</t>
  </si>
  <si>
    <t xml:space="preserve">  1193009-96-9</t>
  </si>
  <si>
    <t>Ethyl 3-(butylamino)-4,4,5,5,6,6,6-heptafluorohexanoate</t>
  </si>
  <si>
    <t xml:space="preserve">  2802-65-5</t>
  </si>
  <si>
    <t>1-(2-(2-Butoxyethoxy)ethoxy)3-(perfluorooctyl)propan-2-ol</t>
  </si>
  <si>
    <t xml:space="preserve">  94158-61-9</t>
  </si>
  <si>
    <t>Phosphinic acid, dibutyl-, 4-(2,2,3,3,4,4,4-heptafluorobutyl)phenyl ester</t>
  </si>
  <si>
    <t xml:space="preserve">  7526-47-8</t>
  </si>
  <si>
    <t>1-(Butylsulfanyl)-3,4,4,5,5,6,6,6-octafluorohex-2-ene</t>
  </si>
  <si>
    <t xml:space="preserve">  90292-35-6</t>
  </si>
  <si>
    <t>(3,3,4,4,5,5,6,6,7,7,8,8,9,9,10,10,10-Heptadecafluorodecyl)(tripropoxy)silane</t>
  </si>
  <si>
    <t xml:space="preserve">  521084-64-0</t>
  </si>
  <si>
    <t>1,1,1,2,2,3,3,4,4,5,5,6,6-Tridecafluoro-8-propoxyoctane</t>
  </si>
  <si>
    <t xml:space="preserve">  1193010-01-3</t>
  </si>
  <si>
    <t>1,1,1,2,2,3,3,4,4-Nonafluoro-6-propoxyhexane</t>
  </si>
  <si>
    <t xml:space="preserve">  1193009-98-1</t>
  </si>
  <si>
    <t>N-Ethyl-2,2,3,3,4,4,4-heptafluorobutan-1-amine</t>
  </si>
  <si>
    <t xml:space="preserve">  355-99-7</t>
  </si>
  <si>
    <t>Diethoxy(2-(perfluorooctyl)-1-ethyl)methylsilane</t>
  </si>
  <si>
    <t xml:space="preserve">  152992-46-6</t>
  </si>
  <si>
    <t>1H,1H,2H,2H-Perfluorotetradecyltriethoxysilane</t>
  </si>
  <si>
    <t xml:space="preserve">  885275-56-9</t>
  </si>
  <si>
    <t>1H,1H,2H,2H-Perfluorododecyltriethoxysilane</t>
  </si>
  <si>
    <t xml:space="preserve">  146090-84-8</t>
  </si>
  <si>
    <t>1H,1H,2H,2H-Perfluorodecyltriethoxysilane</t>
  </si>
  <si>
    <t xml:space="preserve">  101947-16-4</t>
  </si>
  <si>
    <t>Triethoxy[5,5,6,6,7,7,7-heptafluoro-4,4-bis(trifluoromethyl)heptyl]silane</t>
  </si>
  <si>
    <t xml:space="preserve">  130676-81-2</t>
  </si>
  <si>
    <t>Triethoxy(1,1,2,2,3,3,6,6,6-nonafluorohexyl)silane</t>
  </si>
  <si>
    <t xml:space="preserve">  102390-98-7</t>
  </si>
  <si>
    <t>Ethyl 3,3,4,4,5,5,6,6,6-nonafluoro-2-methylidenehexanoate</t>
  </si>
  <si>
    <t xml:space="preserve">  117374-41-1</t>
  </si>
  <si>
    <t>Ethyl 2-acetyl-3,3,4,4,5,5,5-heptafluoropentanoate</t>
  </si>
  <si>
    <t xml:space="preserve">  189237-57-8</t>
  </si>
  <si>
    <t>Ethyl 2-[(diphenylmethylidene)amino]-5,5,6,6,7,7,8,8,8-nonafluorooctanoate</t>
  </si>
  <si>
    <t xml:space="preserve">  125162-61-0</t>
  </si>
  <si>
    <t>Ethyl 4,4,5,5,6,6,7,7,8,8,9,9,9-tridecafluoro-2-iodononanoate</t>
  </si>
  <si>
    <t xml:space="preserve">  165281-74-3</t>
  </si>
  <si>
    <t>Ethyl 4,4,5,5,6,6,6-heptafluoronorleucinate</t>
  </si>
  <si>
    <t xml:space="preserve">  63664-52-8</t>
  </si>
  <si>
    <t>Ethyl 3,3,4,4,5,5,6,6,7,7,8,8,9,9,10,10,10-heptadecafluoro-2,2-dihydroxydecanoate</t>
  </si>
  <si>
    <t xml:space="preserve">  1401315-53-4</t>
  </si>
  <si>
    <t>Ethyl 3-amino-4,4,5,5,6,6,6-heptafluorohex-2-enoate</t>
  </si>
  <si>
    <t xml:space="preserve">  87613-26-1</t>
  </si>
  <si>
    <t>Ethyl (2E)-4,4,5,5,6,6,6-heptafluorohex-2-enoate</t>
  </si>
  <si>
    <t xml:space="preserve">  37759-79-8</t>
  </si>
  <si>
    <t>Diethyl 2,6-dihydroxy-2,6-bis(nonafluorobutyl)-4-phenyloxane-3,5-dicarboxylate</t>
  </si>
  <si>
    <t xml:space="preserve">  359875-73-3</t>
  </si>
  <si>
    <t>Ethyl 7,7,8,8,9,9,10,10,10-nonafluoro-3-oxodecanoate</t>
  </si>
  <si>
    <t xml:space="preserve">  1444474-83-2</t>
  </si>
  <si>
    <t>Ethyl 4,4,5,5,6,6,6-heptafluoro-3,3-bis(trifluoromethyl)hexanoate</t>
  </si>
  <si>
    <t xml:space="preserve">  161261-13-8</t>
  </si>
  <si>
    <t>Ethyl 4,4,5,5,6,6,6-heptafluoro-3-(nitromethyl)hexanoate</t>
  </si>
  <si>
    <t xml:space="preserve">  376-88-5</t>
  </si>
  <si>
    <t>Octanoic acid, 3,3,4,4,5,5,6,6,7,7,8,8,8-tridecafluoro-, ethyl ester</t>
  </si>
  <si>
    <t xml:space="preserve">  153296-01-6</t>
  </si>
  <si>
    <t>Ethyl 3,3,4,4,5,5,6,6,6-nonafluorohexanoate</t>
  </si>
  <si>
    <t xml:space="preserve">  172287-15-9</t>
  </si>
  <si>
    <t>Ethyl 3,3,4,4,5,5,5-heptafluoropentanoate</t>
  </si>
  <si>
    <t xml:space="preserve">  773136-96-2</t>
  </si>
  <si>
    <t>Ethyl 4,4,5,5,6,6,6-heptafluoro-3-hydroxyhexanoate</t>
  </si>
  <si>
    <t xml:space="preserve">  2707-76-8</t>
  </si>
  <si>
    <t>Ethyl 4,4,5,5,6,6,6-heptafluoro-3-sulfanylhexanoate</t>
  </si>
  <si>
    <t xml:space="preserve">  377-64-0</t>
  </si>
  <si>
    <t>Ethyl 3-(2-ethoxy-2-oxoethyl)-5-(2,2,3,3,4,4,5,5,6,6,7,7,8,8,9,9,9-heptadecafluorononyl)-2-oxooxolane-3-carboxylate</t>
  </si>
  <si>
    <t xml:space="preserve">  674786-75-5</t>
  </si>
  <si>
    <t>Ethyl 3-(perfluorohexyl)propanoate</t>
  </si>
  <si>
    <t xml:space="preserve">  60023-26-9</t>
  </si>
  <si>
    <t>Ethyl 4,4,5,5,6,6,7,7,7-nonafluoroheptanoate</t>
  </si>
  <si>
    <t xml:space="preserve">  136905-37-8</t>
  </si>
  <si>
    <t>Ethyl 4,4,5,5,6,6,6-heptafluorohexanoate</t>
  </si>
  <si>
    <t xml:space="preserve">  424-66-8</t>
  </si>
  <si>
    <t>Ethyl 3-[(2-ethoxy-2-oxoethyl)amino]-4,4,5,5,6,6,7,7,7-nonafluoroheptanoate</t>
  </si>
  <si>
    <t xml:space="preserve">  132114-64-8</t>
  </si>
  <si>
    <t>Ethyl [(2,2,3,3,4,4,4-heptafluorobutanimidoyl)oxy]acetate</t>
  </si>
  <si>
    <t xml:space="preserve">  4314-33-4</t>
  </si>
  <si>
    <t>10,10-Diethoxy-1,1,1,2,2,3,3,4,4,5,5,6,6,7,7,8,8-heptadecafluorodecane</t>
  </si>
  <si>
    <t xml:space="preserve">  133377-48-7</t>
  </si>
  <si>
    <t>2-(1-Ethoxy-1,2,2,3,3,4,4,4-octafluorobutyl)aniline</t>
  </si>
  <si>
    <t xml:space="preserve">  217474-47-0</t>
  </si>
  <si>
    <t>Diethoxymethyl(1H,1H,2H,2H-perfluorohexyl)silane</t>
  </si>
  <si>
    <t xml:space="preserve">  83038-83-9</t>
  </si>
  <si>
    <t>1-Ethoxy-3,3,4,4,5,5,6,6,6-nonafluorohexan-2-ol</t>
  </si>
  <si>
    <t xml:space="preserve">  89807-88-5</t>
  </si>
  <si>
    <t>Diethyl (3,3,4,4,5,5,6,6,7,7,8,8,9,9,10,10,11,11,12,12,12-henicosafluorododecyl)phosphonate</t>
  </si>
  <si>
    <t xml:space="preserve">  854095-13-9</t>
  </si>
  <si>
    <t>diethyl 3,3,4,4,5,5,6,6,7,7,8,8,9,9,10,10,10-heptadecafluorodecylphosphonate</t>
  </si>
  <si>
    <t xml:space="preserve">  90146-96-6</t>
  </si>
  <si>
    <t>(3,3,4,4,5,5,6,6,7,7,8,8,8-Tridecafluorooctyl)phosphonic acid diethyl ester</t>
  </si>
  <si>
    <t xml:space="preserve">  350608-55-8</t>
  </si>
  <si>
    <t>Diethyl (3,3,4,4,5,5,6,6,6-nonafluorohexyl)phosphonate</t>
  </si>
  <si>
    <t xml:space="preserve">  627909-24-4</t>
  </si>
  <si>
    <t>Phosphonous acid, ethyl-, diethyl ester, compd. with 1,1,1,2,2,3,3-heptafluoro-3-iodopropane (1:1)</t>
  </si>
  <si>
    <t xml:space="preserve">  72220-37-2</t>
  </si>
  <si>
    <t>Phosphonous acid, ethyl-, diethyl ester, compd. with 1,1,1,2,3,3,3-heptafluoro-2-iodopropane (1:1)</t>
  </si>
  <si>
    <t xml:space="preserve">  72220-43-0</t>
  </si>
  <si>
    <t>Ethyl hydrogen (3,3,4,4,5,5,6,6,7,7,8,8,8-tridecafluorooctyl)phosphonate</t>
  </si>
  <si>
    <t xml:space="preserve">  1189052-97-8</t>
  </si>
  <si>
    <t>Ethyl 5,5,6,6,7,7,8,8,8-nonafluorooctane-1-sulfonate</t>
  </si>
  <si>
    <t xml:space="preserve">  1604816-68-3</t>
  </si>
  <si>
    <t>S-Ethyl 3,3,4,4,5,5,5-heptafluoro-2-(2-oxopropyl)pentanethioate</t>
  </si>
  <si>
    <t xml:space="preserve">  1392881-17-2</t>
  </si>
  <si>
    <t>4,4-Bis(ethylsulfanyl)-1,1,1,2,2,3,3-heptafluorobutane</t>
  </si>
  <si>
    <t xml:space="preserve">  145327-73-7</t>
  </si>
  <si>
    <t>2-Ethyl-3,3,4,4,5,5,5-heptafluoropentan-1-amine--hydrogen chloride (1/1)</t>
  </si>
  <si>
    <t xml:space="preserve">  308-38-3</t>
  </si>
  <si>
    <t>5,5,6,6,7,7,7-Heptafluoroheptan-3-amine--hydrogen chloride (1/1)</t>
  </si>
  <si>
    <t xml:space="preserve">  2263-70-9</t>
  </si>
  <si>
    <t>2,2,3,3,4,4,4-Heptafluorobutanimidamide--hydrogen chloride (1/1)</t>
  </si>
  <si>
    <t xml:space="preserve">  2358-53-4</t>
  </si>
  <si>
    <t>2,2,3,3,4,4,5,5,6,6,7,7,8,8,8-Pentadecafluorooctan-1-amine--hydrogen chloride (1/1)</t>
  </si>
  <si>
    <t xml:space="preserve">  5678-75-1</t>
  </si>
  <si>
    <t>2,2,3,3,4,4,4-Heptafluorobutan-1-amine--hydrogen chloride (1/1)</t>
  </si>
  <si>
    <t xml:space="preserve">  2794-75-4</t>
  </si>
  <si>
    <t>O-(4,4,5,5,6,6,7,7,8,8,9,9,10,10,11,11,11-Heptadecafluoroundecyl)hydroxylamine--hydrogen chloride (1/1)</t>
  </si>
  <si>
    <t xml:space="preserve">  1228693-32-0</t>
  </si>
  <si>
    <t>3,3,4,4,5,5,6,6,7,7,8,8,8-tridecafluorooctyl 2-chloroacrylate</t>
  </si>
  <si>
    <t xml:space="preserve">  96383-55-0</t>
  </si>
  <si>
    <t>1-(3,3,4,4,5,5,6,6,7,7,8,8,9,9,10,10,10-Heptadecafluorodecyl)-N,N,1,1-tetramethylsilanamine</t>
  </si>
  <si>
    <t xml:space="preserve">  1221157-06-7</t>
  </si>
  <si>
    <t>N,N,1,1-Tetramethyl-1-(3,3,4,4,5,5,6,6,6-nonafluorohexyl)silanamine</t>
  </si>
  <si>
    <t xml:space="preserve">  1221157-07-8</t>
  </si>
  <si>
    <t>1-(3,3,4,4,5,5,6,6,7,7,8,8,9,9,10,10,10-Heptadecafluorodecyl)-N,N,N',N',1-pentamethylsilanediamine</t>
  </si>
  <si>
    <t xml:space="preserve">  186599-47-3</t>
  </si>
  <si>
    <t>N,N,N',N',1-Pentamethyl-1-(3,3,4,4,5,5,6,6,7,7,8,8,8-tridecafluorooctyl)silanediamine</t>
  </si>
  <si>
    <t xml:space="preserve">  879881-65-9</t>
  </si>
  <si>
    <t>1-(3,3,4,4,5,5,6,6,7,7,8,8,9,9,10,10,10-Heptadecafluorodecyl)-N,N,N',N',N'',N''-hexamethylsilanetriamine</t>
  </si>
  <si>
    <t xml:space="preserve">  186599-45-1</t>
  </si>
  <si>
    <t>N,N,N',N',N'',N''-Hexamethyl-1-(1,1,2,2,3,3,6,6,6-nonafluorohexyl)silanetriamine</t>
  </si>
  <si>
    <t xml:space="preserve">  186599-46-2</t>
  </si>
  <si>
    <t>1-(Dimethylamino)-4,4,5,5,6,6,7,7,7-nonafluoroheptan-2-ol</t>
  </si>
  <si>
    <t xml:space="preserve">  1023972-12-4</t>
  </si>
  <si>
    <t>1-Propanaminium, 2-hydroxy-N,N,N-trimethyl-, 3-[(.gamma.-.omega.-perfluoro-C6-20-alkyl)thio] derivs., chlorides</t>
  </si>
  <si>
    <t xml:space="preserve">  70983-60-7</t>
  </si>
  <si>
    <t>N,N-Dimethyl-3-((perfluorohexyl)ethylsulfonyl)aminopropanamine N-oxide</t>
  </si>
  <si>
    <t xml:space="preserve">  80475-32-7</t>
  </si>
  <si>
    <t>1-((3-(Dimethylamino)propyl)amino)-(3-(perfluorooctyl))propan-2-ol</t>
  </si>
  <si>
    <t xml:space="preserve">  94159-81-6</t>
  </si>
  <si>
    <t>6:2 Fluorotelomer sulfonamide amine</t>
  </si>
  <si>
    <t xml:space="preserve">  34455-22-6</t>
  </si>
  <si>
    <t>N-{3-[(3,3,4,4,5,5,6,6,7,7,8,8,9,9,10,10,10-Heptadecafluorodecyl)sulfanyl]-2-hydroxypropyl}-N-methylglycine</t>
  </si>
  <si>
    <t xml:space="preserve">  93128-66-6</t>
  </si>
  <si>
    <t>3,3,4,4,5,5,6,6,6-Nonafluoro-2-hydroxy-N,N~2~-dimethylnorleucinamide</t>
  </si>
  <si>
    <t xml:space="preserve">  107070-94-0</t>
  </si>
  <si>
    <t>2,2,3,3,4,4,4-Heptafluoro-N-methylbutan-1-amine</t>
  </si>
  <si>
    <t xml:space="preserve">  755-42-0</t>
  </si>
  <si>
    <t>methyl-(7,7,8,8,9,9,10,10,10-nonafluorodecyl)amine</t>
  </si>
  <si>
    <t xml:space="preserve">  228569-98-0</t>
  </si>
  <si>
    <t>N-Methyl-4-[3,4,4,4-tetrafluoro-3-(trifluoromethyl)butane-1-sulfonyl]butan-1-amine</t>
  </si>
  <si>
    <t xml:space="preserve">  1353009-38-7</t>
  </si>
  <si>
    <t>Silane, trimethoxy(3,3,4,4,5,5,6,6,6-nonafluorohexyl)-</t>
  </si>
  <si>
    <t>85877-79-8</t>
  </si>
  <si>
    <t>(3,3,4,4,5,5,6,6,7,7,8,8,9,9,10,10,11,11,12,12,12-Henicosafluorododecyl)(trimethoxy)silane</t>
  </si>
  <si>
    <t xml:space="preserve">  123445-18-1</t>
  </si>
  <si>
    <t>1H,1H,2H,2H-Perfluorodecyltrimethoxysilane</t>
  </si>
  <si>
    <t xml:space="preserve">  83048-65-1</t>
  </si>
  <si>
    <t>1,6-bis(trimethoxysilanylethyl)perfluorohexane</t>
  </si>
  <si>
    <t xml:space="preserve">  94403-04-0</t>
  </si>
  <si>
    <t>(3,3,4,4,5,5,5-Heptafluoropentyl)(trimethoxy)silane</t>
  </si>
  <si>
    <t xml:space="preserve">  109134-39-6</t>
  </si>
  <si>
    <t>3,3,4,4,5,5,6,6,7,7,8,8,8-Tridecafluorooctyl [3-(trimethoxysilyl)propyl]carbamate</t>
  </si>
  <si>
    <t xml:space="preserve">  1421688-36-9</t>
  </si>
  <si>
    <t>Methyl 4,4,5,5,6,6,6-heptafluoro-2-methylidenehexanoate</t>
  </si>
  <si>
    <t xml:space="preserve">  88021-90-3</t>
  </si>
  <si>
    <t>Methyl 5-cyano-α-((perfluoropropyl)ethyl)sulfinyl-α,β-dimethyl-3-thiophenepropanoate</t>
  </si>
  <si>
    <t xml:space="preserve">  1137678-56-8</t>
  </si>
  <si>
    <t>Methyl 4,4,5,5,6,6,6-heptafluoro-2-methylhex-2-enoate</t>
  </si>
  <si>
    <t xml:space="preserve">  88021-94-7</t>
  </si>
  <si>
    <t>Hexanoic acid, 4,4,5,5,6,6,6-heptafluoro-2-methyl-, methyl ester</t>
  </si>
  <si>
    <t xml:space="preserve">  88021-93-6</t>
  </si>
  <si>
    <t>Methyl 2-(heptafluoropropyl)-2-(trifluoromethyl)pent-4-en-1-</t>
  </si>
  <si>
    <t xml:space="preserve">  83846-71-3</t>
  </si>
  <si>
    <t>Methyl 2-chloro-3,3,4,4,5,5,6,6,6-nonafluorohexanoate</t>
  </si>
  <si>
    <t xml:space="preserve">  116356-70-8</t>
  </si>
  <si>
    <t>Methyl 4,4,5,5,6,6,6-heptafluorohex-2-enoate</t>
  </si>
  <si>
    <t xml:space="preserve">  813-06-9</t>
  </si>
  <si>
    <t>Methyl 4,4,5,5,6,6,6-heptafluoro-3,3-dihydroxyhexanoate</t>
  </si>
  <si>
    <t xml:space="preserve">  89148-14-1</t>
  </si>
  <si>
    <t>Methyl 4,4,5,5,6,6,7,7,8,8,9,9,10,10,11,11,11-heptadecafluoroundecanoate</t>
  </si>
  <si>
    <t xml:space="preserve">  132424-37-4</t>
  </si>
  <si>
    <t>Methyl 3-(perfluorohexyl)propanoate</t>
  </si>
  <si>
    <t xml:space="preserve">  110260-75-8</t>
  </si>
  <si>
    <t>Methyl 2H,2H,3H,3H-perfluoroheptanoate</t>
  </si>
  <si>
    <t xml:space="preserve">  132424-36-3</t>
  </si>
  <si>
    <t>Methyl 4,4,5,5,6,6,6-heptafluorohexanoate</t>
  </si>
  <si>
    <t xml:space="preserve">  2070-60-2</t>
  </si>
  <si>
    <t>2,2,3,3,4,4,4-Heptafluorobutyl methyl carbonate</t>
  </si>
  <si>
    <t xml:space="preserve">  277332-95-3</t>
  </si>
  <si>
    <t>1,1,1,2,2,3,3,4,4,5,5,6,6-Tridecafluoro-8,8-dimethoxyoctane</t>
  </si>
  <si>
    <t xml:space="preserve">  142502-76-9</t>
  </si>
  <si>
    <t>(1E)-1,2,3,3,4,4,5,5,6,6,6-Undecafluoro-1-methoxyhex-1-ene</t>
  </si>
  <si>
    <t xml:space="preserve">  62949-64-8</t>
  </si>
  <si>
    <t>2,2,3,3,4,4,4-Heptafluoro-1-methoxybutan-1-ol</t>
  </si>
  <si>
    <t xml:space="preserve">  377-52-6</t>
  </si>
  <si>
    <t>(1Z)-2,2,3,3,4,4,4-Heptafluoro-N-(4-methoxy-2-methylphenyl)butanimidoyl chloride</t>
  </si>
  <si>
    <t xml:space="preserve">  923569-77-1</t>
  </si>
  <si>
    <t>(1Z)-N-[2-(Bromomethyl)-4-methoxyphenyl]-2,2,3,3,4,4,4-heptafluorobutanimidoyl chloride</t>
  </si>
  <si>
    <t xml:space="preserve">  923569-78-2</t>
  </si>
  <si>
    <t>1,1-Di-(4-methoxyphenyl)-1-[4-(1H,1H,2H,2H-perfluorodecyl)phenyl]methyl chloride</t>
  </si>
  <si>
    <t xml:space="preserve">  865758-36-7</t>
  </si>
  <si>
    <t>1-(Chloro[4-(2-(perfluorooctyl)ethyl)phenyl]phenylmethyl)-4-methoxybenzene</t>
  </si>
  <si>
    <t xml:space="preserve">  865758-37-8</t>
  </si>
  <si>
    <t>[4-(3,3,4,4,5,5,6,6,7,7,8,8,9,9,10,10,10-Heptadecafluorodecyl)phenyl]bis(4-methoxyphenyl)methanol</t>
  </si>
  <si>
    <t xml:space="preserve">  865758-47-0</t>
  </si>
  <si>
    <t>Thymidine, 5'-O-[[4-(1H,1H,2H,2H-perfluorodecyl)phenyl]bis(4-methoxyphenyl)methyl]-, 3'-[2-cyanoethyl N,N-bis(1-methylethyl)phosphoramidite]</t>
  </si>
  <si>
    <t xml:space="preserve">  902456-09-1</t>
  </si>
  <si>
    <t>Cytidine, N-benzoyl-2'-deoxy-5'-O-[[4-(1H,1H,2H,2H-perfluorodecyl)phenyl]bis(4-methoxyphenyl)methyl]-, 3'-[2-cyanoethyl N,N-bis(1-methylethyl)phosphoramidite]</t>
  </si>
  <si>
    <t xml:space="preserve">  1401422-19-2</t>
  </si>
  <si>
    <t>Guanosine, 2'-deoxy-5'-O-[[4-(1H,1H,2H,2H-perfluorodecyl)phenyl]bis(4-methoxyphenyl)methyl]-N-(2-methyl-1-oxopropyl)-, 3'-[2-cyanoethyl N,N-bis(1-methylethyl)phosphoramidite]</t>
  </si>
  <si>
    <t xml:space="preserve">  1401422-21-6</t>
  </si>
  <si>
    <t>Guanosine, 2'-deoxy-5'-O-[[4-(1H,1H,2H,2H-perfluorodecyl)phenyl](4-methoxyphenyl)phenylmethyl]-N-(2-methyl-1-oxopropyl)-, 3'-[2-cyanoethyl N,N-bis(1-methylethyl)phosphoramidite]</t>
  </si>
  <si>
    <t xml:space="preserve">  1401422-22-7</t>
  </si>
  <si>
    <t>4-[(4,4,5,5,6,6,7,7,8,8,9,9,10,10,11,11,11-Heptadecafluoroundecyl)oxy]-5-methoxy-2-nitrobenzaldehyde</t>
  </si>
  <si>
    <t xml:space="preserve">  853928-88-8</t>
  </si>
  <si>
    <t>{4-[(4,4,5,5,6,6,7,7,8,8,9,9,10,10,11,11,11-Heptadecafluoroundecyl)oxy]-5-methoxy-2-nitrophenyl}methanol</t>
  </si>
  <si>
    <t xml:space="preserve">  853929-03-0</t>
  </si>
  <si>
    <t>3,4,4,5,5,6,6,6-Octafluoro-1-methoxyhex-2-ene</t>
  </si>
  <si>
    <t xml:space="preserve">  90292-38-9</t>
  </si>
  <si>
    <t>32-(Perfluorodecyl)-2,5,8,11,14,17,20,23,26,29-decaoxadotriacontan-31-ol</t>
  </si>
  <si>
    <t xml:space="preserve">  93776-07-9</t>
  </si>
  <si>
    <t>32-(Perfluoro-7-methyloctyl)-2,5,8,11,14,17,20,23,26,29-decaoxadotriacontan-31-ol</t>
  </si>
  <si>
    <t xml:space="preserve">  93776-11-5</t>
  </si>
  <si>
    <t>32-(Perfluoro-11-methyldodecyl)-2,5,8,11,14,17,20,23,26,29-decaoxadotriacontan-31-ol</t>
  </si>
  <si>
    <t xml:space="preserve">  93776-09-1</t>
  </si>
  <si>
    <t>33,33,34,34,35,35,36,36,37,37,38,38,39,39,40,40,41,41,42,42,43,43,44,44,44-pentacosafluoro-2,5,8,11,14,17,20,23,26-decaoxatetratetracontan-31-ol (English, Spanish) (EINECS)</t>
  </si>
  <si>
    <t xml:space="preserve">  93776-06-8</t>
  </si>
  <si>
    <t>32-(Perfluorooctyl)-2,5,8,11,14,17,20,23,26,29-decaoxadotriacontan-31-ol</t>
  </si>
  <si>
    <t xml:space="preserve">  93776-08-0</t>
  </si>
  <si>
    <t>Dimethyl (3,3,4,4,5,5,6,6,7,7,8,8,9,9,10,10,11,11,12,12,12-henicosafluorododecyl)phosphonate</t>
  </si>
  <si>
    <t xml:space="preserve">  61726-45-2</t>
  </si>
  <si>
    <t>Dimethyl (3,3,4,4,5,5,6,6,7,7,8,8,9,9,10,10,10-heptadecafluorodecyl)phosphonate</t>
  </si>
  <si>
    <t xml:space="preserve">  61726-43-0</t>
  </si>
  <si>
    <t>Dimethyl (3,3,4,4,5,5,6,6,7,7,8,8,8-tridecafluorooctyl)phosphonatato</t>
  </si>
  <si>
    <t xml:space="preserve">  61726-44-1</t>
  </si>
  <si>
    <t>1-Cyano-2,2,3,3,4,4,4-heptafluorobutyl dimethyl phosphate</t>
  </si>
  <si>
    <t xml:space="preserve">  56376-19-3</t>
  </si>
  <si>
    <t>2,2,3,3,4,4,5,5,6,6,6-Undecafluorohexyl methanesulfonate</t>
  </si>
  <si>
    <t xml:space="preserve">  188534-35-2</t>
  </si>
  <si>
    <t>2,2,3,3,4,4,4-Heptafluorobutyl methanesulfonate</t>
  </si>
  <si>
    <t xml:space="preserve">  755-88-4</t>
  </si>
  <si>
    <t>3,3,4,4,5,5,6,6,7,7,8,8,8-Tridecafluorooctyl methanesulfonate</t>
  </si>
  <si>
    <t xml:space="preserve">  156575-40-5</t>
  </si>
  <si>
    <t>1,1,1,2,2,3,3,4,4-Nonafluoro-6-(methanesulfinyl)hexane</t>
  </si>
  <si>
    <t xml:space="preserve">  357604-65-0</t>
  </si>
  <si>
    <t>Phenyl(tridecafluorohexyl)iodanium tetrafluoridoborate(1-)</t>
  </si>
  <si>
    <t xml:space="preserve">  74061-32-8</t>
  </si>
  <si>
    <t>1-(Difluoroiodo)perfluoro-1-octyne</t>
  </si>
  <si>
    <t xml:space="preserve">  1424379-19-0</t>
  </si>
  <si>
    <t>3-Methyl-1-((perfluorohexyl)ethyl)-1H-imidazol-3-ium hexafluorophosphate</t>
  </si>
  <si>
    <t xml:space="preserve">  313475-50-2</t>
  </si>
  <si>
    <t>3-Butyl-1-((perfluorohexyl)eth-2-yl)-1H-imidazol-3-ium hexafluorophosphate</t>
  </si>
  <si>
    <t xml:space="preserve">  313475-52-4</t>
  </si>
  <si>
    <t>3,3,4,4,5,5,6,6,7,7,8,8,9,9,10,10,10-Heptadecafluorodecyl 2-fluoroprop-2-enoate</t>
  </si>
  <si>
    <t xml:space="preserve">  96250-52-1</t>
  </si>
  <si>
    <t>4,5,5,6,6,7,7,8,8,9,9,9-Dodecafluoronona-1,3-diene</t>
  </si>
  <si>
    <t xml:space="preserve">  74338-55-9</t>
  </si>
  <si>
    <t>3,4,4,5,5,6,6,7,7,8,8,9,9,10,10,11,11,12,12,12-Icosafluorododec-2-enal</t>
  </si>
  <si>
    <t>3,4,4,5,5,6,6,7,7,8,8,8-Dodecafluorooct-2-enal</t>
  </si>
  <si>
    <t xml:space="preserve">  69534-12-9</t>
  </si>
  <si>
    <t>1,1,1,2,2,3,3,4,4,7,8,8,9,9,10,10,11,11,12,12,13,13,14,14,14-Pentacosafluorotetradec-6-ene</t>
  </si>
  <si>
    <t xml:space="preserve">  53638-14-5</t>
  </si>
  <si>
    <t>Perfluoro-1-iodo-9-methyldecane</t>
  </si>
  <si>
    <t xml:space="preserve">  677-93-0</t>
  </si>
  <si>
    <t>Pentacosafluoro-1-iodododecane</t>
  </si>
  <si>
    <t xml:space="preserve">  307-60-8</t>
  </si>
  <si>
    <t>Perfluorodecyl iodide</t>
  </si>
  <si>
    <t xml:space="preserve">  423-62-1</t>
  </si>
  <si>
    <t>Perfluorooctyl iodide</t>
  </si>
  <si>
    <t xml:space="preserve">  507-63-1</t>
  </si>
  <si>
    <t>Perfluorohexyl iodide</t>
  </si>
  <si>
    <t xml:space="preserve">  355-43-1</t>
  </si>
  <si>
    <t>Perfluoroisononyl iodide</t>
  </si>
  <si>
    <t xml:space="preserve">  865-77-0</t>
  </si>
  <si>
    <t>Iodononafluoro-t-butane</t>
  </si>
  <si>
    <t xml:space="preserve">  4459-18-1</t>
  </si>
  <si>
    <t>Nonafluoro-1-iodobutane</t>
  </si>
  <si>
    <t xml:space="preserve">  423-39-2</t>
  </si>
  <si>
    <t>Perfluoro-1,4-diiodobutane</t>
  </si>
  <si>
    <t xml:space="preserve">  375-50-8</t>
  </si>
  <si>
    <t>10:2 Fluorotelomer unsaturated carboxylic acid</t>
  </si>
  <si>
    <t xml:space="preserve">  70887-94-4</t>
  </si>
  <si>
    <t>2H-Perfluoro-2-decenoic acid</t>
  </si>
  <si>
    <t xml:space="preserve">  70887-84-2</t>
  </si>
  <si>
    <t>2H-Perfluoro-2-octenoic acid</t>
  </si>
  <si>
    <t xml:space="preserve">  70887-88-6</t>
  </si>
  <si>
    <t>(Perfluorooctyl)hexadecene</t>
  </si>
  <si>
    <t>Thiocyanic acid, 3,3,4,4,5,5,6,6,7,7,8,8,8-tridecafluorooctyl ester</t>
  </si>
  <si>
    <t xml:space="preserve">  26650-09-9</t>
  </si>
  <si>
    <t>2,2,3,3,4,4,5,5,6,6,7,7,7-Tridecafluoro-1,1-heptanediol</t>
  </si>
  <si>
    <t xml:space="preserve">  64739-16-8</t>
  </si>
  <si>
    <t>1H,1H,3H-Perfluorobutyl acrylate</t>
  </si>
  <si>
    <t xml:space="preserve">  54052-90-3</t>
  </si>
  <si>
    <t>1,1,1,2,2,3,3-Heptafluoro-4-(1,1,2,3,3,3-hexafluoropropoxy)butane</t>
  </si>
  <si>
    <t xml:space="preserve">  1184-97-0</t>
  </si>
  <si>
    <t>6:2 Fluorotelomer unsaturated aldehyde</t>
  </si>
  <si>
    <t>3-(Perfluorobutyl)propanoic acid</t>
  </si>
  <si>
    <t xml:space="preserve">  80705-13-1</t>
  </si>
  <si>
    <t>8:2 Fluorotelomer aldehyde</t>
  </si>
  <si>
    <t xml:space="preserve">  135984-68-8</t>
  </si>
  <si>
    <t>4:2 Fluorotelomer aldehyde</t>
  </si>
  <si>
    <t xml:space="preserve">  135984-67-7</t>
  </si>
  <si>
    <t>1,8-Divinylperfluorooctane</t>
  </si>
  <si>
    <t xml:space="preserve">  35192-44-0</t>
  </si>
  <si>
    <t>1,6-Divinylperfluorohexane</t>
  </si>
  <si>
    <t xml:space="preserve">  1800-91-5</t>
  </si>
  <si>
    <t>1,4-Divinylperfluorobutane</t>
  </si>
  <si>
    <t xml:space="preserve">  678-65-9</t>
  </si>
  <si>
    <t>Decane, 3,3,4,4,5,5,6,6,7,7,8,8-dodecafluoro-1,10-diiodo-</t>
  </si>
  <si>
    <t xml:space="preserve">  1813-83-8</t>
  </si>
  <si>
    <t>6:2 Fluorotelomer sulfonic acid</t>
  </si>
  <si>
    <t xml:space="preserve">  27619-97-2</t>
  </si>
  <si>
    <t>1-Chloro-8-iodoperfluorooctane</t>
  </si>
  <si>
    <t xml:space="preserve">  16486-98-9</t>
  </si>
  <si>
    <t>1-Chloro-6-iodoperfluorohexane</t>
  </si>
  <si>
    <t xml:space="preserve">  16486-97-8</t>
  </si>
  <si>
    <t>1H,1H,5H,5H-Perfluoro-1,5-pentanediol diacrylate</t>
  </si>
  <si>
    <t xml:space="preserve">  678-95-5</t>
  </si>
  <si>
    <t>1,5-bis(2,3-epoxypropoxy)-2,2,3,3,4,4-hexafluoropentane</t>
  </si>
  <si>
    <t xml:space="preserve">  4798-39-4</t>
  </si>
  <si>
    <t>2,2,3,3,4,4,4-Heptafluorobutyl trifluoroacetate</t>
  </si>
  <si>
    <t xml:space="preserve">  1365808-09-8</t>
  </si>
  <si>
    <t>(1,1,1,5,5,6,6,7,7,7-Decafluorohept-3-yn-2-ylidene)cyclopentane</t>
  </si>
  <si>
    <t xml:space="preserve">  139226-05-4</t>
  </si>
  <si>
    <t>1,1,1,2,3,3,4,4,5,5,6,6,7,7,8,8,9,9,10,10-Icosafluoro-12-iodo-2-(trifluoromethyl)dodecane</t>
  </si>
  <si>
    <t xml:space="preserve">  242142-80-9</t>
  </si>
  <si>
    <t>2-(Perfluoro-7-methyloctyl)ethyl iodide</t>
  </si>
  <si>
    <t xml:space="preserve">  40678-31-7</t>
  </si>
  <si>
    <t>2-[2,2,3,3,4,4,5,5,6,7,7,7-dodecafluoro-6-(trifluoromethyl)heptyl]oxirane</t>
  </si>
  <si>
    <t xml:space="preserve">  24564-77-0</t>
  </si>
  <si>
    <t>1,1,1,2,3,3,4,4,5,5,6,6-dodecafluoro-8-iodo-2-(trifluoromethyl)octane</t>
  </si>
  <si>
    <t xml:space="preserve">  18017-20-4</t>
  </si>
  <si>
    <t>3,3,4,4,5,5,6,6,7,8,8,8-Dodecafluoro-7-(trifluoromethyl)octyl prop-2-enoate</t>
  </si>
  <si>
    <t xml:space="preserve">  50836-65-2</t>
  </si>
  <si>
    <t>3,3,4,4,5,6,6,6-Octafluoro-5-(trifluoromethyl)hex-1-ene</t>
  </si>
  <si>
    <t xml:space="preserve">  139060-76-7</t>
  </si>
  <si>
    <t>3-(Perfluoro-3-methylbutyl)-1,2-propenoxide</t>
  </si>
  <si>
    <t xml:space="preserve">  54009-81-3</t>
  </si>
  <si>
    <t>[3,3,4,4,5,6,6,6-octafluoro-5-(trifluoromethyl)hexyl] Prop-2-enoate</t>
  </si>
  <si>
    <t xml:space="preserve">  86217-01-8</t>
  </si>
  <si>
    <t>Perfluoro-3-methylbutyl iodide</t>
  </si>
  <si>
    <t xml:space="preserve">  1514-90-5</t>
  </si>
  <si>
    <t>Propane, 2-(difluoroiodomethyl)-1,1,1,2,3,3,3-heptafluoro-</t>
  </si>
  <si>
    <t xml:space="preserve">  1542-18-3</t>
  </si>
  <si>
    <t>3,4,4,4-tetrafluoro-3-(trifluoromethyl)but-1-yne</t>
  </si>
  <si>
    <t xml:space="preserve">  24690-53-7</t>
  </si>
  <si>
    <t>2-Vinylperfluoropropane</t>
  </si>
  <si>
    <t xml:space="preserve">  88562-41-8</t>
  </si>
  <si>
    <t>(1E)-3,4,4,4-Tetrafluoro-1-iodo-3-(trifluoromethyl)but-1-ene</t>
  </si>
  <si>
    <t xml:space="preserve">  24716-84-5</t>
  </si>
  <si>
    <t>3,4,4,4-Tetrafluoro-1-iodo-3-(trifluoromethyl)but-1-ene</t>
  </si>
  <si>
    <t xml:space="preserve">  24716-85-6</t>
  </si>
  <si>
    <t>3,4,4,4-Tetrafluoro-3-(trifluoromethyl)butanal</t>
  </si>
  <si>
    <t xml:space="preserve">  131118-41-7</t>
  </si>
  <si>
    <t>[2,3,3,3-Tetrafluoro-2-(trifluoromethyl)propyl]oxirane</t>
  </si>
  <si>
    <t xml:space="preserve">  74328-57-7</t>
  </si>
  <si>
    <t>4-Bromo-1,1,1,2-tetrafluoro-2-(trifluoromethyl)butane</t>
  </si>
  <si>
    <t xml:space="preserve">  1274903-97-7</t>
  </si>
  <si>
    <t>2,4-Bis[3,4,4,4-tetrafluoro-3-(trifluoromethyl)butyl]-1lambda~6~,3lambda~6~-dithietane-1,1,3,3-tetrone</t>
  </si>
  <si>
    <t xml:space="preserve">  1346175-94-7</t>
  </si>
  <si>
    <t>1,1,1,2-Tetrafluoro-6-iodo-2-(trifluoromethyl)hexane</t>
  </si>
  <si>
    <t xml:space="preserve">  99324-97-7</t>
  </si>
  <si>
    <t>2-(2-Iodoethyl)perfluoropropane</t>
  </si>
  <si>
    <t xml:space="preserve">  99324-96-6</t>
  </si>
  <si>
    <t>4-(Ethenyloxy)-1,1,1,2-tetrafluoro-2-(trifluoromethyl)butane</t>
  </si>
  <si>
    <t xml:space="preserve">  90999-86-3</t>
  </si>
  <si>
    <t>N-Chloro-2,2,3,3,4,4,4-heptafluorobutanimidamide</t>
  </si>
  <si>
    <t xml:space="preserve">  13050-20-9</t>
  </si>
  <si>
    <t>N'-(Benzenesulfonyl)-2,2,3,3,4,4,4-heptafluorobutanimidohydrazide</t>
  </si>
  <si>
    <t xml:space="preserve">  4454-57-3</t>
  </si>
  <si>
    <t>2,2,3,3,4,4,4-Heptafluoro-1-(morpholin-4-yl)butane-1-thione</t>
  </si>
  <si>
    <t xml:space="preserve">  1206684-15-2</t>
  </si>
  <si>
    <t>2,2,3,3,4,4,4-Heptafluoro-N-phenylbutanethioamide</t>
  </si>
  <si>
    <t xml:space="preserve">  61881-12-7</t>
  </si>
  <si>
    <t>2-bromo-3,3,4,4,5,5,5-heptafluoropent-1-ene</t>
  </si>
  <si>
    <t xml:space="preserve">  96916-53-9</t>
  </si>
  <si>
    <t>4,5-Dibromo-1,1,1,2,2,3,3-heptafluoropentane</t>
  </si>
  <si>
    <t xml:space="preserve">  377-46-8</t>
  </si>
  <si>
    <t>4,4,5,5,6,6,6-Heptafluoro-3,3-bis(trifluoromethyl)hex-1-ene</t>
  </si>
  <si>
    <t xml:space="preserve">  79272-26-7</t>
  </si>
  <si>
    <t>1-bromo-4,4,5,5,6,6,6-heptafluoro-3,3-bis(trifluoromethyl)hex-1-ene</t>
  </si>
  <si>
    <t xml:space="preserve">  128454-94-4</t>
  </si>
  <si>
    <t>6,6,7,7,8,8,8-Heptafluoro-5,5-bis(trifluoromethyl)octa-1,3-diene</t>
  </si>
  <si>
    <t xml:space="preserve">  1429188-77-1</t>
  </si>
  <si>
    <t>4,4,5,5,6,6,6-heptafluoro-1-iodo-3,3-bis(trifluoromethyl)hex-1-ene</t>
  </si>
  <si>
    <t xml:space="preserve">  126681-21-8</t>
  </si>
  <si>
    <t>(Perfluoropropyl)-2-(2-phenylhydrazinylidene)ethanal phenylhydrazone</t>
  </si>
  <si>
    <t xml:space="preserve">  57912-15-9</t>
  </si>
  <si>
    <t>2,2'-(2,2,3,3,4,4,4-Heptafluorobutane-1,1-diyl)di(1H-pyrrole)</t>
  </si>
  <si>
    <t xml:space="preserve">  164792-01-2</t>
  </si>
  <si>
    <t>(6E)-1,1,1,2,2,3,3,10,10,11,11,12,12,12-Tetradecafluoro-4,4,9,9-tetrakis(trifluoromethyl)dodec-6-ene</t>
  </si>
  <si>
    <t xml:space="preserve">  1946796-71-9</t>
  </si>
  <si>
    <t>Bis{4-[3,3,4,4,5,5,5-heptafluoro-2,2-bis(trifluoromethyl)pentyl]phenyl}(phenyl)phosphane</t>
  </si>
  <si>
    <t xml:space="preserve">  322647-83-6</t>
  </si>
  <si>
    <t>1-Bromo-4-[3,3,4,4,5,5,5-heptafluoro-2,2-bis(trifluoromethyl)pentyl]benzene</t>
  </si>
  <si>
    <t xml:space="preserve">  149068-60-0</t>
  </si>
  <si>
    <t>2-[3,3,4,4,5,5,5-Heptafluoro-2,2-bis(trifluoromethyl)pentyl]oxirane</t>
  </si>
  <si>
    <t xml:space="preserve">  119285-89-1</t>
  </si>
  <si>
    <t>6-Bromo-1,1,1,2,2,3,3-heptafluoro-4,4-bis(trifluoromethyl)hexane</t>
  </si>
  <si>
    <t xml:space="preserve">  128454-91-1</t>
  </si>
  <si>
    <t>1,1,1,2,2,3,3-heptafluoro-6-iodo-4,4-bis(trifluoromethyl)hexane</t>
  </si>
  <si>
    <t xml:space="preserve">  115347-68-7</t>
  </si>
  <si>
    <t>4,5-Dichloro-1,1,1,2,2,3,3-heptafluoropentane</t>
  </si>
  <si>
    <t xml:space="preserve">  577773-57-0</t>
  </si>
  <si>
    <t>1,1,2-Tribromo-1-(nonafluorobutyl)ethane</t>
  </si>
  <si>
    <t xml:space="preserve">  59665-24-6</t>
  </si>
  <si>
    <t>2-Bromo-3,3,4,4,5,5,6,6,6-nonafluorohex-1-ene</t>
  </si>
  <si>
    <t xml:space="preserve">  59665-23-5</t>
  </si>
  <si>
    <t>5,6-dibromo-1,1,1,2,2,3,3,4,4-nonafluorohexane</t>
  </si>
  <si>
    <t xml:space="preserve">  236736-19-9</t>
  </si>
  <si>
    <t>2-Chloro-3,3,4,4,5,5,6,6,6-nonafluorohex-1-ene</t>
  </si>
  <si>
    <t xml:space="preserve">  110927-72-5</t>
  </si>
  <si>
    <t>5,6-Dichloro-1,1,1,2,2,3,3,4,4-nonafluorohexane</t>
  </si>
  <si>
    <t xml:space="preserve">  136483-77-7</t>
  </si>
  <si>
    <t>(Perfluorohexyl)hexadecene</t>
  </si>
  <si>
    <t>N-(2,2,3,3,4,4,5,5,6,6,7,7,7-Tridecafluoroheptanimidoyl)benzenecarboximidamide</t>
  </si>
  <si>
    <t xml:space="preserve">  123528-68-7</t>
  </si>
  <si>
    <t>N-[(2,2,3,3,4,4,5,5,6,6,7,7,7-Tridecafluoroheptanimidoyl)oxy]benzenecarboximidamide</t>
  </si>
  <si>
    <t xml:space="preserve">  146304-61-2</t>
  </si>
  <si>
    <t>7,7,8-Tribromo-1,1,1,2,2,3,3,4,4,5,5,6,6-tridecafluorooctane</t>
  </si>
  <si>
    <t xml:space="preserve">  59665-25-7</t>
  </si>
  <si>
    <t>2-Bromo-2-(Perfluorohexyl)ethene</t>
  </si>
  <si>
    <t xml:space="preserve">  51249-64-0</t>
  </si>
  <si>
    <t>(1Z)-1,2-Dibromo-3,3,4,4,5,5,6,6,7,7,8,8,8-tridecafluorooct-1-ene</t>
  </si>
  <si>
    <t xml:space="preserve">  59665-28-0</t>
  </si>
  <si>
    <t>7,8-Dibromo-1,1,1,2,2,3,3,4,4,5,5,6,6-tridecafluorooctane</t>
  </si>
  <si>
    <t xml:space="preserve">  51249-62-8</t>
  </si>
  <si>
    <t>7,8-Dichloro-1,1,1,2,2,3,3,4,4,5,5,6,6-tridecafluorooctane</t>
  </si>
  <si>
    <t xml:space="preserve">  319490-55-6</t>
  </si>
  <si>
    <t>1,1,1,3,3,5-Hexafluoro-5-(heptadecafluorooctyl)-5-(pentafluoroethyl)trisiloxane</t>
  </si>
  <si>
    <t xml:space="preserve">  163921-85-5</t>
  </si>
  <si>
    <t>9,9,10-Tribromo-1,1,1,2,2,3,3,4,4,5,5,6,6,7,7,8,8-heptadecafluorodecane</t>
  </si>
  <si>
    <t xml:space="preserve">  59665-26-8</t>
  </si>
  <si>
    <t>2-Bromo-3,3,4,4,5,5,6,6,7,7,8,8,9,9,10,10,10-heptadecafluorodec-1-ene</t>
  </si>
  <si>
    <t xml:space="preserve">  51249-65-1</t>
  </si>
  <si>
    <t>9,10-Dibromo-1,1,1,2,2,3,3,4,4,5,5,6,6,7,7,8,8-heptadecafluorodecane</t>
  </si>
  <si>
    <t xml:space="preserve">  51249-63-9</t>
  </si>
  <si>
    <t>2-Chloro-3,3,4,4,5,5,6,6,7,7,8,8,9,9,10,10,10-heptadecafluorodec-1-ene</t>
  </si>
  <si>
    <t xml:space="preserve">  110927-73-6</t>
  </si>
  <si>
    <t>11,12-Dibromo-1,1,1,2,2,3,3,4,4,5,5,6,6,7,7,8,8,9,9,10,10-henicosafluorododecane</t>
  </si>
  <si>
    <t xml:space="preserve">  214358-54-0</t>
  </si>
  <si>
    <t>((Perfluorohexadecyl)methyl)oxirane</t>
  </si>
  <si>
    <t xml:space="preserve">  94158-68-6</t>
  </si>
  <si>
    <t>Hentriacontafluoropentadecyl iodide</t>
  </si>
  <si>
    <t xml:space="preserve">  335-79-5</t>
  </si>
  <si>
    <t>3,3,4,4,5,5,6,6,7,7,8,8,9,9,10,10,11,11,12,12,13,13,14,14,15,15,16,16,16-Nonacosafluorohexadec-1-ene</t>
  </si>
  <si>
    <t xml:space="preserve">  104564-28-5</t>
  </si>
  <si>
    <t>((Perfluorotetradecyl)methyl)oxirane</t>
  </si>
  <si>
    <t xml:space="preserve">  94158-67-5</t>
  </si>
  <si>
    <t>3,3,4,4,5,5,6,6,7,7,8,8,9,9,10,10,11,11,12,12,13,13,14,14,15,15,15-Heptacosafluoropentadec-1-ene</t>
  </si>
  <si>
    <t xml:space="preserve">  1270180-04-5</t>
  </si>
  <si>
    <t>1,1,1,2,2,3,3,4,4,5,5,6,6,7,7,8,8,9,9,10,10,11,11,12,12,13,13-Heptacosafluoro-15-iodopentadecane</t>
  </si>
  <si>
    <t xml:space="preserve">  146983-96-2</t>
  </si>
  <si>
    <t>Perfluorotridecyl iodide</t>
  </si>
  <si>
    <t xml:space="preserve">  376-04-5</t>
  </si>
  <si>
    <t>1H,1H,2H,2H-Perfluorotetradecyltrichlorosilane</t>
  </si>
  <si>
    <t xml:space="preserve">  102488-50-6</t>
  </si>
  <si>
    <t>((Perfluorododecyl)methyl)oxirane</t>
  </si>
  <si>
    <t xml:space="preserve">  94158-66-4</t>
  </si>
  <si>
    <t>3,3,4,4,5,5,6,6,7,7,8,8,9,9,10,10,11,11,12,12,13,13,13-Tricosafluorotridec-1-ene</t>
  </si>
  <si>
    <t xml:space="preserve">  1270180-02-3</t>
  </si>
  <si>
    <t>1,1,1,2,2,3,3,4,4,5,5,6,6,7,7,8,8,9,9,10,10,11,11-Tricosafluoro-13-iodotridecane</t>
  </si>
  <si>
    <t xml:space="preserve">  57216-88-3</t>
  </si>
  <si>
    <t>2,2,3,3,4,4,5,5,6,6,7,7,8,8,9,9,10,10,11,11,11-Tricosafluoro-1-iodoundecane</t>
  </si>
  <si>
    <t xml:space="preserve">  307-50-6</t>
  </si>
  <si>
    <t>1H,1H,2H,2H-Perfluorododecyltrichlorosilane</t>
  </si>
  <si>
    <t xml:space="preserve">  102488-49-3</t>
  </si>
  <si>
    <t>((Perfluorodecyl)methyl)oxirane</t>
  </si>
  <si>
    <t xml:space="preserve">  38565-54-7</t>
  </si>
  <si>
    <t>12-Bromo-1,1,1,2,2,3,3,4,4,5,5,6,6,7,7,8,8,9,9,10,10-henicosafluorododecane</t>
  </si>
  <si>
    <t xml:space="preserve">  332136-76-2</t>
  </si>
  <si>
    <t>4,4,5,5,6,6,7,7,8,8,9,9,10,10,11,11,12,12,13,13,13-Henicosafluorotridecanenitrile</t>
  </si>
  <si>
    <t xml:space="preserve">  140834-59-9</t>
  </si>
  <si>
    <t>1,1,1,2,2,3,3,4,4,5,5,6,6,7,7,8,8,9,9,10,10-Henicosafluoro-13-iodotridecane</t>
  </si>
  <si>
    <t xml:space="preserve">  541547-94-8</t>
  </si>
  <si>
    <t>12-Azido-1,1,1,2,2,3,3,4,4,5,5,6,6,7,7,8,8,9,9,10,10-henicosafluorododecane</t>
  </si>
  <si>
    <t xml:space="preserve">  145876-00-2</t>
  </si>
  <si>
    <t>10:2 Fluorotelomer acrylate</t>
  </si>
  <si>
    <t xml:space="preserve">  17741-60-5</t>
  </si>
  <si>
    <t>2-(Perfluorodecyl)ethyl N-1-naphthalenylcarbamate</t>
  </si>
  <si>
    <t xml:space="preserve">  305849-27-8</t>
  </si>
  <si>
    <t>3,3,4,4,5,5,6,6,7,7,8,8,9,9,10,10,11,11,12,12,12-Henicosafluorododecyl phenylcarbamate</t>
  </si>
  <si>
    <t xml:space="preserve">  305849-13-2</t>
  </si>
  <si>
    <t>1,1,2,2-Tetrahydroperfluorododecanethiol</t>
  </si>
  <si>
    <t xml:space="preserve">  34451-28-0</t>
  </si>
  <si>
    <t>2,2,3,3,4,4,5,5,6,6,7,7,8,8,9,9,10,10,11,11,11-Henicosafluoroundecyl acrylate</t>
  </si>
  <si>
    <t xml:space="preserve">  94231-57-9</t>
  </si>
  <si>
    <t>3,3,4,4,5,5,6,6,7,7,8,8,9,9,10,10,11,11,11-Nonadecafluoroundec-1-ene</t>
  </si>
  <si>
    <t xml:space="preserve">  57216-75-8</t>
  </si>
  <si>
    <t>1H,1H-Perfluoro-n-decyl acrylate</t>
  </si>
  <si>
    <t xml:space="preserve">  335-83-1</t>
  </si>
  <si>
    <t>3,3,4,4,5,5,6,6,7,7,8,8,9,9,10,10,10-Heptadecafluorodec-1-yne</t>
  </si>
  <si>
    <t xml:space="preserve">  55009-88-6</t>
  </si>
  <si>
    <t>3,3,4,4,5,5,6,6,7,7,8,8,9,9,10,10,10-Heptadecafluorodecanoyl chloride</t>
  </si>
  <si>
    <t xml:space="preserve">  64018-23-1</t>
  </si>
  <si>
    <t>1-(3,3,4,4,5,5,6,6,7,7,8,8,9,9,10,10,10-Heptadecafluoro-1-iododecyl)-2,8,9-trioxa-5-aza-1-silabicyclo[3.3.3]undecane</t>
  </si>
  <si>
    <t xml:space="preserve">  135587-17-6</t>
  </si>
  <si>
    <t>1H,1H,2H,2H-Perfluorodecyltrichlorosilane</t>
  </si>
  <si>
    <t xml:space="preserve">  78560-44-8</t>
  </si>
  <si>
    <t>1-Undecene, 4,4,5,5,6,6,7,7,8,8,9,9,10,10,11,11,11-heptadecafluoro-</t>
  </si>
  <si>
    <t xml:space="preserve">  61589-64-8</t>
  </si>
  <si>
    <t>3-(2,2,3,3,4,4,5,5,6,6,7,7,8,8,9,9,9-heptadecafluorononyl)-4-(iodomethyl)oxolane</t>
  </si>
  <si>
    <t xml:space="preserve">  131771-31-8</t>
  </si>
  <si>
    <t>10-Bromo-1,1,1,2,2,3,3,4,4,5,5,6,6,7,7,8,8-heptadecafluorodecane</t>
  </si>
  <si>
    <t xml:space="preserve">  21652-57-3</t>
  </si>
  <si>
    <t>1-((Perfluorooctyl)propanoyloxy)pyrrolidine-2,5-dione</t>
  </si>
  <si>
    <t xml:space="preserve">  852527-45-8</t>
  </si>
  <si>
    <t>(Perfluorooctyl)propanoyl chloride</t>
  </si>
  <si>
    <t xml:space="preserve">  89373-67-1</t>
  </si>
  <si>
    <t>4,4,5,5,6,6,7,7,8,8,9,9,10,10,11,11,11-Heptadecafluoroundecanenitrile</t>
  </si>
  <si>
    <t xml:space="preserve">  26649-26-3</t>
  </si>
  <si>
    <t>4,4,5,5,6,6,7,7,8,8,9,9,10,10,11,11,11-Heptadecafluoroundecanal</t>
  </si>
  <si>
    <t xml:space="preserve">  42028-44-4</t>
  </si>
  <si>
    <t>[4-(3,3,4,4,5,5,6,6,7,7,8,8,9,9,10,10,10-Heptadecafluorodecyl)phenyl] diphenylphosphine</t>
  </si>
  <si>
    <t xml:space="preserve">  462996-04-9</t>
  </si>
  <si>
    <t>1-[4-((Perfluorooctyl)ethyl)phenylmethoxycarbonyloxy]pyrrolidine-2,5-dione</t>
  </si>
  <si>
    <t xml:space="preserve">  556050-49-8</t>
  </si>
  <si>
    <t>1-Bromo-3-(3,3,4,4,5,5,6,6,7,7,8,8,9,9,10,10,10-heptadecafluorodecyl)benzene</t>
  </si>
  <si>
    <t xml:space="preserve">  340157-97-3</t>
  </si>
  <si>
    <t>12-Bromo-1,1,1,2,2,3,3,4,4,5,5,6,6,7,7,8,8-heptadecafluorododecane</t>
  </si>
  <si>
    <t xml:space="preserve">  99324-99-9</t>
  </si>
  <si>
    <t>18-Bromo-1,1,1,2,2,3,3,4,4,5,5,6,6,7,7,8,8-heptadecafluorooctadecane</t>
  </si>
  <si>
    <t xml:space="preserve">  184007-06-5</t>
  </si>
  <si>
    <t>19-Bromo-1,1,1,2,2,3,3,4,4,5,5,6,6,7,7,8,8-heptadecafluorononadecane</t>
  </si>
  <si>
    <t xml:space="preserve">  1597-70-2</t>
  </si>
  <si>
    <t>4'-[(12,12,13,13,14,14,15,15,16,16,17,17,18,18,19,19,19-Heptadecafluorononadecyl)oxy][1,1'-biphenyl]-4-carbonitrile</t>
  </si>
  <si>
    <t xml:space="preserve">  117750-26-2</t>
  </si>
  <si>
    <t>(11-(F-Octyl)undecyl) dimorpholinophosphoramidate</t>
  </si>
  <si>
    <t xml:space="preserve">  134051-92-6</t>
  </si>
  <si>
    <t>1,1,1,2,2,3,3,4,4,5,5,6,6,7,7,8,8-Heptadecafluoro-12-iodododecane</t>
  </si>
  <si>
    <t xml:space="preserve">  38565-62-7</t>
  </si>
  <si>
    <t>3-(Perfluorooctyl)propyl iodide</t>
  </si>
  <si>
    <t xml:space="preserve">  200112-75-0</t>
  </si>
  <si>
    <t>11-Azido-1,1,1,2,2,3,3,4,4,5,5,6,6,7,7,8,8-heptadecafluoroundecane</t>
  </si>
  <si>
    <t xml:space="preserve">  852527-61-8</t>
  </si>
  <si>
    <t>N-(4,4,5,5,6,6,7,7,8,8,9,9,10,10,11,11,11-Heptadecafluoroundecyl)maleimide</t>
  </si>
  <si>
    <t xml:space="preserve">  852527-40-3</t>
  </si>
  <si>
    <t>1-(3-(Perfluorooctyl)propyl)-2H-3,1-benzoxazine-2,4(1H)-dione</t>
  </si>
  <si>
    <t xml:space="preserve">  544418-04-4</t>
  </si>
  <si>
    <t>N-(4,4,5,5,6,6,7,7,8,8,9,9,10,10,11,11,11-Heptadecafluoroundecyl)iodoacetamide</t>
  </si>
  <si>
    <t xml:space="preserve">  852527-48-1</t>
  </si>
  <si>
    <t>4,4,5,5,6,6,7,7,8,8,9,9,10,10,11,11,11-Heptadecafluoroundecyl prop-2-enoate</t>
  </si>
  <si>
    <t xml:space="preserve">  1652-60-4</t>
  </si>
  <si>
    <t>4-[3-(Perfluorooctyl)-1-propyloxy]benzaldehyde</t>
  </si>
  <si>
    <t xml:space="preserve">  494798-73-1</t>
  </si>
  <si>
    <t>1,1,1,2,2,3,3,4,4,5,5,6,6,7,7,8,8-Heptadecafluoro-10-isocyanatodecane</t>
  </si>
  <si>
    <t xml:space="preserve">  142010-50-2</t>
  </si>
  <si>
    <t>3,3,4,4,5,5,6,6,7,7,8,8,9,9,10,10,10-Heptadecafluorodecyl pyridine-3-carboxylate</t>
  </si>
  <si>
    <t xml:space="preserve">  331716-84-8</t>
  </si>
  <si>
    <t>2-(Perfluorooctyl)ethanthiol</t>
  </si>
  <si>
    <t xml:space="preserve">  34143-74-3</t>
  </si>
  <si>
    <t>10-(Ethenesulfonyl)-1,1,1,2,2,3,3,4,4,5,5,6,6,7,7,8,8-heptadecafluorodecane</t>
  </si>
  <si>
    <t xml:space="preserve">  93345-48-3</t>
  </si>
  <si>
    <t>Thiocyanic acid, 3,3,4,4,5,5,6,6,7,7,8,8,9,9,10,10,10-heptadecafluorodecyl ester</t>
  </si>
  <si>
    <t xml:space="preserve">  26650-10-2</t>
  </si>
  <si>
    <t>2,2,3,3,4,4,5,5,6,6,7,7,8,8,9,9,9-Heptadecafluorononyl acrylate</t>
  </si>
  <si>
    <t xml:space="preserve">  307-87-9</t>
  </si>
  <si>
    <t>(Perfluoroheptyl)ethene</t>
  </si>
  <si>
    <t xml:space="preserve">  25431-45-2</t>
  </si>
  <si>
    <t>(8E)-1,1,1,2,2,3,3,4,4,5,5,6,6,7,7,10,10,11,11,12,12,13,13,14,14,15,15,16,16,16-Triacontafluorohexadec-8-ene</t>
  </si>
  <si>
    <t xml:space="preserve">  35709-15-0</t>
  </si>
  <si>
    <t>AC1LBTUH</t>
  </si>
  <si>
    <t xml:space="preserve">  29723-33-9</t>
  </si>
  <si>
    <t>2-(2,2,3,3,4,4,5,5,6,6,7,7,8,8,8-Pentadecafluorooctyl)oxirane</t>
  </si>
  <si>
    <t xml:space="preserve">  20084-49-5</t>
  </si>
  <si>
    <t>2-Propenoic acid, 3,3,4,4,5,5,6,6,7,7,8,8,9,9,9-pentadecafluorononyl ester</t>
  </si>
  <si>
    <t xml:space="preserve">  1799-55-9</t>
  </si>
  <si>
    <t>1-Iodo-1H,1H-perfluorooctane</t>
  </si>
  <si>
    <t xml:space="preserve">  10258-49-8</t>
  </si>
  <si>
    <t>N-(2,2,3,3,4,4,5,5,6,6,7,7,8,8,8-Pentadecafluorooctyl)prop-2-enamide</t>
  </si>
  <si>
    <t xml:space="preserve">  424-01-1</t>
  </si>
  <si>
    <t>Bis(1H,1H-perfluorooct-1-yl)amine</t>
  </si>
  <si>
    <t xml:space="preserve">  3145-68-4</t>
  </si>
  <si>
    <t>Allyl 1H,1H-perfluorooctyl ether</t>
  </si>
  <si>
    <t xml:space="preserve">  812-72-6</t>
  </si>
  <si>
    <t>2,2,3,3,4,4,5,5,6,6,7,7,8,8,8-Pentadecafluorooctyl trifluoromethanesulfonate</t>
  </si>
  <si>
    <t xml:space="preserve">  17352-09-9</t>
  </si>
  <si>
    <t>1-Iodopentadecafluoroheptane</t>
  </si>
  <si>
    <t xml:space="preserve">  335-58-0</t>
  </si>
  <si>
    <t>1H-Perfluorooct-1-yne</t>
  </si>
  <si>
    <t xml:space="preserve">  55756-24-6</t>
  </si>
  <si>
    <t>Perfluoro-1-(tetrafluoroiodo)-1-octyne</t>
  </si>
  <si>
    <t xml:space="preserve">  1424379-21-4</t>
  </si>
  <si>
    <t>3,3,4,4,5,5,6,6,7,7,8,8,8-Tridecafluoro-1-iodooct-1-yne</t>
  </si>
  <si>
    <t xml:space="preserve">  58292-95-8</t>
  </si>
  <si>
    <t>(7E)-1,1,1,2,2,3,3,4,4,5,5,6,6,9,9,10,10,11,11,12,12,13,13,14,14,15,15,16,16,16-Triacontafluorohexadec-7-ene</t>
  </si>
  <si>
    <t xml:space="preserve">  51249-68-4</t>
  </si>
  <si>
    <t>trans-1,2-Bis(perfluorohexyl)ethylene</t>
  </si>
  <si>
    <t xml:space="preserve">  51249-67-3</t>
  </si>
  <si>
    <t>1,1,1,2,2,3,3,4,4,5,5,6,6,9,9,10,10,11,11,12,12,13,13,14,14,14-Hexacosafluorotetradec-7-ene</t>
  </si>
  <si>
    <t xml:space="preserve">  56523-43-4</t>
  </si>
  <si>
    <t>(3E)-5,5,6,6,7,7,8,8,9,9,10,10,10-Tridecafluorodeca-1,3-diene</t>
  </si>
  <si>
    <t xml:space="preserve">  148626-04-4</t>
  </si>
  <si>
    <t>3,3,4,4,5,5,6,6,7,7,8,8,8-Tridecafluoro-1-iodooct-1-ene</t>
  </si>
  <si>
    <t xml:space="preserve">  150223-14-6</t>
  </si>
  <si>
    <t>(1E)-3,3,4,4,5,5,6,6,7,7,8,8,8-Tridecafluoro-1-iodooct-1-ene</t>
  </si>
  <si>
    <t xml:space="preserve">  329698-26-2</t>
  </si>
  <si>
    <t>1,1,1,2,2,3,3,4,4,5,5,6,6,8,8-Pentadecafluoro-10-iododecane</t>
  </si>
  <si>
    <t xml:space="preserve">  49676-71-3</t>
  </si>
  <si>
    <t>1,1,1,2,2,3,3,4,4,5,5,6,6,8,8-Pentadecafluoro-8-iodooctane</t>
  </si>
  <si>
    <t xml:space="preserve">  53826-16-7</t>
  </si>
  <si>
    <t>1-(3,3,4,4,5,5,6,6,7,7,8,8,8-Tridecafluoro-1-iodooctyl)-2,8,9-trioxa-5-aza-1-silabicyclo[3.3.3]undecane</t>
  </si>
  <si>
    <t xml:space="preserve">  135587-15-4</t>
  </si>
  <si>
    <t>1,1,1,2,2,3,3,4,4,5,5,6,6,7,7,8,8,11,11,12,12,13,13,14,14,15,15,16,16,16-Triacontafluoro-9-iodohexadecane</t>
  </si>
  <si>
    <t xml:space="preserve">  53713-87-4</t>
  </si>
  <si>
    <t>1,1,1,2,2,3,3,4,4,5,5,6,6,9,9,10,10,11,11,12,12,13,13,14,14,14-Hexacosafluoro-7-iodotetradecane</t>
  </si>
  <si>
    <t xml:space="preserve">  53638-11-2</t>
  </si>
  <si>
    <t>1,1,1,2,2,3,3,4,4,5,5,6,6,12,12,13,13,14,14,15,15,16,16,17,17,17-Hexacosafluoro-8,10-diiodoheptadecane</t>
  </si>
  <si>
    <t xml:space="preserve">  1254971-76-0</t>
  </si>
  <si>
    <t>1,1,1,2,2,3,3,4,4,5,5,6,6,13,13,14,14,15,15,16,16,17,17,18,18,18-Hexacosafluoro-8,11-diiodooctadecane</t>
  </si>
  <si>
    <t xml:space="preserve">  959462-50-1</t>
  </si>
  <si>
    <t>1,1,1,2,2,3,3,4,4,5,5,6,6,15,15,16,16,17,17,18,18,19,19,20,20,20-Hexacosafluoro-8,13-diiodoicosane</t>
  </si>
  <si>
    <t xml:space="preserve">  959462-51-2</t>
  </si>
  <si>
    <t>CTK5F5734</t>
  </si>
  <si>
    <t xml:space="preserve">  857637-92-4</t>
  </si>
  <si>
    <t>Trichloro(3,3,4,4,5,5,6,6,7,7,8,8,8-tridecafluorooctyl)silane</t>
  </si>
  <si>
    <t xml:space="preserve">  78560-45-9</t>
  </si>
  <si>
    <t>1,1-dichloro-3,3,3-trimethyl-1-(3,3,4,4,5,5,6,6,7,7,8,8,8-tridecafluorooctyl)disiloxane</t>
  </si>
  <si>
    <t xml:space="preserve">  94237-17-9</t>
  </si>
  <si>
    <t>3-chloro-1,1,1,5,5,5-hexamethyl-3-(3,3,4,4,5,5,6,6,7,7,8,8,8-tridecafluorooctyl)trisiloxane</t>
  </si>
  <si>
    <t xml:space="preserve">  94237-06-6</t>
  </si>
  <si>
    <t>Methoxydimethyl(3,3,4,4,5,5,6,6,7,7,8,8,8-tridecafluorooctyl)silane</t>
  </si>
  <si>
    <t xml:space="preserve">  94237-08-8</t>
  </si>
  <si>
    <t>Trimethoxy(3,3,4,4,5,5,6,6,7,7,8,8,8-tridecafluorooctyl)silane</t>
  </si>
  <si>
    <t xml:space="preserve">  85857-16-5</t>
  </si>
  <si>
    <t>Triethoxy(3,3,4,4,5,5,6,6,7,7,8,8,8-tridecafluorooctyl)silane</t>
  </si>
  <si>
    <t xml:space="preserve">  51851-37-7</t>
  </si>
  <si>
    <t>Dichloromethyl(3,3,4,4,5,5,6,6,7,7,8,8,8-tridecafluorooctyl)silane</t>
  </si>
  <si>
    <t xml:space="preserve">  73609-36-6</t>
  </si>
  <si>
    <t>Dimethoxymethyl(3,3,4,4,5,5,6,6,7,7,8,8,8-tridecafluorooctyl)silane</t>
  </si>
  <si>
    <t xml:space="preserve">  85857-17-6</t>
  </si>
  <si>
    <t>(3,3,4,4,5,5,6,6,7,7,8,8,8-Tridecafluorooctyl)silane</t>
  </si>
  <si>
    <t xml:space="preserve">  469904-32-3</t>
  </si>
  <si>
    <t>Bis((perfluorohexyl)ethyl)stannanone</t>
  </si>
  <si>
    <t xml:space="preserve">  324063-66-3</t>
  </si>
  <si>
    <t>4-(2,2,3,3,4,4,5,5,6,6,7,7,7-Tridecafluoroheptyl)-1,3-dioxolan-2-one</t>
  </si>
  <si>
    <t xml:space="preserve">  114810-52-5</t>
  </si>
  <si>
    <t>1-bromo-1h,1h,2h,2h-perfluorooctane</t>
  </si>
  <si>
    <t xml:space="preserve">  161583-34-2</t>
  </si>
  <si>
    <t>1-(4,4,5,5,6,6,7,7,8,8,9,9,9-Tridecafluoro-1-oxononyl)-2,5-pyrrolidinedione</t>
  </si>
  <si>
    <t xml:space="preserve">  932710-51-5</t>
  </si>
  <si>
    <t>1-[(4,4,5,5,6,6,7,7,8,8,9,9,9-Tridecafluorononanoyl)oxy]pyrrolidine-2,5-dione</t>
  </si>
  <si>
    <t xml:space="preserve">  1262770-54-6</t>
  </si>
  <si>
    <t>Trichloro[5,5,6,6,7,7,8,8,9,9,10,10,10-tridecafluoro-2-(tridecafluorohexyl)decyl]silane</t>
  </si>
  <si>
    <t xml:space="preserve">  1621953-16-9</t>
  </si>
  <si>
    <t>1,1,1,2,2,3,3,4,4,5,5,6,6,9,9,10,10,11,11,12,12,13,13,14,14,14-Hexacosafluorotetradecane</t>
  </si>
  <si>
    <t xml:space="preserve">  53749-64-7</t>
  </si>
  <si>
    <t>N-[4-(3,3,4,4,5,5,6,6,7,7,8,8,8-Tridecafluorooctyl)benzyloxycarbonyloxy] succinimide</t>
  </si>
  <si>
    <t xml:space="preserve">  556050-48-7</t>
  </si>
  <si>
    <t>1-Bromo-4-(3,3,4,4,5,5,6,6,7,7,8,8,8-tridecafluorooctyl)benzene</t>
  </si>
  <si>
    <t xml:space="preserve">  195324-87-9</t>
  </si>
  <si>
    <t>10-Bromo-1,1,1,2,2,3,3,4,4,5,5,6,6-tridecafluorodecane</t>
  </si>
  <si>
    <t xml:space="preserve">  181997-60-4</t>
  </si>
  <si>
    <t>12,12,13,13,14,14,15,15,16,16,17,17,17-Tridecafluoroheptadecanoyl chloride</t>
  </si>
  <si>
    <t xml:space="preserve">  118624-66-1</t>
  </si>
  <si>
    <t>17-Bromo-1,1,1,2,2,3,3,4,4,5,5,6,6-tridecafluoroheptadecane</t>
  </si>
  <si>
    <t xml:space="preserve">  155401-47-1</t>
  </si>
  <si>
    <t>(11-(F-Hexyl)undecyl) dimorpholinophosphoramidate</t>
  </si>
  <si>
    <t xml:space="preserve">  134051-91-5</t>
  </si>
  <si>
    <t>1,1,1,2,2,3,3,4,4,5,5,6,6-Tridecafluoro-10-iododecane</t>
  </si>
  <si>
    <t xml:space="preserve">  38565-61-6</t>
  </si>
  <si>
    <t>5,5,6,6,7,7,8,8,9,9,10,10,10-Tridecafluorodecyl prop-2-enoate</t>
  </si>
  <si>
    <t xml:space="preserve">  451456-30-7</t>
  </si>
  <si>
    <t>1,1,1,2,2,3,3,4,4,5,5,6,6-Tridecafluoro-9-iodononane</t>
  </si>
  <si>
    <t xml:space="preserve">  89889-20-3</t>
  </si>
  <si>
    <t>3,3,4,4,5,5,6,6,7,7,8,8,8-Tridecafluorooctyl chloride</t>
  </si>
  <si>
    <t xml:space="preserve">  64018-25-3</t>
  </si>
  <si>
    <t>4,4,5,5,6,6,7,7,8,8,9,9,9-Tridecafluorononyl azide</t>
  </si>
  <si>
    <t xml:space="preserve">  852527-60-7</t>
  </si>
  <si>
    <t>1-(4,4,5,5,6,6,7,7,8,8,9,9,9-Tridecafluorononyl)-1H-pyrrole-2,5-dione</t>
  </si>
  <si>
    <t xml:space="preserve">  852527-41-4</t>
  </si>
  <si>
    <t>2-Iodo-N-(4,4,5,5,6,6,7,7,8,8,9,9,9-tridecafluorononyl)acetamide</t>
  </si>
  <si>
    <t xml:space="preserve">  852527-50-5</t>
  </si>
  <si>
    <t>4,4,5,5,6,6,7,7,8,8,9,9,9-Tridecafluorononyl prop-2-enoate</t>
  </si>
  <si>
    <t xml:space="preserve">  216389-85-4</t>
  </si>
  <si>
    <t>8-azido-1,1,1,2,2,3,3,4,4,5,5,6,6-tridecafluorooctane</t>
  </si>
  <si>
    <t xml:space="preserve">  62571-55-5</t>
  </si>
  <si>
    <t>1,1,1,2,2,3,3,4,4,5,5,6,6-Tridecafluoro-8-isocyanatooctane</t>
  </si>
  <si>
    <t xml:space="preserve">  142010-49-9</t>
  </si>
  <si>
    <t>6:2 Fluorotelomer acrylate</t>
  </si>
  <si>
    <t xml:space="preserve">  17527-29-6</t>
  </si>
  <si>
    <t>Ethenyl 3,3,4,4,5,5,6,6,7,7,8,8,8-tridecafluorooctyl carbonate</t>
  </si>
  <si>
    <t xml:space="preserve">  96383-57-2</t>
  </si>
  <si>
    <t>1,1,1,2,2,3,3,4,4,5,5,6,6-Tridecafluoro-8-[(prop-2-yn-1-yl)oxy]octane</t>
  </si>
  <si>
    <t xml:space="preserve">  1334419-24-7</t>
  </si>
  <si>
    <t>1,1,1,2,2,3,3,4,4,5,5,6,6-Tridecafluoro-8-[(prop-2-en-1-yl)oxy]octane</t>
  </si>
  <si>
    <t xml:space="preserve">  103628-86-0</t>
  </si>
  <si>
    <t>2-{[(3,3,4,4,5,5,6,6,7,7,8,8,8-Tridecafluorooctyl)oxy]methyl}oxirane</t>
  </si>
  <si>
    <t xml:space="preserve">  122193-68-4</t>
  </si>
  <si>
    <t>5-{[(3,3,4,4,5,5,6,6,7,7,8,8,8-Tridecafluorooctyl)oxy]methyl}-1H-1,2,3-triazole</t>
  </si>
  <si>
    <t xml:space="preserve">  1447923-23-0</t>
  </si>
  <si>
    <t>2-(Perfluorohexyl)ethanethiol</t>
  </si>
  <si>
    <t xml:space="preserve">  34451-26-8</t>
  </si>
  <si>
    <t>8-(2-Chloroethanesulfonyl)-1,1,1,2,2,3,3,4,4,5,5,6,6-tridecafluorooctane</t>
  </si>
  <si>
    <t xml:space="preserve">  93393-77-2</t>
  </si>
  <si>
    <t>1-Octanesulfonyl chloride, 3,3,4,4,5,5,6,6,7,7,8,8,8-tridecafluoro-</t>
  </si>
  <si>
    <t xml:space="preserve">  27619-89-2</t>
  </si>
  <si>
    <t>4-[(3,3,4,4,5,5,6,6,7,7,8,8,8-Tridecafluorooctyl)sulfanyl]butane-1-thiol</t>
  </si>
  <si>
    <t xml:space="preserve">  36097-07-1</t>
  </si>
  <si>
    <t>1H,1H-Tridecafluoro-1-iodoheptane</t>
  </si>
  <si>
    <t xml:space="preserve">  212563-43-4</t>
  </si>
  <si>
    <t>1,1-Dihydroperfluoroheptyl acrylate</t>
  </si>
  <si>
    <t xml:space="preserve">  559-11-5</t>
  </si>
  <si>
    <t>Pentadecafluoro-2-iodoheptane</t>
  </si>
  <si>
    <t xml:space="preserve">  24394-25-0</t>
  </si>
  <si>
    <t>3,3,4,4,5,5,6,6,7,7,7-Undecafluorohept-1-ene</t>
  </si>
  <si>
    <t xml:space="preserve">  84100-13-0</t>
  </si>
  <si>
    <t>2,2,3,3,4,4,5,5,6,6,6-Undecafluorohexanal</t>
  </si>
  <si>
    <t xml:space="preserve">  754-79-0</t>
  </si>
  <si>
    <t>4,4,5,5,6,6,7,7,8,8,8-Undecafluorooctanal</t>
  </si>
  <si>
    <t xml:space="preserve">  195047-10-0</t>
  </si>
  <si>
    <t>1,1,1,2,2,3,3,4,4,5,5,14,14,15,15,16,16,17,17,18,18,18-Docosafluorooctadecane</t>
  </si>
  <si>
    <t xml:space="preserve">  1835255-24-7</t>
  </si>
  <si>
    <t>1-Iodo-1H,1H-perfluorohexane</t>
  </si>
  <si>
    <t xml:space="preserve">  335-50-2</t>
  </si>
  <si>
    <t>2,2,3,3,4,4,5,5,6,6,6-Undecafluorohexyl prop-2-enoate</t>
  </si>
  <si>
    <t xml:space="preserve">  376-56-7</t>
  </si>
  <si>
    <t>6-(Ethenyloxy)-1,1,1,2,2,3,3,4,4,5,5-undecafluorohexane</t>
  </si>
  <si>
    <t xml:space="preserve">  595-00-6</t>
  </si>
  <si>
    <t>1,1,1,2,2,3,3,4,4,5,5-Undecafluoro-6-[(prop-2-en-1-yl)oxy]hexane</t>
  </si>
  <si>
    <t xml:space="preserve">  1516879-68-7</t>
  </si>
  <si>
    <t>2-{[(2,2,3,3,4,4,5,5,6,6,6-Undecafluorohexyl)oxy]methyl}oxirane</t>
  </si>
  <si>
    <t xml:space="preserve">  140369-64-8</t>
  </si>
  <si>
    <t>2,2,3,3,4,4,5,5,6,6,6-Undecafluorohexyl trifluoromethanesulfonate</t>
  </si>
  <si>
    <t xml:space="preserve">  168632-11-9</t>
  </si>
  <si>
    <t>1,1,1,2,2,3,3,4,4,5,6,6,6-Tridecafluoro-5-iodohexane</t>
  </si>
  <si>
    <t xml:space="preserve">  355-44-2</t>
  </si>
  <si>
    <t>2,2,3,3,4,4,5,5,5-Nonafluoropentane-1,1-diol</t>
  </si>
  <si>
    <t xml:space="preserve">  355-30-6</t>
  </si>
  <si>
    <t>(3,3,4,4,5,5,6,6,6-Nonafluorohex-1-yn-1-yl)benzene</t>
  </si>
  <si>
    <t xml:space="preserve">  66249-23-8</t>
  </si>
  <si>
    <t>1H,1H,2H-Perfluoro-1-hexene</t>
  </si>
  <si>
    <t xml:space="preserve">  19430-93-4</t>
  </si>
  <si>
    <t>(3,3,4,4,5,5,6,6,6-Nonafluoro-1-iodohex-1-en-1-yl)benzene</t>
  </si>
  <si>
    <t xml:space="preserve">  109574-90-5</t>
  </si>
  <si>
    <t>[(1Z)-3,3,4,4,5,5,6,6,6-Nonafluorohex-1-en-1-yl]benzene</t>
  </si>
  <si>
    <t xml:space="preserve">  95452-53-2</t>
  </si>
  <si>
    <t>4,4,5,5,6,6,7,7,7-Nonafluorohepta-1,2-diene</t>
  </si>
  <si>
    <t xml:space="preserve">  132673-98-4</t>
  </si>
  <si>
    <t>(5E)-1,1,1,2,2,3,3,4,4,7,7,8,8,9,9,10,10,11,11,12,12,13,13,14,14,14-Hexacosafluorotetradec-5-ene</t>
  </si>
  <si>
    <t xml:space="preserve">  51249-69-5</t>
  </si>
  <si>
    <t>(5E)-1,1,1,2,2,3,3,4,4,7,7,8,8,9,9,10,10,11,11,12,12,12-Docosafluorododec-5-ene</t>
  </si>
  <si>
    <t xml:space="preserve">  51249-66-2</t>
  </si>
  <si>
    <t>1,1,1,2,2,3,3,4,4,7,7,8,8,9,9,10,10,11,11,11-Icosafluoroundec-5-ene</t>
  </si>
  <si>
    <t xml:space="preserve">  100508-28-9</t>
  </si>
  <si>
    <t>1,1,1,2,2,3,3,4,4,7,7,8,8,9,9,10,10,10-Octadecafluorodec-5-ene</t>
  </si>
  <si>
    <t xml:space="preserve">  84551-43-9</t>
  </si>
  <si>
    <t>Perfluorovaleraldehyde</t>
  </si>
  <si>
    <t xml:space="preserve">  375-53-1</t>
  </si>
  <si>
    <t>Nonafluorobutylepoxide</t>
  </si>
  <si>
    <t xml:space="preserve">  89807-87-4</t>
  </si>
  <si>
    <t>3,3,4,4,5,5,6,6,6-Nonafluorohexanoyl chloride</t>
  </si>
  <si>
    <t xml:space="preserve">  64018-24-2</t>
  </si>
  <si>
    <t>Thiols, C10-20, .gamma.-.omega.-perfluoro  (Perfluoroalkyl(C8-18)ethyl mercaptan)</t>
  </si>
  <si>
    <t xml:space="preserve">  68140-21-6</t>
  </si>
  <si>
    <t>1,1,1,2,2,3,3,4,4,6,6,8,8-Tridecafluoro-10-iododecane</t>
  </si>
  <si>
    <t xml:space="preserve">  272451-64-6</t>
  </si>
  <si>
    <t>1,1,1,2,2,3,3,4,4,6,6,8,8-Tridecafluoro-8-iodooctane</t>
  </si>
  <si>
    <t xml:space="preserve">  99325-17-4</t>
  </si>
  <si>
    <t>1,1,1,2,2,3,3,4,4,6,6-Undecafluoro-8-iodooctane</t>
  </si>
  <si>
    <t xml:space="preserve">  53626-95-2</t>
  </si>
  <si>
    <t>4-(Perfluorobutyl)-3,3-difluorobutanesulfonyl chloride</t>
  </si>
  <si>
    <t xml:space="preserve">  1225375-54-1</t>
  </si>
  <si>
    <t>1-(3,3,4,4,5,5,6,6,6-Nonafluoro-1-iodohexyl)-2,8,9-trioxa-5-aza-1-silabicyclo[3.3.3]undecane</t>
  </si>
  <si>
    <t xml:space="preserve">  135587-13-2</t>
  </si>
  <si>
    <t>1,1,1,2,2,3,3,4,4,5,5,6,6,7,7,8,8,11,11,12,12,13,13,14,14,14-Hexacosafluoro-9-iodotetradecane</t>
  </si>
  <si>
    <t xml:space="preserve">  53638-13-4</t>
  </si>
  <si>
    <t>1-Iodo-1,2-bis(perfluoro-n-butyl)ethane</t>
  </si>
  <si>
    <t xml:space="preserve">  53638-10-1</t>
  </si>
  <si>
    <t>(3,3,4,4,5,5,6,6,6-Nonafluoro-1-iodohexyl)cyclohexane</t>
  </si>
  <si>
    <t xml:space="preserve">  1464148-71-7</t>
  </si>
  <si>
    <t>1,1,1,2,2,3,3,4,4,10,10,11,11,12,12,13,13,13-Octadecafluoro-6,8-diiodotridecane</t>
  </si>
  <si>
    <t xml:space="preserve">  40735-21-5</t>
  </si>
  <si>
    <t>1,1,1,2,2,3,3,4,4,11,11,12,12,13,13,14,14,14-Octadecafluoro-6,9-diiodotetradecane</t>
  </si>
  <si>
    <t xml:space="preserve">  40735-23-7</t>
  </si>
  <si>
    <t>1,1,1,2,2,3,3,4,4,12,12,13,13,14,14,15,15,15-Octadecafluoro-6,10-diiodopentadecane</t>
  </si>
  <si>
    <t xml:space="preserve">  40735-25-9</t>
  </si>
  <si>
    <t>1,1,1,2,2,3,3,4,4,13,13,14,14,15,15,16,16,16-Octadecafluoro-6,11-diiodohexadecane</t>
  </si>
  <si>
    <t xml:space="preserve">  13105-46-9</t>
  </si>
  <si>
    <t>Dichloromethyl(3,3,4,4,5,5,6,6,6-nonafluorohexyl)silane</t>
  </si>
  <si>
    <t xml:space="preserve">  38436-16-7</t>
  </si>
  <si>
    <t>Bromotris(3,3,4,4,5,5,6,6,6-nonafluorohexyl)stannane</t>
  </si>
  <si>
    <t xml:space="preserve">  240497-37-4</t>
  </si>
  <si>
    <t>Tris(3,3,4,4,5,5,6,6,6-nonafluorohexyl)(phenyl)stannane</t>
  </si>
  <si>
    <t xml:space="preserve">  240497-36-3</t>
  </si>
  <si>
    <t>Tris(3,3,4,4,5,5,6,6,6-nonafluorohexyl)(prop-2-en-1-yl)stannane</t>
  </si>
  <si>
    <t xml:space="preserve">  215186-99-5</t>
  </si>
  <si>
    <t>Tris(3,3,4,4,5,5,6,6,6-nonafluorohexyl)stannane</t>
  </si>
  <si>
    <t xml:space="preserve">  240497-26-1</t>
  </si>
  <si>
    <t>4,4,5,5,6,6,7,7,7-Nonafluorohept-1-ene</t>
  </si>
  <si>
    <t xml:space="preserve">  129846-67-9</t>
  </si>
  <si>
    <t>[(1Z)-4,4,5,5,6,6,7,7,7-Nonafluorohept-1-en-1-yl]benzene</t>
  </si>
  <si>
    <t xml:space="preserve">  97041-10-6</t>
  </si>
  <si>
    <t>2-(2,2,3,3,4,4,5,5,5-Nonafluoropentyl)oxirane</t>
  </si>
  <si>
    <t xml:space="preserve">  81190-28-5</t>
  </si>
  <si>
    <t>4-(2,2,3,3,4,4,5,5,5-Nonafluoropentyl)-1,3-dioxolan-2-one</t>
  </si>
  <si>
    <t xml:space="preserve">  912364-40-0</t>
  </si>
  <si>
    <t>1H,1H,2H,2H-Perfluorohexyl bromide</t>
  </si>
  <si>
    <t xml:space="preserve">  38436-14-5</t>
  </si>
  <si>
    <t>1-[(4,4,5,5,6,6,7,7,7-Nonafluoroheptanoyl)oxy]pyrrolidine-2,5-dione</t>
  </si>
  <si>
    <t xml:space="preserve">  852527-43-6</t>
  </si>
  <si>
    <t>1,1,1,2,2,3,3,4,4,5,5,6,6,7,7,8,8,11,11,12,12,13,13,14,14,14-Hexacosafluorotetradecane</t>
  </si>
  <si>
    <t xml:space="preserve">  53638-09-8</t>
  </si>
  <si>
    <t>1,1,1,2,2,3,3,4,4-Nonafluoro-7,7-diisocyanatoheptane</t>
  </si>
  <si>
    <t xml:space="preserve">  306976-22-7</t>
  </si>
  <si>
    <t>4,4,5,5,6,6,7,7,7-Nonafluoroheptanenitrile</t>
  </si>
  <si>
    <t xml:space="preserve">  26649-23-0</t>
  </si>
  <si>
    <t>1-[[[[4-(2-(Perfluorobutyl)-1-ethyl)phenyl]methoxy]carbonyl]oxy]-2,5-pyrrolidinedione</t>
  </si>
  <si>
    <t xml:space="preserve">  825635-46-9</t>
  </si>
  <si>
    <t>8-Bromo-1,1,1,2,2,3,3,4,4-nonafluorooctane</t>
  </si>
  <si>
    <t xml:space="preserve">  38436-18-9</t>
  </si>
  <si>
    <t>10-Bromo-1,1,1,2,2,3,3,4,4-nonafluorodecane</t>
  </si>
  <si>
    <t xml:space="preserve">  457603-91-7</t>
  </si>
  <si>
    <t>1,1,1,2,2,3,3,4,4,11,11,12,12,13,13,14,14,14-Octadecafluorotetradecane</t>
  </si>
  <si>
    <t xml:space="preserve">  1835252-03-3</t>
  </si>
  <si>
    <t>12,12,13,13,14,14,15,15,15-Nonafluoropentadecanoyl chloride</t>
  </si>
  <si>
    <t xml:space="preserve">  118624-68-3</t>
  </si>
  <si>
    <t>1,1,1,2,2,3,3,4,4-Nonafluoro-8-iodooctane</t>
  </si>
  <si>
    <t xml:space="preserve">  99324-98-8</t>
  </si>
  <si>
    <t>4,4,5,5,6,6,7,7,7-Nonafluoroheptyl iodide</t>
  </si>
  <si>
    <t xml:space="preserve">  183547-74-2</t>
  </si>
  <si>
    <t>4,4,5,5,6,6,7,7,7-Nonafluoroheptyl prop-2-enoate</t>
  </si>
  <si>
    <t xml:space="preserve">  443145-46-8</t>
  </si>
  <si>
    <t>4,4,5,5,6,6,7,7,7-Nonafluoroheptyl carbonochloridate</t>
  </si>
  <si>
    <t xml:space="preserve">  821806-42-2</t>
  </si>
  <si>
    <t>(3,3,4,4,5,5,6,6,6-Nonafluorohexyl)carbonimidoyl</t>
  </si>
  <si>
    <t xml:space="preserve">  142030-27-1</t>
  </si>
  <si>
    <t>Bis(3,3,4,4,5,5,6,6,6-nonafluorohexyl) butanedioate</t>
  </si>
  <si>
    <t xml:space="preserve">  508194-70-5</t>
  </si>
  <si>
    <t>bis((Perfluorobutyl)ethyl) carbonate</t>
  </si>
  <si>
    <t xml:space="preserve">  1132677-78-1</t>
  </si>
  <si>
    <t>3,3,4,4,5,5,6,6,6-Nonafluorohexyl carbonochloridate</t>
  </si>
  <si>
    <t xml:space="preserve">  40678-17-9</t>
  </si>
  <si>
    <t>6-(Ethenyloxy)-1,1,1,2,2,3,3,4,4-nonafluorohexane</t>
  </si>
  <si>
    <t xml:space="preserve">  63391-84-4</t>
  </si>
  <si>
    <t>3,3,4,4,5,5,6,6,6-Nonafluorohexyl formate</t>
  </si>
  <si>
    <t xml:space="preserve">  78689-20-0</t>
  </si>
  <si>
    <t>1,1,1,2,2,3,3,4,4-Nonafluoro-6-[(prop-2-en-1-yl)oxy]hexane</t>
  </si>
  <si>
    <t xml:space="preserve">  188298-09-1</t>
  </si>
  <si>
    <t>2-{[(3,3,4,4,5,5,6,6,6-Nonafluorohexyl)oxy]methyl}oxirane</t>
  </si>
  <si>
    <t xml:space="preserve">  384828-82-4</t>
  </si>
  <si>
    <t>3-[(3,3,4,4,5,5,6,6,6-Nonafluorohexyl)oxy]propanenitrile</t>
  </si>
  <si>
    <t xml:space="preserve">  56300-32-4</t>
  </si>
  <si>
    <t>3,3,4,4,5,5,6,6,6-Nonafluorohexyl trifluoromethanesulfonate</t>
  </si>
  <si>
    <t xml:space="preserve">  171182-86-8</t>
  </si>
  <si>
    <t>3,3,4,4,5,5,6,6,6-Nonafluoro-1-hexanethiol</t>
  </si>
  <si>
    <t xml:space="preserve">  68140-20-5</t>
  </si>
  <si>
    <t>3,3,4,4,5,5,6,6,6-Nonafluorohexyl thiocyanate</t>
  </si>
  <si>
    <t xml:space="preserve">  26650-08-8</t>
  </si>
  <si>
    <t>1-Iodo-1H,1H-nonafluoropentane</t>
  </si>
  <si>
    <t xml:space="preserve">  2253-14-7</t>
  </si>
  <si>
    <t>2,2,3,3,4,4,5,5,5-Nonafluoropentyl acrylate</t>
  </si>
  <si>
    <t xml:space="preserve">  308-26-9</t>
  </si>
  <si>
    <t>1,1,1,2,2,3,3,4,4-Nonafluoro-5-[(prop-2-en-1-yl)oxy]pentane</t>
  </si>
  <si>
    <t xml:space="preserve">  646063-05-0</t>
  </si>
  <si>
    <t>5-[2-(Ethenyloxy)ethoxy]-1,1,1,2,2,3,3,4,4-nonafluoropentane</t>
  </si>
  <si>
    <t xml:space="preserve">  572911-07-0</t>
  </si>
  <si>
    <t>1,1,1,2,2,3,3,4,5,5,5-Undecafluoro-4-iodopentane</t>
  </si>
  <si>
    <t xml:space="preserve">  68158-13-4</t>
  </si>
  <si>
    <t>1,1,1,2,2,3,3,5,5,5-Decafluoro-4-iodo-4-(trifluoromethyl)pentane</t>
  </si>
  <si>
    <t xml:space="preserve">  102780-88-1</t>
  </si>
  <si>
    <t>1-ethoxy-2,2,3,3,4,4,4-heptafluorobutan-1-ol</t>
  </si>
  <si>
    <t xml:space="preserve">  356-26-3</t>
  </si>
  <si>
    <t>2,2,3,3,4,4,4-Heptafluoro-1-phenylbutyl diphenyl phosphate</t>
  </si>
  <si>
    <t xml:space="preserve">  98010-21-0</t>
  </si>
  <si>
    <t>3,3,4,4,5,5,5-heptafluoropent-1-yne</t>
  </si>
  <si>
    <t xml:space="preserve">  80337-25-3</t>
  </si>
  <si>
    <t>4,4,5,5,6,6,6-Heptafluoro-1-phenylhex-2-yn-1-one</t>
  </si>
  <si>
    <t xml:space="preserve">  89965-72-0</t>
  </si>
  <si>
    <t>(3,3,4,4,5,5,5-Heptafluoropent-1-yn-1-yl)benzene</t>
  </si>
  <si>
    <t xml:space="preserve">  81674-08-0</t>
  </si>
  <si>
    <t>3,3,4,4,5,5,5-heptafluoropent-1-ene</t>
  </si>
  <si>
    <t xml:space="preserve">  355-08-8</t>
  </si>
  <si>
    <t>3-(2,2,3,3,4,4,4-Heptafluorobutylidene)oxolan-2-one</t>
  </si>
  <si>
    <t xml:space="preserve">  89608-45-7</t>
  </si>
  <si>
    <t>4,4,5,5,6,6,6-Heptafluoro-1-phenylhex-2-en-1-one</t>
  </si>
  <si>
    <t xml:space="preserve">  110960-47-9</t>
  </si>
  <si>
    <t>1,1,1,2,2,3,3,6,6,7,7,8,8,9,9,10,10,11,11,11-Icosafluoroundec-4-ene</t>
  </si>
  <si>
    <t xml:space="preserve">  100603-63-2</t>
  </si>
  <si>
    <t>1,1,1,2,2,3,3,6,6,7,7,8,8,9,9,10,10,10-Octadecafluorodec-4-ene</t>
  </si>
  <si>
    <t xml:space="preserve">  935477-16-0</t>
  </si>
  <si>
    <t>1,1,1,2,2,3,3,6,6,7,7,8,8,9,9,9-Hexadecafluoronon-4-ene</t>
  </si>
  <si>
    <t xml:space="preserve">  935477-07-9</t>
  </si>
  <si>
    <t>1,1,1,2,2,3,3,6,6,7,7,8,8,8-Tetradecafluorooct-4-ene</t>
  </si>
  <si>
    <t xml:space="preserve">  3910-82-5</t>
  </si>
  <si>
    <t>(4E)-1,1,1,2,2,3,3,6,6,7,7,8,8,8-Tetradecafluorooct-4-ene</t>
  </si>
  <si>
    <t xml:space="preserve">  35709-14-9</t>
  </si>
  <si>
    <t>3,3,4,4,5,5,5-Heptafluoro-1-iodo-1-pentene</t>
  </si>
  <si>
    <t xml:space="preserve">  376-97-6</t>
  </si>
  <si>
    <t>(1E)-3,3,4,4,5,5,5-Heptafluoro-1-iodopent-1-ene</t>
  </si>
  <si>
    <t xml:space="preserve">  157430-71-2</t>
  </si>
  <si>
    <t>(1E)-2,2,3,3,4,4,4-Heptafluoro-N-phenylbutan-1-imine</t>
  </si>
  <si>
    <t xml:space="preserve">  62765-24-6</t>
  </si>
  <si>
    <t>(1E)-2,2,3,3,4,4,4-Heptafluoro-N-(2-phenylethyl)butan-1-imine</t>
  </si>
  <si>
    <t xml:space="preserve">  29723-32-8</t>
  </si>
  <si>
    <t>Perfluorobutyraldehyde</t>
  </si>
  <si>
    <t xml:space="preserve">  375-02-0</t>
  </si>
  <si>
    <t>2-(Heptafluoropropyl)oxirane</t>
  </si>
  <si>
    <t xml:space="preserve">  51035-20-2</t>
  </si>
  <si>
    <t>1,1,1,2,2,3,3,10,10,11,11,12,12,12-Tetradecafluoro-5,8-diiodododecane</t>
  </si>
  <si>
    <t xml:space="preserve">  2357-30-4</t>
  </si>
  <si>
    <t>1,1,1,2,2,3,3,11,11,12,12,13,13,13-Tetradecafluoro-5,9-diiodotridecane</t>
  </si>
  <si>
    <t xml:space="preserve">  1644-06-0</t>
  </si>
  <si>
    <t>Trichloro(3,3,4,4,5,5,5-heptafluoropentyl)silane</t>
  </si>
  <si>
    <t xml:space="preserve">  866-24-0</t>
  </si>
  <si>
    <t>3,3,4,4,5,5,5-heptafluoropentanal</t>
  </si>
  <si>
    <t xml:space="preserve">  126015-32-5</t>
  </si>
  <si>
    <t>(2,2,3,3,4,4,4-Heptafluorobutyl)benzene</t>
  </si>
  <si>
    <t xml:space="preserve">  81664-99-5</t>
  </si>
  <si>
    <t>1H,1H-Heptafluorobutyl epoxide</t>
  </si>
  <si>
    <t xml:space="preserve">  1765-92-0</t>
  </si>
  <si>
    <t>2-(2,2,3,3,4,4,4-Heptafluorobutyl)-1,3-dioxolane</t>
  </si>
  <si>
    <t xml:space="preserve">  175607-87-1</t>
  </si>
  <si>
    <t>5-Bromo-1,1,1,2,2,3,3-heptafluoropentane</t>
  </si>
  <si>
    <t xml:space="preserve">  355-94-2</t>
  </si>
  <si>
    <t>7-Bromo-1,1,1,2,2,3,3-heptafluoroheptane</t>
  </si>
  <si>
    <t xml:space="preserve">  1391033-22-9</t>
  </si>
  <si>
    <t>1,1,1,2,2,3,3-Heptafluoro-7-iodoheptane</t>
  </si>
  <si>
    <t xml:space="preserve">  2967-60-4</t>
  </si>
  <si>
    <t>1,1,1,2,2,3,3-Heptafluoro-5-iodopentane</t>
  </si>
  <si>
    <t xml:space="preserve">  68188-12-5</t>
  </si>
  <si>
    <t>1,1,1,2,2,3,3-Heptafluoro-4-chlorobutane</t>
  </si>
  <si>
    <t xml:space="preserve">  374-97-0</t>
  </si>
  <si>
    <t>Heptafluorobutyl iodide</t>
  </si>
  <si>
    <t xml:space="preserve">  374-98-1</t>
  </si>
  <si>
    <t>N-Nitrosobis(2,2,3,3,4,4,4-heptafluorobutyl)amine</t>
  </si>
  <si>
    <t xml:space="preserve">  83329-16-2</t>
  </si>
  <si>
    <t>Isocyanic acid, 2,2,3,3,4,4,4-heptafluorobutyl ester</t>
  </si>
  <si>
    <t xml:space="preserve">  377-00-4</t>
  </si>
  <si>
    <t>N-(2,2,3,3,4,4,4-Heptafluorobutyl)prop-2-enamide</t>
  </si>
  <si>
    <t xml:space="preserve">  1422-65-7</t>
  </si>
  <si>
    <t>3-Benzamido-N-(2,2,3,3,4,4,4-heptafluorobutyl)benzamide</t>
  </si>
  <si>
    <t xml:space="preserve">  917920-92-4</t>
  </si>
  <si>
    <t>N-(2,2,3,3,4,4,4-Heptafluorobutyl)benzamide</t>
  </si>
  <si>
    <t xml:space="preserve">  304458-19-3</t>
  </si>
  <si>
    <t>2,2,3,3,4,4,4-Heptafluoro-N-(2,2,3,3,4,4,4-heptafluorobutyl)butan-1-amine</t>
  </si>
  <si>
    <t xml:space="preserve">  356-08-1</t>
  </si>
  <si>
    <t>Tris(1H,1H-heptafluorobutyl)phosphate</t>
  </si>
  <si>
    <t xml:space="preserve">  563-09-7</t>
  </si>
  <si>
    <t>Chlorotris(2,2,3,3,4,4,4-heptafluorobutoxy)silane</t>
  </si>
  <si>
    <t xml:space="preserve">  757-72-2</t>
  </si>
  <si>
    <t>tris((Perfluoropropyl)methyl) borate</t>
  </si>
  <si>
    <t xml:space="preserve">  755-53-3</t>
  </si>
  <si>
    <t>2,2,3,3,4,4,4-Heptafluorobutyl 2-cyanoprop-2-enoate</t>
  </si>
  <si>
    <t xml:space="preserve">  130192-28-8</t>
  </si>
  <si>
    <t>2,2,3,3,4,4,4-Heptafluorobutyl 2-chloroprop-2-enoate</t>
  </si>
  <si>
    <t xml:space="preserve">  74359-14-1</t>
  </si>
  <si>
    <t>1H,1H-Perfluorobutyl acrylate</t>
  </si>
  <si>
    <t xml:space="preserve">  424-64-6</t>
  </si>
  <si>
    <t>Bis(1H,1H-perfluorobutyl)fumarate</t>
  </si>
  <si>
    <t xml:space="preserve">  24120-17-0</t>
  </si>
  <si>
    <t>2,2,3,3,4,4,4-Heptafluorobutyl 1,2,3-benzothiadiazole-7-carboxylate</t>
  </si>
  <si>
    <t xml:space="preserve">  1384278-50-5</t>
  </si>
  <si>
    <t>2,2,3,3,4,4,4-Heptafluorobutyl but-3-enoate</t>
  </si>
  <si>
    <t xml:space="preserve">  17165-56-9</t>
  </si>
  <si>
    <t>1-Aziridinepropionic acid, 2,2,3,3,4,4,4-heptafluorobutyl ester</t>
  </si>
  <si>
    <t xml:space="preserve">  24160-20-1</t>
  </si>
  <si>
    <t>Bis(2,2,3,3,4,4,4-heptafluorobutyl) carbonate</t>
  </si>
  <si>
    <t xml:space="preserve">  1026739-75-2</t>
  </si>
  <si>
    <t>2,2,3,3,4,4,4-Heptafluorobutyl carbonochloridate</t>
  </si>
  <si>
    <t xml:space="preserve">  108156-21-4</t>
  </si>
  <si>
    <t>4-(Ethenyloxy)-1,1,1,2,2,3,3-heptafluorobutane</t>
  </si>
  <si>
    <t xml:space="preserve">  356-00-3</t>
  </si>
  <si>
    <t>1-Ethenyl-4-(2,2,3,3,4,4,4-heptafluorobutoxy)benzene</t>
  </si>
  <si>
    <t xml:space="preserve">  111144-99-1</t>
  </si>
  <si>
    <t>4-(2,2,3,3,4,4,4-Heptafluorobutoxy)benzaldehyde</t>
  </si>
  <si>
    <t xml:space="preserve">  943767-44-0</t>
  </si>
  <si>
    <t>4-(2,2,3,3,4,4,4-Heptafluorobutoxy)benzonitrile</t>
  </si>
  <si>
    <t xml:space="preserve">  96308-32-6</t>
  </si>
  <si>
    <t>1,1,1,2,2,3,3-Heptafluoro-4-(2,2,3,3,4,4,4-heptafluorobutoxy)butane</t>
  </si>
  <si>
    <t xml:space="preserve">  647-91-6</t>
  </si>
  <si>
    <t>Allyl 1H,1H-heptafluorobutyl ether</t>
  </si>
  <si>
    <t xml:space="preserve">  648-42-0</t>
  </si>
  <si>
    <t>NSC221106</t>
  </si>
  <si>
    <t xml:space="preserve">  59727-25-2</t>
  </si>
  <si>
    <t>2-[(2,2,3,3,4,4,4-Heptafluorobutoxy)methyl]oxirane</t>
  </si>
  <si>
    <t xml:space="preserve">  648-43-1</t>
  </si>
  <si>
    <t>4-[(2,2,3,3,4,4,4-Heptafluorobutoxy)methyl]-1,3-dioxolan-2-one</t>
  </si>
  <si>
    <t xml:space="preserve">  181044-06-4</t>
  </si>
  <si>
    <t>4-(2-Chloroethoxy)-1,1,1,2,2,3,3-heptafluorobutane</t>
  </si>
  <si>
    <t xml:space="preserve">  679-53-8</t>
  </si>
  <si>
    <t>2,2,3,3,4,4,4-Heptafluorobutyl diphenylphosphinate</t>
  </si>
  <si>
    <t xml:space="preserve">  55776-72-2</t>
  </si>
  <si>
    <t>Bis(2,2,3,3,4,4,4-heptafluorobutyl) phenylphosphonate</t>
  </si>
  <si>
    <t xml:space="preserve">  31430-72-5</t>
  </si>
  <si>
    <t>bis((Perfluoropropyl)methyl) phosphorochloridoate</t>
  </si>
  <si>
    <t xml:space="preserve">  6780-81-0</t>
  </si>
  <si>
    <t>1H,1H-Heptafluorobutyl triflate</t>
  </si>
  <si>
    <t xml:space="preserve">  6401-01-0</t>
  </si>
  <si>
    <t>{[(2,2,3,3,4,4,4-Heptafluorobutyl)sulfanyl]methyl}benzene</t>
  </si>
  <si>
    <t xml:space="preserve">  200337-06-0</t>
  </si>
  <si>
    <t>Heptafluoropropyl iodide</t>
  </si>
  <si>
    <t xml:space="preserve">  754-34-7</t>
  </si>
  <si>
    <t>2-Iodoperfluorobutane</t>
  </si>
  <si>
    <t xml:space="preserve">  375-51-9</t>
  </si>
  <si>
    <t>1,1,1,2,2,5,5,6,6,7,7,8,8,9,9,10,10,10-Octadecafluorodec-3-ene</t>
  </si>
  <si>
    <t xml:space="preserve">  86563-87-3</t>
  </si>
  <si>
    <t>1,1,1,2,2,5,5,6,6,7,7,8,8,9,9,9-Hexadecafluoronon-3-ene</t>
  </si>
  <si>
    <t xml:space="preserve">  935477-04-6</t>
  </si>
  <si>
    <t>1,1,1,2,2,5,5,6,6,7,7,8,8,8-Tetradecafluorooct-3-ene</t>
  </si>
  <si>
    <t xml:space="preserve">  84808-65-1</t>
  </si>
  <si>
    <t>1,1,1,2,2,3,3,4,4,5,5,6,6,7,7,8,8,11,11,12,12,12-Docosafluoro-9-iodododecane</t>
  </si>
  <si>
    <t xml:space="preserve">  641617-25-6</t>
  </si>
  <si>
    <t>1,1,1,2,2,3,3,4,4,7,7,8,8,8-Tetradecafluoro-5-iodooctane</t>
  </si>
  <si>
    <t xml:space="preserve">  935553-89-2</t>
  </si>
  <si>
    <t>Thiols, C4-10, .gamma.-.omega.-perfluoro-  (Perfluoroalkyl (C2-C8)ethyl mercaptan)</t>
  </si>
  <si>
    <t xml:space="preserve">  68140-18-1</t>
  </si>
  <si>
    <t>Heptafluoro-2-iodopropane</t>
  </si>
  <si>
    <t xml:space="preserve">  677-69-0</t>
  </si>
  <si>
    <t>1,1,1,2,3,3,5,5,7,7,7-Undecafluoro-6-iodo-2,4-bis(trifluoromethyl)heptane</t>
  </si>
  <si>
    <t xml:space="preserve">  922524-01-4</t>
  </si>
  <si>
    <t>1,1,1,2,3,3,5,5,5-Nonafluoro-4-iodo-2-(trifluoromethyl)pentane</t>
  </si>
  <si>
    <t xml:space="preserve">  922524-00-3</t>
  </si>
  <si>
    <t>1,1,1,2,2,3,3,4,4,5,5,6,6,7,7,9,9,9-Octadecafluoro-8-iodononane</t>
  </si>
  <si>
    <t xml:space="preserve">  922524-04-7</t>
  </si>
  <si>
    <t>1,1,1,2,7,7,7-Heptafluoro-6-iodo-2,4-bis(trifluoromethyl)heptane</t>
  </si>
  <si>
    <t xml:space="preserve">  922523-99-7</t>
  </si>
  <si>
    <t>1,1,1,2,5,5,5-Heptafluoro-4-iodo-2-(trifluoromethyl)pentane</t>
  </si>
  <si>
    <t xml:space="preserve">  922523-98-6</t>
  </si>
  <si>
    <t>1,1,1,2,2,3,3,4,4,5,5,6,6,9,9,9-Hexadecafluoro-8-iodononane</t>
  </si>
  <si>
    <t xml:space="preserve">  922524-02-5</t>
  </si>
  <si>
    <t>1,1,1,2,2,3,3,4,4,7,7,7-Dodecafluoro-6-iodoheptane</t>
  </si>
  <si>
    <t xml:space="preserve">  935553-88-1</t>
  </si>
  <si>
    <t>1,1,1,4,4,5,5,6,6,7,7,8,8,9,9,9-Hexadecafluoronon-2-ene</t>
  </si>
  <si>
    <t xml:space="preserve">  935477-01-3</t>
  </si>
  <si>
    <t>1,1,1,4,4,5,5,6,6,7,7,8,8,8-Tetradecafluorooct-2-ene</t>
  </si>
  <si>
    <t xml:space="preserve">  935476-95-2</t>
  </si>
  <si>
    <t>1,1,1,4,4,5,5,6,6,7,7,7-Dodecafluorohept-2-ene</t>
  </si>
  <si>
    <t xml:space="preserve">  887111-62-8</t>
  </si>
  <si>
    <t>(2E)-1,1,1,4,4,5,5,6,6,6-Decafluorohex-2-ene</t>
  </si>
  <si>
    <t xml:space="preserve">  83227-62-7</t>
  </si>
  <si>
    <t>Dichlorobis(1,1,2,2,3,3,6,6,6-nonafluorohexyl)silane</t>
  </si>
  <si>
    <t xml:space="preserve">  156323-66-9</t>
  </si>
  <si>
    <t>Trichloro(1,1,2,2,3,3,6,6,6-nonafluorohexyl)silane</t>
  </si>
  <si>
    <t xml:space="preserve">  78560-47-1</t>
  </si>
  <si>
    <t>1-Bromo-4-(1,1,2,2,3,3,4,4,5,5,6,6,7,7,10,10,10-heptadecafluorodecyl)benzene</t>
  </si>
  <si>
    <t xml:space="preserve">  195324-88-0</t>
  </si>
  <si>
    <t>1,1,1,2,2,3,3,4,4,7,7,7-Dodecafluoroheptane</t>
  </si>
  <si>
    <t xml:space="preserve">  503189-11-5</t>
  </si>
  <si>
    <t>2,2,2-trifluoroethyl perfluorobutanimidate</t>
  </si>
  <si>
    <t xml:space="preserve">  4078-29-9</t>
  </si>
  <si>
    <t>2,2,2-Trifluoroethyl 4,4,5,5,6,6,7,7,8,8,9,9,10,10,11,11,11-heptadecafluoroundecanoate</t>
  </si>
  <si>
    <t xml:space="preserve">  344580-04-7</t>
  </si>
  <si>
    <t>2,2,3,3,4,4,5,5,5-Nonafluoro-1-phenylpentyl bis(2,2,2-trifluoroethyl) phosphate</t>
  </si>
  <si>
    <t xml:space="preserve">  100664-15-1</t>
  </si>
  <si>
    <t>1-Methyl-3-((perfluorobutyl)ethyl)-1H-imidazolium N,N-bis(perfluoromethansulfonyl)amide</t>
  </si>
  <si>
    <t xml:space="preserve">  872672-61-2</t>
  </si>
  <si>
    <t>1,8-Diiodoperfluorooctane</t>
  </si>
  <si>
    <t xml:space="preserve">  335-70-6</t>
  </si>
  <si>
    <t>2-{[(2,2,3,3,4,4,5,5,6,6,7,7,8,8,9,9-Hexadecafluorononyl)oxy]methyl}oxirane</t>
  </si>
  <si>
    <t xml:space="preserve">  125370-60-7</t>
  </si>
  <si>
    <t>(6H-Perfluorohexyl)methyl acrylate</t>
  </si>
  <si>
    <t xml:space="preserve">  2993-85-3</t>
  </si>
  <si>
    <t>5H-Perfluoropentanal</t>
  </si>
  <si>
    <t xml:space="preserve">  2648-47-7</t>
  </si>
  <si>
    <t>1H,1H,5H-Perfluoropentyl acrylate</t>
  </si>
  <si>
    <t xml:space="preserve">  376-84-1</t>
  </si>
  <si>
    <t>5-(Difluoromethoxy)-1,1,1,2,2,3,3,4,4-nonafluoropentane</t>
  </si>
  <si>
    <t xml:space="preserve">  1661005-79-3</t>
  </si>
  <si>
    <t>4-(Difluoromethoxy)-1,1,1,2,2,3,3-heptafluorobutane</t>
  </si>
  <si>
    <t xml:space="preserve">  50428-19-8</t>
  </si>
  <si>
    <t>Perfluoro-2-methyl-12-iodododecane</t>
  </si>
  <si>
    <t xml:space="preserve">  3248-61-1</t>
  </si>
  <si>
    <t>Perfluoro-14-iodo-2-(methyl)tetradecane</t>
  </si>
  <si>
    <t xml:space="preserve">  3248-63-3</t>
  </si>
  <si>
    <t>Perfluorohexadecyl iodide</t>
  </si>
  <si>
    <t xml:space="preserve">  355-50-0</t>
  </si>
  <si>
    <t>Perfluoro-1-iodotetradecane</t>
  </si>
  <si>
    <t xml:space="preserve">  307-63-1</t>
  </si>
  <si>
    <t>Nonadecafluoro-9-Iodononane</t>
  </si>
  <si>
    <t xml:space="preserve">  558-97-4</t>
  </si>
  <si>
    <t>1,6-Diiodoperfluorohexane</t>
  </si>
  <si>
    <t xml:space="preserve">  375-80-4</t>
  </si>
  <si>
    <t>1-Iodoperfluoropentane</t>
  </si>
  <si>
    <t xml:space="preserve">  638-79-9</t>
  </si>
  <si>
    <t>(1E)-1,2,3,4,4,4-Hexafluoro-1-iodo-3-(trifluoromethyl)but-1-ene</t>
  </si>
  <si>
    <t xml:space="preserve">  883882-12-0</t>
  </si>
  <si>
    <t>(1Z)-1,2,3,4,4,4-Hexafluoro-1-iodo-3-(trifluoromethyl)but-1-ene</t>
  </si>
  <si>
    <t xml:space="preserve">  105774-97-8</t>
  </si>
  <si>
    <t>1,2,3,4,4,4-Hexafluoro-1-iodo-3-(trifluoromethyl)but-1-ene</t>
  </si>
  <si>
    <t xml:space="preserve">  167026-90-6</t>
  </si>
  <si>
    <t>(1Z)-1,2,3,3,4,4,5,5,6,6,7,7,8,8,9,9,10,10,10-Nonadecafluoro-1-iododec-1-ene</t>
  </si>
  <si>
    <t xml:space="preserve">  56184-40-8</t>
  </si>
  <si>
    <t>4-((Heptadecafluorononenyl)oxy)benzenesulphonyl chloride</t>
  </si>
  <si>
    <t xml:space="preserve">  59536-15-1</t>
  </si>
  <si>
    <t>p-((Undecafluorohexenyl)oxy)benzenesulphonyl chloride</t>
  </si>
  <si>
    <t xml:space="preserve">  59493-82-2</t>
  </si>
  <si>
    <t>1,2,3,3,4,4,5,5,6,6,7,7,8,8,8-Pentadecafluorooct-1-ene</t>
  </si>
  <si>
    <t xml:space="preserve">  7621-51-4</t>
  </si>
  <si>
    <t>(Perfluorocyclohexyl)methyl prop-2-enoate</t>
  </si>
  <si>
    <t xml:space="preserve">  40677-94-9</t>
  </si>
  <si>
    <t>N-(2,2,3,3,4,4,5,5,6,6,7,7,8,8,8-Pentadecafluorooctyl)-P,P-bis(pentafluorophenyl)phosphinous amide</t>
  </si>
  <si>
    <t xml:space="preserve">  518358-34-4</t>
  </si>
  <si>
    <t>2,2,3,3,4,4,5,5,6,6,7,7,8,8,9,9,10,10,11,11-Icosafluoroundecyl acrylate</t>
  </si>
  <si>
    <t xml:space="preserve">  4998-38-3</t>
  </si>
  <si>
    <t>1,1,1,2,2,3,3,4,4,5,5,6,6,8-Tetradecafluorooctane</t>
  </si>
  <si>
    <t xml:space="preserve">  361532-17-4</t>
  </si>
  <si>
    <t>4,4,5,5,6,6,6-Heptafluoro-L-norleucine</t>
  </si>
  <si>
    <t xml:space="preserve">  148043-94-1</t>
  </si>
  <si>
    <t>3,3,4,4,5,5,6,6,6-Nonafluoro-1-nitrohex-1-en-2-amine</t>
  </si>
  <si>
    <t xml:space="preserve">  223260-92-2</t>
  </si>
  <si>
    <t>3-Amino-4,4,5,5,6,6,6-heptafluoro-1-phenylhex-2-en-1-one</t>
  </si>
  <si>
    <t xml:space="preserve">  91508-85-9</t>
  </si>
  <si>
    <t>Perfluorooctanamidine</t>
  </si>
  <si>
    <t xml:space="preserve">  307-31-3</t>
  </si>
  <si>
    <t>2,2,3,3,4,4,5,5,6,6,7,7,7-Tridecafluoroheptanimidamide</t>
  </si>
  <si>
    <t xml:space="preserve">  25264-81-7</t>
  </si>
  <si>
    <t>2,2,3,3,4,4,5,5,6,6,6-Undecafluorohexanimidamide</t>
  </si>
  <si>
    <t xml:space="preserve">  464-21-1</t>
  </si>
  <si>
    <t>Perfluorobutyrylamidine</t>
  </si>
  <si>
    <t xml:space="preserve">  375-19-9</t>
  </si>
  <si>
    <t>(1Z)-2,2,3,3,4,4,4-Heptafluoro-N'-(2,2,3,3,4,4,4-heptafluorobutanimidoyl)butanimidamide</t>
  </si>
  <si>
    <t xml:space="preserve">  648-13-5</t>
  </si>
  <si>
    <t>2,2,3,3,4,4,4-Heptafluorobutanethioamide</t>
  </si>
  <si>
    <t xml:space="preserve">  375-20-2</t>
  </si>
  <si>
    <t>2-(Perfluoropropyl)glycine</t>
  </si>
  <si>
    <t xml:space="preserve">  26208-02-6</t>
  </si>
  <si>
    <t>4,4,5,5,6,6,6-Heptafluoronorleucine</t>
  </si>
  <si>
    <t xml:space="preserve">  15960-01-7</t>
  </si>
  <si>
    <t>3-Amino-4,4,5,5,6,6,6-heptafluorohexanoic acid</t>
  </si>
  <si>
    <t xml:space="preserve">  150618-42-1</t>
  </si>
  <si>
    <t>2-Amino-5,5,6,6,7,7,8,8,8-nonafluorooctanoic acid</t>
  </si>
  <si>
    <t xml:space="preserve">  125162-63-2</t>
  </si>
  <si>
    <t>2-Amino-5,5,6,6,7,7,7-heptafluoroheptanoic acid</t>
  </si>
  <si>
    <t xml:space="preserve">  10325-10-7</t>
  </si>
  <si>
    <t>2-Amino-6,6,7,7,8,8,8-heptafluorooctanoic acid</t>
  </si>
  <si>
    <t xml:space="preserve">  10325-14-1</t>
  </si>
  <si>
    <t>4-(3,3,4,4,5,5,6,6,6-Nonafluorohexyl)aniline</t>
  </si>
  <si>
    <t xml:space="preserve">  919289-98-8</t>
  </si>
  <si>
    <t>4-(2,2,3,3,4,4,4-Heptafluorobutoxy)aniline</t>
  </si>
  <si>
    <t xml:space="preserve">  142706-74-9</t>
  </si>
  <si>
    <t>6-[(2,2,3,3,4,4,5,5,6,6,7,7,7-Tridecafluoroheptyl)oxy]-1,3,5-triazine-2,4-diamine</t>
  </si>
  <si>
    <t xml:space="preserve">  57338-65-5</t>
  </si>
  <si>
    <t>4,6-Bis[(2,2,3,3,4,4,5,5,6,6,7,7,7-tridecafluoroheptyl)oxy]-1,3,5-triazin-2-amine</t>
  </si>
  <si>
    <t xml:space="preserve">  57338-64-4</t>
  </si>
  <si>
    <t>2,3,3,3-Tetrafluoro-2-(trifluoromethyl)propan-1-amine</t>
  </si>
  <si>
    <t xml:space="preserve">  182243-54-5</t>
  </si>
  <si>
    <t>2,2,3,3,4,4,5,5,6,6,7,7,8,8,9,9,10,10,10-Nonadecafluorodecan-1-amine</t>
  </si>
  <si>
    <t xml:space="preserve">  307-36-8</t>
  </si>
  <si>
    <t>1H,1H-Perfluorononylamine</t>
  </si>
  <si>
    <t xml:space="preserve">  355-47-5</t>
  </si>
  <si>
    <t>1H,1H-Perfluorooctylamine</t>
  </si>
  <si>
    <t xml:space="preserve">  307-29-9</t>
  </si>
  <si>
    <t>1H,1H-Perfluoroheptylamine</t>
  </si>
  <si>
    <t xml:space="preserve">  423-49-4</t>
  </si>
  <si>
    <t>1H,1H-Perfluorohexylamine</t>
  </si>
  <si>
    <t xml:space="preserve">  355-34-0</t>
  </si>
  <si>
    <t>1H,1H-Perfluoropentylamine</t>
  </si>
  <si>
    <t xml:space="preserve">  355-27-1</t>
  </si>
  <si>
    <t>1H,1H-Heptafluorobutylamine</t>
  </si>
  <si>
    <t xml:space="preserve">  374-99-2</t>
  </si>
  <si>
    <t>1-Amino-4,4,5,5,6,6,7,7,8,9,9,9-dodecafluoro-8-(trifluoromethyl)nonan-2-ol</t>
  </si>
  <si>
    <t xml:space="preserve">  58935-89-0</t>
  </si>
  <si>
    <t>1-Amino-4,4,5,5,6,6,7,7,8,8,9,9,10,11,11,11-hexadecafluoro-10-(trifluoromethyl)undecan-2-ol</t>
  </si>
  <si>
    <t xml:space="preserve">  54735-87-4</t>
  </si>
  <si>
    <t>1-[4-(3,3,4,4,5,5,6,6,7,7,8,8,9,9,10,10,10-Heptadecafluorodecyl)phenyl]methanamine</t>
  </si>
  <si>
    <t xml:space="preserve">  609816-23-1</t>
  </si>
  <si>
    <t>1H,1H,2H,2H-Perfluorodecylamine</t>
  </si>
  <si>
    <t xml:space="preserve">  30670-30-5</t>
  </si>
  <si>
    <t>3,3,4,4,5,5,6,6,7,7,8,8,8-Tridecafluorooctylamine</t>
  </si>
  <si>
    <t xml:space="preserve">  30556-86-6</t>
  </si>
  <si>
    <t>3,3,4,4,5,5,6,6,7,7,7-Undecafluoroheptan-1-amine</t>
  </si>
  <si>
    <t xml:space="preserve">  1346521-42-3</t>
  </si>
  <si>
    <t>3,3,4,4,5,5,5-Heptafluoropentan-1-amine</t>
  </si>
  <si>
    <t xml:space="preserve">  1000509-29-4</t>
  </si>
  <si>
    <t>3-(Perfluorooctyl)propylamine</t>
  </si>
  <si>
    <t xml:space="preserve">  139175-50-1</t>
  </si>
  <si>
    <t>2,2,3,3,4,4,4-Heptafluorobutanimidohydrazide</t>
  </si>
  <si>
    <t xml:space="preserve">  663-24-1</t>
  </si>
  <si>
    <t>3,3,4,4,5,5,6,6,7,7,8,8,8-Tridecafluorooctane-1-sulfonamide</t>
  </si>
  <si>
    <t xml:space="preserve">  29765-95-5</t>
  </si>
  <si>
    <t>2,2,3,3,4,4,5,5,5-Nonafluoropentanal hydrate (1:1)</t>
  </si>
  <si>
    <t xml:space="preserve">  907607-08-3</t>
  </si>
  <si>
    <t>2,2,3,3,4,4,4-Heptafluorobutanal--water (1/1)</t>
  </si>
  <si>
    <t xml:space="preserve">  907607-07-2</t>
  </si>
  <si>
    <t>3,3,4,4,5,5,6,6,7,7,8,8,9,9,10,10,10-Heptadecafluorodecyl beta-D-glucopyranosiduronic acid</t>
  </si>
  <si>
    <t xml:space="preserve">  864551-34-8</t>
  </si>
  <si>
    <t>(3,3,4,4,5,5,6,6,7,7,8,8,8-Tridecafluorooctyl)silanetriol</t>
  </si>
  <si>
    <t xml:space="preserve">  185911-29-9</t>
  </si>
  <si>
    <t>4-oxo-4-[(4,4,5,5,6,6,7,7,8,8,9,9,10,10,11,11,11-heptadecafluoro-2-hydroxyundecyl)amino]isocrotonic acid</t>
  </si>
  <si>
    <t xml:space="preserve">  97259-81-9</t>
  </si>
  <si>
    <t>2-[[[dimethyl(3,3,4,4,5,5,6,6,7,7,8,8,8-tridecafluorooctyl)silyl]oxy]methyl]-2-[[(1-oxoallyl)oxy]methyl]-1,3-propanediyl diacrylate</t>
  </si>
  <si>
    <t xml:space="preserve">  94237-11-3</t>
  </si>
  <si>
    <t>2-[(acryloyloxy)methyl]-2-[[[bis[3-(acryloyloxy)-2,2-bis[(acryloyloxy)methyl]propoxy](3,3,4,4,5,5,6,6,7,7,8,8,8-tridecafluorooctyl)silyl]oxy]methyl]propane-1,3-diyl diacrylate</t>
  </si>
  <si>
    <t xml:space="preserve">  94237-13-5</t>
  </si>
  <si>
    <t>2-[[[[3-(acryloyloxy)-2,2-bis[(acryloyloxy)methyl]propoxy]methyl(3,3,4,4,5,5,6,6,7,7,8,8,8-tridecafluorooctyl)silyl]oxy]methyl]-2-[(acryloyloxy)methyl]propane-1,3-diyl diacrylate</t>
  </si>
  <si>
    <t xml:space="preserve">  94237-12-4</t>
  </si>
  <si>
    <t>Perfluoroundecanal</t>
  </si>
  <si>
    <t xml:space="preserve">  63967-42-0</t>
  </si>
  <si>
    <t>Perfluorooctanal</t>
  </si>
  <si>
    <t xml:space="preserve">  335-60-4</t>
  </si>
  <si>
    <t>Perfluoroheptanal</t>
  </si>
  <si>
    <t xml:space="preserve">  63967-41-9</t>
  </si>
  <si>
    <t>6:2 Fluorotelomer aldehyde</t>
  </si>
  <si>
    <t xml:space="preserve">  56734-81-7</t>
  </si>
  <si>
    <t>4:2 Fluorotelomer sulfonic acid</t>
  </si>
  <si>
    <t xml:space="preserve">  757124-72-4</t>
  </si>
  <si>
    <t>(3,3,4,4,5,5,6,6,7,7,8,8,9,9,10,10,10-Heptadecafluorodecyl)propanedioic acid</t>
  </si>
  <si>
    <t xml:space="preserve">  36390-05-3</t>
  </si>
  <si>
    <t>(3,3,4,4,5,5,6,6,7,7,8,8,8-Tridecafluorooctyl)propanedioic acid</t>
  </si>
  <si>
    <t xml:space="preserve">  26564-96-5</t>
  </si>
  <si>
    <t>(3,3,4,4,5,5,6,6,6-Nonafluorohexyl)propanedioic acid</t>
  </si>
  <si>
    <t xml:space="preserve">  36390-03-1</t>
  </si>
  <si>
    <t>2-(4,4,5,5,6,6,6-heptafluorohexyl)propanedioic Acid</t>
  </si>
  <si>
    <t xml:space="preserve">  244022-64-8</t>
  </si>
  <si>
    <t>(2Z)-4,4,5,5,6,6,6-Heptafluoro-3-phenylhex-2-enoic acid</t>
  </si>
  <si>
    <t xml:space="preserve">  154375-43-6</t>
  </si>
  <si>
    <t>3,4,4,5,5,6,6,7,7,8,8,9,9,10,10,11,11,12,12,12-Icosafluorododec-2-enoic acid</t>
  </si>
  <si>
    <t>(3,3,4,4,5,5,6,6,7,7,8,8,9,9,10,10,10-heptadecafluorodecyl) hydrogen maleate</t>
  </si>
  <si>
    <t xml:space="preserve">  54950-04-8</t>
  </si>
  <si>
    <t>(Perfluorooctyl)ethyl hydrogen fumarate</t>
  </si>
  <si>
    <t xml:space="preserve">  86130-60-1</t>
  </si>
  <si>
    <t>4,4,5,5,6,6,6-Heptafluorohex-2-enoic acid</t>
  </si>
  <si>
    <t xml:space="preserve">  356-03-6</t>
  </si>
  <si>
    <t>(2E)-4,4,5,5,6,6,6-Heptafluorohex-2-enoic acid</t>
  </si>
  <si>
    <t xml:space="preserve">  37759-76-5</t>
  </si>
  <si>
    <t>5-[(Heptadecafluorononenyl)oxy]-1,3-benzenedicarboxylic acid</t>
  </si>
  <si>
    <t xml:space="preserve">  96210-37-6</t>
  </si>
  <si>
    <t>4-[(1,2,3,3,4,4,5,5,6,6,7,7,8,8,9,9,9-Heptadecafluoronon-1-en-1-yl)oxy]benzoic acid</t>
  </si>
  <si>
    <t xml:space="preserve">  58253-65-9</t>
  </si>
  <si>
    <t>4-[(2,2,3,3,4,4,5,5,6,6,7,7,8,8,8-Pentadecafluorooctyl)amino]benzoic acid</t>
  </si>
  <si>
    <t xml:space="preserve">  73782-58-8</t>
  </si>
  <si>
    <t>4-[(2,2,3,3,4,4,5,5,6,6,7,7,8,8,8-Pentadecafluorooctyl)oxy]benzoic acid</t>
  </si>
  <si>
    <t xml:space="preserve">  129560-87-8</t>
  </si>
  <si>
    <t>4-(2,2,3,3,4,4,4-Heptafluorobutoxy)benzoic acid</t>
  </si>
  <si>
    <t xml:space="preserve">  129590-24-5</t>
  </si>
  <si>
    <t>4-[(3,3,4,4,5,5,6,6,7,7,8,8,9,9,10,10,10-Heptadecafluorodecyl)oxy]benzoic acid</t>
  </si>
  <si>
    <t xml:space="preserve">  188034-84-6</t>
  </si>
  <si>
    <t>3,4-Bis(2,2,3,3,4,4,4-heptafluorobutyl)-1H-pyrrole-2,5-dicarboxylic acid</t>
  </si>
  <si>
    <t xml:space="preserve">  83650-67-3</t>
  </si>
  <si>
    <t>4,4,5,5,6,6,6-Heptafluoro-3-(nitromethyl)hexanoic acid</t>
  </si>
  <si>
    <t xml:space="preserve">  7079-86-9</t>
  </si>
  <si>
    <t>2-(2,2,3,3,4,4,4-Heptafluorobutyl)butanedioic acid</t>
  </si>
  <si>
    <t xml:space="preserve">  121223-84-5</t>
  </si>
  <si>
    <t>3-(Heptafluoropropyl)pentanedioic acid</t>
  </si>
  <si>
    <t xml:space="preserve">  336-32-3</t>
  </si>
  <si>
    <t>3,4,4,4-Tetrafluoro-3-(trifluoromethyl)butanoic acid</t>
  </si>
  <si>
    <t xml:space="preserve">  773869-22-0</t>
  </si>
  <si>
    <t>(Perfluoroheptyl)ethanoic acid</t>
  </si>
  <si>
    <t xml:space="preserve">  45291-33-6</t>
  </si>
  <si>
    <t>5:2 Fluorotelomer carboxylic acid</t>
  </si>
  <si>
    <t xml:space="preserve">  889944-77-8</t>
  </si>
  <si>
    <t>3,3,4,4,5,5,5-Heptafluoropentanoic acid</t>
  </si>
  <si>
    <t xml:space="preserve">  679-46-9</t>
  </si>
  <si>
    <t>5,5,6,6,7,7,7-heptafluoro-4,4-bis(trifluoromethyl)heptanoic Acid</t>
  </si>
  <si>
    <t xml:space="preserve">  129991-14-6</t>
  </si>
  <si>
    <t>4,4-bis(Trifluoromethyl)-4-fluoropropanoic acid</t>
  </si>
  <si>
    <t xml:space="preserve">  243139-62-0</t>
  </si>
  <si>
    <t>8:3 Fluorotelomer carboxylic acid</t>
  </si>
  <si>
    <t xml:space="preserve">  34598-33-9</t>
  </si>
  <si>
    <t>3-Perfluoroheptylpropanoic acid</t>
  </si>
  <si>
    <t xml:space="preserve">  812-70-4</t>
  </si>
  <si>
    <t>3:3 Fluorotelomer carboxylic acid</t>
  </si>
  <si>
    <t xml:space="preserve">  356-02-5</t>
  </si>
  <si>
    <t>5,5,6,6,7,7,8,8,8-Nonafluorooctanoic acid</t>
  </si>
  <si>
    <t xml:space="preserve">  27854-33-7</t>
  </si>
  <si>
    <t>6:2 Fluorotelomer thioether propanoic acid</t>
  </si>
  <si>
    <t xml:space="preserve">  149339-57-1</t>
  </si>
  <si>
    <t>NSC146413</t>
  </si>
  <si>
    <t xml:space="preserve">  424-55-5</t>
  </si>
  <si>
    <t>1,1,1,2,4,4,5,5,6,6,7,7-Dodecafluoro-2-(trifluoromethyl)heptan-3-ol</t>
  </si>
  <si>
    <t xml:space="preserve">  66566-87-8</t>
  </si>
  <si>
    <t>(Perfluoropropyl)(perfluorophenyl)methanol</t>
  </si>
  <si>
    <t xml:space="preserve">  19108-36-2</t>
  </si>
  <si>
    <t>(Perfluorobutyl)-4-bromophenylmethanol</t>
  </si>
  <si>
    <t xml:space="preserve">  1228786-78-4</t>
  </si>
  <si>
    <t>[4-(3,3,4,4,5,5,6,6,7,7,8,8,9,9,10,10,10-Heptadecafluorodecyl)phenyl](diphenyl)methanol</t>
  </si>
  <si>
    <t xml:space="preserve">  649561-66-0</t>
  </si>
  <si>
    <t>(Perfluorooctyl)phenylmethanol</t>
  </si>
  <si>
    <t xml:space="preserve">  78960-85-7</t>
  </si>
  <si>
    <t>(Perfluoropropyl)phenylmethanol</t>
  </si>
  <si>
    <t xml:space="preserve">  785-93-3</t>
  </si>
  <si>
    <t>1H-Pyrrol-2-yl(perfluoropropyl)methanol</t>
  </si>
  <si>
    <t xml:space="preserve">  159355-62-1</t>
  </si>
  <si>
    <t>2-Perfluorodecyl ethanoic acid</t>
  </si>
  <si>
    <t xml:space="preserve">  53826-13-4</t>
  </si>
  <si>
    <t>(Perfluoropropyl)chloromethyl-2,4-difluorophenylmethanol</t>
  </si>
  <si>
    <t xml:space="preserve">  92737-03-6</t>
  </si>
  <si>
    <t>3,3,4,4,5,5,6,6,7,7,8,8,8-Tridecafluoro-1-iodooctan-2-ol</t>
  </si>
  <si>
    <t xml:space="preserve">  89807-99-8</t>
  </si>
  <si>
    <t>alpha-(2,2,3,3,4,4,5,5,6,6,7,7,8,8,9,9,9-Heptadecafluorononyl)aziridine-1-ethanol</t>
  </si>
  <si>
    <t xml:space="preserve">  94159-85-0</t>
  </si>
  <si>
    <t>(Perfluoro-3-methylbutyl)-2-hydroxypropyl acrylate</t>
  </si>
  <si>
    <t xml:space="preserve">  16083-76-4</t>
  </si>
  <si>
    <t>3-(Perfluorooctyl)-2-hydroxypropyl acrylate</t>
  </si>
  <si>
    <t xml:space="preserve">  76962-34-0</t>
  </si>
  <si>
    <t>3-Perfluorohexyl-2-hydroxypropyl acrylate</t>
  </si>
  <si>
    <t xml:space="preserve">  127377-12-2</t>
  </si>
  <si>
    <t>4,4,5,5,6,6,7,7,7-Nonafluoro-2-hydroxyheptyl prop-2-enoate</t>
  </si>
  <si>
    <t xml:space="preserve">  98573-25-2</t>
  </si>
  <si>
    <t>4,4,5,5,6,6,7,7,8,8,9,9,10,10,11,11,11-Heptadecafluoro-1-(vinyloxy)undecan-2-ol</t>
  </si>
  <si>
    <t xml:space="preserve">  94159-86-1</t>
  </si>
  <si>
    <t>4,4,5,5,6,6,7,7,8,8,9,9,10,10,11,11,11-Heptadecafluoro-1-phenoxyundecan-2-ol</t>
  </si>
  <si>
    <t xml:space="preserve">  94159-91-8</t>
  </si>
  <si>
    <t>1,3-Bis(2,2,3,3,4,4,4-heptafluorobutoxy)propan-2-ol</t>
  </si>
  <si>
    <t xml:space="preserve">  1598-17-0</t>
  </si>
  <si>
    <t>4,5-Dihydro-2-phenyl-α-((perfluorohexyl)ethyloxy)methyl-1H-Imidazole-1-ethanol</t>
  </si>
  <si>
    <t xml:space="preserve">  1363391-48-3</t>
  </si>
  <si>
    <t>1,3-Bis[(3,3,4,4,5,5,6,6,6-nonafluorohexyl)oxy]propan-2-ol</t>
  </si>
  <si>
    <t xml:space="preserve">  384828-83-5</t>
  </si>
  <si>
    <t>3-(Perfluoro-5-methylhexyl)-1,2-propanediol 1-(dihydrogen phosphate)</t>
  </si>
  <si>
    <t xml:space="preserve">  105416-14-6</t>
  </si>
  <si>
    <t>3-(Perfluorononyl)-1,2-propanediol-1-phosphate</t>
  </si>
  <si>
    <t xml:space="preserve">  54009-74-4</t>
  </si>
  <si>
    <t>(Perfluorooctyl)-2-hydroxypropyl dihydrogen phosphate</t>
  </si>
  <si>
    <t xml:space="preserve">  94158-69-7</t>
  </si>
  <si>
    <t>1,1,2,2,3,3,4,4,4-Nonafluoro-1-butanol</t>
  </si>
  <si>
    <t>1,1-Octanediol, 2,2,3,3,4,4,5,5,6,6,7,7,8,8,8-pentadecafluoro-</t>
  </si>
  <si>
    <t xml:space="preserve">  31185-69-0</t>
  </si>
  <si>
    <t>2,2,3,3,4,4,5,5,6,6,6-Undecafluoro-1,1-hexanediol</t>
  </si>
  <si>
    <t xml:space="preserve">  904037-24-7</t>
  </si>
  <si>
    <t>2,2,3,3,4,4,4-Heptafluorobutane-1,1-diol</t>
  </si>
  <si>
    <t xml:space="preserve">  375-21-3</t>
  </si>
  <si>
    <t>4-(1H,1H,2H,2H-Perfluorodecylthio)phenol</t>
  </si>
  <si>
    <t xml:space="preserve">  142623-70-9</t>
  </si>
  <si>
    <t>4-[(3,3,4,4,5,5,6,6,7,7,8,8,8-Tridecafluorooctyl)sulfanyl]phenol</t>
  </si>
  <si>
    <t xml:space="preserve">  892155-19-0</t>
  </si>
  <si>
    <t>4-[(3,3,4,4,5,5,6,6,6-Nonafluorohexyl)sulfanyl]phenol</t>
  </si>
  <si>
    <t xml:space="preserve">  892155-14-5</t>
  </si>
  <si>
    <t>4-Bromo-2-[4,4,5,5,6,6,7,7,8,9,9,9-dodecafluoro-8-(trifluoromethyl)nonyl]phenol</t>
  </si>
  <si>
    <t xml:space="preserve">  610778-18-2</t>
  </si>
  <si>
    <t>2,2,3,3,4,4,5,5,6,6,7,7,8,8,8-Pentadecafluorooctyl 4-hydroxybenzoate</t>
  </si>
  <si>
    <t xml:space="preserve">  869308-35-0</t>
  </si>
  <si>
    <t>4-[(2,2,3,3,4,4,5,5,6,6,6-Undecafluorohexyl)oxy]phenol</t>
  </si>
  <si>
    <t xml:space="preserve">  129560-96-9</t>
  </si>
  <si>
    <t>4-(2,2,3,3,4,4,4-Heptafluorobutoxy)phenol</t>
  </si>
  <si>
    <t xml:space="preserve">  129560-95-8</t>
  </si>
  <si>
    <t>4-[(3,3,4,4,5,5,6,6,6-Nonafluorohexyl)oxy]phenol</t>
  </si>
  <si>
    <t xml:space="preserve">  129560-98-1</t>
  </si>
  <si>
    <t>3-(6,6,7,7,8,8,9,9,10,10,11,11,11-Tridecafluoroundecyl)benzene-1,2-diol</t>
  </si>
  <si>
    <t xml:space="preserve">  131545-70-5</t>
  </si>
  <si>
    <t>3-(12,12,13,13,14,14,15,15,15-Nonafluoropentadecyl)benzene-1,2-diol</t>
  </si>
  <si>
    <t xml:space="preserve">  131545-71-6</t>
  </si>
  <si>
    <t>3-[(2,2,3,3,4,4,5,5,6,6,7,7,7-Tridecafluoroheptyl)amino]phenol</t>
  </si>
  <si>
    <t xml:space="preserve">  1441382-30-4</t>
  </si>
  <si>
    <t>2-(3,3,4,4,5,5,6,6,6-Nonafluorohexyl)propane-1,3-diol</t>
  </si>
  <si>
    <t xml:space="preserve">  152220-76-3</t>
  </si>
  <si>
    <t>1H,1H,3H-Perfluoro(2,4-dimethylpentan-1-ol)</t>
  </si>
  <si>
    <t xml:space="preserve">  25065-50-3</t>
  </si>
  <si>
    <t>1H,1H-Perfluoro(3,5,5-trimethylhexan-1-ol)</t>
  </si>
  <si>
    <t xml:space="preserve">  232267-34-4</t>
  </si>
  <si>
    <t>2,2,3,4,4,5,5,6,6,7,8,8,8-Tridecafluoro-3,7-bis(trifluoromethyl)octan-1-ol</t>
  </si>
  <si>
    <t xml:space="preserve">  232587-50-7</t>
  </si>
  <si>
    <t>2,2,3,4,4,4-Hexafluoro-3-(trifluoromethyl)butan-1-ol</t>
  </si>
  <si>
    <t xml:space="preserve">  782390-93-6</t>
  </si>
  <si>
    <t>1H,1H-Perfluorohexadecan-1-ol</t>
  </si>
  <si>
    <t xml:space="preserve">  216144-94-4</t>
  </si>
  <si>
    <t>1H,1H-Perfluoro-1-tetradecanol</t>
  </si>
  <si>
    <t xml:space="preserve">  15622-57-8</t>
  </si>
  <si>
    <t>11:1 Fluorotelomer alcohol</t>
  </si>
  <si>
    <t xml:space="preserve">  423-65-4</t>
  </si>
  <si>
    <t>10:1 Fluorotelomer alcohol</t>
  </si>
  <si>
    <t xml:space="preserve">  307-46-0</t>
  </si>
  <si>
    <t>9:1 Fluorotelomer alcohol</t>
  </si>
  <si>
    <t xml:space="preserve">  307-37-9</t>
  </si>
  <si>
    <t>1H,1H,10H,10H-Perfluorodecane-1,10-diol</t>
  </si>
  <si>
    <t xml:space="preserve">  754-96-1</t>
  </si>
  <si>
    <t>8:1 Fluorotelomer alcohol</t>
  </si>
  <si>
    <t xml:space="preserve">  423-56-3</t>
  </si>
  <si>
    <t>1H,1H,8H-Perfluoro-1-octanol</t>
  </si>
  <si>
    <t xml:space="preserve">  10331-08-5</t>
  </si>
  <si>
    <t>1H,1H,8H,8H-Perfluorooctane-1,8-diol</t>
  </si>
  <si>
    <t xml:space="preserve">  90177-96-1</t>
  </si>
  <si>
    <t>1H,1H,6H,6H-Perfluoro-1,6-hexanediol</t>
  </si>
  <si>
    <t xml:space="preserve">  355-74-8</t>
  </si>
  <si>
    <t>1H,1H-Perfluoro-1-pentanol</t>
  </si>
  <si>
    <t xml:space="preserve">  355-28-2</t>
  </si>
  <si>
    <t>Hexafluoroamylene glycol</t>
  </si>
  <si>
    <t xml:space="preserve">  376-90-9</t>
  </si>
  <si>
    <t>Heptafluorobutanol</t>
  </si>
  <si>
    <t xml:space="preserve">  375-01-9</t>
  </si>
  <si>
    <t>(2Z)-4,5,5,5-Tetrafluoro-2-iodo-4-(trifluoromethyl)pent-2-en-1-ol</t>
  </si>
  <si>
    <t xml:space="preserve">  1006627-74-2</t>
  </si>
  <si>
    <t>4,5,5,5-Tetrafluoro-2-iodo-4-(trifluoromethyl)pent-2-en-1-ol</t>
  </si>
  <si>
    <t xml:space="preserve">  261760-25-2</t>
  </si>
  <si>
    <t>(2Z)-4,4,5,5,6,6,7,7,8,8,9,9,9-Tridecafluoro-2-iodonon-2-en-1-ol</t>
  </si>
  <si>
    <t xml:space="preserve">  99325-08-3</t>
  </si>
  <si>
    <t>4,4,5,5,6,6,7,7,8,8,9,9,9-Tridecafluoro-2-iodonon-2-en-1-ol</t>
  </si>
  <si>
    <t xml:space="preserve">  261761-01-7</t>
  </si>
  <si>
    <t>4,4,5,5,6,6,6-heptafluoro-2-iodohex-2-en-1-ol</t>
  </si>
  <si>
    <t xml:space="preserve">  92835-82-0</t>
  </si>
  <si>
    <t>(2Z)-4,4,5,5,6,6,6-Heptafluoro-2-iodohex-2-en-1-ol</t>
  </si>
  <si>
    <t xml:space="preserve">  92835-92-2</t>
  </si>
  <si>
    <t>4,5,5,5-Tetrafluoro-2-iodo-4-(trifluoromethyl)pentan-1-ol</t>
  </si>
  <si>
    <t xml:space="preserve">  114810-56-9</t>
  </si>
  <si>
    <t>4,4,5,5,6,6,7,7,8,9,9,9-dodecafluoro-2-iodo-8-(trifluoromethyl)nonan-1-ol</t>
  </si>
  <si>
    <t xml:space="preserve">  16083-62-8</t>
  </si>
  <si>
    <t>4,4,5,5,6,6,7,7,8,8,9,9,10,11,11,11-Hexadecafluoro-2-iodo-10-(trifluoromethyl)undecan-1-ol</t>
  </si>
  <si>
    <t xml:space="preserve">  65726-35-4</t>
  </si>
  <si>
    <t>4,4,5,5,6,6,7,7,8,8,9,9,10,10,11,11,12,12,13,13,14,14,15,15,15-Pentacosafluoro-2-iodopentadecan-1-ol</t>
  </si>
  <si>
    <t xml:space="preserve">  80459-24-1</t>
  </si>
  <si>
    <t>4,4,5,5,6,6,7,7,8,8,9,9,10,10,11,11,12,12,13,13,13-Henicosafluoro-2-iodotridecan-1-ol</t>
  </si>
  <si>
    <t xml:space="preserve">  38550-46-8</t>
  </si>
  <si>
    <t>4,4,5,5,6,6,7,7,8,8,9,9,10,10,11,11,11-Heptadecafluoro-2-iodoundecan-1-ol</t>
  </si>
  <si>
    <t xml:space="preserve">  38550-45-7</t>
  </si>
  <si>
    <t>2-Iodo-1h,1h,2h,3h,3h-perfluorodecan-1-ol</t>
  </si>
  <si>
    <t xml:space="preserve">  16083-64-0</t>
  </si>
  <si>
    <t>4,4,5,5,6,6,7,7,8,8,9,9,9-Tridecafluoro-2-iodononan-1-ol</t>
  </si>
  <si>
    <t xml:space="preserve">  38550-44-6</t>
  </si>
  <si>
    <t>4,4,5,5,6,6,7,7,7-Nonafluoro-2-iodoheptan-1-ol</t>
  </si>
  <si>
    <t xml:space="preserve">  80233-96-1</t>
  </si>
  <si>
    <t>4,4,5,5,6,6,6-Heptafluoro-2-iodohexan-1-ol</t>
  </si>
  <si>
    <t xml:space="preserve">  647-84-7</t>
  </si>
  <si>
    <t>3,3,4,4,5,5,6,6,6-Nonafluorohexane-1,2-diol</t>
  </si>
  <si>
    <t xml:space="preserve">  124995-00-2</t>
  </si>
  <si>
    <t>1-(Perfluorofluorooctyl)propane-2,3-diol</t>
  </si>
  <si>
    <t xml:space="preserve">  94159-84-9</t>
  </si>
  <si>
    <t>4,4,5,5,6,6,7,7,8,8,9,9,9-tridecafluorononane-1,2-diol</t>
  </si>
  <si>
    <t xml:space="preserve">  107650-06-6</t>
  </si>
  <si>
    <t>3-(Perfluoro-2-butyl)propane-1,2-diol</t>
  </si>
  <si>
    <t xml:space="preserve">  125070-38-4</t>
  </si>
  <si>
    <t>3-(Perfluoro-1-propyl)-1,2-propanediol</t>
  </si>
  <si>
    <t xml:space="preserve">  1992-91-2</t>
  </si>
  <si>
    <t>1,2-Decanediol, 5,5,6,6,7,7,8,8,9,9,10,10,10-tridecafluoro-</t>
  </si>
  <si>
    <t xml:space="preserve">  147274-18-8</t>
  </si>
  <si>
    <t>3-(2,2,3,3,4,4,4-Heptafluorobutoxy)propane-1,2-diol</t>
  </si>
  <si>
    <t xml:space="preserve">  25385-72-2</t>
  </si>
  <si>
    <t>3-[(3,3,4,4,5,5,6,6,7,7,8,8,8-Tridecafluorooctyl)oxy]propane-1,2-diol</t>
  </si>
  <si>
    <t xml:space="preserve">  126814-93-5</t>
  </si>
  <si>
    <t>3-[(3,3,4,4,5,5,6,6,6-Nonafluorohexyl)oxy]propane-1,2-diol</t>
  </si>
  <si>
    <t xml:space="preserve">  135548-22-0</t>
  </si>
  <si>
    <t>4,4,5,5,6,6,7,7,7-Nonafluorohept-2-yn-1-ol</t>
  </si>
  <si>
    <t xml:space="preserve">  81190-31-0</t>
  </si>
  <si>
    <t>(2Z)-4,5,5,5-Tetrafluoro-4-(trifluoromethyl)pent-2-en-1-ol</t>
  </si>
  <si>
    <t xml:space="preserve">  83706-99-4</t>
  </si>
  <si>
    <t>(2Z)-4,4,5,5,6,6,7,7,8,8,9,9,9-Tridecafluoronon-2-en-1-ol</t>
  </si>
  <si>
    <t xml:space="preserve">  83707-01-1</t>
  </si>
  <si>
    <t>(2E)-4,5,5,5-Tetrafluoro-4-(trifluoromethyl)pent-2-en-1-ol</t>
  </si>
  <si>
    <t xml:space="preserve">  83706-95-0</t>
  </si>
  <si>
    <t>4,4,5,5,6,6,7,7,8,8,9,9,10,10,11,11,11-heptadecafluoroundec-2-en-1-ol</t>
  </si>
  <si>
    <t xml:space="preserve">  2340-84-3</t>
  </si>
  <si>
    <t>4,4,5,5,6,6,7,7,8,8,9,9,9-Tridecafluoro-2-nonen-1-ol</t>
  </si>
  <si>
    <t xml:space="preserve">  38550-47-9</t>
  </si>
  <si>
    <t>(2E)-4,4,5,5,6,6,7,7,8,8,9,9,9-Tridecafluoro-2-nonen-1-ol</t>
  </si>
  <si>
    <t xml:space="preserve">  83706-97-2</t>
  </si>
  <si>
    <t>(2E)-4,4,5,5,6,6,7,7,7-Nonafluorohept-2-en-1-ol</t>
  </si>
  <si>
    <t xml:space="preserve">  83706-96-1</t>
  </si>
  <si>
    <t>4,4,5,5,6,6,7,7,7-Nonafluorohept-2-en-1-ol</t>
  </si>
  <si>
    <t xml:space="preserve">  72016-05-8</t>
  </si>
  <si>
    <t>4,4,5,5,6,6,6-Heptafluorohex-2-en-1-ol</t>
  </si>
  <si>
    <t xml:space="preserve">  679-03-8</t>
  </si>
  <si>
    <t>(2E)-4,4,5,5,6,6,6-Heptafluorohex-2-en-1-ol</t>
  </si>
  <si>
    <t xml:space="preserve">  37759-88-9</t>
  </si>
  <si>
    <t>(Perfluorocyclohexyl)methanol</t>
  </si>
  <si>
    <t xml:space="preserve">  28788-68-3</t>
  </si>
  <si>
    <t>[4-(3,3,4,4,5,5,6,6,7,7,8,8,9,9,10,10,10-Heptadecafluorodecyl)phenyl]methanol</t>
  </si>
  <si>
    <t xml:space="preserve">  356055-77-1</t>
  </si>
  <si>
    <t>4-((Perfluorohexyl)ethyl)phenylmethanol</t>
  </si>
  <si>
    <t xml:space="preserve">  356055-76-0</t>
  </si>
  <si>
    <t>[4-(3,3,4,4,5,5,6,6,6-Nonafluorohexyl)phenyl]methanol</t>
  </si>
  <si>
    <t xml:space="preserve">  892154-66-4</t>
  </si>
  <si>
    <t>{4-[(4,4,5,5,6,6,7,7,8,8,9,9,10,10,11,11,11-Heptadecafluoroundecyl)oxy]phenyl}methanol</t>
  </si>
  <si>
    <t xml:space="preserve">  892155-69-0</t>
  </si>
  <si>
    <t>{4-[(4,4,5,5,6,6,7,7,8,8,9,9,9-Tridecafluorononyl)oxy]phenyl}methanol</t>
  </si>
  <si>
    <t xml:space="preserve">  957206-65-4</t>
  </si>
  <si>
    <t>4-[3-(Perfluorobutyl)-1-propyloxy]benzylÂ alcohol</t>
  </si>
  <si>
    <t xml:space="preserve">  892154-51-7</t>
  </si>
  <si>
    <t>3-(Heptafluoropropyl)pentane-1,5-diol</t>
  </si>
  <si>
    <t xml:space="preserve">  678-93-3</t>
  </si>
  <si>
    <t>2-(Heptadecafluorooctyl)butane-1,4-diol</t>
  </si>
  <si>
    <t xml:space="preserve">  135440-42-5</t>
  </si>
  <si>
    <t>2(Perfluoro-2-propyl)ethanol</t>
  </si>
  <si>
    <t xml:space="preserve">  90999-87-4</t>
  </si>
  <si>
    <t>3,3,4,4,5,6,6,6-Octafluoro-5-(trifluoromethyl)hexan-1-ol</t>
  </si>
  <si>
    <t xml:space="preserve">  89076-11-9</t>
  </si>
  <si>
    <t>3,3,4,4,5,5,6,6,7,8,8,8-Dodecafluoro-7-(trifluoromethyl)octan-1-ol</t>
  </si>
  <si>
    <t xml:space="preserve">  20015-46-7</t>
  </si>
  <si>
    <t>2-(Perfluoro-7-methyloctyl)ethanol</t>
  </si>
  <si>
    <t xml:space="preserve">  31200-98-3</t>
  </si>
  <si>
    <t>3,3,4,4,5,5,6,6,7,7,8,8,9,9,10,10,11,12,12,12-Icosafluoro-11-(trifluoromethyl)dodecan-1-ol</t>
  </si>
  <si>
    <t xml:space="preserve">  194427-39-9</t>
  </si>
  <si>
    <t>3,3,4,4,5,5,6,6,7,7,8,8,9,9,10,10,11,11,12,12,13,13,14,14,15,15,15-Heptacosafluoropentadecan-1-ol</t>
  </si>
  <si>
    <t xml:space="preserve">  176676-70-3</t>
  </si>
  <si>
    <t>3,3,4,4,5,5,6,6,7,7,8,8,9,9,10,10,11,11,12,12,13,13,13-Tricosafluorotridecan-1-ol</t>
  </si>
  <si>
    <t xml:space="preserve">  1545-59-1</t>
  </si>
  <si>
    <t>10:2 Fluorotelomer alcohol</t>
  </si>
  <si>
    <t xml:space="preserve">  865-86-1</t>
  </si>
  <si>
    <t>3,3,4,4,5,5,6,6,7,7,8,8,9,9,10,10,11,11,11-Nonadecafluoroundecan-1-ol</t>
  </si>
  <si>
    <t xml:space="preserve">  87017-97-8</t>
  </si>
  <si>
    <t>3,3,4,4,5,5,6,6,7,7,8,8,9,9,9-Pentadecafluorononan-1-ol</t>
  </si>
  <si>
    <t xml:space="preserve">  755-02-2</t>
  </si>
  <si>
    <t>5:2 Fluorotelomer alcohol</t>
  </si>
  <si>
    <t xml:space="preserve">  185689-57-0</t>
  </si>
  <si>
    <t>4:2 Fluorotelomer alcohol</t>
  </si>
  <si>
    <t xml:space="preserve">  2043-47-2</t>
  </si>
  <si>
    <t>3:2 Fluorotelomer alcohol</t>
  </si>
  <si>
    <t xml:space="preserve">  755-40-8</t>
  </si>
  <si>
    <t>5,5,6,6,7,7,8,8,9,9,10,10,10-Tridecafluoro-3-iododecan-1-ol</t>
  </si>
  <si>
    <t xml:space="preserve">  16083-68-4</t>
  </si>
  <si>
    <t>5,5,6,6,7,7,8,8,8-Nonafluoro-3-iodooctan-1-ol</t>
  </si>
  <si>
    <t xml:space="preserve">  109574-81-4</t>
  </si>
  <si>
    <t>5,5,6,6,7,7,7-Heptafluoro-3-iodoheptan-1-ol</t>
  </si>
  <si>
    <t xml:space="preserve">  89621-93-2</t>
  </si>
  <si>
    <t>5,5,6,6,7,7,7-Heptafluoro-4,4-bis(trifluoromethyl)heptan-1-ol</t>
  </si>
  <si>
    <t xml:space="preserve">  110254-90-5</t>
  </si>
  <si>
    <t>3-(Perfluoroisopropyl)propanol</t>
  </si>
  <si>
    <t xml:space="preserve">  29819-73-6</t>
  </si>
  <si>
    <t>3-(Perfluorooctyl)propanol</t>
  </si>
  <si>
    <t xml:space="preserve">  1651-41-8</t>
  </si>
  <si>
    <t>7:3 fluorotelomer alcohol</t>
  </si>
  <si>
    <t xml:space="preserve">  25600-66-2</t>
  </si>
  <si>
    <t>3-(Perfluorohexyl)propanol</t>
  </si>
  <si>
    <t xml:space="preserve">  80806-68-4</t>
  </si>
  <si>
    <t>4,4,5,5,6,6,7,7,8,8,8-Undecafluorooctan-1-ol</t>
  </si>
  <si>
    <t xml:space="preserve">  1404193-88-9</t>
  </si>
  <si>
    <t>3-(Perfluorobutyl)-1-propanol</t>
  </si>
  <si>
    <t xml:space="preserve">  83310-97-8</t>
  </si>
  <si>
    <t>3-(Perfluoropropyl)propanol</t>
  </si>
  <si>
    <t xml:space="preserve">  679-02-7</t>
  </si>
  <si>
    <t>6,6,7,7,8,8,9,9,10,10,11,11,11-Tridecafluoro-4-iodoundecan-1-ol</t>
  </si>
  <si>
    <t xml:space="preserve">  132665-00-0</t>
  </si>
  <si>
    <t>5,5,6,6,7,7,8,8,9,9,10,10,10-Tridecafluorodecan-1-ol</t>
  </si>
  <si>
    <t xml:space="preserve">  39239-79-7</t>
  </si>
  <si>
    <t>5,5,6,6,7,7,7-Heptafluoroheptan-1-ol</t>
  </si>
  <si>
    <t xml:space="preserve">  883543-64-4</t>
  </si>
  <si>
    <t>(5E)-7,7,8,8,9,9,10,10,10-Nonafluoro-5-iododec-5-en-1-ol</t>
  </si>
  <si>
    <t xml:space="preserve">  137648-89-6</t>
  </si>
  <si>
    <t>6,6,7,7,8,8,9,9,10,10,11,11,11-Tridecafluoroundecan-1-ol</t>
  </si>
  <si>
    <t xml:space="preserve">  134052-02-1</t>
  </si>
  <si>
    <t>6,6,7,7,8,8,9,9,9-Nonafluorononan-1-ol</t>
  </si>
  <si>
    <t xml:space="preserve">  219557-62-7</t>
  </si>
  <si>
    <t>7,8,8,8-Tetrafluoro-7-(trifluoromethyl)octan-1-ol</t>
  </si>
  <si>
    <t xml:space="preserve">  220469-13-6</t>
  </si>
  <si>
    <t>7,7,8,8,9,9,10,10,11,11,12,12,13,14,14,14-Hexadecafluoro-13-(trifluoromethyl)tetradecan-1-ol</t>
  </si>
  <si>
    <t xml:space="preserve">  390410-82-9</t>
  </si>
  <si>
    <t>7,7,8,8,9,9,10,10,11,11,12,12,13,13,14,14,14-heptadecafluorotetradecan-1-ol</t>
  </si>
  <si>
    <t xml:space="preserve">  129794-54-3</t>
  </si>
  <si>
    <t>6-(Perfluorohexyl)hexanol</t>
  </si>
  <si>
    <t xml:space="preserve">  161981-35-7</t>
  </si>
  <si>
    <t>7,7,8,8,9,9,10,10,10-nonafluorodecan-1-ol</t>
  </si>
  <si>
    <t xml:space="preserve">  181042-39-7</t>
  </si>
  <si>
    <t>9,9,10,10,11,11,12,12,12-Nonafluoro-7-iodododecan-1-ol</t>
  </si>
  <si>
    <t xml:space="preserve">  172701-28-9</t>
  </si>
  <si>
    <t>9,9,10,10,11,11,12,12,12-Nonafluorododecan-1-ol</t>
  </si>
  <si>
    <t xml:space="preserve">  133001-14-6</t>
  </si>
  <si>
    <t>11-(Perfluorooctyl)undec-10-enol</t>
  </si>
  <si>
    <t xml:space="preserve">  15364-19-9</t>
  </si>
  <si>
    <t>12,12,13,13,14,14,15,15,16,16,17,17,17-Tridecafluoroheptadec-10-en-1-ol</t>
  </si>
  <si>
    <t xml:space="preserve">  117543-54-1</t>
  </si>
  <si>
    <t>(10E)-12,12,13,13,14,14,15,15,16,16,17,17,17-Tridecafluoroheptadec-10-en-1-ol</t>
  </si>
  <si>
    <t xml:space="preserve">  135131-53-2</t>
  </si>
  <si>
    <t>12,12,13,13,14,14,15,15,16,16,17,17,18,18,19,19,19-Heptadecafluorononadecan-1-ol</t>
  </si>
  <si>
    <t xml:space="preserve">  1512-02-3</t>
  </si>
  <si>
    <t>12,12,13,13,14,14,15,15,16,16,17,17,17-Tridecafluoroheptadecan-1-ol</t>
  </si>
  <si>
    <t xml:space="preserve">  134052-01-0</t>
  </si>
  <si>
    <t>12,12,13,13,14,14,15,15,15-Nonafluoropentadecan-1-ol</t>
  </si>
  <si>
    <t xml:space="preserve">  36096-97-6</t>
  </si>
  <si>
    <t>6-(2,2,3,3,4,4,4-Heptafluorobutoxy)hexan-1-ol</t>
  </si>
  <si>
    <t xml:space="preserve">  1207481-10-4</t>
  </si>
  <si>
    <t>1-Propanol, 3-[(3,3,4,4,5,5,6,6,7,7,8,8,9,9,10,10,10-heptadecafluorodecyl)thio]-</t>
  </si>
  <si>
    <t xml:space="preserve">  36880-07-6</t>
  </si>
  <si>
    <t>1-[Bis(2-hydroxyethyl)amino]-4,4,5,5,6,6,6-heptafluorohexan-2-ol</t>
  </si>
  <si>
    <t xml:space="preserve">  189160-58-5</t>
  </si>
  <si>
    <t>2,2'-((3,3,4,4,5,5,6,6,7,7,8,8,9,9,10,10,10-Heptadecafluorodecyl)imino)bisethanol</t>
  </si>
  <si>
    <t xml:space="preserve">  27607-36-9</t>
  </si>
  <si>
    <t>3,7-Bis(2-hydroxyethyl)-5-(((perfluorononyl)ethyl)oxy)-4,6-dioxa-3,7-diaza-5-phosphanonane-1,9-diol 5-oxide</t>
  </si>
  <si>
    <t xml:space="preserve">  101896-21-3</t>
  </si>
  <si>
    <t>2-((3,3,4,4,5,5,6,6,7,7,8,8,9,9,10,10,10-Heptadecafluorodecyl)amino)ethanol</t>
  </si>
  <si>
    <t xml:space="preserve">  27607-42-7</t>
  </si>
  <si>
    <t>2-({3-[3,4,4,4-Tetrafluoro-3-(trifluoromethyl)butane-1-sulfonyl]propyl}amino)ethan-1-ol</t>
  </si>
  <si>
    <t xml:space="preserve">  1353009-40-1</t>
  </si>
  <si>
    <t>2-(Perfluorohexyl)ethanol dihydrogen phosphate bis(2-hydroxyethyl)amine</t>
  </si>
  <si>
    <t xml:space="preserve">  57678-02-1</t>
  </si>
  <si>
    <t>2-[(2,2,3,3,4,4,5,5,6,6,7,7,7-Tridecafluoroheptyl)oxy]ethan-1-ol</t>
  </si>
  <si>
    <t xml:space="preserve">  54336-60-6</t>
  </si>
  <si>
    <t>2-[(2,2,3,3,4,4,5,5,6,6,6-Undecafluorohexyl)oxy]ethan-1-ol</t>
  </si>
  <si>
    <t xml:space="preserve">  169289-67-2</t>
  </si>
  <si>
    <t>2-(2,2,3,3,4,4,4-Heptafluorobutoxy)ethan-1-ol</t>
  </si>
  <si>
    <t xml:space="preserve">  2266-43-5</t>
  </si>
  <si>
    <t>2-[(3,3,4,4,5,5,6,6,7,7,8,8,8-Tridecafluorooctyl)oxy]ethan-1-ol</t>
  </si>
  <si>
    <t xml:space="preserve">  55427-50-4</t>
  </si>
  <si>
    <t>2-[(3,3,4,4,5,5,6,6,6-Nonafluorohexyl)oxy]ethan-1-ol</t>
  </si>
  <si>
    <t xml:space="preserve">  54949-99-4</t>
  </si>
  <si>
    <t>2-[2-(2,2,3,3,4,4,4-Heptafluorobutoxy)ethoxy]ethan-1-ol</t>
  </si>
  <si>
    <t xml:space="preserve">  54336-56-0</t>
  </si>
  <si>
    <t>16,16,17,17,18,18,19,19,20,20,21,21,22,22,22-Pentadecafluoro-3,6,9,12,15-pentaoxadocosan-1-ol</t>
  </si>
  <si>
    <t xml:space="preserve">  93704-25-7</t>
  </si>
  <si>
    <t>2-(3,3,4,4,5,5,6,6,6-Nonafluorohexane-1-sulfinyl)ethan-1-ol</t>
  </si>
  <si>
    <t xml:space="preserve">  917966-97-3</t>
  </si>
  <si>
    <t>2-[(3,3,4,4,5,5,6,6,6-Nonafluorohexyl)sulfanyl]ethan-1-ol</t>
  </si>
  <si>
    <t xml:space="preserve">  104568-28-7</t>
  </si>
  <si>
    <t>2,2,3,3,4,4,5,5,6,6,7,7,8,8,8-Pentadecafluoro-N-hydroxyoctanimidamide</t>
  </si>
  <si>
    <t xml:space="preserve">  4314-38-9</t>
  </si>
  <si>
    <t>2,2,3,3,4,4,4-Heptafluoro-N-hydroxybutanimidamide</t>
  </si>
  <si>
    <t xml:space="preserve">  4314-37-8</t>
  </si>
  <si>
    <t>2,2,3,3,4,4,4-Heptafluorobutyl hydrogen phosphate</t>
  </si>
  <si>
    <t xml:space="preserve">  425-67-2</t>
  </si>
  <si>
    <t>2,2,3,3,4,4,4-Heptafluoro-1-phenylbutyl hydrogen phenylphosphonate</t>
  </si>
  <si>
    <t xml:space="preserve">  496032-46-3</t>
  </si>
  <si>
    <t>(3,3,4,4,5,5,6,6,7,7,8,8,9,9,10,10,11,11,12,12,12-Henicosafluorododecyl)phosphinic acid</t>
  </si>
  <si>
    <t xml:space="preserve">  731858-15-4</t>
  </si>
  <si>
    <t>(3,3,4,4,5,5,6,6,7,7,8,8,9,9,10,10,10-Heptadecafluorodecyl)phosphinic acid</t>
  </si>
  <si>
    <t xml:space="preserve">  731858-13-2</t>
  </si>
  <si>
    <t>[[4-[(Heptadecafluorononenyl)oxy]phenyl]methyl]phosphonic acid</t>
  </si>
  <si>
    <t xml:space="preserve">  63513-12-2</t>
  </si>
  <si>
    <t>(3,3,4,4,5,5,6,6,7,7,8,8,9,9,10,10,11,11,12,12,13,13,14,14,14-Pentacosafluorotetradecyl)phosphonic acid</t>
  </si>
  <si>
    <t xml:space="preserve">  147290-12-8</t>
  </si>
  <si>
    <t>(3,3,4,4,5,5,6,6,7,7,8,8,9,9,10,10,11,11,12,12,12-Henicosafluorododecyl)phosphonic acid</t>
  </si>
  <si>
    <t xml:space="preserve">  252237-39-1</t>
  </si>
  <si>
    <t>((Perfluorooctyl)ethyl)phosphonic acid</t>
  </si>
  <si>
    <t xml:space="preserve">  80220-63-9</t>
  </si>
  <si>
    <t>2-(Perfluorohexyl)ethylphosphonic acid</t>
  </si>
  <si>
    <t xml:space="preserve">  252237-40-4</t>
  </si>
  <si>
    <t>(3,3,4,4,5,5,6,6,6-Nonafluorohexyl)phosphonic acid</t>
  </si>
  <si>
    <t xml:space="preserve">  503564-50-9</t>
  </si>
  <si>
    <t>1,3-Propanediol, 2,2-bis[[(gamma-omega-perfluoro-C10-20-alkyl)thio]methyl] derivs., phosphates, ammonium salts</t>
  </si>
  <si>
    <t xml:space="preserve">  148240-89-5</t>
  </si>
  <si>
    <t>1,3-Propanediol, 2,2-bis[[(gamma-omega-perfluoro-C6-12-alkyl)thio]methyl] derivs., phosphates, ammonium salts</t>
  </si>
  <si>
    <t xml:space="preserve">  148240-87-3</t>
  </si>
  <si>
    <t>4-[(Nonadecafluorodecenyl)oxy]benzenesulfonic acid, sodium salt</t>
  </si>
  <si>
    <t xml:space="preserve">  64910-98-1</t>
  </si>
  <si>
    <t>Tris(2,2,3,3,4,4,5,5-octafluoropentyl) phosphate</t>
  </si>
  <si>
    <t xml:space="preserve">  355-86-2</t>
  </si>
  <si>
    <t>Copper(2+) bis(6,6,7,7,8,8,8-heptafluoro-2,2-dimethyl-5-oxooct-3-en-3-olate)</t>
  </si>
  <si>
    <t xml:space="preserve">  80289-21-0</t>
  </si>
  <si>
    <t>WG-III</t>
  </si>
  <si>
    <t xml:space="preserve">  4089-61-6</t>
  </si>
  <si>
    <t>Bicyclo[2.2.1]hept-2-ene, 5,5,6-trifluoro-6-(heptafluoropropoxy)-</t>
  </si>
  <si>
    <t xml:space="preserve">  154717-36-9</t>
  </si>
  <si>
    <t>3,3,4-Trifluoro-4-(heptafluoropropoxy)tricyclo[4.2.1.0~2,5~]non-7-ene</t>
  </si>
  <si>
    <t xml:space="preserve">  262617-19-6</t>
  </si>
  <si>
    <t>N,N-Diethyl-1,1,1,2,2,3,3,5,6,6,8,9,9,11-tetradecafluoro-N-methyl-12-oxo-5,8,11-tris(trifluoromethyl)-4,7,10-trioxa-13-azahexadecan-16-aminium iodide</t>
  </si>
  <si>
    <t xml:space="preserve">  84166-37-0</t>
  </si>
  <si>
    <t>Potassium 2,3,3,3-tetrafluoro-2-(heptafluoropropoxy)propionate</t>
  </si>
  <si>
    <t xml:space="preserve">  67118-55-2</t>
  </si>
  <si>
    <t>Perfluoro-2-(3-methoxypropoxy)propanoic acid potassium salt</t>
  </si>
  <si>
    <t xml:space="preserve">  496805-64-2</t>
  </si>
  <si>
    <t>Potassium 2,3,3,3-tetrafluoro-2-[1,1,2,3,3,3-hexafluoro-2-(heptafluoropropoxy)propoxy]propionate</t>
  </si>
  <si>
    <t xml:space="preserve">  67118-57-4</t>
  </si>
  <si>
    <t>Potassium 1,1,2,2-tetrafluoro-2-{[1,1,1,2,3,3-hexafluoro-3-(pentafluoroethoxy)propan-2-yl]oxy}ethane-1-sulfonate</t>
  </si>
  <si>
    <t xml:space="preserve">  70755-50-9</t>
  </si>
  <si>
    <t>Potassium 9-chlorohexadecafluoro-3-oxanonane-1-sulfonate</t>
  </si>
  <si>
    <t xml:space="preserve">  73606-19-6</t>
  </si>
  <si>
    <t>Perfluoro-2-(hexyloxy)ethane-1-sulfonic acid potassium salt</t>
  </si>
  <si>
    <t xml:space="preserve">  68136-88-9</t>
  </si>
  <si>
    <t>Potassium 1,1,2,2-tetrafluoro-2-(pentafluoroethoxy)ethane-1-sulfonate</t>
  </si>
  <si>
    <t xml:space="preserve">  117205-07-9</t>
  </si>
  <si>
    <t>Lithium 1,1,1,3,3,4,4-heptafluoro-4-[(1,1,1,2,3,3,3-heptafluoropropan-2-yl)oxy]-2-(trifluoromethyl)butan-2-olate</t>
  </si>
  <si>
    <t xml:space="preserve">  78740-39-3</t>
  </si>
  <si>
    <t>Sodium 2,2,3,3-tetrafluoro-3-(heptafluoropropoxy)propanoate</t>
  </si>
  <si>
    <t xml:space="preserve">  79630-80-1</t>
  </si>
  <si>
    <t>Sodium 2,3,3,3-tetrafluoro-2-(heptafluoropropoxy)propanoate</t>
  </si>
  <si>
    <t xml:space="preserve">  67963-75-1</t>
  </si>
  <si>
    <t>Sodium 1,1,2,2-tetrafluoro-2-(1,1,2,2,2-pentafluoroethoxy)ethanesulfonate</t>
  </si>
  <si>
    <t xml:space="preserve">  113507-87-2</t>
  </si>
  <si>
    <t>Ammonium 4,8-dioxa-3H-perfluorononanoate</t>
  </si>
  <si>
    <t xml:space="preserve">  958445-44-8</t>
  </si>
  <si>
    <t>Acetic acid, 2,2-difluoro-2-[[2,2,4,5-tetrafluoro-5-(trifluoromethoxy)-1,3-dioxolan-4-yl]oxy]-, ammonium salt (1:1)</t>
  </si>
  <si>
    <t xml:space="preserve">  1190931-27-1</t>
  </si>
  <si>
    <t>Ammonium 2,3,3,3-tetrafluoro-2-[(undecafluoropentyl)oxy]propanoate</t>
  </si>
  <si>
    <t xml:space="preserve">  510774-81-9</t>
  </si>
  <si>
    <t>Ammonium 2,3,3,3-tetrafluoro-2-(nonafluorobutoxy)propanoate</t>
  </si>
  <si>
    <t xml:space="preserve">  96513-97-2</t>
  </si>
  <si>
    <t>Ammonium perfluoro-2-methyl-3-oxahexanoate</t>
  </si>
  <si>
    <t xml:space="preserve">  62037-80-3</t>
  </si>
  <si>
    <t>Ammonium 2,3,3,3-tetrafluoro-2-[1,1,2,3,3,3-hexafluoro-2-(trifluoromethoxy)propoxy]propanoate</t>
  </si>
  <si>
    <t xml:space="preserve">  510774-77-3</t>
  </si>
  <si>
    <t>Ammonium 1,1,2,2-tetrafluoro-2-{[1,1,1,2,3,3-hexafluoro-3-(pentafluoroethoxy)propan-2-yl]oxy}ethane-1-sulfonate</t>
  </si>
  <si>
    <t xml:space="preserve">  93644-65-6</t>
  </si>
  <si>
    <t>N-(2,4-Dinitrophenyl)-2,3,3,3-tetrafluoro-2-(heptafluoropropoxy)propanamide</t>
  </si>
  <si>
    <t xml:space="preserve">  105936-30-9</t>
  </si>
  <si>
    <t>Heptafluoropropyl trifluorovinyl ether</t>
  </si>
  <si>
    <t xml:space="preserve">  1623-05-8</t>
  </si>
  <si>
    <t>Pentafluoroethyl trifluorovinyl ether</t>
  </si>
  <si>
    <t xml:space="preserve">  10493-43-3</t>
  </si>
  <si>
    <t>Trifluoro(trifluoromethoxy)ethylene</t>
  </si>
  <si>
    <t xml:space="preserve">  1187-93-5</t>
  </si>
  <si>
    <t>1,1,2,2,3,3,4,4,5,5-Decafluoro-1-((trifluorovinyl)oxy)pentane</t>
  </si>
  <si>
    <t xml:space="preserve">  73928-40-2</t>
  </si>
  <si>
    <t>3-[2,2,3,3,4,4-Hexafluoro-4-(heptafluoropropoxy)butanamido]-N,N-dimethylpropan-1-amine N-oxide</t>
  </si>
  <si>
    <t xml:space="preserve">  87112-48-9</t>
  </si>
  <si>
    <t>Methanaminium perfluoro-2-(2-propoxypropoxy)propanoate</t>
  </si>
  <si>
    <t xml:space="preserve">  328065-29-8</t>
  </si>
  <si>
    <t>Trimethylsilyl 2,3,3,3-tetrafluoro-2-(heptafluoropropoxy)propanoate</t>
  </si>
  <si>
    <t xml:space="preserve">  152718-74-6</t>
  </si>
  <si>
    <t>Trimethylsilyl 1,1,2,2-tetrafluoro-2-(pentafluoroethoxy)ethane-1-sulfonate</t>
  </si>
  <si>
    <t xml:space="preserve">  136049-37-1</t>
  </si>
  <si>
    <t>Furan, 2,2,3,3,4,4-hexafluorotetrahydro-5-(2,2,2-trifluoro-1,1-bis(trifluoromethyl)ethyl)-</t>
  </si>
  <si>
    <t xml:space="preserve">  71302-72-2</t>
  </si>
  <si>
    <t>Difluoro(trifluoromethoxy)acetic acid--piperazine (1/1)</t>
  </si>
  <si>
    <t xml:space="preserve">  2266-82-2</t>
  </si>
  <si>
    <t>5,6,6,6-Tetrafluoro-5-(heptafluoropropoxy)hexane-2,4-dione</t>
  </si>
  <si>
    <t xml:space="preserve">  261760-03-6</t>
  </si>
  <si>
    <t>1,1-Difluoro-5,5-dimethyl-1-(trifluoromethoxy)hexane-2,4-dione</t>
  </si>
  <si>
    <t xml:space="preserve">  61894-06-2</t>
  </si>
  <si>
    <t>3-Methylbutyl 2,3,3,3-tetrafluoro-2-(heptafluoropropoxy)propanoate</t>
  </si>
  <si>
    <t xml:space="preserve">  183873-56-5</t>
  </si>
  <si>
    <t>2-Methylpropyl 2,3,3,3-tetrafluoro-2-(heptafluoropropoxy)propanoate</t>
  </si>
  <si>
    <t xml:space="preserve">  183873-54-3</t>
  </si>
  <si>
    <t>2-Methylpropyl 2,3,3,3-tetrafluoro-2-[1,1,2,3,3,3-hexafluoro-2-(heptafluoropropoxy)propoxy]propanoate</t>
  </si>
  <si>
    <t xml:space="preserve">  340036-47-7</t>
  </si>
  <si>
    <t>Propan-2-yl 2,3,3,3-tetrafluoro-2-(heptafluoropropoxy)propanoate</t>
  </si>
  <si>
    <t xml:space="preserve">  147224-17-7</t>
  </si>
  <si>
    <t>Propan-2-yl 2,3,3,3-tetrafluoro-2-[1,1,2,3,3,3-hexafluoro-2-(heptafluoropropoxy)propoxy]propanoate</t>
  </si>
  <si>
    <t xml:space="preserve">  145510-88-9</t>
  </si>
  <si>
    <t>2,3,3,3-Tetrafluoro-2-(heptafluoropropoxy)-N-(1-phenylethyl)propanamide</t>
  </si>
  <si>
    <t xml:space="preserve">  98873-61-1</t>
  </si>
  <si>
    <t>3,3-Dimethylbutan-2-yl 2,3,3,3-tetrafluoro-2-[1,1,2,3,3,3-hexafluoro-2-(heptafluoropropoxy)propoxy]propanoate</t>
  </si>
  <si>
    <t xml:space="preserve">  107368-63-8</t>
  </si>
  <si>
    <t>Triethylaminium perfluoro-2-propoxypropanoate</t>
  </si>
  <si>
    <t xml:space="preserve">  165951-18-8</t>
  </si>
  <si>
    <t>Triethylaminium perfluoro-2-(2-propoxypropoxy)propanoate</t>
  </si>
  <si>
    <t xml:space="preserve">  165951-19-9</t>
  </si>
  <si>
    <t>(4-Bromophenyl){5-[difluoro(trifluoromethoxy)methyl]-5-hydroxy-3-methyl-4,5-dihydro-1H-pyrazol-1-yl}methanone</t>
  </si>
  <si>
    <t xml:space="preserve">  722470-55-5</t>
  </si>
  <si>
    <t>Butan-2-yl 2,3,3,3-tetrafluoro-2-(heptafluoropropoxy)propanoate</t>
  </si>
  <si>
    <t xml:space="preserve">  340034-57-3</t>
  </si>
  <si>
    <t>Butan-2-yl 2,3,3,3-tetrafluoro-2-[1,1,2,3,3,3-hexafluoro-2-(heptafluoropropoxy)propoxy]propanoate</t>
  </si>
  <si>
    <t xml:space="preserve">  330154-39-7</t>
  </si>
  <si>
    <t>2-Ethylhexyl 2,3,3,3-tetrafluoro-2-(heptafluoropropoxy)propanoate</t>
  </si>
  <si>
    <t xml:space="preserve">  340034-61-9</t>
  </si>
  <si>
    <t>Hexyl 2,3,3,3-tetrafluoro-2-(heptafluoropropoxy)propanoate</t>
  </si>
  <si>
    <t xml:space="preserve">  183873-57-6</t>
  </si>
  <si>
    <t>Pentyl 2,3,3,3-tetrafluoro-2-(heptafluoropropoxy)propanoate</t>
  </si>
  <si>
    <t xml:space="preserve">  183873-55-4</t>
  </si>
  <si>
    <t>N,N-Dibutyl-2,3,3,3-tetrafluoro-2-[1,1,2,3,3,3-hexafluoro-2-(heptafluoropropoxy)propoxy]propanamide</t>
  </si>
  <si>
    <t xml:space="preserve">  178167-73-2</t>
  </si>
  <si>
    <t>N-Butyl-2,3,3,3-tetrafluoro-2-[1,1,2,3,3,3-hexafluoro-2-(heptafluoropropoxy)propoxy]propanamide</t>
  </si>
  <si>
    <t xml:space="preserve">  178167-72-1</t>
  </si>
  <si>
    <t>Butyl 2,3,3,3-tetrafluoro-2-(heptafluoropropoxy)propanoate</t>
  </si>
  <si>
    <t xml:space="preserve">  147224-18-8</t>
  </si>
  <si>
    <t>Butyl 2,3,3,3-tetrafluoro-2-[1,1,2,3,3,3-hexafluoro-2-(heptafluoropropoxy)propoxy]propanoate</t>
  </si>
  <si>
    <t xml:space="preserve">  145510-89-0</t>
  </si>
  <si>
    <t>2,3,3,3-Tetrafluoro-2-(heptafluoropropoxy)propanoic acid--N-propylpropan-1-amine (1/1)</t>
  </si>
  <si>
    <t xml:space="preserve">  165951-17-7</t>
  </si>
  <si>
    <t>4,5,5,5-Tetrafluoro-4-{1,1,2,3,3,3-hexafluoro-2-[1,1,2,3,3,3-hexafluoro-2-(heptafluoropropoxy)propoxy]propoxy}-N-propylpentan-1-amine</t>
  </si>
  <si>
    <t xml:space="preserve">  928655-42-9</t>
  </si>
  <si>
    <t>Propyl 2,3,3,3-tetrafluoro-2-(heptafluoropropoxy)propanoate</t>
  </si>
  <si>
    <t xml:space="preserve">  147224-16-6</t>
  </si>
  <si>
    <t>Propyl 2,3,3,3-tetrafluoro-2-[1,1,2,3,3,3-hexafluoro-2-(heptafluoropropoxy)propoxy]propanoate</t>
  </si>
  <si>
    <t xml:space="preserve">  145510-87-8</t>
  </si>
  <si>
    <t>N,N-Diethyl-2,3,3,3-tetrafluoro-2-(heptafluoropropoxy)propanamide</t>
  </si>
  <si>
    <t xml:space="preserve">  176702-71-9</t>
  </si>
  <si>
    <t>N,N-Diethyl-2,3,3,3-tetrafluoro-2-[1,1,2,3,3,3-hexafluoro-2-(heptafluoropropoxy)propoxy]propanamide</t>
  </si>
  <si>
    <t xml:space="preserve">  176702-74-2</t>
  </si>
  <si>
    <t>Ethyl 2,3,3,3-tetrafluoro-2-(heptafluoropropoxy)propanoate</t>
  </si>
  <si>
    <t xml:space="preserve">  79851-29-9</t>
  </si>
  <si>
    <t>Ethyl 2,3,3,3-tetrafluoro-2-[1,1,2,3,3,3-hexafluoro-2-(heptafluoropropoxy)propoxy]propanoate</t>
  </si>
  <si>
    <t xml:space="preserve">  76145-88-5</t>
  </si>
  <si>
    <t>2,3,3,3-Tetrafluoro-2-[1,1,2,3,3,3-hexafluoro-2-(heptafluoropropoxy)propoxy]propanoic acid--N-methylmethanamine (1/1)</t>
  </si>
  <si>
    <t xml:space="preserve">  328065-54-9</t>
  </si>
  <si>
    <t>Methyl 4-trifluoroethenoxy-2,2,3,3,4,4-hexafluorobutanoate</t>
  </si>
  <si>
    <t xml:space="preserve">  19190-61-5</t>
  </si>
  <si>
    <t>Methyl 2,2,3,3-tetrafluoro-3-[(1,1,1,2,3,3,3-heptafluoropropan-2-yl)oxy]propanoate</t>
  </si>
  <si>
    <t xml:space="preserve">  51502-43-3</t>
  </si>
  <si>
    <t>Methyl perfluoro(8-(fluoroformyl)-5-methyl-4,7-dioxanonanoate)</t>
  </si>
  <si>
    <t xml:space="preserve">  69116-73-0</t>
  </si>
  <si>
    <t>Methyl perfluoro(3-(1-ethenyloxypropan-2-yloxy)propanoate)</t>
  </si>
  <si>
    <t xml:space="preserve">  63863-43-4</t>
  </si>
  <si>
    <t>Perfluoromethoxypropionic acid methyl ester</t>
  </si>
  <si>
    <t xml:space="preserve">  356-69-4</t>
  </si>
  <si>
    <t>Methyl perfluoro-3-(3-methoxypropoxy)-3H-propanoate</t>
  </si>
  <si>
    <t xml:space="preserve">  958445-54-0</t>
  </si>
  <si>
    <t>Methyl difluoro[1,1,2,2-tetrafluoro-2-(nonafluorobutoxy)ethoxy]acetate</t>
  </si>
  <si>
    <t xml:space="preserve">  129301-40-2</t>
  </si>
  <si>
    <t>Methyl perfluoro-3,6,9-trioxatridecanoate</t>
  </si>
  <si>
    <t xml:space="preserve">  330562-42-0</t>
  </si>
  <si>
    <t>Methyl difluoro{1,1,2,2-tetrafluoro-2-[1,1,2,2-tetrafluoro-2-(trifluoromethoxy)ethoxy]ethoxy}acetate</t>
  </si>
  <si>
    <t xml:space="preserve">  169289-58-1</t>
  </si>
  <si>
    <t>Methyl perfluoro-3,6-dioxaheptanoate</t>
  </si>
  <si>
    <t xml:space="preserve">  39187-41-2</t>
  </si>
  <si>
    <t>Methyl 2,3,3,3-tetrafluoro-2-[(undecafluoropentyl)oxy]propanoate</t>
  </si>
  <si>
    <t xml:space="preserve">  220369-95-9</t>
  </si>
  <si>
    <t>Methyl perfluoro(2-propoxypropanoate)</t>
  </si>
  <si>
    <t xml:space="preserve">  13140-34-6</t>
  </si>
  <si>
    <t>Methyl 2,3,3,3-tetrafluoro-2-(pentafluoroethoxy)propanoate</t>
  </si>
  <si>
    <t xml:space="preserve">  117516-09-3</t>
  </si>
  <si>
    <t>Methyl 2,3,3,3-tetrafluoro-2-[1,1,2,3,3,3-hexafluoro-2-(heptafluoropropoxy)propoxy]propanoate</t>
  </si>
  <si>
    <t xml:space="preserve">  26131-32-8</t>
  </si>
  <si>
    <t>Methylperfluoro-2,5,8-trimethyl-3,6,9-trioxadodecanoic acid</t>
  </si>
  <si>
    <t xml:space="preserve">  39187-47-8</t>
  </si>
  <si>
    <t>Perfluorotetramethyltetraoxapentadecanoicacidme</t>
  </si>
  <si>
    <t xml:space="preserve">  133609-46-8</t>
  </si>
  <si>
    <t>2-Methoxyperfluoro(2,5-di(propan-2-yl)oxolane)</t>
  </si>
  <si>
    <t xml:space="preserve">  957209-18-6</t>
  </si>
  <si>
    <t>2-Methoxyethyl 2,3,3,3-tetrafluoro-2-(heptafluoropropoxy)propanoate</t>
  </si>
  <si>
    <t xml:space="preserve">  340034-67-5</t>
  </si>
  <si>
    <t>2,3,3,3-Tetrafluoro-2-(heptafluoropropoxy)propyl 2-fluoroprop-2-enoate</t>
  </si>
  <si>
    <t xml:space="preserve">  96250-49-6</t>
  </si>
  <si>
    <t>Perfluoromethoxypropionyl fluoride</t>
  </si>
  <si>
    <t xml:space="preserve">  425-38-7</t>
  </si>
  <si>
    <t>Difluoro[1,1,2,2-tetrafluoro-2-(nonafluorobutoxy)ethoxy]acetyl fluoride</t>
  </si>
  <si>
    <t xml:space="preserve">  172897-75-5</t>
  </si>
  <si>
    <t>Perfluoro(2-[(1-propoxypropan-2-yl)oxy]propanoyl) fluoride</t>
  </si>
  <si>
    <t xml:space="preserve">  112820-37-8</t>
  </si>
  <si>
    <t>Perfluoro(2-methyl-3-oxahexanoyl) fluoride</t>
  </si>
  <si>
    <t xml:space="preserve">  2062-98-8</t>
  </si>
  <si>
    <t>Propanoyl fluoride, 2,3,3,3-tetrafluoro-2-[1,1,2,2,3,3-hexafluoro-3-(trifluoromethoxy)propoxy]-</t>
  </si>
  <si>
    <t xml:space="preserve">  58194-00-6</t>
  </si>
  <si>
    <t>2,3,3,3-Tetrafluoro-2-(perfluoroethoxy)propanoyl fluoride</t>
  </si>
  <si>
    <t xml:space="preserve">  1682-78-6</t>
  </si>
  <si>
    <t>Perfluoro(2,7-dimethyl-3,6-dioxasuberoyl) fluoride</t>
  </si>
  <si>
    <t xml:space="preserve">  1644-10-6</t>
  </si>
  <si>
    <t>Perfluoro(3-chloro-2-[2-(fluorosulfonyl)ethoxy]propanoyl) fluoride</t>
  </si>
  <si>
    <t xml:space="preserve">  81126-57-0</t>
  </si>
  <si>
    <t>2,3,3,3-Tetrafluoro-2-(1,1,2,2-tetrafluoro-2-(fluorosulphonyl)ethoxy)propionyl fluoride</t>
  </si>
  <si>
    <t xml:space="preserve">  4089-57-0</t>
  </si>
  <si>
    <t>Hexafluoropropene oxide trimer</t>
  </si>
  <si>
    <t xml:space="preserve">  2641-34-1</t>
  </si>
  <si>
    <t>8-Fluorosulfonylperfluoro(2,5-dimethyl-3,6-dioxaoctanoyl) fluoride</t>
  </si>
  <si>
    <t xml:space="preserve">  4089-58-1</t>
  </si>
  <si>
    <t>Perfluoro-2,5,8-trimethyl-3,6,9-trioxadodecanoyl fluoride</t>
  </si>
  <si>
    <t xml:space="preserve">  27639-98-1</t>
  </si>
  <si>
    <t>Perfluoro-2,5,8,11-tetramethyl-3,6,9,12-tetraoxapentadecanoyl fluoride</t>
  </si>
  <si>
    <t xml:space="preserve">  34761-47-2</t>
  </si>
  <si>
    <t>Perfluoro(2-(2-phenoxypropoxy)propanoyl) fluoride</t>
  </si>
  <si>
    <t xml:space="preserve">  25711-77-7</t>
  </si>
  <si>
    <t>2,3,3,3-Tetrafluoro-2-(trifluoromethoxy)propionyl fluoride</t>
  </si>
  <si>
    <t xml:space="preserve">  2927-83-5</t>
  </si>
  <si>
    <t>ammonium difluoro[1,1,2,2-tetrafluoro-2-(pentafluoroethoxy)ethoxy]acetate</t>
  </si>
  <si>
    <t xml:space="preserve">  908020-52-0</t>
  </si>
  <si>
    <t>4,5-Dichloroperfluoro-3-oxapentanesulfonyl fluoride</t>
  </si>
  <si>
    <t xml:space="preserve">  144728-59-6</t>
  </si>
  <si>
    <t>11-chloroperfluoro-3-oxaundecanesulfonyl fluoride</t>
  </si>
  <si>
    <t xml:space="preserve">  73606-15-2</t>
  </si>
  <si>
    <t>2-[(6-chloro-1,1,2,2,3,3,4,4,5,5,6,6-dodecafluorohexyl)oxy]-1,1,2,2-tetrafluoroethanesulfonate</t>
  </si>
  <si>
    <t xml:space="preserve">  756426-58-1</t>
  </si>
  <si>
    <t>5-Fluoro-5,7,7-tris(trifluoromethyl)-6-(2,2,2-trifluoro-1-(trifluoromethyl)ethylidene)-1,4-dioxepane</t>
  </si>
  <si>
    <t xml:space="preserve">  94333-56-9</t>
  </si>
  <si>
    <t>1,1,1,2,2,3,3,4,4,5,5-Undecafluoro-5-[1,1,2,3,3,3-hexafluoro-2-(trifluoromethyl)propoxy]pentane</t>
  </si>
  <si>
    <t xml:space="preserve">  169477-62-7</t>
  </si>
  <si>
    <t>Furan, 2,2,3,3,4,5,5-heptafluorotetrahydro-4-(nonafluorobutyl)-</t>
  </si>
  <si>
    <t xml:space="preserve">  646-85-5</t>
  </si>
  <si>
    <t>Ether, bis(nonafluorobutyl)</t>
  </si>
  <si>
    <t xml:space="preserve">  308-48-5</t>
  </si>
  <si>
    <t>1-Bromoperfluoro-2,5,8-trioxadodecane</t>
  </si>
  <si>
    <t xml:space="preserve">  330562-47-5</t>
  </si>
  <si>
    <t>2,2,3,3,4,4,5,6,6-Nonafluoro-5-(heptafluoropropyl)oxane</t>
  </si>
  <si>
    <t xml:space="preserve">  801-26-3</t>
  </si>
  <si>
    <t>2,2,3,3,4,4,5-Heptafluoro-5-(heptafluoropropyl)oxolane</t>
  </si>
  <si>
    <t xml:space="preserve">  423-22-3</t>
  </si>
  <si>
    <t>1,5-Dideoxy-1,1,1,5,5,5-hexafluoro-2,4-di-C-fluoro-2,4-bis-O-(heptafluoropropyl)pent-3-ulose</t>
  </si>
  <si>
    <t xml:space="preserve">  67118-49-4</t>
  </si>
  <si>
    <t>1,1,1,2,6,7,7,7-Octafluoro-2,6-bis(heptafluoropropoxy)heptane-3,5-dione</t>
  </si>
  <si>
    <t xml:space="preserve">  87405-74-1</t>
  </si>
  <si>
    <t>2,3,3,3-Tetrafluoro-2-(heptafluoropropoxy)-1-(piperidin-1-yl)propan-1-one</t>
  </si>
  <si>
    <t xml:space="preserve">  176702-72-0</t>
  </si>
  <si>
    <t>2,3,3,3-Tetrafluoro-2-(heptafluoropropoxy)-1-(morpholin-4-yl)propan-1-one</t>
  </si>
  <si>
    <t xml:space="preserve">  176702-73-1</t>
  </si>
  <si>
    <t>N-Benzyl-2,3,3,3-tetrafluoro-2-(heptafluoropropoxy)propanamide</t>
  </si>
  <si>
    <t xml:space="preserve">  82970-41-0</t>
  </si>
  <si>
    <t>Cyclohexyl 2,3,3,3-tetrafluoro-2-(heptafluoropropoxy)propanoate</t>
  </si>
  <si>
    <t xml:space="preserve">  78755-41-6</t>
  </si>
  <si>
    <t>Phenyl 2,3,3,3-tetrafluoro-2-(heptafluoropropoxy)propanoate</t>
  </si>
  <si>
    <t xml:space="preserve">  78755-31-4</t>
  </si>
  <si>
    <t>Prop-2-en-1-yl 2,3,3,3-tetrafluoro-2-(heptafluoropropoxy)propanoate</t>
  </si>
  <si>
    <t xml:space="preserve">  84123-65-9</t>
  </si>
  <si>
    <t>Benzyl 2,3,3,3-tetrafluoro-2-(heptafluoropropoxy)propanoate</t>
  </si>
  <si>
    <t xml:space="preserve">  147224-19-9</t>
  </si>
  <si>
    <t>bis(2,3,3,3-tetrafluoro-2-(heptafluoropropoxy)-1-oxopropyl)peroxide</t>
  </si>
  <si>
    <t xml:space="preserve">  56347-79-6</t>
  </si>
  <si>
    <t>2,3,3,3-Tetrafluoro-2-(heptafluoropropoxy)propanoyl chloride</t>
  </si>
  <si>
    <t xml:space="preserve">  72848-57-8</t>
  </si>
  <si>
    <t>1-{[1-(1,2-Dibromo-1,2,2-trifluoroethoxy)-1,1,2,3,3,3-hexafluoropropan-2-yl]oxy}-1,1,2,2,3,3,3-heptafluoropropane</t>
  </si>
  <si>
    <t xml:space="preserve">  115783-72-7</t>
  </si>
  <si>
    <t>1-(4-Bromophenyl)-2,3,3,3-tetrafluoro-2-[1,1,2,3,3,3-hexafluoro-2-(heptafluoropropoxy)propoxy]propan-1-one</t>
  </si>
  <si>
    <t xml:space="preserve">  67727-74-6</t>
  </si>
  <si>
    <t>2,3,3,3-Tetrafluoro-2-[1,1,2,3,3,3-hexafluoro-2-(heptafluoropropoxy)propoxy]-1-(piperidin-1-yl)propan-1-one</t>
  </si>
  <si>
    <t xml:space="preserve">  176702-75-3</t>
  </si>
  <si>
    <t>2,3,3,3-Tetrafluoro-2-[1,1,2,3,3,3-hexafluoro-2-(heptafluoropropoxy)propoxy]-1-(morpholin-4-yl)propan-1-one</t>
  </si>
  <si>
    <t xml:space="preserve">  176702-76-4</t>
  </si>
  <si>
    <t>N-2-Pyridinylperfluoro-2-(2-propoxypropoxy)propanamide</t>
  </si>
  <si>
    <t xml:space="preserve">  31339-60-3</t>
  </si>
  <si>
    <t>N-2-Pyrimidinylperfluoro-2-(2-propoxypropoxy)propanamide</t>
  </si>
  <si>
    <t xml:space="preserve">  340131-92-2</t>
  </si>
  <si>
    <t>2,3,3,3-Tetrafluoro-2-[1,1,2,3,3,3-hexafluoro-2-(heptafluoropropoxy)propoxy]-N-phenylpropanamide</t>
  </si>
  <si>
    <t xml:space="preserve">  178167-74-3</t>
  </si>
  <si>
    <t>N-Allylperfluoro-2-(2-propoxypropoxy)propanamide</t>
  </si>
  <si>
    <t xml:space="preserve">  174080-50-3</t>
  </si>
  <si>
    <t>Cyclohexyl 2,3,3,3-tetrafluoro-2-[1,1,2,3,3,3-hexafluoro-2-(heptafluoropropoxy)propoxy]propanoate</t>
  </si>
  <si>
    <t xml:space="preserve">  145510-90-3</t>
  </si>
  <si>
    <t>Phenyl 2,3,3,3-tetrafluoro-2-[1,1,2,3,3,3-hexafluoro-2-(heptafluoropropoxy)propoxy]propanoate</t>
  </si>
  <si>
    <t xml:space="preserve">  312943-34-3</t>
  </si>
  <si>
    <t>Prop-2-en-1-yl 2,3,3,3-tetrafluoro-2-[1,1,2,3,3,3-hexafluoro-2-(heptafluoropropoxy)propoxy]propanoate</t>
  </si>
  <si>
    <t xml:space="preserve">  117837-58-8</t>
  </si>
  <si>
    <t>Benzyl 2,3,3,3-tetrafluoro-2-[1,1,2,3,3,3-hexafluoro-2-(heptafluoropropoxy)propoxy]propanoate</t>
  </si>
  <si>
    <t xml:space="preserve">  140229-81-8</t>
  </si>
  <si>
    <t>2-{1,2,2,2-Tetrafluoro-1-[1,1,2,3,3,3-hexafluoro-2-(heptafluoropropoxy)propoxy]ethyl}-1H-benzimidazole</t>
  </si>
  <si>
    <t xml:space="preserve">  76145-90-9</t>
  </si>
  <si>
    <t>2,3,3,3-Tetrafluoro-2-[1,1,2,3,3,3-hexafluoro-2-(heptafluoropropoxy)propoxy]propyl prop-2-enoate</t>
  </si>
  <si>
    <t xml:space="preserve">  17559-01-2</t>
  </si>
  <si>
    <t>1,1,1,3,4,4,4-Heptafluoro-3-(heptafluoropropoxy)-2-(trifluoromethyl)butan-2-yl prop-2-enoate</t>
  </si>
  <si>
    <t xml:space="preserve">  1622868-66-9</t>
  </si>
  <si>
    <t>2,3,3,3-Tetrafluoro-2-(heptafluoropropoxy)propanenitrile</t>
  </si>
  <si>
    <t xml:space="preserve">  60308-66-9</t>
  </si>
  <si>
    <t>3,4,4,4-Tetrafluoro-3-(heptafluoropropoxy)but-1-ene</t>
  </si>
  <si>
    <t xml:space="preserve">  131628-34-7</t>
  </si>
  <si>
    <t>1,1,1,2-Tetrafluoro-2-(heptafluoropropoxy)-4-iodobutane</t>
  </si>
  <si>
    <t xml:space="preserve">  243128-38-3</t>
  </si>
  <si>
    <t>1,2-Dichloro-1,2,2-trifluoroethyl heptafluoropropyl ether</t>
  </si>
  <si>
    <t xml:space="preserve">  106372-30-9</t>
  </si>
  <si>
    <t>3-[2,3,3,3-Tetrafluoro-2-(heptafluoropropoxy)propoxy]prop-1-ene</t>
  </si>
  <si>
    <t xml:space="preserve">  119511-16-9</t>
  </si>
  <si>
    <t>3,3,4,4-Tetrafluoro-4-(heptafluoropropoxy)but-1-ene</t>
  </si>
  <si>
    <t xml:space="preserve">  1152098-94-6</t>
  </si>
  <si>
    <t>1,1,1,2,2,3,3-Heptafluoro-3-(1,2,2,2-tetrafluoro-1-iodoethoxy)propane</t>
  </si>
  <si>
    <t xml:space="preserve">  107432-46-2</t>
  </si>
  <si>
    <t>Perfluoro-1-ethyl-3-propoxycyclohexane</t>
  </si>
  <si>
    <t xml:space="preserve">  400626-82-6</t>
  </si>
  <si>
    <t>Perfluoro(1,3-dipropoxycyclohexane)</t>
  </si>
  <si>
    <t xml:space="preserve">  400626-83-7</t>
  </si>
  <si>
    <t>Morpholine, 2,2,3,3,5,5,6,6-octafluoro-4-(pentafluoroethyl)-</t>
  </si>
  <si>
    <t xml:space="preserve">  55716-11-5</t>
  </si>
  <si>
    <t>1,1,1,2,2,3,3,4,5,5,5-Undecafluoro-4-(pentafluoroethoxy)pentane</t>
  </si>
  <si>
    <t xml:space="preserve">  92978-07-9</t>
  </si>
  <si>
    <t>Hexane, 1,1,2,2,3,3,4,4,5,5,6,6,6-tridecafluoro-1-(pentafluoroethoxy)-</t>
  </si>
  <si>
    <t xml:space="preserve">  133080-89-4</t>
  </si>
  <si>
    <t>POLYFLGSID_880513</t>
  </si>
  <si>
    <t xml:space="preserve">  60164-51-4</t>
  </si>
  <si>
    <t>Perfluoroethyl ether</t>
  </si>
  <si>
    <t xml:space="preserve">  358-21-4</t>
  </si>
  <si>
    <t>1,1,2,2-Tetrafluoro-2-(pentafluoroethoxy)ethane-1-sulfonyl fluoride</t>
  </si>
  <si>
    <t xml:space="preserve">  67990-78-7</t>
  </si>
  <si>
    <t>2-(2-Bromo-1,1,2,2-tetrafluoroethoxy)-1,1,1,2,3,3-hexafluoro-3-(pentafluoroethoxy)propane</t>
  </si>
  <si>
    <t xml:space="preserve">  1482416-44-3</t>
  </si>
  <si>
    <t>1,1,1,2,3,3-Hexafluoro-2,3-bis(pentafluoroethoxy)propane</t>
  </si>
  <si>
    <t xml:space="preserve">  95842-03-8</t>
  </si>
  <si>
    <t>1,1,2,2-Tetrafluoro-2-{[1,1,1,2,3,3-hexafluoro-3-(pentafluoroethoxy)propan-2-yl]oxy}ethane-1-sulfonyl fluoride</t>
  </si>
  <si>
    <t xml:space="preserve">  27744-59-8</t>
  </si>
  <si>
    <t>1-Bromo-1,1,2,2,4,5,5,7,8,8,10,11,11,13,13,14,14,14-octadecafluoro-4,7,10-tris(trifluoromethyl)-3,6,9,12-tetraoxatetradecane</t>
  </si>
  <si>
    <t xml:space="preserve">  1482416-51-2</t>
  </si>
  <si>
    <t>1,2-Dichloro(perfluoro-1-(ethoxymethoxy)ethane)</t>
  </si>
  <si>
    <t xml:space="preserve">  369371-42-6</t>
  </si>
  <si>
    <t>2,2,3,5,6-Pentafluoro-5-(pentafluoroethoxy)-3,6-bis(trifluoromethyl)-1,4-dioxane</t>
  </si>
  <si>
    <t xml:space="preserve">  84041-66-7</t>
  </si>
  <si>
    <t>1,1,1,2,3,3,3-Heptafluoro-2-(1,1,2,3,3,3-hexafluoro-2-iodopropoxy)propane</t>
  </si>
  <si>
    <t xml:space="preserve">  16005-45-1</t>
  </si>
  <si>
    <t>Morpholine, 2,2,3,3,5,5,6,6-octafluoro-4-[1,2,2,2-tetrafluoro-1-(trifluoromethyl)ethyl]-</t>
  </si>
  <si>
    <t xml:space="preserve">  1600-71-1</t>
  </si>
  <si>
    <t>2-(1,2-Dichloro-1,2,2-trifluoroethoxy)-1,1,1,2,3,3,3-heptafluoropropane</t>
  </si>
  <si>
    <t xml:space="preserve">  85720-81-6</t>
  </si>
  <si>
    <t>2-(2-Chloro-1,1,2-trifluoro-2-iodoethoxy)-1,1,1,2,3,3,3-heptafluoropropane</t>
  </si>
  <si>
    <t xml:space="preserve">  16031-04-2</t>
  </si>
  <si>
    <t>2-(2-Bromo-1,1,2,2-tetrafluoroethoxy)-1,1,1,2,3,3,3-heptafluoropropane</t>
  </si>
  <si>
    <t xml:space="preserve">  16005-49-5</t>
  </si>
  <si>
    <t>1,1,2,2,3,3,4,4,5,5,6,6,7,7,8,8-Hexadecafluoro-1-[(1,1,1,2,3,3,3-heptafluoropropan-2-yl)oxy]-8-iodooctane</t>
  </si>
  <si>
    <t xml:space="preserve">  25080-19-7</t>
  </si>
  <si>
    <t>1,1,2,2,3,3,4,4,5,5,6,6-Dodecafluoro-1-[(1,1,1,2,3,3,3-heptafluoropropan-2-yl)oxy]-8-iodooctane</t>
  </si>
  <si>
    <t xml:space="preserve">  25080-25-5</t>
  </si>
  <si>
    <t>1-Iodo-6-(heptafluoroisopropoxy)perfluorohexane</t>
  </si>
  <si>
    <t xml:space="preserve">  25080-18-6</t>
  </si>
  <si>
    <t>1,1,2,2,3,3,4,4-Octafluoro-1-[(1,1,1,2,3,3,3-heptafluoropropan-2-yl)oxy]-6-iodohexane</t>
  </si>
  <si>
    <t xml:space="preserve">  25080-24-4</t>
  </si>
  <si>
    <t>1,1,2,2,3,3,4,4-Octafluoro-1-[(1,1,1,2,3,3,3-heptafluoropropan-2-yl)oxy]-4-iodobutane</t>
  </si>
  <si>
    <t xml:space="preserve">  25080-17-5</t>
  </si>
  <si>
    <t>1,1,2,2,3,3,4,4-Octafluoro-1,4-bis[(1,1,1,2,3,3,3-heptafluoropropan-2-yl)oxy]butane</t>
  </si>
  <si>
    <t xml:space="preserve">  23228-90-2</t>
  </si>
  <si>
    <t>1-[2,3,3,3-Tetrafluoro-2-(heptafluoropropoxy)-1-(piperidin-1-yl)propyl]-1H-benzotriazole</t>
  </si>
  <si>
    <t xml:space="preserve">  133384-08-4</t>
  </si>
  <si>
    <t>1,1,1,2,3,3,3-Heptafluoro-2-(1,1,2,2-tetrafluoro-2-iodoethoxy)propane</t>
  </si>
  <si>
    <t xml:space="preserve">  16005-38-2</t>
  </si>
  <si>
    <t>Bis(perfluoro(1-[(3,6-dimethyl-1,4-dioxan-2-yl)oxy]ethyl)) ketone</t>
  </si>
  <si>
    <t xml:space="preserve">  61097-96-9</t>
  </si>
  <si>
    <t>Perfluoro-2,3-bis(2,5-dimethyl-1,4-dioxan-3-oxy)butane</t>
  </si>
  <si>
    <t xml:space="preserve">  61097-98-1</t>
  </si>
  <si>
    <t>Perfluoro-3,6-dimethyl-1,4-dioxan-2-one</t>
  </si>
  <si>
    <t xml:space="preserve">  7309-84-4</t>
  </si>
  <si>
    <t>Perfluoro(N-methylmorpholine)</t>
  </si>
  <si>
    <t xml:space="preserve">  382-28-5</t>
  </si>
  <si>
    <t>1,1,1,3,3,3-Hexafluoro-2-(trifluoromethoxy)-2-(trifluoromethyl)propane</t>
  </si>
  <si>
    <t xml:space="preserve">  681-08-3</t>
  </si>
  <si>
    <t>3,4,4,4-Tetrafluoro-3-(trifluoromethoxy)-1-butene</t>
  </si>
  <si>
    <t xml:space="preserve">  226575-14-0</t>
  </si>
  <si>
    <t>[2,3,3,3-Tetrafluoro-2-(trifluoromethoxy)propyl]oxirane</t>
  </si>
  <si>
    <t xml:space="preserve">  243139-60-8</t>
  </si>
  <si>
    <t>1,2-Dibromo-1,1,2,3,3-pentafluoro-3-(trifluoromethoxy)propane</t>
  </si>
  <si>
    <t xml:space="preserve">  885275-98-9</t>
  </si>
  <si>
    <t>Perfluoro-3-methoxypropanoic anhydride</t>
  </si>
  <si>
    <t xml:space="preserve">  42566-65-4</t>
  </si>
  <si>
    <t>Heptane, 1,1,1,2,2,3,3,4,4,5,5,6,6,7,7-pentadecafluoro-7-(trifluoromethoxy)-</t>
  </si>
  <si>
    <t xml:space="preserve">  133881-46-6</t>
  </si>
  <si>
    <t>1-Chloro-1,1,2,2-tetrafluoro-2-(trifluoromethoxy)ethane</t>
  </si>
  <si>
    <t xml:space="preserve">  1561-50-8</t>
  </si>
  <si>
    <t>1,1,2,2-Tetrafluoro-1-iodo-2-(trifluoromethoxy)ethane</t>
  </si>
  <si>
    <t xml:space="preserve">  1561-52-0</t>
  </si>
  <si>
    <t>1,1,2,2-Tetrafluoro-2-(trifluoromethoxy)-N,N-bis(trifluoromethyl)ethanamine</t>
  </si>
  <si>
    <t xml:space="preserve">  160228-75-1</t>
  </si>
  <si>
    <t>1-[bromo(difluoro)methoxy]-1,1,2,2-tetrafluoro-2-(trifluoromethoxy)ethane</t>
  </si>
  <si>
    <t xml:space="preserve">  87136-78-5</t>
  </si>
  <si>
    <t>2,2-difluoro-2-[1,1,2,2-tetrafluoro-2-(trifluoromethoxy)ethoxy]acetyl Chloride</t>
  </si>
  <si>
    <t xml:space="preserve">  261503-81-5</t>
  </si>
  <si>
    <t>1-[Bromo(difluoro)methoxy]-1,1,2,2-tetrafluoro-2-[1,1,2,2-tetrafluoro-2-(trifluoromethoxy)ethoxy]ethane</t>
  </si>
  <si>
    <t xml:space="preserve">  330562-45-3</t>
  </si>
  <si>
    <t>1,1,1,3,3,4,4,6,6,7,7,9,9,10,10,12,12,13,13,15,15,15-Docosafluoro-2,5,8,11,14-pentaoxapentadecane</t>
  </si>
  <si>
    <t xml:space="preserve">  64028-06-4</t>
  </si>
  <si>
    <t>Perfluoro-2,5,8,11-tetraoxadodecane</t>
  </si>
  <si>
    <t xml:space="preserve">  64028-04-2</t>
  </si>
  <si>
    <t>3-Ethenyl-1,1,2-trifluoro-2-(1,1,2,2-tetrafluoro-2-{1,1,2,2-tetrafluoro-2-[1,1,2,2-tetrafluoro-2-(trifluoromethoxy)ethoxy]ethoxy}ethoxy)cyclobutane</t>
  </si>
  <si>
    <t xml:space="preserve">  709620-35-9</t>
  </si>
  <si>
    <t>1-[Chloro(difluoro)methoxy]-1,1,2,2-tetrafluoro-2-(trifluoromethoxy)ethane</t>
  </si>
  <si>
    <t xml:space="preserve">  87136-79-6</t>
  </si>
  <si>
    <t>1-[Difluoro(iodo)methoxy]-1,1,2,2-tetrafluoro-2-(trifluoromethoxy)ethane</t>
  </si>
  <si>
    <t xml:space="preserve">  138370-72-6</t>
  </si>
  <si>
    <t>1,2-Dichloro(perfluoro-1-[(2-methoxyethoxy)methoxy]ethane)</t>
  </si>
  <si>
    <t xml:space="preserve">  369371-43-7</t>
  </si>
  <si>
    <t>1,1,1,2,3,3-Hexafluoro-2,3-bis(trifluoromethoxy)propane</t>
  </si>
  <si>
    <t xml:space="preserve">  95842-02-7</t>
  </si>
  <si>
    <t>1,2-dichloro(perfluoro-1-(methoxymethoxy)ethane)</t>
  </si>
  <si>
    <t xml:space="preserve">  874288-98-9</t>
  </si>
  <si>
    <t>1,1,1,2-Tetrafluoro-2-iodo-2-(trifluoromethoxy)ethane</t>
  </si>
  <si>
    <t xml:space="preserve">  139604-89-0</t>
  </si>
  <si>
    <t>1,1,1,5,5,6,6,10,10,10-Decafluoro-3,3,8,8-tetrakis(trifluoromethyl)-2,4,7,9-tetraoxadecane</t>
  </si>
  <si>
    <t xml:space="preserve">  95841-80-8</t>
  </si>
  <si>
    <t>Tetrakis(trifluoromethoxy)methane</t>
  </si>
  <si>
    <t xml:space="preserve">  92639-87-7</t>
  </si>
  <si>
    <t>Undecafluoro(trifluoromethoxy)cyclohexane</t>
  </si>
  <si>
    <t xml:space="preserve">  4943-06-0</t>
  </si>
  <si>
    <t>5-Iodoperfluoro-3-oxapentanesulfonyl fluoride</t>
  </si>
  <si>
    <t xml:space="preserve">  66137-74-4</t>
  </si>
  <si>
    <t>1,1,1,2,3,3,3-Heptafluoro-2-((trifluorovinyl)oxy)propane</t>
  </si>
  <si>
    <t xml:space="preserve">  10372-98-2</t>
  </si>
  <si>
    <t>Perfluoro(2-bromoethoxy)ethene</t>
  </si>
  <si>
    <t xml:space="preserve">  85737-06-0</t>
  </si>
  <si>
    <t>1,1,2,2,3,3,4,4-Octafluoro-1-[(trifluoroethenyl)oxy]-4-(trifluoromethoxy)butane</t>
  </si>
  <si>
    <t xml:space="preserve">  609818-38-4</t>
  </si>
  <si>
    <t>1-chloro-1,1,2,2,3,3-hexafluoro-3-[(trifluorovinyl)oxy]propane</t>
  </si>
  <si>
    <t xml:space="preserve">  80962-91-0</t>
  </si>
  <si>
    <t>1,1,2,2,3,3-Hexafluoro-1-[(trifluoroethenyl)oxy]-3-(trifluoromethoxy)propane</t>
  </si>
  <si>
    <t xml:space="preserve">  40573-09-9</t>
  </si>
  <si>
    <t>1,1,2,2,3,3-Hexafluoro-1,3-bis((trifluorovinyl)oxy)propane</t>
  </si>
  <si>
    <t xml:space="preserve">  13846-22-5</t>
  </si>
  <si>
    <t>1,1,2,2,3,3-hexafluoro-1-[(trifluorovinyl)oxy]propane</t>
  </si>
  <si>
    <t xml:space="preserve">  84145-18-6</t>
  </si>
  <si>
    <t>Trifluoro(1,1,2,2-tetrafluoro-2-iodoethoxy)ethylene</t>
  </si>
  <si>
    <t xml:space="preserve">  6037-91-8</t>
  </si>
  <si>
    <t>1,1'-((1,1,2,2-Tetrafluoroethylene)bis(oxy))bis(1,2,2-trifluoroethylene)</t>
  </si>
  <si>
    <t xml:space="preserve">  1998-53-4</t>
  </si>
  <si>
    <t>Perfluoro(3-oxapent-4-ene)sulfonyl fluoride</t>
  </si>
  <si>
    <t xml:space="preserve">  29514-94-1</t>
  </si>
  <si>
    <t>Perfluoro(2-propoxypropyl vinyl ether)</t>
  </si>
  <si>
    <t xml:space="preserve">  1644-11-7</t>
  </si>
  <si>
    <t>Perfluoro(3-(1-(ethenyloxy)propan-2-yloxy)propanenitrile)</t>
  </si>
  <si>
    <t xml:space="preserve">  69804-19-9</t>
  </si>
  <si>
    <t>Perfluoro(4-methyl-3,6-dioxaoct-7-ene)sulfonyl fluoride</t>
  </si>
  <si>
    <t xml:space="preserve">  16090-14-5</t>
  </si>
  <si>
    <t>1,1,1,2,2,3,3-Heptafluoro-3-{[1,1,1,2,3,3-hexafluoro-3-({1,1,1,2,3,3-hexafluoro-3-[(trifluoroethenyl)oxy]propan-2-yl}oxy)propan-2-yl]oxy}propane</t>
  </si>
  <si>
    <t xml:space="preserve">  2599-84-0</t>
  </si>
  <si>
    <t>1,1,2,3,3-pentafluoro-3-[(trifluorovinyl)oxy]propene</t>
  </si>
  <si>
    <t xml:space="preserve">  64080-43-9</t>
  </si>
  <si>
    <t>1-[Difluoro(pentafluoroethoxy)methoxy]-1,2,2-trifluoroethene</t>
  </si>
  <si>
    <t xml:space="preserve">  346662-93-9</t>
  </si>
  <si>
    <t>Perfluoro[(2-methoxyethoxy)methoxy]ethene</t>
  </si>
  <si>
    <t xml:space="preserve">  369371-47-1</t>
  </si>
  <si>
    <t>1-[Difluoro(trifluoromethoxy)methoxy]-1,2,2-trifluoroethene</t>
  </si>
  <si>
    <t xml:space="preserve">  700874-87-9</t>
  </si>
  <si>
    <t>1,1'-[(difluoromethylene)bis(oxy)]bis[1,2,2-trifluoroethylene]</t>
  </si>
  <si>
    <t xml:space="preserve">  13845-92-6</t>
  </si>
  <si>
    <t>2,2,3,5,6-Pentafluoro-3,6-bis(trifluoromethyl)-5-((trifluorovinyl)oxy)-1,4-dioxane</t>
  </si>
  <si>
    <t xml:space="preserve">  61097-79-8</t>
  </si>
  <si>
    <t>1,1,2,2,3,3-Hexafluoro-1-(trifluoromethoxy)propane</t>
  </si>
  <si>
    <t xml:space="preserve">  67490-36-2</t>
  </si>
  <si>
    <t>1,1,2,2-Tetrafluoro-2-(1,1,2,2-tetrafluoroethoxy)ethane-1-sulfonyl fluoride</t>
  </si>
  <si>
    <t xml:space="preserve">  104729-49-9</t>
  </si>
  <si>
    <t>1,1,2,2-Tetrafluoro-1-(trifluoromethoxy)ethane</t>
  </si>
  <si>
    <t xml:space="preserve">  2356-61-8</t>
  </si>
  <si>
    <t>1,1,2,2,4,4,4-Heptafluoro-3-(iodomethyl)-1-(1,2,2,2-tetrafluoroethoxy)butane</t>
  </si>
  <si>
    <t xml:space="preserve">  25080-20-0</t>
  </si>
  <si>
    <t>[1,2-Difluoro-2-(heptafluoropropoxy)ethenyl]benzene</t>
  </si>
  <si>
    <t xml:space="preserve">  854992-57-7</t>
  </si>
  <si>
    <t>Perfluoro-3-(1H-perfluoroethoxy)propane</t>
  </si>
  <si>
    <t xml:space="preserve">  3330-15-2</t>
  </si>
  <si>
    <t>1-Ethenyl-3-[1,1,2-trifluoro-2-(heptafluoropropoxy)ethoxy]benzene</t>
  </si>
  <si>
    <t xml:space="preserve">  129051-93-0</t>
  </si>
  <si>
    <t>1-Ethenyl-2-[1,1,2-trifluoro-2-(heptafluoropropoxy)ethoxy]benzene</t>
  </si>
  <si>
    <t xml:space="preserve">  129051-94-1</t>
  </si>
  <si>
    <t>2H-Perfluoro-5-methyl-3,6-dioxanonane</t>
  </si>
  <si>
    <t xml:space="preserve">  3330-14-1</t>
  </si>
  <si>
    <t>2H-Perfluoro(5,8-dimethyl-3,6,9-trioxadodecane)</t>
  </si>
  <si>
    <t xml:space="preserve">  3330-16-3</t>
  </si>
  <si>
    <t>Fluoroether E4</t>
  </si>
  <si>
    <t xml:space="preserve">  26738-51-2</t>
  </si>
  <si>
    <t>(1Z)-1,2,3,3,3-Pentafluoro-1-(trifluoromethoxy)prop-1-ene</t>
  </si>
  <si>
    <t xml:space="preserve">  1620992-19-9</t>
  </si>
  <si>
    <t>(1E)-1,2,3,3,3-Pentafluoro-1-(trifluoromethoxy)prop-1-ene</t>
  </si>
  <si>
    <t xml:space="preserve">  1621181-80-3</t>
  </si>
  <si>
    <t>Perfluoro(oxacyclopentane)</t>
  </si>
  <si>
    <t xml:space="preserve">  773-14-8</t>
  </si>
  <si>
    <t>Perfluoro-15-crown-5-ether</t>
  </si>
  <si>
    <t xml:space="preserve">  97571-69-2</t>
  </si>
  <si>
    <t>1-Bromo-2,3,5,6-tetrafluoro-4-{1,1,2,3,3,3-hexafluoro-2-[1,1,2,3,3,3-hexafluoro-2-(heptafluoropropoxy)propoxy]propyl}benzene</t>
  </si>
  <si>
    <t xml:space="preserve">  60799-27-1</t>
  </si>
  <si>
    <t>2,3,3,3-Tetrafluoro-2-[1,1,2,3,3,3-hexafluoro-2-(heptafluoropropoxy)propoxy]-1-(pentafluorophenyl)propan-1-one</t>
  </si>
  <si>
    <t xml:space="preserve">  70627-97-3</t>
  </si>
  <si>
    <t>1,2,3,4,5-Pentafluoro-6-(pentafluoroethoxy)benzene</t>
  </si>
  <si>
    <t xml:space="preserve">  159752-92-8</t>
  </si>
  <si>
    <t>2,2,3,3,4,4,5,5,6,6-Decafluoro-6-[(1,1,1,2,3,3,3-heptafluoropropan-2-yl)oxy]hexanamide</t>
  </si>
  <si>
    <t xml:space="preserve">  29952-92-9</t>
  </si>
  <si>
    <t>Propanamide, 3-[1-[difluoro[(1,2,2-trifluoroethenyl)oxy]methyl]-1,2,2,2-tetrafluoroethoxy]-2,2,3,3-tetrafluoro-</t>
  </si>
  <si>
    <t xml:space="preserve">  69804-18-8</t>
  </si>
  <si>
    <t>Perfluoro-2(1-propoxy)perfluoropropanamide</t>
  </si>
  <si>
    <t xml:space="preserve">  13140-35-7</t>
  </si>
  <si>
    <t>2,3,3,3-Tetrafluoro-2-[1,1,2,3,3,3-hexafluoro-2-(heptafluoropropoxy)propoxy]propanamide</t>
  </si>
  <si>
    <t xml:space="preserve">  60308-67-0</t>
  </si>
  <si>
    <t>2,3,3,3-Tetrafluoro-2-{1,1,2,3,3,3-hexafluoro-2-[1,1,2,3,3,3-hexafluoro-2-(heptafluoropropoxy)propoxy]propoxy}propanamide</t>
  </si>
  <si>
    <t xml:space="preserve">  51445-02-4</t>
  </si>
  <si>
    <t>2,3,3,3-Tetrafluoro-2-(trifluoromethoxy)propanamide</t>
  </si>
  <si>
    <t xml:space="preserve">  67710-48-9</t>
  </si>
  <si>
    <t>Perfluoro-2-methyl-3-oxahexanoic acid</t>
  </si>
  <si>
    <t xml:space="preserve">  13252-13-6</t>
  </si>
  <si>
    <t>4-fluoro-5-oxo-2,4-bis(trifluoromethyl)-1,3-dioxolane-2-carbonyl fluoride</t>
  </si>
  <si>
    <t xml:space="preserve">  7345-49-5</t>
  </si>
  <si>
    <t>4,4,5-trifluoro-2,5-bis(trifluoromethyl)-1,3-dioxolane-2-carbonyl fluoride</t>
  </si>
  <si>
    <t xml:space="preserve">  7385-65-1</t>
  </si>
  <si>
    <t>2,2,3,3-tetrafluoro-3-(heptafluoropropoxy)propionic acid</t>
  </si>
  <si>
    <t xml:space="preserve">  378-03-0</t>
  </si>
  <si>
    <t>4,8-Dioxa-3H-perfluorononanoic acid</t>
  </si>
  <si>
    <t xml:space="preserve">  919005-14-4</t>
  </si>
  <si>
    <t>Difluoro{[2,2,4,5-tetrafluoro-5-(trifluoromethoxy)-1,3-dioxolan-4-yl]oxy}acetic acid</t>
  </si>
  <si>
    <t xml:space="preserve">  1190931-41-9</t>
  </si>
  <si>
    <t>Methyl 2,2,3,3,4,4-hexafluoro-4-[1,2,2-trifluoro-2-[(trifluorovinyl)oxy]-1-(trifluoromethyl)ethoxy]butyrate</t>
  </si>
  <si>
    <t xml:space="preserve">  62361-02-8</t>
  </si>
  <si>
    <t>N-(2-aminoethyl)-2-[1-[difluoro[(trifluorovinyl)oxy]methyl]-1,2,2,2-tetrafluoroethoxy]-1,1,2,2-tetrafluoroethanesulphonamide</t>
  </si>
  <si>
    <t xml:space="preserve">  64346-90-3</t>
  </si>
  <si>
    <t>2,3,5-Trifluorotetrahydro-4-(pentafluoroethyl)-2,3,4,5-tetrakis(trifluoromethyl)furan</t>
  </si>
  <si>
    <t xml:space="preserve">  69661-30-9</t>
  </si>
  <si>
    <t>Perfluoro-2-methyloxane</t>
  </si>
  <si>
    <t xml:space="preserve">  356-47-8</t>
  </si>
  <si>
    <t>Perfluoro-2-nonylpentahydropyran</t>
  </si>
  <si>
    <t xml:space="preserve">  68155-54-4</t>
  </si>
  <si>
    <t>Dodecafluorooxepane</t>
  </si>
  <si>
    <t xml:space="preserve">  788-41-0</t>
  </si>
  <si>
    <t>N-Allylperfluoro-2-propoxypropanamide</t>
  </si>
  <si>
    <t xml:space="preserve">  165663-65-0</t>
  </si>
  <si>
    <t>2,2,3,3,4,4,5,5,6,6,7,7-Dodecafluoro-7-[(1,1,1,2,3,3,3-heptafluoropropan-2-yl)oxy]heptanoic acid</t>
  </si>
  <si>
    <t xml:space="preserve">  32347-41-4</t>
  </si>
  <si>
    <t>Perfluoro-4-isopropoxybutanoic acid</t>
  </si>
  <si>
    <t xml:space="preserve">  801212-59-9</t>
  </si>
  <si>
    <t>4-(1,2-Dichloro-1,2,2-trifluoroethoxy)-2,2,3,3,4,4-hexafluorobutanoic acid</t>
  </si>
  <si>
    <t xml:space="preserve">  86556-81-2</t>
  </si>
  <si>
    <t>Perfluoro(4-methoxybutanoic) acid</t>
  </si>
  <si>
    <t xml:space="preserve">  863090-89-5</t>
  </si>
  <si>
    <t>Perfluoro-3-{[1-(ethenyloxy)propan-2-yl]oxy}propanoic acid</t>
  </si>
  <si>
    <t xml:space="preserve">  69087-46-3</t>
  </si>
  <si>
    <t>Perfluoro-3-ethoxypropanoic acid</t>
  </si>
  <si>
    <t xml:space="preserve">  377-76-4</t>
  </si>
  <si>
    <t>Perfluoro-3-methoxypropanoic acid</t>
  </si>
  <si>
    <t xml:space="preserve">  377-73-1</t>
  </si>
  <si>
    <t>[(1-Chloro-1,1,2,3,3,3-hexafluoropropan-2-yl)oxy](difluoro)acetic acid</t>
  </si>
  <si>
    <t xml:space="preserve">  903523-21-7</t>
  </si>
  <si>
    <t>Perfluoro-3,6-dioxadecanoic acid</t>
  </si>
  <si>
    <t xml:space="preserve">  137780-69-9</t>
  </si>
  <si>
    <t>Perfluoro-3,6-dioxaoctanoic acid</t>
  </si>
  <si>
    <t xml:space="preserve">  80153-82-8</t>
  </si>
  <si>
    <t>Perfluoro-3,6,9-trioxatridecanoic acid</t>
  </si>
  <si>
    <t xml:space="preserve">  330562-41-9</t>
  </si>
  <si>
    <t>Perfluoro-3,6,9-trioxadecanoic acid</t>
  </si>
  <si>
    <t xml:space="preserve">  151772-59-7</t>
  </si>
  <si>
    <t>Perfluoro-3,6-dioxaheptanoic acid</t>
  </si>
  <si>
    <t xml:space="preserve">  151772-58-6</t>
  </si>
  <si>
    <t>3-Azido-2,3,3-trifluoro-2-(heptafluoropropoxy)propanoic acid</t>
  </si>
  <si>
    <t xml:space="preserve">  95906-13-1</t>
  </si>
  <si>
    <t>Perfluoro-2,5-dimethyl-3,6-dioxanonanoic acid</t>
  </si>
  <si>
    <t xml:space="preserve">  13252-14-7</t>
  </si>
  <si>
    <t>Perfluoro-(2,5,8-trimethyl-3,6,9-trioxadodecanoic)acid</t>
  </si>
  <si>
    <t xml:space="preserve">  65294-16-8</t>
  </si>
  <si>
    <t>2,4,4,5,7,7,8,10,10,11,13,13,14,14,15,15,15-Heptadecafluoro-2,5,8,11-tetrakis(trifluoromethyl)-3,6,9,12-tetraoxapentadecan-1-oic acid</t>
  </si>
  <si>
    <t xml:space="preserve">  65150-95-0</t>
  </si>
  <si>
    <t>5-[1,1,2-Trifluoro-2-(heptafluoropropoxy)ethoxy]benzene-1,3-dicarboxylic acid</t>
  </si>
  <si>
    <t xml:space="preserve">  1268707-97-6</t>
  </si>
  <si>
    <t>3,3,4,4-Tetrafluoro-4-[perfluoro-2-(fluorosulfonyl)ethoxy]butanoic acid</t>
  </si>
  <si>
    <t xml:space="preserve">  363158-84-3</t>
  </si>
  <si>
    <t>4,4,5,5-Tetrafluoro-5-[(1,1,1,2,3,3,3-heptafluoropropan-2-yl)oxy]pentanoic acid</t>
  </si>
  <si>
    <t xml:space="preserve">  28793-36-4</t>
  </si>
  <si>
    <t>4,5,5,5-Tetrafluoro-4-(heptafluoropropoxy)pentanoic acid</t>
  </si>
  <si>
    <t xml:space="preserve">  243128-40-7</t>
  </si>
  <si>
    <t>Perfluoro-2-(2-ethoxyethoxy)-1,1-diphenylethan-1-ol</t>
  </si>
  <si>
    <t xml:space="preserve">  217824-95-8</t>
  </si>
  <si>
    <t>5-[1,2,2,2-Tetrafluoro-1-(heptafluoropropoxy)ethyl]uridine</t>
  </si>
  <si>
    <t xml:space="preserve">  144862-40-8</t>
  </si>
  <si>
    <t>4'-Hydroxy[1,1'-biphenyl]-4-yl 2-[perfluoro-4-morpholinylmethyl]-perfluoropropanoate</t>
  </si>
  <si>
    <t xml:space="preserve">  304658-31-9</t>
  </si>
  <si>
    <t>2,2,3-Trifluoro-3-(heptafluoropropoxy)propan-1-ol</t>
  </si>
  <si>
    <t xml:space="preserve">  73320-57-7</t>
  </si>
  <si>
    <t>1h,1h-perfluoro-3,6-dioxadecan-1-ol</t>
  </si>
  <si>
    <t xml:space="preserve">  152914-73-3</t>
  </si>
  <si>
    <t>1h,1h-perfluoro-3,6,9-trioxatridecan-1-ol</t>
  </si>
  <si>
    <t xml:space="preserve">  317817-24-6</t>
  </si>
  <si>
    <t>1H,1H,11H,11H-Perfluorotetraethylene glycol</t>
  </si>
  <si>
    <t xml:space="preserve">  330562-44-2</t>
  </si>
  <si>
    <t>Fluorinated triethylene glycol monomethyl ether</t>
  </si>
  <si>
    <t xml:space="preserve">  147492-57-7</t>
  </si>
  <si>
    <t>1H,1H-Nonafluoro-3,6-dioxaheptan-1-ol</t>
  </si>
  <si>
    <t xml:space="preserve">  330562-43-1</t>
  </si>
  <si>
    <t>2,3,3,3-Tetrafluoro-2-(perfluoropentoxy)propan-1-ol</t>
  </si>
  <si>
    <t xml:space="preserve">  78693-85-3</t>
  </si>
  <si>
    <t>2-(Perfluoropropoxy)-1H,1H-perfluoropropanol</t>
  </si>
  <si>
    <t xml:space="preserve">  26537-88-2</t>
  </si>
  <si>
    <t>Perfluoro(2-(2-propoxypropoxy)-1H,1H-propan-1-ol)</t>
  </si>
  <si>
    <t xml:space="preserve">  14548-74-4</t>
  </si>
  <si>
    <t>2,3,3,3-Tetrafluoro-2-{1,1,2,3,3,3-hexafluoro-2-[1,1,2,3,3,3-hexafluoro-2-(heptafluoropropoxy)propoxy]propoxy}propan-1-ol</t>
  </si>
  <si>
    <t xml:space="preserve">  14620-81-6</t>
  </si>
  <si>
    <t>2,4,4,5,7,7,8,10,10,11,13,13,14,14,15,15,15-Heptadecafluoro-2,5,8,11-tetrakis(trifluoromethyl)-3,6,9,12-tetraoxapentadecan-1-ol</t>
  </si>
  <si>
    <t xml:space="preserve">  141977-66-4</t>
  </si>
  <si>
    <t>4,5,5,5-Tetrafluoro-4-(heptafluoropropoxy)pentan-1-ol</t>
  </si>
  <si>
    <t xml:space="preserve">  243128-41-8</t>
  </si>
  <si>
    <t>2,3,3,3-Tetrafluoro-2-[1,1,2,3,3,3-hexafluoro-2-(heptafluoropropoxy)propoxy]-N-(2-hydroxyethyl)propanamide</t>
  </si>
  <si>
    <t xml:space="preserve">  137506-19-5</t>
  </si>
  <si>
    <t>Perfluoro(2-ethoxyethane)sulfonic acid</t>
  </si>
  <si>
    <t xml:space="preserve">  113507-82-7</t>
  </si>
  <si>
    <t>Cadmium bis(1,1,2,2,3,3,4,4,4-nonafluorobutan-1-ide)</t>
  </si>
  <si>
    <t xml:space="preserve">  93367-04-5</t>
  </si>
  <si>
    <t>mono(Perfluorobutyl) maleate</t>
  </si>
  <si>
    <t xml:space="preserve">  229957-05-5</t>
  </si>
  <si>
    <t>3-(4-{[1,1,1,4,5,5,5-Heptafluoro-3-(1,1,1,2,3,3,3-heptafluoropropan-2-yl)-4-(trifluoromethyl)pent-2-en-2-yl]oxy}benzamido)-N,N,N-trimethylpropan-1-aminium iodide</t>
  </si>
  <si>
    <t xml:space="preserve">  170778-67-3</t>
  </si>
  <si>
    <t>Trimethyl{3-{4-[perfluoro-4-methyl-3-(propan-2-yl)pent-2-en-2-oxy]phenylsulfonylamino}propyl}ammonium iodide</t>
  </si>
  <si>
    <t xml:space="preserve">  158658-62-9</t>
  </si>
  <si>
    <t>Potassium bis(perfluorohexyl)difluoroborate</t>
  </si>
  <si>
    <t xml:space="preserve">  937038-66-9</t>
  </si>
  <si>
    <t>Sodium 4-(perfluoro(2-methylpent-2-en-3-yl)oxy)benzene-1-sulfonate</t>
  </si>
  <si>
    <t xml:space="preserve">  85284-17-9</t>
  </si>
  <si>
    <t>Sodium 4-(perfluoro(3,4-dimethylhex-3-en-2-yloxy))benzene-1-sulfonate</t>
  </si>
  <si>
    <t xml:space="preserve">  94042-94-1</t>
  </si>
  <si>
    <t>Sodium 4-{[(4E)-4,6-dimethylhept-4-en-3-yl]oxy}benzene-1-sulfonate</t>
  </si>
  <si>
    <t xml:space="preserve">  85284-15-7</t>
  </si>
  <si>
    <t>Sodium 4-(perfluoro-2-(butan-2-yl)-3-ethyl-3-methylpent-1-en-1-yloxy)benzenesulfonate</t>
  </si>
  <si>
    <t xml:space="preserve">  94042-95-2</t>
  </si>
  <si>
    <t>Sodium 3-(methyl{3-[(tridecafluorohexyl)amino]propyl}amino)propane-1-sulfonate</t>
  </si>
  <si>
    <t xml:space="preserve">  94492-37-2</t>
  </si>
  <si>
    <t>Sodium 4-[[4,4,5,5,5-pentafluoro-3-(pentafluoroethyl)-1,2,3-tris(trifluoromethyl)-1-pentenyl]oxy]benzenesulphonate</t>
  </si>
  <si>
    <t xml:space="preserve">  52584-45-9</t>
  </si>
  <si>
    <t>Silane, (heptadecafluorooctyl)trimethyl-</t>
  </si>
  <si>
    <t xml:space="preserve">  52112-19-3</t>
  </si>
  <si>
    <t>Silane, trimethyl(tridecafluorohexyl)-</t>
  </si>
  <si>
    <t xml:space="preserve">  135841-49-5</t>
  </si>
  <si>
    <t>Trimethyl(nonafluorobutyl)silane</t>
  </si>
  <si>
    <t xml:space="preserve">  204316-01-8</t>
  </si>
  <si>
    <t>(Heptafluoropropyl)trimethylsilane</t>
  </si>
  <si>
    <t xml:space="preserve">  3834-42-2</t>
  </si>
  <si>
    <t>(Heptadecafluorooctyl)(dimethyl)silane</t>
  </si>
  <si>
    <t xml:space="preserve">  198283-43-1</t>
  </si>
  <si>
    <t>Benzene, 1-(1-(difluoro((1,2,2-trifluoroethenyl)oxy)methyl)-1,2,2,2-tetrafluoroethoxy)-2,3,4,5,6-pentafluoro-</t>
  </si>
  <si>
    <t xml:space="preserve">  24520-19-2</t>
  </si>
  <si>
    <t>Sodium 4-{perfluoro[4-ethyl-3,4-dimethylhex-2-en-2-yl]oxy}benzene-1-sulfonate</t>
  </si>
  <si>
    <t>N-Methyl-4-[[4,4,5,5,5-pentafluoro-3-(pentafluoroethyl)-1,2,3-tris(trifluoromethyl)-1-pentenyl]oxy]-N-[2-(phosphonooxy)ethyl]benzenesulfonamide</t>
  </si>
  <si>
    <t xml:space="preserve">  69013-34-9</t>
  </si>
  <si>
    <t>4-(Perfluoro(4-ethyl-3,4-dimethylhex-2-en-2-yl)oxy)benzene-1-sulfonyl chloride</t>
  </si>
  <si>
    <t xml:space="preserve">  51947-19-4</t>
  </si>
  <si>
    <t>Pentadecafluoroheptyl 2-methylprop-2-enoate</t>
  </si>
  <si>
    <t xml:space="preserve">  96724-20-8</t>
  </si>
  <si>
    <t>Undecafluoropentyl 2-methylprop-2-enoate</t>
  </si>
  <si>
    <t xml:space="preserve">  89004-77-3</t>
  </si>
  <si>
    <t>3,4,5,5,6,6,7,7,8,8,9,9,10,10,10-Pentadecafluorodec-3-en-2-one</t>
  </si>
  <si>
    <t xml:space="preserve">  92604-91-6</t>
  </si>
  <si>
    <t>N-[(4-Bromophenyl)(perfluorobutyl)-λ4-sulfanylidene]acetamide</t>
  </si>
  <si>
    <t xml:space="preserve">  1178899-27-8</t>
  </si>
  <si>
    <t>N,N'-(5-{[1,1,1,4,5,5,5-Heptafluoro-3-(1,1,1,2,3,3,3-heptafluoropropan-2-yl)-4-(trifluoromethyl)pent-2-en-2-yl]oxy}-1,3-phenylene)diacetamide</t>
  </si>
  <si>
    <t xml:space="preserve">  150225-65-3</t>
  </si>
  <si>
    <t>1-[Di(propan-2-yl)amino]-3,3,4,4,5,5,6,6,7,7,8,8,8-tridecafluorooctan-2-ol</t>
  </si>
  <si>
    <t xml:space="preserve">  125672-20-0</t>
  </si>
  <si>
    <t>2-Amino-4,4,5,5,6,6,6-heptafluorohexan-3-ol</t>
  </si>
  <si>
    <t xml:space="preserve">  355-88-4</t>
  </si>
  <si>
    <t>1,1,1,2,2,3,3-Heptafluoro-5-nitroheptan-4-ol</t>
  </si>
  <si>
    <t xml:space="preserve">  355-90-8</t>
  </si>
  <si>
    <t>4-{2-[2,4-Bis(2-methylbutan-2-yl)phenoxy]butanamido}-2-hydroxy-N-(nonafluorobutyl)benzamide</t>
  </si>
  <si>
    <t xml:space="preserve">  94705-65-4</t>
  </si>
  <si>
    <t>Perfluoro(4-[(4-ethyl-3,4-dimethylhex-2-en-2-yl)oxy])benzene-1-sulfonate tributylammonium</t>
  </si>
  <si>
    <t xml:space="preserve">  70729-63-4</t>
  </si>
  <si>
    <t>N,N-Diethyl-2H-perfluoropropanamine</t>
  </si>
  <si>
    <t xml:space="preserve">  309-88-6</t>
  </si>
  <si>
    <t>Triethoxy(henicosafluorodecyl)silane</t>
  </si>
  <si>
    <t xml:space="preserve">  254095-33-5</t>
  </si>
  <si>
    <t>Silane, triethoxy(heptadecafluorooctyl)-</t>
  </si>
  <si>
    <t xml:space="preserve">  96305-13-4</t>
  </si>
  <si>
    <t>Ethyl 4-[(nonafluorobutyl)sulfanyl]benzoate</t>
  </si>
  <si>
    <t xml:space="preserve">  1262679-06-0</t>
  </si>
  <si>
    <t>5-Amino-1,1,1,2,2,3,3-heptafluoroheptan-4-ol--hydrogen chloride (1/1)</t>
  </si>
  <si>
    <t xml:space="preserve">  308-37-2</t>
  </si>
  <si>
    <t>N-[4-(Nonafluorobutoxy)phenyl]pyridine-3-carboxamide--hydrogen chloride (1/1)</t>
  </si>
  <si>
    <t xml:space="preserve">  62315-22-4</t>
  </si>
  <si>
    <t>N-[4-(Nonafluorobutoxy)phenyl]pyridine-4-carboxamide--hydrogen chloride (1/1)</t>
  </si>
  <si>
    <t xml:space="preserve">  62315-29-1</t>
  </si>
  <si>
    <t>2-[(Heptadecafluorooctyl)(methyl)amino]ethyl prop-2-enoate</t>
  </si>
  <si>
    <t xml:space="preserve">  93491-54-4</t>
  </si>
  <si>
    <t>Methyl 2,3,4,4,5,5,6,6,6-nonafluorohex-2-enoate</t>
  </si>
  <si>
    <t xml:space="preserve">  88022-46-2</t>
  </si>
  <si>
    <t>Methyl 4-{[1,1,1,4,5,5,5-heptafluoro-3-(1,1,1,2,3,3,3-heptafluoropropan-2-yl)-4-(trifluoromethyl)pent-2-en-2-yl]oxy}benzoate</t>
  </si>
  <si>
    <t xml:space="preserve">  66432-83-5</t>
  </si>
  <si>
    <t>1,1,3,3,4,4,5,5,6,6,6-Undecafluoro-1-methoxyhexan-2-one</t>
  </si>
  <si>
    <t xml:space="preserve">  106693-00-9</t>
  </si>
  <si>
    <t>Heptaethylene glycol perfluoro-2-isopropyl-1,3-dimethylbut-1-enyl methyl ether</t>
  </si>
  <si>
    <t xml:space="preserve">  88987-13-7</t>
  </si>
  <si>
    <t>(2Z)-1,1,1,2,4,4,5,5,5-Nonafluoro-3-(1,1,1,2,3,3,3-heptafluoropropan-2-yl)pent-2-ene</t>
  </si>
  <si>
    <t xml:space="preserve">  58621-71-9</t>
  </si>
  <si>
    <t>(4Z)-1,1,1,2,4,5,6,7,7,7-Decafluoro-2,6-bis(trifluoromethyl)hept-4-en-3-one</t>
  </si>
  <si>
    <t xml:space="preserve">  134330-95-3</t>
  </si>
  <si>
    <t>(4Z)-1,1,1,2,2,4,5,6,7,7,7-Undecafluoro-6-(trifluoromethyl)hept-4-en-3-one</t>
  </si>
  <si>
    <t xml:space="preserve">  134330-92-0</t>
  </si>
  <si>
    <t>2-Pentene, 1,1,1,2,3,4,5,5,5-nonafluoro-4-(trifluoromethyl)-, (Z)-</t>
  </si>
  <si>
    <t xml:space="preserve">  3709-70-4</t>
  </si>
  <si>
    <t>Perfluoro(3-isopropyl-4-methyl-2-pentene)</t>
  </si>
  <si>
    <t xml:space="preserve">  30320-27-5</t>
  </si>
  <si>
    <t>(2E)-1,1,1,2,4,4,5,5,5-Nonafluoro-3-(1,1,1,2,3,3,3-heptafluoropropan-2-yl)pent-2-ene</t>
  </si>
  <si>
    <t xml:space="preserve">  58621-72-0</t>
  </si>
  <si>
    <t>Hexafluoropropene Trimer</t>
  </si>
  <si>
    <t xml:space="preserve">  6792-31-0</t>
  </si>
  <si>
    <t>Perfluoro(2-methylpent-2-ene)</t>
  </si>
  <si>
    <t xml:space="preserve">  1584-03-8</t>
  </si>
  <si>
    <t>5,6,6,7,7,7-Hexafluoro-4-(trifluoromethyl)-1,4-heptadiene</t>
  </si>
  <si>
    <t xml:space="preserve">  84100-12-9</t>
  </si>
  <si>
    <t>(E)-1,1,1,2,3,4,4,4-octafluorobut-2-ene</t>
  </si>
  <si>
    <t xml:space="preserve">  1516-64-9</t>
  </si>
  <si>
    <t>Perfluoro-2,2,9,9-tetramethyldeca-3,7-diene</t>
  </si>
  <si>
    <t xml:space="preserve">  96288-56-1</t>
  </si>
  <si>
    <t>1,1,1,2,4,5,6,7,7,7-Decafluoro-2,6-bis(trifluoromethyl)hept-4-en-3-one</t>
  </si>
  <si>
    <t xml:space="preserve">  235772-91-5</t>
  </si>
  <si>
    <t>(4E)-1,1,1,2,4,5,6,7,7,7-Decafluoro-2,6-bis(trifluoromethyl)hept-4-en-3-one</t>
  </si>
  <si>
    <t xml:space="preserve">  134330-91-9</t>
  </si>
  <si>
    <t>(4E)-1,1,1,2,2,4,5,6,7,7,7-Undecafluoro-6-(trifluoromethyl)hept-4-en-3-one</t>
  </si>
  <si>
    <t xml:space="preserve">  134330-88-4</t>
  </si>
  <si>
    <t>1,1,1,2,2,4,5,6,7,7,7-Undecafluoro-6-(trifluoromethyl)hept-4-en-3-one</t>
  </si>
  <si>
    <t xml:space="preserve">  143582-62-1</t>
  </si>
  <si>
    <t>4-(Trifluoromethyl)perfluoro-2-pentene</t>
  </si>
  <si>
    <t xml:space="preserve">  2070-70-4</t>
  </si>
  <si>
    <t>(E)-Perfluoro(4-methyl-2-pentene)</t>
  </si>
  <si>
    <t xml:space="preserve">  3709-71-5</t>
  </si>
  <si>
    <t>(2E)-1,1,2,3,4,5,5,5-Octafluoro-1-iodo-4-(trifluoromethyl)-2-pentene</t>
  </si>
  <si>
    <t xml:space="preserve">  120695-78-5</t>
  </si>
  <si>
    <t>1,1,2,3,4,5,5,5-Octafluoro-1-iodo-4-(trifluoromethyl)-2-pentene</t>
  </si>
  <si>
    <t xml:space="preserve">  96288-51-6</t>
  </si>
  <si>
    <t>1,1,1,2,3,4,4,5,5,6,6,7,7,8,8,8-Hexadecafluorooct-2-ene</t>
  </si>
  <si>
    <t xml:space="preserve">  65500-50-7</t>
  </si>
  <si>
    <t>(2E)-1,1,1,2,3,4,4,5,5,6,6,7,7,8,8,8-Hexadecafluorooct-2-ene</t>
  </si>
  <si>
    <t xml:space="preserve">  31143-13-2</t>
  </si>
  <si>
    <t>1,1,1,2,3,4,4,5,5,6,6,7,7,7-Tetradecafluorohept-2-ene</t>
  </si>
  <si>
    <t xml:space="preserve">  1582-32-7</t>
  </si>
  <si>
    <t>(2E)-1,1,1,2,3,4,4,5,5,6,6,7,7,7-Tetradecafluorohept-2-ene</t>
  </si>
  <si>
    <t xml:space="preserve">  24010-46-6</t>
  </si>
  <si>
    <t>(3E)-1,1,1,2,2,3,4,5,5,6,6,7,7,7-Tetradecafluorohept-3-ene</t>
  </si>
  <si>
    <t xml:space="preserve">  100646-05-7</t>
  </si>
  <si>
    <t>1,1,1,2,2,3,4,5,5,6,6,7,7,7-Tetradecafluorohept-3-ene</t>
  </si>
  <si>
    <t xml:space="preserve">  71039-88-8</t>
  </si>
  <si>
    <t>(2E)-1,1,1,2,3,4,4,5,5,6,6,6-Dodecafluorohex-2-ene</t>
  </si>
  <si>
    <t xml:space="preserve">  67899-37-0</t>
  </si>
  <si>
    <t>Perfluoro-2-hexene</t>
  </si>
  <si>
    <t xml:space="preserve">  1584-00-5</t>
  </si>
  <si>
    <t>Perfluoro-2-pentene</t>
  </si>
  <si>
    <t xml:space="preserve">  72804-49-0</t>
  </si>
  <si>
    <t>Perfluorobut-2-ene</t>
  </si>
  <si>
    <t xml:space="preserve">  360-89-4</t>
  </si>
  <si>
    <t>2,2,3,3,4,4,4-Heptafluoro-N-(nonafluorobutyl)butanimidoyl fluoride</t>
  </si>
  <si>
    <t xml:space="preserve">  103573-07-5</t>
  </si>
  <si>
    <t>(E)-Perfluoro-4-methylpent-2-enoyl fluoride</t>
  </si>
  <si>
    <t xml:space="preserve">  103229-77-2</t>
  </si>
  <si>
    <t>Perfluoro-4-methylpent-2-enoyl fluoride</t>
  </si>
  <si>
    <t xml:space="preserve">  88022-48-4</t>
  </si>
  <si>
    <t>Perflubrodec</t>
  </si>
  <si>
    <t xml:space="preserve">  307-43-7</t>
  </si>
  <si>
    <t>Fluorocarbon FC 70</t>
  </si>
  <si>
    <t xml:space="preserve">  338-84-1</t>
  </si>
  <si>
    <t>Perflexane</t>
  </si>
  <si>
    <t xml:space="preserve">  355-42-0</t>
  </si>
  <si>
    <t>Perfluoro-4-methylpent-2-enoyl chloride</t>
  </si>
  <si>
    <t xml:space="preserve">  207671-78-1</t>
  </si>
  <si>
    <t>1,1,1,2,2,3,3,4,5,5,6,6,6-Tridecafluorohexane</t>
  </si>
  <si>
    <t xml:space="preserve">  1998-67-0</t>
  </si>
  <si>
    <t>1,4-Dibromooctafluorobutane</t>
  </si>
  <si>
    <t xml:space="preserve">  335-48-8</t>
  </si>
  <si>
    <t>1,6-Dibromododecafluorohexane</t>
  </si>
  <si>
    <t xml:space="preserve">  918-22-9</t>
  </si>
  <si>
    <t>Perfluoro-1,2-bis(perfluorocyclohexyl)ethane</t>
  </si>
  <si>
    <t xml:space="preserve">  306-99-0</t>
  </si>
  <si>
    <t>Perfluoro(4a-(cyclohexylmethyl)decahydronaphthalene)</t>
  </si>
  <si>
    <t xml:space="preserve">  125061-94-1</t>
  </si>
  <si>
    <t>Perfluoroperhydrobenzyl tetralin</t>
  </si>
  <si>
    <t xml:space="preserve">  116265-66-8</t>
  </si>
  <si>
    <t>1,8-Dichloroperfluorooctane</t>
  </si>
  <si>
    <t xml:space="preserve">  647-25-6</t>
  </si>
  <si>
    <t>1,4-Dichloro-1,1,2,2,3,3,4,4-octafluorobutane</t>
  </si>
  <si>
    <t xml:space="preserve">  355-24-8</t>
  </si>
  <si>
    <t>1,3-Dichloro-1,1,2,2,3,3-hexafluoropropane</t>
  </si>
  <si>
    <t xml:space="preserve">  662-01-1</t>
  </si>
  <si>
    <t>cis-Perfluoro-2,4-dimethylcyclobutane</t>
  </si>
  <si>
    <t xml:space="preserve">  1583-97-7</t>
  </si>
  <si>
    <t>(2R,4R)-1,1,2,3,3,4-Hexafluoro-2,4-bis(trifluoromethyl)cyclobutane</t>
  </si>
  <si>
    <t xml:space="preserve">  1583-98-8</t>
  </si>
  <si>
    <t>Perfluoro-3-ethyl-2,4-dimethyl-2-pentene</t>
  </si>
  <si>
    <t xml:space="preserve">  30320-26-4</t>
  </si>
  <si>
    <t>3-Trifluoromethylperfluoro-2-pentanone</t>
  </si>
  <si>
    <t xml:space="preserve">  93830-92-3</t>
  </si>
  <si>
    <t>1,1,1,3,4,4,4-Heptafluoro-3-(trifluoromethyl)butan-2-one</t>
  </si>
  <si>
    <t xml:space="preserve">  756-12-7</t>
  </si>
  <si>
    <t>1,1,1,3,3,4,5,5,5-Nonafluoro-4-(trifluoromethyl)pentan-2-one</t>
  </si>
  <si>
    <t xml:space="preserve">  73041-05-1</t>
  </si>
  <si>
    <t>1,1,1,3,3,5,5,5-Octafluoro-2,2,4,4-tetrakis(trifluoromethyl)pentane</t>
  </si>
  <si>
    <t xml:space="preserve">  62375-54-6</t>
  </si>
  <si>
    <t>Perfluoro-2,2,5,5-tetramethylhexane</t>
  </si>
  <si>
    <t xml:space="preserve">  71076-47-6</t>
  </si>
  <si>
    <t>2,2-bis(Trifluoromethyl)perfluoropropane</t>
  </si>
  <si>
    <t xml:space="preserve">  374-51-6</t>
  </si>
  <si>
    <t>Perfluoro tert-butylcyclohexane</t>
  </si>
  <si>
    <t xml:space="preserve">  84808-64-0</t>
  </si>
  <si>
    <t>Perfluorodecahydro-1-t-butylnaphthalene</t>
  </si>
  <si>
    <t xml:space="preserve">  118914-94-6</t>
  </si>
  <si>
    <t>Perfluorodecahydro-2-t-butylnaphthalene</t>
  </si>
  <si>
    <t xml:space="preserve">  119107-97-0</t>
  </si>
  <si>
    <t>2H-Perfluoro(2-methylpentane)</t>
  </si>
  <si>
    <t xml:space="preserve">  30320-28-6</t>
  </si>
  <si>
    <t>Bis(perfluoroisopropyl)ketone</t>
  </si>
  <si>
    <t xml:space="preserve">  813-44-5</t>
  </si>
  <si>
    <t>1,1,1,2,4,4,5,5-Octafluoro-5-iodo-2-(trifluoromethyl)pentan-3-one</t>
  </si>
  <si>
    <t xml:space="preserve">  93822-96-9</t>
  </si>
  <si>
    <t>Perfluoro-2,3-dimethylbutane</t>
  </si>
  <si>
    <t xml:space="preserve">  354-96-1</t>
  </si>
  <si>
    <t>Heptane, 1,1,1,2,3,3,4,5,5,6,7,7,7-tridecafluoro-2,4,6-tris(trifluoromethyl)-</t>
  </si>
  <si>
    <t xml:space="preserve">  84808-63-9</t>
  </si>
  <si>
    <t>Perfluoro-2,7-dimethyloctane</t>
  </si>
  <si>
    <t xml:space="preserve">  3021-63-4</t>
  </si>
  <si>
    <t>Perfluoro-2,9-dimethyldecane</t>
  </si>
  <si>
    <t xml:space="preserve">  103188-55-2</t>
  </si>
  <si>
    <t>1,1,1,2,3,3,4,4,5,5,6,6,7,7,8,8,9,9,10,10,11,12,12,12-tetracosafluoro-2,11-bis(trifluoromethyl)dodecane</t>
  </si>
  <si>
    <t xml:space="preserve">  118694-32-9</t>
  </si>
  <si>
    <t>Perfluorodecahydro-1-isobutylnaphthalene</t>
  </si>
  <si>
    <t xml:space="preserve">  118945-65-6</t>
  </si>
  <si>
    <t>Perfluorodecahydro-2-iso-butylnaphthalene</t>
  </si>
  <si>
    <t xml:space="preserve">  119141-87-6</t>
  </si>
  <si>
    <t>Perflisobutane</t>
  </si>
  <si>
    <t xml:space="preserve">  354-92-7</t>
  </si>
  <si>
    <t>Undecafluoro(1,1,1,2,3,3,3-heptafluoropropan-2-yl)cyclohexane</t>
  </si>
  <si>
    <t xml:space="preserve">  423-02-9</t>
  </si>
  <si>
    <t>2,3,3,3-Tetrafluoro-2-(trifluoromethyl)propanenitrile</t>
  </si>
  <si>
    <t xml:space="preserve">  42532-60-5</t>
  </si>
  <si>
    <t>Perfluoro-2-methyl-3-(propan-2-yl)pentan-3-yl</t>
  </si>
  <si>
    <t xml:space="preserve">  93683-27-3</t>
  </si>
  <si>
    <t>Perfluoro-2-methyl-3-pentanone</t>
  </si>
  <si>
    <t xml:space="preserve">  756-13-8</t>
  </si>
  <si>
    <t>Perfluoro(3-ethyl-2,3-dimethylpentane)</t>
  </si>
  <si>
    <t xml:space="preserve">  50285-19-3</t>
  </si>
  <si>
    <t>3,3-Bis(trifluoromethyl)perfluoropentane</t>
  </si>
  <si>
    <t xml:space="preserve">  36591-89-6</t>
  </si>
  <si>
    <t>Perfluoro dimethylethylpentane</t>
  </si>
  <si>
    <t xml:space="preserve">  50285-18-2</t>
  </si>
  <si>
    <t>Perfluoro-2-methyl-3-ethylpentane</t>
  </si>
  <si>
    <t xml:space="preserve">  354-97-2</t>
  </si>
  <si>
    <t>Perfluoro-3,4-dimethylhexane</t>
  </si>
  <si>
    <t xml:space="preserve">  1735-48-4</t>
  </si>
  <si>
    <t>Perfluoro-2,3-dimethylpentane</t>
  </si>
  <si>
    <t xml:space="preserve">  335-14-8</t>
  </si>
  <si>
    <t>1,1,1,2,2,3,4,4,5,5,5-Undecafluoro-3-(trifluoromethyl)pentane</t>
  </si>
  <si>
    <t xml:space="preserve">  865-71-4</t>
  </si>
  <si>
    <t>Perfluoro-2-methylbutane</t>
  </si>
  <si>
    <t xml:space="preserve">  594-91-2</t>
  </si>
  <si>
    <t>Perfluorodecahydro-1-sec-butylnaphthalene</t>
  </si>
  <si>
    <t xml:space="preserve">  118945-64-5</t>
  </si>
  <si>
    <t>Perfluorodecahydro-2-sec-butylnaphthalene</t>
  </si>
  <si>
    <t xml:space="preserve">  119141-86-5</t>
  </si>
  <si>
    <t>1-Bromoheptafluoropropane</t>
  </si>
  <si>
    <t xml:space="preserve">  422-85-5</t>
  </si>
  <si>
    <t>Bis[1,1,1,3,3,4,4,5,5,5-decafluoro-2-(trifluoromethyl)pentan-2-yl]mercury</t>
  </si>
  <si>
    <t xml:space="preserve">  120674-92-2</t>
  </si>
  <si>
    <t>1,1,1,2,4,4,5,5,6,6,6-Undecafluoro-2-(trifluoromethyl)-3-hexanone</t>
  </si>
  <si>
    <t xml:space="preserve">  813-45-6</t>
  </si>
  <si>
    <t>2-bromo-1,1,1,3,3,4,4,5,5,5-decafluoro-2-(trifluoromethyl)pentane</t>
  </si>
  <si>
    <t xml:space="preserve">  22528-67-2</t>
  </si>
  <si>
    <t>1,1,1,2,2,3,3,5,6,6,6-Undecafluoro-4,4,5-tris(trifluoromethyl)hexane</t>
  </si>
  <si>
    <t xml:space="preserve">  86714-23-0</t>
  </si>
  <si>
    <t>1,1,1,2,2,3,3,5,5,5-Decafluoro-4,4-bis(trifluoromethyl)pentane</t>
  </si>
  <si>
    <t xml:space="preserve">  29971-79-7</t>
  </si>
  <si>
    <t>2-Chloro(perfluoro-2-methylpentane)</t>
  </si>
  <si>
    <t xml:space="preserve">  67437-97-2</t>
  </si>
  <si>
    <t>1,1,1,2,4,5,5,6,6,7,7,7-dodecafluoro-2,4-bis(trifluoromethyl)heptan-3-one</t>
  </si>
  <si>
    <t xml:space="preserve">  95639-15-9</t>
  </si>
  <si>
    <t>Hexane, 1,1,1,2,2,3,3,4,5,5,6,6,6-tridecafluoro-4-(trifluoromethyl)-</t>
  </si>
  <si>
    <t xml:space="preserve">  558-69-0</t>
  </si>
  <si>
    <t>Perfluoroisohexane</t>
  </si>
  <si>
    <t xml:space="preserve">  355-04-4</t>
  </si>
  <si>
    <t>1-Bromoperfluorobutane</t>
  </si>
  <si>
    <t xml:space="preserve">  375-48-4</t>
  </si>
  <si>
    <t>Perfluoro-3-methylheptane</t>
  </si>
  <si>
    <t xml:space="preserve">  153273-33-7</t>
  </si>
  <si>
    <t>1,2-Dibromoperfluoroheptane</t>
  </si>
  <si>
    <t xml:space="preserve">  678-32-0</t>
  </si>
  <si>
    <t>Perfluoro-2-methylheptane</t>
  </si>
  <si>
    <t xml:space="preserve">  153273-32-6</t>
  </si>
  <si>
    <t>Perfluorohexylbromide</t>
  </si>
  <si>
    <t xml:space="preserve">  335-56-8</t>
  </si>
  <si>
    <t>1-Bromopentadecafluoroheptane</t>
  </si>
  <si>
    <t xml:space="preserve">  375-88-2</t>
  </si>
  <si>
    <t>1-Bromoheptadecafluorooctane</t>
  </si>
  <si>
    <t xml:space="preserve">  423-55-2</t>
  </si>
  <si>
    <t>1-Bromoperfluorononane</t>
  </si>
  <si>
    <t xml:space="preserve">  558-96-3</t>
  </si>
  <si>
    <t>1-Bromo-1,1,2,2,3,3,4,4,5,5,6,6,7,7,8,8,9,9,10,10,11,11,12,12,12-pentacosafluorododecane</t>
  </si>
  <si>
    <t xml:space="preserve">  67193-90-2</t>
  </si>
  <si>
    <t>Perfluorotetradecane</t>
  </si>
  <si>
    <t xml:space="preserve">  307-62-0</t>
  </si>
  <si>
    <t>Perfluorotridecane</t>
  </si>
  <si>
    <t xml:space="preserve">  376-03-4</t>
  </si>
  <si>
    <t>Perfluorododecane</t>
  </si>
  <si>
    <t xml:space="preserve">  307-59-5</t>
  </si>
  <si>
    <t>Perfluoroundecane</t>
  </si>
  <si>
    <t xml:space="preserve">  86508-42-1</t>
  </si>
  <si>
    <t>Perfluorodecane</t>
  </si>
  <si>
    <t xml:space="preserve">  307-45-9</t>
  </si>
  <si>
    <t>Perfluorononane</t>
  </si>
  <si>
    <t xml:space="preserve">  375-96-2</t>
  </si>
  <si>
    <t>Heptadecafluorononanenitrile</t>
  </si>
  <si>
    <t xml:space="preserve">  82416-71-5</t>
  </si>
  <si>
    <t>Oxirane, (heptadecafluorooctyl)-</t>
  </si>
  <si>
    <t xml:space="preserve">  52835-16-2</t>
  </si>
  <si>
    <t>1-Chloroheptadecafluorooctane</t>
  </si>
  <si>
    <t xml:space="preserve">  307-33-5</t>
  </si>
  <si>
    <t>Perfluorooctane</t>
  </si>
  <si>
    <t xml:space="preserve">  307-34-6</t>
  </si>
  <si>
    <t>Heptadecafluorooctyl prop-2-enoate</t>
  </si>
  <si>
    <t xml:space="preserve">  15498-45-0</t>
  </si>
  <si>
    <t>Perfluorooctanenitrile</t>
  </si>
  <si>
    <t xml:space="preserve">  647-12-1</t>
  </si>
  <si>
    <t>Perfluoroheptane</t>
  </si>
  <si>
    <t xml:space="preserve">  335-57-9</t>
  </si>
  <si>
    <t>Perfluoroheptanenitrile</t>
  </si>
  <si>
    <t xml:space="preserve">  62038-08-8</t>
  </si>
  <si>
    <t>Oxirane, trifluoro(tridecafluorohexyl)-</t>
  </si>
  <si>
    <t xml:space="preserve">  87375-53-9</t>
  </si>
  <si>
    <t>Perfluorohexylchloride</t>
  </si>
  <si>
    <t xml:space="preserve">  355-41-9</t>
  </si>
  <si>
    <t>[(Tridecafluorohexyl)sulfanyl]benzene</t>
  </si>
  <si>
    <t xml:space="preserve">  69127-72-6</t>
  </si>
  <si>
    <t>Tridecafluorohexanesulphenyl chloride</t>
  </si>
  <si>
    <t xml:space="preserve">  89987-98-4</t>
  </si>
  <si>
    <t>Bis(tridecafluorohexyl) disulphide</t>
  </si>
  <si>
    <t xml:space="preserve">  93962-52-8</t>
  </si>
  <si>
    <t>Undecafluorohexanenitrile</t>
  </si>
  <si>
    <t xml:space="preserve">  23790-49-0</t>
  </si>
  <si>
    <t>Perflenapent</t>
  </si>
  <si>
    <t xml:space="preserve">  678-26-2</t>
  </si>
  <si>
    <t>2,2,3,3,4,4,5,5-Octafluoro-1-(undecafluoropentyl)pyrrolidine</t>
  </si>
  <si>
    <t xml:space="preserve">  94718-24-8</t>
  </si>
  <si>
    <t>2,2,3,3,4,4,5,5,5-nonafluoropentanenitrile</t>
  </si>
  <si>
    <t xml:space="preserve">  22325-71-9</t>
  </si>
  <si>
    <t>Perfluorobutylcyclohexane</t>
  </si>
  <si>
    <t xml:space="preserve">  374-60-7</t>
  </si>
  <si>
    <t>Perfluorodecahydro-1-(perfluorobutyl)naphthalene</t>
  </si>
  <si>
    <t xml:space="preserve">  118914-93-5</t>
  </si>
  <si>
    <t>Perfluorodecahydro-2-n-butylnaphthalene</t>
  </si>
  <si>
    <t xml:space="preserve">  119107-96-9</t>
  </si>
  <si>
    <t>2,2,3-Trifluoro-3-(nonafluorobutyl)oxirane</t>
  </si>
  <si>
    <t xml:space="preserve">  72804-48-9</t>
  </si>
  <si>
    <t>1-Chlorononafluorobutane</t>
  </si>
  <si>
    <t xml:space="preserve">  558-89-4</t>
  </si>
  <si>
    <t>Perfluorobutane</t>
  </si>
  <si>
    <t xml:space="preserve">  355-25-9</t>
  </si>
  <si>
    <t>Perfluoro-2-butyl-3-propyloxaziridine</t>
  </si>
  <si>
    <t xml:space="preserve">  143813-70-1</t>
  </si>
  <si>
    <t>4-Pyridinecarboxamide, N-[4-(nonafluorobutoxy)phenyl]-</t>
  </si>
  <si>
    <t xml:space="preserve">  62315-14-4</t>
  </si>
  <si>
    <t>3-Pyridinecarboxamide, N-[4-(nonafluorobutoxy)phenyl]-</t>
  </si>
  <si>
    <t xml:space="preserve">  62315-07-5</t>
  </si>
  <si>
    <t>[(Nonafluorobutyl)disulfanyl]benzene</t>
  </si>
  <si>
    <t xml:space="preserve">  1606997-42-5</t>
  </si>
  <si>
    <t>Heptafluorobutyronitrile</t>
  </si>
  <si>
    <t xml:space="preserve">  375-00-8</t>
  </si>
  <si>
    <t>Undecafluoro(heptafluoropropyl)cyclohexane</t>
  </si>
  <si>
    <t xml:space="preserve">  374-59-4</t>
  </si>
  <si>
    <t>2,2,3,3,4,4,5,5,6-Nonafluoro-6-(heptafluoropropyl)tetrahydro-2H-pyran</t>
  </si>
  <si>
    <t xml:space="preserve">  335-35-3</t>
  </si>
  <si>
    <t>2,2,3-Trifluoro-3-(heptafluoropropyl)oxirane</t>
  </si>
  <si>
    <t xml:space="preserve">  74942-19-1</t>
  </si>
  <si>
    <t>1-chloro-1,1,2,2,3,3,3-heptafluoropropane</t>
  </si>
  <si>
    <t xml:space="preserve">  422-86-6</t>
  </si>
  <si>
    <t>Perflutren</t>
  </si>
  <si>
    <t xml:space="preserve">  76-19-7</t>
  </si>
  <si>
    <t>Perfluamine</t>
  </si>
  <si>
    <t xml:space="preserve">  338-83-0</t>
  </si>
  <si>
    <t>1,1,1,2,4,5,5,5-Octafluoro-2-(heptafluoropropoxy)-4-(trifluoromethyl)pentan-3-one</t>
  </si>
  <si>
    <t xml:space="preserve">  851535-00-7</t>
  </si>
  <si>
    <t>2-(1,1,1,2,3,3,3-Heptafluoropropan-2-yl)-2-(pentafluoroethyl)-3,3-bis(trifluoromethyl)oxirane</t>
  </si>
  <si>
    <t xml:space="preserve">  103697-21-8</t>
  </si>
  <si>
    <t>Perfluorotriethylamine</t>
  </si>
  <si>
    <t xml:space="preserve">  359-70-6</t>
  </si>
  <si>
    <t>Heptafluoroisopropyl acrylate</t>
  </si>
  <si>
    <t xml:space="preserve">  13057-08-4</t>
  </si>
  <si>
    <t>1,1,1,2,3,3,3-Heptafluoropropan-2-yl benzoate</t>
  </si>
  <si>
    <t xml:space="preserve">  57024-21-2</t>
  </si>
  <si>
    <t>Cyclohexane, decafluorobis(trifluoromethyl)- (6CI,7CI,8CI,9CI)</t>
  </si>
  <si>
    <t xml:space="preserve">  26637-68-3</t>
  </si>
  <si>
    <t>Perfluorodimethylcyclobutane</t>
  </si>
  <si>
    <t xml:space="preserve">  28677-00-1</t>
  </si>
  <si>
    <t>Perfluoro-1,3,5-trimethylcyclohexane</t>
  </si>
  <si>
    <t xml:space="preserve">  374-76-5</t>
  </si>
  <si>
    <t>Cyclobutane, 1,1,2,3,3,4-hexafluoro-2,4-bis(trifluoromethyl)-</t>
  </si>
  <si>
    <t xml:space="preserve">  13221-71-1</t>
  </si>
  <si>
    <t>1,1,2,2,3,4,4,5,5,6-Decafluoro-3,6-bis(trifluoromethyl)cyclohexane</t>
  </si>
  <si>
    <t xml:space="preserve">  374-77-6</t>
  </si>
  <si>
    <t>Perfluoro-1,3-dimethylcyclohexane</t>
  </si>
  <si>
    <t xml:space="preserve">  335-27-3</t>
  </si>
  <si>
    <t>Perfluoro-5,5'-bis(trifluoromethyl)-1,1'-bicyclohexyl</t>
  </si>
  <si>
    <t xml:space="preserve">  105462-77-9</t>
  </si>
  <si>
    <t>Perfluoro-1,2-dimethylcyclohexane</t>
  </si>
  <si>
    <t xml:space="preserve">  306-98-9</t>
  </si>
  <si>
    <t>Perfluoromethylcyclohexane</t>
  </si>
  <si>
    <t xml:space="preserve">  355-02-2</t>
  </si>
  <si>
    <t>Perfluoromethylcyclopentane</t>
  </si>
  <si>
    <t xml:space="preserve">  1805-22-7</t>
  </si>
  <si>
    <t>Perfluoromethyldecalin</t>
  </si>
  <si>
    <t xml:space="preserve">  51294-16-7</t>
  </si>
  <si>
    <t>Perfluoro-1,2-dimethylcyclobutane</t>
  </si>
  <si>
    <t xml:space="preserve">  2994-71-0</t>
  </si>
  <si>
    <t>Perfluoro-2-methyldecalin</t>
  </si>
  <si>
    <t xml:space="preserve">  306-95-6</t>
  </si>
  <si>
    <t>Perfluoromethyloxirane</t>
  </si>
  <si>
    <t xml:space="preserve">  428-59-1</t>
  </si>
  <si>
    <t>1,1,2,4,4-Pentafluoro-3-(trifluoromethyl)buta-1,3-diene</t>
  </si>
  <si>
    <t xml:space="preserve">  384-04-3</t>
  </si>
  <si>
    <t>1,1,2,3,4,4,4-Heptafluoro-3-(trifluoromethyl)but-1-ene</t>
  </si>
  <si>
    <t xml:space="preserve">  21581-82-8</t>
  </si>
  <si>
    <t>1,1,2,3,3,4,5,5,5-Nonafluoro-4-(trifluoromethyl)pent-1-ene</t>
  </si>
  <si>
    <t xml:space="preserve">  287101-12-6</t>
  </si>
  <si>
    <t>1,1,2,3,3,4,4,5,5,6,6,7,7,8,8,9,9,10,10,11,11,12,12,13,13,13-Hexacosafluorotridec-1-ene</t>
  </si>
  <si>
    <t xml:space="preserve">  66325-97-1</t>
  </si>
  <si>
    <t>1,1,2,3,3,4,4,5,5,6,6,7,7,8,8,9,9,10,10,11,11,12,12,12-Tetracosafluorododec-1-ene</t>
  </si>
  <si>
    <t>1828-40-6</t>
  </si>
  <si>
    <t>1,1,2,3,3,4,4,5,5,6,6,7,7,8,8,9,9,10,10,11,11,11-Docosafluoroundec-1-ene</t>
  </si>
  <si>
    <t xml:space="preserve">  66256-52-8</t>
  </si>
  <si>
    <t>Perfluoro-1-decene</t>
  </si>
  <si>
    <t xml:space="preserve">  35328-43-9</t>
  </si>
  <si>
    <t>Perfluoronon-1-ene</t>
  </si>
  <si>
    <t xml:space="preserve">  376-22-7</t>
  </si>
  <si>
    <t>Perfluorooct-1-ene</t>
  </si>
  <si>
    <t xml:space="preserve">  559-14-8</t>
  </si>
  <si>
    <t>Perfluorohept-1-ene</t>
  </si>
  <si>
    <t xml:space="preserve">  355-63-5</t>
  </si>
  <si>
    <t>Perfluorohex-1-ene</t>
  </si>
  <si>
    <t xml:space="preserve">  755-25-9</t>
  </si>
  <si>
    <t>Perfluoropent-1-ene</t>
  </si>
  <si>
    <t xml:space="preserve">  376-87-4</t>
  </si>
  <si>
    <t>Trifluoro(1,1,2,2,3,4,4-heptafluorobut-3-enyl)oxirane</t>
  </si>
  <si>
    <t xml:space="preserve">  15453-10-8</t>
  </si>
  <si>
    <t>Octafluoro-1-butene</t>
  </si>
  <si>
    <t xml:space="preserve">  357-26-6</t>
  </si>
  <si>
    <t>4,5-Epoxy-1,1,2,3,3,4,5,5-octafluoropent-1-ene</t>
  </si>
  <si>
    <t xml:space="preserve">  15453-08-4</t>
  </si>
  <si>
    <t>Hexafluoro-1,3-butadiene</t>
  </si>
  <si>
    <t xml:space="preserve">  685-63-2</t>
  </si>
  <si>
    <t>2,2,3,3,4,4,5,5,6,6-Decafluoro-6-[(trifluoroethenyl)oxy]hexanenitrile</t>
  </si>
  <si>
    <t xml:space="preserve">  120903-40-4</t>
  </si>
  <si>
    <t>(Nonafluorobutyl)carbonimidoyl</t>
  </si>
  <si>
    <t xml:space="preserve">  424-32-8</t>
  </si>
  <si>
    <t>Trichloro(1,1,2,2,3,3,4,4-octafluorobutyl)silane</t>
  </si>
  <si>
    <t xml:space="preserve">  375-63-3</t>
  </si>
  <si>
    <t>Butane, 1-chloro-1,1,2,2,3,3,4,4-octafluoro-</t>
  </si>
  <si>
    <t xml:space="preserve">  423-31-4</t>
  </si>
  <si>
    <t>Perfluorotributylamine</t>
  </si>
  <si>
    <t xml:space="preserve">  311-89-7</t>
  </si>
  <si>
    <t>Chloroperfluorocyclohexane</t>
  </si>
  <si>
    <t xml:space="preserve">  336-15-2</t>
  </si>
  <si>
    <t>Perfluorocyclohexane</t>
  </si>
  <si>
    <t xml:space="preserve">  355-68-0</t>
  </si>
  <si>
    <t>Piperidine, 2,2,3,3,4,4,5,5,6,6-decafluoro-1-(pentafluoroethyl)-</t>
  </si>
  <si>
    <t xml:space="preserve">  564-11-4</t>
  </si>
  <si>
    <t>Decafluorocyclopentane</t>
  </si>
  <si>
    <t xml:space="preserve">  376-77-2</t>
  </si>
  <si>
    <t>(Perfluorocyclopentyl)phenyldiazene</t>
  </si>
  <si>
    <t xml:space="preserve">  97388-28-8</t>
  </si>
  <si>
    <t>Octafluorocyclobutane</t>
  </si>
  <si>
    <t xml:space="preserve">  115-25-3</t>
  </si>
  <si>
    <t>Tetracosafluorotetradecahydrophenanthrene</t>
  </si>
  <si>
    <t xml:space="preserve">  306-91-2</t>
  </si>
  <si>
    <t>Perflunafene</t>
  </si>
  <si>
    <t xml:space="preserve">  306-94-5</t>
  </si>
  <si>
    <t>Perfluoroperhydrofluorene</t>
  </si>
  <si>
    <t xml:space="preserve">  307-08-4</t>
  </si>
  <si>
    <t>2,2,3,3,4,4,5,5,6,6-Decafluoro-1-(trifluoromethyl)piperidine</t>
  </si>
  <si>
    <t xml:space="preserve">  359-71-7</t>
  </si>
  <si>
    <t>Perfluoro(4-isopropyltoluene)</t>
  </si>
  <si>
    <t xml:space="preserve">  20017-49-6</t>
  </si>
  <si>
    <t>Decafluorocyclohexene</t>
  </si>
  <si>
    <t xml:space="preserve">  355-75-9</t>
  </si>
  <si>
    <t>Octafluorocyclopentene</t>
  </si>
  <si>
    <t xml:space="preserve">  559-40-0</t>
  </si>
  <si>
    <t>Hexafluorocyclobutene</t>
  </si>
  <si>
    <t xml:space="preserve">  697-11-0</t>
  </si>
  <si>
    <t>1,2,3,4,5-Pentafluoro-6-(heptadecafluorooctyl)benzene</t>
  </si>
  <si>
    <t xml:space="preserve">  54387-09-6</t>
  </si>
  <si>
    <t>Undecafluorocyclohexane</t>
  </si>
  <si>
    <t xml:space="preserve">  308-24-7</t>
  </si>
  <si>
    <t>2,3,3,3-Tetrafluoro-1-[2,3,5,6-tetrafluoro-4-(1,1,1,2,3,3,3-heptafluoropropan-2-yl)phenyl]-2-(trifluoromethyl)propan-1-one</t>
  </si>
  <si>
    <t xml:space="preserve">  19547-30-9</t>
  </si>
  <si>
    <t>2,2,3,3,4,4,5,5,5-Nonafluoro-1-(pentafluorophenyl)pentan-1-one</t>
  </si>
  <si>
    <t xml:space="preserve">  1610931-27-5</t>
  </si>
  <si>
    <t>2,2,3,3,4,4,4-Heptafluoro-1-(pentafluorophenyl)butan-1-one</t>
  </si>
  <si>
    <t xml:space="preserve">  19108-37-3</t>
  </si>
  <si>
    <t>1,2,3,4-Tetrafluoro-5-(1,1,1,2,3,3,3-heptafluoropropan-2-yl)-6-(trifluoromethyl)benzene</t>
  </si>
  <si>
    <t xml:space="preserve">  112754-12-8</t>
  </si>
  <si>
    <t>1,2,3,4,5-Pentafluoro-6-(1,1,1,2,3,3,3-heptafluoropropan-2-yl)benzene</t>
  </si>
  <si>
    <t xml:space="preserve">  17480-16-9</t>
  </si>
  <si>
    <t>1,2,3,4,5-Pentafluoro-6-(nonafluorobutyl)benzene</t>
  </si>
  <si>
    <t xml:space="preserve">  19108-38-4</t>
  </si>
  <si>
    <t>1,2,3,4,5-Pentafluoro-6-(heptafluoropropyl)benzene</t>
  </si>
  <si>
    <t xml:space="preserve">  54326-26-0</t>
  </si>
  <si>
    <t>2,3,4,5,8-Pentafluoro-8-(1,1,1,2,3,3,3-heptafluoropropan-2-yl)bicyclo[4.2.0]octa-1,3,5-trien-7-one</t>
  </si>
  <si>
    <t xml:space="preserve">  1419865-30-7</t>
  </si>
  <si>
    <t>2,3,4,5,7,7,8-Heptafluoro-8-(1,1,1,2,3,3,3-heptafluoropropan-2-yl)bicyclo[4.2.0]octa-1,3,5-triene</t>
  </si>
  <si>
    <t xml:space="preserve">  103634-36-2</t>
  </si>
  <si>
    <t>1,1,1,2,3,3,4,4,5,5,6,6,7,7,8,8,8-Heptadecafluorooctan-2-yl carbamate</t>
  </si>
  <si>
    <t xml:space="preserve">  92681-65-7</t>
  </si>
  <si>
    <t>2-Amino-3-(perfluoropropyl)-1-phenyl-3-propanol</t>
  </si>
  <si>
    <t xml:space="preserve">  322392-46-1</t>
  </si>
  <si>
    <t>Undecafluoropentan-1-amine</t>
  </si>
  <si>
    <t xml:space="preserve">  134380-80-6</t>
  </si>
  <si>
    <t>4-[(Heptadecafluorooctyl)oxy]benzene-1,3-diamine</t>
  </si>
  <si>
    <t xml:space="preserve">  96573-73-8</t>
  </si>
  <si>
    <t>5-{[1,1,1,4,5,5,5-Heptafluoro-3-(1,1,1,2,3,3,3-heptafluoropropan-2-yl)-4-(trifluoromethyl)pent-2-en-2-yl]oxy}benzene-1,3-diamine</t>
  </si>
  <si>
    <t xml:space="preserve">  138781-42-7</t>
  </si>
  <si>
    <t>1-Amino-3,3,4,4,5,5,6,6,6-nonafluorohexan-2-ol</t>
  </si>
  <si>
    <t xml:space="preserve">  135462-71-4</t>
  </si>
  <si>
    <t>1-Amino-3,3,4,4,5,5,5-heptafluoro-2-pentanol</t>
  </si>
  <si>
    <t xml:space="preserve">  336-53-8</t>
  </si>
  <si>
    <t>4-[(Heptadecafluorooctyl)oxy]benzene-1-sulfonamide</t>
  </si>
  <si>
    <t xml:space="preserve">  89932-76-3</t>
  </si>
  <si>
    <t>p-[[4,4,5,5,5-pentafluoro-3-(pentafluoroethyl)-1,2,3-tris(trifluoromethyl)pent-1-enyl]oxy]-N-[3-(triethoxysilyl)propyl]benzenesulphonamide</t>
  </si>
  <si>
    <t xml:space="preserve">  52026-59-2</t>
  </si>
  <si>
    <t>Perfluoro-2-butyltetrahydrofuran</t>
  </si>
  <si>
    <t xml:space="preserve">  335-36-4</t>
  </si>
  <si>
    <t>Monoperfluorooctyl itaconate</t>
  </si>
  <si>
    <t xml:space="preserve">  230295-05-3</t>
  </si>
  <si>
    <t>3-(Perfluoroisopropyl)-(2E)-difluoropropenoic acid</t>
  </si>
  <si>
    <t xml:space="preserve">  103229-89-6</t>
  </si>
  <si>
    <t>4-[(Heptadecafluorooctyl)oxy]-4-oxobut-2-enoic acid</t>
  </si>
  <si>
    <t xml:space="preserve">  152682-85-4</t>
  </si>
  <si>
    <t>5-{[1,1,1,4,5,5,5-Heptafluoro-3-(1,1,1,2,3,3,3-heptafluoropropan-2-yl)-4-(trifluoromethyl)pent-2-en-2-yl]oxy}benzene-1,3-dicarboxylic acid</t>
  </si>
  <si>
    <t xml:space="preserve">  97220-62-7</t>
  </si>
  <si>
    <t>4-{[1,1,1,4,5,5,5-Heptafluoro-3-(1,1,1,2,3,3,3-heptafluoropropan-2-yl)-4-(trifluoromethyl)pent-2-en-2-yl]oxy}benzoic acid</t>
  </si>
  <si>
    <t xml:space="preserve">  65439-50-1</t>
  </si>
  <si>
    <t>Perfluorotriethylcarbinol</t>
  </si>
  <si>
    <t xml:space="preserve">  6189-00-0</t>
  </si>
  <si>
    <t>1,1,1,3,4,4,4-Heptafluoro-2,3-bis(trifluoromethyl)butan-2-ol</t>
  </si>
  <si>
    <t xml:space="preserve">  16500-37-1</t>
  </si>
  <si>
    <t>3-[(Nonafluorobutyl)sulfanyl]propan-1-ol</t>
  </si>
  <si>
    <t xml:space="preserve">  875628-33-4</t>
  </si>
  <si>
    <t>N,N-Bis(2-hydroxyethyl)-4-(perfluoro(4-ethyl-3,4-dimethylhex-2-en-2-yl)oxy)benzenesulfonamide</t>
  </si>
  <si>
    <t xml:space="preserve">  93819-97-7</t>
  </si>
  <si>
    <t>4-(Perfluorononyl)oxybenzenesulfonate sodium</t>
  </si>
  <si>
    <t xml:space="preserve">  91998-13-9</t>
  </si>
  <si>
    <t>Silver, (6,6,7,7,8,8,8-heptafluoro-2,2-dimethyl-3,5-octanedionato-βO3,βO5)-</t>
  </si>
  <si>
    <t xml:space="preserve">  76121-99-8</t>
  </si>
  <si>
    <t>5-(Perfluoropropyl)-2,2-dimethyl-3,5-pentanedione barium(2+) (2:1)</t>
  </si>
  <si>
    <t xml:space="preserve">  118360-70-6</t>
  </si>
  <si>
    <t>Calcium (3E)-6,6,7,7,8,8,8-heptafluoro-2,2-dimethyl-5-oxooct-3-en-3-olate (3Z)-6,6,7,7,8,8,8-heptafluoro-2,2-dimethyl-5-oxooct-3-en-3-olate (1/1/1)</t>
  </si>
  <si>
    <t xml:space="preserve">  124053-49-2</t>
  </si>
  <si>
    <t>(2S)-2-Pyrrolidinyl-bis(4-(perfluorohexyl)phenyl)methanol</t>
  </si>
  <si>
    <t xml:space="preserve">  1075687-38-5</t>
  </si>
  <si>
    <t>2-C-(Heptafluoropropyl)-α-D-ribofuranose</t>
  </si>
  <si>
    <t xml:space="preserve">  467220-81-1</t>
  </si>
  <si>
    <t>2-C-(Nonafluorobutyl)-β-L-ribofuranose</t>
  </si>
  <si>
    <t xml:space="preserve">  467220-84-4</t>
  </si>
  <si>
    <t>(1R,4R)-3-(Heptafluorobutyryl)-camphor</t>
  </si>
  <si>
    <t xml:space="preserve">  51800-99-8</t>
  </si>
  <si>
    <t>(S)-(Perfluoropropyl)phenylmethanol</t>
  </si>
  <si>
    <t xml:space="preserve">  59153-45-6</t>
  </si>
  <si>
    <t>5-(Nonafluorobutyl)bicyclo[2.2.1]hept-2-ene</t>
  </si>
  <si>
    <t xml:space="preserve">  118777-97-2</t>
  </si>
  <si>
    <t>(Perfluoro-n-octyl)ethane</t>
  </si>
  <si>
    <t xml:space="preserve">  77117-48-7</t>
  </si>
  <si>
    <t>Sodium 2â€[(perfluorooctyl)oxy]benzeneâ€1â€sulfonate</t>
  </si>
  <si>
    <t xml:space="preserve">  41674-07-1</t>
  </si>
  <si>
    <t>4-(Nonafluorobutoxy)butanesulfonic acid ammonium salt</t>
  </si>
  <si>
    <t xml:space="preserve">  484023-69-0</t>
  </si>
  <si>
    <t>1-(1,1,1,2,3,3,3-Heptafluoropropan-2-yl)-3,5-dinitrobenzene</t>
  </si>
  <si>
    <t xml:space="preserve">  24813-57-8</t>
  </si>
  <si>
    <t>1,2,4-Trifluoro-3,5-bis(1,1,1,2,3,3,3-heptafluoropropan-2-yl)-6-nitrobenzene</t>
  </si>
  <si>
    <t xml:space="preserve">  20017-51-0</t>
  </si>
  <si>
    <t>1,2,4,5-Tetrafluoro-3-(1,1,1,2,3,3,3-heptafluoropropan-2-yl)-6-nitrobenzene</t>
  </si>
  <si>
    <t xml:space="preserve">  20017-50-9</t>
  </si>
  <si>
    <t>1,4-Dichloro-2-(1,1,2,3,3,3-hexafluoropropoxy)-5-nitrobenzene</t>
  </si>
  <si>
    <t xml:space="preserve">  130841-23-5</t>
  </si>
  <si>
    <t>2,2,3,3,4,4,4-Heptafluoro-1-(4-nitrophenyl)butan-1-one</t>
  </si>
  <si>
    <t xml:space="preserve">  144459-62-1</t>
  </si>
  <si>
    <t>1-(1,1,1,2,3,3,3-Heptafluoropropan-2-yl)-4-nitrobenzene</t>
  </si>
  <si>
    <t xml:space="preserve">  2396-14-7</t>
  </si>
  <si>
    <t>1-Nitro-4-(nonafluorobutyl)benzene</t>
  </si>
  <si>
    <t xml:space="preserve">  196932-95-3</t>
  </si>
  <si>
    <t>1-(Heptafluoropropyl)-4-nitrobenzene</t>
  </si>
  <si>
    <t xml:space="preserve">  1300746-85-3</t>
  </si>
  <si>
    <t>2-(Heptafluoropropyl)-6-nitro-1H-benzimidazole</t>
  </si>
  <si>
    <t xml:space="preserve">  6826-38-6</t>
  </si>
  <si>
    <t>1-Nitro-3-(undecafluoropentyl)benzene</t>
  </si>
  <si>
    <t xml:space="preserve">  1463530-16-6</t>
  </si>
  <si>
    <t>1-Nitro-3-(nonafluorobutyl)benzene</t>
  </si>
  <si>
    <t xml:space="preserve">  2398-76-7</t>
  </si>
  <si>
    <t>5-(Perfluoropropyl)-2,2-dimethyl-3,5-pentanedione strontium(2+) (2:1)</t>
  </si>
  <si>
    <t xml:space="preserve">  125009-58-7</t>
  </si>
  <si>
    <t>Perfluoroisobutyl methyl ether</t>
  </si>
  <si>
    <t xml:space="preserve">  163702-08-7</t>
  </si>
  <si>
    <t>Ethyl perfluorobutyl ether</t>
  </si>
  <si>
    <t xml:space="preserve">  163702-05-4</t>
  </si>
  <si>
    <t>3-Pentanol, 1,1,1,2,4,5,5,5-octafluoro-2,4-bis(trifluoromethyl)-, compd. with tetrahydrofuran (1:1)</t>
  </si>
  <si>
    <t xml:space="preserve">  6884-92-0</t>
  </si>
  <si>
    <t>1,1,1,3,3,4,4,4-Octafluoro-2-(trifluoromethyl)butan-2-yl 2-methylprop-2-enoate</t>
  </si>
  <si>
    <t xml:space="preserve">  101061-05-6</t>
  </si>
  <si>
    <t>1,1,1,3,3,3-Hexafluoro-2-(trifluoromethyl)propan-2-yl 2-methylprop-2-enoate</t>
  </si>
  <si>
    <t xml:space="preserve">  17526-97-5</t>
  </si>
  <si>
    <t>1,1,1,2,3,3,3-Heptafluoropropan-2-yl 2-methylprop-2-enoate</t>
  </si>
  <si>
    <t xml:space="preserve">  7459-59-8</t>
  </si>
  <si>
    <t>3-[(1,1,1,2,3,3,3-Heptafluoropropan-2-yl)oxy]-2-methylprop-1-ene</t>
  </si>
  <si>
    <t xml:space="preserve">  38471-83-9</t>
  </si>
  <si>
    <t>3-Acetyl-5,5,6,6,7,7,8,8,8-nonafluorooctane-2,4-dione</t>
  </si>
  <si>
    <t xml:space="preserve">  120110-91-0</t>
  </si>
  <si>
    <t>3,3,4,4,5,5,6,6,7,7,8,8,9,9,9-Pentadecafluorononan-2-one</t>
  </si>
  <si>
    <t xml:space="preserve">  754-85-8</t>
  </si>
  <si>
    <t>3,3,4,4,5,5,6,6,7,7,8,8,8-Tridecafluorooctan-2-one</t>
  </si>
  <si>
    <t xml:space="preserve">  80793-21-1</t>
  </si>
  <si>
    <t>Methyl perfluorobutyl ketone</t>
  </si>
  <si>
    <t xml:space="preserve">  678-18-2</t>
  </si>
  <si>
    <t>Methyl heptafluoropropylketone</t>
  </si>
  <si>
    <t xml:space="preserve">  355-17-9</t>
  </si>
  <si>
    <t>1-[4-(Heptafluoropropyl)-1H-pyrrol-3-yl]ethan-1-one</t>
  </si>
  <si>
    <t xml:space="preserve">  121103-97-7</t>
  </si>
  <si>
    <t>1-[4-(1,1,1,2,3,3,3-Heptafluoropropan-2-yl)phenyl]ethan-1-one</t>
  </si>
  <si>
    <t xml:space="preserve">  353273-22-0</t>
  </si>
  <si>
    <t>5,5,6,6,7,7,8,8,9,9,10,10,11,11,12,12,12-Heptadecafluorododecane-2,4-dione</t>
  </si>
  <si>
    <t xml:space="preserve">  203201-14-3</t>
  </si>
  <si>
    <t>(Perfluoroheptanoyl)acetone</t>
  </si>
  <si>
    <t xml:space="preserve">  82822-26-2</t>
  </si>
  <si>
    <t>5,5,6,6,7,7,8,8,9,9,9-Undecafluorononane-2,4-dione</t>
  </si>
  <si>
    <t xml:space="preserve">  75824-01-0</t>
  </si>
  <si>
    <t>(Perfluoro-1-butyl)butane-1,3-dione</t>
  </si>
  <si>
    <t xml:space="preserve">  355-84-0</t>
  </si>
  <si>
    <t>5,5,6,6,7,7,7-heptafluoroheptane-2,4-dione</t>
  </si>
  <si>
    <t xml:space="preserve">  356-30-9</t>
  </si>
  <si>
    <t>Pyrifluquinazon</t>
  </si>
  <si>
    <t xml:space="preserve">  337458-27-2</t>
  </si>
  <si>
    <t>1-Acetyl-3,5-bis(perfluorohexyl)pyrazole</t>
  </si>
  <si>
    <t xml:space="preserve">  231953-34-7</t>
  </si>
  <si>
    <t>N-[4-(Heptafluoropropyl)phenyl]acetamide</t>
  </si>
  <si>
    <t xml:space="preserve">  199530-73-9</t>
  </si>
  <si>
    <t>N-[8-(Heptafluoropropyl)-9H-purin-6-yl]acetamide</t>
  </si>
  <si>
    <t xml:space="preserve">  147916-78-7</t>
  </si>
  <si>
    <t>N-[5-(Heptafluoropropyl)-1,3,4-thiadiazol-2-yl]acetamide</t>
  </si>
  <si>
    <t xml:space="preserve">  356795-59-0</t>
  </si>
  <si>
    <t>2-Methyl-2-trifluoromethylperfluoropentane</t>
  </si>
  <si>
    <t xml:space="preserve">  100645-99-6</t>
  </si>
  <si>
    <t>6,6,7,7,8,8,8-Heptafluoro-2,2-dimethyl-3,4,5-octanetrione 4-(4-nitrophenyl)hydrazone</t>
  </si>
  <si>
    <t xml:space="preserve">  80284-51-1</t>
  </si>
  <si>
    <t>(Heptafluorobutanoyl)pivaloylmethane</t>
  </si>
  <si>
    <t xml:space="preserve">  17587-22-3</t>
  </si>
  <si>
    <t>6-Amino-1,1,1,2,2,3,3-heptafluoro-7,7-dimethyloct-5-en-4-one</t>
  </si>
  <si>
    <t xml:space="preserve">  188838-46-2</t>
  </si>
  <si>
    <t>(1Z,4Z,9Z,12E)-2,10-Di-tert-butyl-4,12-bis(heptafluoropropyl)-1,5,9,13-tetraazacyclohexadeca-1,4,9,12-tetraene</t>
  </si>
  <si>
    <t xml:space="preserve">  925457-51-8</t>
  </si>
  <si>
    <t>5-tert-Butyl-7-(heptafluoropropyl)-2-phenylpyrazolo[1,5-a]pyrimidine</t>
  </si>
  <si>
    <t xml:space="preserve">  346637-99-8</t>
  </si>
  <si>
    <t>7,7,8,8,9,9,9-Heptafluoro-2-methylnon-2-ene-4,6-dione</t>
  </si>
  <si>
    <t xml:space="preserve">  559-99-9</t>
  </si>
  <si>
    <t>1,1,1,2-Tetrafluoro-4-methyl-2-(trifluoromethyl)pentan-3-one</t>
  </si>
  <si>
    <t xml:space="preserve">  62656-72-8</t>
  </si>
  <si>
    <t>4-(1,1,1,2,3,3,3-Heptafluoropropan-2-yl)-2-methyl-3-(2-methylpropane-1-sulfonyl)benzoic acid</t>
  </si>
  <si>
    <t xml:space="preserve">  1355554-54-9</t>
  </si>
  <si>
    <t>4-(1,1,1,2,3,3,3-Heptafluoropropan-2-yl)-2-methyl-3-(2-methylpropane-1-sulfinyl)benzoic acid</t>
  </si>
  <si>
    <t xml:space="preserve">  1355554-32-3</t>
  </si>
  <si>
    <t>4-(1,1,1,2,3,3,3-Heptafluoropropan-2-yl)-2-methyl-3-[(2-methylpropyl)sulfanyl]benzoic acid</t>
  </si>
  <si>
    <t xml:space="preserve">  1355554-12-9</t>
  </si>
  <si>
    <t>4-(1,1,1,2,3,3,3-Heptafluoropropan-2-yl)-2-methyl-3-(propane-2-sulfonyl)benzoic acid</t>
  </si>
  <si>
    <t xml:space="preserve">  1355554-50-5</t>
  </si>
  <si>
    <t>4-(1,1,1,2,3,3,3-Heptafluoropropan-2-yl)-2-methyl-3-(propane-2-sulfinyl)benzoic acid</t>
  </si>
  <si>
    <t xml:space="preserve">  1355554-27-6</t>
  </si>
  <si>
    <t>4-(1,1,1,2,3,3,3-Heptafluoropropan-2-yl)-2-methyl-3-[(propan-2-yl)sulfanyl]benzoic acid</t>
  </si>
  <si>
    <t xml:space="preserve">  1355554-05-0</t>
  </si>
  <si>
    <t>1,1,1,2,2,3,3,4,4-Nonafluoropentane</t>
  </si>
  <si>
    <t xml:space="preserve">  158118-01-5</t>
  </si>
  <si>
    <t>1,1,1,2,2,3,3-heptafluorobutane</t>
  </si>
  <si>
    <t xml:space="preserve">  662-00-0</t>
  </si>
  <si>
    <t>N'-[(2E)-5,5,6,6,7,7,7-Heptafluoro-4-oxohept-2-en-2-yl]-4-nitrobenzohydrazide</t>
  </si>
  <si>
    <t xml:space="preserve">  203201-05-2</t>
  </si>
  <si>
    <t>N'-[(2Z)-5,5,6,6,7,7,8,8,9,9,10,10,11,11,12,12,12-Heptadecafluoro-4-oxododec-2-en-2-yl]benzohydrazide</t>
  </si>
  <si>
    <t xml:space="preserve">  203200-82-2</t>
  </si>
  <si>
    <t>N'-[(2Z)-5,5,6,6,7,7,7-Heptafluoro-4-oxohept-2-en-2-yl]benzohydrazide</t>
  </si>
  <si>
    <t xml:space="preserve">  203200-76-4</t>
  </si>
  <si>
    <t>Acetic acid--4-(heptafluoropropyl)phenol (1/1)</t>
  </si>
  <si>
    <t xml:space="preserve">  61324-27-4</t>
  </si>
  <si>
    <t>1,1,1,2-Tetrafluoro-2-(trifluoromethyl)hex-4-en-3-one</t>
  </si>
  <si>
    <t xml:space="preserve">  184711-88-4</t>
  </si>
  <si>
    <t>(2E)-4,4,5,5,6,6,6-Heptafluorohex-2-ene</t>
  </si>
  <si>
    <t xml:space="preserve">  1081782-31-1</t>
  </si>
  <si>
    <t>1-Propenylperfluoropropane</t>
  </si>
  <si>
    <t xml:space="preserve">  355-95-3</t>
  </si>
  <si>
    <t>(1S,4S)-3-(Heptafluorobutyryl)camphor</t>
  </si>
  <si>
    <t xml:space="preserve">  115224-00-5</t>
  </si>
  <si>
    <t>4,4,5,5-Tetramethyl-2-[5-(tridecafluorohexyl)thiophen-2-yl]-1,3,2-dioxaborolane</t>
  </si>
  <si>
    <t xml:space="preserve">  1338083-27-4</t>
  </si>
  <si>
    <t>3-(Heptafluoropropyl)-5-methyl-4-nitro-1H-pyrazole</t>
  </si>
  <si>
    <t xml:space="preserve">  82633-69-0</t>
  </si>
  <si>
    <t>5-(Heptafluoropropyl)-6-methylpyrimidine-2,4(1H,3H)-dione</t>
  </si>
  <si>
    <t xml:space="preserve">  145663-05-4</t>
  </si>
  <si>
    <t>3,3′-(Perfluoro-1-cyclopentene-1,2-diyl)bis(2,5-dimethylthiophene)</t>
  </si>
  <si>
    <t xml:space="preserve">  190394-25-3</t>
  </si>
  <si>
    <t>3-(Perfluoro-1-hexyl)-5-(methyl)pyrazole</t>
  </si>
  <si>
    <t xml:space="preserve">  129257-23-4</t>
  </si>
  <si>
    <t>3-(Perfluoropentyl)-5-methylpyrazole</t>
  </si>
  <si>
    <t xml:space="preserve">  82633-43-0</t>
  </si>
  <si>
    <t>3-(Heptafluoropropyl)-5-methyl-1H-pyrazole</t>
  </si>
  <si>
    <t xml:space="preserve">  75823-64-2</t>
  </si>
  <si>
    <t>2,2,3,3,4,4,5,5,5-Nonafluoro-1-(4-methylphenyl)pentan-1-one</t>
  </si>
  <si>
    <t xml:space="preserve">  647-60-9</t>
  </si>
  <si>
    <t>2,2,3,3,4,4,4-Heptafluoro-1-(4-methylphenyl)butan-1-one</t>
  </si>
  <si>
    <t xml:space="preserve">  559-92-2</t>
  </si>
  <si>
    <t>4-(Heptafluoroisopropyl)toluene</t>
  </si>
  <si>
    <t xml:space="preserve">  2396-26-1</t>
  </si>
  <si>
    <t>1-Methyl-2-(nonafluorobutyl)benzene</t>
  </si>
  <si>
    <t xml:space="preserve">  93697-09-7</t>
  </si>
  <si>
    <t>6-Methyl-2-(undecafluoropentyl)-1,3-benzoxazole</t>
  </si>
  <si>
    <t xml:space="preserve">  93416-26-3</t>
  </si>
  <si>
    <t>Orthobutyric acid, heptafluoro-, cyclic ester with 2-(hydroxymethyl)-2-methyl-1,3-propanediol (1:1)</t>
  </si>
  <si>
    <t xml:space="preserve">  31185-67-8</t>
  </si>
  <si>
    <t>4-(1,1,1,2,3,3,3-Heptafluoropropan-2-yl)-2-methyl-3-(2-methylpropane-2-sulfonyl)benzoic acid</t>
  </si>
  <si>
    <t xml:space="preserve">  1355554-59-4</t>
  </si>
  <si>
    <t>4-(1,1,1,2,3,3,3-Heptafluoropropan-2-yl)-2-methyl-3-(2-methylpropane-2-sulfinyl)benzoic acid</t>
  </si>
  <si>
    <t xml:space="preserve">  1355554-39-0</t>
  </si>
  <si>
    <t>4-(1,1,1,2,3,3,3-Heptafluoropropan-2-yl)-3-(methanesulfonyl)-2-methylbenzoic acid</t>
  </si>
  <si>
    <t xml:space="preserve">  1355554-41-4</t>
  </si>
  <si>
    <t>4-(1,1,1,2,3,3,3-Heptafluoropropan-2-yl)-3-(methanesulfinyl)-2-methylbenzoic acid</t>
  </si>
  <si>
    <t xml:space="preserve">  1355554-19-6</t>
  </si>
  <si>
    <t>3-(tert-Butylsulfanyl)-4-(1,1,1,2,3,3,3-heptafluoropropan-2-yl)-2-methylbenzoic acid</t>
  </si>
  <si>
    <t xml:space="preserve">  1355554-16-3</t>
  </si>
  <si>
    <t>3-Methyl-2-(nonafluorobutyl)-1H-indole</t>
  </si>
  <si>
    <t xml:space="preserve">  1622133-36-1</t>
  </si>
  <si>
    <t>2-(Heptafluoropropyl)-3-methyl-1H-indole</t>
  </si>
  <si>
    <t xml:space="preserve">  1030606-42-8</t>
  </si>
  <si>
    <t>6-[(4,6-Dimethylpyrimidin-2-yl)sulfanyl]-3-(heptafluoropropyl)[1,2,4]triazolo[4,3-b]pyridazine</t>
  </si>
  <si>
    <t xml:space="preserve">  351346-36-6</t>
  </si>
  <si>
    <t>2-Bromo-4-(1,1,1,2,3,3,3-heptafluoropropan-2-yl)-6-methylaniline</t>
  </si>
  <si>
    <t xml:space="preserve">  1770825-71-2</t>
  </si>
  <si>
    <t>2-Bromo-5-(1,1,1,2,3,3,3-heptafluoropropan-2-yl)-1,3-dimethylbenzene</t>
  </si>
  <si>
    <t xml:space="preserve">  353272-55-6</t>
  </si>
  <si>
    <t>4-(1,1,1,2,3,3,3-Heptafluoropropan-2-yl)-2,6-dimethylbenzaldehyde</t>
  </si>
  <si>
    <t xml:space="preserve">  1771743-29-3</t>
  </si>
  <si>
    <t>4-(1,1,1,2,3,3,3-Heptafluoropropan-2-yl)-2,6-dimethylaniline</t>
  </si>
  <si>
    <t xml:space="preserve">  273735-43-6</t>
  </si>
  <si>
    <t>3-Benzamido-2,6-difluoro-N-[4-(1,1,1,2,3,3,3-heptafluoropropan-2-yl)-2,6-dimethylphenyl]benzamide</t>
  </si>
  <si>
    <t xml:space="preserve">  862133-36-6</t>
  </si>
  <si>
    <t>5-Benzamido-2,4-dibromo-N-[4-(1,1,1,2,3,3,3-heptafluoropropan-2-yl)-2,6-dimethylphenyl]benzamide</t>
  </si>
  <si>
    <t xml:space="preserve">  862133-37-7</t>
  </si>
  <si>
    <t>2,4-Difluoro-N-(2-fluoro-5-{[4-(1,1,1,2,3,3,3-heptafluoropropan-2-yl)-2,6-dimethylphenyl]carbamoyl}phenyl)benzamide</t>
  </si>
  <si>
    <t xml:space="preserve">  862133-29-7</t>
  </si>
  <si>
    <t>2,3,4,5,6-Pentafluoro-N-(3-{[4-(1,1,1,2,3,3,3-heptafluoropropan-2-yl)-2,6-dimethylphenyl]carbamoyl}phenyl)benzamide</t>
  </si>
  <si>
    <t xml:space="preserve">  862130-96-9</t>
  </si>
  <si>
    <t>2,3,6-Trifluoro-N-(3-{[4-(1,1,1,2,3,3,3-heptafluoropropan-2-yl)-2,6-dimethylphenyl]carbamoyl}phenyl)benzamide</t>
  </si>
  <si>
    <t xml:space="preserve">  862130-95-8</t>
  </si>
  <si>
    <t>2,5-Difluoro-N-(3-{[4-(1,1,1,2,3,3,3-heptafluoropropan-2-yl)-2,6-dimethylphenyl]carbamoyl}phenyl)benzamide</t>
  </si>
  <si>
    <t xml:space="preserve">  862130-67-4</t>
  </si>
  <si>
    <t>4-Chloro-N-(3-{[4-(1,1,1,2,3,3,3-heptafluoropropan-2-yl)-2,6-dimethylphenyl]carbamoyl}phenyl)-2-nitrobenzamide</t>
  </si>
  <si>
    <t xml:space="preserve">  862130-91-4</t>
  </si>
  <si>
    <t>3-(4-Chloro-2-nitrobenzamido)-2-fluoro-N-[4-(1,1,1,2,3,3,3-heptafluoropropan-2-yl)-2,6-dimethylphenyl]benzamide</t>
  </si>
  <si>
    <t xml:space="preserve">  862133-18-4</t>
  </si>
  <si>
    <t>2,4-Dichloro-N-(3-{[4-(1,1,1,2,3,3,3-heptafluoropropan-2-yl)-2,6-dimethylphenyl]carbamoyl}phenyl)benzamide</t>
  </si>
  <si>
    <t xml:space="preserve">  862130-69-6</t>
  </si>
  <si>
    <t>4-Chloro-2-fluoro-N-(3-{[4-(1,1,1,2,3,3,3-heptafluoropropan-2-yl)-2,6-dimethylphenyl]carbamoyl}phenyl)benzamide</t>
  </si>
  <si>
    <t xml:space="preserve">  862130-90-3</t>
  </si>
  <si>
    <t>3-(4-Chloro-2-fluorobenzamido)-2-fluoro-N-[4-(1,1,1,2,3,3,3-heptafluoropropan-2-yl)-2,6-dimethylphenyl]benzamide</t>
  </si>
  <si>
    <t xml:space="preserve">  862133-16-2</t>
  </si>
  <si>
    <t>2-Fluoro-3-(4-fluoro-2-nitrobenzamido)-N-[4-(1,1,1,2,3,3,3-heptafluoropropan-2-yl)-2,6-dimethylphenyl]benzamide</t>
  </si>
  <si>
    <t xml:space="preserve">  862133-14-0</t>
  </si>
  <si>
    <t>2-Chloro-4-fluoro-N-(3-{[4-(1,1,1,2,3,3,3-heptafluoropropan-2-yl)-2,6-dimethylphenyl]carbamoyl}phenyl)benzamide</t>
  </si>
  <si>
    <t xml:space="preserve">  862130-87-8</t>
  </si>
  <si>
    <t>3-(2-Chloro-4-fluorobenzamido)-2-fluoro-N-[4-(1,1,1,2,3,3,3-heptafluoropropan-2-yl)-2,6-dimethylphenyl]benzamide</t>
  </si>
  <si>
    <t xml:space="preserve">  862133-15-1</t>
  </si>
  <si>
    <t>2,4-Difluoro-N-(3-{[4-(1,1,1,2,3,3,3-heptafluoropropan-2-yl)-2,6-dimethylphenyl]carbamoyl}phenyl)benzamide</t>
  </si>
  <si>
    <t xml:space="preserve">  862130-66-3</t>
  </si>
  <si>
    <t>4-(1,1,1,2,3,3,3-Heptafluoropropan-2-yl)-2-methyl-1-nitrobenzene</t>
  </si>
  <si>
    <t xml:space="preserve">  238098-38-9</t>
  </si>
  <si>
    <t>1-Bromo-4-(1,1,1,2,3,3,3-heptafluoropropan-2-yl)-2-methylbenzene</t>
  </si>
  <si>
    <t xml:space="preserve">  353272-53-4</t>
  </si>
  <si>
    <t>2-[4-(1,1,1,2,3,3,3-Heptafluoropropan-2-yl)-2-methylphenyl]-4-iodo-1H-isoindole-1,3(2H)-dione</t>
  </si>
  <si>
    <t xml:space="preserve">  346575-66-4</t>
  </si>
  <si>
    <t>Flubendiamide</t>
  </si>
  <si>
    <t xml:space="preserve">  272451-65-7</t>
  </si>
  <si>
    <t>N-(2-Methylsulfinyl-1,1-dimethyl-ethyl)-N'-{2-methyl-4-[perfluoroisopropyl]phenyl}phthalamide</t>
  </si>
  <si>
    <t xml:space="preserve">  371771-07-2</t>
  </si>
  <si>
    <t>4-(Heptafluoropropyl)-7,8-dimethyl-1,3-dihydro-2H-1,5-benzodiazepin-2-one</t>
  </si>
  <si>
    <t xml:space="preserve">  505063-74-1</t>
  </si>
  <si>
    <t>2-(1,1,1,2,3,3,3-Heptafluoropropan-2-yl)-5-methylcyclohexan-1-ol</t>
  </si>
  <si>
    <t xml:space="preserve">  52450-55-2</t>
  </si>
  <si>
    <t>1,4-Dimethyl-2-(tridecafluorohexyl)benzene</t>
  </si>
  <si>
    <t xml:space="preserve">  123524-58-3</t>
  </si>
  <si>
    <t>1-(Heptadecafluorooctyl)-4-methylbenzene</t>
  </si>
  <si>
    <t xml:space="preserve">  82396-51-8</t>
  </si>
  <si>
    <t>1-Methyl-4-(tridecafluorohexyl)benzene</t>
  </si>
  <si>
    <t xml:space="preserve">  128720-26-3</t>
  </si>
  <si>
    <t>1-(1,1,1,2,3,3,3-Heptafluoropropan-2-yl)-2-methylbenzene</t>
  </si>
  <si>
    <t xml:space="preserve">  51114-10-4</t>
  </si>
  <si>
    <t>1-(Heptafluoropropyl)-4-methylisoquinoline</t>
  </si>
  <si>
    <t xml:space="preserve">  70414-16-3</t>
  </si>
  <si>
    <t>3-(Heptafluoropropyl)-5-methyl-1H-pyrrole-2-carbaldehyde</t>
  </si>
  <si>
    <t xml:space="preserve">  123825-55-8</t>
  </si>
  <si>
    <t>5-(Heptafluoropropyl)-1-methylisoquinoline</t>
  </si>
  <si>
    <t xml:space="preserve">  28439-77-2</t>
  </si>
  <si>
    <t>4-Bromo-3-(heptafluoropropyl)-5-methyl-1H-pyrazole</t>
  </si>
  <si>
    <t xml:space="preserve">  82633-48-5</t>
  </si>
  <si>
    <t>Ethyl perfluoropentanyl ketone</t>
  </si>
  <si>
    <t xml:space="preserve">  383177-55-7</t>
  </si>
  <si>
    <t>1,1,1,2,2,3,3-Heptafluoro-4,4-bis(trifluoromethyl)hexane</t>
  </si>
  <si>
    <t xml:space="preserve">  100646-00-2</t>
  </si>
  <si>
    <t>Hexanamide, 6-[2,4-bis(1,1-dimethylpropyl)phenoxy]-N-[3-hydroxy-4-[(octafluoro-1-oxopentyl)amino]phenyl]- (9CI)</t>
  </si>
  <si>
    <t xml:space="preserve">  97331-50-5</t>
  </si>
  <si>
    <t>3-(Butane-2-sulfonyl)-4-(1,1,1,2,3,3,3-heptafluoropropan-2-yl)-2-methylbenzoic acid</t>
  </si>
  <si>
    <t xml:space="preserve">  1355554-57-2</t>
  </si>
  <si>
    <t>3-(Butane-2-sulfonyl)-2-ethyl-4-(1,1,1,2,3,3,3-heptafluoropropan-2-yl)benzoic acid</t>
  </si>
  <si>
    <t xml:space="preserve">  1355555-25-7</t>
  </si>
  <si>
    <t>3-(Butane-2-sulfinyl)-4-(1,1,1,2,3,3,3-heptafluoropropan-2-yl)-2-methylbenzoic acid</t>
  </si>
  <si>
    <t xml:space="preserve">  1355554-34-5</t>
  </si>
  <si>
    <t>3-(Butane-2-sulfinyl)-2-ethyl-4-(1,1,1,2,3,3,3-heptafluoropropan-2-yl)benzoic acid</t>
  </si>
  <si>
    <t xml:space="preserve">  1355555-01-9</t>
  </si>
  <si>
    <t>3-[(Butan-2-yl)sulfanyl]-4-(1,1,1,2,3,3,3-heptafluoropropan-2-yl)-2-methylbenzoic acid</t>
  </si>
  <si>
    <t xml:space="preserve">  1355554-14-1</t>
  </si>
  <si>
    <t>3-[(Butan-2-yl)sulfanyl]-2-ethyl-4-(1,1,1,2,3,3,3-heptafluoropropan-2-yl)benzoic acid</t>
  </si>
  <si>
    <t xml:space="preserve">  1355554-79-8</t>
  </si>
  <si>
    <t>7-Ethyl-1,1,1,2,2,3,3-heptafluorononane-4,6-dione</t>
  </si>
  <si>
    <t xml:space="preserve">  80284-42-0</t>
  </si>
  <si>
    <t>1,1,1,2,2,3,3,4,4,5,5,6,6,7,7,8,8,9,9,10,10,11,11,12,12-Pentacosafluorotetradecane</t>
  </si>
  <si>
    <t xml:space="preserve">  89109-68-2</t>
  </si>
  <si>
    <t>1,1,1,2,2,3,3,4,4,5,5,6,6,7,7,8,8,9,9,10,10-Henicosafluorododecane</t>
  </si>
  <si>
    <t xml:space="preserve">  154478-87-2</t>
  </si>
  <si>
    <t>1-(Perfluorohexyl)ethane</t>
  </si>
  <si>
    <t xml:space="preserve">  80793-17-5</t>
  </si>
  <si>
    <t>1,1,1,2,2,3,3,4,4,5,5-Undecafluoroheptane</t>
  </si>
  <si>
    <t xml:space="preserve">  503189-10-4</t>
  </si>
  <si>
    <t>1,1,1,2,2,3,3,4,4-Nonafluorohexane</t>
  </si>
  <si>
    <t xml:space="preserve">  38436-17-8</t>
  </si>
  <si>
    <t>Orthobutyric acid, heptafluoro-, cyclic ester with 2-ethyl-2-(hydroxymethyl)-1,3-propanediol (1:1)</t>
  </si>
  <si>
    <t xml:space="preserve">  31185-68-9</t>
  </si>
  <si>
    <t>2-Ethyl-4-(1,1,1,2,3,3,3-heptafluoropropan-2-yl)-3-(2-methylpropane-2-sulfonyl)benzoic acid</t>
  </si>
  <si>
    <t xml:space="preserve">  1355555-26-8</t>
  </si>
  <si>
    <t>2-Ethyl-4-(1,1,1,2,3,3,3-heptafluoropropan-2-yl)-3-(propane-2-sulfonyl)benzoic acid</t>
  </si>
  <si>
    <t xml:space="preserve">  1355555-15-5</t>
  </si>
  <si>
    <t>2-Ethyl-4-(1,1,1,2,3,3,3-heptafluoropropan-2-yl)-3-(2-methylpropane-1-sulfonyl)benzoic acid</t>
  </si>
  <si>
    <t xml:space="preserve">  1355555-21-3</t>
  </si>
  <si>
    <t>3-(Ethanesulfonyl)-2-ethyl-4-(1,1,1,2,3,3,3-heptafluoropropan-2-yl)benzoic acid</t>
  </si>
  <si>
    <t xml:space="preserve">  1355555-11-1</t>
  </si>
  <si>
    <t>2-Ethyl-4-(1,1,1,2,3,3,3-heptafluoropropan-2-yl)-3-(2-methylpropane-2-sulfinyl)benzoic acid</t>
  </si>
  <si>
    <t xml:space="preserve">  1355555-05-3</t>
  </si>
  <si>
    <t>2-Ethyl-4-(1,1,1,2,3,3,3-heptafluoropropan-2-yl)-3-(propane-2-sulfinyl)benzoic acid</t>
  </si>
  <si>
    <t xml:space="preserve">  1355554-94-7</t>
  </si>
  <si>
    <t>2-Ethyl-4-(1,1,1,2,3,3,3-heptafluoropropan-2-yl)-3-(2-methylpropane-1-sulfinyl)benzoic acid</t>
  </si>
  <si>
    <t xml:space="preserve">  1355554-99-2</t>
  </si>
  <si>
    <t>3-(Ethanesulfinyl)-2-ethyl-4-(1,1,1,2,3,3,3-heptafluoropropan-2-yl)benzoic acid</t>
  </si>
  <si>
    <t xml:space="preserve">  1355554-87-8</t>
  </si>
  <si>
    <t>2-Ethyl-4-(1,1,1,2,3,3,3-heptafluoropropan-2-yl)-3-(methanesulfonyl)benzoic acid</t>
  </si>
  <si>
    <t xml:space="preserve">  1355555-09-7</t>
  </si>
  <si>
    <t>2-Ethyl-4-(1,1,1,2,3,3,3-heptafluoropropan-2-yl)-3-(methanesulfinyl)benzoic acid</t>
  </si>
  <si>
    <t xml:space="preserve">  1355554-84-5</t>
  </si>
  <si>
    <t>2-Ethyl-4-(1,1,1,2,3,3,3-heptafluoropropan-2-yl)-3-[(propan-2-yl)sulfanyl]benzoic acid</t>
  </si>
  <si>
    <t xml:space="preserve">  1355554-70-9</t>
  </si>
  <si>
    <t>2-Ethyl-4-(1,1,1,2,3,3,3-heptafluoropropan-2-yl)-3-[(2-methylpropyl)sulfanyl]benzoic acid</t>
  </si>
  <si>
    <t xml:space="preserve">  1355554-74-3</t>
  </si>
  <si>
    <t>3-(tert-Butylsulfanyl)-2-ethyl-4-(1,1,1,2,3,3,3-heptafluoropropan-2-yl)benzoic acid</t>
  </si>
  <si>
    <t xml:space="preserve">  1355554-81-2</t>
  </si>
  <si>
    <t>2-Ethyl-4-(1,1,1,2,3,3,3-heptafluoropropan-2-yl)-3-(methylsulfanyl)benzoic acid</t>
  </si>
  <si>
    <t xml:space="preserve">  1355554-62-9</t>
  </si>
  <si>
    <t>2-Chloro-6-ethyl-4-(1,1,1,2,3,3,3-heptafluoropropan-2-yl)aniline</t>
  </si>
  <si>
    <t xml:space="preserve">  1630969-89-9</t>
  </si>
  <si>
    <t>2-Ethyl-4-(1,1,1,2,3,3,3-heptafluoropropan-2-yl)aniline</t>
  </si>
  <si>
    <t xml:space="preserve">  273735-34-5</t>
  </si>
  <si>
    <t>1,1,1,2,2,3,3-Heptafluoroheptan-4-one</t>
  </si>
  <si>
    <t xml:space="preserve">  425-22-9</t>
  </si>
  <si>
    <t>1,1,1,2,2,3,3,4,4,5,5,6,6,7,7,8,8,9,9,10,10-Henicosafluorotridecane</t>
  </si>
  <si>
    <t xml:space="preserve">  1835251-22-3</t>
  </si>
  <si>
    <t>1,1,1,2,2,3,3,4,4,5,5,6,6,7,7,8,8-Heptadecafluoroundecane</t>
  </si>
  <si>
    <t xml:space="preserve">  1835250-28-6</t>
  </si>
  <si>
    <t>1,1,1,2,2,3,3,4,4,5,5-Undecafluorooctane</t>
  </si>
  <si>
    <t xml:space="preserve">  1645298-12-9</t>
  </si>
  <si>
    <t>1,1,1,2,2,3,3,4,4-Nonafluoroheptane</t>
  </si>
  <si>
    <t xml:space="preserve">  154381-51-8</t>
  </si>
  <si>
    <t>1,1,1,2,2,3,3-Heptafluorohexane</t>
  </si>
  <si>
    <t xml:space="preserve">  678-98-8</t>
  </si>
  <si>
    <t>1,1,1,2,2,3,3,4,4,5,5,6,6,7,7,8,8,9,9,10,10,11,11,12,12-Pentacosafluorohexadecane</t>
  </si>
  <si>
    <t xml:space="preserve">  89109-69-3</t>
  </si>
  <si>
    <t>1,1,1,2,2,3,3,4,4,5,5,6,6,7,7,8,8,9,9,10,10-Henicosafluorotetradecane</t>
  </si>
  <si>
    <t xml:space="preserve">  1244062-17-6</t>
  </si>
  <si>
    <t>1,1,1,2,2,3,3,4,4,5,5,6,6,7,7,8,8-Heptadecafluorododecane</t>
  </si>
  <si>
    <t xml:space="preserve">  182130-12-7</t>
  </si>
  <si>
    <t>1,1,1,2,2,3,3,4,4,5,5,6,6-Tridecafluorodecane</t>
  </si>
  <si>
    <t xml:space="preserve">  154478-86-1</t>
  </si>
  <si>
    <t>1,1,1,2,2,3,3,4,4-Nonafluorooctane</t>
  </si>
  <si>
    <t xml:space="preserve">  253342-14-2</t>
  </si>
  <si>
    <t>1,1,1,2,2,3,3-Heptafluoroheptane</t>
  </si>
  <si>
    <t xml:space="preserve">  152076-35-2</t>
  </si>
  <si>
    <t>Hexanamide, 2-[2,4-bis(1,1-dimethylpropyl)phenoxy]-N-[3-hydroxy-4-[(octafluoro-1-oxopentyl)amino]phenyl]- (9CI)</t>
  </si>
  <si>
    <t xml:space="preserve">  83003-52-5</t>
  </si>
  <si>
    <t>1,1,1,2,2,3,3,4,4,5,5,6,6,7,7,8,8,9,9,10,10-Henicosafluoropentadecane</t>
  </si>
  <si>
    <t xml:space="preserve">  250738-42-2</t>
  </si>
  <si>
    <t>1,1,1,2,2,3,3,4,4,5,5,6,6,7,7,8,8-Heptadecafluorotridecane</t>
  </si>
  <si>
    <t xml:space="preserve">  1835250-47-9</t>
  </si>
  <si>
    <t>1,1,1,2,2,3,3,4,4,5,5,6,6-Tridecafluoroundecane</t>
  </si>
  <si>
    <t xml:space="preserve">  1287702-48-0</t>
  </si>
  <si>
    <t>1,1,1,2,2,3,3,4,4,5,5-Undecafluorodecane</t>
  </si>
  <si>
    <t xml:space="preserve">  1287702-46-8</t>
  </si>
  <si>
    <t>1,1,1,2,2,3,3,4,4-Nonafluorononane</t>
  </si>
  <si>
    <t xml:space="preserve">  1190430-21-7</t>
  </si>
  <si>
    <t>1,1,1,2,2,3,3-Heptafluorooctane</t>
  </si>
  <si>
    <t xml:space="preserve">  2708-54-5</t>
  </si>
  <si>
    <t>5-Pentyl-2-[4-(tridecafluorohexyl)phenyl]pyridine</t>
  </si>
  <si>
    <t xml:space="preserve">  139030-54-9</t>
  </si>
  <si>
    <t>1,1,1,2,2,3,3,4,4,5,5,6,6,7,7,8,8,9,9,10,10,11,11,12,12-Pentacosafluorooctadecane</t>
  </si>
  <si>
    <t xml:space="preserve">  89109-70-6</t>
  </si>
  <si>
    <t>1,1,1,2,2,3,3,4,4,5,5,6,6,7,7,8,8,9,9,10,10-Henicosafluorohexadecane</t>
  </si>
  <si>
    <t xml:space="preserve">  116177-54-9</t>
  </si>
  <si>
    <t>1,1,1,2,2,3,3,4,4,5,5,6,6,7,7,8,8-Heptadecafluorotetradecane</t>
  </si>
  <si>
    <t xml:space="preserve">  182130-14-9</t>
  </si>
  <si>
    <t>1,1,1,2,2,3,3,4,4,5,5,6,6,7,7-Pentadecafluorotridecane</t>
  </si>
  <si>
    <t xml:space="preserve">  169331-74-2</t>
  </si>
  <si>
    <t>1,1,1,2,2,3,3,4,4,5,5,6,6-Tridecafluorododecane</t>
  </si>
  <si>
    <t xml:space="preserve">  69125-80-0</t>
  </si>
  <si>
    <t>1,1,1,2,2,3,3,4,4,5,5-Undecafluoroundecane</t>
  </si>
  <si>
    <t xml:space="preserve">  1287702-50-4</t>
  </si>
  <si>
    <t>1,1,1,2,2,3,3,4,4-Nonafluorodecane</t>
  </si>
  <si>
    <t xml:space="preserve">  1190430-19-3</t>
  </si>
  <si>
    <t>1,1,1,2,2,3,3-Heptafluorononane</t>
  </si>
  <si>
    <t xml:space="preserve">  755-89-5</t>
  </si>
  <si>
    <t>1,1,1,2,2,3,3,4,4,5,5,6,6,7,7,8,8,9,9,10,10-Henicosafluoroheptadecane</t>
  </si>
  <si>
    <t xml:space="preserve">  200817-54-5</t>
  </si>
  <si>
    <t>1,1,1,2,2,3,3,4,4,5,5,6,6,7,7,8,8-Heptadecafluoropentadecane</t>
  </si>
  <si>
    <t xml:space="preserve">  182130-15-0</t>
  </si>
  <si>
    <t>1,1,1,2,2,3,3,4,4,5,5,6,6,7,7-Pentadecafluorotetradecane</t>
  </si>
  <si>
    <t xml:space="preserve">  38787-57-4</t>
  </si>
  <si>
    <t>1,1,1,2,2,3,3,4,4,5,5,6,6-Tridecafluorotridecane</t>
  </si>
  <si>
    <t xml:space="preserve">  1835249-87-0</t>
  </si>
  <si>
    <t>1,1,1,2,2,3,3,4,4-Nonafluoroundecane</t>
  </si>
  <si>
    <t xml:space="preserve">  1190430-22-8</t>
  </si>
  <si>
    <t>1,1,1,2,2,3,3,4,4,5,5,6,6,7,7,8,8,9,9,10,10,11,11,12,12-Pentacosafluoroicosane</t>
  </si>
  <si>
    <t xml:space="preserve">  90499-31-3</t>
  </si>
  <si>
    <t>1,1,1,2,2,3,3,4,4,5,5,6,6,7,7,8,8,9,9,10,10-Henicosafluorooctadecane</t>
  </si>
  <si>
    <t xml:space="preserve">  93454-70-7</t>
  </si>
  <si>
    <t>1,1,1,2,2,3,3,4,4-Nonafluorododecane</t>
  </si>
  <si>
    <t xml:space="preserve">  69125-79-7</t>
  </si>
  <si>
    <t>1,1,1,2,2,3,3-Heptafluoroundecane</t>
  </si>
  <si>
    <t xml:space="preserve">  1190430-20-6</t>
  </si>
  <si>
    <t>1,1,1,2,2,3,3,4,4,5,5,6,6,7,7,8,8,9,9,10,10,11,11,12,12,13,13-Heptacosafluorodocosane</t>
  </si>
  <si>
    <t xml:space="preserve">  1309378-06-0</t>
  </si>
  <si>
    <t>1,1,1,2,2,3,3,4,4,5,5,6,6,7,7,8,8,9,9,10,10,11,11,12,12-Pentacosafluorohenicosane</t>
  </si>
  <si>
    <t xml:space="preserve">  677324-30-0</t>
  </si>
  <si>
    <t>1,1,1,2,2,3,3,4,4,5,5,6,6,7,7,8,8,9,9,10,10-Henicosafluorononadecane</t>
  </si>
  <si>
    <t xml:space="preserve">  125635-85-0</t>
  </si>
  <si>
    <t>1,1,1,2,2,3,3,4,4,5,5,6,6,7,7,8,8,9,9-Nonadecafluorooctadecane</t>
  </si>
  <si>
    <t xml:space="preserve">  1287702-47-9</t>
  </si>
  <si>
    <t>1,1,1,2,2,3,3,4,4,5,5,6,6,7,7,8,8-Heptadecafluoroheptadecane</t>
  </si>
  <si>
    <t xml:space="preserve">  931415-52-0</t>
  </si>
  <si>
    <t>1,1,1,2,2,3,3,4,4,5,5,6,6-Tridecafluoropentadecane</t>
  </si>
  <si>
    <t xml:space="preserve">  113659-13-5</t>
  </si>
  <si>
    <t>1,1,1,2,2,3,3,4,4-Nonafluorotridecane</t>
  </si>
  <si>
    <t xml:space="preserve">  234433-63-7</t>
  </si>
  <si>
    <t>1,1,1,2,2,3,3-Heptafluorododecane</t>
  </si>
  <si>
    <t xml:space="preserve">  69125-78-6</t>
  </si>
  <si>
    <t>1,1,1,2,2,3,3,4,4,5,5,6,6,7,7,8,8,9,9,10,10,11,11,12,12-Pentacosafluorodocosane</t>
  </si>
  <si>
    <t xml:space="preserve">  93454-72-9</t>
  </si>
  <si>
    <t>1,1,1,2,2,3,3,4,4,5,5,6,6,7,7,8,8,9,9,10,10-Henicosafluoroicosane</t>
  </si>
  <si>
    <t xml:space="preserve">  90499-29-9</t>
  </si>
  <si>
    <t>1-(Perfluoro-n-octyl)decane</t>
  </si>
  <si>
    <t xml:space="preserve">  138472-76-1</t>
  </si>
  <si>
    <t>1,1,1,2,2,3,3,4,4,5,5,6,6--Tridecafluorohexadecane</t>
  </si>
  <si>
    <t xml:space="preserve">  147492-59-9</t>
  </si>
  <si>
    <t>1,1,1,2,2,3,3,4,4-Nonafluorotetradecane</t>
  </si>
  <si>
    <t xml:space="preserve">  214196-02-8</t>
  </si>
  <si>
    <t>1,1,1,2,2,3,3,4,4,5,5,6,6,7,7,8,8,9,9,10,10,11,11,12,12-Pentacosafluorotricosane</t>
  </si>
  <si>
    <t xml:space="preserve">  677324-31-1</t>
  </si>
  <si>
    <t>1,1,1,2,2,3,3,4,4,5,5,6,6,7,7,8,8,9,9,10,10-Henicosafluorohenicosane</t>
  </si>
  <si>
    <t xml:space="preserve">  125635-86-1</t>
  </si>
  <si>
    <t>1,1,1,2,2,3,3,4,4,5,5,6,6,7,7,8,8-Heptadecafluorononadecane</t>
  </si>
  <si>
    <t xml:space="preserve">  931415-53-1</t>
  </si>
  <si>
    <t>1,1,1,2,2,3,3,4,4,5,5,6,6,7,7,8,8,9,9,10,10,11,11,12,12,13,13-Heptacosafluoropentacosane</t>
  </si>
  <si>
    <t xml:space="preserve">  677324-22-0</t>
  </si>
  <si>
    <t>1,1,1,2,2,3,3,4,4,5,5,6,6,7,7,8,8,9,9,10,10,11,11,12,12-Pentacosafluorotetracosane</t>
  </si>
  <si>
    <t xml:space="preserve">  89109-71-7</t>
  </si>
  <si>
    <t>1,1,1,2,2,3,3,4,4,5,5,6,6,7,7,8,8,9,9,10,10,11,11-Tricosafluorotricosane</t>
  </si>
  <si>
    <t xml:space="preserve">  677324-21-9</t>
  </si>
  <si>
    <t>1,1,1,2,2,3,3,4,4,5,5,6,6,7,7,8,8,9,9,10,10-Henicosafluorodocosane</t>
  </si>
  <si>
    <t xml:space="preserve">  93454-71-8</t>
  </si>
  <si>
    <t>1,1,1,2,2,3,3,4,4,5,5,6,6,7,7,8,8,9,9-Nonadecafluorohenicosane</t>
  </si>
  <si>
    <t xml:space="preserve">  677324-20-8</t>
  </si>
  <si>
    <t>1-(Perfluoro-n-octyl)dodecane</t>
  </si>
  <si>
    <t xml:space="preserve">  106873-67-0</t>
  </si>
  <si>
    <t>1,1,1,2,2,3,3,4,4,5,5,6,6,7,7-Pentadecafluorononadecane</t>
  </si>
  <si>
    <t xml:space="preserve">  109856-51-1</t>
  </si>
  <si>
    <t>1-(Perfluoro-n-hexyl)dodecane</t>
  </si>
  <si>
    <t xml:space="preserve">  90499-30-2</t>
  </si>
  <si>
    <t>1,1,1,2,2,3,3,4,4-Nonafluorohexadecane</t>
  </si>
  <si>
    <t xml:space="preserve">  106873-68-1</t>
  </si>
  <si>
    <t>1,1,1,2,2,3,3-Heptafluoropentadecane</t>
  </si>
  <si>
    <t xml:space="preserve">  106873-69-2</t>
  </si>
  <si>
    <t>1,1,1,2,2,3,3,4,4,5,5,6,6,7,7,8,8,9,9,10,10,11,11,12,12-Pentacosafluoropentacosane</t>
  </si>
  <si>
    <t xml:space="preserve">  116177-47-0</t>
  </si>
  <si>
    <t>1,1,1,2,2,3,3,4,4,5,5,6,6,7,7,8,8,9,9,10,10-Henicosafluorotricosane</t>
  </si>
  <si>
    <t xml:space="preserve">  200817-55-6</t>
  </si>
  <si>
    <t>1,1,1,2,2,3,3,4,4,5,5,6,6,7,7,8,8-Heptadecafluorohenicosane</t>
  </si>
  <si>
    <t xml:space="preserve">  871311-23-8</t>
  </si>
  <si>
    <t>1,1,1,2,2,3,3,4,4,5,5,6,6,7,7,8,8,9,9,10,10,11,11,12,12-Pentacosafluorohexacosane</t>
  </si>
  <si>
    <t xml:space="preserve">  93454-73-0</t>
  </si>
  <si>
    <t>1,1,1,2,2,3,3,4,4,5,5,6,6,7,7,8,8,9,9,10,10-Henicosafluorotetracosane</t>
  </si>
  <si>
    <t xml:space="preserve">  200817-56-7</t>
  </si>
  <si>
    <t>1-(Perfluoro-n-octyl)tetradecane</t>
  </si>
  <si>
    <t xml:space="preserve">  133310-72-2</t>
  </si>
  <si>
    <t>1,1,1,2,2,3,3,4,4,5,5,6,6-Tridecafluoroicosane</t>
  </si>
  <si>
    <t xml:space="preserve">  154628-00-9</t>
  </si>
  <si>
    <t>1,1,1,2,2,3,3,4,4-Nonafluorooctadecane</t>
  </si>
  <si>
    <t xml:space="preserve">  133310-68-6</t>
  </si>
  <si>
    <t>1,1,1,2,2,3,3,4,4,5,5,6,6,7,7,8,8,9,9,10,10,11,11,12,12-Pentacosafluoroheptacosane</t>
  </si>
  <si>
    <t xml:space="preserve">  116177-48-1</t>
  </si>
  <si>
    <t>1,1,1,2,2,3,3,4,4,5,5,6,6,7,7,8,8,9,9,10,10-Henicosafluoropentacosane</t>
  </si>
  <si>
    <t xml:space="preserve">  250738-43-3</t>
  </si>
  <si>
    <t>1,1,1,2,2,3,3,4,4,5,5,6,6,7,7,8,8,9,9-Nonadecafluorotetracosane</t>
  </si>
  <si>
    <t xml:space="preserve">  113659-16-8</t>
  </si>
  <si>
    <t>1,1,1,2,2,3,3,4,4,5,5,6,6,7,7,8,8-Heptadecafluorotricosane</t>
  </si>
  <si>
    <t xml:space="preserve">  871311-24-9</t>
  </si>
  <si>
    <t>1-(Perfluoro-n-octyl)hexadecane</t>
  </si>
  <si>
    <t xml:space="preserve">  117146-18-6</t>
  </si>
  <si>
    <t>1,1,1,2,2,3,3,4,4,5,5,6,6,7,7,8,8,9,9,10,10,11,11,12,12,13,13,14,14-Nonacosafluorotriacontane</t>
  </si>
  <si>
    <t xml:space="preserve">  1228093-93-3</t>
  </si>
  <si>
    <t>1,1,1,2,2,3,3,4,4,5,5,6,6,7,7,8,8,9,9,10,10,11,11,12,12-Pentacosafluorooctacosane</t>
  </si>
  <si>
    <t xml:space="preserve">  93454-74-1</t>
  </si>
  <si>
    <t>1,1,1,2,2,3,3,4,4,5,5,6,6,7,7,8,8,9,9,10,10,11,11-Tricosafluoroheptacosane</t>
  </si>
  <si>
    <t xml:space="preserve">  1980054-34-9</t>
  </si>
  <si>
    <t>1,1,1,2,2,3,3,4,4,5,5,6,6,7,7,8,8,9,9,10,10-Henicosafluorohexacosane</t>
  </si>
  <si>
    <t xml:space="preserve">  167641-85-2</t>
  </si>
  <si>
    <t>1,1,1,2,2,3,3,4,4,5,5,6,6,7,7-Pentadecafluorotricosane</t>
  </si>
  <si>
    <t xml:space="preserve">  57325-44-7</t>
  </si>
  <si>
    <t>1-(Perfluorohexyl)hexadecane</t>
  </si>
  <si>
    <t xml:space="preserve">  133310-71-1</t>
  </si>
  <si>
    <t>1,1,1,2,2,3,3,4,4-Nonafluoroicosane</t>
  </si>
  <si>
    <t xml:space="preserve">  133310-69-7</t>
  </si>
  <si>
    <t>1,1,1,2,2,3,3,4,4,5,5,6,6,7,7,8,8,9,9,10,10,11,11,12,12-Pentacosafluorononacosane</t>
  </si>
  <si>
    <t xml:space="preserve">  677324-32-2</t>
  </si>
  <si>
    <t>1,1,1,2,2,3,3,4,4,5,5,6,6,7,7,8,8,9,9,10,10-Henicosafluoroheptacosane</t>
  </si>
  <si>
    <t xml:space="preserve">  250738-44-4</t>
  </si>
  <si>
    <t>1,1,1,2,2,3,3,4,4,5,5,6,6,7,7,8,8-Heptadecafluoropentacosane</t>
  </si>
  <si>
    <t xml:space="preserve">  871311-25-0</t>
  </si>
  <si>
    <t>1,1,1,2,2,3,3,4,4,5,5,6,6-Tridecafluorotricosane</t>
  </si>
  <si>
    <t xml:space="preserve">  863126-43-6</t>
  </si>
  <si>
    <t>1,1,1,2,2,3,3,4,4,5,5,6,6,7,7,8,8,9,9,10,10,11,11,12,12-Pentacosafluorotriacontane</t>
  </si>
  <si>
    <t xml:space="preserve">  93454-75-2</t>
  </si>
  <si>
    <t>1,1,1,2,2,3,3,4,4,5,5,6,6,7,7,8,8,9,9,10,10-Henicosafluorooctacosane</t>
  </si>
  <si>
    <t xml:space="preserve">  250738-45-5</t>
  </si>
  <si>
    <t>1,1,1,2,2,3,3,4,4,5,5,6,6,7,7,8,8,9,9-Nonadecafluoroheptacosane</t>
  </si>
  <si>
    <t xml:space="preserve">  117948-74-0</t>
  </si>
  <si>
    <t>1,1,1,2,2,3,3,4,4,5,5,6,6,7,7,8,8-Heptadecafluorohexacosane</t>
  </si>
  <si>
    <t xml:space="preserve">  133310-73-3</t>
  </si>
  <si>
    <t>1,1,1,2,2,3,3,4,4,5,5,6,6-Tridecafluorotetracosane</t>
  </si>
  <si>
    <t xml:space="preserve">  154628-01-0</t>
  </si>
  <si>
    <t>1,1,1,2,2,3,3,4,4-Nonafluorodocosane</t>
  </si>
  <si>
    <t xml:space="preserve">  133310-70-0</t>
  </si>
  <si>
    <t>1,1,1,2,2,3,3,4,4,5,5,6,6,7,7,8,8,9,9,10,10,11,11,12,12-Pentacosafluorohentriacontane</t>
  </si>
  <si>
    <t xml:space="preserve">  264229-79-0</t>
  </si>
  <si>
    <t>1,1,1,2,2,3,3,4,4,5,5,6,6,7,7,8,8,9,9,10,10-Henicosafluorononacosane</t>
  </si>
  <si>
    <t xml:space="preserve">  250738-46-6</t>
  </si>
  <si>
    <t>1,1,1,2,2,3,3,4,4,5,5,6,6,7,7,8,8-Heptadecafluoroheptacosane</t>
  </si>
  <si>
    <t xml:space="preserve">  871311-26-1</t>
  </si>
  <si>
    <t>1,1,1,2,2,3,3,4,4,5,5,6,6-Tridecafluoropentacosane</t>
  </si>
  <si>
    <t xml:space="preserve">  863126-44-7</t>
  </si>
  <si>
    <t>1,1,1,2,2,3,3,4,4,5,5,6,6,7,7,8,8,9,9,10,10,11,11,12,12-Pentacosafluorodotriacontane</t>
  </si>
  <si>
    <t xml:space="preserve">  89109-72-8</t>
  </si>
  <si>
    <t>1,1,1,2,2,3,3,4,4,5,5,6,6,7,7,8,8,9,9,10,10-Henicosafluorotriacontane</t>
  </si>
  <si>
    <t xml:space="preserve">  766529-12-8</t>
  </si>
  <si>
    <t>1,1,1,2,2,3,3,4,4,5,5,6,6,7,7,8,8,9,9-Nonadecafluorononacosane</t>
  </si>
  <si>
    <t xml:space="preserve">  117948-75-1</t>
  </si>
  <si>
    <t>1,1,1,2,2,3,3,4,4,5,5,6,6,7,7,8,8-Heptadecafluorooctacosane</t>
  </si>
  <si>
    <t xml:space="preserve">  137338-39-7</t>
  </si>
  <si>
    <t>1,1,1,2,2,3,3,4,4,5,5,6,6-Tridecafluorohexacosane</t>
  </si>
  <si>
    <t xml:space="preserve">  825651-73-8</t>
  </si>
  <si>
    <t>1,1,1,2,2,3,3,4,4-Nonafluorotetracosane</t>
  </si>
  <si>
    <t xml:space="preserve">  808758-67-0</t>
  </si>
  <si>
    <t>1,1,1,2,2,3,3,4,4,5,5,6,6,7,7,8,8-Heptadecafluorotriacontane</t>
  </si>
  <si>
    <t xml:space="preserve">  137338-40-0</t>
  </si>
  <si>
    <t>1,1,1,2,2,3,3,4,4,5,5,6,6,7,7,8,8-Heptadecafluorodotriacontane</t>
  </si>
  <si>
    <t xml:space="preserve">  137338-41-1</t>
  </si>
  <si>
    <t>3-(Butane-1-sulfonyl)-4-(1,1,1,2,3,3,3-heptafluoropropan-2-yl)-2-methylbenzoic acid</t>
  </si>
  <si>
    <t xml:space="preserve">  1355554-53-8</t>
  </si>
  <si>
    <t>3-(Butane-1-sulfonyl)-2-ethyl-4-(1,1,1,2,3,3,3-heptafluoropropan-2-yl)benzoic acid</t>
  </si>
  <si>
    <t xml:space="preserve">  1355555-19-9</t>
  </si>
  <si>
    <t>3-(Butane-1-sulfinyl)-4-(1,1,1,2,3,3,3-heptafluoropropan-2-yl)-2-methylbenzoic acid</t>
  </si>
  <si>
    <t xml:space="preserve">  1355554-30-1</t>
  </si>
  <si>
    <t>3-(Butane-1-sulfinyl)-2-ethyl-4-(1,1,1,2,3,3,3-heptafluoropropan-2-yl)benzoic acid</t>
  </si>
  <si>
    <t xml:space="preserve">  1355554-97-0</t>
  </si>
  <si>
    <t>3-(Butylsulfanyl)-4-(1,1,1,2,3,3,3-heptafluoropropan-2-yl)-2-methylbenzoic acid</t>
  </si>
  <si>
    <t xml:space="preserve">  1355554-07-2</t>
  </si>
  <si>
    <t>3-(Butylsulfanyl)-2-ethyl-4-(1,1,1,2,3,3,3-heptafluoropropan-2-yl)benzoic acid</t>
  </si>
  <si>
    <t xml:space="preserve">  1355554-72-1</t>
  </si>
  <si>
    <t>1,1,1,2,2,3,3,4,4-Nonafluoro-4-propoxybutane</t>
  </si>
  <si>
    <t xml:space="preserve">  72372-80-6</t>
  </si>
  <si>
    <t>4-(1,1,1,2,3,3,3-Heptafluoropropan-2-yl)-2-methyl-3-(propane-1-sulfonyl)benzoic acid</t>
  </si>
  <si>
    <t xml:space="preserve">  1355554-46-9</t>
  </si>
  <si>
    <t>2-Ethyl-4-(1,1,1,2,3,3,3-heptafluoropropan-2-yl)-3-(propane-1-sulfonyl)benzoic acid</t>
  </si>
  <si>
    <t xml:space="preserve">  1355555-13-3</t>
  </si>
  <si>
    <t>4-(1,1,1,2,3,3,3-Heptafluoropropan-2-yl)-2-methyl-3-(propane-1-sulfinyl)benzoic acid</t>
  </si>
  <si>
    <t xml:space="preserve">  1355554-25-4</t>
  </si>
  <si>
    <t>2-Ethyl-4-(1,1,1,2,3,3,3-heptafluoropropan-2-yl)-3-(propane-1-sulfinyl)benzoic acid</t>
  </si>
  <si>
    <t xml:space="preserve">  1355554-90-3</t>
  </si>
  <si>
    <t>4-(1,1,1,2,3,3,3-Heptafluoropropan-2-yl)-2-methyl-3-(propylsulfanyl)benzoic acid</t>
  </si>
  <si>
    <t xml:space="preserve">  1355554-03-8</t>
  </si>
  <si>
    <t>2-Ethyl-4-(1,1,1,2,3,3,3-heptafluoropropan-2-yl)-3-(propylsulfanyl)benzoic acid</t>
  </si>
  <si>
    <t xml:space="preserve">  1355554-68-5</t>
  </si>
  <si>
    <t>3-(Heptafluoroisopropoxy)propyltriethoxysilane</t>
  </si>
  <si>
    <t xml:space="preserve">  149838-19-7</t>
  </si>
  <si>
    <t>Ethyl 2-diazo-4,4,5,5,6,6,6-heptafluoro-3-oxohexanoate</t>
  </si>
  <si>
    <t xml:space="preserve">  15959-98-5</t>
  </si>
  <si>
    <t>Ethyl 3,4,4,4-tetrafluoro-2-oxo-3-(trifluoromethyl)butanoate</t>
  </si>
  <si>
    <t xml:space="preserve">  74405-85-9</t>
  </si>
  <si>
    <t>Ethyl 3,3,4,4,5,5,6,6,7,7,8,8,8-tridecafluoro-2-oxooctanoate</t>
  </si>
  <si>
    <t xml:space="preserve">  117516-21-9</t>
  </si>
  <si>
    <t>Ethyl 2-acetyl-4,4,5,5,6,6,6-heptafluoro-3-oxohexanoate</t>
  </si>
  <si>
    <t xml:space="preserve">  115479-06-6</t>
  </si>
  <si>
    <t>Ethyl 6-(nonafluorobutyl)-4-phenyl-2-sulfanylidene-1,2,3,4-tetrahydropyrimidine-5-carboxylate</t>
  </si>
  <si>
    <t xml:space="preserve">  281189-83-1</t>
  </si>
  <si>
    <t>Ethyl 2-(pentadecafluoroheptyl)imidazo[1,2-a]pyridine-3-carboxylate</t>
  </si>
  <si>
    <t xml:space="preserve">  135339-05-8</t>
  </si>
  <si>
    <t>Ethyl 3-methyl-5-(nonafluorobutyl)-1H-pyrazole-4-carboxylate</t>
  </si>
  <si>
    <t xml:space="preserve">  119403-58-6</t>
  </si>
  <si>
    <t>Ethyl 6-(heptafluoropropyl)pyridine-3-carboxylate</t>
  </si>
  <si>
    <t xml:space="preserve">  1574401-92-5</t>
  </si>
  <si>
    <t>Ethyl 2-(heptafluoropropyl)benzoate</t>
  </si>
  <si>
    <t xml:space="preserve">  1310492-25-1</t>
  </si>
  <si>
    <t>Ethyl 4,4,5,5,6,6,7,7,7-nonafluoro-3-oxoheptanoate</t>
  </si>
  <si>
    <t xml:space="preserve">  82941-37-5</t>
  </si>
  <si>
    <t>Ethyl heptafluorobutyrylacetate</t>
  </si>
  <si>
    <t xml:space="preserve">  336-62-9</t>
  </si>
  <si>
    <t>Ethyl [5-(heptafluoropropyl)-1-methyl-1H-pyrazol-3-yl]acetate</t>
  </si>
  <si>
    <t xml:space="preserve">  1428569-19-0</t>
  </si>
  <si>
    <t>Ethyl [3-(heptafluoropropyl)-1-methyl-1H-pyrazol-5-yl]acetate</t>
  </si>
  <si>
    <t xml:space="preserve">  1428569-18-9</t>
  </si>
  <si>
    <t>Ethyl [5-(heptafluoropropyl)-1H-pyrazol-3-yl]acetate</t>
  </si>
  <si>
    <t xml:space="preserve">  1428569-15-6</t>
  </si>
  <si>
    <t>3-Ethoxyperfluoro(2-methylhexane)</t>
  </si>
  <si>
    <t xml:space="preserve">  297730-93-9</t>
  </si>
  <si>
    <t>2-Trfluoromethylpropyl ethyl ether</t>
  </si>
  <si>
    <t xml:space="preserve">  163702-06-5</t>
  </si>
  <si>
    <t>1-Ethoxy-1,1,2,2,3,3,4,4,5,5,5-undecafluoropentane</t>
  </si>
  <si>
    <t xml:space="preserve">  181214-75-5</t>
  </si>
  <si>
    <t>1-Ethoxy-1,1,2,3,3,3-hexafluoro-2-(trifluoromethyl)propane--1-ethoxy-1,1,2,2,3,3,4,4,4-nonafluorobutane (1/1)</t>
  </si>
  <si>
    <t xml:space="preserve">  813458-04-7</t>
  </si>
  <si>
    <t>(1E)-1-Ethoxy-4,4,5,5,6,6,6-heptafluorohex-1-en-3-one</t>
  </si>
  <si>
    <t xml:space="preserve">  170118-61-3</t>
  </si>
  <si>
    <t>1-Ethoxy-4,4,5,5,6,6,6-heptafluorohex-1-en-3-one</t>
  </si>
  <si>
    <t xml:space="preserve">  184783-37-7</t>
  </si>
  <si>
    <t>Silver, (6,6,7,7,8,8,8-heptafluoro-2,2-dimethyl-3,5-octanedionato-βO3,βO5)(triethylphosphine)-</t>
  </si>
  <si>
    <t xml:space="preserve">  165461-74-5</t>
  </si>
  <si>
    <t>3-(Ethanesulfonyl)-4-(1,1,1,2,3,3,3-heptafluoropropan-2-yl)-2-methylbenzoic acid</t>
  </si>
  <si>
    <t xml:space="preserve">  1355554-44-7</t>
  </si>
  <si>
    <t>3-(Ethanesulfinyl)-4-(1,1,1,2,3,3,3-heptafluoropropan-2-yl)-2-methylbenzoic acid</t>
  </si>
  <si>
    <t xml:space="preserve">  1355554-21-0</t>
  </si>
  <si>
    <t>3-(Ethylsulfanyl)-4-(1,1,1,2,3,3,3-heptafluoropropan-2-yl)-2-methylbenzoic acid</t>
  </si>
  <si>
    <t xml:space="preserve">  1355553-99-9</t>
  </si>
  <si>
    <t>2-Ethyl-3-(ethylsulfanyl)-4-(1,1,1,2,3,3,3-heptafluoropropan-2-yl)benzoic acid</t>
  </si>
  <si>
    <t xml:space="preserve">  1355554-66-3</t>
  </si>
  <si>
    <t>1,1,1,2,2,3,3-Heptafluoro-3-methoxypropane--(E)-1,2-dichloroethene (1/1)</t>
  </si>
  <si>
    <t xml:space="preserve">  218462-19-2</t>
  </si>
  <si>
    <t>4-Chloro-2-fluoro-N-(2-fluoro-3-{[4-(1,1,1,2,3,3,3-heptafluoropropan-2-yl)-2,6-dimethylphenyl]carbamoyl}phenyl)-N-methylbenzamide</t>
  </si>
  <si>
    <t xml:space="preserve">  862134-30-3</t>
  </si>
  <si>
    <t>4-Fluoro-N-(2-fluoro-3-{[4-(1,1,1,2,3,3,3-heptafluoropropan-2-yl)-2,6-dimethylphenyl]carbamoyl}phenyl)-N-methyl-2-nitrobenzamide</t>
  </si>
  <si>
    <t xml:space="preserve">  862134-28-9</t>
  </si>
  <si>
    <t>2-Chloro-4-fluoro-N-(2-fluoro-3-{[4-(1,1,1,2,3,3,3-heptafluoropropan-2-yl)-2,6-dimethylphenyl]carbamoyl}phenyl)-N-methylbenzamide</t>
  </si>
  <si>
    <t xml:space="preserve">  862134-29-0</t>
  </si>
  <si>
    <t>2,4-Difluoro-N-(2-fluoro-3-{[4-(1,1,1,2,3,3,3-heptafluoropropan-2-yl)-2,6-dimethylphenyl]carbamoyl}phenyl)-N-methylbenzamide</t>
  </si>
  <si>
    <t xml:space="preserve">  862134-26-7</t>
  </si>
  <si>
    <t>Benzenamine, 4-(heptadecafluorooctyl)-N,N-dimethyl-</t>
  </si>
  <si>
    <t xml:space="preserve">  80791-09-9</t>
  </si>
  <si>
    <t>4-(1,1,1,2,3,3,3-Heptafluoropropan-2-yl)-N,N-dimethylaniline</t>
  </si>
  <si>
    <t xml:space="preserve">  2396-19-2</t>
  </si>
  <si>
    <t>N,N-Dimethyl-4-(tridecafluorohexyl)aniline</t>
  </si>
  <si>
    <t xml:space="preserve">  141822-33-5</t>
  </si>
  <si>
    <t>1-Methyl-2-(nonafluorobutyl)-1H-indole</t>
  </si>
  <si>
    <t xml:space="preserve">  1608112-35-1</t>
  </si>
  <si>
    <t>3,3,4,4,5,5,5-Heptafluoro-1-(3-methyl-1,3-benzothiazol-2(3H)-ylidene)pentan-2-one</t>
  </si>
  <si>
    <t xml:space="preserve">  41131-07-1</t>
  </si>
  <si>
    <t>1H-Pyrrole, 1-methyl-2-(tridecafluorohexyl)-</t>
  </si>
  <si>
    <t xml:space="preserve">  64435-67-2</t>
  </si>
  <si>
    <t>4-(Heptadecafluorooctyl)-N-methylbenzamide</t>
  </si>
  <si>
    <t xml:space="preserve">  89932-69-4</t>
  </si>
  <si>
    <t>N-Methyl-4-(nonafluorobutyl)aniline</t>
  </si>
  <si>
    <t xml:space="preserve">  1426840-85-8</t>
  </si>
  <si>
    <t>5-(Heptafluoropropyl)-N,1-dimethyl-1H-1,2,4-triazol-3-amine</t>
  </si>
  <si>
    <t xml:space="preserve">  714975-28-7</t>
  </si>
  <si>
    <t>5-(Heptafluoropropyl)-N-methyl-1,3,4-oxadiazol-2-amine</t>
  </si>
  <si>
    <t xml:space="preserve">  714975-29-8</t>
  </si>
  <si>
    <t>3-(Heptafluoroisopropoxy)propyltrimethoxysilane</t>
  </si>
  <si>
    <t xml:space="preserve">  19116-61-1</t>
  </si>
  <si>
    <t>[3-(Heptafluoropropoxy)propyl](trimethoxy)silane</t>
  </si>
  <si>
    <t xml:space="preserve">  903890-42-6</t>
  </si>
  <si>
    <t>Methyl 3,3,4,4,5,5,6,6,6-nonafluoro-2-oxohexanoate</t>
  </si>
  <si>
    <t xml:space="preserve">  74067-16-6</t>
  </si>
  <si>
    <t>Methyl 3-amino-4,4,5,5,6,6,6-heptafluorohex-2-enoate</t>
  </si>
  <si>
    <t xml:space="preserve">  106203-17-2</t>
  </si>
  <si>
    <t>Methyl 3-(heptadecafluorooctyl)benzoate</t>
  </si>
  <si>
    <t xml:space="preserve">  80791-11-3</t>
  </si>
  <si>
    <t>Methyl 4-(heptadecafluorooctyl)benzoate</t>
  </si>
  <si>
    <t xml:space="preserve">  80791-12-4</t>
  </si>
  <si>
    <t>Methyl 4-(nonafluorobutyl)benzoate</t>
  </si>
  <si>
    <t xml:space="preserve">  88951-00-2</t>
  </si>
  <si>
    <t>Methyl 4-(heptafluoropropyl)benzoate</t>
  </si>
  <si>
    <t xml:space="preserve">  64299-47-4</t>
  </si>
  <si>
    <t>Methyl 5-(heptafluoropropyl)furan-2-carboxylate</t>
  </si>
  <si>
    <t xml:space="preserve">  104939-25-5</t>
  </si>
  <si>
    <t>Methyl 2-(heptafluoropropyl)-6-methoxybenzoate</t>
  </si>
  <si>
    <t xml:space="preserve">  109296-89-1</t>
  </si>
  <si>
    <t>Methyl 4-(1,1,1,2,3,3,3-heptafluoropropan-2-yl)benzoate</t>
  </si>
  <si>
    <t xml:space="preserve">  51114-06-8</t>
  </si>
  <si>
    <t>Methyl 4-(pentadecafluoroheptyl)cyclohexane-1-carboxylate</t>
  </si>
  <si>
    <t xml:space="preserve">  88951-17-1</t>
  </si>
  <si>
    <t>Methyl 4-(tridecafluorohexyl)cyclohexane-1-carboxylate</t>
  </si>
  <si>
    <t xml:space="preserve">  88951-16-0</t>
  </si>
  <si>
    <t>Methyl 4-(undecafluoropentyl)cyclohexane-1-carboxylate</t>
  </si>
  <si>
    <t xml:space="preserve">  88951-15-9</t>
  </si>
  <si>
    <t>Methyl 4-(nonafluorobutyl)cyclohexane-1-carboxylate</t>
  </si>
  <si>
    <t xml:space="preserve">  88951-14-8</t>
  </si>
  <si>
    <t>Methyl 4,4,5,5,6,6,7,7,7-nonafluoro-3-oxoheptanoate</t>
  </si>
  <si>
    <t xml:space="preserve">  89129-70-4</t>
  </si>
  <si>
    <t>Methyl 4,4,5,5,6,6,6-heptafluoro-3-oxohexanoate</t>
  </si>
  <si>
    <t xml:space="preserve">  89129-68-0</t>
  </si>
  <si>
    <t>Methyl 5,5,6,6,7,7,8,8,9,9,9-undecafluoro-4-oxononanoate</t>
  </si>
  <si>
    <t xml:space="preserve">  1456734-51-2</t>
  </si>
  <si>
    <t>Dimethyl 2-(perfluoropropyl)-p-benzenedicarbamate</t>
  </si>
  <si>
    <t xml:space="preserve">  25642-22-2</t>
  </si>
  <si>
    <t>3-Methoxyperfluoro(2-methylpentane)</t>
  </si>
  <si>
    <t xml:space="preserve">  132182-92-4</t>
  </si>
  <si>
    <t>Heptafluoroisopropyl methyl ether</t>
  </si>
  <si>
    <t xml:space="preserve">  22052-84-2</t>
  </si>
  <si>
    <t>1,1,1,3,3-Pentafluoro-3-methoxy-2-(trifluoromethyl)propane</t>
  </si>
  <si>
    <t xml:space="preserve">  382-26-3</t>
  </si>
  <si>
    <t>1,1,1,2,2,3,3,4,4,5,5,6,6-Tridecafluoro-6-methoxyhexane</t>
  </si>
  <si>
    <t xml:space="preserve">  226909-72-4</t>
  </si>
  <si>
    <t>1,1,1,2,2,3,3,4,4,5,5-Undecafluoro-5-methoxypentane</t>
  </si>
  <si>
    <t xml:space="preserve">  181214-74-4</t>
  </si>
  <si>
    <t>Perfluorobutyl methyl ether</t>
  </si>
  <si>
    <t xml:space="preserve">  163702-07-6</t>
  </si>
  <si>
    <t>Heptafluoro-1-methoxypropane</t>
  </si>
  <si>
    <t xml:space="preserve">  375-03-1</t>
  </si>
  <si>
    <t>2-(Heptafluoropropyl)-1-methoxy-4-methylbenzene</t>
  </si>
  <si>
    <t xml:space="preserve">  87461-66-3</t>
  </si>
  <si>
    <t>2-(Heptafluoropropyl)-5-methoxy-1H-indole</t>
  </si>
  <si>
    <t xml:space="preserve">  923569-79-3</t>
  </si>
  <si>
    <t>4,9-Dimethoxy-7-(nonafluorobutyl)-5H-furo[3,2-g][1]benzopyran-5-one</t>
  </si>
  <si>
    <t xml:space="preserve">  376380-66-4</t>
  </si>
  <si>
    <t>7-(Heptafluoropropyl)-4,9-dimethoxy-5H-furo[3,2-g][1]benzopyran-5-one</t>
  </si>
  <si>
    <t xml:space="preserve">  376383-49-2</t>
  </si>
  <si>
    <t>7-Hydroxy-4,9-dimethoxy-7-(nonafluorobutyl)-6,7-dihydro-5H-furo[3,2-g][1]benzopyran-5-one</t>
  </si>
  <si>
    <t xml:space="preserve">  376382-61-5</t>
  </si>
  <si>
    <t>7-(Heptafluoropropyl)-7-hydroxy-4,9-dimethoxy-6,7-dihydro-5H-furo[3,2-g][1]benzopyran-5-one</t>
  </si>
  <si>
    <t xml:space="preserve">  376380-76-6</t>
  </si>
  <si>
    <t>4-(1,1,1,2,3,3,3-Heptafluoropropan-2-yl)-2-methoxyaniline</t>
  </si>
  <si>
    <t xml:space="preserve">  273735-38-9</t>
  </si>
  <si>
    <t>2-(Heptafluoropropyl)-1,3,5-trimethoxybenzene</t>
  </si>
  <si>
    <t xml:space="preserve">  1422444-58-3</t>
  </si>
  <si>
    <t>4-Bromo-1-methoxy-2-(nonafluorobutyl)benzene</t>
  </si>
  <si>
    <t xml:space="preserve">  610778-27-3</t>
  </si>
  <si>
    <t>4,4,5,5,6,6,6-Heptafluoro-1-(4-methoxyphenyl)hexane-1,3-dione</t>
  </si>
  <si>
    <t xml:space="preserve">  515163-04-9</t>
  </si>
  <si>
    <t>1-Methoxy-4-(nonafluorobutyl)benzene</t>
  </si>
  <si>
    <t xml:space="preserve">  153910-98-6</t>
  </si>
  <si>
    <t>1-(Heptafluoropropyl)-4-methoxybenzene</t>
  </si>
  <si>
    <t xml:space="preserve">  97745-82-9</t>
  </si>
  <si>
    <t>2-(Heptafluoropropyl)-1,4-dimethoxybenzene</t>
  </si>
  <si>
    <t xml:space="preserve">  80790-98-3</t>
  </si>
  <si>
    <t>N'-[(2E)-5,5,6,6,7,7,7-Heptafluoro-4-oxohept-2-en-2-yl]-3-methoxybenzohydrazide</t>
  </si>
  <si>
    <t xml:space="preserve">  1164461-08-8</t>
  </si>
  <si>
    <t>1-Methoxy-3-(nonafluorobutyl)benzene</t>
  </si>
  <si>
    <t xml:space="preserve">  18739-65-6</t>
  </si>
  <si>
    <t>1-Methoxy-2-(nonafluorobutyl)benzene</t>
  </si>
  <si>
    <t xml:space="preserve">  153910-97-5</t>
  </si>
  <si>
    <t>2,3,5-Trifluoro-4-(1,1,1,2,3,3,3-heptafluoropropan-2-yl)-6-methoxypyridine</t>
  </si>
  <si>
    <t xml:space="preserve">  20017-48-5</t>
  </si>
  <si>
    <t>5-(Heptafluoropropyl)-3-methoxy-1-methyl-1H-1,2,4-triazole</t>
  </si>
  <si>
    <t xml:space="preserve">  714975-34-5</t>
  </si>
  <si>
    <t>2,4-Dimethoxy-5-(nonafluorobutyl)pyrimidine</t>
  </si>
  <si>
    <t xml:space="preserve">  71623-69-3</t>
  </si>
  <si>
    <t>Methyl 2H,2H-perfluorobutyl ether</t>
  </si>
  <si>
    <t xml:space="preserve">  376-98-7</t>
  </si>
  <si>
    <t>4-(1,1,1,2,3,3,3-Heptafluoropropan-2-yl)-2-methyl-3-(methylsulfanyl)benzoic acid</t>
  </si>
  <si>
    <t xml:space="preserve">  1355553-97-7</t>
  </si>
  <si>
    <t>Dichloro[fluoro(heptadecafluorooctyl)-lambda~3~-chloranyl](pentafluorophenyl)silane</t>
  </si>
  <si>
    <t xml:space="preserve">  753025-21-7</t>
  </si>
  <si>
    <t>1,1,1,2,2,3,5,5,6,6,7,7,7-Tridecafluorohept-3-ene</t>
  </si>
  <si>
    <t xml:space="preserve">  648-39-5</t>
  </si>
  <si>
    <t>1,1,1,2,2,3,3,4,7,7,8,8,8-Tridecafluorooct-4-ene</t>
  </si>
  <si>
    <t xml:space="preserve">  343627-68-9</t>
  </si>
  <si>
    <t>Lufenuron</t>
  </si>
  <si>
    <t xml:space="preserve">  103055-07-8</t>
  </si>
  <si>
    <t>2H-Hexafluoropropyl allyl ether</t>
  </si>
  <si>
    <t xml:space="preserve">  59158-81-5</t>
  </si>
  <si>
    <t>1,1,1,2,3,4,5,5,5-Nonafluoro-2-(trifluoromethyl)pentane</t>
  </si>
  <si>
    <t xml:space="preserve">  85720-78-1</t>
  </si>
  <si>
    <t>1-(Perfluorohexyl)octane</t>
  </si>
  <si>
    <t xml:space="preserve">  133331-77-8</t>
  </si>
  <si>
    <t>2,2,2-Trifluoro-1-[4-(tridecafluorohexyl)phenyl]ethan-1-one</t>
  </si>
  <si>
    <t xml:space="preserve">  171183-94-1</t>
  </si>
  <si>
    <t>1,1,1,5,5,6,6,7,7,8,8,9,9,10,10,10-hexadecafluorodecane-2,4-dione</t>
  </si>
  <si>
    <t xml:space="preserve">  147874-76-8</t>
  </si>
  <si>
    <t>1,1,1,5,5,6,6,7,7,8,8,8-dodecafluorooctane-2,4-dione</t>
  </si>
  <si>
    <t xml:space="preserve">  261503-40-6</t>
  </si>
  <si>
    <t>3H,3H-Perfluoroheptane-2,4-dione</t>
  </si>
  <si>
    <t xml:space="preserve">  20583-66-8</t>
  </si>
  <si>
    <t>3-(Perfluorohexyl)-1-(trifluoroacetyl)-5-(trifluoromethyl)-1H-pyrazole</t>
  </si>
  <si>
    <t xml:space="preserve">  261778-38-5</t>
  </si>
  <si>
    <t>1-Propanone, 2,3,3,3-tetrafluoro-1-phenyl-2-(trifluoromethyl)-</t>
  </si>
  <si>
    <t xml:space="preserve">  56112-35-7</t>
  </si>
  <si>
    <t>1-(4-Chlorophenyl)-2,3,3,3-tetrafluoro-2-(trifluoromethyl)propan-1-one</t>
  </si>
  <si>
    <t xml:space="preserve">  56041-73-7</t>
  </si>
  <si>
    <t>2-bromo-3,4,4,4-tetrafluoro-3-(trifluoromethyl)but-1-ene</t>
  </si>
  <si>
    <t xml:space="preserve">  234443-24-4</t>
  </si>
  <si>
    <t>1,4-Bis(heptafluoroisopropyl)benzene</t>
  </si>
  <si>
    <t xml:space="preserve">  51114-12-6</t>
  </si>
  <si>
    <t>AGN-PC-0NHL39</t>
  </si>
  <si>
    <t xml:space="preserve">  40161-59-9</t>
  </si>
  <si>
    <t>6-(1,1,1,2,3,3,3-Heptafluoropropan-2-yl)-3-{[(pyridin-3-yl)methyl]amino}-3,4-dihydroquinazolin-2(1H)-one</t>
  </si>
  <si>
    <t xml:space="preserve">  337457-78-0</t>
  </si>
  <si>
    <t>3-Chloro-5-(1,1,1,2,3,3,3-heptafluoropropan-2-yl)pyridin-2(1H)-one</t>
  </si>
  <si>
    <t xml:space="preserve">  1771743-43-1</t>
  </si>
  <si>
    <t>5-(1,1,1,2,3,3,3-Heptafluoropropan-2-yl)pyrimidine-2,4(1H,3H)-dione</t>
  </si>
  <si>
    <t xml:space="preserve">  80384-59-4</t>
  </si>
  <si>
    <t>2-(1,1,1,2,3,3,3-Heptafluoropropan-2-yl)pyridine-4-carbonitrile</t>
  </si>
  <si>
    <t xml:space="preserve">  929211-36-9</t>
  </si>
  <si>
    <t>2-Bromo-1,3-dichloro-5-(1,1,1,2,3,3,3-heptafluoropropan-2-yl)benzene</t>
  </si>
  <si>
    <t xml:space="preserve">  353272-59-0</t>
  </si>
  <si>
    <t>1-Bromo-4-(1,1,1,2,3,3,3-heptafluoropropan-2-yl)benzene</t>
  </si>
  <si>
    <t xml:space="preserve">  2396-23-8</t>
  </si>
  <si>
    <t>4-(1,1,1,2,3,3,3-Heptafluoropropan-2-yl)benzaldehyde</t>
  </si>
  <si>
    <t xml:space="preserve">  875306-42-6</t>
  </si>
  <si>
    <t>1-(Chloromethyl)-4-(1,1,1,2,3,3,3-heptafluoropropan-2-yl)benzene</t>
  </si>
  <si>
    <t xml:space="preserve">  75462-58-7</t>
  </si>
  <si>
    <t>2-Chloro-5-(1,1,1,2,3,3,3-heptafluoropropan-2-yl)pyridine</t>
  </si>
  <si>
    <t xml:space="preserve">  1807450-20-9</t>
  </si>
  <si>
    <t>2-(1,1,1,2,3,3,3-Heptafluoropropan-2-yl)naphthalene</t>
  </si>
  <si>
    <t xml:space="preserve">  51114-14-8</t>
  </si>
  <si>
    <t>5-(1,1,1,2,3,3,3-Heptafluoropropan-2-yl)-1,3-dihydro-2H-benzimidazol-2-one</t>
  </si>
  <si>
    <t xml:space="preserve">  1433216-51-3</t>
  </si>
  <si>
    <t>6-(1,1,1,2,3,3,3-Heptafluoropropan-2-yl)-1,3-benzoxazol-2(3H)-one</t>
  </si>
  <si>
    <t xml:space="preserve">  1248393-88-5</t>
  </si>
  <si>
    <t>6-(1,1,1,2,3,3,3-Heptafluoropropan-2-yl)-1,3-benzothiazol-2(3H)-one</t>
  </si>
  <si>
    <t xml:space="preserve">  1433216-60-4</t>
  </si>
  <si>
    <t>5-(1,1,1,2,3,3,3-Heptafluoropropan-2-yl)-2,3-dihydro-1H-indole</t>
  </si>
  <si>
    <t xml:space="preserve">  273735-78-7</t>
  </si>
  <si>
    <t>5-(1,1,1,2,3,3,3-Heptafluoropropan-2-yl)-1H-indazole</t>
  </si>
  <si>
    <t xml:space="preserve">  1433216-39-7</t>
  </si>
  <si>
    <t>6-(1,1,1,2,3,3,3-Heptafluoropropan-2-yl)-1H-benzotriazole</t>
  </si>
  <si>
    <t xml:space="preserve">  1433216-34-2</t>
  </si>
  <si>
    <t>1-Bromo-3-(1,1,1,2,3,3,3-heptafluoropropan-2-yl)benzene</t>
  </si>
  <si>
    <t xml:space="preserve">  2396-22-7</t>
  </si>
  <si>
    <t>(1,1,1,2,3,3,3-Heptafluoropropan-2-yl)benzene</t>
  </si>
  <si>
    <t xml:space="preserve">  378-34-7</t>
  </si>
  <si>
    <t>1-(1,1,1,2,3,3,3-Heptafluoropropan-2-yl)-2-iodocyclohexane</t>
  </si>
  <si>
    <t xml:space="preserve">  4316-00-1</t>
  </si>
  <si>
    <t>2-Chloro-3-(1,1,1,2,3,3,3-heptafluoropropan-2-yl)pyridine</t>
  </si>
  <si>
    <t xml:space="preserve">  1816284-43-1</t>
  </si>
  <si>
    <t>2-Chloro-4-(1,1,1,2,3,3,3-heptafluoropropan-2-yl)pyridine</t>
  </si>
  <si>
    <t xml:space="preserve">  1816286-71-1</t>
  </si>
  <si>
    <t>3-Bromo-5-(1,1,1,2,3,3,3-heptafluoropropan-2-yl)pyridine</t>
  </si>
  <si>
    <t xml:space="preserve">  1816285-38-7</t>
  </si>
  <si>
    <t>2,4,6-Tris(1,1,1,2,3,3,3-heptafluoropropan-2-yl)-1,3,5-triazine</t>
  </si>
  <si>
    <t xml:space="preserve">  10271-37-1</t>
  </si>
  <si>
    <t>2-(1,1,1,2,3,3,3-Heptafluoropropan-2-yl)-1H-imidazole</t>
  </si>
  <si>
    <t xml:space="preserve">  81790-00-3</t>
  </si>
  <si>
    <t>5-(1,1,1,2,3,3,3-Heptafluoropropan-2-yl)-1H-imidazole</t>
  </si>
  <si>
    <t xml:space="preserve">  81790-01-4</t>
  </si>
  <si>
    <t>3,4,4,4-Tetrafluoro-1-phenyl-3-(trifluoromethyl)butan-1-one</t>
  </si>
  <si>
    <t xml:space="preserve">  82959-21-5</t>
  </si>
  <si>
    <t>(1S,2R)-1-(Heptafluoropropyl)-2-iodocyclohexane</t>
  </si>
  <si>
    <t xml:space="preserve">  7589-44-8</t>
  </si>
  <si>
    <t>CIS-1-IODO-2-(HEPTAFLUOROPROPYL)CYCLOHEXANE</t>
  </si>
  <si>
    <t xml:space="preserve">  7589-43-7</t>
  </si>
  <si>
    <t>2-Diazo-4,4,5,5,6,6,6-heptafluoro-1-phenylhexane-1,3-dione</t>
  </si>
  <si>
    <t xml:space="preserve">  872186-76-0</t>
  </si>
  <si>
    <t>1,2-Pentanedione, 3,3,4,4,5,5,5-heptafluoro-1-phenyl-</t>
  </si>
  <si>
    <t xml:space="preserve">  69481-44-3</t>
  </si>
  <si>
    <t>1-(1-Piperidinyl)-2-(triphenylphosphoranylidene)perfluorohexane-1,3-dione</t>
  </si>
  <si>
    <t xml:space="preserve">  148192-46-5</t>
  </si>
  <si>
    <t>4,4,5,5,6,6,6-Heptafluoro-1-phenylhex-1-yn-3-one</t>
  </si>
  <si>
    <t xml:space="preserve">  67036-08-2</t>
  </si>
  <si>
    <t>1-Anilino-4,4,5,5,6,6,6-heptafluorohex-1-en-3-one</t>
  </si>
  <si>
    <t xml:space="preserve">  34648-00-5</t>
  </si>
  <si>
    <t>1-(3,5-Dibromophenyl)-2,2,3,3,4,4,4-heptafluorobutan-1-one</t>
  </si>
  <si>
    <t xml:space="preserve">  79851-20-0</t>
  </si>
  <si>
    <t>2,2,3,3,4,4,4-heptafluoro-1-phenylbutan-1-one</t>
  </si>
  <si>
    <t xml:space="preserve">  559-91-1</t>
  </si>
  <si>
    <t>2-(2,2,3,3,4,4,4-Heptafluorobutanoyl)cyclopentan-1-one</t>
  </si>
  <si>
    <t xml:space="preserve">  141478-83-3</t>
  </si>
  <si>
    <t>2-(2,2,3,3,4,4,4-Heptafluorobutanoyl)cyclohexan-1-one</t>
  </si>
  <si>
    <t xml:space="preserve">  37172-87-5</t>
  </si>
  <si>
    <t>5H,5H-Perfluoro-4,6-nonanedione</t>
  </si>
  <si>
    <t xml:space="preserve">  113116-18-0</t>
  </si>
  <si>
    <t>4,4''-Bis((perfluoropropyl)-1,3-dioxopropyl)-o-terphenyl-4'-sulfonyl chloride</t>
  </si>
  <si>
    <t xml:space="preserve">  200862-70-0</t>
  </si>
  <si>
    <t>4,4,5,5,6,6,6-Heptafluoro-1-phenylhexane-1,3-dione</t>
  </si>
  <si>
    <t xml:space="preserve">  53580-21-5</t>
  </si>
  <si>
    <t>4,4,5,5,6,6,6-Heptafluoro-1-(furan-2-yl)hexane-1,3-dione</t>
  </si>
  <si>
    <t xml:space="preserve">  595-26-6</t>
  </si>
  <si>
    <t>(Perfluorobutyryl)-2-thenoylmethane</t>
  </si>
  <si>
    <t xml:space="preserve">  559-94-4</t>
  </si>
  <si>
    <t>3,3,4,4,5,5,5-Heptafluoro-1-phenylpentan-2-one</t>
  </si>
  <si>
    <t xml:space="preserve">  559-96-6</t>
  </si>
  <si>
    <t>3,3,4,4,5,5,5-heptafluoro-1-pyridin-2-ylpentan-2-one</t>
  </si>
  <si>
    <t xml:space="preserve">  336-60-7</t>
  </si>
  <si>
    <t>2,2,3,3,4,4,4-heptafluoro-1-pyrrolidin-1-ylbutan-1-one</t>
  </si>
  <si>
    <t xml:space="preserve">  424-54-4</t>
  </si>
  <si>
    <t>1-(4-Bromophenyl)-2,2,3,3,4,4,5,5,5-nonafluoropentan-1-one</t>
  </si>
  <si>
    <t xml:space="preserve">  1228786-80-8</t>
  </si>
  <si>
    <t>2-(2,2,3,3,4,4,5,5,5-Nonafluoropentanoyl)cyclopentan-1-one</t>
  </si>
  <si>
    <t xml:space="preserve">  347361-45-9</t>
  </si>
  <si>
    <t>1,1,1,2,2,3,3,4,4,8,8,9,9,10,10,11,11,11-Octadecafluoroundecane-5,7-dione</t>
  </si>
  <si>
    <t xml:space="preserve">  261503-82-6</t>
  </si>
  <si>
    <t>4,4,5,5,6,6,7,7,7-Nonafluoro-1-phenylheptane-1,3-dione</t>
  </si>
  <si>
    <t xml:space="preserve">  168920-97-6</t>
  </si>
  <si>
    <t>2-(2,2,3,3,4,4,5,5,6,6,7,7,7-Tridecafluoroheptanoyl)cyclohexan-1-one</t>
  </si>
  <si>
    <t xml:space="preserve">  141478-89-9</t>
  </si>
  <si>
    <t>8H,8H-Perfluoropentadecane-7,9-dione</t>
  </si>
  <si>
    <t xml:space="preserve">  261503-74-6</t>
  </si>
  <si>
    <t>4,4,5,5,6,6,7,7,8,8,9,9,9-Tridecafluoro-1-phenylnonane-1,3-dione</t>
  </si>
  <si>
    <t xml:space="preserve">  99338-16-6</t>
  </si>
  <si>
    <t>7,7,8,8,9,9,10,10,11,11,12,12,12-Tridecafluoro-1-(1H-naphtho[2,3-d]imidazol-2-yl)dodecan-6-one</t>
  </si>
  <si>
    <t xml:space="preserve">  240121-57-7</t>
  </si>
  <si>
    <t>1-(1H-Benzimidazol-2-yl)-7,7,8,8,9,9,10,10,11,11,12,12,12-tridecafluorododecan-6-one</t>
  </si>
  <si>
    <t xml:space="preserve">  237738-71-5</t>
  </si>
  <si>
    <t>9H,9H-Triacontafluoro-8,10-heptadecanedione</t>
  </si>
  <si>
    <t xml:space="preserve">  36554-97-9</t>
  </si>
  <si>
    <t>4,4,5,5,6,6,7,7,8,8,9,9,10,10,11,11,11-heptadecafluoro-1-phenylundecane-1,3-dione</t>
  </si>
  <si>
    <t xml:space="preserve">  141522-69-2</t>
  </si>
  <si>
    <t>2-(Henicosafluorodecyl)-1H-imidazole</t>
  </si>
  <si>
    <t xml:space="preserve">  81769-51-9</t>
  </si>
  <si>
    <t>5-(Henicosafluorodecyl)-1H-imidazole</t>
  </si>
  <si>
    <t xml:space="preserve">  81769-57-5</t>
  </si>
  <si>
    <t>4-(Nonadecafluorononyl)benzoyl azide</t>
  </si>
  <si>
    <t xml:space="preserve">  93238-01-8</t>
  </si>
  <si>
    <t>1-Isocyanato-4-(nonadecafluorononyl)benzene</t>
  </si>
  <si>
    <t xml:space="preserve">  93238-00-7</t>
  </si>
  <si>
    <t>1-Bromo-3-(heptadecafluorooctyl)benzene</t>
  </si>
  <si>
    <t xml:space="preserve">  325459-90-3</t>
  </si>
  <si>
    <t>1-Bromo-4-(heptadecafluorooctyl)benzene</t>
  </si>
  <si>
    <t xml:space="preserve">  206560-77-2</t>
  </si>
  <si>
    <t>1-Ethenyl-4-(heptadecafluorooctyl)benzene</t>
  </si>
  <si>
    <t xml:space="preserve">  106209-21-6</t>
  </si>
  <si>
    <t>Benzene, (heptadecafluorooctyl)-</t>
  </si>
  <si>
    <t xml:space="preserve">  87405-83-2</t>
  </si>
  <si>
    <t>4-(Heptadecafluorooctyl)-1H-pyrazole</t>
  </si>
  <si>
    <t xml:space="preserve">  92914-86-8</t>
  </si>
  <si>
    <t>Thiophene, 3-(heptadecafluorooctyl)-</t>
  </si>
  <si>
    <t xml:space="preserve">  96721-82-3</t>
  </si>
  <si>
    <t>2-(Heptadecafluorooctyl)thiophene</t>
  </si>
  <si>
    <t xml:space="preserve">  80791-16-8</t>
  </si>
  <si>
    <t>5-(Heptadecafluorooctyl)-1H-imidazole</t>
  </si>
  <si>
    <t xml:space="preserve">  81769-56-4</t>
  </si>
  <si>
    <t>3-(Heptadecafluorooctyl)-1,2,4-trioxolane</t>
  </si>
  <si>
    <t xml:space="preserve">  63967-43-1</t>
  </si>
  <si>
    <t>p-(Pentadecafluoroheptyl)benzenesulphonyl chloride</t>
  </si>
  <si>
    <t xml:space="preserve">  25444-35-3</t>
  </si>
  <si>
    <t>2,2-Diazido-2,2-dihydro-4,6-bis(pentadecafluoroheptyl)1,3,5,2-triazaphosphorine</t>
  </si>
  <si>
    <t xml:space="preserve">  95215-99-9</t>
  </si>
  <si>
    <t>5-(Pentadecafluoroheptyl)-1H-imidazole</t>
  </si>
  <si>
    <t xml:space="preserve">  81769-55-3</t>
  </si>
  <si>
    <t>1-Bromo-4-(tridecafluorohexyl)benzene</t>
  </si>
  <si>
    <t xml:space="preserve">  149068-56-4</t>
  </si>
  <si>
    <t>1-[4-(Tridecafluorohexyl)phenyl]pyridin-4(1H)-one</t>
  </si>
  <si>
    <t xml:space="preserve">  821789-63-3</t>
  </si>
  <si>
    <t>1,1'-Oxybis[4-(tridecafluorohexyl)benzene]</t>
  </si>
  <si>
    <t xml:space="preserve">  151707-03-8</t>
  </si>
  <si>
    <t>(Tridecafluorohexyl)benzene</t>
  </si>
  <si>
    <t xml:space="preserve">  65440-93-9</t>
  </si>
  <si>
    <t>Thiophene, 2-(tridecafluorohexyl)-</t>
  </si>
  <si>
    <t xml:space="preserve">  128032-22-4</t>
  </si>
  <si>
    <t>3-(Tridecafluorohexyl)thiophene</t>
  </si>
  <si>
    <t xml:space="preserve">  128032-23-5</t>
  </si>
  <si>
    <t>2-(Tridecafluorohexyl)-1H-benzimidazole</t>
  </si>
  <si>
    <t xml:space="preserve">  119403-54-2</t>
  </si>
  <si>
    <t>1-Benzoyl-3,5-bis(perfluorohexyl)pyrazole</t>
  </si>
  <si>
    <t xml:space="preserve">  230295-10-0</t>
  </si>
  <si>
    <t>3-(Perfluorohexyl)-5-phenyl-1H-pyrazole</t>
  </si>
  <si>
    <t xml:space="preserve">  510768-12-4</t>
  </si>
  <si>
    <t>1-Iodo-4-(tridecafluorohexyl)benzene</t>
  </si>
  <si>
    <t xml:space="preserve">  162083-76-3</t>
  </si>
  <si>
    <t>5-Bromo-5'-(tridecafluorohexyl)-2,2'-bithiophene</t>
  </si>
  <si>
    <t xml:space="preserve">  327630-35-3</t>
  </si>
  <si>
    <t>5-(Tridecafluorohexyl)-2,2'-bithiophene</t>
  </si>
  <si>
    <t xml:space="preserve">  327630-34-2</t>
  </si>
  <si>
    <t>1-Bromo-3-(tridecafluorohexyl)benzene</t>
  </si>
  <si>
    <t xml:space="preserve">  157829-77-1</t>
  </si>
  <si>
    <t>1,3-Bis(tridecafluorohexyl)benzene</t>
  </si>
  <si>
    <t xml:space="preserve">  124389-29-3</t>
  </si>
  <si>
    <t>N-Phenyl-N'-[2-(tridecafluorohexyl)phenyl]urea</t>
  </si>
  <si>
    <t xml:space="preserve">  288161-40-0</t>
  </si>
  <si>
    <t>2-Iodo-3-(tridecafluorohexyl)thiophene</t>
  </si>
  <si>
    <t xml:space="preserve">  1453469-53-8</t>
  </si>
  <si>
    <t>2-Iodo-4-(tridecafluorohexyl)thiophene</t>
  </si>
  <si>
    <t xml:space="preserve">  1453469-60-7</t>
  </si>
  <si>
    <t>3-Phenyl-5-(tridecafluorohexyl)-1,2,4-oxadiazole</t>
  </si>
  <si>
    <t xml:space="preserve">  146304-76-9</t>
  </si>
  <si>
    <t>1,1,1,2,2,3,3,4,4,5,5,6,6,13,13,14,14,15,15,16,16,17,17,18,18,18-Hexacosafluorooctadecane</t>
  </si>
  <si>
    <t xml:space="preserve">  959462-53-4</t>
  </si>
  <si>
    <t>5-(Undecafluoropentyl)-1H-imidazole</t>
  </si>
  <si>
    <t xml:space="preserve">  113934-18-2</t>
  </si>
  <si>
    <t>1,1,1,2,2,3,3,4,4,5,5,8,8,9,9,10,10,11,11,12,12,12-Docosafluorododecane</t>
  </si>
  <si>
    <t xml:space="preserve">  1835255-38-3</t>
  </si>
  <si>
    <t>1,1,1,2,2,3,3,4,4,5,5,12,12,13,13,14,14,15,15,16,16,16-Docosafluorohexadecane</t>
  </si>
  <si>
    <t xml:space="preserve">  1835255-25-8</t>
  </si>
  <si>
    <t>1,1,1,2,2,3,3,4,4,5,5,16,16,17,17,18,18,19,19,20,20,20-Docosafluoroicosane</t>
  </si>
  <si>
    <t xml:space="preserve">  1835252-07-7</t>
  </si>
  <si>
    <t>1,1,1,2,2,3,3,4,4,5,5,19,19,20,20,21,21,22,22,23,23,23-Docosafluorotricosane</t>
  </si>
  <si>
    <t xml:space="preserve">  1980076-48-9</t>
  </si>
  <si>
    <t>2-(Nonafluorobutyl)-4H-1-benzopyran-4-one</t>
  </si>
  <si>
    <t xml:space="preserve">  304877-96-1</t>
  </si>
  <si>
    <t>6-(Nonafluorobutyl)-2-phenylpyrimidin-4(3H)-one</t>
  </si>
  <si>
    <t xml:space="preserve">  180748-44-1</t>
  </si>
  <si>
    <t>6-(Nonafluorobutyl)-2-sulfanylidene-2,3-dihydropyrimidin-4(1H)-one</t>
  </si>
  <si>
    <t xml:space="preserve">  1426894-99-6</t>
  </si>
  <si>
    <t>9-(Nonafluorobutyl)-2,3,6,7-tetrahydro-1H,5H,11H-pyrano[2,3-f]pyrido[3,2,1-ij]quinolin-11-one</t>
  </si>
  <si>
    <t xml:space="preserve">  355822-08-1</t>
  </si>
  <si>
    <t>Benzene, (nonafluorobutyl)-</t>
  </si>
  <si>
    <t xml:space="preserve">  2398-75-6</t>
  </si>
  <si>
    <t>2-(Nonafluorobutyl)-1H-indene</t>
  </si>
  <si>
    <t xml:space="preserve">  1608112-37-3</t>
  </si>
  <si>
    <t>SCHEMBL1270621</t>
  </si>
  <si>
    <t xml:space="preserve">  58671-28-6</t>
  </si>
  <si>
    <t>4-(Nonafluorobutyl)-1,3-dihydro-2H-1,5-benzodiazepin-2-one</t>
  </si>
  <si>
    <t xml:space="preserve">  96146-12-2</t>
  </si>
  <si>
    <t>2-(Nonafluorobutyl)-1-benzofuran</t>
  </si>
  <si>
    <t xml:space="preserve">  1608112-36-2</t>
  </si>
  <si>
    <t>2-(Nonafluorobutyl)-1-benzothiophene</t>
  </si>
  <si>
    <t xml:space="preserve">  1608112-38-4</t>
  </si>
  <si>
    <t>4-(Nonafluorobutyl)benzene-1,2-dicarbonitrile</t>
  </si>
  <si>
    <t xml:space="preserve">  1207299-71-5</t>
  </si>
  <si>
    <t>1-Ethenyl-4-(nonafluorobutyl)benzene</t>
  </si>
  <si>
    <t xml:space="preserve">  159241-92-6</t>
  </si>
  <si>
    <t>4-(Nonafluorobutyl)benzonitrile</t>
  </si>
  <si>
    <t xml:space="preserve">  137052-16-5</t>
  </si>
  <si>
    <t>7-(Nonafluorobutyl)-1-benzothiophene</t>
  </si>
  <si>
    <t xml:space="preserve">  1608112-40-8</t>
  </si>
  <si>
    <t>Tetrahydro(perfluorobutyl)furan</t>
  </si>
  <si>
    <t xml:space="preserve">  26446-59-3</t>
  </si>
  <si>
    <t>2-(Nonafluorobutyl)thiophene</t>
  </si>
  <si>
    <t xml:space="preserve">  96721-81-2</t>
  </si>
  <si>
    <t>3-(Nonafluorobutyl)-1H-indole</t>
  </si>
  <si>
    <t xml:space="preserve">  1608112-33-9</t>
  </si>
  <si>
    <t>4-(Nonafluorobutyl)-1,3-dioxolan-2-one</t>
  </si>
  <si>
    <t xml:space="preserve">  1469980-27-5</t>
  </si>
  <si>
    <t>3-(Nonafluorobutyl)-1-benzothiophene</t>
  </si>
  <si>
    <t xml:space="preserve">  1608112-39-5</t>
  </si>
  <si>
    <t>2-(Nonafluorobutyl)-1H-indole</t>
  </si>
  <si>
    <t xml:space="preserve">  1608112-34-0</t>
  </si>
  <si>
    <t>3-(Nonafluorobutyl)-5-phenyl-1H-pyrazole</t>
  </si>
  <si>
    <t xml:space="preserve">  204130-95-0</t>
  </si>
  <si>
    <t>11-(Nonafluorobutyl)-9,10-dihydro-9,10-(epithiomethano)anthracene</t>
  </si>
  <si>
    <t xml:space="preserve">  267648-90-8</t>
  </si>
  <si>
    <t>Decane, 1,1,1,2,2,3,3,4,4,7,7,8,8,9,9,10,10,10-octadecafluoro-</t>
  </si>
  <si>
    <t xml:space="preserve">  142083-52-1</t>
  </si>
  <si>
    <t>1,1,1,2,2,3,3,4,4,13,13,14,14,15,15,16,16,16-Octadecafluorohexadecane</t>
  </si>
  <si>
    <t xml:space="preserve">  1835252-00-0</t>
  </si>
  <si>
    <t>1,1,1,2,2,3,3,4,4,15,15,16,16,17,17,18,18,18-Octadecafluorooctadecane</t>
  </si>
  <si>
    <t xml:space="preserve">  1835251-99-4</t>
  </si>
  <si>
    <t>15-Bromo-1,1,1,2,2,3,3,4,4-nonafluoropentadecane</t>
  </si>
  <si>
    <t xml:space="preserve">  213207-95-5</t>
  </si>
  <si>
    <t>1,4-Bis(chloromethyl)-2-(heptafluoropropyl)benzene</t>
  </si>
  <si>
    <t xml:space="preserve">  139263-35-7</t>
  </si>
  <si>
    <t>5-(Heptafluoropropyl)-3-phenyl-1H-pyrazole</t>
  </si>
  <si>
    <t xml:space="preserve">  54864-78-7</t>
  </si>
  <si>
    <t>6-(Heptafluoropropyl)-2-sulfanylidene-2,3-dihydropyrimidin-4(1H)-one</t>
  </si>
  <si>
    <t xml:space="preserve">  88191-88-2</t>
  </si>
  <si>
    <t>1-Bromo-3-(heptafluoropropyl)benzene</t>
  </si>
  <si>
    <t xml:space="preserve">  53104-06-6</t>
  </si>
  <si>
    <t>2-{[4-(Heptafluoropropyl)phenyl]methyl}oxirane</t>
  </si>
  <si>
    <t xml:space="preserve">  144006-68-8</t>
  </si>
  <si>
    <t>N-[6-(Heptafluoropropyl)-2-oxo-2H-pyran-3-yl]benzamide</t>
  </si>
  <si>
    <t xml:space="preserve">  860454-18-8</t>
  </si>
  <si>
    <t>Quinoline, 4-(heptafluoropropyl)-</t>
  </si>
  <si>
    <t xml:space="preserve">  181059-73-4</t>
  </si>
  <si>
    <t>AC1LC6EI</t>
  </si>
  <si>
    <t xml:space="preserve">  60007-37-6</t>
  </si>
  <si>
    <t>5-(Heptafluoropropyl)-2-sulfanylidene-2,3-dihydropyrimidin-4(1H)-one</t>
  </si>
  <si>
    <t xml:space="preserve">  145663-11-2</t>
  </si>
  <si>
    <t>(4S)-4-Benzyl-2-(heptafluoropropyl)-4,5-dihydro-1,3-oxazole</t>
  </si>
  <si>
    <t xml:space="preserve">  1366341-52-7</t>
  </si>
  <si>
    <t>2,4,6-Tris(heptafluoropropyl)-1,3,5-triazine</t>
  </si>
  <si>
    <t xml:space="preserve">  915-76-4</t>
  </si>
  <si>
    <t>MLS002694827</t>
  </si>
  <si>
    <t xml:space="preserve">  4314-49-2</t>
  </si>
  <si>
    <t>Benzimidazole, 5(or 6)-chloro-2-(heptafluoropropyl)-</t>
  </si>
  <si>
    <t xml:space="preserve">  6866-58-6</t>
  </si>
  <si>
    <t>2-(Heptafluoropropyl)-1H-benzimidazole</t>
  </si>
  <si>
    <t xml:space="preserve">  559-37-5</t>
  </si>
  <si>
    <t>4-(Heptafluoropropyl)-1,3-dihydro-2H-1,5-benzodiazepin-2-one</t>
  </si>
  <si>
    <t xml:space="preserve">  96146-10-0</t>
  </si>
  <si>
    <t>2-(heptafluoropropyl)-4,5-dihydro-1h-imidazole</t>
  </si>
  <si>
    <t xml:space="preserve">  4472-70-2</t>
  </si>
  <si>
    <t>2-(Heptafluoropropyl)-1-phenyl-4,5-dihydro-1H-imidazole</t>
  </si>
  <si>
    <t xml:space="preserve">  1069085-53-5</t>
  </si>
  <si>
    <t>1-Benzyl-2-(heptafluoropropyl)-4,5-dihydro-1H-imidazole</t>
  </si>
  <si>
    <t xml:space="preserve">  1069085-51-3</t>
  </si>
  <si>
    <t>2-Perfluoropropyl-5-phenyl-1,3,4-oxadiazole</t>
  </si>
  <si>
    <t xml:space="preserve">  5756-67-2</t>
  </si>
  <si>
    <t>5-(heptafluoropropyl)-1-phenyl-1h-tetrazole</t>
  </si>
  <si>
    <t xml:space="preserve">  2712-85-8</t>
  </si>
  <si>
    <t>4-Bromo-2-(heptafluoropropyl)pyridine</t>
  </si>
  <si>
    <t xml:space="preserve">  1816283-37-0</t>
  </si>
  <si>
    <t>4-Chloro-2-(heptafluoropropyl)pyridine</t>
  </si>
  <si>
    <t xml:space="preserve">  1816283-32-5</t>
  </si>
  <si>
    <t>1-Bromo-4-(heptafluoropropyl)benzene</t>
  </si>
  <si>
    <t xml:space="preserve">  117874-91-6</t>
  </si>
  <si>
    <t>5-Bromo-2-(heptafluoropropyl)pyridine</t>
  </si>
  <si>
    <t xml:space="preserve">  1816282-96-8</t>
  </si>
  <si>
    <t>1-(Heptafluoropropyl)-4-iodobenzene</t>
  </si>
  <si>
    <t xml:space="preserve">  1417885-93-8</t>
  </si>
  <si>
    <t>N-[5-(Heptafluoropropyl)[1,1'-biphenyl]-2-yl]benzamide</t>
  </si>
  <si>
    <t xml:space="preserve">  748785-00-4</t>
  </si>
  <si>
    <t>2-(Heptafluoropropyl)quinoline</t>
  </si>
  <si>
    <t xml:space="preserve">  57702-79-1</t>
  </si>
  <si>
    <t>5-(Heptafluoropropyl)isoquinoline-1-carbaldehyde</t>
  </si>
  <si>
    <t xml:space="preserve">  31181-32-5</t>
  </si>
  <si>
    <t>(Heptafluoropropyl)benzene</t>
  </si>
  <si>
    <t xml:space="preserve">  378-98-3</t>
  </si>
  <si>
    <t>2-(Heptafluoropropyl)cyclohexan-1-one</t>
  </si>
  <si>
    <t xml:space="preserve">  61282-91-5</t>
  </si>
  <si>
    <t>1-(heptafluoropropyl)-2-iodocyclohexane</t>
  </si>
  <si>
    <t xml:space="preserve">  2728-75-8</t>
  </si>
  <si>
    <t>3-(Heptafluoropropyl)oxolane</t>
  </si>
  <si>
    <t xml:space="preserve">  143837-48-3</t>
  </si>
  <si>
    <t>5-(Heptafluoropropyl)dihydropyrimidine-2,4(1H,3H)-dione</t>
  </si>
  <si>
    <t xml:space="preserve">  90715-84-7</t>
  </si>
  <si>
    <t>5-(Heptafluoropropyl)pyrimidine</t>
  </si>
  <si>
    <t xml:space="preserve">  1354703-21-1</t>
  </si>
  <si>
    <t>5-(Heptafluoropropyl)-1H-pyrrole-2-carbaldehyde</t>
  </si>
  <si>
    <t xml:space="preserve">  123825-52-5</t>
  </si>
  <si>
    <t>4,6-Dichloro-2-(heptafluoropropyl)pyrimidine</t>
  </si>
  <si>
    <t xml:space="preserve">  1023815-51-1</t>
  </si>
  <si>
    <t>2-(Heptafluoropropyl)-1H-indole</t>
  </si>
  <si>
    <t xml:space="preserve">  123825-50-3</t>
  </si>
  <si>
    <t>2-(Heptafluoropropyl)-3-phenylquinoxaline</t>
  </si>
  <si>
    <t xml:space="preserve">  69492-70-2</t>
  </si>
  <si>
    <t>4-Chloro-2-(heptafluoropropyl)pyrimidine</t>
  </si>
  <si>
    <t xml:space="preserve">  937676-00-1</t>
  </si>
  <si>
    <t>2-(Heptafluoropropyl)-1H-pyrrole</t>
  </si>
  <si>
    <t xml:space="preserve">  118425-75-5</t>
  </si>
  <si>
    <t>1-(Heptafluoropropyl)isoquinoline</t>
  </si>
  <si>
    <t xml:space="preserve">  70414-12-9</t>
  </si>
  <si>
    <t>2-(Heptafluoropropyl)pyrimidine</t>
  </si>
  <si>
    <t xml:space="preserve">  133391-64-7</t>
  </si>
  <si>
    <t xml:space="preserve">  31185-53-2</t>
  </si>
  <si>
    <t>4-Bromo-3-(heptafluoropropyl)-5-phenyl-1H-pyrazole</t>
  </si>
  <si>
    <t xml:space="preserve">  82633-52-1</t>
  </si>
  <si>
    <t>5-(Heptafluoropropyl)-3-phenyl-1H-1,2,4-triazole</t>
  </si>
  <si>
    <t xml:space="preserve">  2195-67-7</t>
  </si>
  <si>
    <t>3-(Heptafluoropropyl)-6-(morpholin-4-yl)[1,2,4]triazolo[4,3-b]pyridazine</t>
  </si>
  <si>
    <t xml:space="preserve">  296886-61-8</t>
  </si>
  <si>
    <t>3-(Heptafluoropropyl)-1H-pyrazole</t>
  </si>
  <si>
    <t xml:space="preserve">  158148-63-1</t>
  </si>
  <si>
    <t>2(5H)-Furanone, 5-(heptafluoropropyl)-</t>
  </si>
  <si>
    <t xml:space="preserve">  143469-51-6</t>
  </si>
  <si>
    <t>2-(Heptafluoropropyl)-1,3-dioxolane</t>
  </si>
  <si>
    <t xml:space="preserve">  109799-66-8</t>
  </si>
  <si>
    <t>1,1,1,2,2,3,3,4,4,5,5,6,6,9,9,10,10,11,11,11-Icosafluoroundecane</t>
  </si>
  <si>
    <t xml:space="preserve">  777931-73-4</t>
  </si>
  <si>
    <t>1,1,1,2,2,3,3,6,6,7,7,8,8,8-Tetradecafluorooctane</t>
  </si>
  <si>
    <t xml:space="preserve">  1835251-92-7</t>
  </si>
  <si>
    <t>1,1,1,2,2,3,3,10,10,11,11,12,12,12-Tetradecafluorododecane</t>
  </si>
  <si>
    <t xml:space="preserve">  69125-82-2</t>
  </si>
  <si>
    <t>1,1,1,2,2,3,3,12,12,13,13,14,14,14-Tetradecafluorotetradecane</t>
  </si>
  <si>
    <t xml:space="preserve">  1835251-91-6</t>
  </si>
  <si>
    <t>1,1,1,2,2,3,3,14,14,15,15,16,16,16-Tetradecafluorohexadecane</t>
  </si>
  <si>
    <t xml:space="preserve">  168169-26-4</t>
  </si>
  <si>
    <t>1,1,1,2,2,5,5,6,6,7,7,7-Dodecafluorohept-3-ene</t>
  </si>
  <si>
    <t xml:space="preserve">  887111-61-7</t>
  </si>
  <si>
    <t>1,1,1,2,2,3,3,4,4,7,7,8,8,8-Tetradecafluorooctane</t>
  </si>
  <si>
    <t xml:space="preserve">  343627-66-7</t>
  </si>
  <si>
    <t>2-[(1,1,1,2,3,3,3-Heptafluoropropan-2-yl)oxy]-N-phenylacetamide</t>
  </si>
  <si>
    <t xml:space="preserve">  62656-67-1</t>
  </si>
  <si>
    <t>Allyl perfluoroisopropyl ether</t>
  </si>
  <si>
    <t xml:space="preserve">  15242-17-8</t>
  </si>
  <si>
    <t>Trichloro[3-[1,2,2,2-tetrafluoro-1-(trifluoromethyl)ethoxy]propyl]silane</t>
  </si>
  <si>
    <t xml:space="preserve">  15538-93-9</t>
  </si>
  <si>
    <t>Dichloromethyl[3-[1,2,2,2-tetrafluoro-1-(trifluoromethyl)ethoxy]propyl]silane</t>
  </si>
  <si>
    <t xml:space="preserve">  20006-68-2</t>
  </si>
  <si>
    <t>1-Bromo-4-[(1,1,1,2,3,3,3-heptafluoropropan-2-yl)oxy]butane</t>
  </si>
  <si>
    <t xml:space="preserve">  37027-49-9</t>
  </si>
  <si>
    <t>1,1,1,2,2,3,3,6,6,6-Decafluorohexane</t>
  </si>
  <si>
    <t xml:space="preserve">  188189-52-8</t>
  </si>
  <si>
    <t>3,3,4,4,5,5,6,6-octafluoro-6-iodohex-1-ene</t>
  </si>
  <si>
    <t xml:space="preserve">  203929-12-8</t>
  </si>
  <si>
    <t>1,1,3,4,4,4-Hexafluoro-3-(trifluoromethyl)but-1-ene</t>
  </si>
  <si>
    <t xml:space="preserve">  1840-17-1</t>
  </si>
  <si>
    <t>2,2,3,3,4,4,5,5,6,6,7,7,8,8-Tetradecafluoro-1-phenyloctan-1-one</t>
  </si>
  <si>
    <t xml:space="preserve">  1427-89-0</t>
  </si>
  <si>
    <t>1,1,1,2,2,3,3,4,4,5,5,6,6,7,7,8,8,9,9,10,10,11,11,12,12,13,13,14,14-Nonacosafluorotetradecane</t>
  </si>
  <si>
    <t xml:space="preserve">  66577-33-1</t>
  </si>
  <si>
    <t>1,1,1,2,2,3,3,4,4,5,5,6,6,7,7,8,8,9,9,10,10,11,11,12,12,13,13-Heptacosafluorotridecane</t>
  </si>
  <si>
    <t xml:space="preserve">  423-66-5</t>
  </si>
  <si>
    <t>1,1,1,2,2,3,3,4,4,5,5,6,6,7,7,8,8,9,9,10,10,11,11,12,12-Pentacosafluorododecane</t>
  </si>
  <si>
    <t xml:space="preserve">  66563-68-6</t>
  </si>
  <si>
    <t>1-H-Perflurodecane</t>
  </si>
  <si>
    <t xml:space="preserve">  375-97-3</t>
  </si>
  <si>
    <t>1H-Perfluorononane</t>
  </si>
  <si>
    <t xml:space="preserve">  375-94-0</t>
  </si>
  <si>
    <t>8H-Perfluorooctane</t>
  </si>
  <si>
    <t xml:space="preserve">  335-65-9</t>
  </si>
  <si>
    <t>1H,8H-Perfluorooctane</t>
  </si>
  <si>
    <t xml:space="preserve">  307-99-3</t>
  </si>
  <si>
    <t>1,1,2,2,3,3,4,4,5,5,6,6-Dodecafluoro-7-(trifluoromethoxy)heptane</t>
  </si>
  <si>
    <t xml:space="preserve">  1737-33-3</t>
  </si>
  <si>
    <t>1H-Perfluorohexane</t>
  </si>
  <si>
    <t xml:space="preserve">  355-37-3</t>
  </si>
  <si>
    <t>1H,6H-Perfluorohexane</t>
  </si>
  <si>
    <t xml:space="preserve">  336-07-2</t>
  </si>
  <si>
    <t>1,1,1,2,2,3,3,4,4,5,5-Undecafluoropentane</t>
  </si>
  <si>
    <t xml:space="preserve">  375-61-1</t>
  </si>
  <si>
    <t>1H-Nonafluorobutane</t>
  </si>
  <si>
    <t xml:space="preserve">  375-17-7</t>
  </si>
  <si>
    <t>2,3,3,4,4,5,5-Heptafluoro-1-pentene</t>
  </si>
  <si>
    <t xml:space="preserve">  1547-26-8</t>
  </si>
  <si>
    <t>1H,1H,5H-Perfluoropentyl-1,1,2,2-tetrafluoroethylether</t>
  </si>
  <si>
    <t xml:space="preserve">  16627-71-7</t>
  </si>
  <si>
    <t>(1Z)-1,2,3,3,4,4,5,5,6,6,7,7,8,8,8-Pentadecafluorooct-1-ene</t>
  </si>
  <si>
    <t xml:space="preserve">  1516885-18-9</t>
  </si>
  <si>
    <t>(1Z)-1,2,3,3,4,4,5,5,6,6,6-Undecafluorohex-1-ene</t>
  </si>
  <si>
    <t xml:space="preserve">  168332-72-7</t>
  </si>
  <si>
    <t>1H-Perfluoro-1-heptene</t>
  </si>
  <si>
    <t xml:space="preserve">  75180-14-2</t>
  </si>
  <si>
    <t>1,2,3,3,4,4,5,5,6,6,6-Undecafluorohex-1-ene</t>
  </si>
  <si>
    <t xml:space="preserve">  66249-21-6</t>
  </si>
  <si>
    <t>(1E)-1,2,3,3,4,4,5,5,6,6,6-Undecafluorohex-1-ene</t>
  </si>
  <si>
    <t xml:space="preserve">  391199-64-7</t>
  </si>
  <si>
    <t>(1Z)-1,3,4,4,4-Pentafluoro-3-(trifluoromethyl)but-1-ene</t>
  </si>
  <si>
    <t xml:space="preserve">  14318-61-7</t>
  </si>
  <si>
    <t>(1E)-1,3,4,4,4-Pentafluoro-3-(trifluoromethyl)but-1-ene</t>
  </si>
  <si>
    <t xml:space="preserve">  14149-41-8</t>
  </si>
  <si>
    <t>1H,2H-Hexafluorocyclopentene</t>
  </si>
  <si>
    <t xml:space="preserve">  1005-73-8</t>
  </si>
  <si>
    <t>Cyclopentene, 1,3,3,4,4,5,5-heptafluoro-</t>
  </si>
  <si>
    <t xml:space="preserve">  1892-03-1</t>
  </si>
  <si>
    <t>1,2,4,5-Tetrafluoro-3-(1,1,1,2,3,3,3-heptafluoropropan-2-yl)-6-(trichloromethyl)benzene</t>
  </si>
  <si>
    <t xml:space="preserve">  136264-73-8</t>
  </si>
  <si>
    <t>2,3,5,6-Tetrafluoro-4-(1,1,1,2,3,3,3-heptafluoropropan-2-yl)benzonitrile</t>
  </si>
  <si>
    <t xml:space="preserve">  20017-54-3</t>
  </si>
  <si>
    <t>3-(Pentadecafluoroheptyl)-5-(pentafluorophenyl)-1,2,4-oxadiazole</t>
  </si>
  <si>
    <t xml:space="preserve">  919489-99-9</t>
  </si>
  <si>
    <t>3,4,5,6,7-Pentafluoro-3-(1,1,1,2,3,3,3-heptafluoropropan-2-yl)-2-benzofuran-1(3H)-one</t>
  </si>
  <si>
    <t xml:space="preserve">  1419865-31-8</t>
  </si>
  <si>
    <t>4,5,6,7-Tetrafluoro-3-(nonafluorobutyl)-1H-indazole</t>
  </si>
  <si>
    <t xml:space="preserve">  1610931-28-6</t>
  </si>
  <si>
    <t>4,5,6,7-Tetrafluoro-3-(heptafluoropropyl)-1H-indazole</t>
  </si>
  <si>
    <t xml:space="preserve">  1610931-26-4</t>
  </si>
  <si>
    <t>1H,1H,2H-Perfluorocyclopentane</t>
  </si>
  <si>
    <t xml:space="preserve">  15290-77-4</t>
  </si>
  <si>
    <t>1,2,4,5-Tetrafluoro-3-(heptafluoropropyl)benzene</t>
  </si>
  <si>
    <t xml:space="preserve">  153817-18-6</t>
  </si>
  <si>
    <t>4,4,5,5,6,6,6-Heptafluoro-1-(4-fluorophenyl)hexane-1,3-dione</t>
  </si>
  <si>
    <t xml:space="preserve">  70862-62-3</t>
  </si>
  <si>
    <t>1-Fluoro-4-(1,1,1,2,3,3,3-heptafluoropropan-2-yl)benzene</t>
  </si>
  <si>
    <t xml:space="preserve">  2396-25-0</t>
  </si>
  <si>
    <t>2,4-Difluoro-6-(1,1,1,2,3,3,3-heptafluoropropan-2-yl)-1,3,5-triazine</t>
  </si>
  <si>
    <t xml:space="preserve">  10271-35-9</t>
  </si>
  <si>
    <t>2-Fluoro-4,6-bis(1,1,1,2,3,3,3-heptafluoropropan-2-yl)-1,3,5-triazine</t>
  </si>
  <si>
    <t xml:space="preserve">  10271-36-0</t>
  </si>
  <si>
    <t>1,1,1,2,2,3,3,4-octafluorobutane</t>
  </si>
  <si>
    <t xml:space="preserve">  662-35-1</t>
  </si>
  <si>
    <t>(1r,4r)-4-(Nonafluorobutyl)cyclohexane-1-carboxamide</t>
  </si>
  <si>
    <t xml:space="preserve">  88951-21-7</t>
  </si>
  <si>
    <t>(1r,4r)-4-(Heptafluoropropyl)cyclohexane-1-carboxamide</t>
  </si>
  <si>
    <t xml:space="preserve">  88951-19-3</t>
  </si>
  <si>
    <t>(1s,4s)-4-(Nonafluorobutyl)cyclohexane-1-carboxamide</t>
  </si>
  <si>
    <t xml:space="preserve">  88951-20-6</t>
  </si>
  <si>
    <t>(1s,4s)-4-(Heptafluoropropyl)cyclohexane-1-carboxamide</t>
  </si>
  <si>
    <t xml:space="preserve">  88951-18-2</t>
  </si>
  <si>
    <t>6-Bromo-8-(1,1,1,2,3,3,3-heptafluoropropan-2-yl)quinolin-5-amine</t>
  </si>
  <si>
    <t xml:space="preserve">  917923-88-7</t>
  </si>
  <si>
    <t>3-(Tridecafluorohexyl)pyridin-4-amine</t>
  </si>
  <si>
    <t xml:space="preserve">  143094-26-2</t>
  </si>
  <si>
    <t>2-Fluoro-4-(nonafluorobutyl)aniline</t>
  </si>
  <si>
    <t xml:space="preserve">  821791-47-3</t>
  </si>
  <si>
    <t>Phenol, 2-amino-4-(heptafluoropropyl)-</t>
  </si>
  <si>
    <t xml:space="preserve">  61324-30-9</t>
  </si>
  <si>
    <t>2,5-Dichloro-4-(1,1,2,3,3,3-hexafluoropropoxy)aniline</t>
  </si>
  <si>
    <t xml:space="preserve">  103015-84-5</t>
  </si>
  <si>
    <t>4-(1,1,1,2,3,3,3-Heptafluoropropan-2-yl)benzene-1,3-diamine</t>
  </si>
  <si>
    <t xml:space="preserve">  58524-63-3</t>
  </si>
  <si>
    <t>4-perfluoroisopropylaniline</t>
  </si>
  <si>
    <t xml:space="preserve">  2396-17-0</t>
  </si>
  <si>
    <t>4-(Perfluorooctyl)aniline</t>
  </si>
  <si>
    <t xml:space="preserve">  83766-52-3</t>
  </si>
  <si>
    <t>4-(Tridecafluorohexyl)aniline</t>
  </si>
  <si>
    <t xml:space="preserve">  139613-90-4</t>
  </si>
  <si>
    <t>Benzenamine, 4-(nonafluorobutyl)-</t>
  </si>
  <si>
    <t xml:space="preserve">  114262-65-6</t>
  </si>
  <si>
    <t>4-(Nonafluorobutoxy)aniline</t>
  </si>
  <si>
    <t xml:space="preserve">  62315-18-8</t>
  </si>
  <si>
    <t>3-(Heptadecafluorooctyl)aniline</t>
  </si>
  <si>
    <t xml:space="preserve">  119489-67-7</t>
  </si>
  <si>
    <t>ST50977988</t>
  </si>
  <si>
    <t xml:space="preserve">  299937-37-4</t>
  </si>
  <si>
    <t>2-Bromo-6-(difluoromethoxy)-4-(1,1,1,2,3,3,3-heptafluoropropan-2-yl)aniline</t>
  </si>
  <si>
    <t xml:space="preserve">  1262665-49-5</t>
  </si>
  <si>
    <t>2-Chloro-6-(difluoromethoxy)-4-(1,1,1,2,3,3,3-heptafluoropropan-2-yl)aniline</t>
  </si>
  <si>
    <t xml:space="preserve">  1262665-50-8</t>
  </si>
  <si>
    <t>4-(1,1,1,2,3,3,3-Heptafluoropropan-2-yl)-2-iodo-6-(trifluoromethyl)aniline</t>
  </si>
  <si>
    <t xml:space="preserve">  1207315-39-6</t>
  </si>
  <si>
    <t>4-Amino-2-(1,1,1,2,3,3,3-heptafluoropropan-2-yl)benzonitrile</t>
  </si>
  <si>
    <t xml:space="preserve">  1463530-23-5</t>
  </si>
  <si>
    <t>4-Amino-2-(undecafluoropentyl)benzonitrile</t>
  </si>
  <si>
    <t xml:space="preserve">  1463530-19-9</t>
  </si>
  <si>
    <t>4-[5-(Heptafluoropropyl)-1H-1,2,4-triazol-3-yl]aniline</t>
  </si>
  <si>
    <t xml:space="preserve">  1692915-43-7</t>
  </si>
  <si>
    <t>6-(Heptafluoropropyl)pyridin-3-amine</t>
  </si>
  <si>
    <t xml:space="preserve">  317810-57-4</t>
  </si>
  <si>
    <t>3-(1,1,1,2,3,3,3-Heptafluoropropan-2-yl)aniline</t>
  </si>
  <si>
    <t xml:space="preserve">  2396-16-9</t>
  </si>
  <si>
    <t>3-(Tridecafluorohexyl)aniline</t>
  </si>
  <si>
    <t xml:space="preserve">  119534-79-1</t>
  </si>
  <si>
    <t>2-(1,1,1,2,3,3,3-Heptafluoropropan-2-yl)aniline</t>
  </si>
  <si>
    <t xml:space="preserve">  2396-15-8</t>
  </si>
  <si>
    <t>2-(Tridecafluorohexyl)aniline</t>
  </si>
  <si>
    <t xml:space="preserve">  139613-89-1</t>
  </si>
  <si>
    <t>2-(Nonafluorobutyl)aniline</t>
  </si>
  <si>
    <t xml:space="preserve">  106877-28-5</t>
  </si>
  <si>
    <t>3,5,6-Trifluoro-4-(1,1,1,2,3,3,3-heptafluoropropan-2-yl)pyridin-2-amine</t>
  </si>
  <si>
    <t xml:space="preserve">  55181-17-4</t>
  </si>
  <si>
    <t>2-(Heptafluoropropyl)-9H-purin-6-amine</t>
  </si>
  <si>
    <t xml:space="preserve">  147916-77-6</t>
  </si>
  <si>
    <t>4-Amino-2-(heptafluoropropyl)pyrimidine-5-carbonitrile</t>
  </si>
  <si>
    <t xml:space="preserve">  647-78-9</t>
  </si>
  <si>
    <t>8-(Heptafluoropropyl)adenosine</t>
  </si>
  <si>
    <t xml:space="preserve">  147916-81-2</t>
  </si>
  <si>
    <t>3-(Heptafluoropropyl)-1H-1,2,4-triazol-5-amine</t>
  </si>
  <si>
    <t xml:space="preserve">  25979-02-6</t>
  </si>
  <si>
    <t>N-[5-Borono-2-(heptafluoropropyl)phenyl]glycinamide</t>
  </si>
  <si>
    <t xml:space="preserve">  174778-60-0</t>
  </si>
  <si>
    <t>N-[3-Borono-4-(heptafluoropropyl)phenyl]glycinamide</t>
  </si>
  <si>
    <t xml:space="preserve">  174778-59-7</t>
  </si>
  <si>
    <t>5-(Perfluoropropyl)-2,2-dimethyl-3,5-pentanedione barium(2+) hydrate (2:1:1)</t>
  </si>
  <si>
    <t xml:space="preserve">  143457-82-3</t>
  </si>
  <si>
    <t>6,6,7,7,8,8,8-heptafluoro-2-methylocta-3,5-dione</t>
  </si>
  <si>
    <t xml:space="preserve">  40002-62-8</t>
  </si>
  <si>
    <t>B-(3,5-bis(Perfluoro-1-methylethyl)phenyl)boronic acid</t>
  </si>
  <si>
    <t xml:space="preserve">  1402929-36-5</t>
  </si>
  <si>
    <t>B-(4-(Perfluoro-1-methylethyl)phenyl)boronic acid</t>
  </si>
  <si>
    <t xml:space="preserve">  1184850-50-7</t>
  </si>
  <si>
    <t>(1r,4r)-4-(Nonafluorobutyl)cyclohexane-1-carboxylic acid</t>
  </si>
  <si>
    <t xml:space="preserve">  88951-25-1</t>
  </si>
  <si>
    <t>(1r,4r)-4-(Heptafluoropropyl)cyclohexane-1-carboxylic acid</t>
  </si>
  <si>
    <t xml:space="preserve">  88951-23-9</t>
  </si>
  <si>
    <t>(1s,4s)-4-(Nonafluorobutyl)cyclohexane-1-carboxylic acid</t>
  </si>
  <si>
    <t xml:space="preserve">  88951-24-0</t>
  </si>
  <si>
    <t>(1s,4s)-4-(Heptafluoropropyl)cyclohexane-1-carboxylic acid</t>
  </si>
  <si>
    <t xml:space="preserve">  88951-22-8</t>
  </si>
  <si>
    <t>2,2-Difluoro-3-(nonafluorobutoxy)propanoic acid</t>
  </si>
  <si>
    <t xml:space="preserve">  824393-39-7</t>
  </si>
  <si>
    <t>4-(Heptafluoroisopropyl)benzoic acid</t>
  </si>
  <si>
    <t xml:space="preserve">  2396-21-6</t>
  </si>
  <si>
    <t>4-(Heptadecafluorooctyl)benzoic acid</t>
  </si>
  <si>
    <t xml:space="preserve">  74701-33-0</t>
  </si>
  <si>
    <t>4-(Nonafluorobutyl)benzoic acid</t>
  </si>
  <si>
    <t xml:space="preserve">  13835-88-6</t>
  </si>
  <si>
    <t>4-(Heptafluoropropyl)benzoic acid</t>
  </si>
  <si>
    <t xml:space="preserve">  88950-94-1</t>
  </si>
  <si>
    <t>2-[2,3,3,3-Tetrafluoro-2-(trifluoromethyl)propanoyl]benzoic acid</t>
  </si>
  <si>
    <t xml:space="preserve">  62656-73-9</t>
  </si>
  <si>
    <t>2,3,5,6-Tetrafluoro-4-(1,1,1,2,3,3,3-heptafluoropropan-2-yl)benzoic acid</t>
  </si>
  <si>
    <t xml:space="preserve">  20017-56-5</t>
  </si>
  <si>
    <t>4-(Pentadecafluoroheptyl)cyclohexane-1-carboxylic acid</t>
  </si>
  <si>
    <t xml:space="preserve">  88951-28-4</t>
  </si>
  <si>
    <t>4-(Tridecafluorohexyl)cyclohexane-1-carboxylic acid</t>
  </si>
  <si>
    <t xml:space="preserve">  88951-27-3</t>
  </si>
  <si>
    <t>4-(Undecafluoropentyl)cyclohexane-1-carboxylic acid</t>
  </si>
  <si>
    <t xml:space="preserve">  88951-26-2</t>
  </si>
  <si>
    <t>4-(Heptafluoropropyl)cyclohexane-1-carboxylic acid</t>
  </si>
  <si>
    <t xml:space="preserve">  88951-29-5</t>
  </si>
  <si>
    <t>6-(Heptafluoropropyl)pyridine-3-carboxylic acid</t>
  </si>
  <si>
    <t xml:space="preserve">  1105981-44-9</t>
  </si>
  <si>
    <t>4-[(Pentadecafluoroheptyl)oxy]benzoic acid</t>
  </si>
  <si>
    <t xml:space="preserve">  75895-47-5</t>
  </si>
  <si>
    <t>3-(1,1,1,2,3,3,3-Heptafluoropropan-2-yl)benzoic acid</t>
  </si>
  <si>
    <t xml:space="preserve">  2396-20-5</t>
  </si>
  <si>
    <t>2-(Nonafluorobutyl)benzoic acid</t>
  </si>
  <si>
    <t xml:space="preserve">  14670-68-9</t>
  </si>
  <si>
    <t>2-(Heptafluoropropyl)pyridine-4-carboxylic acid</t>
  </si>
  <si>
    <t xml:space="preserve">  20897-65-8</t>
  </si>
  <si>
    <t>5,6,6,6-Tetrafluoro-4-oxo-5-(trifluoromethyl)hexanoic acid</t>
  </si>
  <si>
    <t xml:space="preserve">  62656-74-0</t>
  </si>
  <si>
    <t>3-(Nonafluorobutoxy)propanoic acid</t>
  </si>
  <si>
    <t xml:space="preserve">  919005-48-4</t>
  </si>
  <si>
    <t>5-(Perfluorooctyl)-1,3-bis(bis(trifluoromethyl)hydroxymethyl)benzene</t>
  </si>
  <si>
    <t xml:space="preserve">  89780-02-9</t>
  </si>
  <si>
    <t>3-(Bromomethyl)-1,1,1,2,2,4,4,5,5,6,6,6-dodecafluorohexan-3-ol</t>
  </si>
  <si>
    <t xml:space="preserve">  93417-72-2</t>
  </si>
  <si>
    <t>5-(Tridecafluorohexyl)uridine</t>
  </si>
  <si>
    <t xml:space="preserve">  58671-32-2</t>
  </si>
  <si>
    <t>5-(Heptafluoropropyl)uridine</t>
  </si>
  <si>
    <t xml:space="preserve">  144862-38-4</t>
  </si>
  <si>
    <t>2'-Deoxy-5-(tridecafluorohexyl)uridine</t>
  </si>
  <si>
    <t xml:space="preserve">  144862-39-5</t>
  </si>
  <si>
    <t>2'-Deoxy-5-(nonafluorobutyl)uridine</t>
  </si>
  <si>
    <t xml:space="preserve">  58671-35-5</t>
  </si>
  <si>
    <t>2'-Deoxy-5-(heptafluoropropyl)uridine</t>
  </si>
  <si>
    <t xml:space="preserve">  1033630-69-1</t>
  </si>
  <si>
    <t>4,5,6,7-Tetrafluoro-3-(1,1,1,2,3,3,3-heptafluoropropan-2-yl)-3-hydroxy-2-benzofuran-1(3H)-one</t>
  </si>
  <si>
    <t xml:space="preserve">  1419865-32-9</t>
  </si>
  <si>
    <t>2-(Tridecafluorohexyl)-5,6-dihydro-2H-pyran-2-ol</t>
  </si>
  <si>
    <t xml:space="preserve">  1401315-55-6</t>
  </si>
  <si>
    <t>Phenol, 4-(heptafluoropropyl)-2-nitro-</t>
  </si>
  <si>
    <t xml:space="preserve">  61324-29-6</t>
  </si>
  <si>
    <t>1-(2,4-Dihydroxyphenyl)-2,2,3,3,4,4,4-heptafluorobutan-1-one</t>
  </si>
  <si>
    <t xml:space="preserve">  65240-03-1</t>
  </si>
  <si>
    <t>4-(Nonafluorobutyl)phenol</t>
  </si>
  <si>
    <t xml:space="preserve">  123068-23-5</t>
  </si>
  <si>
    <t>Phenol, 4-(heptafluoropropyl)-</t>
  </si>
  <si>
    <t xml:space="preserve">  61324-28-5</t>
  </si>
  <si>
    <t>3-(Nonafluorobutyl)-1-phenyl-1H-pyrazol-5-ol</t>
  </si>
  <si>
    <t xml:space="preserve">  96146-02-0</t>
  </si>
  <si>
    <t>4-(1,1,1,2,3,3,3-Heptafluoropropan-2-yl)phenol</t>
  </si>
  <si>
    <t xml:space="preserve">  71360-30-0</t>
  </si>
  <si>
    <t>4-(Tridecafluorohexyl)phenol</t>
  </si>
  <si>
    <t xml:space="preserve">  106877-15-0</t>
  </si>
  <si>
    <t>3-Fluoro-4-{(E)-[4'-(heptafluoropropyl)[1,1'-biphenyl]-4-yl]diazenyl}phenol</t>
  </si>
  <si>
    <t xml:space="preserve">  113448-90-1</t>
  </si>
  <si>
    <t>3-(Heptadecafluorooctyl)oxan-2-ol</t>
  </si>
  <si>
    <t xml:space="preserve">  169213-95-0</t>
  </si>
  <si>
    <t>3-(Tridecafluorohexyl)oxan-2-ol</t>
  </si>
  <si>
    <t xml:space="preserve">  169213-94-9</t>
  </si>
  <si>
    <t>[4-(Heptadecafluorooctyl)phenyl]methanol</t>
  </si>
  <si>
    <t xml:space="preserve">  163114-33-8</t>
  </si>
  <si>
    <t>[4-(1,1,1,2,3,3,3-Heptafluoropropan-2-yl)phenyl]methanol</t>
  </si>
  <si>
    <t xml:space="preserve">  1137162-24-3</t>
  </si>
  <si>
    <t>4-Hydroxy-3-(hydroxyimino)-4-(nonafluorobutyl)-1,3,4,5-tetrahydro-2H-1,5-benzodiazepin-2-one</t>
  </si>
  <si>
    <t xml:space="preserve">  216307-12-9</t>
  </si>
  <si>
    <t>Ethanesulfonic acid, 1,1,2,2-tetrafluoro-2-((trifluoroethenyl)oxy)-, polymer with tetrafluoroethene</t>
  </si>
  <si>
    <t xml:space="preserve">  111173-25-2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</si>
</sst>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General_)"/>
    <numFmt numFmtId="165" formatCode="0.00E+00_)"/>
    <numFmt numFmtId="166" formatCode="0.0E+00_)"/>
    <numFmt numFmtId="167" formatCode="0.0E+0"/>
    <numFmt numFmtId="168" formatCode="0.0%"/>
    <numFmt numFmtId="169" formatCode="yyyy/mm/dd_)"/>
    <numFmt numFmtId="170" formatCode="\(0.0%\)"/>
    <numFmt numFmtId="171" formatCode="0.0E+00"/>
    <numFmt numFmtId="172" formatCode="0.000E+00"/>
    <numFmt numFmtId="173" formatCode="@_)"/>
    <numFmt numFmtId="174" formatCode="0.00000000000"/>
    <numFmt numFmtId="175" formatCode="0.00E+0"/>
    <numFmt numFmtId="176" formatCode="0.000000000000000000000000"/>
    <numFmt numFmtId="177" formatCode="0.0"/>
    <numFmt numFmtId="178" formatCode="0.000E+00_)"/>
  </numFmts>
  <fonts count="49" x14ac:knownFonts="1">
    <font>
      <sz val="10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b/>
      <i/>
      <sz val="10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0"/>
      <color indexed="10"/>
      <name val="Calibri"/>
      <family val="2"/>
    </font>
    <font>
      <b/>
      <sz val="10"/>
      <color indexed="10"/>
      <name val="Calibri"/>
      <family val="2"/>
    </font>
    <font>
      <vertAlign val="subscript"/>
      <sz val="10"/>
      <name val="Calibri"/>
      <family val="2"/>
    </font>
    <font>
      <vertAlign val="superscript"/>
      <sz val="10"/>
      <name val="Calibri"/>
      <family val="2"/>
    </font>
    <font>
      <b/>
      <i/>
      <sz val="12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i/>
      <sz val="10"/>
      <color indexed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b/>
      <i/>
      <sz val="11"/>
      <name val="Calibri"/>
      <family val="2"/>
    </font>
    <font>
      <b/>
      <sz val="10"/>
      <name val="MS Sans Serif"/>
      <family val="2"/>
    </font>
    <font>
      <u/>
      <sz val="10"/>
      <name val="Calibri"/>
      <family val="2"/>
    </font>
    <font>
      <b/>
      <u/>
      <sz val="10"/>
      <name val="Calibri"/>
      <family val="2"/>
    </font>
    <font>
      <sz val="10"/>
      <color theme="0" tint="-0.34998626667073579"/>
      <name val="Calibri"/>
      <family val="2"/>
    </font>
    <font>
      <sz val="10"/>
      <color rgb="FF3333FF"/>
      <name val="Calibri"/>
      <family val="2"/>
    </font>
    <font>
      <sz val="10"/>
      <color rgb="FFFF0000"/>
      <name val="Calibri"/>
      <family val="2"/>
    </font>
    <font>
      <b/>
      <sz val="10"/>
      <color rgb="FFFF0000"/>
      <name val="Calibri"/>
      <family val="2"/>
    </font>
    <font>
      <sz val="10"/>
      <color rgb="FFCC00CC"/>
      <name val="Calibri"/>
      <family val="2"/>
    </font>
    <font>
      <i/>
      <sz val="10"/>
      <color theme="0" tint="-0.34998626667073579"/>
      <name val="Calibri"/>
      <family val="2"/>
    </font>
    <font>
      <sz val="10"/>
      <color theme="6" tint="-0.499984740745262"/>
      <name val="Calibri"/>
      <family val="2"/>
    </font>
    <font>
      <sz val="11"/>
      <color rgb="FFFF0000"/>
      <name val="Calibri"/>
      <family val="2"/>
    </font>
    <font>
      <sz val="10"/>
      <color theme="9" tint="-0.249977111117893"/>
      <name val="Calibri"/>
      <family val="2"/>
    </font>
    <font>
      <sz val="11"/>
      <color theme="6" tint="-0.499984740745262"/>
      <name val="Calibri"/>
      <family val="2"/>
    </font>
    <font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FF"/>
      <name val="Calibri"/>
      <family val="2"/>
    </font>
    <font>
      <sz val="10"/>
      <color rgb="FFDC0000"/>
      <name val="Calibri"/>
      <family val="2"/>
    </font>
    <font>
      <u/>
      <sz val="8"/>
      <color rgb="FF0000DC"/>
      <name val="Arial"/>
      <family val="2"/>
    </font>
    <font>
      <sz val="10"/>
      <color rgb="FF008C00"/>
      <name val="Calibri"/>
      <family val="2"/>
    </font>
    <font>
      <sz val="10"/>
      <color rgb="FFC00000"/>
      <name val="Calibri"/>
      <family val="2"/>
    </font>
    <font>
      <sz val="10"/>
      <color theme="1"/>
      <name val="Calibri"/>
      <family val="2"/>
    </font>
    <font>
      <vertAlign val="superscript"/>
      <sz val="10"/>
      <color rgb="FFFF0000"/>
      <name val="Calibri"/>
      <family val="2"/>
    </font>
    <font>
      <vertAlign val="superscript"/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</borders>
  <cellStyleXfs count="12">
    <xf numFmtId="164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1" fillId="0" borderId="0"/>
    <xf numFmtId="164" fontId="7" fillId="0" borderId="0"/>
    <xf numFmtId="0" fontId="23" fillId="0" borderId="0"/>
    <xf numFmtId="0" fontId="23" fillId="0" borderId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687">
    <xf numFmtId="164" fontId="0" fillId="0" borderId="0" xfId="0"/>
    <xf numFmtId="164" fontId="6" fillId="2" borderId="0" xfId="0" applyFont="1" applyFill="1"/>
    <xf numFmtId="164" fontId="7" fillId="2" borderId="0" xfId="0" applyFont="1" applyFill="1"/>
    <xf numFmtId="14" fontId="9" fillId="2" borderId="0" xfId="0" applyNumberFormat="1" applyFont="1" applyFill="1" applyAlignment="1">
      <alignment horizontal="left"/>
    </xf>
    <xf numFmtId="164" fontId="9" fillId="2" borderId="0" xfId="0" applyFont="1" applyFill="1"/>
    <xf numFmtId="164" fontId="10" fillId="2" borderId="0" xfId="0" applyFont="1" applyFill="1"/>
    <xf numFmtId="164" fontId="7" fillId="2" borderId="0" xfId="0" quotePrefix="1" applyFont="1" applyFill="1"/>
    <xf numFmtId="164" fontId="7" fillId="0" borderId="0" xfId="0" applyFont="1"/>
    <xf numFmtId="171" fontId="7" fillId="0" borderId="0" xfId="0" applyNumberFormat="1" applyFont="1" applyAlignment="1">
      <alignment horizontal="center"/>
    </xf>
    <xf numFmtId="11" fontId="7" fillId="0" borderId="0" xfId="0" applyNumberFormat="1" applyFont="1"/>
    <xf numFmtId="164" fontId="7" fillId="0" borderId="0" xfId="0" applyFont="1" applyAlignment="1">
      <alignment horizontal="right"/>
    </xf>
    <xf numFmtId="11" fontId="7" fillId="0" borderId="1" xfId="0" quotePrefix="1" applyNumberFormat="1" applyFont="1" applyBorder="1" applyAlignment="1">
      <alignment horizontal="left"/>
    </xf>
    <xf numFmtId="11" fontId="7" fillId="0" borderId="1" xfId="0" applyNumberFormat="1" applyFont="1" applyBorder="1"/>
    <xf numFmtId="171" fontId="7" fillId="0" borderId="2" xfId="0" applyNumberFormat="1" applyFont="1" applyBorder="1" applyAlignment="1">
      <alignment horizontal="left"/>
    </xf>
    <xf numFmtId="164" fontId="9" fillId="0" borderId="0" xfId="0" applyFont="1" applyAlignment="1">
      <alignment horizontal="right"/>
    </xf>
    <xf numFmtId="172" fontId="9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left"/>
    </xf>
    <xf numFmtId="164" fontId="19" fillId="2" borderId="0" xfId="0" applyFont="1" applyFill="1"/>
    <xf numFmtId="164" fontId="7" fillId="0" borderId="0" xfId="0" applyFont="1" applyAlignment="1">
      <alignment horizontal="center"/>
    </xf>
    <xf numFmtId="164" fontId="20" fillId="0" borderId="0" xfId="0" applyFont="1" applyAlignment="1">
      <alignment horizontal="center"/>
    </xf>
    <xf numFmtId="164" fontId="10" fillId="2" borderId="0" xfId="0" applyFont="1" applyFill="1" applyAlignment="1">
      <alignment horizontal="left"/>
    </xf>
    <xf numFmtId="11" fontId="7" fillId="2" borderId="0" xfId="0" applyNumberFormat="1" applyFont="1" applyFill="1" applyAlignment="1">
      <alignment horizontal="center"/>
    </xf>
    <xf numFmtId="164" fontId="7" fillId="0" borderId="0" xfId="0" applyFont="1" applyAlignment="1">
      <alignment horizontal="left"/>
    </xf>
    <xf numFmtId="1" fontId="7" fillId="0" borderId="0" xfId="0" applyNumberFormat="1" applyFont="1" applyAlignment="1">
      <alignment horizontal="center"/>
    </xf>
    <xf numFmtId="164" fontId="20" fillId="0" borderId="0" xfId="0" applyFont="1" applyAlignment="1">
      <alignment horizontal="center" vertical="center"/>
    </xf>
    <xf numFmtId="164" fontId="2" fillId="2" borderId="0" xfId="1" applyNumberFormat="1" applyFill="1" applyAlignment="1" applyProtection="1">
      <alignment horizontal="left"/>
    </xf>
    <xf numFmtId="164" fontId="20" fillId="0" borderId="0" xfId="0" applyFont="1"/>
    <xf numFmtId="164" fontId="22" fillId="0" borderId="0" xfId="0" applyFont="1"/>
    <xf numFmtId="164" fontId="20" fillId="0" borderId="0" xfId="0" applyFont="1" applyAlignment="1">
      <alignment horizontal="left"/>
    </xf>
    <xf numFmtId="164" fontId="0" fillId="2" borderId="0" xfId="0" applyFill="1"/>
    <xf numFmtId="164" fontId="0" fillId="2" borderId="0" xfId="0" quotePrefix="1" applyFill="1"/>
    <xf numFmtId="164" fontId="8" fillId="2" borderId="5" xfId="0" applyFont="1" applyFill="1" applyBorder="1"/>
    <xf numFmtId="164" fontId="0" fillId="2" borderId="5" xfId="0" applyFill="1" applyBorder="1"/>
    <xf numFmtId="11" fontId="0" fillId="2" borderId="6" xfId="0" applyNumberFormat="1" applyFill="1" applyBorder="1" applyAlignment="1">
      <alignment horizontal="left"/>
    </xf>
    <xf numFmtId="164" fontId="0" fillId="2" borderId="6" xfId="0" applyFill="1" applyBorder="1"/>
    <xf numFmtId="164" fontId="0" fillId="2" borderId="7" xfId="0" applyFill="1" applyBorder="1" applyAlignment="1">
      <alignment horizontal="left"/>
    </xf>
    <xf numFmtId="164" fontId="0" fillId="2" borderId="0" xfId="0" applyFill="1" applyAlignment="1">
      <alignment horizontal="left"/>
    </xf>
    <xf numFmtId="165" fontId="0" fillId="2" borderId="0" xfId="0" applyNumberFormat="1" applyFill="1" applyAlignment="1">
      <alignment horizontal="left"/>
    </xf>
    <xf numFmtId="164" fontId="21" fillId="2" borderId="8" xfId="0" applyFont="1" applyFill="1" applyBorder="1" applyAlignment="1">
      <alignment horizontal="left"/>
    </xf>
    <xf numFmtId="164" fontId="21" fillId="2" borderId="8" xfId="0" applyFont="1" applyFill="1" applyBorder="1"/>
    <xf numFmtId="164" fontId="10" fillId="2" borderId="3" xfId="0" applyFont="1" applyFill="1" applyBorder="1" applyAlignment="1">
      <alignment horizontal="right"/>
    </xf>
    <xf numFmtId="164" fontId="10" fillId="2" borderId="9" xfId="0" applyFont="1" applyFill="1" applyBorder="1" applyAlignment="1">
      <alignment horizontal="right"/>
    </xf>
    <xf numFmtId="164" fontId="15" fillId="2" borderId="0" xfId="0" applyFont="1" applyFill="1"/>
    <xf numFmtId="11" fontId="7" fillId="2" borderId="0" xfId="0" applyNumberFormat="1" applyFont="1" applyFill="1"/>
    <xf numFmtId="164" fontId="10" fillId="2" borderId="0" xfId="0" quotePrefix="1" applyFont="1" applyFill="1" applyAlignment="1">
      <alignment horizontal="left"/>
    </xf>
    <xf numFmtId="164" fontId="9" fillId="2" borderId="0" xfId="0" applyFont="1" applyFill="1" applyAlignment="1">
      <alignment horizontal="left"/>
    </xf>
    <xf numFmtId="164" fontId="8" fillId="2" borderId="0" xfId="0" applyFont="1" applyFill="1"/>
    <xf numFmtId="167" fontId="10" fillId="2" borderId="0" xfId="0" applyNumberFormat="1" applyFont="1" applyFill="1" applyAlignment="1">
      <alignment horizontal="right"/>
    </xf>
    <xf numFmtId="10" fontId="10" fillId="2" borderId="0" xfId="0" applyNumberFormat="1" applyFont="1" applyFill="1" applyAlignment="1">
      <alignment horizontal="left"/>
    </xf>
    <xf numFmtId="10" fontId="16" fillId="2" borderId="0" xfId="0" applyNumberFormat="1" applyFont="1" applyFill="1"/>
    <xf numFmtId="164" fontId="10" fillId="2" borderId="17" xfId="0" applyFont="1" applyFill="1" applyBorder="1" applyAlignment="1">
      <alignment horizontal="left"/>
    </xf>
    <xf numFmtId="164" fontId="10" fillId="2" borderId="3" xfId="0" applyFont="1" applyFill="1" applyBorder="1" applyAlignment="1">
      <alignment horizontal="left"/>
    </xf>
    <xf numFmtId="167" fontId="10" fillId="2" borderId="0" xfId="0" applyNumberFormat="1" applyFont="1" applyFill="1"/>
    <xf numFmtId="167" fontId="17" fillId="2" borderId="0" xfId="0" quotePrefix="1" applyNumberFormat="1" applyFont="1" applyFill="1"/>
    <xf numFmtId="167" fontId="17" fillId="2" borderId="0" xfId="0" applyNumberFormat="1" applyFont="1" applyFill="1"/>
    <xf numFmtId="167" fontId="10" fillId="2" borderId="0" xfId="0" applyNumberFormat="1" applyFont="1" applyFill="1" applyAlignment="1">
      <alignment horizontal="left"/>
    </xf>
    <xf numFmtId="167" fontId="18" fillId="2" borderId="0" xfId="0" applyNumberFormat="1" applyFont="1" applyFill="1"/>
    <xf numFmtId="11" fontId="10" fillId="2" borderId="0" xfId="0" applyNumberFormat="1" applyFont="1" applyFill="1"/>
    <xf numFmtId="10" fontId="16" fillId="2" borderId="0" xfId="8" applyNumberFormat="1" applyFont="1" applyFill="1" applyAlignment="1"/>
    <xf numFmtId="167" fontId="16" fillId="2" borderId="0" xfId="0" quotePrefix="1" applyNumberFormat="1" applyFont="1" applyFill="1"/>
    <xf numFmtId="164" fontId="10" fillId="2" borderId="0" xfId="0" applyFont="1" applyFill="1" applyAlignment="1">
      <alignment horizontal="right"/>
    </xf>
    <xf numFmtId="164" fontId="10" fillId="0" borderId="0" xfId="0" quotePrefix="1" applyFont="1" applyAlignment="1">
      <alignment horizontal="left"/>
    </xf>
    <xf numFmtId="164" fontId="8" fillId="2" borderId="0" xfId="0" quotePrefix="1" applyFont="1" applyFill="1" applyAlignment="1">
      <alignment horizontal="left"/>
    </xf>
    <xf numFmtId="164" fontId="10" fillId="2" borderId="18" xfId="0" applyFont="1" applyFill="1" applyBorder="1" applyAlignment="1">
      <alignment horizontal="left"/>
    </xf>
    <xf numFmtId="164" fontId="10" fillId="2" borderId="9" xfId="0" applyFont="1" applyFill="1" applyBorder="1" applyAlignment="1">
      <alignment horizontal="left"/>
    </xf>
    <xf numFmtId="164" fontId="10" fillId="2" borderId="19" xfId="0" applyFont="1" applyFill="1" applyBorder="1"/>
    <xf numFmtId="164" fontId="10" fillId="2" borderId="11" xfId="0" applyFont="1" applyFill="1" applyBorder="1"/>
    <xf numFmtId="164" fontId="8" fillId="2" borderId="17" xfId="0" applyFont="1" applyFill="1" applyBorder="1" applyAlignment="1">
      <alignment horizontal="left"/>
    </xf>
    <xf numFmtId="164" fontId="7" fillId="2" borderId="0" xfId="0" applyFont="1" applyFill="1" applyAlignment="1">
      <alignment horizontal="right"/>
    </xf>
    <xf numFmtId="164" fontId="21" fillId="2" borderId="3" xfId="0" applyFont="1" applyFill="1" applyBorder="1" applyAlignment="1">
      <alignment horizontal="left"/>
    </xf>
    <xf numFmtId="164" fontId="21" fillId="2" borderId="3" xfId="0" applyFont="1" applyFill="1" applyBorder="1"/>
    <xf numFmtId="11" fontId="9" fillId="0" borderId="4" xfId="0" applyNumberFormat="1" applyFont="1" applyBorder="1" applyAlignment="1">
      <alignment horizontal="right"/>
    </xf>
    <xf numFmtId="164" fontId="9" fillId="0" borderId="3" xfId="0" applyFont="1" applyBorder="1" applyAlignment="1">
      <alignment horizontal="right"/>
    </xf>
    <xf numFmtId="169" fontId="7" fillId="2" borderId="0" xfId="0" applyNumberFormat="1" applyFont="1" applyFill="1"/>
    <xf numFmtId="11" fontId="7" fillId="2" borderId="0" xfId="0" applyNumberFormat="1" applyFont="1" applyFill="1" applyAlignment="1">
      <alignment horizontal="right"/>
    </xf>
    <xf numFmtId="167" fontId="7" fillId="2" borderId="0" xfId="0" applyNumberFormat="1" applyFont="1" applyFill="1"/>
    <xf numFmtId="11" fontId="7" fillId="2" borderId="0" xfId="0" applyNumberFormat="1" applyFont="1" applyFill="1" applyAlignment="1">
      <alignment horizontal="left"/>
    </xf>
    <xf numFmtId="167" fontId="7" fillId="2" borderId="0" xfId="0" quotePrefix="1" applyNumberFormat="1" applyFont="1" applyFill="1"/>
    <xf numFmtId="10" fontId="7" fillId="2" borderId="0" xfId="0" applyNumberFormat="1" applyFont="1" applyFill="1"/>
    <xf numFmtId="164" fontId="0" fillId="0" borderId="0" xfId="0" applyAlignment="1">
      <alignment horizontal="left"/>
    </xf>
    <xf numFmtId="164" fontId="29" fillId="2" borderId="0" xfId="0" applyFont="1" applyFill="1" applyAlignment="1">
      <alignment horizontal="right"/>
    </xf>
    <xf numFmtId="167" fontId="29" fillId="2" borderId="0" xfId="0" applyNumberFormat="1" applyFont="1" applyFill="1"/>
    <xf numFmtId="11" fontId="29" fillId="2" borderId="0" xfId="0" applyNumberFormat="1" applyFont="1" applyFill="1" applyAlignment="1">
      <alignment horizontal="left"/>
    </xf>
    <xf numFmtId="164" fontId="29" fillId="2" borderId="0" xfId="0" applyFont="1" applyFill="1"/>
    <xf numFmtId="11" fontId="29" fillId="2" borderId="0" xfId="0" applyNumberFormat="1" applyFont="1" applyFill="1"/>
    <xf numFmtId="164" fontId="29" fillId="2" borderId="0" xfId="0" applyFont="1" applyFill="1" applyAlignment="1">
      <alignment horizontal="left"/>
    </xf>
    <xf numFmtId="11" fontId="30" fillId="2" borderId="0" xfId="0" applyNumberFormat="1" applyFont="1" applyFill="1" applyAlignment="1">
      <alignment horizontal="center"/>
    </xf>
    <xf numFmtId="167" fontId="30" fillId="2" borderId="0" xfId="0" applyNumberFormat="1" applyFont="1" applyFill="1"/>
    <xf numFmtId="167" fontId="31" fillId="2" borderId="0" xfId="0" applyNumberFormat="1" applyFont="1" applyFill="1"/>
    <xf numFmtId="11" fontId="30" fillId="2" borderId="0" xfId="0" applyNumberFormat="1" applyFont="1" applyFill="1"/>
    <xf numFmtId="164" fontId="30" fillId="2" borderId="0" xfId="0" applyFont="1" applyFill="1"/>
    <xf numFmtId="164" fontId="0" fillId="2" borderId="0" xfId="0" applyFill="1" applyAlignment="1">
      <alignment horizontal="left" vertical="center"/>
    </xf>
    <xf numFmtId="164" fontId="0" fillId="2" borderId="0" xfId="0" applyFill="1" applyAlignment="1">
      <alignment vertical="center"/>
    </xf>
    <xf numFmtId="165" fontId="0" fillId="2" borderId="0" xfId="0" applyNumberFormat="1" applyFill="1" applyAlignment="1">
      <alignment horizontal="left" vertical="center"/>
    </xf>
    <xf numFmtId="165" fontId="0" fillId="2" borderId="0" xfId="0" quotePrefix="1" applyNumberFormat="1" applyFill="1" applyAlignment="1">
      <alignment horizontal="left"/>
    </xf>
    <xf numFmtId="164" fontId="0" fillId="2" borderId="0" xfId="0" quotePrefix="1" applyFill="1" applyAlignment="1">
      <alignment horizontal="left"/>
    </xf>
    <xf numFmtId="165" fontId="0" fillId="2" borderId="0" xfId="0" applyNumberFormat="1" applyFill="1"/>
    <xf numFmtId="164" fontId="0" fillId="2" borderId="2" xfId="0" applyFill="1" applyBorder="1"/>
    <xf numFmtId="164" fontId="0" fillId="2" borderId="2" xfId="0" applyFill="1" applyBorder="1" applyAlignment="1">
      <alignment horizontal="left"/>
    </xf>
    <xf numFmtId="165" fontId="0" fillId="2" borderId="0" xfId="0" applyNumberFormat="1" applyFill="1" applyAlignment="1">
      <alignment horizontal="right"/>
    </xf>
    <xf numFmtId="164" fontId="0" fillId="2" borderId="0" xfId="0" applyFill="1" applyAlignment="1">
      <alignment horizontal="right"/>
    </xf>
    <xf numFmtId="0" fontId="0" fillId="2" borderId="0" xfId="0" applyNumberFormat="1" applyFill="1"/>
    <xf numFmtId="11" fontId="0" fillId="2" borderId="0" xfId="0" quotePrefix="1" applyNumberFormat="1" applyFill="1" applyProtection="1">
      <protection locked="0"/>
    </xf>
    <xf numFmtId="164" fontId="0" fillId="2" borderId="0" xfId="0" applyFill="1" applyProtection="1">
      <protection locked="0"/>
    </xf>
    <xf numFmtId="169" fontId="0" fillId="2" borderId="0" xfId="0" applyNumberFormat="1" applyFill="1" applyAlignment="1">
      <alignment horizontal="left"/>
    </xf>
    <xf numFmtId="164" fontId="0" fillId="2" borderId="0" xfId="0" quotePrefix="1" applyFill="1" applyProtection="1">
      <protection locked="0"/>
    </xf>
    <xf numFmtId="164" fontId="0" fillId="2" borderId="20" xfId="0" applyFill="1" applyBorder="1"/>
    <xf numFmtId="164" fontId="0" fillId="2" borderId="21" xfId="0" applyFill="1" applyBorder="1" applyAlignment="1">
      <alignment horizontal="left"/>
    </xf>
    <xf numFmtId="164" fontId="0" fillId="2" borderId="18" xfId="0" applyFill="1" applyBorder="1" applyAlignment="1">
      <alignment horizontal="center"/>
    </xf>
    <xf numFmtId="164" fontId="0" fillId="2" borderId="20" xfId="0" applyFill="1" applyBorder="1" applyAlignment="1">
      <alignment horizontal="left"/>
    </xf>
    <xf numFmtId="164" fontId="0" fillId="2" borderId="17" xfId="0" applyFill="1" applyBorder="1" applyAlignment="1">
      <alignment horizontal="left"/>
    </xf>
    <xf numFmtId="164" fontId="0" fillId="2" borderId="18" xfId="0" applyFill="1" applyBorder="1" applyAlignment="1">
      <alignment horizontal="left"/>
    </xf>
    <xf numFmtId="164" fontId="0" fillId="2" borderId="7" xfId="0" applyFill="1" applyBorder="1"/>
    <xf numFmtId="164" fontId="0" fillId="2" borderId="22" xfId="0" applyFill="1" applyBorder="1"/>
    <xf numFmtId="164" fontId="0" fillId="2" borderId="9" xfId="0" applyFill="1" applyBorder="1"/>
    <xf numFmtId="164" fontId="0" fillId="2" borderId="3" xfId="0" applyFill="1" applyBorder="1" applyAlignment="1">
      <alignment horizontal="left"/>
    </xf>
    <xf numFmtId="164" fontId="0" fillId="2" borderId="9" xfId="0" applyFill="1" applyBorder="1" applyAlignment="1">
      <alignment horizontal="left"/>
    </xf>
    <xf numFmtId="170" fontId="0" fillId="2" borderId="4" xfId="0" applyNumberFormat="1" applyFill="1" applyBorder="1" applyAlignment="1">
      <alignment horizontal="left"/>
    </xf>
    <xf numFmtId="170" fontId="0" fillId="2" borderId="23" xfId="0" applyNumberFormat="1" applyFill="1" applyBorder="1" applyAlignment="1">
      <alignment horizontal="left"/>
    </xf>
    <xf numFmtId="164" fontId="0" fillId="2" borderId="23" xfId="0" applyFill="1" applyBorder="1" applyAlignment="1">
      <alignment horizontal="left"/>
    </xf>
    <xf numFmtId="164" fontId="0" fillId="2" borderId="6" xfId="0" applyFill="1" applyBorder="1" applyAlignment="1">
      <alignment horizontal="left"/>
    </xf>
    <xf numFmtId="164" fontId="0" fillId="2" borderId="11" xfId="0" applyFill="1" applyBorder="1"/>
    <xf numFmtId="170" fontId="0" fillId="2" borderId="0" xfId="0" applyNumberFormat="1" applyFill="1" applyAlignment="1">
      <alignment horizontal="left"/>
    </xf>
    <xf numFmtId="170" fontId="0" fillId="2" borderId="6" xfId="0" applyNumberFormat="1" applyFill="1" applyBorder="1" applyAlignment="1">
      <alignment horizontal="left"/>
    </xf>
    <xf numFmtId="164" fontId="0" fillId="2" borderId="16" xfId="0" applyFill="1" applyBorder="1"/>
    <xf numFmtId="164" fontId="0" fillId="2" borderId="15" xfId="0" applyFill="1" applyBorder="1"/>
    <xf numFmtId="168" fontId="0" fillId="2" borderId="3" xfId="0" applyNumberFormat="1" applyFill="1" applyBorder="1" applyAlignment="1">
      <alignment horizontal="left"/>
    </xf>
    <xf numFmtId="168" fontId="0" fillId="2" borderId="9" xfId="0" applyNumberFormat="1" applyFill="1" applyBorder="1" applyAlignment="1">
      <alignment horizontal="left"/>
    </xf>
    <xf numFmtId="11" fontId="0" fillId="2" borderId="0" xfId="0" applyNumberFormat="1" applyFill="1"/>
    <xf numFmtId="164" fontId="0" fillId="2" borderId="12" xfId="0" applyFill="1" applyBorder="1"/>
    <xf numFmtId="170" fontId="0" fillId="2" borderId="14" xfId="0" applyNumberFormat="1" applyFill="1" applyBorder="1" applyAlignment="1">
      <alignment horizontal="left"/>
    </xf>
    <xf numFmtId="168" fontId="0" fillId="2" borderId="0" xfId="0" applyNumberFormat="1" applyFill="1"/>
    <xf numFmtId="164" fontId="0" fillId="2" borderId="10" xfId="0" applyFill="1" applyBorder="1" applyAlignment="1">
      <alignment vertical="center"/>
    </xf>
    <xf numFmtId="164" fontId="0" fillId="2" borderId="0" xfId="0" applyFill="1" applyAlignment="1">
      <alignment horizontal="right" vertical="center"/>
    </xf>
    <xf numFmtId="164" fontId="0" fillId="2" borderId="3" xfId="0" applyFill="1" applyBorder="1"/>
    <xf numFmtId="164" fontId="0" fillId="2" borderId="4" xfId="0" applyFill="1" applyBorder="1" applyAlignment="1">
      <alignment horizontal="left"/>
    </xf>
    <xf numFmtId="164" fontId="0" fillId="2" borderId="8" xfId="0" applyFill="1" applyBorder="1" applyAlignment="1">
      <alignment horizontal="left"/>
    </xf>
    <xf numFmtId="164" fontId="0" fillId="0" borderId="0" xfId="0" applyAlignment="1">
      <alignment horizontal="center"/>
    </xf>
    <xf numFmtId="164" fontId="0" fillId="5" borderId="24" xfId="0" applyFill="1" applyBorder="1"/>
    <xf numFmtId="164" fontId="0" fillId="5" borderId="4" xfId="0" applyFill="1" applyBorder="1"/>
    <xf numFmtId="11" fontId="0" fillId="0" borderId="24" xfId="0" applyNumberFormat="1" applyBorder="1"/>
    <xf numFmtId="164" fontId="0" fillId="0" borderId="22" xfId="0" applyBorder="1" applyAlignment="1">
      <alignment horizontal="left"/>
    </xf>
    <xf numFmtId="11" fontId="0" fillId="0" borderId="3" xfId="0" applyNumberFormat="1" applyBorder="1" applyAlignment="1">
      <alignment horizontal="center"/>
    </xf>
    <xf numFmtId="164" fontId="0" fillId="0" borderId="0" xfId="0" quotePrefix="1" applyAlignment="1">
      <alignment horizontal="left"/>
    </xf>
    <xf numFmtId="11" fontId="0" fillId="0" borderId="0" xfId="0" applyNumberFormat="1" applyAlignment="1">
      <alignment horizontal="center"/>
    </xf>
    <xf numFmtId="164" fontId="0" fillId="5" borderId="25" xfId="0" applyFill="1" applyBorder="1" applyAlignment="1">
      <alignment horizontal="left"/>
    </xf>
    <xf numFmtId="164" fontId="0" fillId="0" borderId="5" xfId="0" applyBorder="1" applyAlignment="1">
      <alignment horizontal="left"/>
    </xf>
    <xf numFmtId="164" fontId="0" fillId="0" borderId="5" xfId="0" quotePrefix="1" applyBorder="1" applyAlignment="1">
      <alignment horizontal="left"/>
    </xf>
    <xf numFmtId="164" fontId="0" fillId="0" borderId="22" xfId="0" quotePrefix="1" applyBorder="1" applyAlignment="1">
      <alignment horizontal="left"/>
    </xf>
    <xf numFmtId="164" fontId="0" fillId="5" borderId="2" xfId="0" applyFill="1" applyBorder="1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8" applyFont="1" applyFill="1" applyBorder="1" applyAlignment="1" applyProtection="1">
      <alignment horizontal="center"/>
    </xf>
    <xf numFmtId="11" fontId="0" fillId="0" borderId="5" xfId="0" applyNumberFormat="1" applyBorder="1" applyAlignment="1">
      <alignment horizontal="left"/>
    </xf>
    <xf numFmtId="11" fontId="0" fillId="0" borderId="25" xfId="0" applyNumberFormat="1" applyBorder="1" applyAlignment="1">
      <alignment horizontal="left"/>
    </xf>
    <xf numFmtId="165" fontId="0" fillId="0" borderId="2" xfId="0" applyNumberFormat="1" applyBorder="1" applyAlignment="1">
      <alignment horizontal="center"/>
    </xf>
    <xf numFmtId="165" fontId="0" fillId="0" borderId="26" xfId="0" applyNumberFormat="1" applyBorder="1" applyAlignment="1">
      <alignment horizontal="center"/>
    </xf>
    <xf numFmtId="165" fontId="0" fillId="2" borderId="10" xfId="0" applyNumberFormat="1" applyFill="1" applyBorder="1" applyAlignment="1">
      <alignment horizontal="left" vertical="center"/>
    </xf>
    <xf numFmtId="164" fontId="0" fillId="2" borderId="10" xfId="0" applyFill="1" applyBorder="1" applyAlignment="1">
      <alignment horizontal="right" vertical="center"/>
    </xf>
    <xf numFmtId="11" fontId="0" fillId="2" borderId="0" xfId="0" applyNumberFormat="1" applyFill="1" applyAlignment="1">
      <alignment horizontal="center"/>
    </xf>
    <xf numFmtId="164" fontId="7" fillId="6" borderId="0" xfId="0" applyFont="1" applyFill="1"/>
    <xf numFmtId="164" fontId="7" fillId="6" borderId="0" xfId="0" applyFont="1" applyFill="1" applyAlignment="1">
      <alignment horizontal="left"/>
    </xf>
    <xf numFmtId="1" fontId="7" fillId="6" borderId="0" xfId="0" applyNumberFormat="1" applyFont="1" applyFill="1" applyAlignment="1">
      <alignment horizontal="center"/>
    </xf>
    <xf numFmtId="164" fontId="0" fillId="6" borderId="0" xfId="0" applyFill="1" applyAlignment="1">
      <alignment horizontal="left"/>
    </xf>
    <xf numFmtId="164" fontId="17" fillId="6" borderId="0" xfId="0" applyFont="1" applyFill="1" applyAlignment="1">
      <alignment horizontal="left"/>
    </xf>
    <xf numFmtId="164" fontId="10" fillId="6" borderId="0" xfId="0" applyFont="1" applyFill="1" applyAlignment="1">
      <alignment horizontal="left"/>
    </xf>
    <xf numFmtId="164" fontId="7" fillId="6" borderId="0" xfId="0" applyFont="1" applyFill="1" applyAlignment="1">
      <alignment horizontal="center"/>
    </xf>
    <xf numFmtId="164" fontId="7" fillId="6" borderId="17" xfId="0" applyFont="1" applyFill="1" applyBorder="1" applyAlignment="1">
      <alignment horizontal="left"/>
    </xf>
    <xf numFmtId="164" fontId="0" fillId="6" borderId="17" xfId="0" applyFill="1" applyBorder="1" applyAlignment="1">
      <alignment horizontal="left"/>
    </xf>
    <xf numFmtId="1" fontId="7" fillId="6" borderId="17" xfId="0" applyNumberFormat="1" applyFont="1" applyFill="1" applyBorder="1" applyAlignment="1">
      <alignment horizontal="center"/>
    </xf>
    <xf numFmtId="171" fontId="7" fillId="6" borderId="17" xfId="0" applyNumberFormat="1" applyFont="1" applyFill="1" applyBorder="1" applyAlignment="1">
      <alignment horizontal="center"/>
    </xf>
    <xf numFmtId="171" fontId="0" fillId="6" borderId="17" xfId="0" applyNumberFormat="1" applyFill="1" applyBorder="1" applyAlignment="1">
      <alignment horizontal="center"/>
    </xf>
    <xf numFmtId="11" fontId="8" fillId="6" borderId="0" xfId="0" applyNumberFormat="1" applyFont="1" applyFill="1" applyAlignment="1">
      <alignment horizontal="center"/>
    </xf>
    <xf numFmtId="9" fontId="7" fillId="6" borderId="0" xfId="8" applyFont="1" applyFill="1" applyBorder="1" applyAlignment="1">
      <alignment horizontal="center"/>
    </xf>
    <xf numFmtId="164" fontId="26" fillId="6" borderId="0" xfId="0" applyFont="1" applyFill="1" applyAlignment="1">
      <alignment horizontal="left"/>
    </xf>
    <xf numFmtId="164" fontId="0" fillId="6" borderId="0" xfId="0" applyFill="1"/>
    <xf numFmtId="1" fontId="7" fillId="6" borderId="0" xfId="8" applyNumberFormat="1" applyFont="1" applyFill="1" applyBorder="1" applyAlignment="1">
      <alignment horizontal="center"/>
    </xf>
    <xf numFmtId="164" fontId="0" fillId="6" borderId="0" xfId="0" applyFill="1" applyAlignment="1">
      <alignment horizontal="center"/>
    </xf>
    <xf numFmtId="171" fontId="0" fillId="6" borderId="0" xfId="0" applyNumberFormat="1" applyFill="1" applyAlignment="1">
      <alignment horizontal="center"/>
    </xf>
    <xf numFmtId="171" fontId="7" fillId="6" borderId="0" xfId="8" applyNumberFormat="1" applyFon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6" borderId="17" xfId="0" applyNumberFormat="1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9" fontId="0" fillId="6" borderId="0" xfId="0" applyNumberFormat="1" applyFill="1" applyAlignment="1">
      <alignment horizontal="center"/>
    </xf>
    <xf numFmtId="9" fontId="7" fillId="6" borderId="0" xfId="0" applyNumberFormat="1" applyFont="1" applyFill="1" applyAlignment="1">
      <alignment horizontal="center"/>
    </xf>
    <xf numFmtId="9" fontId="0" fillId="6" borderId="17" xfId="0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1" fontId="0" fillId="6" borderId="17" xfId="0" applyNumberFormat="1" applyFill="1" applyBorder="1" applyAlignment="1">
      <alignment horizontal="center"/>
    </xf>
    <xf numFmtId="0" fontId="7" fillId="6" borderId="0" xfId="0" applyNumberFormat="1" applyFont="1" applyFill="1"/>
    <xf numFmtId="171" fontId="7" fillId="6" borderId="0" xfId="0" applyNumberFormat="1" applyFont="1" applyFill="1" applyAlignment="1">
      <alignment horizontal="center"/>
    </xf>
    <xf numFmtId="164" fontId="7" fillId="6" borderId="0" xfId="0" applyFont="1" applyFill="1" applyAlignment="1">
      <alignment horizontal="right"/>
    </xf>
    <xf numFmtId="11" fontId="0" fillId="2" borderId="10" xfId="0" applyNumberFormat="1" applyFill="1" applyBorder="1" applyAlignment="1">
      <alignment horizontal="left" vertical="center" wrapText="1"/>
    </xf>
    <xf numFmtId="1" fontId="0" fillId="6" borderId="17" xfId="0" applyNumberFormat="1" applyFill="1" applyBorder="1" applyAlignment="1">
      <alignment horizontal="right"/>
    </xf>
    <xf numFmtId="1" fontId="7" fillId="6" borderId="0" xfId="8" applyNumberFormat="1" applyFont="1" applyFill="1" applyBorder="1" applyAlignment="1">
      <alignment horizontal="right"/>
    </xf>
    <xf numFmtId="171" fontId="7" fillId="0" borderId="0" xfId="0" applyNumberFormat="1" applyFont="1" applyAlignment="1">
      <alignment horizontal="right"/>
    </xf>
    <xf numFmtId="174" fontId="0" fillId="2" borderId="0" xfId="0" applyNumberFormat="1" applyFill="1" applyAlignment="1">
      <alignment horizontal="left"/>
    </xf>
    <xf numFmtId="174" fontId="10" fillId="2" borderId="0" xfId="0" applyNumberFormat="1" applyFont="1" applyFill="1" applyAlignment="1">
      <alignment horizontal="left"/>
    </xf>
    <xf numFmtId="11" fontId="0" fillId="2" borderId="14" xfId="0" applyNumberFormat="1" applyFill="1" applyBorder="1" applyAlignment="1">
      <alignment horizontal="left"/>
    </xf>
    <xf numFmtId="11" fontId="29" fillId="2" borderId="0" xfId="0" applyNumberFormat="1" applyFont="1" applyFill="1" applyAlignment="1">
      <alignment horizontal="right"/>
    </xf>
    <xf numFmtId="11" fontId="29" fillId="2" borderId="0" xfId="0" applyNumberFormat="1" applyFont="1" applyFill="1" applyAlignment="1">
      <alignment horizontal="right" vertical="top"/>
    </xf>
    <xf numFmtId="167" fontId="7" fillId="2" borderId="0" xfId="0" applyNumberFormat="1" applyFont="1" applyFill="1" applyAlignment="1">
      <alignment horizontal="right"/>
    </xf>
    <xf numFmtId="164" fontId="29" fillId="2" borderId="0" xfId="0" applyFont="1" applyFill="1" applyAlignment="1">
      <alignment horizontal="center"/>
    </xf>
    <xf numFmtId="164" fontId="27" fillId="2" borderId="0" xfId="0" applyFont="1" applyFill="1" applyAlignment="1">
      <alignment horizontal="right"/>
    </xf>
    <xf numFmtId="164" fontId="0" fillId="0" borderId="0" xfId="0" applyAlignment="1">
      <alignment vertical="center"/>
    </xf>
    <xf numFmtId="164" fontId="0" fillId="9" borderId="13" xfId="0" applyFill="1" applyBorder="1" applyAlignment="1">
      <alignment vertical="center"/>
    </xf>
    <xf numFmtId="165" fontId="0" fillId="9" borderId="13" xfId="0" applyNumberFormat="1" applyFill="1" applyBorder="1" applyAlignment="1">
      <alignment horizontal="left" vertical="center"/>
    </xf>
    <xf numFmtId="165" fontId="0" fillId="9" borderId="13" xfId="0" applyNumberFormat="1" applyFill="1" applyBorder="1" applyAlignment="1">
      <alignment horizontal="right" vertical="center"/>
    </xf>
    <xf numFmtId="164" fontId="0" fillId="9" borderId="13" xfId="0" applyFill="1" applyBorder="1" applyAlignment="1">
      <alignment horizontal="left" vertical="center"/>
    </xf>
    <xf numFmtId="165" fontId="0" fillId="9" borderId="13" xfId="0" quotePrefix="1" applyNumberFormat="1" applyFill="1" applyBorder="1" applyAlignment="1">
      <alignment horizontal="left" vertical="center"/>
    </xf>
    <xf numFmtId="164" fontId="0" fillId="9" borderId="13" xfId="0" quotePrefix="1" applyFill="1" applyBorder="1" applyAlignment="1">
      <alignment vertical="center"/>
    </xf>
    <xf numFmtId="164" fontId="0" fillId="9" borderId="13" xfId="0" quotePrefix="1" applyFill="1" applyBorder="1" applyAlignment="1">
      <alignment horizontal="left" vertical="center"/>
    </xf>
    <xf numFmtId="165" fontId="0" fillId="9" borderId="13" xfId="0" applyNumberFormat="1" applyFill="1" applyBorder="1" applyAlignment="1">
      <alignment vertical="center"/>
    </xf>
    <xf numFmtId="173" fontId="0" fillId="9" borderId="13" xfId="0" applyNumberFormat="1" applyFill="1" applyBorder="1" applyAlignment="1">
      <alignment horizontal="right" vertical="center"/>
    </xf>
    <xf numFmtId="165" fontId="7" fillId="9" borderId="13" xfId="8" applyNumberFormat="1" applyFont="1" applyFill="1" applyBorder="1" applyAlignment="1" applyProtection="1">
      <alignment horizontal="right" vertical="center"/>
    </xf>
    <xf numFmtId="165" fontId="0" fillId="9" borderId="13" xfId="0" quotePrefix="1" applyNumberFormat="1" applyFill="1" applyBorder="1" applyAlignment="1">
      <alignment horizontal="left" vertical="center" wrapText="1"/>
    </xf>
    <xf numFmtId="0" fontId="0" fillId="9" borderId="13" xfId="0" applyNumberFormat="1" applyFill="1" applyBorder="1" applyAlignment="1">
      <alignment horizontal="right" vertical="center"/>
    </xf>
    <xf numFmtId="11" fontId="0" fillId="0" borderId="0" xfId="0" applyNumberFormat="1"/>
    <xf numFmtId="11" fontId="20" fillId="0" borderId="0" xfId="0" applyNumberFormat="1" applyFont="1"/>
    <xf numFmtId="11" fontId="20" fillId="0" borderId="0" xfId="0" applyNumberFormat="1" applyFont="1" applyAlignment="1">
      <alignment horizontal="center"/>
    </xf>
    <xf numFmtId="175" fontId="7" fillId="2" borderId="0" xfId="0" applyNumberFormat="1" applyFont="1" applyFill="1"/>
    <xf numFmtId="175" fontId="7" fillId="2" borderId="0" xfId="0" applyNumberFormat="1" applyFont="1" applyFill="1" applyAlignment="1">
      <alignment horizontal="right"/>
    </xf>
    <xf numFmtId="175" fontId="10" fillId="2" borderId="0" xfId="0" applyNumberFormat="1" applyFont="1" applyFill="1" applyAlignment="1">
      <alignment horizontal="right"/>
    </xf>
    <xf numFmtId="175" fontId="16" fillId="2" borderId="0" xfId="0" quotePrefix="1" applyNumberFormat="1" applyFont="1" applyFill="1"/>
    <xf numFmtId="175" fontId="16" fillId="2" borderId="0" xfId="0" applyNumberFormat="1" applyFont="1" applyFill="1"/>
    <xf numFmtId="175" fontId="7" fillId="2" borderId="0" xfId="0" applyNumberFormat="1" applyFont="1" applyFill="1" applyAlignment="1">
      <alignment horizontal="left"/>
    </xf>
    <xf numFmtId="49" fontId="0" fillId="2" borderId="0" xfId="0" applyNumberFormat="1" applyFill="1" applyAlignment="1">
      <alignment horizontal="left"/>
    </xf>
    <xf numFmtId="11" fontId="0" fillId="9" borderId="13" xfId="0" applyNumberFormat="1" applyFill="1" applyBorder="1" applyAlignment="1">
      <alignment horizontal="right" vertical="center"/>
    </xf>
    <xf numFmtId="11" fontId="0" fillId="9" borderId="13" xfId="0" applyNumberFormat="1" applyFill="1" applyBorder="1" applyAlignment="1">
      <alignment vertical="center"/>
    </xf>
    <xf numFmtId="164" fontId="0" fillId="0" borderId="13" xfId="0" applyBorder="1" applyAlignment="1">
      <alignment vertical="center"/>
    </xf>
    <xf numFmtId="164" fontId="6" fillId="9" borderId="13" xfId="0" applyFont="1" applyFill="1" applyBorder="1" applyAlignment="1">
      <alignment vertical="center"/>
    </xf>
    <xf numFmtId="164" fontId="6" fillId="0" borderId="0" xfId="0" applyFont="1" applyAlignment="1">
      <alignment vertical="center"/>
    </xf>
    <xf numFmtId="164" fontId="0" fillId="0" borderId="24" xfId="0" applyBorder="1" applyAlignment="1">
      <alignment horizontal="left"/>
    </xf>
    <xf numFmtId="1" fontId="7" fillId="6" borderId="3" xfId="0" applyNumberFormat="1" applyFont="1" applyFill="1" applyBorder="1" applyAlignment="1">
      <alignment horizontal="center"/>
    </xf>
    <xf numFmtId="164" fontId="7" fillId="6" borderId="3" xfId="0" applyFont="1" applyFill="1" applyBorder="1" applyAlignment="1">
      <alignment horizontal="left"/>
    </xf>
    <xf numFmtId="164" fontId="12" fillId="6" borderId="3" xfId="0" applyFont="1" applyFill="1" applyBorder="1" applyAlignment="1">
      <alignment horizontal="left"/>
    </xf>
    <xf numFmtId="1" fontId="14" fillId="6" borderId="3" xfId="0" applyNumberFormat="1" applyFont="1" applyFill="1" applyBorder="1" applyAlignment="1">
      <alignment horizontal="center"/>
    </xf>
    <xf numFmtId="171" fontId="7" fillId="6" borderId="3" xfId="0" applyNumberFormat="1" applyFont="1" applyFill="1" applyBorder="1" applyAlignment="1">
      <alignment horizontal="center"/>
    </xf>
    <xf numFmtId="171" fontId="0" fillId="6" borderId="3" xfId="0" applyNumberFormat="1" applyFill="1" applyBorder="1" applyAlignment="1">
      <alignment horizontal="center"/>
    </xf>
    <xf numFmtId="2" fontId="0" fillId="6" borderId="3" xfId="0" applyNumberFormat="1" applyFill="1" applyBorder="1" applyAlignment="1">
      <alignment horizontal="center"/>
    </xf>
    <xf numFmtId="9" fontId="0" fillId="6" borderId="3" xfId="0" applyNumberFormat="1" applyFill="1" applyBorder="1" applyAlignment="1">
      <alignment horizontal="center"/>
    </xf>
    <xf numFmtId="1" fontId="7" fillId="6" borderId="3" xfId="0" applyNumberFormat="1" applyFont="1" applyFill="1" applyBorder="1" applyAlignment="1">
      <alignment horizontal="right"/>
    </xf>
    <xf numFmtId="2" fontId="9" fillId="2" borderId="0" xfId="0" applyNumberFormat="1" applyFont="1" applyFill="1" applyAlignment="1">
      <alignment horizontal="right"/>
    </xf>
    <xf numFmtId="164" fontId="28" fillId="2" borderId="0" xfId="0" applyFont="1" applyFill="1" applyAlignment="1">
      <alignment horizontal="left"/>
    </xf>
    <xf numFmtId="166" fontId="28" fillId="2" borderId="0" xfId="0" applyNumberFormat="1" applyFont="1" applyFill="1"/>
    <xf numFmtId="164" fontId="28" fillId="2" borderId="27" xfId="0" applyFont="1" applyFill="1" applyBorder="1" applyAlignment="1">
      <alignment horizontal="left"/>
    </xf>
    <xf numFmtId="166" fontId="28" fillId="2" borderId="27" xfId="0" applyNumberFormat="1" applyFont="1" applyFill="1" applyBorder="1"/>
    <xf numFmtId="164" fontId="33" fillId="2" borderId="27" xfId="0" applyFont="1" applyFill="1" applyBorder="1"/>
    <xf numFmtId="164" fontId="28" fillId="2" borderId="27" xfId="0" applyFont="1" applyFill="1" applyBorder="1"/>
    <xf numFmtId="164" fontId="28" fillId="2" borderId="27" xfId="0" applyFont="1" applyFill="1" applyBorder="1" applyAlignment="1">
      <alignment horizontal="right"/>
    </xf>
    <xf numFmtId="164" fontId="0" fillId="5" borderId="24" xfId="0" applyFill="1" applyBorder="1" applyAlignment="1">
      <alignment horizontal="left"/>
    </xf>
    <xf numFmtId="9" fontId="9" fillId="0" borderId="0" xfId="8" applyFont="1" applyFill="1" applyBorder="1" applyAlignment="1" applyProtection="1">
      <alignment horizontal="center"/>
    </xf>
    <xf numFmtId="9" fontId="0" fillId="0" borderId="6" xfId="8" applyFont="1" applyFill="1" applyBorder="1" applyAlignment="1" applyProtection="1">
      <alignment horizontal="center"/>
    </xf>
    <xf numFmtId="164" fontId="9" fillId="0" borderId="3" xfId="0" applyFont="1" applyBorder="1" applyAlignment="1">
      <alignment horizontal="left"/>
    </xf>
    <xf numFmtId="11" fontId="28" fillId="0" borderId="5" xfId="0" applyNumberFormat="1" applyFont="1" applyBorder="1" applyAlignment="1">
      <alignment horizontal="left"/>
    </xf>
    <xf numFmtId="11" fontId="34" fillId="2" borderId="0" xfId="0" applyNumberFormat="1" applyFont="1" applyFill="1" applyAlignment="1">
      <alignment horizontal="center"/>
    </xf>
    <xf numFmtId="167" fontId="34" fillId="2" borderId="0" xfId="0" applyNumberFormat="1" applyFont="1" applyFill="1"/>
    <xf numFmtId="167" fontId="35" fillId="2" borderId="0" xfId="0" applyNumberFormat="1" applyFont="1" applyFill="1" applyAlignment="1">
      <alignment horizontal="right"/>
    </xf>
    <xf numFmtId="167" fontId="7" fillId="2" borderId="0" xfId="0" applyNumberFormat="1" applyFont="1" applyFill="1" applyAlignment="1">
      <alignment horizontal="center"/>
    </xf>
    <xf numFmtId="167" fontId="0" fillId="2" borderId="0" xfId="0" applyNumberFormat="1" applyFill="1"/>
    <xf numFmtId="175" fontId="10" fillId="2" borderId="0" xfId="0" applyNumberFormat="1" applyFont="1" applyFill="1" applyAlignment="1">
      <alignment horizontal="center"/>
    </xf>
    <xf numFmtId="175" fontId="10" fillId="2" borderId="0" xfId="0" applyNumberFormat="1" applyFont="1" applyFill="1" applyAlignment="1">
      <alignment horizontal="left"/>
    </xf>
    <xf numFmtId="15" fontId="7" fillId="2" borderId="0" xfId="0" applyNumberFormat="1" applyFont="1" applyFill="1" applyAlignment="1">
      <alignment horizontal="left"/>
    </xf>
    <xf numFmtId="168" fontId="10" fillId="2" borderId="0" xfId="8" applyNumberFormat="1" applyFont="1" applyFill="1" applyAlignment="1"/>
    <xf numFmtId="171" fontId="29" fillId="2" borderId="0" xfId="0" applyNumberFormat="1" applyFont="1" applyFill="1" applyAlignment="1">
      <alignment horizontal="left"/>
    </xf>
    <xf numFmtId="167" fontId="29" fillId="2" borderId="0" xfId="0" applyNumberFormat="1" applyFont="1" applyFill="1" applyAlignment="1">
      <alignment horizontal="right"/>
    </xf>
    <xf numFmtId="167" fontId="30" fillId="2" borderId="0" xfId="0" applyNumberFormat="1" applyFont="1" applyFill="1" applyAlignment="1">
      <alignment horizontal="right"/>
    </xf>
    <xf numFmtId="167" fontId="34" fillId="2" borderId="0" xfId="0" applyNumberFormat="1" applyFont="1" applyFill="1" applyAlignment="1">
      <alignment horizontal="right"/>
    </xf>
    <xf numFmtId="167" fontId="34" fillId="2" borderId="0" xfId="0" applyNumberFormat="1" applyFont="1" applyFill="1" applyAlignment="1">
      <alignment horizontal="left"/>
    </xf>
    <xf numFmtId="167" fontId="36" fillId="2" borderId="0" xfId="0" applyNumberFormat="1" applyFont="1" applyFill="1" applyAlignment="1">
      <alignment horizontal="center"/>
    </xf>
    <xf numFmtId="168" fontId="10" fillId="2" borderId="0" xfId="0" applyNumberFormat="1" applyFont="1" applyFill="1" applyAlignment="1">
      <alignment horizontal="center"/>
    </xf>
    <xf numFmtId="167" fontId="36" fillId="2" borderId="0" xfId="0" applyNumberFormat="1" applyFont="1" applyFill="1" applyAlignment="1">
      <alignment horizontal="right"/>
    </xf>
    <xf numFmtId="168" fontId="10" fillId="2" borderId="0" xfId="0" applyNumberFormat="1" applyFont="1" applyFill="1" applyAlignment="1">
      <alignment horizontal="right"/>
    </xf>
    <xf numFmtId="167" fontId="34" fillId="2" borderId="0" xfId="0" applyNumberFormat="1" applyFont="1" applyFill="1" applyAlignment="1">
      <alignment horizontal="center"/>
    </xf>
    <xf numFmtId="167" fontId="36" fillId="2" borderId="0" xfId="0" applyNumberFormat="1" applyFont="1" applyFill="1"/>
    <xf numFmtId="168" fontId="10" fillId="2" borderId="0" xfId="0" applyNumberFormat="1" applyFont="1" applyFill="1" applyAlignment="1">
      <alignment horizontal="left"/>
    </xf>
    <xf numFmtId="168" fontId="10" fillId="2" borderId="0" xfId="8" applyNumberFormat="1" applyFont="1" applyFill="1" applyAlignment="1">
      <alignment horizontal="right"/>
    </xf>
    <xf numFmtId="171" fontId="29" fillId="2" borderId="0" xfId="0" applyNumberFormat="1" applyFont="1" applyFill="1" applyAlignment="1">
      <alignment horizontal="center"/>
    </xf>
    <xf numFmtId="167" fontId="29" fillId="2" borderId="0" xfId="0" applyNumberFormat="1" applyFont="1" applyFill="1" applyAlignment="1">
      <alignment horizontal="center"/>
    </xf>
    <xf numFmtId="167" fontId="30" fillId="2" borderId="0" xfId="0" applyNumberFormat="1" applyFont="1" applyFill="1" applyAlignment="1">
      <alignment horizontal="left"/>
    </xf>
    <xf numFmtId="10" fontId="10" fillId="2" borderId="0" xfId="8" applyNumberFormat="1" applyFont="1" applyFill="1" applyAlignment="1">
      <alignment horizontal="center"/>
    </xf>
    <xf numFmtId="171" fontId="0" fillId="2" borderId="0" xfId="0" applyNumberFormat="1" applyFill="1"/>
    <xf numFmtId="164" fontId="8" fillId="2" borderId="0" xfId="0" applyFont="1" applyFill="1" applyAlignment="1">
      <alignment horizontal="right"/>
    </xf>
    <xf numFmtId="167" fontId="0" fillId="2" borderId="5" xfId="0" applyNumberFormat="1" applyFill="1" applyBorder="1"/>
    <xf numFmtId="166" fontId="29" fillId="2" borderId="0" xfId="0" applyNumberFormat="1" applyFont="1" applyFill="1" applyAlignment="1">
      <alignment horizontal="center" vertical="center"/>
    </xf>
    <xf numFmtId="166" fontId="36" fillId="2" borderId="0" xfId="0" applyNumberFormat="1" applyFont="1" applyFill="1" applyAlignment="1">
      <alignment horizontal="left" vertical="center"/>
    </xf>
    <xf numFmtId="166" fontId="34" fillId="2" borderId="0" xfId="0" applyNumberFormat="1" applyFont="1" applyFill="1" applyAlignment="1">
      <alignment horizontal="left"/>
    </xf>
    <xf numFmtId="171" fontId="36" fillId="2" borderId="0" xfId="0" applyNumberFormat="1" applyFont="1" applyFill="1" applyAlignment="1">
      <alignment horizontal="left" vertical="center"/>
    </xf>
    <xf numFmtId="171" fontId="29" fillId="2" borderId="0" xfId="0" applyNumberFormat="1" applyFont="1" applyFill="1" applyAlignment="1">
      <alignment horizontal="left" vertical="center"/>
    </xf>
    <xf numFmtId="171" fontId="34" fillId="2" borderId="0" xfId="0" applyNumberFormat="1" applyFont="1" applyFill="1" applyAlignment="1">
      <alignment horizontal="left"/>
    </xf>
    <xf numFmtId="171" fontId="36" fillId="2" borderId="0" xfId="0" applyNumberFormat="1" applyFont="1" applyFill="1" applyAlignment="1">
      <alignment horizontal="right" vertical="center"/>
    </xf>
    <xf numFmtId="171" fontId="10" fillId="2" borderId="0" xfId="0" applyNumberFormat="1" applyFont="1" applyFill="1" applyAlignment="1">
      <alignment horizontal="right"/>
    </xf>
    <xf numFmtId="171" fontId="10" fillId="2" borderId="0" xfId="0" applyNumberFormat="1" applyFont="1" applyFill="1" applyAlignment="1">
      <alignment horizontal="left"/>
    </xf>
    <xf numFmtId="171" fontId="34" fillId="2" borderId="0" xfId="0" applyNumberFormat="1" applyFont="1" applyFill="1" applyAlignment="1">
      <alignment horizontal="right"/>
    </xf>
    <xf numFmtId="171" fontId="34" fillId="2" borderId="0" xfId="0" applyNumberFormat="1" applyFont="1" applyFill="1" applyAlignment="1">
      <alignment horizontal="center"/>
    </xf>
    <xf numFmtId="171" fontId="36" fillId="2" borderId="0" xfId="0" applyNumberFormat="1" applyFont="1" applyFill="1" applyAlignment="1">
      <alignment horizontal="center" vertical="center"/>
    </xf>
    <xf numFmtId="171" fontId="37" fillId="2" borderId="0" xfId="0" quotePrefix="1" applyNumberFormat="1" applyFont="1" applyFill="1" applyAlignment="1">
      <alignment horizontal="center"/>
    </xf>
    <xf numFmtId="171" fontId="10" fillId="2" borderId="0" xfId="0" applyNumberFormat="1" applyFont="1" applyFill="1"/>
    <xf numFmtId="168" fontId="34" fillId="2" borderId="0" xfId="0" applyNumberFormat="1" applyFont="1" applyFill="1" applyAlignment="1">
      <alignment horizontal="right"/>
    </xf>
    <xf numFmtId="168" fontId="10" fillId="2" borderId="0" xfId="8" applyNumberFormat="1" applyFont="1" applyFill="1" applyAlignment="1">
      <alignment horizontal="left"/>
    </xf>
    <xf numFmtId="168" fontId="10" fillId="2" borderId="0" xfId="8" applyNumberFormat="1" applyFont="1" applyFill="1" applyAlignment="1">
      <alignment horizontal="center"/>
    </xf>
    <xf numFmtId="171" fontId="7" fillId="2" borderId="0" xfId="0" applyNumberFormat="1" applyFont="1" applyFill="1"/>
    <xf numFmtId="171" fontId="30" fillId="2" borderId="0" xfId="0" applyNumberFormat="1" applyFont="1" applyFill="1" applyAlignment="1">
      <alignment horizontal="center"/>
    </xf>
    <xf numFmtId="171" fontId="36" fillId="2" borderId="0" xfId="0" applyNumberFormat="1" applyFont="1" applyFill="1" applyAlignment="1">
      <alignment horizontal="left"/>
    </xf>
    <xf numFmtId="171" fontId="7" fillId="2" borderId="0" xfId="0" applyNumberFormat="1" applyFont="1" applyFill="1" applyAlignment="1">
      <alignment horizontal="left"/>
    </xf>
    <xf numFmtId="171" fontId="30" fillId="2" borderId="0" xfId="0" applyNumberFormat="1" applyFont="1" applyFill="1"/>
    <xf numFmtId="171" fontId="17" fillId="2" borderId="0" xfId="0" applyNumberFormat="1" applyFont="1" applyFill="1"/>
    <xf numFmtId="168" fontId="7" fillId="2" borderId="0" xfId="0" applyNumberFormat="1" applyFont="1" applyFill="1"/>
    <xf numFmtId="168" fontId="10" fillId="2" borderId="0" xfId="0" applyNumberFormat="1" applyFont="1" applyFill="1"/>
    <xf numFmtId="168" fontId="34" fillId="2" borderId="0" xfId="0" applyNumberFormat="1" applyFont="1" applyFill="1" applyAlignment="1">
      <alignment horizontal="center"/>
    </xf>
    <xf numFmtId="171" fontId="36" fillId="2" borderId="0" xfId="0" applyNumberFormat="1" applyFont="1" applyFill="1" applyAlignment="1">
      <alignment horizontal="center"/>
    </xf>
    <xf numFmtId="171" fontId="34" fillId="2" borderId="0" xfId="0" applyNumberFormat="1" applyFont="1" applyFill="1"/>
    <xf numFmtId="166" fontId="29" fillId="2" borderId="0" xfId="0" applyNumberFormat="1" applyFont="1" applyFill="1" applyAlignment="1">
      <alignment horizontal="right" vertical="center"/>
    </xf>
    <xf numFmtId="166" fontId="30" fillId="2" borderId="0" xfId="0" applyNumberFormat="1" applyFont="1" applyFill="1" applyAlignment="1">
      <alignment horizontal="right" vertical="center"/>
    </xf>
    <xf numFmtId="168" fontId="30" fillId="2" borderId="0" xfId="0" applyNumberFormat="1" applyFont="1" applyFill="1" applyAlignment="1">
      <alignment horizontal="left" vertical="center"/>
    </xf>
    <xf numFmtId="171" fontId="30" fillId="2" borderId="0" xfId="0" applyNumberFormat="1" applyFont="1" applyFill="1" applyAlignment="1">
      <alignment horizontal="left"/>
    </xf>
    <xf numFmtId="171" fontId="0" fillId="2" borderId="14" xfId="0" applyNumberFormat="1" applyFill="1" applyBorder="1" applyAlignment="1">
      <alignment horizontal="right"/>
    </xf>
    <xf numFmtId="171" fontId="0" fillId="2" borderId="0" xfId="0" applyNumberFormat="1" applyFill="1" applyAlignment="1">
      <alignment horizontal="right"/>
    </xf>
    <xf numFmtId="171" fontId="0" fillId="2" borderId="3" xfId="0" applyNumberFormat="1" applyFill="1" applyBorder="1" applyAlignment="1">
      <alignment horizontal="right"/>
    </xf>
    <xf numFmtId="166" fontId="0" fillId="2" borderId="0" xfId="0" applyNumberFormat="1" applyFill="1" applyAlignment="1">
      <alignment horizontal="left"/>
    </xf>
    <xf numFmtId="166" fontId="0" fillId="2" borderId="4" xfId="0" applyNumberFormat="1" applyFill="1" applyBorder="1" applyAlignment="1">
      <alignment horizontal="left"/>
    </xf>
    <xf numFmtId="166" fontId="0" fillId="2" borderId="3" xfId="0" applyNumberFormat="1" applyFill="1" applyBorder="1" applyAlignment="1">
      <alignment horizontal="left"/>
    </xf>
    <xf numFmtId="171" fontId="0" fillId="2" borderId="4" xfId="0" applyNumberFormat="1" applyFill="1" applyBorder="1" applyAlignment="1">
      <alignment horizontal="left"/>
    </xf>
    <xf numFmtId="171" fontId="0" fillId="2" borderId="23" xfId="0" applyNumberFormat="1" applyFill="1" applyBorder="1" applyAlignment="1">
      <alignment horizontal="left"/>
    </xf>
    <xf numFmtId="171" fontId="0" fillId="2" borderId="0" xfId="0" applyNumberFormat="1" applyFill="1" applyAlignment="1">
      <alignment horizontal="left"/>
    </xf>
    <xf numFmtId="171" fontId="0" fillId="2" borderId="6" xfId="0" applyNumberFormat="1" applyFill="1" applyBorder="1" applyAlignment="1">
      <alignment horizontal="left"/>
    </xf>
    <xf numFmtId="171" fontId="0" fillId="2" borderId="9" xfId="0" applyNumberFormat="1" applyFill="1" applyBorder="1" applyAlignment="1">
      <alignment horizontal="left"/>
    </xf>
    <xf numFmtId="171" fontId="0" fillId="2" borderId="14" xfId="0" applyNumberFormat="1" applyFill="1" applyBorder="1" applyAlignment="1">
      <alignment horizontal="left"/>
    </xf>
    <xf numFmtId="171" fontId="9" fillId="2" borderId="11" xfId="0" applyNumberFormat="1" applyFont="1" applyFill="1" applyBorder="1" applyAlignment="1">
      <alignment horizontal="left"/>
    </xf>
    <xf numFmtId="171" fontId="9" fillId="2" borderId="0" xfId="0" applyNumberFormat="1" applyFont="1" applyFill="1" applyAlignment="1">
      <alignment horizontal="left"/>
    </xf>
    <xf numFmtId="171" fontId="9" fillId="2" borderId="6" xfId="0" applyNumberFormat="1" applyFont="1" applyFill="1" applyBorder="1" applyAlignment="1">
      <alignment horizontal="left"/>
    </xf>
    <xf numFmtId="171" fontId="0" fillId="2" borderId="11" xfId="0" applyNumberFormat="1" applyFill="1" applyBorder="1" applyAlignment="1">
      <alignment horizontal="left"/>
    </xf>
    <xf numFmtId="171" fontId="0" fillId="6" borderId="0" xfId="0" applyNumberFormat="1" applyFill="1" applyAlignment="1">
      <alignment horizontal="left"/>
    </xf>
    <xf numFmtId="171" fontId="9" fillId="2" borderId="12" xfId="0" applyNumberFormat="1" applyFont="1" applyFill="1" applyBorder="1" applyAlignment="1">
      <alignment horizontal="left"/>
    </xf>
    <xf numFmtId="171" fontId="9" fillId="2" borderId="14" xfId="0" applyNumberFormat="1" applyFont="1" applyFill="1" applyBorder="1" applyAlignment="1">
      <alignment horizontal="left"/>
    </xf>
    <xf numFmtId="171" fontId="9" fillId="2" borderId="15" xfId="0" applyNumberFormat="1" applyFont="1" applyFill="1" applyBorder="1" applyAlignment="1">
      <alignment horizontal="left"/>
    </xf>
    <xf numFmtId="171" fontId="0" fillId="2" borderId="15" xfId="0" applyNumberFormat="1" applyFill="1" applyBorder="1" applyAlignment="1">
      <alignment horizontal="left"/>
    </xf>
    <xf numFmtId="166" fontId="11" fillId="2" borderId="0" xfId="0" applyNumberFormat="1" applyFont="1" applyFill="1" applyAlignment="1">
      <alignment horizontal="right"/>
    </xf>
    <xf numFmtId="166" fontId="0" fillId="2" borderId="0" xfId="0" applyNumberFormat="1" applyFill="1"/>
    <xf numFmtId="166" fontId="0" fillId="2" borderId="2" xfId="0" applyNumberFormat="1" applyFill="1" applyBorder="1" applyAlignment="1">
      <alignment horizontal="center"/>
    </xf>
    <xf numFmtId="166" fontId="30" fillId="2" borderId="0" xfId="0" applyNumberFormat="1" applyFont="1" applyFill="1" applyAlignment="1">
      <alignment horizontal="center"/>
    </xf>
    <xf numFmtId="166" fontId="0" fillId="2" borderId="0" xfId="0" applyNumberFormat="1" applyFill="1" applyAlignment="1">
      <alignment horizontal="center"/>
    </xf>
    <xf numFmtId="166" fontId="0" fillId="2" borderId="6" xfId="0" applyNumberFormat="1" applyFill="1" applyBorder="1" applyAlignment="1" applyProtection="1">
      <alignment horizontal="right" vertical="center" wrapText="1"/>
      <protection locked="0"/>
    </xf>
    <xf numFmtId="166" fontId="0" fillId="5" borderId="0" xfId="0" applyNumberFormat="1" applyFill="1" applyAlignment="1">
      <alignment horizontal="right" vertical="center" wrapText="1"/>
    </xf>
    <xf numFmtId="166" fontId="0" fillId="2" borderId="11" xfId="0" applyNumberFormat="1" applyFill="1" applyBorder="1"/>
    <xf numFmtId="166" fontId="0" fillId="5" borderId="5" xfId="0" applyNumberFormat="1" applyFill="1" applyBorder="1"/>
    <xf numFmtId="166" fontId="0" fillId="6" borderId="0" xfId="0" applyNumberFormat="1" applyFill="1" applyAlignment="1">
      <alignment horizontal="left"/>
    </xf>
    <xf numFmtId="166" fontId="30" fillId="2" borderId="0" xfId="0" applyNumberFormat="1" applyFont="1" applyFill="1" applyAlignment="1">
      <alignment horizontal="right"/>
    </xf>
    <xf numFmtId="166" fontId="0" fillId="2" borderId="6" xfId="0" applyNumberFormat="1" applyFill="1" applyBorder="1" applyAlignment="1">
      <alignment horizontal="right"/>
    </xf>
    <xf numFmtId="166" fontId="0" fillId="2" borderId="11" xfId="0" applyNumberFormat="1" applyFill="1" applyBorder="1" applyAlignment="1">
      <alignment horizontal="right" vertical="center"/>
    </xf>
    <xf numFmtId="166" fontId="0" fillId="5" borderId="5" xfId="0" applyNumberFormat="1" applyFill="1" applyBorder="1" applyAlignment="1">
      <alignment horizontal="right"/>
    </xf>
    <xf numFmtId="166" fontId="0" fillId="2" borderId="11" xfId="0" applyNumberFormat="1" applyFill="1" applyBorder="1" applyAlignment="1">
      <alignment horizontal="right"/>
    </xf>
    <xf numFmtId="166" fontId="0" fillId="2" borderId="0" xfId="0" applyNumberFormat="1" applyFill="1" applyAlignment="1">
      <alignment horizontal="right"/>
    </xf>
    <xf numFmtId="166" fontId="28" fillId="2" borderId="27" xfId="0" applyNumberFormat="1" applyFont="1" applyFill="1" applyBorder="1" applyAlignment="1">
      <alignment horizontal="right"/>
    </xf>
    <xf numFmtId="166" fontId="30" fillId="2" borderId="3" xfId="0" applyNumberFormat="1" applyFont="1" applyFill="1" applyBorder="1" applyAlignment="1">
      <alignment horizontal="right"/>
    </xf>
    <xf numFmtId="166" fontId="0" fillId="2" borderId="3" xfId="0" applyNumberFormat="1" applyFill="1" applyBorder="1"/>
    <xf numFmtId="166" fontId="0" fillId="0" borderId="0" xfId="0" applyNumberFormat="1"/>
    <xf numFmtId="166" fontId="11" fillId="0" borderId="0" xfId="0" applyNumberFormat="1" applyFont="1" applyAlignment="1">
      <alignment horizontal="right"/>
    </xf>
    <xf numFmtId="171" fontId="7" fillId="6" borderId="0" xfId="0" applyNumberFormat="1" applyFont="1" applyFill="1" applyAlignment="1">
      <alignment horizontal="left"/>
    </xf>
    <xf numFmtId="171" fontId="0" fillId="2" borderId="0" xfId="0" applyNumberFormat="1" applyFill="1" applyAlignment="1">
      <alignment horizontal="center"/>
    </xf>
    <xf numFmtId="171" fontId="0" fillId="2" borderId="10" xfId="0" applyNumberFormat="1" applyFill="1" applyBorder="1" applyAlignment="1">
      <alignment horizontal="left" vertical="center" wrapText="1"/>
    </xf>
    <xf numFmtId="171" fontId="0" fillId="2" borderId="8" xfId="0" applyNumberFormat="1" applyFill="1" applyBorder="1" applyAlignment="1">
      <alignment horizontal="center"/>
    </xf>
    <xf numFmtId="166" fontId="38" fillId="2" borderId="0" xfId="0" applyNumberFormat="1" applyFont="1" applyFill="1"/>
    <xf numFmtId="166" fontId="0" fillId="2" borderId="2" xfId="0" applyNumberFormat="1" applyFill="1" applyBorder="1"/>
    <xf numFmtId="166" fontId="38" fillId="2" borderId="2" xfId="0" applyNumberFormat="1" applyFont="1" applyFill="1" applyBorder="1" applyAlignment="1">
      <alignment horizontal="center"/>
    </xf>
    <xf numFmtId="166" fontId="0" fillId="2" borderId="11" xfId="8" applyNumberFormat="1" applyFont="1" applyFill="1" applyBorder="1" applyAlignment="1" applyProtection="1">
      <alignment horizontal="right"/>
    </xf>
    <xf numFmtId="166" fontId="38" fillId="2" borderId="3" xfId="0" applyNumberFormat="1" applyFont="1" applyFill="1" applyBorder="1"/>
    <xf numFmtId="171" fontId="0" fillId="5" borderId="4" xfId="0" applyNumberFormat="1" applyFill="1" applyBorder="1" applyAlignment="1">
      <alignment horizontal="center"/>
    </xf>
    <xf numFmtId="171" fontId="0" fillId="5" borderId="23" xfId="0" applyNumberFormat="1" applyFill="1" applyBorder="1" applyAlignment="1">
      <alignment horizontal="center"/>
    </xf>
    <xf numFmtId="171" fontId="0" fillId="0" borderId="4" xfId="0" applyNumberFormat="1" applyBorder="1" applyAlignment="1">
      <alignment horizontal="center"/>
    </xf>
    <xf numFmtId="171" fontId="0" fillId="0" borderId="23" xfId="0" applyNumberFormat="1" applyBorder="1" applyAlignment="1">
      <alignment horizontal="center"/>
    </xf>
    <xf numFmtId="171" fontId="0" fillId="0" borderId="3" xfId="0" applyNumberFormat="1" applyBorder="1" applyAlignment="1">
      <alignment horizontal="center"/>
    </xf>
    <xf numFmtId="171" fontId="0" fillId="0" borderId="3" xfId="0" quotePrefix="1" applyNumberFormat="1" applyBorder="1" applyAlignment="1">
      <alignment horizontal="center"/>
    </xf>
    <xf numFmtId="171" fontId="0" fillId="0" borderId="9" xfId="0" applyNumberFormat="1" applyBorder="1" applyAlignment="1">
      <alignment horizontal="center"/>
    </xf>
    <xf numFmtId="171" fontId="0" fillId="0" borderId="0" xfId="0" applyNumberFormat="1"/>
    <xf numFmtId="171" fontId="0" fillId="0" borderId="0" xfId="0" quotePrefix="1" applyNumberFormat="1" applyAlignment="1">
      <alignment horizontal="center"/>
    </xf>
    <xf numFmtId="171" fontId="0" fillId="5" borderId="2" xfId="0" applyNumberFormat="1" applyFill="1" applyBorder="1" applyAlignment="1">
      <alignment horizontal="center"/>
    </xf>
    <xf numFmtId="171" fontId="0" fillId="2" borderId="0" xfId="0" quotePrefix="1" applyNumberFormat="1" applyFill="1" applyAlignment="1">
      <alignment horizontal="center"/>
    </xf>
    <xf numFmtId="171" fontId="0" fillId="0" borderId="6" xfId="0" quotePrefix="1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171" fontId="0" fillId="2" borderId="9" xfId="0" quotePrefix="1" applyNumberFormat="1" applyFill="1" applyBorder="1" applyAlignment="1">
      <alignment horizontal="center"/>
    </xf>
    <xf numFmtId="171" fontId="28" fillId="0" borderId="0" xfId="8" applyNumberFormat="1" applyFont="1" applyFill="1" applyBorder="1" applyAlignment="1" applyProtection="1">
      <alignment horizontal="center"/>
    </xf>
    <xf numFmtId="171" fontId="28" fillId="0" borderId="0" xfId="0" applyNumberFormat="1" applyFont="1" applyAlignment="1">
      <alignment horizontal="center"/>
    </xf>
    <xf numFmtId="171" fontId="28" fillId="0" borderId="6" xfId="0" applyNumberFormat="1" applyFont="1" applyBorder="1" applyAlignment="1">
      <alignment horizontal="center"/>
    </xf>
    <xf numFmtId="171" fontId="0" fillId="0" borderId="3" xfId="0" applyNumberFormat="1" applyBorder="1" applyAlignment="1" applyProtection="1">
      <alignment horizontal="center"/>
      <protection locked="0"/>
    </xf>
    <xf numFmtId="171" fontId="0" fillId="0" borderId="9" xfId="0" applyNumberFormat="1" applyBorder="1" applyAlignment="1" applyProtection="1">
      <alignment horizontal="center"/>
      <protection locked="0"/>
    </xf>
    <xf numFmtId="171" fontId="20" fillId="0" borderId="0" xfId="0" applyNumberFormat="1" applyFont="1" applyAlignment="1">
      <alignment horizontal="center"/>
    </xf>
    <xf numFmtId="171" fontId="0" fillId="2" borderId="4" xfId="0" quotePrefix="1" applyNumberFormat="1" applyFill="1" applyBorder="1" applyAlignment="1">
      <alignment horizontal="center"/>
    </xf>
    <xf numFmtId="171" fontId="0" fillId="0" borderId="4" xfId="0" quotePrefix="1" applyNumberFormat="1" applyBorder="1" applyAlignment="1">
      <alignment horizontal="center"/>
    </xf>
    <xf numFmtId="171" fontId="0" fillId="5" borderId="26" xfId="0" applyNumberFormat="1" applyFill="1" applyBorder="1" applyAlignment="1">
      <alignment horizontal="center"/>
    </xf>
    <xf numFmtId="171" fontId="9" fillId="0" borderId="4" xfId="0" applyNumberFormat="1" applyFont="1" applyBorder="1" applyAlignment="1">
      <alignment horizontal="center"/>
    </xf>
    <xf numFmtId="171" fontId="33" fillId="0" borderId="0" xfId="8" applyNumberFormat="1" applyFont="1" applyFill="1" applyBorder="1" applyAlignment="1" applyProtection="1">
      <alignment horizontal="center"/>
    </xf>
    <xf numFmtId="164" fontId="0" fillId="5" borderId="5" xfId="0" applyFill="1" applyBorder="1"/>
    <xf numFmtId="164" fontId="28" fillId="9" borderId="13" xfId="0" applyFont="1" applyFill="1" applyBorder="1" applyAlignment="1">
      <alignment horizontal="left" vertical="center"/>
    </xf>
    <xf numFmtId="165" fontId="28" fillId="9" borderId="13" xfId="0" applyNumberFormat="1" applyFont="1" applyFill="1" applyBorder="1" applyAlignment="1">
      <alignment horizontal="right" vertical="center"/>
    </xf>
    <xf numFmtId="165" fontId="30" fillId="9" borderId="13" xfId="8" quotePrefix="1" applyNumberFormat="1" applyFont="1" applyFill="1" applyBorder="1" applyAlignment="1" applyProtection="1">
      <alignment horizontal="left" vertical="center" wrapText="1"/>
    </xf>
    <xf numFmtId="165" fontId="30" fillId="9" borderId="13" xfId="8" applyNumberFormat="1" applyFont="1" applyFill="1" applyBorder="1" applyAlignment="1" applyProtection="1">
      <alignment horizontal="right" vertical="center"/>
    </xf>
    <xf numFmtId="165" fontId="30" fillId="9" borderId="13" xfId="0" applyNumberFormat="1" applyFont="1" applyFill="1" applyBorder="1" applyAlignment="1">
      <alignment horizontal="right" vertical="center"/>
    </xf>
    <xf numFmtId="164" fontId="20" fillId="2" borderId="0" xfId="0" applyFont="1" applyFill="1" applyAlignment="1">
      <alignment horizontal="left"/>
    </xf>
    <xf numFmtId="166" fontId="41" fillId="2" borderId="6" xfId="0" applyNumberFormat="1" applyFont="1" applyFill="1" applyBorder="1" applyAlignment="1">
      <alignment horizontal="center" vertical="center" wrapText="1"/>
    </xf>
    <xf numFmtId="166" fontId="41" fillId="2" borderId="2" xfId="0" applyNumberFormat="1" applyFont="1" applyFill="1" applyBorder="1" applyAlignment="1">
      <alignment horizontal="center"/>
    </xf>
    <xf numFmtId="166" fontId="41" fillId="2" borderId="6" xfId="0" applyNumberFormat="1" applyFont="1" applyFill="1" applyBorder="1" applyAlignment="1">
      <alignment horizontal="right"/>
    </xf>
    <xf numFmtId="166" fontId="41" fillId="0" borderId="0" xfId="0" applyNumberFormat="1" applyFont="1"/>
    <xf numFmtId="166" fontId="0" fillId="2" borderId="0" xfId="0" applyNumberFormat="1" applyFill="1" applyAlignment="1">
      <alignment vertical="center"/>
    </xf>
    <xf numFmtId="171" fontId="0" fillId="7" borderId="10" xfId="0" applyNumberFormat="1" applyFill="1" applyBorder="1" applyAlignment="1">
      <alignment horizontal="center" wrapText="1"/>
    </xf>
    <xf numFmtId="1" fontId="0" fillId="7" borderId="0" xfId="0" applyNumberFormat="1" applyFill="1" applyAlignment="1">
      <alignment horizontal="left"/>
    </xf>
    <xf numFmtId="9" fontId="0" fillId="6" borderId="0" xfId="8" applyFont="1" applyFill="1" applyBorder="1" applyAlignment="1">
      <alignment horizontal="center"/>
    </xf>
    <xf numFmtId="0" fontId="0" fillId="7" borderId="0" xfId="0" applyNumberFormat="1" applyFill="1"/>
    <xf numFmtId="164" fontId="41" fillId="2" borderId="6" xfId="0" applyFont="1" applyFill="1" applyBorder="1" applyAlignment="1">
      <alignment horizontal="right"/>
    </xf>
    <xf numFmtId="164" fontId="42" fillId="7" borderId="6" xfId="0" applyFont="1" applyFill="1" applyBorder="1" applyAlignment="1" applyProtection="1">
      <alignment horizontal="right"/>
      <protection locked="0"/>
    </xf>
    <xf numFmtId="166" fontId="42" fillId="7" borderId="6" xfId="0" applyNumberFormat="1" applyFont="1" applyFill="1" applyBorder="1" applyAlignment="1">
      <alignment horizontal="right" vertical="center"/>
    </xf>
    <xf numFmtId="166" fontId="42" fillId="7" borderId="6" xfId="0" applyNumberFormat="1" applyFont="1" applyFill="1" applyBorder="1" applyAlignment="1" applyProtection="1">
      <alignment horizontal="right"/>
      <protection locked="0"/>
    </xf>
    <xf numFmtId="166" fontId="42" fillId="7" borderId="6" xfId="0" applyNumberFormat="1" applyFont="1" applyFill="1" applyBorder="1" applyAlignment="1">
      <alignment horizontal="right"/>
    </xf>
    <xf numFmtId="166" fontId="42" fillId="7" borderId="6" xfId="0" applyNumberFormat="1" applyFont="1" applyFill="1" applyBorder="1"/>
    <xf numFmtId="164" fontId="42" fillId="2" borderId="0" xfId="0" applyFont="1" applyFill="1"/>
    <xf numFmtId="164" fontId="43" fillId="2" borderId="0" xfId="1" applyNumberFormat="1" applyFont="1" applyFill="1" applyAlignment="1" applyProtection="1">
      <alignment horizontal="left"/>
    </xf>
    <xf numFmtId="164" fontId="24" fillId="2" borderId="0" xfId="0" applyFont="1" applyFill="1" applyAlignment="1">
      <alignment horizontal="left"/>
    </xf>
    <xf numFmtId="164" fontId="8" fillId="0" borderId="0" xfId="0" quotePrefix="1" applyFont="1" applyAlignment="1">
      <alignment horizontal="left"/>
    </xf>
    <xf numFmtId="166" fontId="28" fillId="7" borderId="6" xfId="0" applyNumberFormat="1" applyFont="1" applyFill="1" applyBorder="1" applyAlignment="1">
      <alignment horizontal="right"/>
    </xf>
    <xf numFmtId="171" fontId="0" fillId="2" borderId="8" xfId="0" applyNumberFormat="1" applyFill="1" applyBorder="1" applyAlignment="1">
      <alignment horizontal="center" vertical="center" wrapText="1"/>
    </xf>
    <xf numFmtId="171" fontId="0" fillId="2" borderId="0" xfId="0" applyNumberFormat="1" applyFill="1" applyAlignment="1">
      <alignment horizontal="right" vertical="center" wrapText="1"/>
    </xf>
    <xf numFmtId="171" fontId="0" fillId="2" borderId="10" xfId="0" quotePrefix="1" applyNumberFormat="1" applyFill="1" applyBorder="1" applyAlignment="1">
      <alignment horizontal="center" vertical="center" wrapText="1"/>
    </xf>
    <xf numFmtId="1" fontId="7" fillId="6" borderId="0" xfId="0" applyNumberFormat="1" applyFont="1" applyFill="1" applyAlignment="1">
      <alignment horizontal="left"/>
    </xf>
    <xf numFmtId="171" fontId="0" fillId="7" borderId="0" xfId="8" applyNumberFormat="1" applyFont="1" applyFill="1" applyBorder="1" applyAlignment="1">
      <alignment horizontal="center"/>
    </xf>
    <xf numFmtId="166" fontId="0" fillId="6" borderId="11" xfId="8" applyNumberFormat="1" applyFont="1" applyFill="1" applyBorder="1" applyAlignment="1" applyProtection="1">
      <alignment horizontal="right"/>
    </xf>
    <xf numFmtId="166" fontId="0" fillId="2" borderId="8" xfId="0" applyNumberFormat="1" applyFill="1" applyBorder="1" applyAlignment="1">
      <alignment horizontal="center" vertical="center" wrapText="1"/>
    </xf>
    <xf numFmtId="166" fontId="0" fillId="2" borderId="10" xfId="0" applyNumberFormat="1" applyFill="1" applyBorder="1" applyAlignment="1">
      <alignment horizontal="center" vertical="center" wrapText="1"/>
    </xf>
    <xf numFmtId="166" fontId="0" fillId="2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4" fontId="38" fillId="2" borderId="0" xfId="0" applyFont="1" applyFill="1"/>
    <xf numFmtId="164" fontId="38" fillId="0" borderId="0" xfId="0" applyFont="1"/>
    <xf numFmtId="166" fontId="0" fillId="2" borderId="0" xfId="0" applyNumberFormat="1" applyFill="1" applyAlignment="1">
      <alignment horizontal="right" vertical="center" wrapText="1"/>
    </xf>
    <xf numFmtId="166" fontId="44" fillId="2" borderId="6" xfId="0" applyNumberFormat="1" applyFont="1" applyFill="1" applyBorder="1" applyAlignment="1">
      <alignment horizontal="right"/>
    </xf>
    <xf numFmtId="164" fontId="9" fillId="2" borderId="27" xfId="0" applyFont="1" applyFill="1" applyBorder="1"/>
    <xf numFmtId="164" fontId="0" fillId="2" borderId="27" xfId="0" applyFill="1" applyBorder="1" applyAlignment="1">
      <alignment horizontal="left"/>
    </xf>
    <xf numFmtId="165" fontId="0" fillId="0" borderId="0" xfId="0" applyNumberFormat="1"/>
    <xf numFmtId="165" fontId="7" fillId="0" borderId="0" xfId="0" applyNumberFormat="1" applyFont="1"/>
    <xf numFmtId="1" fontId="41" fillId="7" borderId="0" xfId="0" applyNumberFormat="1" applyFont="1" applyFill="1" applyAlignment="1">
      <alignment horizontal="left"/>
    </xf>
    <xf numFmtId="2" fontId="7" fillId="6" borderId="0" xfId="0" applyNumberFormat="1" applyFont="1" applyFill="1" applyAlignment="1">
      <alignment horizontal="center"/>
    </xf>
    <xf numFmtId="2" fontId="7" fillId="6" borderId="0" xfId="0" applyNumberFormat="1" applyFont="1" applyFill="1"/>
    <xf numFmtId="2" fontId="7" fillId="6" borderId="0" xfId="8" applyNumberFormat="1" applyFont="1" applyFill="1" applyBorder="1" applyAlignment="1">
      <alignment horizontal="center"/>
    </xf>
    <xf numFmtId="1" fontId="24" fillId="6" borderId="0" xfId="0" applyNumberFormat="1" applyFont="1" applyFill="1" applyAlignment="1">
      <alignment horizontal="left"/>
    </xf>
    <xf numFmtId="171" fontId="44" fillId="7" borderId="0" xfId="0" applyNumberFormat="1" applyFont="1" applyFill="1" applyAlignment="1">
      <alignment horizontal="center"/>
    </xf>
    <xf numFmtId="11" fontId="0" fillId="2" borderId="0" xfId="0" quotePrefix="1" applyNumberFormat="1" applyFill="1" applyAlignment="1">
      <alignment horizontal="center"/>
    </xf>
    <xf numFmtId="171" fontId="0" fillId="2" borderId="8" xfId="0" quotePrefix="1" applyNumberFormat="1" applyFill="1" applyBorder="1" applyAlignment="1">
      <alignment horizontal="center"/>
    </xf>
    <xf numFmtId="11" fontId="0" fillId="2" borderId="8" xfId="0" applyNumberFormat="1" applyFill="1" applyBorder="1" applyAlignment="1">
      <alignment horizontal="center"/>
    </xf>
    <xf numFmtId="164" fontId="32" fillId="2" borderId="0" xfId="0" applyFont="1" applyFill="1"/>
    <xf numFmtId="166" fontId="0" fillId="2" borderId="11" xfId="0" applyNumberFormat="1" applyFill="1" applyBorder="1" applyAlignment="1">
      <alignment horizontal="center" vertical="center" wrapText="1"/>
    </xf>
    <xf numFmtId="171" fontId="0" fillId="2" borderId="11" xfId="0" applyNumberFormat="1" applyFill="1" applyBorder="1" applyAlignment="1">
      <alignment horizontal="center" vertical="center" wrapText="1"/>
    </xf>
    <xf numFmtId="166" fontId="0" fillId="2" borderId="11" xfId="0" applyNumberFormat="1" applyFill="1" applyBorder="1" applyAlignment="1">
      <alignment horizontal="center"/>
    </xf>
    <xf numFmtId="171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right" vertical="center" wrapText="1"/>
    </xf>
    <xf numFmtId="171" fontId="0" fillId="2" borderId="11" xfId="0" applyNumberFormat="1" applyFill="1" applyBorder="1" applyAlignment="1">
      <alignment horizontal="right" vertical="center" wrapText="1"/>
    </xf>
    <xf numFmtId="166" fontId="0" fillId="2" borderId="3" xfId="0" applyNumberFormat="1" applyFill="1" applyBorder="1" applyAlignment="1">
      <alignment horizontal="center" vertical="center" wrapText="1"/>
    </xf>
    <xf numFmtId="171" fontId="0" fillId="2" borderId="3" xfId="0" applyNumberFormat="1" applyFill="1" applyBorder="1" applyAlignment="1">
      <alignment horizontal="center" vertical="center" wrapText="1"/>
    </xf>
    <xf numFmtId="166" fontId="0" fillId="2" borderId="3" xfId="0" applyNumberFormat="1" applyFill="1" applyBorder="1" applyAlignment="1">
      <alignment horizontal="center"/>
    </xf>
    <xf numFmtId="171" fontId="0" fillId="2" borderId="3" xfId="0" applyNumberFormat="1" applyFill="1" applyBorder="1" applyAlignment="1">
      <alignment horizontal="center"/>
    </xf>
    <xf numFmtId="166" fontId="0" fillId="2" borderId="0" xfId="0" applyNumberFormat="1" applyFill="1" applyAlignment="1">
      <alignment horizontal="right" vertical="center"/>
    </xf>
    <xf numFmtId="171" fontId="0" fillId="2" borderId="0" xfId="0" applyNumberFormat="1" applyFill="1" applyAlignment="1">
      <alignment horizontal="right" vertical="center"/>
    </xf>
    <xf numFmtId="166" fontId="0" fillId="2" borderId="26" xfId="0" applyNumberFormat="1" applyFill="1" applyBorder="1"/>
    <xf numFmtId="171" fontId="0" fillId="2" borderId="26" xfId="0" applyNumberFormat="1" applyFill="1" applyBorder="1"/>
    <xf numFmtId="171" fontId="0" fillId="2" borderId="3" xfId="0" applyNumberFormat="1" applyFill="1" applyBorder="1" applyAlignment="1">
      <alignment horizontal="left"/>
    </xf>
    <xf numFmtId="166" fontId="0" fillId="2" borderId="2" xfId="0" applyNumberFormat="1" applyFill="1" applyBorder="1" applyAlignment="1">
      <alignment horizontal="left"/>
    </xf>
    <xf numFmtId="171" fontId="0" fillId="2" borderId="2" xfId="0" applyNumberFormat="1" applyFill="1" applyBorder="1" applyAlignment="1">
      <alignment horizontal="left"/>
    </xf>
    <xf numFmtId="166" fontId="0" fillId="2" borderId="0" xfId="0" applyNumberFormat="1" applyFill="1" applyAlignment="1">
      <alignment horizontal="left" vertical="center"/>
    </xf>
    <xf numFmtId="171" fontId="0" fillId="2" borderId="0" xfId="0" applyNumberFormat="1" applyFill="1" applyAlignment="1">
      <alignment horizontal="left" vertical="center"/>
    </xf>
    <xf numFmtId="0" fontId="0" fillId="2" borderId="11" xfId="0" applyNumberFormat="1" applyFill="1" applyBorder="1" applyAlignment="1">
      <alignment horizontal="center"/>
    </xf>
    <xf numFmtId="171" fontId="0" fillId="6" borderId="11" xfId="0" applyNumberFormat="1" applyFill="1" applyBorder="1" applyAlignment="1">
      <alignment horizontal="center"/>
    </xf>
    <xf numFmtId="171" fontId="0" fillId="2" borderId="2" xfId="0" applyNumberFormat="1" applyFill="1" applyBorder="1"/>
    <xf numFmtId="171" fontId="0" fillId="2" borderId="3" xfId="0" applyNumberFormat="1" applyFill="1" applyBorder="1"/>
    <xf numFmtId="171" fontId="0" fillId="2" borderId="6" xfId="0" applyNumberFormat="1" applyFill="1" applyBorder="1" applyAlignment="1">
      <alignment horizontal="center"/>
    </xf>
    <xf numFmtId="171" fontId="0" fillId="2" borderId="0" xfId="0" applyNumberFormat="1" applyFill="1" applyAlignment="1">
      <alignment vertical="center"/>
    </xf>
    <xf numFmtId="166" fontId="0" fillId="2" borderId="8" xfId="0" applyNumberFormat="1" applyFill="1" applyBorder="1" applyAlignment="1">
      <alignment horizontal="center"/>
    </xf>
    <xf numFmtId="164" fontId="8" fillId="2" borderId="0" xfId="0" applyFont="1" applyFill="1" applyAlignment="1">
      <alignment horizontal="left"/>
    </xf>
    <xf numFmtId="171" fontId="7" fillId="0" borderId="25" xfId="0" applyNumberFormat="1" applyFont="1" applyBorder="1" applyAlignment="1">
      <alignment horizontal="left"/>
    </xf>
    <xf numFmtId="171" fontId="7" fillId="0" borderId="26" xfId="0" applyNumberFormat="1" applyFont="1" applyBorder="1" applyAlignment="1">
      <alignment horizontal="left"/>
    </xf>
    <xf numFmtId="171" fontId="7" fillId="3" borderId="25" xfId="0" applyNumberFormat="1" applyFont="1" applyFill="1" applyBorder="1" applyAlignment="1">
      <alignment horizontal="left"/>
    </xf>
    <xf numFmtId="171" fontId="7" fillId="3" borderId="2" xfId="0" applyNumberFormat="1" applyFont="1" applyFill="1" applyBorder="1" applyAlignment="1">
      <alignment horizontal="left"/>
    </xf>
    <xf numFmtId="171" fontId="7" fillId="3" borderId="26" xfId="0" applyNumberFormat="1" applyFont="1" applyFill="1" applyBorder="1" applyAlignment="1">
      <alignment horizontal="left"/>
    </xf>
    <xf numFmtId="171" fontId="7" fillId="4" borderId="24" xfId="0" applyNumberFormat="1" applyFont="1" applyFill="1" applyBorder="1" applyAlignment="1" applyProtection="1">
      <alignment horizontal="left"/>
      <protection locked="0"/>
    </xf>
    <xf numFmtId="171" fontId="7" fillId="4" borderId="4" xfId="0" applyNumberFormat="1" applyFont="1" applyFill="1" applyBorder="1" applyAlignment="1" applyProtection="1">
      <alignment horizontal="left"/>
      <protection locked="0"/>
    </xf>
    <xf numFmtId="171" fontId="7" fillId="4" borderId="23" xfId="0" applyNumberFormat="1" applyFont="1" applyFill="1" applyBorder="1" applyAlignment="1" applyProtection="1">
      <alignment horizontal="left"/>
      <protection locked="0"/>
    </xf>
    <xf numFmtId="171" fontId="7" fillId="4" borderId="22" xfId="0" applyNumberFormat="1" applyFont="1" applyFill="1" applyBorder="1" applyAlignment="1" applyProtection="1">
      <alignment horizontal="left"/>
      <protection locked="0"/>
    </xf>
    <xf numFmtId="171" fontId="7" fillId="4" borderId="3" xfId="0" applyNumberFormat="1" applyFont="1" applyFill="1" applyBorder="1" applyAlignment="1" applyProtection="1">
      <alignment horizontal="left"/>
      <protection locked="0"/>
    </xf>
    <xf numFmtId="171" fontId="7" fillId="4" borderId="9" xfId="0" applyNumberFormat="1" applyFont="1" applyFill="1" applyBorder="1" applyAlignment="1" applyProtection="1">
      <alignment horizontal="left"/>
      <protection locked="0"/>
    </xf>
    <xf numFmtId="171" fontId="0" fillId="0" borderId="2" xfId="0" quotePrefix="1" applyNumberFormat="1" applyBorder="1" applyAlignment="1">
      <alignment horizontal="left"/>
    </xf>
    <xf numFmtId="171" fontId="7" fillId="0" borderId="2" xfId="0" quotePrefix="1" applyNumberFormat="1" applyFont="1" applyBorder="1" applyAlignment="1">
      <alignment horizontal="left"/>
    </xf>
    <xf numFmtId="171" fontId="7" fillId="0" borderId="26" xfId="0" quotePrefix="1" applyNumberFormat="1" applyFont="1" applyBorder="1" applyAlignment="1">
      <alignment horizontal="left"/>
    </xf>
    <xf numFmtId="11" fontId="0" fillId="0" borderId="25" xfId="0" applyNumberFormat="1" applyBorder="1"/>
    <xf numFmtId="164" fontId="10" fillId="0" borderId="0" xfId="0" applyFont="1" applyAlignment="1">
      <alignment horizontal="left"/>
    </xf>
    <xf numFmtId="16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1" fontId="10" fillId="0" borderId="0" xfId="0" applyNumberFormat="1" applyFont="1" applyAlignment="1">
      <alignment horizontal="left"/>
    </xf>
    <xf numFmtId="11" fontId="10" fillId="0" borderId="0" xfId="0" applyNumberFormat="1" applyFont="1"/>
    <xf numFmtId="172" fontId="10" fillId="0" borderId="0" xfId="0" applyNumberFormat="1" applyFont="1" applyAlignment="1">
      <alignment horizontal="left"/>
    </xf>
    <xf numFmtId="2" fontId="7" fillId="8" borderId="0" xfId="11" applyNumberFormat="1" applyFont="1" applyFill="1" applyBorder="1" applyAlignment="1">
      <alignment horizontal="left"/>
    </xf>
    <xf numFmtId="2" fontId="7" fillId="8" borderId="4" xfId="11" applyNumberFormat="1" applyFont="1" applyFill="1" applyBorder="1" applyAlignment="1">
      <alignment horizontal="left"/>
    </xf>
    <xf numFmtId="2" fontId="7" fillId="8" borderId="23" xfId="11" applyNumberFormat="1" applyFont="1" applyFill="1" applyBorder="1" applyAlignment="1">
      <alignment horizontal="left"/>
    </xf>
    <xf numFmtId="2" fontId="7" fillId="8" borderId="6" xfId="11" applyNumberFormat="1" applyFont="1" applyFill="1" applyBorder="1" applyAlignment="1">
      <alignment horizontal="left"/>
    </xf>
    <xf numFmtId="2" fontId="7" fillId="8" borderId="3" xfId="11" applyNumberFormat="1" applyFont="1" applyFill="1" applyBorder="1" applyAlignment="1">
      <alignment horizontal="left"/>
    </xf>
    <xf numFmtId="2" fontId="7" fillId="8" borderId="9" xfId="11" applyNumberFormat="1" applyFont="1" applyFill="1" applyBorder="1" applyAlignment="1">
      <alignment horizontal="left"/>
    </xf>
    <xf numFmtId="164" fontId="0" fillId="0" borderId="0" xfId="0" applyAlignment="1">
      <alignment horizontal="right"/>
    </xf>
    <xf numFmtId="171" fontId="9" fillId="2" borderId="5" xfId="0" applyNumberFormat="1" applyFont="1" applyFill="1" applyBorder="1" applyAlignment="1">
      <alignment horizontal="left"/>
    </xf>
    <xf numFmtId="171" fontId="7" fillId="8" borderId="24" xfId="11" applyNumberFormat="1" applyFont="1" applyFill="1" applyBorder="1" applyAlignment="1">
      <alignment horizontal="left"/>
    </xf>
    <xf numFmtId="171" fontId="7" fillId="8" borderId="5" xfId="11" applyNumberFormat="1" applyFont="1" applyFill="1" applyBorder="1" applyAlignment="1">
      <alignment horizontal="left"/>
    </xf>
    <xf numFmtId="171" fontId="7" fillId="8" borderId="22" xfId="11" applyNumberFormat="1" applyFont="1" applyFill="1" applyBorder="1" applyAlignment="1">
      <alignment horizontal="left"/>
    </xf>
    <xf numFmtId="171" fontId="9" fillId="0" borderId="0" xfId="0" applyNumberFormat="1" applyFont="1" applyAlignment="1">
      <alignment horizontal="right"/>
    </xf>
    <xf numFmtId="164" fontId="9" fillId="5" borderId="2" xfId="0" applyFont="1" applyFill="1" applyBorder="1" applyAlignment="1">
      <alignment horizontal="right"/>
    </xf>
    <xf numFmtId="164" fontId="0" fillId="5" borderId="4" xfId="0" applyFill="1" applyBorder="1" applyAlignment="1">
      <alignment horizontal="center"/>
    </xf>
    <xf numFmtId="11" fontId="0" fillId="0" borderId="4" xfId="0" applyNumberFormat="1" applyBorder="1" applyAlignment="1">
      <alignment horizontal="center"/>
    </xf>
    <xf numFmtId="171" fontId="0" fillId="0" borderId="23" xfId="0" quotePrefix="1" applyNumberFormat="1" applyBorder="1" applyAlignment="1">
      <alignment horizontal="center"/>
    </xf>
    <xf numFmtId="171" fontId="30" fillId="9" borderId="0" xfId="0" quotePrefix="1" applyNumberFormat="1" applyFont="1" applyFill="1" applyAlignment="1">
      <alignment horizontal="center"/>
    </xf>
    <xf numFmtId="171" fontId="0" fillId="9" borderId="0" xfId="0" quotePrefix="1" applyNumberFormat="1" applyFill="1" applyAlignment="1">
      <alignment horizontal="center"/>
    </xf>
    <xf numFmtId="177" fontId="28" fillId="0" borderId="0" xfId="8" applyNumberFormat="1" applyFont="1" applyFill="1" applyBorder="1" applyAlignment="1" applyProtection="1">
      <alignment horizontal="center"/>
    </xf>
    <xf numFmtId="177" fontId="28" fillId="0" borderId="6" xfId="8" applyNumberFormat="1" applyFont="1" applyFill="1" applyBorder="1" applyAlignment="1" applyProtection="1">
      <alignment horizontal="center"/>
    </xf>
    <xf numFmtId="171" fontId="0" fillId="2" borderId="4" xfId="0" applyNumberFormat="1" applyFill="1" applyBorder="1" applyAlignment="1">
      <alignment horizontal="right"/>
    </xf>
    <xf numFmtId="176" fontId="0" fillId="2" borderId="0" xfId="0" applyNumberFormat="1" applyFill="1" applyAlignment="1">
      <alignment horizontal="left"/>
    </xf>
    <xf numFmtId="166" fontId="10" fillId="7" borderId="6" xfId="0" applyNumberFormat="1" applyFont="1" applyFill="1" applyBorder="1" applyProtection="1">
      <protection locked="0"/>
    </xf>
    <xf numFmtId="166" fontId="32" fillId="2" borderId="0" xfId="0" applyNumberFormat="1" applyFont="1" applyFill="1" applyAlignment="1">
      <alignment horizontal="center"/>
    </xf>
    <xf numFmtId="166" fontId="0" fillId="7" borderId="10" xfId="0" applyNumberFormat="1" applyFill="1" applyBorder="1" applyAlignment="1">
      <alignment horizontal="center" vertical="center" wrapText="1"/>
    </xf>
    <xf numFmtId="166" fontId="32" fillId="7" borderId="6" xfId="0" applyNumberFormat="1" applyFont="1" applyFill="1" applyBorder="1" applyAlignment="1" applyProtection="1">
      <alignment horizontal="center"/>
      <protection locked="0"/>
    </xf>
    <xf numFmtId="166" fontId="45" fillId="2" borderId="0" xfId="0" applyNumberFormat="1" applyFont="1" applyFill="1" applyAlignment="1">
      <alignment horizontal="center"/>
    </xf>
    <xf numFmtId="166" fontId="0" fillId="2" borderId="0" xfId="0" applyNumberFormat="1" applyFill="1" applyAlignment="1">
      <alignment horizontal="center" vertical="center"/>
    </xf>
    <xf numFmtId="166" fontId="45" fillId="2" borderId="0" xfId="0" quotePrefix="1" applyNumberFormat="1" applyFont="1" applyFill="1" applyAlignment="1">
      <alignment horizontal="center"/>
    </xf>
    <xf numFmtId="166" fontId="45" fillId="2" borderId="3" xfId="0" applyNumberFormat="1" applyFont="1" applyFill="1" applyBorder="1" applyAlignment="1">
      <alignment horizontal="center"/>
    </xf>
    <xf numFmtId="166" fontId="45" fillId="2" borderId="0" xfId="0" applyNumberFormat="1" applyFont="1" applyFill="1" applyAlignment="1">
      <alignment horizontal="center" vertical="center"/>
    </xf>
    <xf numFmtId="166" fontId="32" fillId="0" borderId="0" xfId="0" applyNumberFormat="1" applyFont="1" applyAlignment="1">
      <alignment horizontal="center"/>
    </xf>
    <xf numFmtId="164" fontId="0" fillId="6" borderId="17" xfId="0" applyFill="1" applyBorder="1" applyAlignment="1">
      <alignment horizontal="center"/>
    </xf>
    <xf numFmtId="164" fontId="10" fillId="6" borderId="0" xfId="0" applyFont="1" applyFill="1" applyAlignment="1">
      <alignment horizontal="center"/>
    </xf>
    <xf numFmtId="171" fontId="33" fillId="0" borderId="0" xfId="0" applyNumberFormat="1" applyFont="1" applyAlignment="1">
      <alignment horizontal="center"/>
    </xf>
    <xf numFmtId="164" fontId="7" fillId="6" borderId="8" xfId="0" applyFont="1" applyFill="1" applyBorder="1" applyAlignment="1">
      <alignment horizontal="left"/>
    </xf>
    <xf numFmtId="1" fontId="7" fillId="6" borderId="8" xfId="0" applyNumberFormat="1" applyFont="1" applyFill="1" applyBorder="1" applyAlignment="1">
      <alignment horizontal="center"/>
    </xf>
    <xf numFmtId="171" fontId="7" fillId="6" borderId="8" xfId="0" applyNumberFormat="1" applyFont="1" applyFill="1" applyBorder="1" applyAlignment="1">
      <alignment horizontal="center"/>
    </xf>
    <xf numFmtId="2" fontId="7" fillId="6" borderId="8" xfId="0" applyNumberFormat="1" applyFont="1" applyFill="1" applyBorder="1" applyAlignment="1">
      <alignment horizontal="center"/>
    </xf>
    <xf numFmtId="164" fontId="30" fillId="2" borderId="0" xfId="0" applyFont="1" applyFill="1" applyAlignment="1">
      <alignment horizontal="left"/>
    </xf>
    <xf numFmtId="2" fontId="7" fillId="6" borderId="17" xfId="0" applyNumberFormat="1" applyFont="1" applyFill="1" applyBorder="1" applyAlignment="1">
      <alignment horizontal="center"/>
    </xf>
    <xf numFmtId="2" fontId="7" fillId="6" borderId="3" xfId="0" applyNumberFormat="1" applyFont="1" applyFill="1" applyBorder="1" applyAlignment="1">
      <alignment horizontal="center"/>
    </xf>
    <xf numFmtId="2" fontId="7" fillId="6" borderId="0" xfId="0" applyNumberFormat="1" applyFont="1" applyFill="1" applyAlignment="1">
      <alignment horizontal="left"/>
    </xf>
    <xf numFmtId="2" fontId="7" fillId="0" borderId="0" xfId="0" applyNumberFormat="1" applyFont="1" applyAlignment="1">
      <alignment horizontal="center"/>
    </xf>
    <xf numFmtId="1" fontId="0" fillId="7" borderId="0" xfId="0" applyNumberFormat="1" applyFill="1"/>
    <xf numFmtId="2" fontId="0" fillId="7" borderId="0" xfId="0" applyNumberFormat="1" applyFill="1" applyAlignment="1">
      <alignment horizontal="center"/>
    </xf>
    <xf numFmtId="166" fontId="46" fillId="2" borderId="11" xfId="0" applyNumberFormat="1" applyFont="1" applyFill="1" applyBorder="1"/>
    <xf numFmtId="1" fontId="41" fillId="7" borderId="0" xfId="0" applyNumberFormat="1" applyFont="1" applyFill="1" applyAlignment="1">
      <alignment horizontal="center"/>
    </xf>
    <xf numFmtId="171" fontId="41" fillId="7" borderId="0" xfId="0" applyNumberFormat="1" applyFont="1" applyFill="1" applyAlignment="1">
      <alignment horizontal="center"/>
    </xf>
    <xf numFmtId="0" fontId="7" fillId="6" borderId="0" xfId="0" applyNumberFormat="1" applyFont="1" applyFill="1" applyAlignment="1">
      <alignment horizontal="center"/>
    </xf>
    <xf numFmtId="0" fontId="7" fillId="6" borderId="8" xfId="0" applyNumberFormat="1" applyFont="1" applyFill="1" applyBorder="1" applyAlignment="1">
      <alignment horizontal="center"/>
    </xf>
    <xf numFmtId="171" fontId="7" fillId="6" borderId="8" xfId="8" applyNumberFormat="1" applyFont="1" applyFill="1" applyBorder="1" applyAlignment="1">
      <alignment horizontal="center"/>
    </xf>
    <xf numFmtId="9" fontId="7" fillId="6" borderId="8" xfId="8" applyFont="1" applyFill="1" applyBorder="1" applyAlignment="1">
      <alignment horizontal="center"/>
    </xf>
    <xf numFmtId="10" fontId="7" fillId="11" borderId="0" xfId="0" applyNumberFormat="1" applyFont="1" applyFill="1"/>
    <xf numFmtId="2" fontId="7" fillId="11" borderId="0" xfId="0" applyNumberFormat="1" applyFont="1" applyFill="1" applyAlignment="1">
      <alignment horizontal="center"/>
    </xf>
    <xf numFmtId="171" fontId="0" fillId="11" borderId="0" xfId="0" applyNumberFormat="1" applyFill="1" applyAlignment="1">
      <alignment horizontal="center"/>
    </xf>
    <xf numFmtId="9" fontId="7" fillId="11" borderId="0" xfId="8" applyFont="1" applyFill="1" applyBorder="1" applyAlignment="1">
      <alignment horizontal="center"/>
    </xf>
    <xf numFmtId="2" fontId="0" fillId="11" borderId="0" xfId="0" applyNumberFormat="1" applyFill="1" applyAlignment="1">
      <alignment horizontal="center"/>
    </xf>
    <xf numFmtId="164" fontId="0" fillId="11" borderId="0" xfId="0" applyFill="1"/>
    <xf numFmtId="2" fontId="7" fillId="11" borderId="17" xfId="0" applyNumberFormat="1" applyFont="1" applyFill="1" applyBorder="1" applyAlignment="1">
      <alignment horizontal="center"/>
    </xf>
    <xf numFmtId="171" fontId="0" fillId="11" borderId="17" xfId="0" applyNumberFormat="1" applyFill="1" applyBorder="1" applyAlignment="1">
      <alignment horizontal="center"/>
    </xf>
    <xf numFmtId="0" fontId="7" fillId="11" borderId="0" xfId="8" applyNumberFormat="1" applyFont="1" applyFill="1" applyBorder="1" applyAlignment="1">
      <alignment horizontal="left"/>
    </xf>
    <xf numFmtId="0" fontId="7" fillId="11" borderId="0" xfId="8" applyNumberFormat="1" applyFont="1" applyFill="1" applyBorder="1" applyAlignment="1"/>
    <xf numFmtId="2" fontId="7" fillId="11" borderId="0" xfId="8" applyNumberFormat="1" applyFont="1" applyFill="1" applyBorder="1" applyAlignment="1">
      <alignment horizontal="center"/>
    </xf>
    <xf numFmtId="171" fontId="7" fillId="11" borderId="0" xfId="8" applyNumberFormat="1" applyFont="1" applyFill="1" applyBorder="1" applyAlignment="1">
      <alignment horizontal="center"/>
    </xf>
    <xf numFmtId="0" fontId="7" fillId="11" borderId="0" xfId="8" applyNumberFormat="1" applyFont="1" applyFill="1" applyBorder="1" applyAlignment="1">
      <alignment horizontal="center"/>
    </xf>
    <xf numFmtId="0" fontId="0" fillId="11" borderId="0" xfId="0" applyNumberFormat="1" applyFill="1"/>
    <xf numFmtId="164" fontId="15" fillId="11" borderId="0" xfId="0" applyFont="1" applyFill="1" applyAlignment="1">
      <alignment horizontal="left"/>
    </xf>
    <xf numFmtId="2" fontId="7" fillId="11" borderId="0" xfId="0" applyNumberFormat="1" applyFont="1" applyFill="1"/>
    <xf numFmtId="171" fontId="8" fillId="11" borderId="0" xfId="0" applyNumberFormat="1" applyFont="1" applyFill="1" applyAlignment="1">
      <alignment horizontal="center"/>
    </xf>
    <xf numFmtId="171" fontId="7" fillId="11" borderId="0" xfId="0" applyNumberFormat="1" applyFont="1" applyFill="1" applyAlignment="1">
      <alignment horizontal="center"/>
    </xf>
    <xf numFmtId="164" fontId="7" fillId="11" borderId="0" xfId="0" applyFont="1" applyFill="1" applyAlignment="1">
      <alignment horizontal="center"/>
    </xf>
    <xf numFmtId="9" fontId="7" fillId="11" borderId="0" xfId="8" applyFont="1" applyFill="1" applyBorder="1" applyAlignment="1">
      <alignment horizontal="left"/>
    </xf>
    <xf numFmtId="164" fontId="9" fillId="11" borderId="0" xfId="0" applyFont="1" applyFill="1" applyAlignment="1">
      <alignment horizontal="left"/>
    </xf>
    <xf numFmtId="164" fontId="9" fillId="11" borderId="0" xfId="0" applyFont="1" applyFill="1"/>
    <xf numFmtId="2" fontId="9" fillId="11" borderId="0" xfId="0" applyNumberFormat="1" applyFont="1" applyFill="1" applyAlignment="1">
      <alignment horizontal="center"/>
    </xf>
    <xf numFmtId="171" fontId="9" fillId="11" borderId="0" xfId="0" applyNumberFormat="1" applyFont="1" applyFill="1" applyAlignment="1">
      <alignment horizontal="center"/>
    </xf>
    <xf numFmtId="164" fontId="10" fillId="11" borderId="0" xfId="0" applyFont="1" applyFill="1" applyAlignment="1">
      <alignment horizontal="left"/>
    </xf>
    <xf numFmtId="164" fontId="0" fillId="11" borderId="0" xfId="0" applyFill="1" applyAlignment="1">
      <alignment horizontal="left"/>
    </xf>
    <xf numFmtId="11" fontId="8" fillId="11" borderId="0" xfId="0" applyNumberFormat="1" applyFont="1" applyFill="1" applyAlignment="1">
      <alignment horizontal="center"/>
    </xf>
    <xf numFmtId="169" fontId="0" fillId="11" borderId="0" xfId="0" applyNumberFormat="1" applyFill="1" applyAlignment="1">
      <alignment horizontal="left"/>
    </xf>
    <xf numFmtId="169" fontId="0" fillId="11" borderId="0" xfId="0" applyNumberFormat="1" applyFill="1"/>
    <xf numFmtId="1" fontId="7" fillId="11" borderId="0" xfId="0" applyNumberFormat="1" applyFont="1" applyFill="1" applyAlignment="1">
      <alignment horizontal="center"/>
    </xf>
    <xf numFmtId="49" fontId="0" fillId="11" borderId="0" xfId="0" applyNumberFormat="1" applyFill="1" applyAlignment="1">
      <alignment horizontal="left"/>
    </xf>
    <xf numFmtId="49" fontId="0" fillId="11" borderId="0" xfId="0" applyNumberFormat="1" applyFill="1"/>
    <xf numFmtId="1" fontId="0" fillId="11" borderId="0" xfId="0" applyNumberFormat="1" applyFill="1" applyAlignment="1">
      <alignment horizontal="center"/>
    </xf>
    <xf numFmtId="1" fontId="0" fillId="11" borderId="17" xfId="0" applyNumberFormat="1" applyFill="1" applyBorder="1" applyAlignment="1">
      <alignment horizontal="left"/>
    </xf>
    <xf numFmtId="0" fontId="0" fillId="11" borderId="17" xfId="0" applyNumberFormat="1" applyFill="1" applyBorder="1"/>
    <xf numFmtId="164" fontId="0" fillId="11" borderId="17" xfId="0" applyFill="1" applyBorder="1"/>
    <xf numFmtId="1" fontId="0" fillId="11" borderId="3" xfId="0" applyNumberFormat="1" applyFill="1" applyBorder="1" applyAlignment="1">
      <alignment horizontal="left"/>
    </xf>
    <xf numFmtId="0" fontId="0" fillId="11" borderId="3" xfId="0" applyNumberFormat="1" applyFill="1" applyBorder="1"/>
    <xf numFmtId="171" fontId="7" fillId="11" borderId="3" xfId="0" applyNumberFormat="1" applyFont="1" applyFill="1" applyBorder="1"/>
    <xf numFmtId="2" fontId="7" fillId="11" borderId="3" xfId="0" applyNumberFormat="1" applyFont="1" applyFill="1" applyBorder="1" applyAlignment="1">
      <alignment horizontal="center"/>
    </xf>
    <xf numFmtId="171" fontId="0" fillId="11" borderId="3" xfId="0" applyNumberFormat="1" applyFill="1" applyBorder="1" applyAlignment="1">
      <alignment horizontal="center"/>
    </xf>
    <xf numFmtId="164" fontId="7" fillId="11" borderId="0" xfId="0" applyFont="1" applyFill="1"/>
    <xf numFmtId="1" fontId="7" fillId="11" borderId="0" xfId="0" applyNumberFormat="1" applyFont="1" applyFill="1" applyAlignment="1">
      <alignment horizontal="left"/>
    </xf>
    <xf numFmtId="0" fontId="7" fillId="11" borderId="0" xfId="0" applyNumberFormat="1" applyFont="1" applyFill="1"/>
    <xf numFmtId="1" fontId="7" fillId="11" borderId="0" xfId="8" applyNumberFormat="1" applyFont="1" applyFill="1" applyBorder="1" applyAlignment="1">
      <alignment horizontal="left"/>
    </xf>
    <xf numFmtId="0" fontId="7" fillId="6" borderId="3" xfId="0" applyNumberFormat="1" applyFont="1" applyFill="1" applyBorder="1" applyAlignment="1">
      <alignment horizontal="center"/>
    </xf>
    <xf numFmtId="2" fontId="7" fillId="6" borderId="3" xfId="8" applyNumberFormat="1" applyFont="1" applyFill="1" applyBorder="1" applyAlignment="1">
      <alignment horizontal="center"/>
    </xf>
    <xf numFmtId="171" fontId="7" fillId="6" borderId="3" xfId="8" applyNumberFormat="1" applyFont="1" applyFill="1" applyBorder="1" applyAlignment="1">
      <alignment horizontal="center"/>
    </xf>
    <xf numFmtId="9" fontId="7" fillId="6" borderId="3" xfId="8" applyFont="1" applyFill="1" applyBorder="1" applyAlignment="1">
      <alignment horizontal="center"/>
    </xf>
    <xf numFmtId="164" fontId="7" fillId="6" borderId="3" xfId="0" applyFont="1" applyFill="1" applyBorder="1"/>
    <xf numFmtId="164" fontId="7" fillId="6" borderId="8" xfId="0" applyFont="1" applyFill="1" applyBorder="1"/>
    <xf numFmtId="1" fontId="7" fillId="11" borderId="3" xfId="0" applyNumberFormat="1" applyFont="1" applyFill="1" applyBorder="1" applyAlignment="1">
      <alignment horizontal="left"/>
    </xf>
    <xf numFmtId="10" fontId="7" fillId="11" borderId="3" xfId="0" applyNumberFormat="1" applyFont="1" applyFill="1" applyBorder="1"/>
    <xf numFmtId="171" fontId="7" fillId="11" borderId="3" xfId="0" applyNumberFormat="1" applyFont="1" applyFill="1" applyBorder="1" applyAlignment="1">
      <alignment horizontal="center"/>
    </xf>
    <xf numFmtId="164" fontId="0" fillId="11" borderId="3" xfId="0" applyFill="1" applyBorder="1"/>
    <xf numFmtId="2" fontId="0" fillId="11" borderId="3" xfId="0" applyNumberFormat="1" applyFill="1" applyBorder="1" applyAlignment="1">
      <alignment horizontal="center"/>
    </xf>
    <xf numFmtId="1" fontId="7" fillId="11" borderId="8" xfId="0" applyNumberFormat="1" applyFont="1" applyFill="1" applyBorder="1" applyAlignment="1">
      <alignment horizontal="left"/>
    </xf>
    <xf numFmtId="10" fontId="7" fillId="11" borderId="8" xfId="0" applyNumberFormat="1" applyFont="1" applyFill="1" applyBorder="1"/>
    <xf numFmtId="164" fontId="0" fillId="11" borderId="8" xfId="0" applyFill="1" applyBorder="1"/>
    <xf numFmtId="2" fontId="0" fillId="11" borderId="8" xfId="0" applyNumberFormat="1" applyFill="1" applyBorder="1" applyAlignment="1">
      <alignment horizontal="center"/>
    </xf>
    <xf numFmtId="171" fontId="0" fillId="11" borderId="8" xfId="0" applyNumberFormat="1" applyFill="1" applyBorder="1" applyAlignment="1">
      <alignment horizontal="center"/>
    </xf>
    <xf numFmtId="171" fontId="30" fillId="7" borderId="0" xfId="8" applyNumberFormat="1" applyFont="1" applyFill="1" applyBorder="1" applyAlignment="1">
      <alignment horizontal="center"/>
    </xf>
    <xf numFmtId="166" fontId="30" fillId="2" borderId="11" xfId="0" applyNumberFormat="1" applyFont="1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0" fillId="2" borderId="2" xfId="0" applyNumberFormat="1" applyFill="1" applyBorder="1"/>
    <xf numFmtId="2" fontId="0" fillId="2" borderId="0" xfId="0" applyNumberFormat="1" applyFill="1" applyAlignment="1">
      <alignment horizontal="center"/>
    </xf>
    <xf numFmtId="164" fontId="2" fillId="0" borderId="0" xfId="1" applyNumberFormat="1" applyAlignment="1" applyProtection="1">
      <alignment horizontal="left"/>
    </xf>
    <xf numFmtId="164" fontId="2" fillId="2" borderId="0" xfId="1" applyNumberFormat="1" applyFill="1" applyBorder="1" applyAlignment="1" applyProtection="1"/>
    <xf numFmtId="165" fontId="41" fillId="2" borderId="6" xfId="0" applyNumberFormat="1" applyFont="1" applyFill="1" applyBorder="1" applyAlignment="1">
      <alignment horizontal="right"/>
    </xf>
    <xf numFmtId="14" fontId="7" fillId="2" borderId="0" xfId="0" applyNumberFormat="1" applyFont="1" applyFill="1"/>
    <xf numFmtId="14" fontId="0" fillId="2" borderId="0" xfId="0" applyNumberFormat="1" applyFill="1"/>
    <xf numFmtId="164" fontId="46" fillId="2" borderId="0" xfId="0" applyFont="1" applyFill="1"/>
    <xf numFmtId="164" fontId="46" fillId="2" borderId="0" xfId="0" quotePrefix="1" applyFont="1" applyFill="1" applyAlignment="1">
      <alignment horizontal="left"/>
    </xf>
    <xf numFmtId="166" fontId="46" fillId="7" borderId="6" xfId="0" applyNumberFormat="1" applyFont="1" applyFill="1" applyBorder="1" applyAlignment="1">
      <alignment horizontal="right"/>
    </xf>
    <xf numFmtId="166" fontId="46" fillId="5" borderId="5" xfId="0" applyNumberFormat="1" applyFont="1" applyFill="1" applyBorder="1"/>
    <xf numFmtId="9" fontId="46" fillId="6" borderId="0" xfId="8" applyFont="1" applyFill="1" applyBorder="1" applyAlignment="1">
      <alignment horizontal="center"/>
    </xf>
    <xf numFmtId="164" fontId="46" fillId="0" borderId="0" xfId="0" applyFont="1"/>
    <xf numFmtId="165" fontId="0" fillId="2" borderId="10" xfId="0" applyNumberFormat="1" applyFill="1" applyBorder="1" applyAlignment="1">
      <alignment vertical="center"/>
    </xf>
    <xf numFmtId="164" fontId="0" fillId="2" borderId="27" xfId="0" applyFill="1" applyBorder="1"/>
    <xf numFmtId="164" fontId="0" fillId="2" borderId="27" xfId="0" applyFill="1" applyBorder="1" applyAlignment="1">
      <alignment horizontal="right"/>
    </xf>
    <xf numFmtId="164" fontId="0" fillId="2" borderId="4" xfId="0" quotePrefix="1" applyFill="1" applyBorder="1" applyAlignment="1">
      <alignment horizontal="left"/>
    </xf>
    <xf numFmtId="164" fontId="0" fillId="2" borderId="4" xfId="0" applyFill="1" applyBorder="1"/>
    <xf numFmtId="164" fontId="0" fillId="2" borderId="8" xfId="0" applyFill="1" applyBorder="1"/>
    <xf numFmtId="166" fontId="0" fillId="7" borderId="6" xfId="0" applyNumberFormat="1" applyFill="1" applyBorder="1" applyProtection="1"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10" borderId="0" xfId="0" applyNumberFormat="1" applyFill="1" applyAlignment="1">
      <alignment horizontal="right"/>
    </xf>
    <xf numFmtId="166" fontId="0" fillId="7" borderId="6" xfId="0" applyNumberFormat="1" applyFill="1" applyBorder="1"/>
    <xf numFmtId="166" fontId="0" fillId="7" borderId="6" xfId="0" applyNumberFormat="1" applyFill="1" applyBorder="1" applyAlignment="1" applyProtection="1">
      <alignment horizontal="right"/>
      <protection locked="0"/>
    </xf>
    <xf numFmtId="166" fontId="0" fillId="7" borderId="6" xfId="0" applyNumberFormat="1" applyFill="1" applyBorder="1" applyAlignment="1">
      <alignment horizontal="right"/>
    </xf>
    <xf numFmtId="166" fontId="0" fillId="6" borderId="2" xfId="0" applyNumberFormat="1" applyFill="1" applyBorder="1" applyAlignment="1" applyProtection="1">
      <alignment horizontal="center"/>
      <protection locked="0"/>
    </xf>
    <xf numFmtId="166" fontId="0" fillId="6" borderId="11" xfId="0" applyNumberFormat="1" applyFill="1" applyBorder="1" applyAlignment="1">
      <alignment horizontal="right"/>
    </xf>
    <xf numFmtId="11" fontId="0" fillId="2" borderId="0" xfId="0" applyNumberFormat="1" applyFill="1" applyAlignment="1">
      <alignment horizontal="left"/>
    </xf>
    <xf numFmtId="166" fontId="0" fillId="2" borderId="3" xfId="0" applyNumberFormat="1" applyFill="1" applyBorder="1" applyAlignment="1">
      <alignment horizontal="right"/>
    </xf>
    <xf numFmtId="166" fontId="0" fillId="0" borderId="0" xfId="0" applyNumberFormat="1" applyAlignment="1">
      <alignment horizontal="right"/>
    </xf>
    <xf numFmtId="166" fontId="0" fillId="6" borderId="0" xfId="0" applyNumberFormat="1" applyFill="1" applyAlignment="1">
      <alignment horizontal="right"/>
    </xf>
    <xf numFmtId="11" fontId="0" fillId="10" borderId="0" xfId="0" applyNumberFormat="1" applyFill="1" applyAlignment="1">
      <alignment horizontal="right"/>
    </xf>
    <xf numFmtId="178" fontId="0" fillId="10" borderId="0" xfId="0" applyNumberFormat="1" applyFill="1" applyAlignment="1">
      <alignment horizontal="right"/>
    </xf>
    <xf numFmtId="166" fontId="0" fillId="6" borderId="0" xfId="0" applyNumberFormat="1" applyFill="1"/>
    <xf numFmtId="166" fontId="0" fillId="2" borderId="0" xfId="0" quotePrefix="1" applyNumberFormat="1" applyFill="1" applyAlignment="1">
      <alignment horizontal="right"/>
    </xf>
    <xf numFmtId="171" fontId="0" fillId="10" borderId="0" xfId="0" applyNumberFormat="1" applyFill="1" applyAlignment="1">
      <alignment horizontal="right"/>
    </xf>
    <xf numFmtId="166" fontId="0" fillId="2" borderId="0" xfId="0" quotePrefix="1" applyNumberFormat="1" applyFill="1" applyAlignment="1">
      <alignment horizontal="center"/>
    </xf>
    <xf numFmtId="166" fontId="0" fillId="6" borderId="3" xfId="0" applyNumberFormat="1" applyFill="1" applyBorder="1" applyAlignment="1" applyProtection="1">
      <alignment horizontal="right"/>
      <protection locked="0"/>
    </xf>
    <xf numFmtId="166" fontId="0" fillId="5" borderId="0" xfId="0" applyNumberFormat="1" applyFill="1"/>
    <xf numFmtId="166" fontId="0" fillId="2" borderId="0" xfId="0" applyNumberFormat="1" applyFill="1" applyAlignment="1" applyProtection="1">
      <alignment horizontal="right"/>
      <protection locked="0"/>
    </xf>
    <xf numFmtId="171" fontId="30" fillId="0" borderId="0" xfId="0" applyNumberFormat="1" applyFont="1" applyAlignment="1">
      <alignment horizontal="center"/>
    </xf>
    <xf numFmtId="11" fontId="7" fillId="6" borderId="0" xfId="0" applyNumberFormat="1" applyFont="1" applyFill="1" applyAlignment="1">
      <alignment horizontal="center"/>
    </xf>
    <xf numFmtId="177" fontId="7" fillId="6" borderId="0" xfId="0" applyNumberFormat="1" applyFont="1" applyFill="1" applyAlignment="1">
      <alignment horizontal="center"/>
    </xf>
    <xf numFmtId="164" fontId="2" fillId="0" borderId="0" xfId="1" applyNumberFormat="1" applyAlignment="1" applyProtection="1"/>
    <xf numFmtId="164" fontId="7" fillId="6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center"/>
    </xf>
    <xf numFmtId="177" fontId="7" fillId="6" borderId="4" xfId="0" applyNumberFormat="1" applyFont="1" applyFill="1" applyBorder="1" applyAlignment="1">
      <alignment horizontal="center"/>
    </xf>
    <xf numFmtId="171" fontId="7" fillId="6" borderId="4" xfId="0" applyNumberFormat="1" applyFont="1" applyFill="1" applyBorder="1" applyAlignment="1">
      <alignment horizontal="center"/>
    </xf>
    <xf numFmtId="2" fontId="7" fillId="6" borderId="4" xfId="8" applyNumberFormat="1" applyFont="1" applyFill="1" applyBorder="1" applyAlignment="1">
      <alignment horizontal="center"/>
    </xf>
    <xf numFmtId="171" fontId="7" fillId="6" borderId="4" xfId="8" applyNumberFormat="1" applyFont="1" applyFill="1" applyBorder="1" applyAlignment="1">
      <alignment horizontal="center"/>
    </xf>
    <xf numFmtId="9" fontId="7" fillId="6" borderId="4" xfId="8" applyFont="1" applyFill="1" applyBorder="1" applyAlignment="1">
      <alignment horizontal="center"/>
    </xf>
    <xf numFmtId="1" fontId="7" fillId="6" borderId="4" xfId="8" applyNumberFormat="1" applyFont="1" applyFill="1" applyBorder="1" applyAlignment="1">
      <alignment horizontal="right"/>
    </xf>
    <xf numFmtId="164" fontId="2" fillId="0" borderId="4" xfId="1" applyNumberFormat="1" applyBorder="1" applyAlignment="1" applyProtection="1"/>
    <xf numFmtId="164" fontId="2" fillId="6" borderId="0" xfId="1" applyNumberFormat="1" applyFill="1" applyAlignment="1" applyProtection="1">
      <alignment horizontal="left"/>
    </xf>
    <xf numFmtId="1" fontId="7" fillId="12" borderId="0" xfId="0" applyNumberFormat="1" applyFont="1" applyFill="1" applyAlignment="1">
      <alignment horizontal="center"/>
    </xf>
    <xf numFmtId="164" fontId="7" fillId="12" borderId="0" xfId="0" applyFont="1" applyFill="1" applyAlignment="1">
      <alignment horizontal="left"/>
    </xf>
    <xf numFmtId="2" fontId="7" fillId="12" borderId="0" xfId="0" applyNumberFormat="1" applyFont="1" applyFill="1" applyAlignment="1">
      <alignment horizontal="center"/>
    </xf>
    <xf numFmtId="177" fontId="7" fillId="12" borderId="0" xfId="0" applyNumberFormat="1" applyFont="1" applyFill="1" applyAlignment="1">
      <alignment horizontal="center"/>
    </xf>
    <xf numFmtId="171" fontId="7" fillId="12" borderId="0" xfId="0" applyNumberFormat="1" applyFont="1" applyFill="1" applyAlignment="1">
      <alignment horizontal="center"/>
    </xf>
    <xf numFmtId="2" fontId="7" fillId="12" borderId="0" xfId="8" applyNumberFormat="1" applyFont="1" applyFill="1" applyBorder="1" applyAlignment="1">
      <alignment horizontal="center"/>
    </xf>
    <xf numFmtId="171" fontId="7" fillId="12" borderId="0" xfId="8" applyNumberFormat="1" applyFont="1" applyFill="1" applyBorder="1" applyAlignment="1">
      <alignment horizontal="center"/>
    </xf>
    <xf numFmtId="9" fontId="7" fillId="12" borderId="0" xfId="8" applyFont="1" applyFill="1" applyBorder="1" applyAlignment="1">
      <alignment horizontal="center"/>
    </xf>
    <xf numFmtId="1" fontId="7" fillId="12" borderId="0" xfId="8" applyNumberFormat="1" applyFont="1" applyFill="1" applyBorder="1" applyAlignment="1">
      <alignment horizontal="right"/>
    </xf>
    <xf numFmtId="164" fontId="2" fillId="12" borderId="0" xfId="1" applyNumberFormat="1" applyFill="1" applyAlignment="1" applyProtection="1"/>
    <xf numFmtId="164" fontId="7" fillId="12" borderId="0" xfId="0" applyFont="1" applyFill="1"/>
    <xf numFmtId="0" fontId="7" fillId="6" borderId="0" xfId="0" applyNumberFormat="1" applyFont="1" applyFill="1" applyAlignment="1">
      <alignment horizontal="left"/>
    </xf>
    <xf numFmtId="1" fontId="7" fillId="13" borderId="0" xfId="0" applyNumberFormat="1" applyFont="1" applyFill="1" applyAlignment="1">
      <alignment horizontal="center"/>
    </xf>
    <xf numFmtId="164" fontId="7" fillId="13" borderId="0" xfId="0" applyFont="1" applyFill="1" applyAlignment="1">
      <alignment horizontal="left"/>
    </xf>
    <xf numFmtId="2" fontId="7" fillId="13" borderId="0" xfId="0" applyNumberFormat="1" applyFont="1" applyFill="1" applyAlignment="1">
      <alignment horizontal="center"/>
    </xf>
    <xf numFmtId="177" fontId="7" fillId="13" borderId="0" xfId="0" applyNumberFormat="1" applyFont="1" applyFill="1" applyAlignment="1">
      <alignment horizontal="center"/>
    </xf>
    <xf numFmtId="171" fontId="7" fillId="13" borderId="0" xfId="0" applyNumberFormat="1" applyFont="1" applyFill="1" applyAlignment="1">
      <alignment horizontal="center"/>
    </xf>
    <xf numFmtId="49" fontId="7" fillId="6" borderId="0" xfId="0" applyNumberFormat="1" applyFont="1" applyFill="1" applyAlignment="1">
      <alignment horizontal="left"/>
    </xf>
    <xf numFmtId="11" fontId="0" fillId="6" borderId="0" xfId="0" applyNumberFormat="1" applyFill="1" applyAlignment="1">
      <alignment horizontal="center"/>
    </xf>
    <xf numFmtId="1" fontId="0" fillId="6" borderId="0" xfId="0" applyNumberFormat="1" applyFill="1" applyAlignment="1">
      <alignment horizontal="center"/>
    </xf>
  </cellXfs>
  <cellStyles count="12">
    <cellStyle name="Hyperlink" xfId="1" builtinId="8"/>
    <cellStyle name="Hyperlink 2" xfId="2" xr:uid="{00000000-0005-0000-0000-000001000000}"/>
    <cellStyle name="Normal" xfId="0" builtinId="0"/>
    <cellStyle name="Normal 2 2" xfId="3" xr:uid="{00000000-0005-0000-0000-000003000000}"/>
    <cellStyle name="Normal 2 3" xfId="4" xr:uid="{00000000-0005-0000-0000-000004000000}"/>
    <cellStyle name="Normal 2 4" xfId="5" xr:uid="{00000000-0005-0000-0000-000005000000}"/>
    <cellStyle name="Normal 3" xfId="6" xr:uid="{00000000-0005-0000-0000-000006000000}"/>
    <cellStyle name="Normal 4" xfId="7" xr:uid="{00000000-0005-0000-0000-000007000000}"/>
    <cellStyle name="Percent" xfId="8" builtinId="5"/>
    <cellStyle name="Percent 2 2" xfId="9" xr:uid="{00000000-0005-0000-0000-000009000000}"/>
    <cellStyle name="Percent 3" xfId="10" xr:uid="{00000000-0005-0000-0000-00000A000000}"/>
    <cellStyle name="Percent 4" xfId="11" xr:uid="{00000000-0005-0000-0000-00000B000000}"/>
  </cellStyles>
  <dxfs count="122">
    <dxf>
      <font>
        <strike val="0"/>
        <color auto="1"/>
      </font>
      <numFmt numFmtId="171" formatCode="0.0E+00"/>
    </dxf>
    <dxf>
      <font>
        <strike val="0"/>
        <color auto="1"/>
      </font>
      <numFmt numFmtId="1" formatCode="0"/>
    </dxf>
    <dxf>
      <font>
        <strike val="0"/>
        <color auto="1"/>
      </font>
      <numFmt numFmtId="171" formatCode="0.0E+00"/>
    </dxf>
    <dxf>
      <font>
        <strike val="0"/>
        <color auto="1"/>
      </font>
      <numFmt numFmtId="1" formatCode="0"/>
    </dxf>
    <dxf>
      <font>
        <strike val="0"/>
        <color auto="1"/>
      </font>
      <numFmt numFmtId="1" formatCode="0"/>
    </dxf>
    <dxf>
      <font>
        <strike val="0"/>
        <color auto="1"/>
      </font>
      <numFmt numFmtId="171" formatCode="0.0E+00"/>
    </dxf>
    <dxf>
      <font>
        <strike val="0"/>
        <color auto="1"/>
      </font>
      <numFmt numFmtId="1" formatCode="0"/>
    </dxf>
    <dxf>
      <font>
        <strike val="0"/>
        <color auto="1"/>
      </font>
      <numFmt numFmtId="171" formatCode="0.0E+00"/>
    </dxf>
    <dxf>
      <numFmt numFmtId="0" formatCode="General"/>
    </dxf>
    <dxf>
      <numFmt numFmtId="1" formatCode="0"/>
    </dxf>
    <dxf>
      <numFmt numFmtId="164" formatCode="General_)"/>
    </dxf>
    <dxf>
      <numFmt numFmtId="164" formatCode="General_)"/>
    </dxf>
    <dxf>
      <numFmt numFmtId="0" formatCode="General"/>
    </dxf>
    <dxf>
      <numFmt numFmtId="0" formatCode="General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font>
        <color rgb="FFCC00CC"/>
      </font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numFmt numFmtId="164" formatCode="General_)"/>
    </dxf>
    <dxf>
      <font>
        <color rgb="FFCC00CC"/>
      </font>
    </dxf>
    <dxf>
      <numFmt numFmtId="164" formatCode="General_)"/>
    </dxf>
    <dxf>
      <numFmt numFmtId="0" formatCode="General"/>
    </dxf>
    <dxf>
      <numFmt numFmtId="0" formatCode="General"/>
    </dxf>
    <dxf>
      <numFmt numFmtId="164" formatCode="General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CC00CC"/>
      </font>
    </dxf>
    <dxf>
      <numFmt numFmtId="164" formatCode="General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EAEAEA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AEAEA"/>
      <color rgb="FF0000FF"/>
      <color rgb="FFCC00CC"/>
      <color rgb="FF008C00"/>
      <color rgb="FF0000DC"/>
      <color rgb="FF009600"/>
      <color rgb="FFDC0000"/>
      <color rgb="FFC80000"/>
      <color rgb="FFE20000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SimpleBox dynamic output - Regional </a:t>
            </a:r>
          </a:p>
        </c:rich>
      </c:tx>
      <c:layout>
        <c:manualLayout>
          <c:xMode val="edge"/>
          <c:yMode val="edge"/>
          <c:x val="0.24423968792891715"/>
          <c:y val="1.73010380622837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66931541814154"/>
          <c:y val="0.11418704413630668"/>
          <c:w val="0.78190228515013549"/>
          <c:h val="0.7132159730033758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dynamicR!$G$19</c:f>
              <c:strCache>
                <c:ptCount val="1"/>
                <c:pt idx="0">
                  <c:v>aR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dynamicR!$G$20:$G$120</c:f>
              <c:numCache>
                <c:formatCode>0.00</c:formatCode>
                <c:ptCount val="101"/>
                <c:pt idx="0">
                  <c:v>0</c:v>
                </c:pt>
                <c:pt idx="1">
                  <c:v>0.57645551062341138</c:v>
                </c:pt>
                <c:pt idx="2">
                  <c:v>0.70935591180983393</c:v>
                </c:pt>
                <c:pt idx="3">
                  <c:v>0.76729253952263599</c:v>
                </c:pt>
                <c:pt idx="4">
                  <c:v>0.79719502740166159</c:v>
                </c:pt>
                <c:pt idx="5">
                  <c:v>0.8161406409605193</c:v>
                </c:pt>
                <c:pt idx="6">
                  <c:v>0.83043789368451026</c:v>
                </c:pt>
                <c:pt idx="7">
                  <c:v>0.84246496711396446</c:v>
                </c:pt>
                <c:pt idx="8">
                  <c:v>0.85315395185675258</c:v>
                </c:pt>
                <c:pt idx="9">
                  <c:v>0.86289898031534429</c:v>
                </c:pt>
                <c:pt idx="10">
                  <c:v>0.87188541553544219</c:v>
                </c:pt>
                <c:pt idx="11">
                  <c:v>0.88021855227132073</c:v>
                </c:pt>
                <c:pt idx="12">
                  <c:v>0.88796634195341295</c:v>
                </c:pt>
                <c:pt idx="13">
                  <c:v>0.89518157223538353</c:v>
                </c:pt>
                <c:pt idx="14">
                  <c:v>0.90190810738308291</c:v>
                </c:pt>
                <c:pt idx="15">
                  <c:v>0.90818341544973868</c:v>
                </c:pt>
                <c:pt idx="16">
                  <c:v>0.91404128586482203</c:v>
                </c:pt>
                <c:pt idx="17">
                  <c:v>0.91951301818341424</c:v>
                </c:pt>
                <c:pt idx="18">
                  <c:v>0.92462546743711382</c:v>
                </c:pt>
                <c:pt idx="19">
                  <c:v>0.92940402720077031</c:v>
                </c:pt>
                <c:pt idx="20">
                  <c:v>0.93387209771828739</c:v>
                </c:pt>
                <c:pt idx="21">
                  <c:v>0.93805090919551126</c:v>
                </c:pt>
                <c:pt idx="22">
                  <c:v>0.94196036705886999</c:v>
                </c:pt>
                <c:pt idx="23">
                  <c:v>0.9456185493714514</c:v>
                </c:pt>
                <c:pt idx="24">
                  <c:v>0.94904235226016853</c:v>
                </c:pt>
                <c:pt idx="25">
                  <c:v>0.95224736654839581</c:v>
                </c:pt>
                <c:pt idx="26">
                  <c:v>0.95524802566477618</c:v>
                </c:pt>
                <c:pt idx="27">
                  <c:v>0.95805779305587646</c:v>
                </c:pt>
                <c:pt idx="28">
                  <c:v>0.96068914764364877</c:v>
                </c:pt>
                <c:pt idx="29">
                  <c:v>0.96315369016463515</c:v>
                </c:pt>
                <c:pt idx="30">
                  <c:v>0.96546224185048457</c:v>
                </c:pt>
                <c:pt idx="31">
                  <c:v>0.96762488246310507</c:v>
                </c:pt>
                <c:pt idx="32">
                  <c:v>0.96965099871661398</c:v>
                </c:pt>
                <c:pt idx="33">
                  <c:v>0.97154935077270033</c:v>
                </c:pt>
                <c:pt idx="34">
                  <c:v>0.97332811885356718</c:v>
                </c:pt>
                <c:pt idx="35">
                  <c:v>0.97499493787082658</c:v>
                </c:pt>
                <c:pt idx="36">
                  <c:v>0.97655693824116896</c:v>
                </c:pt>
                <c:pt idx="37">
                  <c:v>0.97802078491111188</c:v>
                </c:pt>
                <c:pt idx="38">
                  <c:v>0.97939270829113689</c:v>
                </c:pt>
                <c:pt idx="39">
                  <c:v>0.98067853318106923</c:v>
                </c:pt>
                <c:pt idx="40">
                  <c:v>0.9818837076303748</c:v>
                </c:pt>
                <c:pt idx="41">
                  <c:v>0.98301332875740333</c:v>
                </c:pt>
                <c:pt idx="42">
                  <c:v>0.98407216583232526</c:v>
                </c:pt>
                <c:pt idx="43">
                  <c:v>0.98506468229333743</c:v>
                </c:pt>
                <c:pt idx="44">
                  <c:v>0.98599505633335705</c:v>
                </c:pt>
                <c:pt idx="45">
                  <c:v>0.98686719961561964</c:v>
                </c:pt>
                <c:pt idx="46">
                  <c:v>0.98768477468800475</c:v>
                </c:pt>
                <c:pt idx="47">
                  <c:v>0.98845121136979619</c:v>
                </c:pt>
                <c:pt idx="48">
                  <c:v>0.98916972192988395</c:v>
                </c:pt>
                <c:pt idx="49">
                  <c:v>0.98984331513691415</c:v>
                </c:pt>
                <c:pt idx="50">
                  <c:v>0.98984331513691415</c:v>
                </c:pt>
                <c:pt idx="51">
                  <c:v>0.41401931132213032</c:v>
                </c:pt>
                <c:pt idx="52">
                  <c:v>0.28171092877484211</c:v>
                </c:pt>
                <c:pt idx="53">
                  <c:v>0.22432940338276061</c:v>
                </c:pt>
                <c:pt idx="54">
                  <c:v>0.19494723838167305</c:v>
                </c:pt>
                <c:pt idx="55">
                  <c:v>0.17648953727519387</c:v>
                </c:pt>
                <c:pt idx="56">
                  <c:v>0.16264989168503161</c:v>
                </c:pt>
                <c:pt idx="57">
                  <c:v>0.15105188598633848</c:v>
                </c:pt>
                <c:pt idx="58">
                  <c:v>0.14076452375297638</c:v>
                </c:pt>
                <c:pt idx="59">
                  <c:v>0.13139672938881633</c:v>
                </c:pt>
                <c:pt idx="60">
                  <c:v>0.12276331249905184</c:v>
                </c:pt>
                <c:pt idx="61">
                  <c:v>0.11476196866442551</c:v>
                </c:pt>
                <c:pt idx="62">
                  <c:v>0.10732498928872283</c:v>
                </c:pt>
                <c:pt idx="63">
                  <c:v>0.10040106830159481</c:v>
                </c:pt>
                <c:pt idx="64">
                  <c:v>9.3947818558337379E-2</c:v>
                </c:pt>
                <c:pt idx="65">
                  <c:v>8.7928538412250942E-2</c:v>
                </c:pt>
                <c:pt idx="66">
                  <c:v>8.2310526120787653E-2</c:v>
                </c:pt>
                <c:pt idx="67">
                  <c:v>7.7064425523961824E-2</c:v>
                </c:pt>
                <c:pt idx="68">
                  <c:v>7.2163303589605224E-2</c:v>
                </c:pt>
                <c:pt idx="69">
                  <c:v>6.7582864782433846E-2</c:v>
                </c:pt>
                <c:pt idx="70">
                  <c:v>6.3300619809918232E-2</c:v>
                </c:pt>
                <c:pt idx="71">
                  <c:v>5.9295882421121243E-2</c:v>
                </c:pt>
                <c:pt idx="72">
                  <c:v>5.5549768204960451E-2</c:v>
                </c:pt>
                <c:pt idx="73">
                  <c:v>5.2044717536023334E-2</c:v>
                </c:pt>
                <c:pt idx="74">
                  <c:v>4.8764548489595716E-2</c:v>
                </c:pt>
                <c:pt idx="75">
                  <c:v>4.5694223553773554E-2</c:v>
                </c:pt>
                <c:pt idx="76">
                  <c:v>4.2819854022778471E-2</c:v>
                </c:pt>
                <c:pt idx="77">
                  <c:v>4.0128545279819849E-2</c:v>
                </c:pt>
                <c:pt idx="78">
                  <c:v>3.7608275127393564E-2</c:v>
                </c:pt>
                <c:pt idx="79">
                  <c:v>3.524791169303438E-2</c:v>
                </c:pt>
                <c:pt idx="80">
                  <c:v>3.3037056593176753E-2</c:v>
                </c:pt>
                <c:pt idx="81">
                  <c:v>3.0966059829865542E-2</c:v>
                </c:pt>
                <c:pt idx="82">
                  <c:v>2.9025884642267692E-2</c:v>
                </c:pt>
                <c:pt idx="83">
                  <c:v>2.7208141179242529E-2</c:v>
                </c:pt>
                <c:pt idx="84">
                  <c:v>2.5504967808289206E-2</c:v>
                </c:pt>
                <c:pt idx="85">
                  <c:v>2.3909058062036897E-2</c:v>
                </c:pt>
                <c:pt idx="86">
                  <c:v>2.2413571287075957E-2</c:v>
                </c:pt>
                <c:pt idx="87">
                  <c:v>2.1012102056432801E-2</c:v>
                </c:pt>
                <c:pt idx="88">
                  <c:v>1.9698697628908805E-2</c:v>
                </c:pt>
                <c:pt idx="89">
                  <c:v>1.8467767897008755E-2</c:v>
                </c:pt>
                <c:pt idx="90">
                  <c:v>1.7314081270446854E-2</c:v>
                </c:pt>
                <c:pt idx="91">
                  <c:v>1.6232759212127506E-2</c:v>
                </c:pt>
                <c:pt idx="92">
                  <c:v>1.5219238773474975E-2</c:v>
                </c:pt>
                <c:pt idx="93">
                  <c:v>1.4269229005404296E-2</c:v>
                </c:pt>
                <c:pt idx="94">
                  <c:v>1.3378738386881734E-2</c:v>
                </c:pt>
                <c:pt idx="95">
                  <c:v>1.25440055991029E-2</c:v>
                </c:pt>
                <c:pt idx="96">
                  <c:v>1.1761525579843507E-2</c:v>
                </c:pt>
                <c:pt idx="97">
                  <c:v>1.1028027782296937E-2</c:v>
                </c:pt>
                <c:pt idx="98">
                  <c:v>1.0340415787938427E-2</c:v>
                </c:pt>
                <c:pt idx="99">
                  <c:v>9.695815116238668E-3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5-4AB5-B6D5-3D49421A108B}"/>
            </c:ext>
          </c:extLst>
        </c:ser>
        <c:ser>
          <c:idx val="1"/>
          <c:order val="1"/>
          <c:tx>
            <c:strRef>
              <c:f>dynamicR!$I$19</c:f>
              <c:strCache>
                <c:ptCount val="1"/>
                <c:pt idx="0">
                  <c:v>w1R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dynamicR!$I$20:$I$120</c:f>
              <c:numCache>
                <c:formatCode>0.00</c:formatCode>
                <c:ptCount val="101"/>
                <c:pt idx="0">
                  <c:v>0</c:v>
                </c:pt>
                <c:pt idx="1">
                  <c:v>0.66884677320696684</c:v>
                </c:pt>
                <c:pt idx="2">
                  <c:v>0.86833052448315673</c:v>
                </c:pt>
                <c:pt idx="3">
                  <c:v>0.92929956461239371</c:v>
                </c:pt>
                <c:pt idx="4">
                  <c:v>0.9492963081919531</c:v>
                </c:pt>
                <c:pt idx="5">
                  <c:v>0.95708456420481791</c:v>
                </c:pt>
                <c:pt idx="6">
                  <c:v>0.96115251076980723</c:v>
                </c:pt>
                <c:pt idx="7">
                  <c:v>0.96401055431012905</c:v>
                </c:pt>
                <c:pt idx="8">
                  <c:v>0.96640645558149585</c:v>
                </c:pt>
                <c:pt idx="9">
                  <c:v>0.9685674590202501</c:v>
                </c:pt>
                <c:pt idx="10">
                  <c:v>0.97056688337825725</c:v>
                </c:pt>
                <c:pt idx="11">
                  <c:v>0.97243226478390166</c:v>
                </c:pt>
                <c:pt idx="12">
                  <c:v>0.97417720688593257</c:v>
                </c:pt>
                <c:pt idx="13">
                  <c:v>0.97581088515838377</c:v>
                </c:pt>
                <c:pt idx="14">
                  <c:v>0.97734081385979632</c:v>
                </c:pt>
                <c:pt idx="15">
                  <c:v>0.97877372247672245</c:v>
                </c:pt>
                <c:pt idx="16">
                  <c:v>0.98011581699567196</c:v>
                </c:pt>
                <c:pt idx="17">
                  <c:v>0.98137287666975614</c:v>
                </c:pt>
                <c:pt idx="18">
                  <c:v>0.98255030638131935</c:v>
                </c:pt>
                <c:pt idx="19">
                  <c:v>0.98365316346007503</c:v>
                </c:pt>
                <c:pt idx="20">
                  <c:v>0.98468618264048891</c:v>
                </c:pt>
                <c:pt idx="21">
                  <c:v>0.98565379656615282</c:v>
                </c:pt>
                <c:pt idx="22">
                  <c:v>0.98656015574924094</c:v>
                </c:pt>
                <c:pt idx="23">
                  <c:v>0.98740914616393072</c:v>
                </c:pt>
                <c:pt idx="24">
                  <c:v>0.98820440726950332</c:v>
                </c:pt>
                <c:pt idx="25">
                  <c:v>0.98894934718701999</c:v>
                </c:pt>
                <c:pt idx="26">
                  <c:v>0.98964715660583191</c:v>
                </c:pt>
                <c:pt idx="27">
                  <c:v>0.99030082337511638</c:v>
                </c:pt>
                <c:pt idx="28">
                  <c:v>0.99091314568772715</c:v>
                </c:pt>
                <c:pt idx="29">
                  <c:v>0.99148674404090897</c:v>
                </c:pt>
                <c:pt idx="30">
                  <c:v>0.99202407234896528</c:v>
                </c:pt>
                <c:pt idx="31">
                  <c:v>0.99252742855374898</c:v>
                </c:pt>
                <c:pt idx="32">
                  <c:v>0.99299896466858328</c:v>
                </c:pt>
                <c:pt idx="33">
                  <c:v>0.9934406961199892</c:v>
                </c:pt>
                <c:pt idx="34">
                  <c:v>0.99385451041213912</c:v>
                </c:pt>
                <c:pt idx="35">
                  <c:v>0.9942421752325038</c:v>
                </c:pt>
                <c:pt idx="36">
                  <c:v>0.99460534607712192</c:v>
                </c:pt>
                <c:pt idx="37">
                  <c:v>0.99494557340821199</c:v>
                </c:pt>
                <c:pt idx="38">
                  <c:v>0.99526430934397137</c:v>
                </c:pt>
                <c:pt idx="39">
                  <c:v>0.99556291390638629</c:v>
                </c:pt>
                <c:pt idx="40">
                  <c:v>0.99584266086972051</c:v>
                </c:pt>
                <c:pt idx="41">
                  <c:v>0.99610474324364451</c:v>
                </c:pt>
                <c:pt idx="42">
                  <c:v>0.99635027841023294</c:v>
                </c:pt>
                <c:pt idx="43">
                  <c:v>0.99658031293095362</c:v>
                </c:pt>
                <c:pt idx="44">
                  <c:v>0.99679582704453285</c:v>
                </c:pt>
                <c:pt idx="45">
                  <c:v>0.99699773887841037</c:v>
                </c:pt>
                <c:pt idx="46">
                  <c:v>0.99718690839340363</c:v>
                </c:pt>
                <c:pt idx="47">
                  <c:v>0.9973641410777252</c:v>
                </c:pt>
                <c:pt idx="48">
                  <c:v>0.99753019140532329</c:v>
                </c:pt>
                <c:pt idx="49">
                  <c:v>0.99768576607359305</c:v>
                </c:pt>
                <c:pt idx="50">
                  <c:v>0.99768576607359305</c:v>
                </c:pt>
                <c:pt idx="51">
                  <c:v>0.32898480761151799</c:v>
                </c:pt>
                <c:pt idx="52">
                  <c:v>0.12963747771891612</c:v>
                </c:pt>
                <c:pt idx="53">
                  <c:v>6.8796619941859052E-2</c:v>
                </c:pt>
                <c:pt idx="54">
                  <c:v>4.8919588622210353E-2</c:v>
                </c:pt>
                <c:pt idx="55">
                  <c:v>4.1243693155905342E-2</c:v>
                </c:pt>
                <c:pt idx="56">
                  <c:v>3.7281074615824805E-2</c:v>
                </c:pt>
                <c:pt idx="57">
                  <c:v>3.4521597095971655E-2</c:v>
                </c:pt>
                <c:pt idx="58">
                  <c:v>3.2218079803676108E-2</c:v>
                </c:pt>
                <c:pt idx="59">
                  <c:v>3.014363093783945E-2</c:v>
                </c:pt>
                <c:pt idx="60">
                  <c:v>2.822531119444676E-2</c:v>
                </c:pt>
                <c:pt idx="61">
                  <c:v>2.6435934718051921E-2</c:v>
                </c:pt>
                <c:pt idx="62">
                  <c:v>2.4762205048847789E-2</c:v>
                </c:pt>
                <c:pt idx="63">
                  <c:v>2.3195257277597615E-2</c:v>
                </c:pt>
                <c:pt idx="64">
                  <c:v>2.1727851729388827E-2</c:v>
                </c:pt>
                <c:pt idx="65">
                  <c:v>2.0353525831390201E-2</c:v>
                </c:pt>
                <c:pt idx="66">
                  <c:v>1.9066329071949484E-2</c:v>
                </c:pt>
                <c:pt idx="67">
                  <c:v>1.7860707650378532E-2</c:v>
                </c:pt>
                <c:pt idx="68">
                  <c:v>1.6731476351588115E-2</c:v>
                </c:pt>
                <c:pt idx="69">
                  <c:v>1.5673786752155167E-2</c:v>
                </c:pt>
                <c:pt idx="70">
                  <c:v>1.4683089773779899E-2</c:v>
                </c:pt>
                <c:pt idx="71">
                  <c:v>1.3755133736384919E-2</c:v>
                </c:pt>
                <c:pt idx="72">
                  <c:v>1.2885935014538861E-2</c:v>
                </c:pt>
                <c:pt idx="73">
                  <c:v>1.207176626305201E-2</c:v>
                </c:pt>
                <c:pt idx="74">
                  <c:v>1.1309134710214155E-2</c:v>
                </c:pt>
                <c:pt idx="75">
                  <c:v>1.0594770805981309E-2</c:v>
                </c:pt>
                <c:pt idx="76">
                  <c:v>9.9256132925370291E-3</c:v>
                </c:pt>
                <c:pt idx="77">
                  <c:v>9.298795611466475E-3</c:v>
                </c:pt>
                <c:pt idx="78">
                  <c:v>8.7116337245627846E-3</c:v>
                </c:pt>
                <c:pt idx="79">
                  <c:v>8.1616119099799066E-3</c:v>
                </c:pt>
                <c:pt idx="80">
                  <c:v>7.6463740076350558E-3</c:v>
                </c:pt>
                <c:pt idx="81">
                  <c:v>7.1637261103955473E-3</c:v>
                </c:pt>
                <c:pt idx="82">
                  <c:v>6.7115914817479213E-3</c:v>
                </c:pt>
                <c:pt idx="83">
                  <c:v>6.2880423927347768E-3</c:v>
                </c:pt>
                <c:pt idx="84">
                  <c:v>5.8912664567280617E-3</c:v>
                </c:pt>
                <c:pt idx="85">
                  <c:v>5.5195684737934497E-3</c:v>
                </c:pt>
                <c:pt idx="86">
                  <c:v>5.1713602597949441E-3</c:v>
                </c:pt>
                <c:pt idx="87">
                  <c:v>4.8451553660532748E-3</c:v>
                </c:pt>
                <c:pt idx="88">
                  <c:v>4.5395594018090802E-3</c:v>
                </c:pt>
                <c:pt idx="89">
                  <c:v>4.2532702742882943E-3</c:v>
                </c:pt>
                <c:pt idx="90">
                  <c:v>3.9850640983162874E-3</c:v>
                </c:pt>
                <c:pt idx="91">
                  <c:v>3.7337966852435808E-3</c:v>
                </c:pt>
                <c:pt idx="92">
                  <c:v>3.4983972192099283E-3</c:v>
                </c:pt>
                <c:pt idx="93">
                  <c:v>3.2778621805224844E-3</c:v>
                </c:pt>
                <c:pt idx="94">
                  <c:v>3.0712509128135801E-3</c:v>
                </c:pt>
                <c:pt idx="95">
                  <c:v>2.8776811551167077E-3</c:v>
                </c:pt>
                <c:pt idx="96">
                  <c:v>2.6963288765724058E-3</c:v>
                </c:pt>
                <c:pt idx="97">
                  <c:v>2.5264230924695015E-3</c:v>
                </c:pt>
                <c:pt idx="98">
                  <c:v>2.3672395567212196E-3</c:v>
                </c:pt>
                <c:pt idx="99">
                  <c:v>2.2181002085043238E-3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C5-4AB5-B6D5-3D49421A108B}"/>
            </c:ext>
          </c:extLst>
        </c:ser>
        <c:ser>
          <c:idx val="2"/>
          <c:order val="2"/>
          <c:tx>
            <c:strRef>
              <c:f>dynamicR!$J$19</c:f>
              <c:strCache>
                <c:ptCount val="1"/>
                <c:pt idx="0">
                  <c:v>w2R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rgbClr val="FFFFFF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dynamicR!$J$20:$J$120</c:f>
              <c:numCache>
                <c:formatCode>0.00</c:formatCode>
                <c:ptCount val="101"/>
                <c:pt idx="0">
                  <c:v>0</c:v>
                </c:pt>
                <c:pt idx="1">
                  <c:v>0.33750736886820532</c:v>
                </c:pt>
                <c:pt idx="2">
                  <c:v>0.67677328090509459</c:v>
                </c:pt>
                <c:pt idx="3">
                  <c:v>0.84461468194342448</c:v>
                </c:pt>
                <c:pt idx="4">
                  <c:v>0.91438516793509395</c:v>
                </c:pt>
                <c:pt idx="5">
                  <c:v>0.94202516190158869</c:v>
                </c:pt>
                <c:pt idx="6">
                  <c:v>0.95350237718862618</c:v>
                </c:pt>
                <c:pt idx="7">
                  <c:v>0.95909301503927535</c:v>
                </c:pt>
                <c:pt idx="8">
                  <c:v>0.96255666016733799</c:v>
                </c:pt>
                <c:pt idx="9">
                  <c:v>0.96520854334816408</c:v>
                </c:pt>
                <c:pt idx="10">
                  <c:v>0.96749839851760022</c:v>
                </c:pt>
                <c:pt idx="11">
                  <c:v>0.96958059747303293</c:v>
                </c:pt>
                <c:pt idx="12">
                  <c:v>0.97151091317299743</c:v>
                </c:pt>
                <c:pt idx="13">
                  <c:v>0.97331267592063553</c:v>
                </c:pt>
                <c:pt idx="14">
                  <c:v>0.97499835377607158</c:v>
                </c:pt>
                <c:pt idx="15">
                  <c:v>0.97657670270799424</c:v>
                </c:pt>
                <c:pt idx="16">
                  <c:v>0.97805496975028239</c:v>
                </c:pt>
                <c:pt idx="17">
                  <c:v>0.97943964181287702</c:v>
                </c:pt>
                <c:pt idx="18">
                  <c:v>0.98073670575797611</c:v>
                </c:pt>
                <c:pt idx="19">
                  <c:v>0.98195173404486358</c:v>
                </c:pt>
                <c:pt idx="20">
                  <c:v>0.98308993653027232</c:v>
                </c:pt>
                <c:pt idx="21">
                  <c:v>0.98415618722916276</c:v>
                </c:pt>
                <c:pt idx="22">
                  <c:v>0.98515504870031256</c:v>
                </c:pt>
                <c:pt idx="23">
                  <c:v>0.9860907924756146</c:v>
                </c:pt>
                <c:pt idx="24">
                  <c:v>0.98696741880130678</c:v>
                </c:pt>
                <c:pt idx="25">
                  <c:v>0.9877886735093161</c:v>
                </c:pt>
                <c:pt idx="26">
                  <c:v>0.98855806342471375</c:v>
                </c:pt>
                <c:pt idx="27">
                  <c:v>0.98927887245723922</c:v>
                </c:pt>
                <c:pt idx="28">
                  <c:v>0.98995417614000003</c:v>
                </c:pt>
                <c:pt idx="29">
                  <c:v>0.99058685475587949</c:v>
                </c:pt>
                <c:pt idx="30">
                  <c:v>0.99117960556391671</c:v>
                </c:pt>
                <c:pt idx="31">
                  <c:v>0.99173495450104876</c:v>
                </c:pt>
                <c:pt idx="32">
                  <c:v>0.99225526722474688</c:v>
                </c:pt>
                <c:pt idx="33">
                  <c:v>0.99274275936106648</c:v>
                </c:pt>
                <c:pt idx="34">
                  <c:v>0.99319950602662077</c:v>
                </c:pt>
                <c:pt idx="35">
                  <c:v>0.99362745074553371</c:v>
                </c:pt>
                <c:pt idx="36">
                  <c:v>0.99402841382559337</c:v>
                </c:pt>
                <c:pt idx="37">
                  <c:v>0.99440410021328574</c:v>
                </c:pt>
                <c:pt idx="38">
                  <c:v>0.99475610683942695</c:v>
                </c:pt>
                <c:pt idx="39">
                  <c:v>0.9950859294821256</c:v>
                </c:pt>
                <c:pt idx="40">
                  <c:v>0.99539496918866122</c:v>
                </c:pt>
                <c:pt idx="41">
                  <c:v>0.99568453829375148</c:v>
                </c:pt>
                <c:pt idx="42">
                  <c:v>0.99595586605784747</c:v>
                </c:pt>
                <c:pt idx="43">
                  <c:v>0.99621010394406373</c:v>
                </c:pt>
                <c:pt idx="44">
                  <c:v>0.99644833055588944</c:v>
                </c:pt>
                <c:pt idx="45">
                  <c:v>0.99667155625976223</c:v>
                </c:pt>
                <c:pt idx="46">
                  <c:v>0.99688072751428558</c:v>
                </c:pt>
                <c:pt idx="47">
                  <c:v>0.99707673092464089</c:v>
                </c:pt>
                <c:pt idx="48">
                  <c:v>0.99726039703874314</c:v>
                </c:pt>
                <c:pt idx="49">
                  <c:v>0.99743250390113258</c:v>
                </c:pt>
                <c:pt idx="50">
                  <c:v>0.99743250390113258</c:v>
                </c:pt>
                <c:pt idx="51">
                  <c:v>0.66008642186745525</c:v>
                </c:pt>
                <c:pt idx="52">
                  <c:v>0.32097181423413007</c:v>
                </c:pt>
                <c:pt idx="53">
                  <c:v>0.15327182312741522</c:v>
                </c:pt>
                <c:pt idx="54">
                  <c:v>8.3634050396341711E-2</c:v>
                </c:pt>
                <c:pt idx="55">
                  <c:v>5.6118421730602754E-2</c:v>
                </c:pt>
                <c:pt idx="56">
                  <c:v>4.4758070174008631E-2</c:v>
                </c:pt>
                <c:pt idx="57">
                  <c:v>3.9276588018425117E-2</c:v>
                </c:pt>
                <c:pt idx="58">
                  <c:v>3.5915201733054854E-2</c:v>
                </c:pt>
                <c:pt idx="59">
                  <c:v>3.3359146613479405E-2</c:v>
                </c:pt>
                <c:pt idx="60">
                  <c:v>3.1159139520628789E-2</c:v>
                </c:pt>
                <c:pt idx="61">
                  <c:v>2.9161156874703227E-2</c:v>
                </c:pt>
                <c:pt idx="62">
                  <c:v>2.7309771986480318E-2</c:v>
                </c:pt>
                <c:pt idx="63">
                  <c:v>2.5582002064687987E-2</c:v>
                </c:pt>
                <c:pt idx="64">
                  <c:v>2.3965651753866498E-2</c:v>
                </c:pt>
                <c:pt idx="65">
                  <c:v>2.2452275298592991E-2</c:v>
                </c:pt>
                <c:pt idx="66">
                  <c:v>2.1034905735693457E-2</c:v>
                </c:pt>
                <c:pt idx="67">
                  <c:v>1.9707302595782957E-2</c:v>
                </c:pt>
                <c:pt idx="68">
                  <c:v>1.8463723609601343E-2</c:v>
                </c:pt>
                <c:pt idx="69">
                  <c:v>1.7298825577243916E-2</c:v>
                </c:pt>
                <c:pt idx="70">
                  <c:v>1.6207604060937571E-2</c:v>
                </c:pt>
                <c:pt idx="71">
                  <c:v>1.5185384842068233E-2</c:v>
                </c:pt>
                <c:pt idx="72">
                  <c:v>1.4227789449817433E-2</c:v>
                </c:pt>
                <c:pt idx="73">
                  <c:v>1.3330721680596722E-2</c:v>
                </c:pt>
                <c:pt idx="74">
                  <c:v>1.2490343333236136E-2</c:v>
                </c:pt>
                <c:pt idx="75">
                  <c:v>1.1703061665951536E-2</c:v>
                </c:pt>
                <c:pt idx="76">
                  <c:v>1.0965512847435473E-2</c:v>
                </c:pt>
                <c:pt idx="77">
                  <c:v>1.0274547000279178E-2</c:v>
                </c:pt>
                <c:pt idx="78">
                  <c:v>9.6272148032161033E-3</c:v>
                </c:pt>
                <c:pt idx="79">
                  <c:v>9.020751802028909E-3</c:v>
                </c:pt>
                <c:pt idx="80">
                  <c:v>8.4525688263690328E-3</c:v>
                </c:pt>
                <c:pt idx="81">
                  <c:v>7.9202549278708286E-3</c:v>
                </c:pt>
                <c:pt idx="82">
                  <c:v>7.4215277904900656E-3</c:v>
                </c:pt>
                <c:pt idx="83">
                  <c:v>6.9542687682251931E-3</c:v>
                </c:pt>
                <c:pt idx="84">
                  <c:v>6.5164858693480343E-3</c:v>
                </c:pt>
                <c:pt idx="85">
                  <c:v>6.1063157723898597E-3</c:v>
                </c:pt>
                <c:pt idx="86">
                  <c:v>5.7220126745787551E-3</c:v>
                </c:pt>
                <c:pt idx="87">
                  <c:v>5.3619424965200271E-3</c:v>
                </c:pt>
                <c:pt idx="88">
                  <c:v>5.0245722177558729E-3</c:v>
                </c:pt>
                <c:pt idx="89">
                  <c:v>4.7084701975772785E-3</c:v>
                </c:pt>
                <c:pt idx="90">
                  <c:v>4.4122906612393724E-3</c:v>
                </c:pt>
                <c:pt idx="91">
                  <c:v>4.134775351363835E-3</c:v>
                </c:pt>
                <c:pt idx="92">
                  <c:v>3.8747465901687117E-3</c:v>
                </c:pt>
                <c:pt idx="93">
                  <c:v>3.6311006142953788E-3</c:v>
                </c:pt>
                <c:pt idx="94">
                  <c:v>3.4028026876735452E-3</c:v>
                </c:pt>
                <c:pt idx="95">
                  <c:v>3.1888822230659694E-3</c:v>
                </c:pt>
                <c:pt idx="96">
                  <c:v>2.9884325894596725E-3</c:v>
                </c:pt>
                <c:pt idx="97">
                  <c:v>2.8006054215279955E-3</c:v>
                </c:pt>
                <c:pt idx="98">
                  <c:v>2.6246037130731419E-3</c:v>
                </c:pt>
                <c:pt idx="99">
                  <c:v>2.4596811844702841E-3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C5-4AB5-B6D5-3D49421A108B}"/>
            </c:ext>
          </c:extLst>
        </c:ser>
        <c:ser>
          <c:idx val="3"/>
          <c:order val="3"/>
          <c:tx>
            <c:strRef>
              <c:f>dynamicR!$K$19</c:f>
              <c:strCache>
                <c:ptCount val="1"/>
                <c:pt idx="0">
                  <c:v>sd1R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dynamicR!$K$20:$K$120</c:f>
              <c:numCache>
                <c:formatCode>0.00</c:formatCode>
                <c:ptCount val="101"/>
                <c:pt idx="0">
                  <c:v>0</c:v>
                </c:pt>
                <c:pt idx="1">
                  <c:v>2.9377722277914024E-2</c:v>
                </c:pt>
                <c:pt idx="2">
                  <c:v>8.4553239554820525E-2</c:v>
                </c:pt>
                <c:pt idx="3">
                  <c:v>0.14411863769883809</c:v>
                </c:pt>
                <c:pt idx="4">
                  <c:v>0.20198620404228548</c:v>
                </c:pt>
                <c:pt idx="5">
                  <c:v>0.2565687290802231</c:v>
                </c:pt>
                <c:pt idx="6">
                  <c:v>0.30759137206800219</c:v>
                </c:pt>
                <c:pt idx="7">
                  <c:v>0.35515277835780912</c:v>
                </c:pt>
                <c:pt idx="8">
                  <c:v>0.39944919917142324</c:v>
                </c:pt>
                <c:pt idx="9">
                  <c:v>0.44069405748019796</c:v>
                </c:pt>
                <c:pt idx="10">
                  <c:v>0.47909502316156566</c:v>
                </c:pt>
                <c:pt idx="11">
                  <c:v>0.51484802044905742</c:v>
                </c:pt>
                <c:pt idx="12">
                  <c:v>0.5481360183301428</c:v>
                </c:pt>
                <c:pt idx="13">
                  <c:v>0.57912972281449759</c:v>
                </c:pt>
                <c:pt idx="14">
                  <c:v>0.60798784242747606</c:v>
                </c:pt>
                <c:pt idx="15">
                  <c:v>0.63485816998150213</c:v>
                </c:pt>
                <c:pt idx="16">
                  <c:v>0.65987825652735888</c:v>
                </c:pt>
                <c:pt idx="17">
                  <c:v>0.68317602456674731</c:v>
                </c:pt>
                <c:pt idx="18">
                  <c:v>0.70487055549715461</c:v>
                </c:pt>
                <c:pt idx="19">
                  <c:v>0.72507265897780293</c:v>
                </c:pt>
                <c:pt idx="20">
                  <c:v>0.74388545873808942</c:v>
                </c:pt>
                <c:pt idx="21">
                  <c:v>0.76140491504664387</c:v>
                </c:pt>
                <c:pt idx="22">
                  <c:v>0.77772033698959675</c:v>
                </c:pt>
                <c:pt idx="23">
                  <c:v>0.79291482974598115</c:v>
                </c:pt>
                <c:pt idx="24">
                  <c:v>0.80706575728652241</c:v>
                </c:pt>
                <c:pt idx="25">
                  <c:v>0.82024512609802547</c:v>
                </c:pt>
                <c:pt idx="26">
                  <c:v>0.83251993566872284</c:v>
                </c:pt>
                <c:pt idx="27">
                  <c:v>0.84395254549747389</c:v>
                </c:pt>
                <c:pt idx="28">
                  <c:v>0.85460100375157966</c:v>
                </c:pt>
                <c:pt idx="29">
                  <c:v>0.86451934362162597</c:v>
                </c:pt>
                <c:pt idx="30">
                  <c:v>0.87375785681744633</c:v>
                </c:pt>
                <c:pt idx="31">
                  <c:v>0.88236335324270188</c:v>
                </c:pt>
                <c:pt idx="32">
                  <c:v>0.89037940563181994</c:v>
                </c:pt>
                <c:pt idx="33">
                  <c:v>0.89784657567223025</c:v>
                </c:pt>
                <c:pt idx="34">
                  <c:v>0.90480262216468088</c:v>
                </c:pt>
                <c:pt idx="35">
                  <c:v>0.91128269450351884</c:v>
                </c:pt>
                <c:pt idx="36">
                  <c:v>0.91731951373080101</c:v>
                </c:pt>
                <c:pt idx="37">
                  <c:v>0.92294354150621616</c:v>
                </c:pt>
                <c:pt idx="38">
                  <c:v>0.92818313699014754</c:v>
                </c:pt>
                <c:pt idx="39">
                  <c:v>0.93306470240294426</c:v>
                </c:pt>
                <c:pt idx="40">
                  <c:v>0.93761281845208178</c:v>
                </c:pt>
                <c:pt idx="41">
                  <c:v>0.94185037054298937</c:v>
                </c:pt>
                <c:pt idx="42">
                  <c:v>0.94579866629807618</c:v>
                </c:pt>
                <c:pt idx="43">
                  <c:v>0.94947754483457514</c:v>
                </c:pt>
                <c:pt idx="44">
                  <c:v>0.95290547837254491</c:v>
                </c:pt>
                <c:pt idx="45">
                  <c:v>0.95609966678665781</c:v>
                </c:pt>
                <c:pt idx="46">
                  <c:v>0.95907612562852596</c:v>
                </c:pt>
                <c:pt idx="47">
                  <c:v>0.96184976804902389</c:v>
                </c:pt>
                <c:pt idx="48">
                  <c:v>0.96443448101743823</c:v>
                </c:pt>
                <c:pt idx="49">
                  <c:v>0.96684319623642179</c:v>
                </c:pt>
                <c:pt idx="50">
                  <c:v>0.96684319623642179</c:v>
                </c:pt>
                <c:pt idx="51">
                  <c:v>0.93971023171711821</c:v>
                </c:pt>
                <c:pt idx="52">
                  <c:v>0.88662674382417528</c:v>
                </c:pt>
                <c:pt idx="53">
                  <c:v>0.82901105356564375</c:v>
                </c:pt>
                <c:pt idx="54">
                  <c:v>0.77296065100368994</c:v>
                </c:pt>
                <c:pt idx="55">
                  <c:v>0.72007176407698881</c:v>
                </c:pt>
                <c:pt idx="56">
                  <c:v>0.67062768064287603</c:v>
                </c:pt>
                <c:pt idx="57">
                  <c:v>0.62453762456717765</c:v>
                </c:pt>
                <c:pt idx="58">
                  <c:v>0.581612651913057</c:v>
                </c:pt>
                <c:pt idx="59">
                  <c:v>0.54164615855385367</c:v>
                </c:pt>
                <c:pt idx="60">
                  <c:v>0.50443682686343905</c:v>
                </c:pt>
                <c:pt idx="61">
                  <c:v>0.4697946665976816</c:v>
                </c:pt>
                <c:pt idx="62">
                  <c:v>0.4375421175245085</c:v>
                </c:pt>
                <c:pt idx="63">
                  <c:v>0.40751376390526589</c:v>
                </c:pt>
                <c:pt idx="64">
                  <c:v>0.3795555514551906</c:v>
                </c:pt>
                <c:pt idx="65">
                  <c:v>0.3535241293511755</c:v>
                </c:pt>
                <c:pt idx="66">
                  <c:v>0.32928626279047918</c:v>
                </c:pt>
                <c:pt idx="67">
                  <c:v>0.30671773506634836</c:v>
                </c:pt>
                <c:pt idx="68">
                  <c:v>0.28570309560620238</c:v>
                </c:pt>
                <c:pt idx="69">
                  <c:v>0.26613499399995183</c:v>
                </c:pt>
                <c:pt idx="70">
                  <c:v>0.24791330572387862</c:v>
                </c:pt>
                <c:pt idx="71">
                  <c:v>0.2309450176348094</c:v>
                </c:pt>
                <c:pt idx="72">
                  <c:v>0.21514351173040819</c:v>
                </c:pt>
                <c:pt idx="73">
                  <c:v>0.2004282357694446</c:v>
                </c:pt>
                <c:pt idx="74">
                  <c:v>0.18672416657113536</c:v>
                </c:pt>
                <c:pt idx="75">
                  <c:v>0.1739615043210829</c:v>
                </c:pt>
                <c:pt idx="76">
                  <c:v>0.16207529390342146</c:v>
                </c:pt>
                <c:pt idx="77">
                  <c:v>0.15100508181998828</c:v>
                </c:pt>
                <c:pt idx="78">
                  <c:v>0.14069460754755428</c:v>
                </c:pt>
                <c:pt idx="79">
                  <c:v>0.13109145907542574</c:v>
                </c:pt>
                <c:pt idx="80">
                  <c:v>0.12214684783334699</c:v>
                </c:pt>
                <c:pt idx="81">
                  <c:v>0.11381561810591818</c:v>
                </c:pt>
                <c:pt idx="82">
                  <c:v>0.10605528517444085</c:v>
                </c:pt>
                <c:pt idx="83">
                  <c:v>9.8826652397913314E-2</c:v>
                </c:pt>
                <c:pt idx="84">
                  <c:v>9.2093089433521749E-2</c:v>
                </c:pt>
                <c:pt idx="85">
                  <c:v>8.5820541614697279E-2</c:v>
                </c:pt>
                <c:pt idx="86">
                  <c:v>7.9977295789536967E-2</c:v>
                </c:pt>
                <c:pt idx="87">
                  <c:v>7.4533848414529244E-2</c:v>
                </c:pt>
                <c:pt idx="88">
                  <c:v>6.9462689090718177E-2</c:v>
                </c:pt>
                <c:pt idx="89">
                  <c:v>6.473828218749518E-2</c:v>
                </c:pt>
                <c:pt idx="90">
                  <c:v>6.0336768596711665E-2</c:v>
                </c:pt>
                <c:pt idx="91">
                  <c:v>5.6235976584294411E-2</c:v>
                </c:pt>
                <c:pt idx="92">
                  <c:v>5.2415279352253749E-2</c:v>
                </c:pt>
                <c:pt idx="93">
                  <c:v>4.8855462446079981E-2</c:v>
                </c:pt>
                <c:pt idx="94">
                  <c:v>4.5538619231932864E-2</c:v>
                </c:pt>
                <c:pt idx="95">
                  <c:v>4.2448052183500166E-2</c:v>
                </c:pt>
                <c:pt idx="96">
                  <c:v>3.9568262432580985E-2</c:v>
                </c:pt>
                <c:pt idx="97">
                  <c:v>3.6884835639193779E-2</c:v>
                </c:pt>
                <c:pt idx="98">
                  <c:v>3.4384306039139258E-2</c:v>
                </c:pt>
                <c:pt idx="99">
                  <c:v>3.2054141575021768E-2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C5-4AB5-B6D5-3D49421A108B}"/>
            </c:ext>
          </c:extLst>
        </c:ser>
        <c:ser>
          <c:idx val="4"/>
          <c:order val="4"/>
          <c:tx>
            <c:strRef>
              <c:f>dynamicR!$L$19</c:f>
              <c:strCache>
                <c:ptCount val="1"/>
                <c:pt idx="0">
                  <c:v>sd2R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  <c:spPr>
              <a:solidFill>
                <a:srgbClr val="FFFF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dynamicR!$L$20:$L$120</c:f>
              <c:numCache>
                <c:formatCode>0.00</c:formatCode>
                <c:ptCount val="101"/>
                <c:pt idx="0">
                  <c:v>0</c:v>
                </c:pt>
                <c:pt idx="1">
                  <c:v>8.4909828437347394E-3</c:v>
                </c:pt>
                <c:pt idx="2">
                  <c:v>3.9880218748588069E-2</c:v>
                </c:pt>
                <c:pt idx="3">
                  <c:v>8.4471876639377566E-2</c:v>
                </c:pt>
                <c:pt idx="4">
                  <c:v>0.13317026393348311</c:v>
                </c:pt>
                <c:pt idx="5">
                  <c:v>0.18166183584876763</c:v>
                </c:pt>
                <c:pt idx="6">
                  <c:v>0.22830838888109645</c:v>
                </c:pt>
                <c:pt idx="7">
                  <c:v>0.27260501723039965</c:v>
                </c:pt>
                <c:pt idx="8">
                  <c:v>0.31447148166788763</c:v>
                </c:pt>
                <c:pt idx="9">
                  <c:v>0.35397360074630979</c:v>
                </c:pt>
                <c:pt idx="10">
                  <c:v>0.39122203509815823</c:v>
                </c:pt>
                <c:pt idx="11">
                  <c:v>0.4263374046644568</c:v>
                </c:pt>
                <c:pt idx="12">
                  <c:v>0.45943873342052438</c:v>
                </c:pt>
                <c:pt idx="13">
                  <c:v>0.49064016766329138</c:v>
                </c:pt>
                <c:pt idx="14">
                  <c:v>0.52004981013479146</c:v>
                </c:pt>
                <c:pt idx="15">
                  <c:v>0.54776987474638827</c:v>
                </c:pt>
                <c:pt idx="16">
                  <c:v>0.5738968491175358</c:v>
                </c:pt>
                <c:pt idx="17">
                  <c:v>0.59852172105824464</c:v>
                </c:pt>
                <c:pt idx="18">
                  <c:v>0.62173034801701887</c:v>
                </c:pt>
                <c:pt idx="19">
                  <c:v>0.64360371375936398</c:v>
                </c:pt>
                <c:pt idx="20">
                  <c:v>0.66421820597777859</c:v>
                </c:pt>
                <c:pt idx="21">
                  <c:v>0.68364586859764409</c:v>
                </c:pt>
                <c:pt idx="22">
                  <c:v>0.70195465273195701</c:v>
                </c:pt>
                <c:pt idx="23">
                  <c:v>0.71920863945023772</c:v>
                </c:pt>
                <c:pt idx="24">
                  <c:v>0.73546827329500208</c:v>
                </c:pt>
                <c:pt idx="25">
                  <c:v>0.7507905599029977</c:v>
                </c:pt>
                <c:pt idx="26">
                  <c:v>0.76522924913537438</c:v>
                </c:pt>
                <c:pt idx="27">
                  <c:v>0.7788350282014298</c:v>
                </c:pt>
                <c:pt idx="28">
                  <c:v>0.79165569768708277</c:v>
                </c:pt>
                <c:pt idx="29">
                  <c:v>0.80373633333545247</c:v>
                </c:pt>
                <c:pt idx="30">
                  <c:v>0.81511943766431494</c:v>
                </c:pt>
                <c:pt idx="31">
                  <c:v>0.82584508553891567</c:v>
                </c:pt>
                <c:pt idx="32">
                  <c:v>0.83595106304623312</c:v>
                </c:pt>
                <c:pt idx="33">
                  <c:v>0.84547299791236985</c:v>
                </c:pt>
                <c:pt idx="34">
                  <c:v>0.85444448155863617</c:v>
                </c:pt>
                <c:pt idx="35">
                  <c:v>0.86289718419747374</c:v>
                </c:pt>
                <c:pt idx="36">
                  <c:v>0.87086096393817214</c:v>
                </c:pt>
                <c:pt idx="37">
                  <c:v>0.87836397000081834</c:v>
                </c:pt>
                <c:pt idx="38">
                  <c:v>0.88543273997136918</c:v>
                </c:pt>
                <c:pt idx="39">
                  <c:v>0.89209229138545232</c:v>
                </c:pt>
                <c:pt idx="40">
                  <c:v>0.89836620814052159</c:v>
                </c:pt>
                <c:pt idx="41">
                  <c:v>0.90427672212408661</c:v>
                </c:pt>
                <c:pt idx="42">
                  <c:v>0.90984479027296694</c:v>
                </c:pt>
                <c:pt idx="43">
                  <c:v>0.91509016724674153</c:v>
                </c:pt>
                <c:pt idx="44">
                  <c:v>0.92003147395747764</c:v>
                </c:pt>
                <c:pt idx="45">
                  <c:v>0.92468626222333261</c:v>
                </c:pt>
                <c:pt idx="46">
                  <c:v>0.92907107577977166</c:v>
                </c:pt>
                <c:pt idx="47">
                  <c:v>0.93320150784142952</c:v>
                </c:pt>
                <c:pt idx="48">
                  <c:v>0.93709225539512131</c:v>
                </c:pt>
                <c:pt idx="49">
                  <c:v>0.94075717040791162</c:v>
                </c:pt>
                <c:pt idx="50">
                  <c:v>0.94075717040791162</c:v>
                </c:pt>
                <c:pt idx="51">
                  <c:v>0.93571832260564547</c:v>
                </c:pt>
                <c:pt idx="52">
                  <c:v>0.90758075090204426</c:v>
                </c:pt>
                <c:pt idx="53">
                  <c:v>0.86605187850679222</c:v>
                </c:pt>
                <c:pt idx="54">
                  <c:v>0.82023833957834735</c:v>
                </c:pt>
                <c:pt idx="55">
                  <c:v>0.77446395415196567</c:v>
                </c:pt>
                <c:pt idx="56">
                  <c:v>0.73037662386499691</c:v>
                </c:pt>
                <c:pt idx="57">
                  <c:v>0.68849044655097824</c:v>
                </c:pt>
                <c:pt idx="58">
                  <c:v>0.6488942530090398</c:v>
                </c:pt>
                <c:pt idx="59">
                  <c:v>0.61153034681482454</c:v>
                </c:pt>
                <c:pt idx="60">
                  <c:v>0.57629571966106907</c:v>
                </c:pt>
                <c:pt idx="61">
                  <c:v>0.5430769791323532</c:v>
                </c:pt>
                <c:pt idx="62">
                  <c:v>0.51176183063325553</c:v>
                </c:pt>
                <c:pt idx="63">
                  <c:v>0.48224263330838607</c:v>
                </c:pt>
                <c:pt idx="64">
                  <c:v>0.45441723756230168</c:v>
                </c:pt>
                <c:pt idx="65">
                  <c:v>0.42818910638228164</c:v>
                </c:pt>
                <c:pt idx="66">
                  <c:v>0.4034672187000648</c:v>
                </c:pt>
                <c:pt idx="67">
                  <c:v>0.38016552871303011</c:v>
                </c:pt>
                <c:pt idx="68">
                  <c:v>0.35820295144696007</c:v>
                </c:pt>
                <c:pt idx="69">
                  <c:v>0.33750306017269766</c:v>
                </c:pt>
                <c:pt idx="70">
                  <c:v>0.31799359595693405</c:v>
                </c:pt>
                <c:pt idx="71">
                  <c:v>0.2996065181166318</c:v>
                </c:pt>
                <c:pt idx="72">
                  <c:v>0.28227760499501392</c:v>
                </c:pt>
                <c:pt idx="73">
                  <c:v>0.26594632596814277</c:v>
                </c:pt>
                <c:pt idx="74">
                  <c:v>0.25055554835391569</c:v>
                </c:pt>
                <c:pt idx="75">
                  <c:v>0.23605140379681155</c:v>
                </c:pt>
                <c:pt idx="76">
                  <c:v>0.22238309455220728</c:v>
                </c:pt>
                <c:pt idx="77">
                  <c:v>0.20950271469535409</c:v>
                </c:pt>
                <c:pt idx="78">
                  <c:v>0.19736509130781904</c:v>
                </c:pt>
                <c:pt idx="79">
                  <c:v>0.18592758687807373</c:v>
                </c:pt>
                <c:pt idx="80">
                  <c:v>0.17514998769124515</c:v>
                </c:pt>
                <c:pt idx="81">
                  <c:v>0.16499459118617221</c:v>
                </c:pt>
                <c:pt idx="82">
                  <c:v>0.1554254617539354</c:v>
                </c:pt>
                <c:pt idx="83">
                  <c:v>0.14640901166513395</c:v>
                </c:pt>
                <c:pt idx="84">
                  <c:v>0.13791344872044817</c:v>
                </c:pt>
                <c:pt idx="85">
                  <c:v>0.12990883407902482</c:v>
                </c:pt>
                <c:pt idx="86">
                  <c:v>0.12236692987493814</c:v>
                </c:pt>
                <c:pt idx="87">
                  <c:v>0.11526112985522791</c:v>
                </c:pt>
                <c:pt idx="88">
                  <c:v>0.10856630936808483</c:v>
                </c:pt>
                <c:pt idx="89">
                  <c:v>0.10225885089028308</c:v>
                </c:pt>
                <c:pt idx="90">
                  <c:v>9.6316409741944567E-2</c:v>
                </c:pt>
                <c:pt idx="91">
                  <c:v>9.0717958527467044E-2</c:v>
                </c:pt>
                <c:pt idx="92">
                  <c:v>8.5443690200932218E-2</c:v>
                </c:pt>
                <c:pt idx="93">
                  <c:v>8.0474920586522766E-2</c:v>
                </c:pt>
                <c:pt idx="94">
                  <c:v>7.5794025799442694E-2</c:v>
                </c:pt>
                <c:pt idx="95">
                  <c:v>7.1384371753148199E-2</c:v>
                </c:pt>
                <c:pt idx="96">
                  <c:v>6.723031816262344E-2</c:v>
                </c:pt>
                <c:pt idx="97">
                  <c:v>6.3317137088169176E-2</c:v>
                </c:pt>
                <c:pt idx="98">
                  <c:v>5.9630910922313984E-2</c:v>
                </c:pt>
                <c:pt idx="99">
                  <c:v>5.6158526668586881E-2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C5-4AB5-B6D5-3D49421A108B}"/>
            </c:ext>
          </c:extLst>
        </c:ser>
        <c:ser>
          <c:idx val="5"/>
          <c:order val="5"/>
          <c:tx>
            <c:strRef>
              <c:f>dynamicR!$M$19</c:f>
              <c:strCache>
                <c:ptCount val="1"/>
                <c:pt idx="0">
                  <c:v>s1R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rgbClr val="FFFFFF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dynamicR!$M$20:$M$120</c:f>
              <c:numCache>
                <c:formatCode>0.00</c:formatCode>
                <c:ptCount val="101"/>
                <c:pt idx="0">
                  <c:v>0</c:v>
                </c:pt>
                <c:pt idx="1">
                  <c:v>4.1087198357683659E-2</c:v>
                </c:pt>
                <c:pt idx="2">
                  <c:v>0.10353481108068023</c:v>
                </c:pt>
                <c:pt idx="3">
                  <c:v>0.16864657003972136</c:v>
                </c:pt>
                <c:pt idx="4">
                  <c:v>0.2313475279357454</c:v>
                </c:pt>
                <c:pt idx="5">
                  <c:v>0.29005466511373906</c:v>
                </c:pt>
                <c:pt idx="6">
                  <c:v>0.34443751235868036</c:v>
                </c:pt>
                <c:pt idx="7">
                  <c:v>0.39460543533435255</c:v>
                </c:pt>
                <c:pt idx="8">
                  <c:v>0.44081206970029368</c:v>
                </c:pt>
                <c:pt idx="9">
                  <c:v>0.48334785092816879</c:v>
                </c:pt>
                <c:pt idx="10">
                  <c:v>0.52250136258155866</c:v>
                </c:pt>
                <c:pt idx="11">
                  <c:v>0.55854587974855763</c:v>
                </c:pt>
                <c:pt idx="12">
                  <c:v>0.59173524724649218</c:v>
                </c:pt>
                <c:pt idx="13">
                  <c:v>0.62230382214759927</c:v>
                </c:pt>
                <c:pt idx="14">
                  <c:v>0.65046664714535019</c:v>
                </c:pt>
                <c:pt idx="15">
                  <c:v>0.67642111251665094</c:v>
                </c:pt>
                <c:pt idx="16">
                  <c:v>0.70034815758705615</c:v>
                </c:pt>
                <c:pt idx="17">
                  <c:v>0.72241341721108798</c:v>
                </c:pt>
                <c:pt idx="18">
                  <c:v>0.74276869099672937</c:v>
                </c:pt>
                <c:pt idx="19">
                  <c:v>0.76155298381755743</c:v>
                </c:pt>
                <c:pt idx="20">
                  <c:v>0.7788936113649706</c:v>
                </c:pt>
                <c:pt idx="21">
                  <c:v>0.79490717321778814</c:v>
                </c:pt>
                <c:pt idx="22">
                  <c:v>0.80970047941753931</c:v>
                </c:pt>
                <c:pt idx="23">
                  <c:v>0.8233713686790286</c:v>
                </c:pt>
                <c:pt idx="24">
                  <c:v>0.83600952476191781</c:v>
                </c:pt>
                <c:pt idx="25">
                  <c:v>0.84769715013167468</c:v>
                </c:pt>
                <c:pt idx="26">
                  <c:v>0.8585095669015228</c:v>
                </c:pt>
                <c:pt idx="27">
                  <c:v>0.86851584032096829</c:v>
                </c:pt>
                <c:pt idx="28">
                  <c:v>0.87777932868905406</c:v>
                </c:pt>
                <c:pt idx="29">
                  <c:v>0.88635816575716508</c:v>
                </c:pt>
                <c:pt idx="30">
                  <c:v>0.89430569722894371</c:v>
                </c:pt>
                <c:pt idx="31">
                  <c:v>0.9016708902092988</c:v>
                </c:pt>
                <c:pt idx="32">
                  <c:v>0.90849871257378068</c:v>
                </c:pt>
                <c:pt idx="33">
                  <c:v>0.91483047603060885</c:v>
                </c:pt>
                <c:pt idx="34">
                  <c:v>0.92070414523639121</c:v>
                </c:pt>
                <c:pt idx="35">
                  <c:v>0.92615461972588409</c:v>
                </c:pt>
                <c:pt idx="36">
                  <c:v>0.93121399310130759</c:v>
                </c:pt>
                <c:pt idx="37">
                  <c:v>0.93591179057595164</c:v>
                </c:pt>
                <c:pt idx="38">
                  <c:v>0.94027518525128828</c:v>
                </c:pt>
                <c:pt idx="39">
                  <c:v>0.94432919476562904</c:v>
                </c:pt>
                <c:pt idx="40">
                  <c:v>0.94809686080190558</c:v>
                </c:pt>
                <c:pt idx="41">
                  <c:v>0.95159941342566556</c:v>
                </c:pt>
                <c:pt idx="42">
                  <c:v>0.95485642136394788</c:v>
                </c:pt>
                <c:pt idx="43">
                  <c:v>0.9578859291441838</c:v>
                </c:pt>
                <c:pt idx="44">
                  <c:v>0.96070458226087996</c:v>
                </c:pt>
                <c:pt idx="45">
                  <c:v>0.96332774159619183</c:v>
                </c:pt>
                <c:pt idx="46">
                  <c:v>0.96576958810774138</c:v>
                </c:pt>
                <c:pt idx="47">
                  <c:v>0.96804321859149767</c:v>
                </c:pt>
                <c:pt idx="48">
                  <c:v>0.97016073325756402</c:v>
                </c:pt>
                <c:pt idx="49">
                  <c:v>0.97213331584560791</c:v>
                </c:pt>
                <c:pt idx="50">
                  <c:v>0.97213331584560791</c:v>
                </c:pt>
                <c:pt idx="51">
                  <c:v>0.93288410783521913</c:v>
                </c:pt>
                <c:pt idx="52">
                  <c:v>0.87214946549754324</c:v>
                </c:pt>
                <c:pt idx="53">
                  <c:v>0.80863448609703803</c:v>
                </c:pt>
                <c:pt idx="54">
                  <c:v>0.74742234001483754</c:v>
                </c:pt>
                <c:pt idx="55">
                  <c:v>0.69010360642777924</c:v>
                </c:pt>
                <c:pt idx="56">
                  <c:v>0.63701578337506159</c:v>
                </c:pt>
                <c:pt idx="57">
                  <c:v>0.58805603271615248</c:v>
                </c:pt>
                <c:pt idx="58">
                  <c:v>0.54297675698584336</c:v>
                </c:pt>
                <c:pt idx="59">
                  <c:v>0.50149309455758684</c:v>
                </c:pt>
                <c:pt idx="60">
                  <c:v>0.46332168167407534</c:v>
                </c:pt>
                <c:pt idx="61">
                  <c:v>0.42819406368886537</c:v>
                </c:pt>
                <c:pt idx="62">
                  <c:v>0.39586074427364948</c:v>
                </c:pt>
                <c:pt idx="63">
                  <c:v>0.36609174200033545</c:v>
                </c:pt>
                <c:pt idx="64">
                  <c:v>0.33867568790225883</c:v>
                </c:pt>
                <c:pt idx="65">
                  <c:v>0.31341876411610747</c:v>
                </c:pt>
                <c:pt idx="66">
                  <c:v>0.29014359537197809</c:v>
                </c:pt>
                <c:pt idx="67">
                  <c:v>0.26868740473505137</c:v>
                </c:pt>
                <c:pt idx="68">
                  <c:v>0.24890133474468756</c:v>
                </c:pt>
                <c:pt idx="69">
                  <c:v>0.23064918194710096</c:v>
                </c:pt>
                <c:pt idx="70">
                  <c:v>0.21380596437415358</c:v>
                </c:pt>
                <c:pt idx="71">
                  <c:v>0.19825744508442539</c:v>
                </c:pt>
                <c:pt idx="72">
                  <c:v>0.18389894118820321</c:v>
                </c:pt>
                <c:pt idx="73">
                  <c:v>0.17063464973245471</c:v>
                </c:pt>
                <c:pt idx="74">
                  <c:v>0.15837674498802165</c:v>
                </c:pt>
                <c:pt idx="75">
                  <c:v>0.14704479177946339</c:v>
                </c:pt>
                <c:pt idx="76">
                  <c:v>0.1365650866441504</c:v>
                </c:pt>
                <c:pt idx="77">
                  <c:v>0.12687007388080104</c:v>
                </c:pt>
                <c:pt idx="78">
                  <c:v>0.1178978206687399</c:v>
                </c:pt>
                <c:pt idx="79">
                  <c:v>0.10959147472892863</c:v>
                </c:pt>
                <c:pt idx="80">
                  <c:v>0.10189887934609498</c:v>
                </c:pt>
                <c:pt idx="81">
                  <c:v>9.4772436706822727E-2</c:v>
                </c:pt>
                <c:pt idx="82">
                  <c:v>8.816798217445225E-2</c:v>
                </c:pt>
                <c:pt idx="83">
                  <c:v>8.2045322498975032E-2</c:v>
                </c:pt>
                <c:pt idx="84">
                  <c:v>7.636738705162234E-2</c:v>
                </c:pt>
                <c:pt idx="85">
                  <c:v>7.110015486199496E-2</c:v>
                </c:pt>
                <c:pt idx="86">
                  <c:v>6.6212339475274815E-2</c:v>
                </c:pt>
                <c:pt idx="87">
                  <c:v>6.167518781743498E-2</c:v>
                </c:pt>
                <c:pt idx="88">
                  <c:v>5.7462204315858835E-2</c:v>
                </c:pt>
                <c:pt idx="89">
                  <c:v>5.3549077516665704E-2</c:v>
                </c:pt>
                <c:pt idx="90">
                  <c:v>4.991334225462131E-2</c:v>
                </c:pt>
                <c:pt idx="91">
                  <c:v>4.6534346869063797E-2</c:v>
                </c:pt>
                <c:pt idx="92">
                  <c:v>4.3393076959901869E-2</c:v>
                </c:pt>
                <c:pt idx="93">
                  <c:v>4.0471998967535977E-2</c:v>
                </c:pt>
                <c:pt idx="94">
                  <c:v>3.7754925320629365E-2</c:v>
                </c:pt>
                <c:pt idx="95">
                  <c:v>3.522689910027111E-2</c:v>
                </c:pt>
                <c:pt idx="96">
                  <c:v>3.2874167063397478E-2</c:v>
                </c:pt>
                <c:pt idx="97">
                  <c:v>3.0684048677141283E-2</c:v>
                </c:pt>
                <c:pt idx="98">
                  <c:v>2.8644787858215701E-2</c:v>
                </c:pt>
                <c:pt idx="99">
                  <c:v>2.6745530347315222E-2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C5-4AB5-B6D5-3D49421A108B}"/>
            </c:ext>
          </c:extLst>
        </c:ser>
        <c:ser>
          <c:idx val="6"/>
          <c:order val="6"/>
          <c:tx>
            <c:strRef>
              <c:f>dynamicR!$N$19</c:f>
              <c:strCache>
                <c:ptCount val="1"/>
                <c:pt idx="0">
                  <c:v>s2R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dynamicR!$N$20:$N$120</c:f>
              <c:numCache>
                <c:formatCode>0.00</c:formatCode>
                <c:ptCount val="101"/>
                <c:pt idx="0">
                  <c:v>0</c:v>
                </c:pt>
                <c:pt idx="1">
                  <c:v>6.2371442144069644E-2</c:v>
                </c:pt>
                <c:pt idx="2">
                  <c:v>0.12085656655892228</c:v>
                </c:pt>
                <c:pt idx="3">
                  <c:v>0.1756948626981161</c:v>
                </c:pt>
                <c:pt idx="4">
                  <c:v>0.22711297303273165</c:v>
                </c:pt>
                <c:pt idx="5">
                  <c:v>0.27532393106187564</c:v>
                </c:pt>
                <c:pt idx="6">
                  <c:v>0.32052767506720242</c:v>
                </c:pt>
                <c:pt idx="7">
                  <c:v>0.36291174284682937</c:v>
                </c:pt>
                <c:pt idx="8">
                  <c:v>0.4026520008515917</c:v>
                </c:pt>
                <c:pt idx="9">
                  <c:v>0.43991335541363075</c:v>
                </c:pt>
                <c:pt idx="10">
                  <c:v>0.47485043283950101</c:v>
                </c:pt>
                <c:pt idx="11">
                  <c:v>0.50760823120977616</c:v>
                </c:pt>
                <c:pt idx="12">
                  <c:v>0.53832261334185871</c:v>
                </c:pt>
                <c:pt idx="13">
                  <c:v>0.56712113469417902</c:v>
                </c:pt>
                <c:pt idx="14">
                  <c:v>0.59412324683657514</c:v>
                </c:pt>
                <c:pt idx="15">
                  <c:v>0.61944102022360026</c:v>
                </c:pt>
                <c:pt idx="16">
                  <c:v>0.64317954770958941</c:v>
                </c:pt>
                <c:pt idx="17">
                  <c:v>0.66543731257764394</c:v>
                </c:pt>
                <c:pt idx="18">
                  <c:v>0.68630668447095622</c:v>
                </c:pt>
                <c:pt idx="19">
                  <c:v>0.70587426776791973</c:v>
                </c:pt>
                <c:pt idx="20">
                  <c:v>0.72422126737286274</c:v>
                </c:pt>
                <c:pt idx="21">
                  <c:v>0.74142381742978447</c:v>
                </c:pt>
                <c:pt idx="22">
                  <c:v>0.75755330602068705</c:v>
                </c:pt>
                <c:pt idx="23">
                  <c:v>0.77267666110028188</c:v>
                </c:pt>
                <c:pt idx="24">
                  <c:v>0.78685664834422564</c:v>
                </c:pt>
                <c:pt idx="25">
                  <c:v>0.80015212085048559</c:v>
                </c:pt>
                <c:pt idx="26">
                  <c:v>0.81261824898253765</c:v>
                </c:pt>
                <c:pt idx="27">
                  <c:v>0.8243067619516381</c:v>
                </c:pt>
                <c:pt idx="28">
                  <c:v>0.83526616622302641</c:v>
                </c:pt>
                <c:pt idx="29">
                  <c:v>0.84554194449366449</c:v>
                </c:pt>
                <c:pt idx="30">
                  <c:v>0.85517674085700435</c:v>
                </c:pt>
                <c:pt idx="31">
                  <c:v>0.86421053766961364</c:v>
                </c:pt>
                <c:pt idx="32">
                  <c:v>0.87268082330736407</c:v>
                </c:pt>
                <c:pt idx="33">
                  <c:v>0.88062274857037737</c:v>
                </c:pt>
                <c:pt idx="34">
                  <c:v>0.88806927196836527</c:v>
                </c:pt>
                <c:pt idx="35">
                  <c:v>0.89505129582544773</c:v>
                </c:pt>
                <c:pt idx="36">
                  <c:v>0.90159779454191247</c:v>
                </c:pt>
                <c:pt idx="37">
                  <c:v>0.90773593518431239</c:v>
                </c:pt>
                <c:pt idx="38">
                  <c:v>0.91349119035937887</c:v>
                </c:pt>
                <c:pt idx="39">
                  <c:v>0.9188874437982012</c:v>
                </c:pt>
                <c:pt idx="40">
                  <c:v>0.92394708935015402</c:v>
                </c:pt>
                <c:pt idx="41">
                  <c:v>0.92869112392749387</c:v>
                </c:pt>
                <c:pt idx="42">
                  <c:v>0.93313923470671911</c:v>
                </c:pt>
                <c:pt idx="43">
                  <c:v>0.93730988084887612</c:v>
                </c:pt>
                <c:pt idx="44">
                  <c:v>0.94122037007719739</c:v>
                </c:pt>
                <c:pt idx="45">
                  <c:v>0.94488693048053807</c:v>
                </c:pt>
                <c:pt idx="46">
                  <c:v>0.94832477786202884</c:v>
                </c:pt>
                <c:pt idx="47">
                  <c:v>0.95154817889542542</c:v>
                </c:pt>
                <c:pt idx="48">
                  <c:v>0.95457051033319018</c:v>
                </c:pt>
                <c:pt idx="49">
                  <c:v>0.95740431451320507</c:v>
                </c:pt>
                <c:pt idx="50">
                  <c:v>0.95740431451320507</c:v>
                </c:pt>
                <c:pt idx="51">
                  <c:v>0.89768991027648981</c:v>
                </c:pt>
                <c:pt idx="52">
                  <c:v>0.84169608231498938</c:v>
                </c:pt>
                <c:pt idx="53">
                  <c:v>0.78919368028209891</c:v>
                </c:pt>
                <c:pt idx="54">
                  <c:v>0.73996575540953435</c:v>
                </c:pt>
                <c:pt idx="55">
                  <c:v>0.69380836322572681</c:v>
                </c:pt>
                <c:pt idx="56">
                  <c:v>0.6505300876100728</c:v>
                </c:pt>
                <c:pt idx="57">
                  <c:v>0.60995138127315796</c:v>
                </c:pt>
                <c:pt idx="58">
                  <c:v>0.57190386943481741</c:v>
                </c:pt>
                <c:pt idx="59">
                  <c:v>0.53622967026221635</c:v>
                </c:pt>
                <c:pt idx="60">
                  <c:v>0.50278074644818116</c:v>
                </c:pt>
                <c:pt idx="61">
                  <c:v>0.4714182912858158</c:v>
                </c:pt>
                <c:pt idx="62">
                  <c:v>0.44201215772026492</c:v>
                </c:pt>
                <c:pt idx="63">
                  <c:v>0.41444033568617439</c:v>
                </c:pt>
                <c:pt idx="64">
                  <c:v>0.38858837181104738</c:v>
                </c:pt>
                <c:pt idx="65">
                  <c:v>0.3643489609096292</c:v>
                </c:pt>
                <c:pt idx="66">
                  <c:v>0.34162160937051933</c:v>
                </c:pt>
                <c:pt idx="67">
                  <c:v>0.32031191273952081</c:v>
                </c:pt>
                <c:pt idx="68">
                  <c:v>0.30033145702693764</c:v>
                </c:pt>
                <c:pt idx="69">
                  <c:v>0.28159740942792189</c:v>
                </c:pt>
                <c:pt idx="70">
                  <c:v>0.26403192555774185</c:v>
                </c:pt>
                <c:pt idx="71">
                  <c:v>0.24756214289627806</c:v>
                </c:pt>
                <c:pt idx="72">
                  <c:v>0.23211969678500413</c:v>
                </c:pt>
                <c:pt idx="73">
                  <c:v>0.21764053200085959</c:v>
                </c:pt>
                <c:pt idx="74">
                  <c:v>0.2040645434720009</c:v>
                </c:pt>
                <c:pt idx="75">
                  <c:v>0.19133539192754295</c:v>
                </c:pt>
                <c:pt idx="76">
                  <c:v>0.17940025800982393</c:v>
                </c:pt>
                <c:pt idx="77">
                  <c:v>0.16820961738028783</c:v>
                </c:pt>
                <c:pt idx="78">
                  <c:v>0.15771703941380405</c:v>
                </c:pt>
                <c:pt idx="79">
                  <c:v>0.14787895017960029</c:v>
                </c:pt>
                <c:pt idx="80">
                  <c:v>0.13865448796179825</c:v>
                </c:pt>
                <c:pt idx="81">
                  <c:v>0.13000555810177286</c:v>
                </c:pt>
                <c:pt idx="82">
                  <c:v>0.12189605641537034</c:v>
                </c:pt>
                <c:pt idx="83">
                  <c:v>0.11429242826832786</c:v>
                </c:pt>
                <c:pt idx="84">
                  <c:v>0.10716308915924501</c:v>
                </c:pt>
                <c:pt idx="85">
                  <c:v>0.10047846176951027</c:v>
                </c:pt>
                <c:pt idx="86">
                  <c:v>9.4210803475484634E-2</c:v>
                </c:pt>
                <c:pt idx="87">
                  <c:v>8.8334118628714181E-2</c:v>
                </c:pt>
                <c:pt idx="88">
                  <c:v>8.2823993710007329E-2</c:v>
                </c:pt>
                <c:pt idx="89">
                  <c:v>7.7657605136514568E-2</c:v>
                </c:pt>
                <c:pt idx="90">
                  <c:v>7.2813476223927906E-2</c:v>
                </c:pt>
                <c:pt idx="91">
                  <c:v>6.8271506360507342E-2</c:v>
                </c:pt>
                <c:pt idx="92">
                  <c:v>6.4012863246876078E-2</c:v>
                </c:pt>
                <c:pt idx="93">
                  <c:v>6.0019878593183355E-2</c:v>
                </c:pt>
                <c:pt idx="94">
                  <c:v>5.6275973561130163E-2</c:v>
                </c:pt>
                <c:pt idx="95">
                  <c:v>5.2765582132818498E-2</c:v>
                </c:pt>
                <c:pt idx="96">
                  <c:v>4.9474149534084265E-2</c:v>
                </c:pt>
                <c:pt idx="97">
                  <c:v>4.6388043466919292E-2</c:v>
                </c:pt>
                <c:pt idx="98">
                  <c:v>4.3494445479256329E-2</c:v>
                </c:pt>
                <c:pt idx="99">
                  <c:v>4.0781342129130101E-2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C5-4AB5-B6D5-3D49421A108B}"/>
            </c:ext>
          </c:extLst>
        </c:ser>
        <c:ser>
          <c:idx val="7"/>
          <c:order val="7"/>
          <c:tx>
            <c:strRef>
              <c:f>dynamicR!$O$19</c:f>
              <c:strCache>
                <c:ptCount val="1"/>
                <c:pt idx="0">
                  <c:v>s3R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3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dynamicR!$O$20:$O$120</c:f>
              <c:numCache>
                <c:formatCode>0.00</c:formatCode>
                <c:ptCount val="101"/>
                <c:pt idx="0">
                  <c:v>0</c:v>
                </c:pt>
                <c:pt idx="1">
                  <c:v>4.1087198357683631E-2</c:v>
                </c:pt>
                <c:pt idx="2">
                  <c:v>0.10353481108068019</c:v>
                </c:pt>
                <c:pt idx="3">
                  <c:v>0.16864657003972125</c:v>
                </c:pt>
                <c:pt idx="4">
                  <c:v>0.23134752793574526</c:v>
                </c:pt>
                <c:pt idx="5">
                  <c:v>0.2900546651137389</c:v>
                </c:pt>
                <c:pt idx="6">
                  <c:v>0.34443751235868025</c:v>
                </c:pt>
                <c:pt idx="7">
                  <c:v>0.39460543533435244</c:v>
                </c:pt>
                <c:pt idx="8">
                  <c:v>0.44081206970029357</c:v>
                </c:pt>
                <c:pt idx="9">
                  <c:v>0.48334785092816879</c:v>
                </c:pt>
                <c:pt idx="10">
                  <c:v>0.52250136258155866</c:v>
                </c:pt>
                <c:pt idx="11">
                  <c:v>0.55854587974855774</c:v>
                </c:pt>
                <c:pt idx="12">
                  <c:v>0.59173524724649218</c:v>
                </c:pt>
                <c:pt idx="13">
                  <c:v>0.62230382214759938</c:v>
                </c:pt>
                <c:pt idx="14">
                  <c:v>0.65046664714535052</c:v>
                </c:pt>
                <c:pt idx="15">
                  <c:v>0.67642111251665127</c:v>
                </c:pt>
                <c:pt idx="16">
                  <c:v>0.70034815758705649</c:v>
                </c:pt>
                <c:pt idx="17">
                  <c:v>0.7224134172110882</c:v>
                </c:pt>
                <c:pt idx="18">
                  <c:v>0.74276869099672937</c:v>
                </c:pt>
                <c:pt idx="19">
                  <c:v>0.76155298381755732</c:v>
                </c:pt>
                <c:pt idx="20">
                  <c:v>0.7788936113649706</c:v>
                </c:pt>
                <c:pt idx="21">
                  <c:v>0.79490717321778803</c:v>
                </c:pt>
                <c:pt idx="22">
                  <c:v>0.80970047941753909</c:v>
                </c:pt>
                <c:pt idx="23">
                  <c:v>0.82337136867902838</c:v>
                </c:pt>
                <c:pt idx="24">
                  <c:v>0.8360095247619177</c:v>
                </c:pt>
                <c:pt idx="25">
                  <c:v>0.84769715013167468</c:v>
                </c:pt>
                <c:pt idx="26">
                  <c:v>0.8585095669015228</c:v>
                </c:pt>
                <c:pt idx="27">
                  <c:v>0.8685158403209684</c:v>
                </c:pt>
                <c:pt idx="28">
                  <c:v>0.87777932868905417</c:v>
                </c:pt>
                <c:pt idx="29">
                  <c:v>0.8863581657571652</c:v>
                </c:pt>
                <c:pt idx="30">
                  <c:v>0.89430569722894393</c:v>
                </c:pt>
                <c:pt idx="31">
                  <c:v>0.90167089020929891</c:v>
                </c:pt>
                <c:pt idx="32">
                  <c:v>0.90849871257378079</c:v>
                </c:pt>
                <c:pt idx="33">
                  <c:v>0.91483047603060885</c:v>
                </c:pt>
                <c:pt idx="34">
                  <c:v>0.9207041452363911</c:v>
                </c:pt>
                <c:pt idx="35">
                  <c:v>0.92615461972588387</c:v>
                </c:pt>
                <c:pt idx="36">
                  <c:v>0.93121399310130715</c:v>
                </c:pt>
                <c:pt idx="37">
                  <c:v>0.93591179057595142</c:v>
                </c:pt>
                <c:pt idx="38">
                  <c:v>0.94027518525128828</c:v>
                </c:pt>
                <c:pt idx="39">
                  <c:v>0.94432919476562915</c:v>
                </c:pt>
                <c:pt idx="40">
                  <c:v>0.94809686080190547</c:v>
                </c:pt>
                <c:pt idx="41">
                  <c:v>0.95159941342566545</c:v>
                </c:pt>
                <c:pt idx="42">
                  <c:v>0.95485642136394777</c:v>
                </c:pt>
                <c:pt idx="43">
                  <c:v>0.95788592914418358</c:v>
                </c:pt>
                <c:pt idx="44">
                  <c:v>0.96070458226087962</c:v>
                </c:pt>
                <c:pt idx="45">
                  <c:v>0.96332774159619161</c:v>
                </c:pt>
                <c:pt idx="46">
                  <c:v>0.96576958810774105</c:v>
                </c:pt>
                <c:pt idx="47">
                  <c:v>0.96804321859149733</c:v>
                </c:pt>
                <c:pt idx="48">
                  <c:v>0.97016073325756391</c:v>
                </c:pt>
                <c:pt idx="49">
                  <c:v>0.97213331584560747</c:v>
                </c:pt>
                <c:pt idx="50">
                  <c:v>0.97213331584560747</c:v>
                </c:pt>
                <c:pt idx="51">
                  <c:v>0.93288410783521891</c:v>
                </c:pt>
                <c:pt idx="52">
                  <c:v>0.87214946549754346</c:v>
                </c:pt>
                <c:pt idx="53">
                  <c:v>0.80863448609703792</c:v>
                </c:pt>
                <c:pt idx="54">
                  <c:v>0.74742234001483698</c:v>
                </c:pt>
                <c:pt idx="55">
                  <c:v>0.69010360642777879</c:v>
                </c:pt>
                <c:pt idx="56">
                  <c:v>0.63701578337506148</c:v>
                </c:pt>
                <c:pt idx="57">
                  <c:v>0.58805603271615214</c:v>
                </c:pt>
                <c:pt idx="58">
                  <c:v>0.54297675698584302</c:v>
                </c:pt>
                <c:pt idx="59">
                  <c:v>0.50149309455758662</c:v>
                </c:pt>
                <c:pt idx="60">
                  <c:v>0.46332168167407495</c:v>
                </c:pt>
                <c:pt idx="61">
                  <c:v>0.42819406368886509</c:v>
                </c:pt>
                <c:pt idx="62">
                  <c:v>0.3958607442736492</c:v>
                </c:pt>
                <c:pt idx="63">
                  <c:v>0.36609174200033506</c:v>
                </c:pt>
                <c:pt idx="64">
                  <c:v>0.33867568790225844</c:v>
                </c:pt>
                <c:pt idx="65">
                  <c:v>0.31341876411610697</c:v>
                </c:pt>
                <c:pt idx="66">
                  <c:v>0.2901435953719777</c:v>
                </c:pt>
                <c:pt idx="67">
                  <c:v>0.26868740473505104</c:v>
                </c:pt>
                <c:pt idx="68">
                  <c:v>0.24890133474468723</c:v>
                </c:pt>
                <c:pt idx="69">
                  <c:v>0.23064918194710074</c:v>
                </c:pt>
                <c:pt idx="70">
                  <c:v>0.21380596437415339</c:v>
                </c:pt>
                <c:pt idx="71">
                  <c:v>0.19825744508442528</c:v>
                </c:pt>
                <c:pt idx="72">
                  <c:v>0.18389894118820307</c:v>
                </c:pt>
                <c:pt idx="73">
                  <c:v>0.17063464973245465</c:v>
                </c:pt>
                <c:pt idx="74">
                  <c:v>0.15837674498802154</c:v>
                </c:pt>
                <c:pt idx="75">
                  <c:v>0.14704479177946328</c:v>
                </c:pt>
                <c:pt idx="76">
                  <c:v>0.13656508664415029</c:v>
                </c:pt>
                <c:pt idx="77">
                  <c:v>0.12687007388080093</c:v>
                </c:pt>
                <c:pt idx="78">
                  <c:v>0.11789782066873981</c:v>
                </c:pt>
                <c:pt idx="79">
                  <c:v>0.10959147472892861</c:v>
                </c:pt>
                <c:pt idx="80">
                  <c:v>0.101898879346095</c:v>
                </c:pt>
                <c:pt idx="81">
                  <c:v>9.4772436706822727E-2</c:v>
                </c:pt>
                <c:pt idx="82">
                  <c:v>8.8167982174452278E-2</c:v>
                </c:pt>
                <c:pt idx="83">
                  <c:v>8.2045322498975046E-2</c:v>
                </c:pt>
                <c:pt idx="84">
                  <c:v>7.6367387051622382E-2</c:v>
                </c:pt>
                <c:pt idx="85">
                  <c:v>7.1100154861995016E-2</c:v>
                </c:pt>
                <c:pt idx="86">
                  <c:v>6.6212339475274828E-2</c:v>
                </c:pt>
                <c:pt idx="87">
                  <c:v>6.1675187817435008E-2</c:v>
                </c:pt>
                <c:pt idx="88">
                  <c:v>5.7462204315858856E-2</c:v>
                </c:pt>
                <c:pt idx="89">
                  <c:v>5.3549077516665732E-2</c:v>
                </c:pt>
                <c:pt idx="90">
                  <c:v>4.9913342254621337E-2</c:v>
                </c:pt>
                <c:pt idx="91">
                  <c:v>4.6534346869063825E-2</c:v>
                </c:pt>
                <c:pt idx="92">
                  <c:v>4.3393076959901897E-2</c:v>
                </c:pt>
                <c:pt idx="93">
                  <c:v>4.0471998967535998E-2</c:v>
                </c:pt>
                <c:pt idx="94">
                  <c:v>3.7754925320629379E-2</c:v>
                </c:pt>
                <c:pt idx="95">
                  <c:v>3.5226899100271117E-2</c:v>
                </c:pt>
                <c:pt idx="96">
                  <c:v>3.2874167063397464E-2</c:v>
                </c:pt>
                <c:pt idx="97">
                  <c:v>3.0684048677141237E-2</c:v>
                </c:pt>
                <c:pt idx="98">
                  <c:v>2.8644787858215653E-2</c:v>
                </c:pt>
                <c:pt idx="99">
                  <c:v>2.6745530347315187E-2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5-4AB5-B6D5-3D49421A1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6880"/>
        <c:axId val="202829184"/>
      </c:scatterChart>
      <c:valAx>
        <c:axId val="2028268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[years]</a:t>
                </a:r>
              </a:p>
            </c:rich>
          </c:tx>
          <c:layout>
            <c:manualLayout>
              <c:xMode val="edge"/>
              <c:yMode val="edge"/>
              <c:x val="0.45161284885260905"/>
              <c:y val="0.90657584756922682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829184"/>
        <c:crosses val="autoZero"/>
        <c:crossBetween val="midCat"/>
      </c:valAx>
      <c:valAx>
        <c:axId val="2028291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of steady state</a:t>
                </a:r>
              </a:p>
            </c:rich>
          </c:tx>
          <c:layout>
            <c:manualLayout>
              <c:xMode val="edge"/>
              <c:yMode val="edge"/>
              <c:x val="1.1520624142165715E-2"/>
              <c:y val="0.294118010335213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826880"/>
        <c:crosses val="autoZero"/>
        <c:crossBetween val="midCat"/>
        <c:majorUnit val="0.25"/>
        <c:minorUnit val="0.0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6467986226492322"/>
          <c:y val="2.768166089965398E-2"/>
          <c:w val="0.11238556189650606"/>
          <c:h val="0.588236383946816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&amp;F</c:oddHeader>
      <c:oddFooter>Page &amp;P</c:oddFooter>
    </c:headerFooter>
    <c:pageMargins b="1" l="0.75000000000000167" r="0.75000000000000167" t="1" header="0.5" footer="0.5"/>
    <c:pageSetup paperSize="9" orientation="landscape" horizontalDpi="-4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SimpleBox dynamic output - Tropic</a:t>
            </a:r>
          </a:p>
        </c:rich>
      </c:tx>
      <c:layout>
        <c:manualLayout>
          <c:xMode val="edge"/>
          <c:yMode val="edge"/>
          <c:x val="0.26036865804618459"/>
          <c:y val="2.08333333333333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32950468347419"/>
          <c:y val="0.11805595586465069"/>
          <c:w val="0.82031881335933965"/>
          <c:h val="0.711807969183923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dynamicR!$AI$19</c:f>
              <c:strCache>
                <c:ptCount val="1"/>
                <c:pt idx="0">
                  <c:v>aT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dynamicR!$AI$20:$AI$120</c:f>
              <c:numCache>
                <c:formatCode>0.00</c:formatCode>
                <c:ptCount val="101"/>
                <c:pt idx="0">
                  <c:v>0</c:v>
                </c:pt>
                <c:pt idx="1">
                  <c:v>6.4878896816543772E-3</c:v>
                </c:pt>
                <c:pt idx="2">
                  <c:v>4.4041839964088725E-2</c:v>
                </c:pt>
                <c:pt idx="3">
                  <c:v>0.11096648002059392</c:v>
                </c:pt>
                <c:pt idx="4">
                  <c:v>0.19221998443887067</c:v>
                </c:pt>
                <c:pt idx="5">
                  <c:v>0.27572948655213164</c:v>
                </c:pt>
                <c:pt idx="6">
                  <c:v>0.35477496722873747</c:v>
                </c:pt>
                <c:pt idx="7">
                  <c:v>0.42647018998799835</c:v>
                </c:pt>
                <c:pt idx="8">
                  <c:v>0.49007149858552296</c:v>
                </c:pt>
                <c:pt idx="9">
                  <c:v>0.54586937299148797</c:v>
                </c:pt>
                <c:pt idx="10">
                  <c:v>0.59458020941747347</c:v>
                </c:pt>
                <c:pt idx="11">
                  <c:v>0.63704365337402369</c:v>
                </c:pt>
                <c:pt idx="12">
                  <c:v>0.67408279370177249</c:v>
                </c:pt>
                <c:pt idx="13">
                  <c:v>0.70644924110066132</c:v>
                </c:pt>
                <c:pt idx="14">
                  <c:v>0.73480320331254811</c:v>
                </c:pt>
                <c:pt idx="15">
                  <c:v>0.75971499449676716</c:v>
                </c:pt>
                <c:pt idx="16">
                  <c:v>0.78167228539389566</c:v>
                </c:pt>
                <c:pt idx="17">
                  <c:v>0.80108924188049968</c:v>
                </c:pt>
                <c:pt idx="18">
                  <c:v>0.81831743902192999</c:v>
                </c:pt>
                <c:pt idx="19">
                  <c:v>0.83365488058108439</c:v>
                </c:pt>
                <c:pt idx="20">
                  <c:v>0.84735437796598467</c:v>
                </c:pt>
                <c:pt idx="21">
                  <c:v>0.85963049177808537</c:v>
                </c:pt>
                <c:pt idx="22">
                  <c:v>0.87066578418606733</c:v>
                </c:pt>
                <c:pt idx="23">
                  <c:v>0.88061573949658312</c:v>
                </c:pt>
                <c:pt idx="24">
                  <c:v>0.88961342054635795</c:v>
                </c:pt>
                <c:pt idx="25">
                  <c:v>0.89777280196698683</c:v>
                </c:pt>
                <c:pt idx="26">
                  <c:v>0.90519152432806238</c:v>
                </c:pt>
                <c:pt idx="27">
                  <c:v>0.91195367099037916</c:v>
                </c:pt>
                <c:pt idx="28">
                  <c:v>0.91813193910755164</c:v>
                </c:pt>
                <c:pt idx="29">
                  <c:v>0.92378932371814448</c:v>
                </c:pt>
                <c:pt idx="30">
                  <c:v>0.92898050817253996</c:v>
                </c:pt>
                <c:pt idx="31">
                  <c:v>0.93375310813123535</c:v>
                </c:pt>
                <c:pt idx="32">
                  <c:v>0.93814875613469217</c:v>
                </c:pt>
                <c:pt idx="33">
                  <c:v>0.94220398793797033</c:v>
                </c:pt>
                <c:pt idx="34">
                  <c:v>0.94595095692616726</c:v>
                </c:pt>
                <c:pt idx="35">
                  <c:v>0.94941803715733641</c:v>
                </c:pt>
                <c:pt idx="36">
                  <c:v>0.9526303500819866</c:v>
                </c:pt>
                <c:pt idx="37">
                  <c:v>0.95561021723102879</c:v>
                </c:pt>
                <c:pt idx="38">
                  <c:v>0.9583775378099112</c:v>
                </c:pt>
                <c:pt idx="39">
                  <c:v>0.96095010334257092</c:v>
                </c:pt>
                <c:pt idx="40">
                  <c:v>0.96334386641062808</c:v>
                </c:pt>
                <c:pt idx="41">
                  <c:v>0.9655731736099995</c:v>
                </c:pt>
                <c:pt idx="42">
                  <c:v>0.96765096580458343</c:v>
                </c:pt>
                <c:pt idx="43">
                  <c:v>0.96958894823351494</c:v>
                </c:pt>
                <c:pt idx="44">
                  <c:v>0.97139773547112485</c:v>
                </c:pt>
                <c:pt idx="45">
                  <c:v>0.97308697660888255</c:v>
                </c:pt>
                <c:pt idx="46">
                  <c:v>0.97466546411899546</c:v>
                </c:pt>
                <c:pt idx="47">
                  <c:v>0.97614122824517013</c:v>
                </c:pt>
                <c:pt idx="48">
                  <c:v>0.97752161859495601</c:v>
                </c:pt>
                <c:pt idx="49">
                  <c:v>0.97881337495990417</c:v>
                </c:pt>
                <c:pt idx="50">
                  <c:v>0.97881337495990417</c:v>
                </c:pt>
                <c:pt idx="51">
                  <c:v>0.97353479642737872</c:v>
                </c:pt>
                <c:pt idx="52">
                  <c:v>0.93711340504927232</c:v>
                </c:pt>
                <c:pt idx="53">
                  <c:v>0.87124987250547103</c:v>
                </c:pt>
                <c:pt idx="54">
                  <c:v>0.79099078971405168</c:v>
                </c:pt>
                <c:pt idx="55">
                  <c:v>0.70841357447027375</c:v>
                </c:pt>
                <c:pt idx="56">
                  <c:v>0.63024228531510962</c:v>
                </c:pt>
                <c:pt idx="57">
                  <c:v>0.5593671383966764</c:v>
                </c:pt>
                <c:pt idx="58">
                  <c:v>0.49653536657104413</c:v>
                </c:pt>
                <c:pt idx="59">
                  <c:v>0.4414597401604432</c:v>
                </c:pt>
                <c:pt idx="60">
                  <c:v>0.39342691545451652</c:v>
                </c:pt>
                <c:pt idx="61">
                  <c:v>0.35160029311882085</c:v>
                </c:pt>
                <c:pt idx="62">
                  <c:v>0.31515888077535065</c:v>
                </c:pt>
                <c:pt idx="63">
                  <c:v>0.28335437488554355</c:v>
                </c:pt>
                <c:pt idx="64">
                  <c:v>0.25552829031839275</c:v>
                </c:pt>
                <c:pt idx="65">
                  <c:v>0.23111238718363997</c:v>
                </c:pt>
                <c:pt idx="66">
                  <c:v>0.20962179307929563</c:v>
                </c:pt>
                <c:pt idx="67">
                  <c:v>0.19064349219833251</c:v>
                </c:pt>
                <c:pt idx="68">
                  <c:v>0.17382786412126308</c:v>
                </c:pt>
                <c:pt idx="69">
                  <c:v>0.15887875931657683</c:v>
                </c:pt>
                <c:pt idx="70">
                  <c:v>0.14554462254143</c:v>
                </c:pt>
                <c:pt idx="71">
                  <c:v>0.13361235150286549</c:v>
                </c:pt>
                <c:pt idx="72">
                  <c:v>0.12290068416154458</c:v>
                </c:pt>
                <c:pt idx="73">
                  <c:v>0.11325534782339471</c:v>
                </c:pt>
                <c:pt idx="74">
                  <c:v>0.10454453667924493</c:v>
                </c:pt>
                <c:pt idx="75">
                  <c:v>9.6655524147705812E-2</c:v>
                </c:pt>
                <c:pt idx="76">
                  <c:v>8.9491607033194795E-2</c:v>
                </c:pt>
                <c:pt idx="77">
                  <c:v>8.2969603178137008E-2</c:v>
                </c:pt>
                <c:pt idx="78">
                  <c:v>7.7017756419409916E-2</c:v>
                </c:pt>
                <c:pt idx="79">
                  <c:v>7.1573925407180924E-2</c:v>
                </c:pt>
                <c:pt idx="80">
                  <c:v>6.6584195869410084E-2</c:v>
                </c:pt>
                <c:pt idx="81">
                  <c:v>6.2001876473882771E-2</c:v>
                </c:pt>
                <c:pt idx="82">
                  <c:v>5.7785760202839202E-2</c:v>
                </c:pt>
                <c:pt idx="83">
                  <c:v>5.3900081986994294E-2</c:v>
                </c:pt>
                <c:pt idx="84">
                  <c:v>5.0313273843737162E-2</c:v>
                </c:pt>
                <c:pt idx="85">
                  <c:v>4.6997543328235088E-2</c:v>
                </c:pt>
                <c:pt idx="86">
                  <c:v>4.3928296005043617E-2</c:v>
                </c:pt>
                <c:pt idx="87">
                  <c:v>4.1083720617462204E-2</c:v>
                </c:pt>
                <c:pt idx="88">
                  <c:v>3.8444368515905845E-2</c:v>
                </c:pt>
                <c:pt idx="89">
                  <c:v>3.599292450401944E-2</c:v>
                </c:pt>
                <c:pt idx="90">
                  <c:v>3.3713820365523249E-2</c:v>
                </c:pt>
                <c:pt idx="91">
                  <c:v>3.1593098716201154E-2</c:v>
                </c:pt>
                <c:pt idx="92">
                  <c:v>2.9618192705225827E-2</c:v>
                </c:pt>
                <c:pt idx="93">
                  <c:v>2.7777745842145918E-2</c:v>
                </c:pt>
                <c:pt idx="94">
                  <c:v>2.6061453441251988E-2</c:v>
                </c:pt>
                <c:pt idx="95">
                  <c:v>2.4459940008439478E-2</c:v>
                </c:pt>
                <c:pt idx="96">
                  <c:v>2.2964709227724749E-2</c:v>
                </c:pt>
                <c:pt idx="97">
                  <c:v>2.156801915773875E-2</c:v>
                </c:pt>
                <c:pt idx="98">
                  <c:v>2.0262755164056005E-2</c:v>
                </c:pt>
                <c:pt idx="99">
                  <c:v>1.9042405887840504E-2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E-4B6A-B81E-88C566A8BC59}"/>
            </c:ext>
          </c:extLst>
        </c:ser>
        <c:ser>
          <c:idx val="1"/>
          <c:order val="1"/>
          <c:tx>
            <c:strRef>
              <c:f>dynamicR!$AJ$19</c:f>
              <c:strCache>
                <c:ptCount val="1"/>
                <c:pt idx="0">
                  <c:v>w2T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rgbClr val="FFFFFF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dynamicR!$AJ$20:$AJ$120</c:f>
              <c:numCache>
                <c:formatCode>0.00</c:formatCode>
                <c:ptCount val="101"/>
                <c:pt idx="0">
                  <c:v>0</c:v>
                </c:pt>
                <c:pt idx="1">
                  <c:v>4.808800721535912E-4</c:v>
                </c:pt>
                <c:pt idx="2">
                  <c:v>6.8587584237007155E-3</c:v>
                </c:pt>
                <c:pt idx="3">
                  <c:v>2.6537807929201497E-2</c:v>
                </c:pt>
                <c:pt idx="4">
                  <c:v>6.1765820656108437E-2</c:v>
                </c:pt>
                <c:pt idx="5">
                  <c:v>0.1102474252023183</c:v>
                </c:pt>
                <c:pt idx="6">
                  <c:v>0.16778139875351686</c:v>
                </c:pt>
                <c:pt idx="7">
                  <c:v>0.2300931982656618</c:v>
                </c:pt>
                <c:pt idx="8">
                  <c:v>0.29366194364830955</c:v>
                </c:pt>
                <c:pt idx="9">
                  <c:v>0.35592534995982006</c:v>
                </c:pt>
                <c:pt idx="10">
                  <c:v>0.41519641642878408</c:v>
                </c:pt>
                <c:pt idx="11">
                  <c:v>0.47048467556200552</c:v>
                </c:pt>
                <c:pt idx="12">
                  <c:v>0.52130960608380128</c:v>
                </c:pt>
                <c:pt idx="13">
                  <c:v>0.56754172636899936</c:v>
                </c:pt>
                <c:pt idx="14">
                  <c:v>0.60928184737194313</c:v>
                </c:pt>
                <c:pt idx="15">
                  <c:v>0.64676952601813975</c:v>
                </c:pt>
                <c:pt idx="16">
                  <c:v>0.68032055416130388</c:v>
                </c:pt>
                <c:pt idx="17">
                  <c:v>0.71028441734472159</c:v>
                </c:pt>
                <c:pt idx="18">
                  <c:v>0.73701601536655181</c:v>
                </c:pt>
                <c:pt idx="19">
                  <c:v>0.76085867016703168</c:v>
                </c:pt>
                <c:pt idx="20">
                  <c:v>0.78213384249734796</c:v>
                </c:pt>
                <c:pt idx="21">
                  <c:v>0.80113631984647071</c:v>
                </c:pt>
                <c:pt idx="22">
                  <c:v>0.81813209791202546</c:v>
                </c:pt>
                <c:pt idx="23">
                  <c:v>0.83335857155260684</c:v>
                </c:pt>
                <c:pt idx="24">
                  <c:v>0.84702589155885355</c:v>
                </c:pt>
                <c:pt idx="25">
                  <c:v>0.85931917139199787</c:v>
                </c:pt>
                <c:pt idx="26">
                  <c:v>0.87040074240252807</c:v>
                </c:pt>
                <c:pt idx="27">
                  <c:v>0.88041244484792547</c:v>
                </c:pt>
                <c:pt idx="28">
                  <c:v>0.88947801623820766</c:v>
                </c:pt>
                <c:pt idx="29">
                  <c:v>0.89770536506284926</c:v>
                </c:pt>
                <c:pt idx="30">
                  <c:v>0.90518858613637776</c:v>
                </c:pt>
                <c:pt idx="31">
                  <c:v>0.91200971808907683</c:v>
                </c:pt>
                <c:pt idx="32">
                  <c:v>0.91824032079313833</c:v>
                </c:pt>
                <c:pt idx="33">
                  <c:v>0.92394290297820347</c:v>
                </c:pt>
                <c:pt idx="34">
                  <c:v>0.92917217434484967</c:v>
                </c:pt>
                <c:pt idx="35">
                  <c:v>0.9339761090436598</c:v>
                </c:pt>
                <c:pt idx="36">
                  <c:v>0.93839685024538988</c:v>
                </c:pt>
                <c:pt idx="37">
                  <c:v>0.94247149670885011</c:v>
                </c:pt>
                <c:pt idx="38">
                  <c:v>0.94623279042701691</c:v>
                </c:pt>
                <c:pt idx="39">
                  <c:v>0.94970970729104554</c:v>
                </c:pt>
                <c:pt idx="40">
                  <c:v>0.95292795698611799</c:v>
                </c:pt>
                <c:pt idx="41">
                  <c:v>0.95591040854253406</c:v>
                </c:pt>
                <c:pt idx="42">
                  <c:v>0.95867745790234904</c:v>
                </c:pt>
                <c:pt idx="43">
                  <c:v>0.96124734614047347</c:v>
                </c:pt>
                <c:pt idx="44">
                  <c:v>0.96363643229773199</c:v>
                </c:pt>
                <c:pt idx="45">
                  <c:v>0.96585942600531705</c:v>
                </c:pt>
                <c:pt idx="46">
                  <c:v>0.96792958710238397</c:v>
                </c:pt>
                <c:pt idx="47">
                  <c:v>0.96985889850352003</c:v>
                </c:pt>
                <c:pt idx="48">
                  <c:v>0.97165821608631453</c:v>
                </c:pt>
                <c:pt idx="49">
                  <c:v>0.97333739810132869</c:v>
                </c:pt>
                <c:pt idx="50">
                  <c:v>0.97333739810132869</c:v>
                </c:pt>
                <c:pt idx="51">
                  <c:v>0.97442453857410893</c:v>
                </c:pt>
                <c:pt idx="52">
                  <c:v>0.96951169998281828</c:v>
                </c:pt>
                <c:pt idx="53">
                  <c:v>0.95120219391817284</c:v>
                </c:pt>
                <c:pt idx="54">
                  <c:v>0.91725505937032414</c:v>
                </c:pt>
                <c:pt idx="55">
                  <c:v>0.86997197026949646</c:v>
                </c:pt>
                <c:pt idx="56">
                  <c:v>0.81355993127031501</c:v>
                </c:pt>
                <c:pt idx="57">
                  <c:v>0.75229872229194206</c:v>
                </c:pt>
                <c:pt idx="58">
                  <c:v>0.68971421521385634</c:v>
                </c:pt>
                <c:pt idx="59">
                  <c:v>0.6283732128789179</c:v>
                </c:pt>
                <c:pt idx="60">
                  <c:v>0.56996667365845</c:v>
                </c:pt>
                <c:pt idx="61">
                  <c:v>0.51548932158935634</c:v>
                </c:pt>
                <c:pt idx="62">
                  <c:v>0.46542529961835793</c:v>
                </c:pt>
                <c:pt idx="63">
                  <c:v>0.41990669299923428</c:v>
                </c:pt>
                <c:pt idx="64">
                  <c:v>0.37883641112330357</c:v>
                </c:pt>
                <c:pt idx="65">
                  <c:v>0.34197754930013252</c:v>
                </c:pt>
                <c:pt idx="66">
                  <c:v>0.30901711713253061</c:v>
                </c:pt>
                <c:pt idx="67">
                  <c:v>0.2796080062604584</c:v>
                </c:pt>
                <c:pt idx="68">
                  <c:v>0.25339756157264137</c:v>
                </c:pt>
                <c:pt idx="69">
                  <c:v>0.2300450295058358</c:v>
                </c:pt>
                <c:pt idx="70">
                  <c:v>0.20923045875554963</c:v>
                </c:pt>
                <c:pt idx="71">
                  <c:v>0.19066113235967411</c:v>
                </c:pt>
                <c:pt idx="72">
                  <c:v>0.17407272938014234</c:v>
                </c:pt>
                <c:pt idx="73">
                  <c:v>0.15922954800234396</c:v>
                </c:pt>
                <c:pt idx="74">
                  <c:v>0.14592278339450745</c:v>
                </c:pt>
                <c:pt idx="75">
                  <c:v>0.13396878238252297</c:v>
                </c:pt>
                <c:pt idx="76">
                  <c:v>0.1232066329993563</c:v>
                </c:pt>
                <c:pt idx="77">
                  <c:v>0.11349575316863683</c:v>
                </c:pt>
                <c:pt idx="78">
                  <c:v>0.10471354641627983</c:v>
                </c:pt>
                <c:pt idx="79">
                  <c:v>9.6753102506573443E-2</c:v>
                </c:pt>
                <c:pt idx="80">
                  <c:v>8.9521325296519225E-2</c:v>
                </c:pt>
                <c:pt idx="81">
                  <c:v>8.2937523622384726E-2</c:v>
                </c:pt>
                <c:pt idx="82">
                  <c:v>7.6930593419236762E-2</c:v>
                </c:pt>
                <c:pt idx="83">
                  <c:v>7.1439041249175106E-2</c:v>
                </c:pt>
                <c:pt idx="84">
                  <c:v>6.6408873231999788E-2</c:v>
                </c:pt>
                <c:pt idx="85">
                  <c:v>6.1792871133601095E-2</c:v>
                </c:pt>
                <c:pt idx="86">
                  <c:v>5.754957768654017E-2</c:v>
                </c:pt>
                <c:pt idx="87">
                  <c:v>5.3642551058447056E-2</c:v>
                </c:pt>
                <c:pt idx="88">
                  <c:v>5.0039608367982165E-2</c:v>
                </c:pt>
                <c:pt idx="89">
                  <c:v>4.6712389527130853E-2</c:v>
                </c:pt>
                <c:pt idx="90">
                  <c:v>4.3635665998316531E-2</c:v>
                </c:pt>
                <c:pt idx="91">
                  <c:v>4.0787068740555231E-2</c:v>
                </c:pt>
                <c:pt idx="92">
                  <c:v>3.814668092859444E-2</c:v>
                </c:pt>
                <c:pt idx="93">
                  <c:v>3.5696707705858914E-2</c:v>
                </c:pt>
                <c:pt idx="94">
                  <c:v>3.3421178142470837E-2</c:v>
                </c:pt>
                <c:pt idx="95">
                  <c:v>3.1305719493054926E-2</c:v>
                </c:pt>
                <c:pt idx="96">
                  <c:v>2.9337456603375001E-2</c:v>
                </c:pt>
                <c:pt idx="97">
                  <c:v>2.7504783716369833E-2</c:v>
                </c:pt>
                <c:pt idx="98">
                  <c:v>2.5797136533447108E-2</c:v>
                </c:pt>
                <c:pt idx="99">
                  <c:v>2.420494531788225E-2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E-4B6A-B81E-88C566A8BC59}"/>
            </c:ext>
          </c:extLst>
        </c:ser>
        <c:ser>
          <c:idx val="2"/>
          <c:order val="2"/>
          <c:tx>
            <c:strRef>
              <c:f>dynamicR!$AL$19</c:f>
              <c:strCache>
                <c:ptCount val="1"/>
                <c:pt idx="0">
                  <c:v>sdT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  <c:spPr>
              <a:solidFill>
                <a:srgbClr val="FFFF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dynamicR!$AL$20:$AL$120</c:f>
              <c:numCache>
                <c:formatCode>0.00</c:formatCode>
                <c:ptCount val="101"/>
                <c:pt idx="0">
                  <c:v>0</c:v>
                </c:pt>
                <c:pt idx="1">
                  <c:v>1.4477213482518895E-7</c:v>
                </c:pt>
                <c:pt idx="2">
                  <c:v>9.4707040253109842E-6</c:v>
                </c:pt>
                <c:pt idx="3">
                  <c:v>9.1728506160903379E-5</c:v>
                </c:pt>
                <c:pt idx="4">
                  <c:v>4.1526362676919825E-4</c:v>
                </c:pt>
                <c:pt idx="5">
                  <c:v>1.2515662097013493E-3</c:v>
                </c:pt>
                <c:pt idx="6">
                  <c:v>2.9334480761746455E-3</c:v>
                </c:pt>
                <c:pt idx="7">
                  <c:v>5.8031088442563805E-3</c:v>
                </c:pt>
                <c:pt idx="8">
                  <c:v>1.0168944457898132E-2</c:v>
                </c:pt>
                <c:pt idx="9">
                  <c:v>1.6277513152269624E-2</c:v>
                </c:pt>
                <c:pt idx="10">
                  <c:v>2.4300057288254212E-2</c:v>
                </c:pt>
                <c:pt idx="11">
                  <c:v>3.4330117003212625E-2</c:v>
                </c:pt>
                <c:pt idx="12">
                  <c:v>4.6388718862366889E-2</c:v>
                </c:pt>
                <c:pt idx="13">
                  <c:v>6.0433935448390708E-2</c:v>
                </c:pt>
                <c:pt idx="14">
                  <c:v>7.6372025045396794E-2</c:v>
                </c:pt>
                <c:pt idx="15">
                  <c:v>9.4069376707742972E-2</c:v>
                </c:pt>
                <c:pt idx="16">
                  <c:v>0.11336365793248576</c:v>
                </c:pt>
                <c:pt idx="17">
                  <c:v>0.13407356515644703</c:v>
                </c:pt>
                <c:pt idx="18">
                  <c:v>0.15600747049702429</c:v>
                </c:pt>
                <c:pt idx="19">
                  <c:v>0.17897032015803982</c:v>
                </c:pt>
                <c:pt idx="20">
                  <c:v>0.20276927383668891</c:v>
                </c:pt>
                <c:pt idx="21">
                  <c:v>0.22721784044809432</c:v>
                </c:pt>
                <c:pt idx="22">
                  <c:v>0.25213914607935567</c:v>
                </c:pt>
                <c:pt idx="23">
                  <c:v>0.27736802745047567</c:v>
                </c:pt>
                <c:pt idx="24">
                  <c:v>0.30275260347114069</c:v>
                </c:pt>
                <c:pt idx="25">
                  <c:v>0.3281548603072505</c:v>
                </c:pt>
                <c:pt idx="26">
                  <c:v>0.35345080226049741</c:v>
                </c:pt>
                <c:pt idx="27">
                  <c:v>0.37853047782414234</c:v>
                </c:pt>
                <c:pt idx="28">
                  <c:v>0.4032975946849523</c:v>
                </c:pt>
                <c:pt idx="29">
                  <c:v>0.42766883283272766</c:v>
                </c:pt>
                <c:pt idx="30">
                  <c:v>0.45157302539163874</c:v>
                </c:pt>
                <c:pt idx="31">
                  <c:v>0.47495031609922633</c:v>
                </c:pt>
                <c:pt idx="32">
                  <c:v>0.49775128935202417</c:v>
                </c:pt>
                <c:pt idx="33">
                  <c:v>0.51993605650221475</c:v>
                </c:pt>
                <c:pt idx="34">
                  <c:v>0.5414733280914571</c:v>
                </c:pt>
                <c:pt idx="35">
                  <c:v>0.5623395188375635</c:v>
                </c:pt>
                <c:pt idx="36">
                  <c:v>0.582517907130086</c:v>
                </c:pt>
                <c:pt idx="37">
                  <c:v>0.60199784549505542</c:v>
                </c:pt>
                <c:pt idx="38">
                  <c:v>0.62077401729112758</c:v>
                </c:pt>
                <c:pt idx="39">
                  <c:v>0.63884574476627709</c:v>
                </c:pt>
                <c:pt idx="40">
                  <c:v>0.65621635570846182</c:v>
                </c:pt>
                <c:pt idx="41">
                  <c:v>0.67289260941335061</c:v>
                </c:pt>
                <c:pt idx="42">
                  <c:v>0.68888417734171281</c:v>
                </c:pt>
                <c:pt idx="43">
                  <c:v>0.70420317407663002</c:v>
                </c:pt>
                <c:pt idx="44">
                  <c:v>0.71886373645818435</c:v>
                </c:pt>
                <c:pt idx="45">
                  <c:v>0.73288164910519371</c:v>
                </c:pt>
                <c:pt idx="46">
                  <c:v>0.74627401314886543</c:v>
                </c:pt>
                <c:pt idx="47">
                  <c:v>0.75905895410392454</c:v>
                </c:pt>
                <c:pt idx="48">
                  <c:v>0.77125536515694793</c:v>
                </c:pt>
                <c:pt idx="49">
                  <c:v>0.78288268285467266</c:v>
                </c:pt>
                <c:pt idx="50">
                  <c:v>0.78288268285467266</c:v>
                </c:pt>
                <c:pt idx="51">
                  <c:v>0.79396054304468311</c:v>
                </c:pt>
                <c:pt idx="52">
                  <c:v>0.80449988078400503</c:v>
                </c:pt>
                <c:pt idx="53">
                  <c:v>0.81445694756788578</c:v>
                </c:pt>
                <c:pt idx="54">
                  <c:v>0.82368331366976955</c:v>
                </c:pt>
                <c:pt idx="55">
                  <c:v>0.83192721432930172</c:v>
                </c:pt>
                <c:pt idx="56">
                  <c:v>0.83887528367961151</c:v>
                </c:pt>
                <c:pt idx="57">
                  <c:v>0.84420442332462242</c:v>
                </c:pt>
                <c:pt idx="58">
                  <c:v>0.84762492370586318</c:v>
                </c:pt>
                <c:pt idx="59">
                  <c:v>0.84890845459967812</c:v>
                </c:pt>
                <c:pt idx="60">
                  <c:v>0.84790153287289749</c:v>
                </c:pt>
                <c:pt idx="61">
                  <c:v>0.84452779498635566</c:v>
                </c:pt>
                <c:pt idx="62">
                  <c:v>0.83878286760561527</c:v>
                </c:pt>
                <c:pt idx="63">
                  <c:v>0.83072488845391557</c:v>
                </c:pt>
                <c:pt idx="64">
                  <c:v>0.82046307979807376</c:v>
                </c:pt>
                <c:pt idx="65">
                  <c:v>0.80814604294277759</c:v>
                </c:pt>
                <c:pt idx="66">
                  <c:v>0.7939504264171976</c:v>
                </c:pt>
                <c:pt idx="67">
                  <c:v>0.77807143906147125</c:v>
                </c:pt>
                <c:pt idx="68">
                  <c:v>0.76071399778401538</c:v>
                </c:pt>
                <c:pt idx="69">
                  <c:v>0.74208560920002997</c:v>
                </c:pt>
                <c:pt idx="70">
                  <c:v>0.72239157847648527</c:v>
                </c:pt>
                <c:pt idx="71">
                  <c:v>0.70182989672762386</c:v>
                </c:pt>
                <c:pt idx="72">
                  <c:v>0.68058859773927372</c:v>
                </c:pt>
                <c:pt idx="73">
                  <c:v>0.65884332986255167</c:v>
                </c:pt>
                <c:pt idx="74">
                  <c:v>0.63675624465712521</c:v>
                </c:pt>
                <c:pt idx="75">
                  <c:v>0.61447506862462342</c:v>
                </c:pt>
                <c:pt idx="76">
                  <c:v>0.59213291160424231</c:v>
                </c:pt>
                <c:pt idx="77">
                  <c:v>0.56984842551411152</c:v>
                </c:pt>
                <c:pt idx="78">
                  <c:v>0.54772624374505985</c:v>
                </c:pt>
                <c:pt idx="79">
                  <c:v>0.52585771946676862</c:v>
                </c:pt>
                <c:pt idx="80">
                  <c:v>0.50432159064537518</c:v>
                </c:pt>
                <c:pt idx="81">
                  <c:v>0.4831845493121909</c:v>
                </c:pt>
                <c:pt idx="82">
                  <c:v>0.46250314449849428</c:v>
                </c:pt>
                <c:pt idx="83">
                  <c:v>0.44232356361618036</c:v>
                </c:pt>
                <c:pt idx="84">
                  <c:v>0.42268327886206764</c:v>
                </c:pt>
                <c:pt idx="85">
                  <c:v>0.40361167269824716</c:v>
                </c:pt>
                <c:pt idx="86">
                  <c:v>0.38513097666223928</c:v>
                </c:pt>
                <c:pt idx="87">
                  <c:v>0.36725705716230245</c:v>
                </c:pt>
                <c:pt idx="88">
                  <c:v>0.35000020485533384</c:v>
                </c:pt>
                <c:pt idx="89">
                  <c:v>0.33336578522506799</c:v>
                </c:pt>
                <c:pt idx="90">
                  <c:v>0.31735493881824872</c:v>
                </c:pt>
                <c:pt idx="91">
                  <c:v>0.30196511624792277</c:v>
                </c:pt>
                <c:pt idx="92">
                  <c:v>0.28719064664993188</c:v>
                </c:pt>
                <c:pt idx="93">
                  <c:v>0.27302316775777197</c:v>
                </c:pt>
                <c:pt idx="94">
                  <c:v>0.25945215635547814</c:v>
                </c:pt>
                <c:pt idx="95">
                  <c:v>0.24646527103920934</c:v>
                </c:pt>
                <c:pt idx="96">
                  <c:v>0.23404858361697189</c:v>
                </c:pt>
                <c:pt idx="97">
                  <c:v>0.22218695629062937</c:v>
                </c:pt>
                <c:pt idx="98">
                  <c:v>0.21086440087600708</c:v>
                </c:pt>
                <c:pt idx="99">
                  <c:v>0.20006420481581336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E-4B6A-B81E-88C566A8BC59}"/>
            </c:ext>
          </c:extLst>
        </c:ser>
        <c:ser>
          <c:idx val="3"/>
          <c:order val="3"/>
          <c:tx>
            <c:strRef>
              <c:f>dynamicR!$AM$19</c:f>
              <c:strCache>
                <c:ptCount val="1"/>
                <c:pt idx="0">
                  <c:v>sT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3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dynamicR!$AM$20:$AM$120</c:f>
              <c:numCache>
                <c:formatCode>0.00</c:formatCode>
                <c:ptCount val="101"/>
                <c:pt idx="0">
                  <c:v>0</c:v>
                </c:pt>
                <c:pt idx="1">
                  <c:v>3.8719162752698421E-4</c:v>
                </c:pt>
                <c:pt idx="2">
                  <c:v>5.6028890176914401E-3</c:v>
                </c:pt>
                <c:pt idx="3">
                  <c:v>2.2003578539799687E-2</c:v>
                </c:pt>
                <c:pt idx="4">
                  <c:v>5.1984242358869219E-2</c:v>
                </c:pt>
                <c:pt idx="5">
                  <c:v>9.4167264933164477E-2</c:v>
                </c:pt>
                <c:pt idx="6">
                  <c:v>0.14537690213232671</c:v>
                </c:pt>
                <c:pt idx="7">
                  <c:v>0.20211942488170398</c:v>
                </c:pt>
                <c:pt idx="8">
                  <c:v>0.26132372526259007</c:v>
                </c:pt>
                <c:pt idx="9">
                  <c:v>0.3205917183252337</c:v>
                </c:pt>
                <c:pt idx="10">
                  <c:v>0.37820061616887202</c:v>
                </c:pt>
                <c:pt idx="11">
                  <c:v>0.43300577084768782</c:v>
                </c:pt>
                <c:pt idx="12">
                  <c:v>0.48431742738549538</c:v>
                </c:pt>
                <c:pt idx="13">
                  <c:v>0.53178371339501973</c:v>
                </c:pt>
                <c:pt idx="14">
                  <c:v>0.5752960921723056</c:v>
                </c:pt>
                <c:pt idx="15">
                  <c:v>0.61491097924236238</c:v>
                </c:pt>
                <c:pt idx="16">
                  <c:v>0.65079238300899933</c:v>
                </c:pt>
                <c:pt idx="17">
                  <c:v>0.68316992156667367</c:v>
                </c:pt>
                <c:pt idx="18">
                  <c:v>0.71230763801753172</c:v>
                </c:pt>
                <c:pt idx="19">
                  <c:v>0.73848318527367696</c:v>
                </c:pt>
                <c:pt idx="20">
                  <c:v>0.76197318029395167</c:v>
                </c:pt>
                <c:pt idx="21">
                  <c:v>0.78304427759474282</c:v>
                </c:pt>
                <c:pt idx="22">
                  <c:v>0.80194716776519614</c:v>
                </c:pt>
                <c:pt idx="23">
                  <c:v>0.81891364042795323</c:v>
                </c:pt>
                <c:pt idx="24">
                  <c:v>0.8341550152476348</c:v>
                </c:pt>
                <c:pt idx="25">
                  <c:v>0.84786236717558416</c:v>
                </c:pt>
                <c:pt idx="26">
                  <c:v>0.86020727411620235</c:v>
                </c:pt>
                <c:pt idx="27">
                  <c:v>0.87134265556649548</c:v>
                </c:pt>
                <c:pt idx="28">
                  <c:v>0.88140415557350571</c:v>
                </c:pt>
                <c:pt idx="29">
                  <c:v>0.89051178245292373</c:v>
                </c:pt>
                <c:pt idx="30">
                  <c:v>0.89877150953391138</c:v>
                </c:pt>
                <c:pt idx="31">
                  <c:v>0.90627671417082312</c:v>
                </c:pt>
                <c:pt idx="32">
                  <c:v>0.91310952626131425</c:v>
                </c:pt>
                <c:pt idx="33">
                  <c:v>0.91934213800872322</c:v>
                </c:pt>
                <c:pt idx="34">
                  <c:v>0.92503802917030953</c:v>
                </c:pt>
                <c:pt idx="35">
                  <c:v>0.93025304849245616</c:v>
                </c:pt>
                <c:pt idx="36">
                  <c:v>0.9350363517420095</c:v>
                </c:pt>
                <c:pt idx="37">
                  <c:v>0.93943123414548135</c:v>
                </c:pt>
                <c:pt idx="38">
                  <c:v>0.94347587949378775</c:v>
                </c:pt>
                <c:pt idx="39">
                  <c:v>0.9472040226608226</c:v>
                </c:pt>
                <c:pt idx="40">
                  <c:v>0.95064552182503881</c:v>
                </c:pt>
                <c:pt idx="41">
                  <c:v>0.95382685114577248</c:v>
                </c:pt>
                <c:pt idx="42">
                  <c:v>0.95677153041151031</c:v>
                </c:pt>
                <c:pt idx="43">
                  <c:v>0.95950050173954571</c:v>
                </c:pt>
                <c:pt idx="44">
                  <c:v>0.96203245684167571</c:v>
                </c:pt>
                <c:pt idx="45">
                  <c:v>0.96438411857088446</c:v>
                </c:pt>
                <c:pt idx="46">
                  <c:v>0.96657048343374241</c:v>
                </c:pt>
                <c:pt idx="47">
                  <c:v>0.96860503204601389</c:v>
                </c:pt>
                <c:pt idx="48">
                  <c:v>0.97049991221176846</c:v>
                </c:pt>
                <c:pt idx="49">
                  <c:v>0.97226609752853443</c:v>
                </c:pt>
                <c:pt idx="50">
                  <c:v>0.97226609752853443</c:v>
                </c:pt>
                <c:pt idx="51">
                  <c:v>0.97352633528596411</c:v>
                </c:pt>
                <c:pt idx="52">
                  <c:v>0.96984832583464342</c:v>
                </c:pt>
                <c:pt idx="53">
                  <c:v>0.95488378864010437</c:v>
                </c:pt>
                <c:pt idx="54">
                  <c:v>0.92624520747964778</c:v>
                </c:pt>
                <c:pt idx="55">
                  <c:v>0.8853170411511232</c:v>
                </c:pt>
                <c:pt idx="56">
                  <c:v>0.83528129850182409</c:v>
                </c:pt>
                <c:pt idx="57">
                  <c:v>0.77963737568931191</c:v>
                </c:pt>
                <c:pt idx="58">
                  <c:v>0.72146171284842453</c:v>
                </c:pt>
                <c:pt idx="59">
                  <c:v>0.66315724694721301</c:v>
                </c:pt>
                <c:pt idx="60">
                  <c:v>0.60645105141667677</c:v>
                </c:pt>
                <c:pt idx="61">
                  <c:v>0.55249215928279383</c:v>
                </c:pt>
                <c:pt idx="62">
                  <c:v>0.50197437602389383</c:v>
                </c:pt>
                <c:pt idx="63">
                  <c:v>0.45525218410120155</c:v>
                </c:pt>
                <c:pt idx="64">
                  <c:v>0.41243813355926467</c:v>
                </c:pt>
                <c:pt idx="65">
                  <c:v>0.3734786946776058</c:v>
                </c:pt>
                <c:pt idx="66">
                  <c:v>0.33821252404656671</c:v>
                </c:pt>
                <c:pt idx="67">
                  <c:v>0.30641276895986591</c:v>
                </c:pt>
                <c:pt idx="68">
                  <c:v>0.27781767571446531</c:v>
                </c:pt>
                <c:pt idx="69">
                  <c:v>0.25215224856545876</c:v>
                </c:pt>
                <c:pt idx="70">
                  <c:v>0.22914151836789839</c:v>
                </c:pt>
                <c:pt idx="71">
                  <c:v>0.20852102021010838</c:v>
                </c:pt>
                <c:pt idx="72">
                  <c:v>0.19004182754236859</c:v>
                </c:pt>
                <c:pt idx="73">
                  <c:v>0.17347399782057568</c:v>
                </c:pt>
                <c:pt idx="74">
                  <c:v>0.1586075449838833</c:v>
                </c:pt>
                <c:pt idx="75">
                  <c:v>0.1452528185325036</c:v>
                </c:pt>
                <c:pt idx="76">
                  <c:v>0.13323978678947926</c:v>
                </c:pt>
                <c:pt idx="77">
                  <c:v>0.12241689759512493</c:v>
                </c:pt>
                <c:pt idx="78">
                  <c:v>0.11264968454695998</c:v>
                </c:pt>
                <c:pt idx="79">
                  <c:v>0.10381913608115562</c:v>
                </c:pt>
                <c:pt idx="80">
                  <c:v>9.5820304978794207E-2</c:v>
                </c:pt>
                <c:pt idx="81">
                  <c:v>8.8561282820006887E-2</c:v>
                </c:pt>
                <c:pt idx="82">
                  <c:v>8.1960391644712485E-2</c:v>
                </c:pt>
                <c:pt idx="83">
                  <c:v>7.5946520592610811E-2</c:v>
                </c:pt>
                <c:pt idx="84">
                  <c:v>7.0456924801477042E-2</c:v>
                </c:pt>
                <c:pt idx="85">
                  <c:v>6.5436546774867835E-2</c:v>
                </c:pt>
                <c:pt idx="86">
                  <c:v>6.083695240982441E-2</c:v>
                </c:pt>
                <c:pt idx="87">
                  <c:v>5.6615539222341235E-2</c:v>
                </c:pt>
                <c:pt idx="88">
                  <c:v>5.273470273260026E-2</c:v>
                </c:pt>
                <c:pt idx="89">
                  <c:v>4.9161356222553486E-2</c:v>
                </c:pt>
                <c:pt idx="90">
                  <c:v>4.5866137707045909E-2</c:v>
                </c:pt>
                <c:pt idx="91">
                  <c:v>4.2823096933827666E-2</c:v>
                </c:pt>
                <c:pt idx="92">
                  <c:v>4.0009217000002761E-2</c:v>
                </c:pt>
                <c:pt idx="93">
                  <c:v>3.7404023976206319E-2</c:v>
                </c:pt>
                <c:pt idx="94">
                  <c:v>3.4989227702731232E-2</c:v>
                </c:pt>
                <c:pt idx="95">
                  <c:v>3.2748449914263851E-2</c:v>
                </c:pt>
                <c:pt idx="96">
                  <c:v>3.0667100093133288E-2</c:v>
                </c:pt>
                <c:pt idx="97">
                  <c:v>2.8732097988166505E-2</c:v>
                </c:pt>
                <c:pt idx="98">
                  <c:v>2.6931596390769832E-2</c:v>
                </c:pt>
                <c:pt idx="99">
                  <c:v>2.525492170935912E-2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DE-4B6A-B81E-88C566A8BC59}"/>
            </c:ext>
          </c:extLst>
        </c:ser>
        <c:ser>
          <c:idx val="4"/>
          <c:order val="4"/>
          <c:tx>
            <c:strRef>
              <c:f>dynamicR!$AK$19</c:f>
              <c:strCache>
                <c:ptCount val="1"/>
                <c:pt idx="0">
                  <c:v>w3T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dynamicR!$AK$20:$AK$120</c:f>
              <c:numCache>
                <c:formatCode>0.00</c:formatCode>
                <c:ptCount val="101"/>
                <c:pt idx="0">
                  <c:v>0</c:v>
                </c:pt>
                <c:pt idx="1">
                  <c:v>1.2716743896937861E-5</c:v>
                </c:pt>
                <c:pt idx="2">
                  <c:v>3.8961475775593134E-4</c:v>
                </c:pt>
                <c:pt idx="3">
                  <c:v>2.3873399018605867E-3</c:v>
                </c:pt>
                <c:pt idx="4">
                  <c:v>7.7457628327508507E-3</c:v>
                </c:pt>
                <c:pt idx="5">
                  <c:v>1.7934139188713009E-2</c:v>
                </c:pt>
                <c:pt idx="6">
                  <c:v>3.377100367270075E-2</c:v>
                </c:pt>
                <c:pt idx="7">
                  <c:v>5.5396761800184907E-2</c:v>
                </c:pt>
                <c:pt idx="8">
                  <c:v>8.2419303743641315E-2</c:v>
                </c:pt>
                <c:pt idx="9">
                  <c:v>0.11410235676648235</c:v>
                </c:pt>
                <c:pt idx="10">
                  <c:v>0.14953325903768291</c:v>
                </c:pt>
                <c:pt idx="11">
                  <c:v>0.18774926033542458</c:v>
                </c:pt>
                <c:pt idx="12">
                  <c:v>0.22782364370392266</c:v>
                </c:pt>
                <c:pt idx="13">
                  <c:v>0.26891455466041253</c:v>
                </c:pt>
                <c:pt idx="14">
                  <c:v>0.31029332541111682</c:v>
                </c:pt>
                <c:pt idx="15">
                  <c:v>0.35135152777375078</c:v>
                </c:pt>
                <c:pt idx="16">
                  <c:v>0.3915985661639777</c:v>
                </c:pt>
                <c:pt idx="17">
                  <c:v>0.43065385412748147</c:v>
                </c:pt>
                <c:pt idx="18">
                  <c:v>0.46823344340106193</c:v>
                </c:pt>
                <c:pt idx="19">
                  <c:v>0.5041369411070683</c:v>
                </c:pt>
                <c:pt idx="20">
                  <c:v>0.53823392184776797</c:v>
                </c:pt>
                <c:pt idx="21">
                  <c:v>0.57045161809030143</c:v>
                </c:pt>
                <c:pt idx="22">
                  <c:v>0.60076325663914087</c:v>
                </c:pt>
                <c:pt idx="23">
                  <c:v>0.62917848643102037</c:v>
                </c:pt>
                <c:pt idx="24">
                  <c:v>0.65573416315127131</c:v>
                </c:pt>
                <c:pt idx="25">
                  <c:v>0.68048769765830464</c:v>
                </c:pt>
                <c:pt idx="26">
                  <c:v>0.70351169089977583</c:v>
                </c:pt>
                <c:pt idx="27">
                  <c:v>0.72488865538490188</c:v>
                </c:pt>
                <c:pt idx="28">
                  <c:v>0.74470702510275144</c:v>
                </c:pt>
                <c:pt idx="29">
                  <c:v>0.76305827101043633</c:v>
                </c:pt>
                <c:pt idx="30">
                  <c:v>0.78003473261474732</c:v>
                </c:pt>
                <c:pt idx="31">
                  <c:v>0.79572783535900693</c:v>
                </c:pt>
                <c:pt idx="32">
                  <c:v>0.81022667837033602</c:v>
                </c:pt>
                <c:pt idx="33">
                  <c:v>0.82361705041262023</c:v>
                </c:pt>
                <c:pt idx="34">
                  <c:v>0.83598081537747249</c:v>
                </c:pt>
                <c:pt idx="35">
                  <c:v>0.84739553435266823</c:v>
                </c:pt>
                <c:pt idx="36">
                  <c:v>0.85793423375632838</c:v>
                </c:pt>
                <c:pt idx="37">
                  <c:v>0.86766529771375678</c:v>
                </c:pt>
                <c:pt idx="38">
                  <c:v>0.87665247965832183</c:v>
                </c:pt>
                <c:pt idx="39">
                  <c:v>0.88495500722563925</c:v>
                </c:pt>
                <c:pt idx="40">
                  <c:v>0.89262774341210493</c:v>
                </c:pt>
                <c:pt idx="41">
                  <c:v>0.89972137897443716</c:v>
                </c:pt>
                <c:pt idx="42">
                  <c:v>0.90628264692062832</c:v>
                </c:pt>
                <c:pt idx="43">
                  <c:v>0.91235455437716784</c:v>
                </c:pt>
                <c:pt idx="44">
                  <c:v>0.91797662376277622</c:v>
                </c:pt>
                <c:pt idx="45">
                  <c:v>0.9231851339269439</c:v>
                </c:pt>
                <c:pt idx="46">
                  <c:v>0.92801335522249695</c:v>
                </c:pt>
                <c:pt idx="47">
                  <c:v>0.93249177628423907</c:v>
                </c:pt>
                <c:pt idx="48">
                  <c:v>0.93664832150153099</c:v>
                </c:pt>
                <c:pt idx="49">
                  <c:v>0.94050855769604524</c:v>
                </c:pt>
                <c:pt idx="50">
                  <c:v>0.94050855769604524</c:v>
                </c:pt>
                <c:pt idx="51">
                  <c:v>0.94408317380339857</c:v>
                </c:pt>
                <c:pt idx="52">
                  <c:v>0.94704212529747944</c:v>
                </c:pt>
                <c:pt idx="53">
                  <c:v>0.94814837154852916</c:v>
                </c:pt>
                <c:pt idx="54">
                  <c:v>0.94567999910734413</c:v>
                </c:pt>
                <c:pt idx="55">
                  <c:v>0.93818418313661633</c:v>
                </c:pt>
                <c:pt idx="56">
                  <c:v>0.92485745980059397</c:v>
                </c:pt>
                <c:pt idx="57">
                  <c:v>0.90557321661980339</c:v>
                </c:pt>
                <c:pt idx="58">
                  <c:v>0.88073618648380247</c:v>
                </c:pt>
                <c:pt idx="59">
                  <c:v>0.85109426487588347</c:v>
                </c:pt>
                <c:pt idx="60">
                  <c:v>0.81757078813824102</c:v>
                </c:pt>
                <c:pt idx="61">
                  <c:v>0.78113807672153668</c:v>
                </c:pt>
                <c:pt idx="62">
                  <c:v>0.74273247259492081</c:v>
                </c:pt>
                <c:pt idx="63">
                  <c:v>0.70320318096813805</c:v>
                </c:pt>
                <c:pt idx="64">
                  <c:v>0.66328711474758173</c:v>
                </c:pt>
                <c:pt idx="65">
                  <c:v>0.62359984418969183</c:v>
                </c:pt>
                <c:pt idx="66">
                  <c:v>0.58463747438762381</c:v>
                </c:pt>
                <c:pt idx="67">
                  <c:v>0.54678741180103785</c:v>
                </c:pt>
                <c:pt idx="68">
                  <c:v>0.51033881668591186</c:v>
                </c:pt>
                <c:pt idx="69">
                  <c:v>0.47549711115469984</c:v>
                </c:pt>
                <c:pt idx="70">
                  <c:v>0.4423975141168055</c:v>
                </c:pt>
                <c:pt idx="71">
                  <c:v>0.41111721252714134</c:v>
                </c:pt>
                <c:pt idx="72">
                  <c:v>0.38168699568678099</c:v>
                </c:pt>
                <c:pt idx="73">
                  <c:v>0.35410116986943779</c:v>
                </c:pt>
                <c:pt idx="74">
                  <c:v>0.3283260949581604</c:v>
                </c:pt>
                <c:pt idx="75">
                  <c:v>0.30430724853267088</c:v>
                </c:pt>
                <c:pt idx="76">
                  <c:v>0.28197518726487059</c:v>
                </c:pt>
                <c:pt idx="77">
                  <c:v>0.26125030914718278</c:v>
                </c:pt>
                <c:pt idx="78">
                  <c:v>0.24204671597215094</c:v>
                </c:pt>
                <c:pt idx="79">
                  <c:v>0.22427514314089247</c:v>
                </c:pt>
                <c:pt idx="80">
                  <c:v>0.20784534390719514</c:v>
                </c:pt>
                <c:pt idx="81">
                  <c:v>0.19266846752450884</c:v>
                </c:pt>
                <c:pt idx="82">
                  <c:v>0.17865688049852188</c:v>
                </c:pt>
                <c:pt idx="83">
                  <c:v>0.16572682513079431</c:v>
                </c:pt>
                <c:pt idx="84">
                  <c:v>0.1537980194680294</c:v>
                </c:pt>
                <c:pt idx="85">
                  <c:v>0.14279448542283021</c:v>
                </c:pt>
                <c:pt idx="86">
                  <c:v>0.13264466494359442</c:v>
                </c:pt>
                <c:pt idx="87">
                  <c:v>0.12328158481478795</c:v>
                </c:pt>
                <c:pt idx="88">
                  <c:v>0.11464269842002919</c:v>
                </c:pt>
                <c:pt idx="89">
                  <c:v>0.10667007426733069</c:v>
                </c:pt>
                <c:pt idx="90">
                  <c:v>9.930986834656623E-2</c:v>
                </c:pt>
                <c:pt idx="91">
                  <c:v>9.2512440977960533E-2</c:v>
                </c:pt>
                <c:pt idx="92">
                  <c:v>8.6232075399653135E-2</c:v>
                </c:pt>
                <c:pt idx="93">
                  <c:v>8.0426698050159645E-2</c:v>
                </c:pt>
                <c:pt idx="94">
                  <c:v>7.505761090429891E-2</c:v>
                </c:pt>
                <c:pt idx="95">
                  <c:v>7.0089244504583786E-2</c:v>
                </c:pt>
                <c:pt idx="96">
                  <c:v>6.5489119937774884E-2</c:v>
                </c:pt>
                <c:pt idx="97">
                  <c:v>6.1227535416110694E-2</c:v>
                </c:pt>
                <c:pt idx="98">
                  <c:v>5.7277188253579692E-2</c:v>
                </c:pt>
                <c:pt idx="99">
                  <c:v>5.3613113123079738E-2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DE-4B6A-B81E-88C566A8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75424"/>
        <c:axId val="205186176"/>
      </c:scatterChart>
      <c:valAx>
        <c:axId val="2051754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[years]</a:t>
                </a:r>
              </a:p>
            </c:rich>
          </c:tx>
          <c:layout>
            <c:manualLayout>
              <c:xMode val="edge"/>
              <c:yMode val="edge"/>
              <c:x val="0.47235016494497817"/>
              <c:y val="0.9062529163021289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186176"/>
        <c:crosses val="autoZero"/>
        <c:crossBetween val="midCat"/>
      </c:valAx>
      <c:valAx>
        <c:axId val="2051861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of steady state</a:t>
                </a:r>
              </a:p>
            </c:rich>
          </c:tx>
          <c:layout>
            <c:manualLayout>
              <c:xMode val="edge"/>
              <c:yMode val="edge"/>
              <c:x val="1.1520624142165715E-2"/>
              <c:y val="0.3020844269466316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175424"/>
        <c:crosses val="autoZero"/>
        <c:crossBetween val="midCat"/>
        <c:majorUnit val="0.25"/>
        <c:minorUnit val="0.0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7788027643333577"/>
          <c:y val="2.4305555555555556E-2"/>
          <c:w val="0.11059909942449853"/>
          <c:h val="0.291667760279964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&amp;F</c:oddHeader>
      <c:oddFooter>Page &amp;P</c:oddFooter>
    </c:headerFooter>
    <c:pageMargins b="1" l="0.75000000000000189" r="0.75000000000000189" t="1" header="0.5" footer="0.5"/>
    <c:pageSetup paperSize="9" orientation="landscape" horizontalDpi="-4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SimpleBox dynamic output - Arctic </a:t>
            </a:r>
          </a:p>
        </c:rich>
      </c:tx>
      <c:layout>
        <c:manualLayout>
          <c:xMode val="edge"/>
          <c:yMode val="edge"/>
          <c:x val="0.30184329023092293"/>
          <c:y val="3.11418685121107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66931541814154"/>
          <c:y val="0.12110747105365872"/>
          <c:w val="0.7888145633171999"/>
          <c:h val="0.71020059992500939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dynamicR!$AD$19</c:f>
              <c:strCache>
                <c:ptCount val="1"/>
                <c:pt idx="0">
                  <c:v>aA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dynamicR!$AD$21:$AD$120</c:f>
              <c:numCache>
                <c:formatCode>0.00</c:formatCode>
                <c:ptCount val="100"/>
                <c:pt idx="0">
                  <c:v>9.3375312447675218E-3</c:v>
                </c:pt>
                <c:pt idx="1">
                  <c:v>5.9959664771936635E-2</c:v>
                </c:pt>
                <c:pt idx="2">
                  <c:v>0.14340930132164717</c:v>
                </c:pt>
                <c:pt idx="3">
                  <c:v>0.2370655889172866</c:v>
                </c:pt>
                <c:pt idx="4">
                  <c:v>0.3265374203239419</c:v>
                </c:pt>
                <c:pt idx="5">
                  <c:v>0.40604398518991475</c:v>
                </c:pt>
                <c:pt idx="6">
                  <c:v>0.47459462662950741</c:v>
                </c:pt>
                <c:pt idx="7">
                  <c:v>0.53315665401948231</c:v>
                </c:pt>
                <c:pt idx="8">
                  <c:v>0.58322213343922769</c:v>
                </c:pt>
                <c:pt idx="9">
                  <c:v>0.62623260369430434</c:v>
                </c:pt>
                <c:pt idx="10">
                  <c:v>0.66340804686224197</c:v>
                </c:pt>
                <c:pt idx="11">
                  <c:v>0.69573419091920552</c:v>
                </c:pt>
                <c:pt idx="12">
                  <c:v>0.72400030995490217</c:v>
                </c:pt>
                <c:pt idx="13">
                  <c:v>0.74883872411124075</c:v>
                </c:pt>
                <c:pt idx="14">
                  <c:v>0.77076261523159995</c:v>
                </c:pt>
                <c:pt idx="15">
                  <c:v>0.79019287693551288</c:v>
                </c:pt>
                <c:pt idx="16">
                  <c:v>0.80747765499215696</c:v>
                </c:pt>
                <c:pt idx="17">
                  <c:v>0.82290809610876081</c:v>
                </c:pt>
                <c:pt idx="18">
                  <c:v>0.83672909902422909</c:v>
                </c:pt>
                <c:pt idx="19">
                  <c:v>0.84914798400220104</c:v>
                </c:pt>
                <c:pt idx="20">
                  <c:v>0.86034089550148141</c:v>
                </c:pt>
                <c:pt idx="21">
                  <c:v>0.87045825087844519</c:v>
                </c:pt>
                <c:pt idx="22">
                  <c:v>0.8796288046181675</c:v>
                </c:pt>
                <c:pt idx="23">
                  <c:v>0.8879633954550239</c:v>
                </c:pt>
                <c:pt idx="24">
                  <c:v>0.8955575588059087</c:v>
                </c:pt>
                <c:pt idx="25">
                  <c:v>0.90249368719628986</c:v>
                </c:pt>
                <c:pt idx="26">
                  <c:v>0.90884322068100165</c:v>
                </c:pt>
                <c:pt idx="27">
                  <c:v>0.91466833902772626</c:v>
                </c:pt>
                <c:pt idx="28">
                  <c:v>0.92002327290449548</c:v>
                </c:pt>
                <c:pt idx="29">
                  <c:v>0.92495539833717633</c:v>
                </c:pt>
                <c:pt idx="30">
                  <c:v>0.92950622736944077</c:v>
                </c:pt>
                <c:pt idx="31">
                  <c:v>0.93371227413174263</c:v>
                </c:pt>
                <c:pt idx="32">
                  <c:v>0.937605763038874</c:v>
                </c:pt>
                <c:pt idx="33">
                  <c:v>0.94121520404532777</c:v>
                </c:pt>
                <c:pt idx="34">
                  <c:v>0.94456588452580437</c:v>
                </c:pt>
                <c:pt idx="35">
                  <c:v>0.94768030243215284</c:v>
                </c:pt>
                <c:pt idx="36">
                  <c:v>0.95057853949897519</c:v>
                </c:pt>
                <c:pt idx="37">
                  <c:v>0.95327857374091285</c:v>
                </c:pt>
                <c:pt idx="38">
                  <c:v>0.9557965422385466</c:v>
                </c:pt>
                <c:pt idx="39">
                  <c:v>0.95814696782159647</c:v>
                </c:pt>
                <c:pt idx="40">
                  <c:v>0.96034295663871272</c:v>
                </c:pt>
                <c:pt idx="41">
                  <c:v>0.96239636846567445</c:v>
                </c:pt>
                <c:pt idx="42">
                  <c:v>0.96431796210590426</c:v>
                </c:pt>
                <c:pt idx="43">
                  <c:v>0.96611752029114739</c:v>
                </c:pt>
                <c:pt idx="44">
                  <c:v>0.96780395830911703</c:v>
                </c:pt>
                <c:pt idx="45">
                  <c:v>0.96938541885088014</c:v>
                </c:pt>
                <c:pt idx="46">
                  <c:v>0.9708693545108229</c:v>
                </c:pt>
                <c:pt idx="47">
                  <c:v>0.97226259945782834</c:v>
                </c:pt>
                <c:pt idx="48">
                  <c:v>0.97357143203037599</c:v>
                </c:pt>
                <c:pt idx="49">
                  <c:v>0.97357143203037599</c:v>
                </c:pt>
                <c:pt idx="50">
                  <c:v>0.96546409366405206</c:v>
                </c:pt>
                <c:pt idx="51">
                  <c:v>0.91599883165484541</c:v>
                </c:pt>
                <c:pt idx="52">
                  <c:v>0.83363772121197977</c:v>
                </c:pt>
                <c:pt idx="53">
                  <c:v>0.74100606535625524</c:v>
                </c:pt>
                <c:pt idx="54">
                  <c:v>0.65249924150562999</c:v>
                </c:pt>
                <c:pt idx="55">
                  <c:v>0.57390182036881121</c:v>
                </c:pt>
                <c:pt idx="56">
                  <c:v>0.50620831003191624</c:v>
                </c:pt>
                <c:pt idx="57">
                  <c:v>0.44845466566098902</c:v>
                </c:pt>
                <c:pt idx="58">
                  <c:v>0.39915189218889957</c:v>
                </c:pt>
                <c:pt idx="59">
                  <c:v>0.35686144373255957</c:v>
                </c:pt>
                <c:pt idx="60">
                  <c:v>0.32036598781754544</c:v>
                </c:pt>
                <c:pt idx="61">
                  <c:v>0.28868183685169158</c:v>
                </c:pt>
                <c:pt idx="62">
                  <c:v>0.26102308342623309</c:v>
                </c:pt>
                <c:pt idx="63">
                  <c:v>0.23675878512555507</c:v>
                </c:pt>
                <c:pt idx="64">
                  <c:v>0.21537781842993878</c:v>
                </c:pt>
                <c:pt idx="65">
                  <c:v>0.19646190888893636</c:v>
                </c:pt>
                <c:pt idx="66">
                  <c:v>0.17966401122131989</c:v>
                </c:pt>
                <c:pt idx="67">
                  <c:v>0.16469484773136839</c:v>
                </c:pt>
                <c:pt idx="68">
                  <c:v>0.15131123118339182</c:v>
                </c:pt>
                <c:pt idx="69">
                  <c:v>0.13930708751770696</c:v>
                </c:pt>
                <c:pt idx="70">
                  <c:v>0.12850764388565905</c:v>
                </c:pt>
                <c:pt idx="71">
                  <c:v>0.11876372634897432</c:v>
                </c:pt>
                <c:pt idx="72">
                  <c:v>0.1099477459733566</c:v>
                </c:pt>
                <c:pt idx="73">
                  <c:v>0.10195005856962989</c:v>
                </c:pt>
                <c:pt idx="74">
                  <c:v>9.4676292905434958E-2</c:v>
                </c:pt>
                <c:pt idx="75">
                  <c:v>8.8044955883027173E-2</c:v>
                </c:pt>
                <c:pt idx="76">
                  <c:v>8.1985478196337003E-2</c:v>
                </c:pt>
                <c:pt idx="77">
                  <c:v>7.643657827877974E-2</c:v>
                </c:pt>
                <c:pt idx="78">
                  <c:v>7.1344838248782919E-2</c:v>
                </c:pt>
                <c:pt idx="79">
                  <c:v>6.6663615569856241E-2</c:v>
                </c:pt>
                <c:pt idx="80">
                  <c:v>6.2352269647803486E-2</c:v>
                </c:pt>
                <c:pt idx="81">
                  <c:v>5.837472086014589E-2</c:v>
                </c:pt>
                <c:pt idx="82">
                  <c:v>5.4699476229805824E-2</c:v>
                </c:pt>
                <c:pt idx="83">
                  <c:v>5.1298590007201168E-2</c:v>
                </c:pt>
                <c:pt idx="84">
                  <c:v>4.8147332868050528E-2</c:v>
                </c:pt>
                <c:pt idx="85">
                  <c:v>4.5223715882413425E-2</c:v>
                </c:pt>
                <c:pt idx="86">
                  <c:v>4.2508150236666445E-2</c:v>
                </c:pt>
                <c:pt idx="87">
                  <c:v>3.998309490195108E-2</c:v>
                </c:pt>
                <c:pt idx="88">
                  <c:v>3.7632871106394211E-2</c:v>
                </c:pt>
                <c:pt idx="89">
                  <c:v>3.5443330151913484E-2</c:v>
                </c:pt>
                <c:pt idx="90">
                  <c:v>3.3401743585087122E-2</c:v>
                </c:pt>
                <c:pt idx="91">
                  <c:v>3.1496614826390809E-2</c:v>
                </c:pt>
                <c:pt idx="92">
                  <c:v>2.9717523910911772E-2</c:v>
                </c:pt>
                <c:pt idx="93">
                  <c:v>2.8054991111270564E-2</c:v>
                </c:pt>
                <c:pt idx="94">
                  <c:v>2.6500370442516449E-2</c:v>
                </c:pt>
                <c:pt idx="95">
                  <c:v>2.504580772939596E-2</c:v>
                </c:pt>
                <c:pt idx="96">
                  <c:v>2.368413115639758E-2</c:v>
                </c:pt>
                <c:pt idx="97">
                  <c:v>2.2408738690049945E-2</c:v>
                </c:pt>
                <c:pt idx="98">
                  <c:v>2.12135771818701E-2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8D-456E-BDB7-17B6775E7D66}"/>
            </c:ext>
          </c:extLst>
        </c:ser>
        <c:ser>
          <c:idx val="1"/>
          <c:order val="1"/>
          <c:tx>
            <c:strRef>
              <c:f>dynamicR!$AE$19</c:f>
              <c:strCache>
                <c:ptCount val="1"/>
                <c:pt idx="0">
                  <c:v>w2A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noFill/>
              <a:ln>
                <a:solidFill>
                  <a:srgbClr val="9933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dynamicR!$AE$21:$AE$120</c:f>
              <c:numCache>
                <c:formatCode>0.00</c:formatCode>
                <c:ptCount val="100"/>
                <c:pt idx="0">
                  <c:v>3.4720987336377021E-4</c:v>
                </c:pt>
                <c:pt idx="1">
                  <c:v>4.8585782276237182E-3</c:v>
                </c:pt>
                <c:pt idx="2">
                  <c:v>1.8508135576671254E-2</c:v>
                </c:pt>
                <c:pt idx="3">
                  <c:v>4.2572179298476016E-2</c:v>
                </c:pt>
                <c:pt idx="4">
                  <c:v>7.5378663383918521E-2</c:v>
                </c:pt>
                <c:pt idx="5">
                  <c:v>0.1141910431176543</c:v>
                </c:pt>
                <c:pt idx="6">
                  <c:v>0.15636155250474915</c:v>
                </c:pt>
                <c:pt idx="7">
                  <c:v>0.19977208903415794</c:v>
                </c:pt>
                <c:pt idx="8">
                  <c:v>0.24289413685083092</c:v>
                </c:pt>
                <c:pt idx="9">
                  <c:v>0.28470208458207963</c:v>
                </c:pt>
                <c:pt idx="10">
                  <c:v>0.32455498724520221</c:v>
                </c:pt>
                <c:pt idx="11">
                  <c:v>0.36208943301174346</c:v>
                </c:pt>
                <c:pt idx="12">
                  <c:v>0.39713503634603492</c:v>
                </c:pt>
                <c:pt idx="13">
                  <c:v>0.42965361342681591</c:v>
                </c:pt>
                <c:pt idx="14">
                  <c:v>0.45969350396862491</c:v>
                </c:pt>
                <c:pt idx="15">
                  <c:v>0.48735827763589595</c:v>
                </c:pt>
                <c:pt idx="16">
                  <c:v>0.51278481609800219</c:v>
                </c:pt>
                <c:pt idx="17">
                  <c:v>0.5361275073431353</c:v>
                </c:pt>
                <c:pt idx="18">
                  <c:v>0.5575478265856294</c:v>
                </c:pt>
                <c:pt idx="19">
                  <c:v>0.57720697726626635</c:v>
                </c:pt>
                <c:pt idx="20">
                  <c:v>0.59526133258408054</c:v>
                </c:pt>
                <c:pt idx="21">
                  <c:v>0.61185926933904222</c:v>
                </c:pt>
                <c:pt idx="22">
                  <c:v>0.6271395022998304</c:v>
                </c:pt>
                <c:pt idx="23">
                  <c:v>0.64123007149473266</c:v>
                </c:pt>
                <c:pt idx="24">
                  <c:v>0.65424825424011535</c:v>
                </c:pt>
                <c:pt idx="25">
                  <c:v>0.66630077606038196</c:v>
                </c:pt>
                <c:pt idx="26">
                  <c:v>0.67748408239449398</c:v>
                </c:pt>
                <c:pt idx="27">
                  <c:v>0.68788491877764602</c:v>
                </c:pt>
                <c:pt idx="28">
                  <c:v>0.6975810813822122</c:v>
                </c:pt>
                <c:pt idx="29">
                  <c:v>0.70664218456516226</c:v>
                </c:pt>
                <c:pt idx="30">
                  <c:v>0.71513037380729483</c:v>
                </c:pt>
                <c:pt idx="31">
                  <c:v>0.72310101336899124</c:v>
                </c:pt>
                <c:pt idx="32">
                  <c:v>0.73060337208451487</c:v>
                </c:pt>
                <c:pt idx="33">
                  <c:v>0.73768128205722405</c:v>
                </c:pt>
                <c:pt idx="34">
                  <c:v>0.74437373644263938</c:v>
                </c:pt>
                <c:pt idx="35">
                  <c:v>0.75071542173289674</c:v>
                </c:pt>
                <c:pt idx="36">
                  <c:v>0.75673719991531918</c:v>
                </c:pt>
                <c:pt idx="37">
                  <c:v>0.76246654978627404</c:v>
                </c:pt>
                <c:pt idx="38">
                  <c:v>0.76792796469993108</c:v>
                </c:pt>
                <c:pt idx="39">
                  <c:v>0.77314330369130002</c:v>
                </c:pt>
                <c:pt idx="40">
                  <c:v>0.77813210005676792</c:v>
                </c:pt>
                <c:pt idx="41">
                  <c:v>0.78291183475823067</c:v>
                </c:pt>
                <c:pt idx="42">
                  <c:v>0.78749817938342836</c:v>
                </c:pt>
                <c:pt idx="43">
                  <c:v>0.79190521042620488</c:v>
                </c:pt>
                <c:pt idx="44">
                  <c:v>0.79614559674732133</c:v>
                </c:pt>
                <c:pt idx="45">
                  <c:v>0.80023076351815581</c:v>
                </c:pt>
                <c:pt idx="46">
                  <c:v>0.80417103619279573</c:v>
                </c:pt>
                <c:pt idx="47">
                  <c:v>0.80797576706477792</c:v>
                </c:pt>
                <c:pt idx="48">
                  <c:v>0.81165344615111246</c:v>
                </c:pt>
                <c:pt idx="49">
                  <c:v>0.81165344615111246</c:v>
                </c:pt>
                <c:pt idx="50">
                  <c:v>0.81486458975227405</c:v>
                </c:pt>
                <c:pt idx="51">
                  <c:v>0.81379929100564941</c:v>
                </c:pt>
                <c:pt idx="52">
                  <c:v>0.80348996244066395</c:v>
                </c:pt>
                <c:pt idx="53">
                  <c:v>0.78266618837096813</c:v>
                </c:pt>
                <c:pt idx="54">
                  <c:v>0.75300544567888383</c:v>
                </c:pt>
                <c:pt idx="55">
                  <c:v>0.71724925723462762</c:v>
                </c:pt>
                <c:pt idx="56">
                  <c:v>0.67804993929038349</c:v>
                </c:pt>
                <c:pt idx="57">
                  <c:v>0.63752989526701453</c:v>
                </c:pt>
                <c:pt idx="58">
                  <c:v>0.59722155675457833</c:v>
                </c:pt>
                <c:pt idx="59">
                  <c:v>0.55815405478075897</c:v>
                </c:pt>
                <c:pt idx="60">
                  <c:v>0.52097190822130501</c:v>
                </c:pt>
                <c:pt idx="61">
                  <c:v>0.48604175272594918</c:v>
                </c:pt>
                <c:pt idx="62">
                  <c:v>0.45353643207836086</c:v>
                </c:pt>
                <c:pt idx="63">
                  <c:v>0.42349727001418958</c:v>
                </c:pt>
                <c:pt idx="64">
                  <c:v>0.39587839507317923</c:v>
                </c:pt>
                <c:pt idx="65">
                  <c:v>0.37057858053565196</c:v>
                </c:pt>
                <c:pt idx="66">
                  <c:v>0.34746324992222188</c:v>
                </c:pt>
                <c:pt idx="67">
                  <c:v>0.32638004975773982</c:v>
                </c:pt>
                <c:pt idx="68">
                  <c:v>0.30716971092698869</c:v>
                </c:pt>
                <c:pt idx="69">
                  <c:v>0.28967263563892709</c:v>
                </c:pt>
                <c:pt idx="70">
                  <c:v>0.27373432991752089</c:v>
                </c:pt>
                <c:pt idx="71">
                  <c:v>0.25920803399331938</c:v>
                </c:pt>
                <c:pt idx="72">
                  <c:v>0.24595668214418467</c:v>
                </c:pt>
                <c:pt idx="73">
                  <c:v>0.23385357436683299</c:v>
                </c:pt>
                <c:pt idx="74">
                  <c:v>0.22278279038011217</c:v>
                </c:pt>
                <c:pt idx="75">
                  <c:v>0.21263900780401035</c:v>
                </c:pt>
                <c:pt idx="76">
                  <c:v>0.20332707366292538</c:v>
                </c:pt>
                <c:pt idx="77">
                  <c:v>0.19476141627389232</c:v>
                </c:pt>
                <c:pt idx="78">
                  <c:v>0.1868652826632296</c:v>
                </c:pt>
                <c:pt idx="79">
                  <c:v>0.17957009630976711</c:v>
                </c:pt>
                <c:pt idx="80">
                  <c:v>0.17281503999441813</c:v>
                </c:pt>
                <c:pt idx="81">
                  <c:v>0.16654539955535269</c:v>
                </c:pt>
                <c:pt idx="82">
                  <c:v>0.16071297427101536</c:v>
                </c:pt>
                <c:pt idx="83">
                  <c:v>0.15527476031689399</c:v>
                </c:pt>
                <c:pt idx="84">
                  <c:v>0.15019262107629522</c:v>
                </c:pt>
                <c:pt idx="85">
                  <c:v>0.14543267409729435</c:v>
                </c:pt>
                <c:pt idx="86">
                  <c:v>0.14096483952812769</c:v>
                </c:pt>
                <c:pt idx="87">
                  <c:v>0.13676233766315143</c:v>
                </c:pt>
                <c:pt idx="88">
                  <c:v>0.13280141862851008</c:v>
                </c:pt>
                <c:pt idx="89">
                  <c:v>0.12906085357041877</c:v>
                </c:pt>
                <c:pt idx="90">
                  <c:v>0.12552175545970959</c:v>
                </c:pt>
                <c:pt idx="91">
                  <c:v>0.1221672723369132</c:v>
                </c:pt>
                <c:pt idx="92">
                  <c:v>0.11898233287923872</c:v>
                </c:pt>
                <c:pt idx="93">
                  <c:v>0.11595341036136518</c:v>
                </c:pt>
                <c:pt idx="94">
                  <c:v>0.11306834076651677</c:v>
                </c:pt>
                <c:pt idx="95">
                  <c:v>0.11031624366548128</c:v>
                </c:pt>
                <c:pt idx="96">
                  <c:v>0.10768733196547747</c:v>
                </c:pt>
                <c:pt idx="97">
                  <c:v>0.10517271763186135</c:v>
                </c:pt>
                <c:pt idx="98">
                  <c:v>0.10276437046366764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8D-456E-BDB7-17B6775E7D66}"/>
            </c:ext>
          </c:extLst>
        </c:ser>
        <c:ser>
          <c:idx val="2"/>
          <c:order val="2"/>
          <c:tx>
            <c:strRef>
              <c:f>dynamicR!$AG$19</c:f>
              <c:strCache>
                <c:ptCount val="1"/>
                <c:pt idx="0">
                  <c:v>sdA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  <c:spPr>
              <a:solidFill>
                <a:srgbClr val="FFFF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dynamicR!$AG$20:$AG$120</c:f>
              <c:numCache>
                <c:formatCode>0.00</c:formatCode>
                <c:ptCount val="101"/>
                <c:pt idx="0">
                  <c:v>0</c:v>
                </c:pt>
                <c:pt idx="1">
                  <c:v>1.1939283632226801E-8</c:v>
                </c:pt>
                <c:pt idx="2">
                  <c:v>7.8611422831306065E-7</c:v>
                </c:pt>
                <c:pt idx="3">
                  <c:v>7.6891497770571106E-6</c:v>
                </c:pt>
                <c:pt idx="4">
                  <c:v>3.5265586104536705E-5</c:v>
                </c:pt>
                <c:pt idx="5">
                  <c:v>1.0799693510299947E-4</c:v>
                </c:pt>
                <c:pt idx="6">
                  <c:v>2.5788213409544728E-4</c:v>
                </c:pt>
                <c:pt idx="7">
                  <c:v>5.2097161626905571E-4</c:v>
                </c:pt>
                <c:pt idx="8">
                  <c:v>9.3419062806416697E-4</c:v>
                </c:pt>
                <c:pt idx="9">
                  <c:v>1.532941054574747E-3</c:v>
                </c:pt>
                <c:pt idx="10">
                  <c:v>2.349512813161995E-3</c:v>
                </c:pt>
                <c:pt idx="11">
                  <c:v>3.412159357280624E-3</c:v>
                </c:pt>
                <c:pt idx="12">
                  <c:v>4.7446445059499904E-3</c:v>
                </c:pt>
                <c:pt idx="13">
                  <c:v>6.3662015692560947E-3</c:v>
                </c:pt>
                <c:pt idx="14">
                  <c:v>8.2915945949337388E-3</c:v>
                </c:pt>
                <c:pt idx="15">
                  <c:v>1.0531432477481133E-2</c:v>
                </c:pt>
                <c:pt idx="16">
                  <c:v>1.3092517151185003E-2</c:v>
                </c:pt>
                <c:pt idx="17">
                  <c:v>1.5978198596113265E-2</c:v>
                </c:pt>
                <c:pt idx="18">
                  <c:v>1.9188806554335962E-2</c:v>
                </c:pt>
                <c:pt idx="19">
                  <c:v>2.2722029040454998E-2</c:v>
                </c:pt>
                <c:pt idx="20">
                  <c:v>2.6573290944202365E-2</c:v>
                </c:pt>
                <c:pt idx="21">
                  <c:v>3.0736093976891865E-2</c:v>
                </c:pt>
                <c:pt idx="22">
                  <c:v>3.5202344936709977E-2</c:v>
                </c:pt>
                <c:pt idx="23">
                  <c:v>3.996263429991314E-2</c:v>
                </c:pt>
                <c:pt idx="24">
                  <c:v>4.500651492027833E-2</c:v>
                </c:pt>
                <c:pt idx="25">
                  <c:v>5.0322718765445931E-2</c:v>
                </c:pt>
                <c:pt idx="26">
                  <c:v>5.5899343284265469E-2</c:v>
                </c:pt>
                <c:pt idx="27">
                  <c:v>6.1724039928272682E-2</c:v>
                </c:pt>
                <c:pt idx="28">
                  <c:v>6.778416998133717E-2</c:v>
                </c:pt>
                <c:pt idx="29">
                  <c:v>7.4066931507125233E-2</c:v>
                </c:pt>
                <c:pt idx="30">
                  <c:v>8.0559465824527221E-2</c:v>
                </c:pt>
                <c:pt idx="31">
                  <c:v>8.7248951172065672E-2</c:v>
                </c:pt>
                <c:pt idx="32">
                  <c:v>9.4122683544834135E-2</c:v>
                </c:pt>
                <c:pt idx="33">
                  <c:v>0.10116814292066388</c:v>
                </c:pt>
                <c:pt idx="34">
                  <c:v>0.10837304606139771</c:v>
                </c:pt>
                <c:pt idx="35">
                  <c:v>0.11572538907092278</c:v>
                </c:pt>
                <c:pt idx="36">
                  <c:v>0.12321348202422865</c:v>
                </c:pt>
                <c:pt idx="37">
                  <c:v>0.13082597641387714</c:v>
                </c:pt>
                <c:pt idx="38">
                  <c:v>0.13855188578818223</c:v>
                </c:pt>
                <c:pt idx="39">
                  <c:v>0.14638060046558601</c:v>
                </c:pt>
                <c:pt idx="40">
                  <c:v>0.15430189748789225</c:v>
                </c:pt>
                <c:pt idx="41">
                  <c:v>0.16230594670926879</c:v>
                </c:pt>
                <c:pt idx="42">
                  <c:v>0.17038331355222783</c:v>
                </c:pt>
                <c:pt idx="43">
                  <c:v>0.17852495884692673</c:v>
                </c:pt>
                <c:pt idx="44">
                  <c:v>0.18672223622524403</c:v>
                </c:pt>
                <c:pt idx="45">
                  <c:v>0.19496688754861835</c:v>
                </c:pt>
                <c:pt idx="46">
                  <c:v>0.20325103675628625</c:v>
                </c:pt>
                <c:pt idx="47">
                  <c:v>0.21156718241806394</c:v>
                </c:pt>
                <c:pt idx="48">
                  <c:v>0.21990818922826494</c:v>
                </c:pt>
                <c:pt idx="49">
                  <c:v>0.22826727866534882</c:v>
                </c:pt>
                <c:pt idx="50">
                  <c:v>0.22826727866534882</c:v>
                </c:pt>
                <c:pt idx="51">
                  <c:v>0.2366380071642506</c:v>
                </c:pt>
                <c:pt idx="52">
                  <c:v>0.2450135289744004</c:v>
                </c:pt>
                <c:pt idx="53">
                  <c:v>0.2533827077941686</c:v>
                </c:pt>
                <c:pt idx="54">
                  <c:v>0.26172554404819615</c:v>
                </c:pt>
                <c:pt idx="55">
                  <c:v>0.27001240478125232</c:v>
                </c:pt>
                <c:pt idx="56">
                  <c:v>0.27820643191171401</c:v>
                </c:pt>
                <c:pt idx="57">
                  <c:v>0.28626699760094004</c:v>
                </c:pt>
                <c:pt idx="58">
                  <c:v>0.29415286936076079</c:v>
                </c:pt>
                <c:pt idx="59">
                  <c:v>0.30182459735212525</c:v>
                </c:pt>
                <c:pt idx="60">
                  <c:v>0.30924609388958552</c:v>
                </c:pt>
                <c:pt idx="61">
                  <c:v>0.31638554714974321</c:v>
                </c:pt>
                <c:pt idx="62">
                  <c:v>0.32321584677993742</c:v>
                </c:pt>
                <c:pt idx="63">
                  <c:v>0.32971467169219337</c:v>
                </c:pt>
                <c:pt idx="64">
                  <c:v>0.33586433368828622</c:v>
                </c:pt>
                <c:pt idx="65">
                  <c:v>0.34165151503515395</c:v>
                </c:pt>
                <c:pt idx="66">
                  <c:v>0.34706692140146123</c:v>
                </c:pt>
                <c:pt idx="67">
                  <c:v>0.35210484674351739</c:v>
                </c:pt>
                <c:pt idx="68">
                  <c:v>0.35676280889219464</c:v>
                </c:pt>
                <c:pt idx="69">
                  <c:v>0.36104111584029464</c:v>
                </c:pt>
                <c:pt idx="70">
                  <c:v>0.36494250773744813</c:v>
                </c:pt>
                <c:pt idx="71">
                  <c:v>0.36847178634877509</c:v>
                </c:pt>
                <c:pt idx="72">
                  <c:v>0.37163549749692643</c:v>
                </c:pt>
                <c:pt idx="73">
                  <c:v>0.37444162564245453</c:v>
                </c:pt>
                <c:pt idx="74">
                  <c:v>0.37689933786908669</c:v>
                </c:pt>
                <c:pt idx="75">
                  <c:v>0.37901874562206322</c:v>
                </c:pt>
                <c:pt idx="76">
                  <c:v>0.3808106947075704</c:v>
                </c:pt>
                <c:pt idx="77">
                  <c:v>0.38228658709149005</c:v>
                </c:pt>
                <c:pt idx="78">
                  <c:v>0.38345822109461991</c:v>
                </c:pt>
                <c:pt idx="79">
                  <c:v>0.38433766861086177</c:v>
                </c:pt>
                <c:pt idx="80">
                  <c:v>0.38493715483581065</c:v>
                </c:pt>
                <c:pt idx="81">
                  <c:v>0.38526887706657387</c:v>
                </c:pt>
                <c:pt idx="82">
                  <c:v>0.38534513083851524</c:v>
                </c:pt>
                <c:pt idx="83">
                  <c:v>0.3851780036770609</c:v>
                </c:pt>
                <c:pt idx="84">
                  <c:v>0.3847794637530384</c:v>
                </c:pt>
                <c:pt idx="85">
                  <c:v>0.38416125607040719</c:v>
                </c:pt>
                <c:pt idx="86">
                  <c:v>0.38333488069088029</c:v>
                </c:pt>
                <c:pt idx="87">
                  <c:v>0.38231155091157082</c:v>
                </c:pt>
                <c:pt idx="88">
                  <c:v>0.38110219394803135</c:v>
                </c:pt>
                <c:pt idx="89">
                  <c:v>0.37971738418260675</c:v>
                </c:pt>
                <c:pt idx="90">
                  <c:v>0.37816739658096021</c:v>
                </c:pt>
                <c:pt idx="91">
                  <c:v>0.37646214475353967</c:v>
                </c:pt>
                <c:pt idx="92">
                  <c:v>0.37461118408011029</c:v>
                </c:pt>
                <c:pt idx="93">
                  <c:v>0.37262372569484087</c:v>
                </c:pt>
                <c:pt idx="94">
                  <c:v>0.37050862888265607</c:v>
                </c:pt>
                <c:pt idx="95">
                  <c:v>0.36827441020718599</c:v>
                </c:pt>
                <c:pt idx="96">
                  <c:v>0.36592922566069225</c:v>
                </c:pt>
                <c:pt idx="97">
                  <c:v>0.36348088336795692</c:v>
                </c:pt>
                <c:pt idx="98">
                  <c:v>0.36093686750081599</c:v>
                </c:pt>
                <c:pt idx="99">
                  <c:v>0.35830433266636852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8D-456E-BDB7-17B6775E7D66}"/>
            </c:ext>
          </c:extLst>
        </c:ser>
        <c:ser>
          <c:idx val="3"/>
          <c:order val="3"/>
          <c:tx>
            <c:strRef>
              <c:f>dynamicR!$AH$19</c:f>
              <c:strCache>
                <c:ptCount val="1"/>
                <c:pt idx="0">
                  <c:v>sA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3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dynamicR!$AH$20:$AH$120</c:f>
              <c:numCache>
                <c:formatCode>0.00</c:formatCode>
                <c:ptCount val="101"/>
                <c:pt idx="0">
                  <c:v>0</c:v>
                </c:pt>
                <c:pt idx="1">
                  <c:v>5.5067172237728731E-5</c:v>
                </c:pt>
                <c:pt idx="2">
                  <c:v>8.0211697620684395E-4</c:v>
                </c:pt>
                <c:pt idx="3">
                  <c:v>3.1928625860784855E-3</c:v>
                </c:pt>
                <c:pt idx="4">
                  <c:v>7.6972458738023639E-3</c:v>
                </c:pt>
                <c:pt idx="5">
                  <c:v>1.4315758569700561E-2</c:v>
                </c:pt>
                <c:pt idx="6">
                  <c:v>2.281352955603512E-2</c:v>
                </c:pt>
                <c:pt idx="7">
                  <c:v>3.2887316129116516E-2</c:v>
                </c:pt>
                <c:pt idx="8">
                  <c:v>4.4245107008547294E-2</c:v>
                </c:pt>
                <c:pt idx="9">
                  <c:v>5.6633350027711409E-2</c:v>
                </c:pt>
                <c:pt idx="10">
                  <c:v>6.9840508752788868E-2</c:v>
                </c:pt>
                <c:pt idx="11">
                  <c:v>8.3692286726368928E-2</c:v>
                </c:pt>
                <c:pt idx="12">
                  <c:v>9.8045155214038893E-2</c:v>
                </c:pt>
                <c:pt idx="13">
                  <c:v>0.11278010867613986</c:v>
                </c:pt>
                <c:pt idx="14">
                  <c:v>0.12779821132072969</c:v>
                </c:pt>
                <c:pt idx="15">
                  <c:v>0.14301654506506153</c:v>
                </c:pt>
                <c:pt idx="16">
                  <c:v>0.15836534703681357</c:v>
                </c:pt>
                <c:pt idx="17">
                  <c:v>0.17378582741405654</c:v>
                </c:pt>
                <c:pt idx="18">
                  <c:v>0.18922823501777916</c:v>
                </c:pt>
                <c:pt idx="19">
                  <c:v>0.20465045534641491</c:v>
                </c:pt>
                <c:pt idx="20">
                  <c:v>0.22001680218232764</c:v>
                </c:pt>
                <c:pt idx="21">
                  <c:v>0.23529706808931133</c:v>
                </c:pt>
                <c:pt idx="22">
                  <c:v>0.25046568303435557</c:v>
                </c:pt>
                <c:pt idx="23">
                  <c:v>0.26550105966255283</c:v>
                </c:pt>
                <c:pt idx="24">
                  <c:v>0.28038497276797153</c:v>
                </c:pt>
                <c:pt idx="25">
                  <c:v>0.29510211015224397</c:v>
                </c:pt>
                <c:pt idx="26">
                  <c:v>0.30963969550618442</c:v>
                </c:pt>
                <c:pt idx="27">
                  <c:v>0.3239871053620566</c:v>
                </c:pt>
                <c:pt idx="28">
                  <c:v>0.33813556401312383</c:v>
                </c:pt>
                <c:pt idx="29">
                  <c:v>0.35207790025199504</c:v>
                </c:pt>
                <c:pt idx="30">
                  <c:v>0.36580834143654284</c:v>
                </c:pt>
                <c:pt idx="31">
                  <c:v>0.37932232663974946</c:v>
                </c:pt>
                <c:pt idx="32">
                  <c:v>0.39261634119797306</c:v>
                </c:pt>
                <c:pt idx="33">
                  <c:v>0.40568777781466669</c:v>
                </c:pt>
                <c:pt idx="34">
                  <c:v>0.41853482078955323</c:v>
                </c:pt>
                <c:pt idx="35">
                  <c:v>0.43115634569409855</c:v>
                </c:pt>
                <c:pt idx="36">
                  <c:v>0.44355183020981592</c:v>
                </c:pt>
                <c:pt idx="37">
                  <c:v>0.45572127592652273</c:v>
                </c:pt>
                <c:pt idx="38">
                  <c:v>0.46766514114657354</c:v>
                </c:pt>
                <c:pt idx="39">
                  <c:v>0.47938428302551095</c:v>
                </c:pt>
                <c:pt idx="40">
                  <c:v>0.49087990683735727</c:v>
                </c:pt>
                <c:pt idx="41">
                  <c:v>0.50215352106866484</c:v>
                </c:pt>
                <c:pt idx="42">
                  <c:v>0.51320689789122853</c:v>
                </c:pt>
                <c:pt idx="43">
                  <c:v>0.52404203858438225</c:v>
                </c:pt>
                <c:pt idx="44">
                  <c:v>0.53466114318048286</c:v>
                </c:pt>
                <c:pt idx="45">
                  <c:v>0.54506658359413129</c:v>
                </c:pt>
                <c:pt idx="46">
                  <c:v>0.55526087974486804</c:v>
                </c:pt>
                <c:pt idx="47">
                  <c:v>0.56524667837255949</c:v>
                </c:pt>
                <c:pt idx="48">
                  <c:v>0.57502673426022466</c:v>
                </c:pt>
                <c:pt idx="49">
                  <c:v>0.58460389354587916</c:v>
                </c:pt>
                <c:pt idx="50">
                  <c:v>0.58460389354587916</c:v>
                </c:pt>
                <c:pt idx="51">
                  <c:v>0.59392601128404732</c:v>
                </c:pt>
                <c:pt idx="52">
                  <c:v>0.60235915826082298</c:v>
                </c:pt>
                <c:pt idx="53">
                  <c:v>0.60895465872271215</c:v>
                </c:pt>
                <c:pt idx="54">
                  <c:v>0.61324564699835626</c:v>
                </c:pt>
                <c:pt idx="55">
                  <c:v>0.61523474198516692</c:v>
                </c:pt>
                <c:pt idx="56">
                  <c:v>0.61515994750315073</c:v>
                </c:pt>
                <c:pt idx="57">
                  <c:v>0.61332764624347103</c:v>
                </c:pt>
                <c:pt idx="58">
                  <c:v>0.61003300995255938</c:v>
                </c:pt>
                <c:pt idx="59">
                  <c:v>0.60553274749226216</c:v>
                </c:pt>
                <c:pt idx="60">
                  <c:v>0.60004153703041962</c:v>
                </c:pt>
                <c:pt idx="61">
                  <c:v>0.59373682070271239</c:v>
                </c:pt>
                <c:pt idx="62">
                  <c:v>0.58676533059829172</c:v>
                </c:pt>
                <c:pt idx="63">
                  <c:v>0.57924904530905508</c:v>
                </c:pt>
                <c:pt idx="64">
                  <c:v>0.57129010769237643</c:v>
                </c:pt>
                <c:pt idx="65">
                  <c:v>0.56297450942873895</c:v>
                </c:pt>
                <c:pt idx="66">
                  <c:v>0.55437494158860035</c:v>
                </c:pt>
                <c:pt idx="67">
                  <c:v>0.54555331905851989</c:v>
                </c:pt>
                <c:pt idx="68">
                  <c:v>0.53656234639007294</c:v>
                </c:pt>
                <c:pt idx="69">
                  <c:v>0.52744705679917436</c:v>
                </c:pt>
                <c:pt idx="70">
                  <c:v>0.5182460952301795</c:v>
                </c:pt>
                <c:pt idx="71">
                  <c:v>0.50899254426576002</c:v>
                </c:pt>
                <c:pt idx="72">
                  <c:v>0.49971482249213944</c:v>
                </c:pt>
                <c:pt idx="73">
                  <c:v>0.49043732436181264</c:v>
                </c:pt>
                <c:pt idx="74">
                  <c:v>0.48118102936476881</c:v>
                </c:pt>
                <c:pt idx="75">
                  <c:v>0.47196395360909343</c:v>
                </c:pt>
                <c:pt idx="76">
                  <c:v>0.4628015675314725</c:v>
                </c:pt>
                <c:pt idx="77">
                  <c:v>0.45370714270736306</c:v>
                </c:pt>
                <c:pt idx="78">
                  <c:v>0.44469204782010591</c:v>
                </c:pt>
                <c:pt idx="79">
                  <c:v>0.43576601038644558</c:v>
                </c:pt>
                <c:pt idx="80">
                  <c:v>0.42693731928219814</c:v>
                </c:pt>
                <c:pt idx="81">
                  <c:v>0.41821297844985422</c:v>
                </c:pt>
                <c:pt idx="82">
                  <c:v>0.40959896911404847</c:v>
                </c:pt>
                <c:pt idx="83">
                  <c:v>0.40110026547396471</c:v>
                </c:pt>
                <c:pt idx="84">
                  <c:v>0.39272102873427667</c:v>
                </c:pt>
                <c:pt idx="85">
                  <c:v>0.38446468083303259</c:v>
                </c:pt>
                <c:pt idx="86">
                  <c:v>0.37633400159053709</c:v>
                </c:pt>
                <c:pt idx="87">
                  <c:v>0.36833120287498033</c:v>
                </c:pt>
                <c:pt idx="88">
                  <c:v>0.36045800050782145</c:v>
                </c:pt>
                <c:pt idx="89">
                  <c:v>0.35271566500889789</c:v>
                </c:pt>
                <c:pt idx="90">
                  <c:v>0.34510508299059967</c:v>
                </c:pt>
                <c:pt idx="91">
                  <c:v>0.33762679377380056</c:v>
                </c:pt>
                <c:pt idx="92">
                  <c:v>0.33028103286972305</c:v>
                </c:pt>
                <c:pt idx="93">
                  <c:v>0.32306776360781531</c:v>
                </c:pt>
                <c:pt idx="94">
                  <c:v>0.31598671682100798</c:v>
                </c:pt>
                <c:pt idx="95">
                  <c:v>0.30903741556607767</c:v>
                </c:pt>
                <c:pt idx="96">
                  <c:v>0.30221918703944106</c:v>
                </c:pt>
                <c:pt idx="97">
                  <c:v>0.29553119130192101</c:v>
                </c:pt>
                <c:pt idx="98">
                  <c:v>0.28897245116521947</c:v>
                </c:pt>
                <c:pt idx="99">
                  <c:v>0.28254185906371848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8D-456E-BDB7-17B6775E7D66}"/>
            </c:ext>
          </c:extLst>
        </c:ser>
        <c:ser>
          <c:idx val="4"/>
          <c:order val="4"/>
          <c:tx>
            <c:strRef>
              <c:f>dynamicR!$AF$19</c:f>
              <c:strCache>
                <c:ptCount val="1"/>
                <c:pt idx="0">
                  <c:v>w3A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dynamicR!$AF$20:$AF$120</c:f>
              <c:numCache>
                <c:formatCode>0.00</c:formatCode>
                <c:ptCount val="101"/>
                <c:pt idx="0">
                  <c:v>0</c:v>
                </c:pt>
                <c:pt idx="1">
                  <c:v>1.3044490560399683E-6</c:v>
                </c:pt>
                <c:pt idx="2">
                  <c:v>4.0203272235325375E-5</c:v>
                </c:pt>
                <c:pt idx="3">
                  <c:v>2.4892007469442623E-4</c:v>
                </c:pt>
                <c:pt idx="4">
                  <c:v>8.1960689488306073E-4</c:v>
                </c:pt>
                <c:pt idx="5">
                  <c:v>1.9335843825769694E-3</c:v>
                </c:pt>
                <c:pt idx="6">
                  <c:v>3.7234230847231048E-3</c:v>
                </c:pt>
                <c:pt idx="7">
                  <c:v>6.2658693787321432E-3</c:v>
                </c:pt>
                <c:pt idx="8">
                  <c:v>9.5897934748873561E-3</c:v>
                </c:pt>
                <c:pt idx="9">
                  <c:v>1.3688328342688393E-2</c:v>
                </c:pt>
                <c:pt idx="10">
                  <c:v>1.8530244039042208E-2</c:v>
                </c:pt>
                <c:pt idx="11">
                  <c:v>2.4068975746129224E-2</c:v>
                </c:pt>
                <c:pt idx="12">
                  <c:v>3.0249358755714221E-2</c:v>
                </c:pt>
                <c:pt idx="13">
                  <c:v>3.7012190865752484E-2</c:v>
                </c:pt>
                <c:pt idx="14">
                  <c:v>4.4297537183708297E-2</c:v>
                </c:pt>
                <c:pt idx="15">
                  <c:v>5.2046760956414258E-2</c:v>
                </c:pt>
                <c:pt idx="16">
                  <c:v>6.0203864207285254E-2</c:v>
                </c:pt>
                <c:pt idx="17">
                  <c:v>6.871631590515398E-2</c:v>
                </c:pt>
                <c:pt idx="18">
                  <c:v>7.7535425888457327E-2</c:v>
                </c:pt>
                <c:pt idx="19">
                  <c:v>8.6616514564285915E-2</c:v>
                </c:pt>
                <c:pt idx="20">
                  <c:v>9.5918898829202959E-2</c:v>
                </c:pt>
                <c:pt idx="21">
                  <c:v>0.10540576046097538</c:v>
                </c:pt>
                <c:pt idx="22">
                  <c:v>0.11504394367683655</c:v>
                </c:pt>
                <c:pt idx="23">
                  <c:v>0.12480371925386709</c:v>
                </c:pt>
                <c:pt idx="24">
                  <c:v>0.1346585055162218</c:v>
                </c:pt>
                <c:pt idx="25">
                  <c:v>0.14458460326342684</c:v>
                </c:pt>
                <c:pt idx="26">
                  <c:v>0.15456094542575494</c:v>
                </c:pt>
                <c:pt idx="27">
                  <c:v>0.1645688372189886</c:v>
                </c:pt>
                <c:pt idx="28">
                  <c:v>0.17459171365141601</c:v>
                </c:pt>
                <c:pt idx="29">
                  <c:v>0.18461491807368383</c:v>
                </c:pt>
                <c:pt idx="30">
                  <c:v>0.19462550183494048</c:v>
                </c:pt>
                <c:pt idx="31">
                  <c:v>0.2046120409025321</c:v>
                </c:pt>
                <c:pt idx="32">
                  <c:v>0.2145644679574622</c:v>
                </c:pt>
                <c:pt idx="33">
                  <c:v>0.22447392080400397</c:v>
                </c:pt>
                <c:pt idx="34">
                  <c:v>0.23433260746835743</c:v>
                </c:pt>
                <c:pt idx="35">
                  <c:v>0.24413368660752585</c:v>
                </c:pt>
                <c:pt idx="36">
                  <c:v>0.25387116105610369</c:v>
                </c:pt>
                <c:pt idx="37">
                  <c:v>0.26353978287692126</c:v>
                </c:pt>
                <c:pt idx="38">
                  <c:v>0.27313496903643214</c:v>
                </c:pt>
                <c:pt idx="39">
                  <c:v>0.28265272695754967</c:v>
                </c:pt>
                <c:pt idx="40">
                  <c:v>0.29208958890432335</c:v>
                </c:pt>
                <c:pt idx="41">
                  <c:v>0.30144255401119524</c:v>
                </c:pt>
                <c:pt idx="42">
                  <c:v>0.31070903696536972</c:v>
                </c:pt>
                <c:pt idx="43">
                  <c:v>0.31988682262332185</c:v>
                </c:pt>
                <c:pt idx="44">
                  <c:v>0.32897402595219283</c:v>
                </c:pt>
                <c:pt idx="45">
                  <c:v>0.33796905666859883</c:v>
                </c:pt>
                <c:pt idx="46">
                  <c:v>0.34687058795766845</c:v>
                </c:pt>
                <c:pt idx="47">
                  <c:v>0.35567752874700292</c:v>
                </c:pt>
                <c:pt idx="48">
                  <c:v>0.36438899911674039</c:v>
                </c:pt>
                <c:pt idx="49">
                  <c:v>0.37300430848604166</c:v>
                </c:pt>
                <c:pt idx="50">
                  <c:v>0.37300430848604166</c:v>
                </c:pt>
                <c:pt idx="51">
                  <c:v>0.3815216314119601</c:v>
                </c:pt>
                <c:pt idx="52">
                  <c:v>0.38990431058705644</c:v>
                </c:pt>
                <c:pt idx="53">
                  <c:v>0.39801989156332274</c:v>
                </c:pt>
                <c:pt idx="54">
                  <c:v>0.40567611592425418</c:v>
                </c:pt>
                <c:pt idx="55">
                  <c:v>0.41269166675433377</c:v>
                </c:pt>
                <c:pt idx="56">
                  <c:v>0.4189340791999126</c:v>
                </c:pt>
                <c:pt idx="57">
                  <c:v>0.42432680182779997</c:v>
                </c:pt>
                <c:pt idx="58">
                  <c:v>0.42884123875847974</c:v>
                </c:pt>
                <c:pt idx="59">
                  <c:v>0.43248460818805995</c:v>
                </c:pt>
                <c:pt idx="60">
                  <c:v>0.43528856142833333</c:v>
                </c:pt>
                <c:pt idx="61">
                  <c:v>0.43730012055948247</c:v>
                </c:pt>
                <c:pt idx="62">
                  <c:v>0.43857501827496093</c:v>
                </c:pt>
                <c:pt idx="63">
                  <c:v>0.43917299287327205</c:v>
                </c:pt>
                <c:pt idx="64">
                  <c:v>0.43915463229585899</c:v>
                </c:pt>
                <c:pt idx="65">
                  <c:v>0.43857924508611773</c:v>
                </c:pt>
                <c:pt idx="66">
                  <c:v>0.43750345724342915</c:v>
                </c:pt>
                <c:pt idx="67">
                  <c:v>0.4359805907454099</c:v>
                </c:pt>
                <c:pt idx="68">
                  <c:v>0.43406007947309927</c:v>
                </c:pt>
                <c:pt idx="69">
                  <c:v>0.43178733888090032</c:v>
                </c:pt>
                <c:pt idx="70">
                  <c:v>0.4292039086640469</c:v>
                </c:pt>
                <c:pt idx="71">
                  <c:v>0.42634741284095584</c:v>
                </c:pt>
                <c:pt idx="72">
                  <c:v>0.42325185429311712</c:v>
                </c:pt>
                <c:pt idx="73">
                  <c:v>0.41994780872611193</c:v>
                </c:pt>
                <c:pt idx="74">
                  <c:v>0.41646273249688887</c:v>
                </c:pt>
                <c:pt idx="75">
                  <c:v>0.41282119452547889</c:v>
                </c:pt>
                <c:pt idx="76">
                  <c:v>0.40904514790105556</c:v>
                </c:pt>
                <c:pt idx="77">
                  <c:v>0.40515418263975878</c:v>
                </c:pt>
                <c:pt idx="78">
                  <c:v>0.40116576231074258</c:v>
                </c:pt>
                <c:pt idx="79">
                  <c:v>0.39709545938894153</c:v>
                </c:pt>
                <c:pt idx="80">
                  <c:v>0.39295713947241623</c:v>
                </c:pt>
                <c:pt idx="81">
                  <c:v>0.38876308143649535</c:v>
                </c:pt>
                <c:pt idx="82">
                  <c:v>0.38452433327010099</c:v>
                </c:pt>
                <c:pt idx="83">
                  <c:v>0.3802506411517384</c:v>
                </c:pt>
                <c:pt idx="84">
                  <c:v>0.37595072026989107</c:v>
                </c:pt>
                <c:pt idx="85">
                  <c:v>0.37163232197549778</c:v>
                </c:pt>
                <c:pt idx="86">
                  <c:v>0.36730235519162469</c:v>
                </c:pt>
                <c:pt idx="87">
                  <c:v>0.36296697347527174</c:v>
                </c:pt>
                <c:pt idx="88">
                  <c:v>0.35863167172506205</c:v>
                </c:pt>
                <c:pt idx="89">
                  <c:v>0.35430133515843049</c:v>
                </c:pt>
                <c:pt idx="90">
                  <c:v>0.34998033748475404</c:v>
                </c:pt>
                <c:pt idx="91">
                  <c:v>0.34567257184655836</c:v>
                </c:pt>
                <c:pt idx="92">
                  <c:v>0.34138150857947752</c:v>
                </c:pt>
                <c:pt idx="93">
                  <c:v>0.33711024272995599</c:v>
                </c:pt>
                <c:pt idx="94">
                  <c:v>0.33286153915191968</c:v>
                </c:pt>
                <c:pt idx="95">
                  <c:v>0.32863786688609115</c:v>
                </c:pt>
                <c:pt idx="96">
                  <c:v>0.32444141200493104</c:v>
                </c:pt>
                <c:pt idx="97">
                  <c:v>0.32027411478579731</c:v>
                </c:pt>
                <c:pt idx="98">
                  <c:v>0.31613770904997296</c:v>
                </c:pt>
                <c:pt idx="99">
                  <c:v>0.31203372941455543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8D-456E-BDB7-17B6775E7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3168"/>
        <c:axId val="204905472"/>
      </c:scatterChart>
      <c:valAx>
        <c:axId val="2049031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[years]</a:t>
                </a:r>
              </a:p>
            </c:rich>
          </c:tx>
          <c:layout>
            <c:manualLayout>
              <c:xMode val="edge"/>
              <c:yMode val="edge"/>
              <c:x val="0.47004599195742736"/>
              <c:y val="0.91349626279414031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905472"/>
        <c:crosses val="autoZero"/>
        <c:crossBetween val="midCat"/>
      </c:valAx>
      <c:valAx>
        <c:axId val="2049054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of  steady state</a:t>
                </a:r>
              </a:p>
            </c:rich>
          </c:tx>
          <c:layout>
            <c:manualLayout>
              <c:xMode val="edge"/>
              <c:yMode val="edge"/>
              <c:x val="1.1520624142165715E-2"/>
              <c:y val="0.318339463622410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903168"/>
        <c:crosses val="autoZero"/>
        <c:crossBetween val="midCat"/>
        <c:majorUnit val="0.25"/>
        <c:minorUnit val="0.0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8073490813648292"/>
          <c:y val="3.1141868512110725E-2"/>
          <c:w val="0.10321100917431192"/>
          <c:h val="0.30449863317258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&amp;F</c:oddHeader>
      <c:oddFooter>Page &amp;P</c:oddFooter>
    </c:headerFooter>
    <c:pageMargins b="1" l="0.75000000000000189" r="0.75000000000000189" t="1" header="0.5" footer="0.5"/>
    <c:pageSetup paperSize="9" orientation="landscape" horizontalDpi="-4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SimpleBox dynamic output - Moderate</a:t>
            </a:r>
          </a:p>
        </c:rich>
      </c:tx>
      <c:layout>
        <c:manualLayout>
          <c:xMode val="edge"/>
          <c:yMode val="edge"/>
          <c:x val="0.23963134195381539"/>
          <c:y val="1.73010380622837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361121144260641"/>
          <c:y val="0.11418704413630668"/>
          <c:w val="0.78496038912567057"/>
          <c:h val="0.711502437195350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dynamicR!$Y$19</c:f>
              <c:strCache>
                <c:ptCount val="1"/>
                <c:pt idx="0">
                  <c:v>aM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dynamicR!$Y$20:$Y$120</c:f>
              <c:numCache>
                <c:formatCode>0.00</c:formatCode>
                <c:ptCount val="101"/>
                <c:pt idx="0">
                  <c:v>0</c:v>
                </c:pt>
                <c:pt idx="1">
                  <c:v>5.0958659179056509E-2</c:v>
                </c:pt>
                <c:pt idx="2">
                  <c:v>0.16803361287771487</c:v>
                </c:pt>
                <c:pt idx="3">
                  <c:v>0.28519653486874535</c:v>
                </c:pt>
                <c:pt idx="4">
                  <c:v>0.38342953039962724</c:v>
                </c:pt>
                <c:pt idx="5">
                  <c:v>0.46283886408219027</c:v>
                </c:pt>
                <c:pt idx="6">
                  <c:v>0.52752835309702018</c:v>
                </c:pt>
                <c:pt idx="7">
                  <c:v>0.5812094870732003</c:v>
                </c:pt>
                <c:pt idx="8">
                  <c:v>0.62653308760704696</c:v>
                </c:pt>
                <c:pt idx="9">
                  <c:v>0.66531347576292432</c:v>
                </c:pt>
                <c:pt idx="10">
                  <c:v>0.69882116909219416</c:v>
                </c:pt>
                <c:pt idx="11">
                  <c:v>0.72798595700585933</c:v>
                </c:pt>
                <c:pt idx="12">
                  <c:v>0.75351814199870615</c:v>
                </c:pt>
                <c:pt idx="13">
                  <c:v>0.77598021746359747</c:v>
                </c:pt>
                <c:pt idx="14">
                  <c:v>0.79582681326442128</c:v>
                </c:pt>
                <c:pt idx="15">
                  <c:v>0.81343238031632292</c:v>
                </c:pt>
                <c:pt idx="16">
                  <c:v>0.82910847620264816</c:v>
                </c:pt>
                <c:pt idx="17">
                  <c:v>0.84311587832703527</c:v>
                </c:pt>
                <c:pt idx="18">
                  <c:v>0.85567451008098006</c:v>
                </c:pt>
                <c:pt idx="19">
                  <c:v>0.86697051391231705</c:v>
                </c:pt>
                <c:pt idx="20">
                  <c:v>0.87716213035135371</c:v>
                </c:pt>
                <c:pt idx="21">
                  <c:v>0.88638421405489143</c:v>
                </c:pt>
                <c:pt idx="22">
                  <c:v>0.89475219234193637</c:v>
                </c:pt>
                <c:pt idx="23">
                  <c:v>0.90236506356420831</c:v>
                </c:pt>
                <c:pt idx="24">
                  <c:v>0.90930821769498549</c:v>
                </c:pt>
                <c:pt idx="25">
                  <c:v>0.91565541598897726</c:v>
                </c:pt>
                <c:pt idx="26">
                  <c:v>0.9214704328088511</c:v>
                </c:pt>
                <c:pt idx="27">
                  <c:v>0.92680871636755802</c:v>
                </c:pt>
                <c:pt idx="28">
                  <c:v>0.93171867580251955</c:v>
                </c:pt>
                <c:pt idx="29">
                  <c:v>0.93624268172051894</c:v>
                </c:pt>
                <c:pt idx="30">
                  <c:v>0.94041789758060823</c:v>
                </c:pt>
                <c:pt idx="31">
                  <c:v>0.94427702734680141</c:v>
                </c:pt>
                <c:pt idx="32">
                  <c:v>0.9478489689930274</c:v>
                </c:pt>
                <c:pt idx="33">
                  <c:v>0.95115934990272322</c:v>
                </c:pt>
                <c:pt idx="34">
                  <c:v>0.95423096073897307</c:v>
                </c:pt>
                <c:pt idx="35">
                  <c:v>0.95708412471205984</c:v>
                </c:pt>
                <c:pt idx="36">
                  <c:v>0.9597370222884527</c:v>
                </c:pt>
                <c:pt idx="37">
                  <c:v>0.96220597133638797</c:v>
                </c:pt>
                <c:pt idx="38">
                  <c:v>0.96450566196144827</c:v>
                </c:pt>
                <c:pt idx="39">
                  <c:v>0.9666493539046046</c:v>
                </c:pt>
                <c:pt idx="40">
                  <c:v>0.96864904670895746</c:v>
                </c:pt>
                <c:pt idx="41">
                  <c:v>0.97051562820202353</c:v>
                </c:pt>
                <c:pt idx="42">
                  <c:v>0.97225900289141509</c:v>
                </c:pt>
                <c:pt idx="43">
                  <c:v>0.97388820193856585</c:v>
                </c:pt>
                <c:pt idx="44">
                  <c:v>0.9754114778283931</c:v>
                </c:pt>
                <c:pt idx="45">
                  <c:v>0.9768363868937936</c:v>
                </c:pt>
                <c:pt idx="46">
                  <c:v>0.97816986166215125</c:v>
                </c:pt>
                <c:pt idx="47">
                  <c:v>0.9794182741108477</c:v>
                </c:pt>
                <c:pt idx="48">
                  <c:v>0.9805874908893889</c:v>
                </c:pt>
                <c:pt idx="49">
                  <c:v>0.98168292176324401</c:v>
                </c:pt>
                <c:pt idx="50">
                  <c:v>0.98168292176324401</c:v>
                </c:pt>
                <c:pt idx="51">
                  <c:v>0.9317508957746049</c:v>
                </c:pt>
                <c:pt idx="52">
                  <c:v>0.81563844718887712</c:v>
                </c:pt>
                <c:pt idx="53">
                  <c:v>0.69937803196829951</c:v>
                </c:pt>
                <c:pt idx="54">
                  <c:v>0.60199175173811847</c:v>
                </c:pt>
                <c:pt idx="55">
                  <c:v>0.52337679632720557</c:v>
                </c:pt>
                <c:pt idx="56">
                  <c:v>0.45943288530709092</c:v>
                </c:pt>
                <c:pt idx="57">
                  <c:v>0.40645170773397149</c:v>
                </c:pt>
                <c:pt idx="58">
                  <c:v>0.36178527973327007</c:v>
                </c:pt>
                <c:pt idx="59">
                  <c:v>0.32362211410981001</c:v>
                </c:pt>
                <c:pt idx="60">
                  <c:v>0.29069432005310863</c:v>
                </c:pt>
                <c:pt idx="61">
                  <c:v>0.26207444033280131</c:v>
                </c:pt>
                <c:pt idx="62">
                  <c:v>0.23705409417568479</c:v>
                </c:pt>
                <c:pt idx="63">
                  <c:v>0.21507355163658595</c:v>
                </c:pt>
                <c:pt idx="64">
                  <c:v>0.19567956149689894</c:v>
                </c:pt>
                <c:pt idx="65">
                  <c:v>0.17849949183495345</c:v>
                </c:pt>
                <c:pt idx="66">
                  <c:v>0.16322398775155803</c:v>
                </c:pt>
                <c:pt idx="67">
                  <c:v>0.14959338759667479</c:v>
                </c:pt>
                <c:pt idx="68">
                  <c:v>0.13738937007793611</c:v>
                </c:pt>
                <c:pt idx="69">
                  <c:v>0.12642730475027164</c:v>
                </c:pt>
                <c:pt idx="70">
                  <c:v>0.11655008329322245</c:v>
                </c:pt>
                <c:pt idx="71">
                  <c:v>0.10762407029486236</c:v>
                </c:pt>
                <c:pt idx="72">
                  <c:v>9.9534954085226821E-2</c:v>
                </c:pt>
                <c:pt idx="73">
                  <c:v>9.2184773395428743E-2</c:v>
                </c:pt>
                <c:pt idx="74">
                  <c:v>8.5489187595604657E-2</c:v>
                </c:pt>
                <c:pt idx="75">
                  <c:v>7.9375454554986222E-2</c:v>
                </c:pt>
                <c:pt idx="76">
                  <c:v>7.3780614045816692E-2</c:v>
                </c:pt>
                <c:pt idx="77">
                  <c:v>6.8649999481367963E-2</c:v>
                </c:pt>
                <c:pt idx="78">
                  <c:v>6.3935992808197825E-2</c:v>
                </c:pt>
                <c:pt idx="79">
                  <c:v>5.9596943705890852E-2</c:v>
                </c:pt>
                <c:pt idx="80">
                  <c:v>5.5596342669243348E-2</c:v>
                </c:pt>
                <c:pt idx="81">
                  <c:v>5.1902243955983036E-2</c:v>
                </c:pt>
                <c:pt idx="82">
                  <c:v>4.8486157883633585E-2</c:v>
                </c:pt>
                <c:pt idx="83">
                  <c:v>4.532309337864867E-2</c:v>
                </c:pt>
                <c:pt idx="84">
                  <c:v>4.23907606956168E-2</c:v>
                </c:pt>
                <c:pt idx="85">
                  <c:v>3.9669329927337016E-2</c:v>
                </c:pt>
                <c:pt idx="86">
                  <c:v>3.7141071115484314E-2</c:v>
                </c:pt>
                <c:pt idx="87">
                  <c:v>3.4790100303263634E-2</c:v>
                </c:pt>
                <c:pt idx="88">
                  <c:v>3.2602114149782188E-2</c:v>
                </c:pt>
                <c:pt idx="89">
                  <c:v>3.0564254126079382E-2</c:v>
                </c:pt>
                <c:pt idx="90">
                  <c:v>2.8664851567333973E-2</c:v>
                </c:pt>
                <c:pt idx="91">
                  <c:v>2.6893350426290652E-2</c:v>
                </c:pt>
                <c:pt idx="92">
                  <c:v>2.5240164407192192E-2</c:v>
                </c:pt>
                <c:pt idx="93">
                  <c:v>2.369655803895452E-2</c:v>
                </c:pt>
                <c:pt idx="94">
                  <c:v>2.2254545060555245E-2</c:v>
                </c:pt>
                <c:pt idx="95">
                  <c:v>2.090680594015918E-2</c:v>
                </c:pt>
                <c:pt idx="96">
                  <c:v>1.9646658539275278E-2</c:v>
                </c:pt>
                <c:pt idx="97">
                  <c:v>1.8467973873600056E-2</c:v>
                </c:pt>
                <c:pt idx="98">
                  <c:v>1.7365087543682132E-2</c:v>
                </c:pt>
                <c:pt idx="99">
                  <c:v>1.6332785410073651E-2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B-4799-987B-5748354BBA12}"/>
            </c:ext>
          </c:extLst>
        </c:ser>
        <c:ser>
          <c:idx val="1"/>
          <c:order val="1"/>
          <c:tx>
            <c:strRef>
              <c:f>dynamicR!$Z$19</c:f>
              <c:strCache>
                <c:ptCount val="1"/>
                <c:pt idx="0">
                  <c:v>w2M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rgbClr val="FFFFFF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dynamicR!$Z$20:$Z$120</c:f>
              <c:numCache>
                <c:formatCode>0.00</c:formatCode>
                <c:ptCount val="101"/>
                <c:pt idx="0">
                  <c:v>0</c:v>
                </c:pt>
                <c:pt idx="1">
                  <c:v>3.5303085378303178E-3</c:v>
                </c:pt>
                <c:pt idx="2">
                  <c:v>2.5125321323375086E-2</c:v>
                </c:pt>
                <c:pt idx="3">
                  <c:v>6.6362185342705701E-2</c:v>
                </c:pt>
                <c:pt idx="4">
                  <c:v>0.12033548070949374</c:v>
                </c:pt>
                <c:pt idx="5">
                  <c:v>0.18025874085908072</c:v>
                </c:pt>
                <c:pt idx="6">
                  <c:v>0.24145979290314284</c:v>
                </c:pt>
                <c:pt idx="7">
                  <c:v>0.30114165621078454</c:v>
                </c:pt>
                <c:pt idx="8">
                  <c:v>0.35777446179321415</c:v>
                </c:pt>
                <c:pt idx="9">
                  <c:v>0.41060969726005303</c:v>
                </c:pt>
                <c:pt idx="10">
                  <c:v>0.45936450375790061</c:v>
                </c:pt>
                <c:pt idx="11">
                  <c:v>0.5040292557160122</c:v>
                </c:pt>
                <c:pt idx="12">
                  <c:v>0.54475073383323513</c:v>
                </c:pt>
                <c:pt idx="13">
                  <c:v>0.58176172492560774</c:v>
                </c:pt>
                <c:pt idx="14">
                  <c:v>0.61533706416611156</c:v>
                </c:pt>
                <c:pt idx="15">
                  <c:v>0.64576645460670734</c:v>
                </c:pt>
                <c:pt idx="16">
                  <c:v>0.67333781104180035</c:v>
                </c:pt>
                <c:pt idx="17">
                  <c:v>0.69832704260516887</c:v>
                </c:pt>
                <c:pt idx="18">
                  <c:v>0.72099250514938429</c:v>
                </c:pt>
                <c:pt idx="19">
                  <c:v>0.74157216659436653</c:v>
                </c:pt>
                <c:pt idx="20">
                  <c:v>0.76028259142827936</c:v>
                </c:pt>
                <c:pt idx="21">
                  <c:v>0.77731919757527757</c:v>
                </c:pt>
                <c:pt idx="22">
                  <c:v>0.79285717504017761</c:v>
                </c:pt>
                <c:pt idx="23">
                  <c:v>0.80705280679757807</c:v>
                </c:pt>
                <c:pt idx="24">
                  <c:v>0.82004511912874012</c:v>
                </c:pt>
                <c:pt idx="25">
                  <c:v>0.83195750533737622</c:v>
                </c:pt>
                <c:pt idx="26">
                  <c:v>0.84289924754456924</c:v>
                </c:pt>
                <c:pt idx="27">
                  <c:v>0.85296707619667678</c:v>
                </c:pt>
                <c:pt idx="28">
                  <c:v>0.86224662502132365</c:v>
                </c:pt>
                <c:pt idx="29">
                  <c:v>0.87081374154276914</c:v>
                </c:pt>
                <c:pt idx="30">
                  <c:v>0.87873564669617954</c:v>
                </c:pt>
                <c:pt idx="31">
                  <c:v>0.88607197306994412</c:v>
                </c:pt>
                <c:pt idx="32">
                  <c:v>0.89287570015393725</c:v>
                </c:pt>
                <c:pt idx="33">
                  <c:v>0.89919398582872156</c:v>
                </c:pt>
                <c:pt idx="34">
                  <c:v>0.90506889133541579</c:v>
                </c:pt>
                <c:pt idx="35">
                  <c:v>0.91053800864824708</c:v>
                </c:pt>
                <c:pt idx="36">
                  <c:v>0.91563500704618572</c:v>
                </c:pt>
                <c:pt idx="37">
                  <c:v>0.92039011251538316</c:v>
                </c:pt>
                <c:pt idx="38">
                  <c:v>0.92483052665858378</c:v>
                </c:pt>
                <c:pt idx="39">
                  <c:v>0.92898078947731855</c:v>
                </c:pt>
                <c:pt idx="40">
                  <c:v>0.93286309261236322</c:v>
                </c:pt>
                <c:pt idx="41">
                  <c:v>0.93649755120395684</c:v>
                </c:pt>
                <c:pt idx="42">
                  <c:v>0.93990244108967957</c:v>
                </c:pt>
                <c:pt idx="43">
                  <c:v>0.94309440563302216</c:v>
                </c:pt>
                <c:pt idx="44">
                  <c:v>0.94608863546292044</c:v>
                </c:pt>
                <c:pt idx="45">
                  <c:v>0.94889902469218268</c:v>
                </c:pt>
                <c:pt idx="46">
                  <c:v>0.95153830729705247</c:v>
                </c:pt>
                <c:pt idx="47">
                  <c:v>0.9540181766803103</c:v>
                </c:pt>
                <c:pt idx="48">
                  <c:v>0.95634939060292945</c:v>
                </c:pt>
                <c:pt idx="49">
                  <c:v>0.95854186326699164</c:v>
                </c:pt>
                <c:pt idx="50">
                  <c:v>0.95854186326699164</c:v>
                </c:pt>
                <c:pt idx="51">
                  <c:v>0.95707443681477966</c:v>
                </c:pt>
                <c:pt idx="52">
                  <c:v>0.93742117223154697</c:v>
                </c:pt>
                <c:pt idx="53">
                  <c:v>0.89801278168919829</c:v>
                </c:pt>
                <c:pt idx="54">
                  <c:v>0.845761898064046</c:v>
                </c:pt>
                <c:pt idx="55">
                  <c:v>0.78746176838060944</c:v>
                </c:pt>
                <c:pt idx="56">
                  <c:v>0.72779077546802939</c:v>
                </c:pt>
                <c:pt idx="57">
                  <c:v>0.66955177160788104</c:v>
                </c:pt>
                <c:pt idx="58">
                  <c:v>0.61428007909724991</c:v>
                </c:pt>
                <c:pt idx="59">
                  <c:v>0.56272923514087747</c:v>
                </c:pt>
                <c:pt idx="60">
                  <c:v>0.51518673479331256</c:v>
                </c:pt>
                <c:pt idx="61">
                  <c:v>0.47166678936347206</c:v>
                </c:pt>
                <c:pt idx="62">
                  <c:v>0.43202653829769361</c:v>
                </c:pt>
                <c:pt idx="63">
                  <c:v>0.39603710757360833</c:v>
                </c:pt>
                <c:pt idx="64">
                  <c:v>0.36342723837600516</c:v>
                </c:pt>
                <c:pt idx="65">
                  <c:v>0.33391049838643772</c:v>
                </c:pt>
                <c:pt idx="66">
                  <c:v>0.30720244004562519</c:v>
                </c:pt>
                <c:pt idx="67">
                  <c:v>0.28302981021828094</c:v>
                </c:pt>
                <c:pt idx="68">
                  <c:v>0.26113705959806127</c:v>
                </c:pt>
                <c:pt idx="69">
                  <c:v>0.24128904784753644</c:v>
                </c:pt>
                <c:pt idx="70">
                  <c:v>0.22327134852762384</c:v>
                </c:pt>
                <c:pt idx="71">
                  <c:v>0.20689091045414695</c:v>
                </c:pt>
                <c:pt idx="72">
                  <c:v>0.19197463737391643</c:v>
                </c:pt>
                <c:pt idx="73">
                  <c:v>0.17836828014174355</c:v>
                </c:pt>
                <c:pt idx="74">
                  <c:v>0.16593464636936997</c:v>
                </c:pt>
                <c:pt idx="75">
                  <c:v>0.15455215914745662</c:v>
                </c:pt>
                <c:pt idx="76">
                  <c:v>0.14411320658220289</c:v>
                </c:pt>
                <c:pt idx="77">
                  <c:v>0.13452261201445956</c:v>
                </c:pt>
                <c:pt idx="78">
                  <c:v>0.12569621485180218</c:v>
                </c:pt>
                <c:pt idx="79">
                  <c:v>0.11755949944043254</c:v>
                </c:pt>
                <c:pt idx="80">
                  <c:v>0.11004651101890453</c:v>
                </c:pt>
                <c:pt idx="81">
                  <c:v>0.10309910670700156</c:v>
                </c:pt>
                <c:pt idx="82">
                  <c:v>9.6665133449988089E-2</c:v>
                </c:pt>
                <c:pt idx="83">
                  <c:v>9.0698651023323404E-2</c:v>
                </c:pt>
                <c:pt idx="84">
                  <c:v>8.5158567546515962E-2</c:v>
                </c:pt>
                <c:pt idx="85">
                  <c:v>8.0008258525914241E-2</c:v>
                </c:pt>
                <c:pt idx="86">
                  <c:v>7.52149481650672E-2</c:v>
                </c:pt>
                <c:pt idx="87">
                  <c:v>7.0749267543516972E-2</c:v>
                </c:pt>
                <c:pt idx="88">
                  <c:v>6.6584777769231454E-2</c:v>
                </c:pt>
                <c:pt idx="89">
                  <c:v>6.2697730423706577E-2</c:v>
                </c:pt>
                <c:pt idx="90">
                  <c:v>5.9066597334207771E-2</c:v>
                </c:pt>
                <c:pt idx="91">
                  <c:v>5.5671928156101884E-2</c:v>
                </c:pt>
                <c:pt idx="92">
                  <c:v>5.2496084464786985E-2</c:v>
                </c:pt>
                <c:pt idx="93">
                  <c:v>4.9523017918231035E-2</c:v>
                </c:pt>
                <c:pt idx="94">
                  <c:v>4.6738076533458045E-2</c:v>
                </c:pt>
                <c:pt idx="95">
                  <c:v>4.4127850899331314E-2</c:v>
                </c:pt>
                <c:pt idx="96">
                  <c:v>4.1680116219296862E-2</c:v>
                </c:pt>
                <c:pt idx="97">
                  <c:v>3.9383672983360901E-2</c:v>
                </c:pt>
                <c:pt idx="98">
                  <c:v>3.7228181246992884E-2</c:v>
                </c:pt>
                <c:pt idx="99">
                  <c:v>3.5204130797088555E-2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2B-4799-987B-5748354BBA12}"/>
            </c:ext>
          </c:extLst>
        </c:ser>
        <c:ser>
          <c:idx val="2"/>
          <c:order val="2"/>
          <c:tx>
            <c:strRef>
              <c:f>dynamicR!$AB$19</c:f>
              <c:strCache>
                <c:ptCount val="1"/>
                <c:pt idx="0">
                  <c:v>sdM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dynamicR!$AB$20:$AB$120</c:f>
              <c:numCache>
                <c:formatCode>0.00</c:formatCode>
                <c:ptCount val="101"/>
                <c:pt idx="0">
                  <c:v>0</c:v>
                </c:pt>
                <c:pt idx="1">
                  <c:v>5.3988575448383909E-7</c:v>
                </c:pt>
                <c:pt idx="2">
                  <c:v>1.8099474886004829E-5</c:v>
                </c:pt>
                <c:pt idx="3">
                  <c:v>1.2161903410649252E-4</c:v>
                </c:pt>
                <c:pt idx="4">
                  <c:v>4.331271909909506E-4</c:v>
                </c:pt>
                <c:pt idx="5">
                  <c:v>1.1008411246734887E-3</c:v>
                </c:pt>
                <c:pt idx="6">
                  <c:v>2.2740959527985695E-3</c:v>
                </c:pt>
                <c:pt idx="7">
                  <c:v>4.0875339115325829E-3</c:v>
                </c:pt>
                <c:pt idx="8">
                  <c:v>6.6531786721931007E-3</c:v>
                </c:pt>
                <c:pt idx="9">
                  <c:v>1.0057643205823162E-2</c:v>
                </c:pt>
                <c:pt idx="10">
                  <c:v>1.436232341457142E-2</c:v>
                </c:pt>
                <c:pt idx="11">
                  <c:v>1.9605163383868102E-2</c:v>
                </c:pt>
                <c:pt idx="12">
                  <c:v>2.5803215176181695E-2</c:v>
                </c:pt>
                <c:pt idx="13">
                  <c:v>3.2955532069379845E-2</c:v>
                </c:pt>
                <c:pt idx="14">
                  <c:v>4.1045928576356618E-2</c:v>
                </c:pt>
                <c:pt idx="15">
                  <c:v>5.00457612971539E-2</c:v>
                </c:pt>
                <c:pt idx="16">
                  <c:v>5.9916433338049677E-2</c:v>
                </c:pt>
                <c:pt idx="17">
                  <c:v>7.0611553629621779E-2</c:v>
                </c:pt>
                <c:pt idx="18">
                  <c:v>8.2078960891174182E-2</c:v>
                </c:pt>
                <c:pt idx="19">
                  <c:v>9.4262385744839708E-2</c:v>
                </c:pt>
                <c:pt idx="20">
                  <c:v>0.10710291564874731</c:v>
                </c:pt>
                <c:pt idx="21">
                  <c:v>0.12054017773990813</c:v>
                </c:pt>
                <c:pt idx="22">
                  <c:v>0.13451338453190118</c:v>
                </c:pt>
                <c:pt idx="23">
                  <c:v>0.14896213276294415</c:v>
                </c:pt>
                <c:pt idx="24">
                  <c:v>0.16382713574798646</c:v>
                </c:pt>
                <c:pt idx="25">
                  <c:v>0.17905071157639904</c:v>
                </c:pt>
                <c:pt idx="26">
                  <c:v>0.19457715666883171</c:v>
                </c:pt>
                <c:pt idx="27">
                  <c:v>0.21035310503134774</c:v>
                </c:pt>
                <c:pt idx="28">
                  <c:v>0.22632776946200805</c:v>
                </c:pt>
                <c:pt idx="29">
                  <c:v>0.24245308476850619</c:v>
                </c:pt>
                <c:pt idx="30">
                  <c:v>0.25868379011872139</c:v>
                </c:pt>
                <c:pt idx="31">
                  <c:v>0.2749774787335531</c:v>
                </c:pt>
                <c:pt idx="32">
                  <c:v>0.29129461432061615</c:v>
                </c:pt>
                <c:pt idx="33">
                  <c:v>0.30759850892348511</c:v>
                </c:pt>
                <c:pt idx="34">
                  <c:v>0.3238552685147616</c:v>
                </c:pt>
                <c:pt idx="35">
                  <c:v>0.3400337187288005</c:v>
                </c:pt>
                <c:pt idx="36">
                  <c:v>0.35610531837983372</c:v>
                </c:pt>
                <c:pt idx="37">
                  <c:v>0.37204406230533221</c:v>
                </c:pt>
                <c:pt idx="38">
                  <c:v>0.38782637426209043</c:v>
                </c:pt>
                <c:pt idx="39">
                  <c:v>0.40343099280791567</c:v>
                </c:pt>
                <c:pt idx="40">
                  <c:v>0.41883885385565417</c:v>
                </c:pt>
                <c:pt idx="41">
                  <c:v>0.4340329722311036</c:v>
                </c:pt>
                <c:pt idx="42">
                  <c:v>0.44899832318036698</c:v>
                </c:pt>
                <c:pt idx="43">
                  <c:v>0.46372172455286725</c:v>
                </c:pt>
                <c:pt idx="44">
                  <c:v>0.47819172072251648</c:v>
                </c:pt>
                <c:pt idx="45">
                  <c:v>0.49239846930733777</c:v>
                </c:pt>
                <c:pt idx="46">
                  <c:v>0.50633363135223663</c:v>
                </c:pt>
                <c:pt idx="47">
                  <c:v>0.5199902652944276</c:v>
                </c:pt>
                <c:pt idx="48">
                  <c:v>0.53336272494470072</c:v>
                </c:pt>
                <c:pt idx="49">
                  <c:v>0.54644656173797657</c:v>
                </c:pt>
                <c:pt idx="50">
                  <c:v>0.54644656173797657</c:v>
                </c:pt>
                <c:pt idx="51">
                  <c:v>0.55923789077306452</c:v>
                </c:pt>
                <c:pt idx="52">
                  <c:v>0.5717179044742795</c:v>
                </c:pt>
                <c:pt idx="53">
                  <c:v>0.58381626533076714</c:v>
                </c:pt>
                <c:pt idx="54">
                  <c:v>0.59541039959236086</c:v>
                </c:pt>
                <c:pt idx="55">
                  <c:v>0.6063523210977001</c:v>
                </c:pt>
                <c:pt idx="56">
                  <c:v>0.61649363163325954</c:v>
                </c:pt>
                <c:pt idx="57">
                  <c:v>0.62570126583610974</c:v>
                </c:pt>
                <c:pt idx="58">
                  <c:v>0.6338653515044278</c:v>
                </c:pt>
                <c:pt idx="59">
                  <c:v>0.640901946030485</c:v>
                </c:pt>
                <c:pt idx="60">
                  <c:v>0.64675279452567669</c:v>
                </c:pt>
                <c:pt idx="61">
                  <c:v>0.65138349005437746</c:v>
                </c:pt>
                <c:pt idx="62">
                  <c:v>0.65478088294157077</c:v>
                </c:pt>
                <c:pt idx="63">
                  <c:v>0.65695018976487174</c:v>
                </c:pt>
                <c:pt idx="64">
                  <c:v>0.65791208567132642</c:v>
                </c:pt>
                <c:pt idx="65">
                  <c:v>0.65769997200569486</c:v>
                </c:pt>
                <c:pt idx="66">
                  <c:v>0.65635739995340292</c:v>
                </c:pt>
                <c:pt idx="67">
                  <c:v>0.65393590467450413</c:v>
                </c:pt>
                <c:pt idx="68">
                  <c:v>0.65049294400421298</c:v>
                </c:pt>
                <c:pt idx="69">
                  <c:v>0.64609010299380976</c:v>
                </c:pt>
                <c:pt idx="70">
                  <c:v>0.64079187607129739</c:v>
                </c:pt>
                <c:pt idx="71">
                  <c:v>0.63466415484990246</c:v>
                </c:pt>
                <c:pt idx="72">
                  <c:v>0.62777335197176098</c:v>
                </c:pt>
                <c:pt idx="73">
                  <c:v>0.62018545882214493</c:v>
                </c:pt>
                <c:pt idx="74">
                  <c:v>0.611965449719855</c:v>
                </c:pt>
                <c:pt idx="75">
                  <c:v>0.6031766752614367</c:v>
                </c:pt>
                <c:pt idx="76">
                  <c:v>0.5938804390570035</c:v>
                </c:pt>
                <c:pt idx="77">
                  <c:v>0.58413568062055921</c:v>
                </c:pt>
                <c:pt idx="78">
                  <c:v>0.57399872931683127</c:v>
                </c:pt>
                <c:pt idx="79">
                  <c:v>0.56352319318477229</c:v>
                </c:pt>
                <c:pt idx="80">
                  <c:v>0.55275981090763204</c:v>
                </c:pt>
                <c:pt idx="81">
                  <c:v>0.54175611237552346</c:v>
                </c:pt>
                <c:pt idx="82">
                  <c:v>0.53055717734730123</c:v>
                </c:pt>
                <c:pt idx="83">
                  <c:v>0.51920476891198197</c:v>
                </c:pt>
                <c:pt idx="84">
                  <c:v>0.50773792892982272</c:v>
                </c:pt>
                <c:pt idx="85">
                  <c:v>0.49619283424315713</c:v>
                </c:pt>
                <c:pt idx="86">
                  <c:v>0.48460294212314975</c:v>
                </c:pt>
                <c:pt idx="87">
                  <c:v>0.47299905294833716</c:v>
                </c:pt>
                <c:pt idx="88">
                  <c:v>0.4614094821754578</c:v>
                </c:pt>
                <c:pt idx="89">
                  <c:v>0.44986004451638884</c:v>
                </c:pt>
                <c:pt idx="90">
                  <c:v>0.438374340433902</c:v>
                </c:pt>
                <c:pt idx="91">
                  <c:v>0.42697373530530564</c:v>
                </c:pt>
                <c:pt idx="92">
                  <c:v>0.41567751090921506</c:v>
                </c:pt>
                <c:pt idx="93">
                  <c:v>0.4045029979668332</c:v>
                </c:pt>
                <c:pt idx="94">
                  <c:v>0.39346572060288504</c:v>
                </c:pt>
                <c:pt idx="95">
                  <c:v>0.38257951195009393</c:v>
                </c:pt>
                <c:pt idx="96">
                  <c:v>0.37185652131886904</c:v>
                </c:pt>
                <c:pt idx="97">
                  <c:v>0.36130736791264628</c:v>
                </c:pt>
                <c:pt idx="98">
                  <c:v>0.35094133144981787</c:v>
                </c:pt>
                <c:pt idx="99">
                  <c:v>0.34076637645969954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2B-4799-987B-5748354BBA12}"/>
            </c:ext>
          </c:extLst>
        </c:ser>
        <c:ser>
          <c:idx val="3"/>
          <c:order val="3"/>
          <c:tx>
            <c:strRef>
              <c:f>dynamicR!$AC$19</c:f>
              <c:strCache>
                <c:ptCount val="1"/>
                <c:pt idx="0">
                  <c:v>sM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3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dynamicR!$AC$20:$AC$120</c:f>
              <c:numCache>
                <c:formatCode>0.00</c:formatCode>
                <c:ptCount val="101"/>
                <c:pt idx="0">
                  <c:v>0</c:v>
                </c:pt>
                <c:pt idx="1">
                  <c:v>1.707507308751653E-3</c:v>
                </c:pt>
                <c:pt idx="2">
                  <c:v>1.2611284369689842E-2</c:v>
                </c:pt>
                <c:pt idx="3">
                  <c:v>3.4657911347916001E-2</c:v>
                </c:pt>
                <c:pt idx="4">
                  <c:v>6.5459707529326366E-2</c:v>
                </c:pt>
                <c:pt idx="5">
                  <c:v>0.10212729610150216</c:v>
                </c:pt>
                <c:pt idx="6">
                  <c:v>0.14235164842494147</c:v>
                </c:pt>
                <c:pt idx="7">
                  <c:v>0.18447144471140159</c:v>
                </c:pt>
                <c:pt idx="8">
                  <c:v>0.22731756781565388</c:v>
                </c:pt>
                <c:pt idx="9">
                  <c:v>0.27006409941005388</c:v>
                </c:pt>
                <c:pt idx="10">
                  <c:v>0.31212380867436462</c:v>
                </c:pt>
                <c:pt idx="11">
                  <c:v>0.35307985166479827</c:v>
                </c:pt>
                <c:pt idx="12">
                  <c:v>0.3926406118556704</c:v>
                </c:pt>
                <c:pt idx="13">
                  <c:v>0.43060803821986643</c:v>
                </c:pt>
                <c:pt idx="14">
                  <c:v>0.46685614660958241</c:v>
                </c:pt>
                <c:pt idx="15">
                  <c:v>0.50131361754645842</c:v>
                </c:pt>
                <c:pt idx="16">
                  <c:v>0.53395107545887677</c:v>
                </c:pt>
                <c:pt idx="17">
                  <c:v>0.56477135930035227</c:v>
                </c:pt>
                <c:pt idx="18">
                  <c:v>0.59380130299028977</c:v>
                </c:pt>
                <c:pt idx="19">
                  <c:v>0.62108564728499005</c:v>
                </c:pt>
                <c:pt idx="20">
                  <c:v>0.64668200736775983</c:v>
                </c:pt>
                <c:pt idx="21">
                  <c:v>0.67065707797261598</c:v>
                </c:pt>
                <c:pt idx="22">
                  <c:v>0.69308342814552104</c:v>
                </c:pt>
                <c:pt idx="23">
                  <c:v>0.71403717327053762</c:v>
                </c:pt>
                <c:pt idx="24">
                  <c:v>0.73359590948362097</c:v>
                </c:pt>
                <c:pt idx="25">
                  <c:v>0.75183740145745248</c:v>
                </c:pt>
                <c:pt idx="26">
                  <c:v>0.76883858852062448</c:v>
                </c:pt>
                <c:pt idx="27">
                  <c:v>0.78467461567348606</c:v>
                </c:pt>
                <c:pt idx="28">
                  <c:v>0.79941819583235052</c:v>
                </c:pt>
                <c:pt idx="29">
                  <c:v>0.81313922693183582</c:v>
                </c:pt>
                <c:pt idx="30">
                  <c:v>0.82590454855377204</c:v>
                </c:pt>
                <c:pt idx="31">
                  <c:v>0.83777775900369833</c:v>
                </c:pt>
                <c:pt idx="32">
                  <c:v>0.84881910165901575</c:v>
                </c:pt>
                <c:pt idx="33">
                  <c:v>0.85908543929372283</c:v>
                </c:pt>
                <c:pt idx="34">
                  <c:v>0.86863029792104141</c:v>
                </c:pt>
                <c:pt idx="35">
                  <c:v>0.87750394560410483</c:v>
                </c:pt>
                <c:pt idx="36">
                  <c:v>0.88575348850611646</c:v>
                </c:pt>
                <c:pt idx="37">
                  <c:v>0.89342298458165825</c:v>
                </c:pt>
                <c:pt idx="38">
                  <c:v>0.90055357583744822</c:v>
                </c:pt>
                <c:pt idx="39">
                  <c:v>0.9071836324198822</c:v>
                </c:pt>
                <c:pt idx="40">
                  <c:v>0.91334889988463552</c:v>
                </c:pt>
                <c:pt idx="41">
                  <c:v>0.91908264552104291</c:v>
                </c:pt>
                <c:pt idx="42">
                  <c:v>0.92441580339806551</c:v>
                </c:pt>
                <c:pt idx="43">
                  <c:v>0.92937711769166609</c:v>
                </c:pt>
                <c:pt idx="44">
                  <c:v>0.93399328241139168</c:v>
                </c:pt>
                <c:pt idx="45">
                  <c:v>0.93828907562260044</c:v>
                </c:pt>
                <c:pt idx="46">
                  <c:v>0.94228748742335788</c:v>
                </c:pt>
                <c:pt idx="47">
                  <c:v>0.94600984173426739</c:v>
                </c:pt>
                <c:pt idx="48">
                  <c:v>0.94947591191355385</c:v>
                </c:pt>
                <c:pt idx="49">
                  <c:v>0.95270402996242542</c:v>
                </c:pt>
                <c:pt idx="50">
                  <c:v>0.95270402996242542</c:v>
                </c:pt>
                <c:pt idx="51">
                  <c:v>0.95400368163507043</c:v>
                </c:pt>
                <c:pt idx="52">
                  <c:v>0.94590185356075096</c:v>
                </c:pt>
                <c:pt idx="53">
                  <c:v>0.92646657577467562</c:v>
                </c:pt>
                <c:pt idx="54">
                  <c:v>0.89809903669901159</c:v>
                </c:pt>
                <c:pt idx="55">
                  <c:v>0.86370117220244902</c:v>
                </c:pt>
                <c:pt idx="56">
                  <c:v>0.82559361476286952</c:v>
                </c:pt>
                <c:pt idx="57">
                  <c:v>0.78544847082381197</c:v>
                </c:pt>
                <c:pt idx="58">
                  <c:v>0.74444486054694414</c:v>
                </c:pt>
                <c:pt idx="59">
                  <c:v>0.70341795419940267</c:v>
                </c:pt>
                <c:pt idx="60">
                  <c:v>0.66296352239652323</c:v>
                </c:pt>
                <c:pt idx="61">
                  <c:v>0.62350642376357235</c:v>
                </c:pt>
                <c:pt idx="62">
                  <c:v>0.58534578906118528</c:v>
                </c:pt>
                <c:pt idx="63">
                  <c:v>0.54868619196109425</c:v>
                </c:pt>
                <c:pt idx="64">
                  <c:v>0.51366023965950769</c:v>
                </c:pt>
                <c:pt idx="65">
                  <c:v>0.48034514120569582</c:v>
                </c:pt>
                <c:pt idx="66">
                  <c:v>0.44877557991573019</c:v>
                </c:pt>
                <c:pt idx="67">
                  <c:v>0.4189539677337395</c:v>
                </c:pt>
                <c:pt idx="68">
                  <c:v>0.39085811784206881</c:v>
                </c:pt>
                <c:pt idx="69">
                  <c:v>0.36444777668818895</c:v>
                </c:pt>
                <c:pt idx="70">
                  <c:v>0.33966930708765636</c:v>
                </c:pt>
                <c:pt idx="71">
                  <c:v>0.31645987202943732</c:v>
                </c:pt>
                <c:pt idx="72">
                  <c:v>0.29475040519382795</c:v>
                </c:pt>
                <c:pt idx="73">
                  <c:v>0.27446814995784197</c:v>
                </c:pt>
                <c:pt idx="74">
                  <c:v>0.25553846442971034</c:v>
                </c:pt>
                <c:pt idx="75">
                  <c:v>0.23788634711752771</c:v>
                </c:pt>
                <c:pt idx="76">
                  <c:v>0.22143755914428437</c:v>
                </c:pt>
                <c:pt idx="77">
                  <c:v>0.20611945222736128</c:v>
                </c:pt>
                <c:pt idx="78">
                  <c:v>0.19186159484189247</c:v>
                </c:pt>
                <c:pt idx="79">
                  <c:v>0.17859613925972206</c:v>
                </c:pt>
                <c:pt idx="80">
                  <c:v>0.16625816610230737</c:v>
                </c:pt>
                <c:pt idx="81">
                  <c:v>0.15478624313641243</c:v>
                </c:pt>
                <c:pt idx="82">
                  <c:v>0.14412151287394567</c:v>
                </c:pt>
                <c:pt idx="83">
                  <c:v>0.1342088725842015</c:v>
                </c:pt>
                <c:pt idx="84">
                  <c:v>0.12499623535994454</c:v>
                </c:pt>
                <c:pt idx="85">
                  <c:v>0.11643474091499942</c:v>
                </c:pt>
                <c:pt idx="86">
                  <c:v>0.10847858250887396</c:v>
                </c:pt>
                <c:pt idx="87">
                  <c:v>0.1010849392995942</c:v>
                </c:pt>
                <c:pt idx="88">
                  <c:v>9.4213755885583853E-2</c:v>
                </c:pt>
                <c:pt idx="89">
                  <c:v>8.7827785642279277E-2</c:v>
                </c:pt>
                <c:pt idx="90">
                  <c:v>8.189220718242482E-2</c:v>
                </c:pt>
                <c:pt idx="91">
                  <c:v>7.6374676427252444E-2</c:v>
                </c:pt>
                <c:pt idx="92">
                  <c:v>7.1245143266707486E-2</c:v>
                </c:pt>
                <c:pt idx="93">
                  <c:v>6.6475674709906785E-2</c:v>
                </c:pt>
                <c:pt idx="94">
                  <c:v>6.2040308383231157E-2</c:v>
                </c:pt>
                <c:pt idx="95">
                  <c:v>5.7914912036277022E-2</c:v>
                </c:pt>
                <c:pt idx="96">
                  <c:v>5.4077172027324344E-2</c:v>
                </c:pt>
                <c:pt idx="97">
                  <c:v>5.0506422852738979E-2</c:v>
                </c:pt>
                <c:pt idx="98">
                  <c:v>4.7183439875567397E-2</c:v>
                </c:pt>
                <c:pt idx="99">
                  <c:v>4.4090414222883956E-2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2B-4799-987B-5748354BBA12}"/>
            </c:ext>
          </c:extLst>
        </c:ser>
        <c:ser>
          <c:idx val="4"/>
          <c:order val="4"/>
          <c:tx>
            <c:strRef>
              <c:f>dynamicR!$AA$19</c:f>
              <c:strCache>
                <c:ptCount val="1"/>
                <c:pt idx="0">
                  <c:v>w3M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dynamicR!$AA$20:$AA$120</c:f>
              <c:numCache>
                <c:formatCode>0.00</c:formatCode>
                <c:ptCount val="101"/>
                <c:pt idx="0">
                  <c:v>0</c:v>
                </c:pt>
                <c:pt idx="1">
                  <c:v>4.5831018859141132E-5</c:v>
                </c:pt>
                <c:pt idx="2">
                  <c:v>7.173360043588302E-4</c:v>
                </c:pt>
                <c:pt idx="3">
                  <c:v>3.0541344588557156E-3</c:v>
                </c:pt>
                <c:pt idx="4">
                  <c:v>7.8295480727289396E-3</c:v>
                </c:pt>
                <c:pt idx="5">
                  <c:v>1.5386656631193105E-2</c:v>
                </c:pt>
                <c:pt idx="6">
                  <c:v>2.5742068880587728E-2</c:v>
                </c:pt>
                <c:pt idx="7">
                  <c:v>3.8715966523769539E-2</c:v>
                </c:pt>
                <c:pt idx="8">
                  <c:v>5.4027366619838757E-2</c:v>
                </c:pt>
                <c:pt idx="9">
                  <c:v>7.1353722759949556E-2</c:v>
                </c:pt>
                <c:pt idx="10">
                  <c:v>9.0365754887570204E-2</c:v>
                </c:pt>
                <c:pt idx="11">
                  <c:v>0.11074690482835182</c:v>
                </c:pt>
                <c:pt idx="12">
                  <c:v>0.13220390388051245</c:v>
                </c:pt>
                <c:pt idx="13">
                  <c:v>0.15447099296261704</c:v>
                </c:pt>
                <c:pt idx="14">
                  <c:v>0.17731225955759614</c:v>
                </c:pt>
                <c:pt idx="15">
                  <c:v>0.20052078875337231</c:v>
                </c:pt>
                <c:pt idx="16">
                  <c:v>0.22391727536999367</c:v>
                </c:pt>
                <c:pt idx="17">
                  <c:v>0.24734821555119624</c:v>
                </c:pt>
                <c:pt idx="18">
                  <c:v>0.27068328659209034</c:v>
                </c:pt>
                <c:pt idx="19">
                  <c:v>0.29381303941027859</c:v>
                </c:pt>
                <c:pt idx="20">
                  <c:v>0.31664650068738093</c:v>
                </c:pt>
                <c:pt idx="21">
                  <c:v>0.33910898480872742</c:v>
                </c:pt>
                <c:pt idx="22">
                  <c:v>0.36113996504484902</c:v>
                </c:pt>
                <c:pt idx="23">
                  <c:v>0.38269125497074891</c:v>
                </c:pt>
                <c:pt idx="24">
                  <c:v>0.40372518241172933</c:v>
                </c:pt>
                <c:pt idx="25">
                  <c:v>0.42421316161497885</c:v>
                </c:pt>
                <c:pt idx="26">
                  <c:v>0.4441344597394703</c:v>
                </c:pt>
                <c:pt idx="27">
                  <c:v>0.46347494427702718</c:v>
                </c:pt>
                <c:pt idx="28">
                  <c:v>0.48222603746934189</c:v>
                </c:pt>
                <c:pt idx="29">
                  <c:v>0.50038385224112425</c:v>
                </c:pt>
                <c:pt idx="30">
                  <c:v>0.51794845511108834</c:v>
                </c:pt>
                <c:pt idx="31">
                  <c:v>0.53492320607813859</c:v>
                </c:pt>
                <c:pt idx="32">
                  <c:v>0.55131417532573734</c:v>
                </c:pt>
                <c:pt idx="33">
                  <c:v>0.56712964849009706</c:v>
                </c:pt>
                <c:pt idx="34">
                  <c:v>0.58237971332700811</c:v>
                </c:pt>
                <c:pt idx="35">
                  <c:v>0.59707590769283325</c:v>
                </c:pt>
                <c:pt idx="36">
                  <c:v>0.6112309143264415</c:v>
                </c:pt>
                <c:pt idx="37">
                  <c:v>0.62485829816892102</c:v>
                </c:pt>
                <c:pt idx="38">
                  <c:v>0.63797228450290744</c:v>
                </c:pt>
                <c:pt idx="39">
                  <c:v>0.6505875729060101</c:v>
                </c:pt>
                <c:pt idx="40">
                  <c:v>0.66271918012786202</c:v>
                </c:pt>
                <c:pt idx="41">
                  <c:v>0.67438230665504284</c:v>
                </c:pt>
                <c:pt idx="42">
                  <c:v>0.68559222408536447</c:v>
                </c:pt>
                <c:pt idx="43">
                  <c:v>0.69636418116447441</c:v>
                </c:pt>
                <c:pt idx="44">
                  <c:v>0.70671332592456992</c:v>
                </c:pt>
                <c:pt idx="45">
                  <c:v>0.71665464123920986</c:v>
                </c:pt>
                <c:pt idx="46">
                  <c:v>0.72620289164757867</c:v>
                </c:pt>
                <c:pt idx="47">
                  <c:v>0.73537257992815741</c:v>
                </c:pt>
                <c:pt idx="48">
                  <c:v>0.74417791217202256</c:v>
                </c:pt>
                <c:pt idx="49">
                  <c:v>0.75263277013550067</c:v>
                </c:pt>
                <c:pt idx="50">
                  <c:v>0.75263277013550067</c:v>
                </c:pt>
                <c:pt idx="51">
                  <c:v>0.76070485770961838</c:v>
                </c:pt>
                <c:pt idx="52">
                  <c:v>0.76782750710485659</c:v>
                </c:pt>
                <c:pt idx="53">
                  <c:v>0.7729738981180454</c:v>
                </c:pt>
                <c:pt idx="54">
                  <c:v>0.77538312693440015</c:v>
                </c:pt>
                <c:pt idx="55">
                  <c:v>0.77472414428184055</c:v>
                </c:pt>
                <c:pt idx="56">
                  <c:v>0.77099198708294703</c:v>
                </c:pt>
                <c:pt idx="57">
                  <c:v>0.76437771992278192</c:v>
                </c:pt>
                <c:pt idx="58">
                  <c:v>0.75517319145969297</c:v>
                </c:pt>
                <c:pt idx="59">
                  <c:v>0.74371143483051905</c:v>
                </c:pt>
                <c:pt idx="60">
                  <c:v>0.7303318326117525</c:v>
                </c:pt>
                <c:pt idx="61">
                  <c:v>0.7153606347761684</c:v>
                </c:pt>
                <c:pt idx="62">
                  <c:v>0.69910065495596352</c:v>
                </c:pt>
                <c:pt idx="63">
                  <c:v>0.68182638727138922</c:v>
                </c:pt>
                <c:pt idx="64">
                  <c:v>0.66378261647346715</c:v>
                </c:pt>
                <c:pt idx="65">
                  <c:v>0.64518461081383982</c:v>
                </c:pt>
                <c:pt idx="66">
                  <c:v>0.62621938111345665</c:v>
                </c:pt>
                <c:pt idx="67">
                  <c:v>0.60704837154260027</c:v>
                </c:pt>
                <c:pt idx="68">
                  <c:v>0.58780919213007088</c:v>
                </c:pt>
                <c:pt idx="69">
                  <c:v>0.5686182652840448</c:v>
                </c:pt>
                <c:pt idx="70">
                  <c:v>0.54957344479800363</c:v>
                </c:pt>
                <c:pt idx="71">
                  <c:v>0.5307558850762657</c:v>
                </c:pt>
                <c:pt idx="72">
                  <c:v>0.51223233855042027</c:v>
                </c:pt>
                <c:pt idx="73">
                  <c:v>0.49405695898267615</c:v>
                </c:pt>
                <c:pt idx="74">
                  <c:v>0.47627309375471166</c:v>
                </c:pt>
                <c:pt idx="75">
                  <c:v>0.4589147210309022</c:v>
                </c:pt>
                <c:pt idx="76">
                  <c:v>0.44200781688809987</c:v>
                </c:pt>
                <c:pt idx="77">
                  <c:v>0.42557152505676688</c:v>
                </c:pt>
                <c:pt idx="78">
                  <c:v>0.40961918778453538</c:v>
                </c:pt>
                <c:pt idx="79">
                  <c:v>0.39415924445734701</c:v>
                </c:pt>
                <c:pt idx="80">
                  <c:v>0.37919597462110244</c:v>
                </c:pt>
                <c:pt idx="81">
                  <c:v>0.36473020394056455</c:v>
                </c:pt>
                <c:pt idx="82">
                  <c:v>0.35075984768265273</c:v>
                </c:pt>
                <c:pt idx="83">
                  <c:v>0.33728042929121843</c:v>
                </c:pt>
                <c:pt idx="84">
                  <c:v>0.32428549263232176</c:v>
                </c:pt>
                <c:pt idx="85">
                  <c:v>0.31176697262930081</c:v>
                </c:pt>
                <c:pt idx="86">
                  <c:v>0.29971550470328256</c:v>
                </c:pt>
                <c:pt idx="87">
                  <c:v>0.28812069907591442</c:v>
                </c:pt>
                <c:pt idx="88">
                  <c:v>0.27697134426155934</c:v>
                </c:pt>
                <c:pt idx="89">
                  <c:v>0.26625564899626653</c:v>
                </c:pt>
                <c:pt idx="90">
                  <c:v>0.25596133642718649</c:v>
                </c:pt>
                <c:pt idx="91">
                  <c:v>0.24607583690508744</c:v>
                </c:pt>
                <c:pt idx="92">
                  <c:v>0.23658640201984601</c:v>
                </c:pt>
                <c:pt idx="93">
                  <c:v>0.22748017351369418</c:v>
                </c:pt>
                <c:pt idx="94">
                  <c:v>0.21874429515513588</c:v>
                </c:pt>
                <c:pt idx="95">
                  <c:v>0.21036596565791249</c:v>
                </c:pt>
                <c:pt idx="96">
                  <c:v>0.20233250110333892</c:v>
                </c:pt>
                <c:pt idx="97">
                  <c:v>0.19463138818586076</c:v>
                </c:pt>
                <c:pt idx="98">
                  <c:v>0.18725032023747201</c:v>
                </c:pt>
                <c:pt idx="99">
                  <c:v>0.18017722427021646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2B-4799-987B-5748354BB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76736"/>
        <c:axId val="205095680"/>
      </c:scatterChart>
      <c:valAx>
        <c:axId val="20507673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[years]</a:t>
                </a:r>
              </a:p>
            </c:rich>
          </c:tx>
          <c:layout>
            <c:manualLayout>
              <c:xMode val="edge"/>
              <c:yMode val="edge"/>
              <c:x val="0.45161284885260905"/>
              <c:y val="0.90657584756922682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095680"/>
        <c:crosses val="autoZero"/>
        <c:crossBetween val="midCat"/>
      </c:valAx>
      <c:valAx>
        <c:axId val="2050956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of steady state</a:t>
                </a:r>
              </a:p>
            </c:rich>
          </c:tx>
          <c:layout>
            <c:manualLayout>
              <c:xMode val="edge"/>
              <c:yMode val="edge"/>
              <c:x val="1.1520624142165715E-2"/>
              <c:y val="0.294118010335213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076736"/>
        <c:crosses val="autoZero"/>
        <c:crossBetween val="midCat"/>
        <c:majorUnit val="0.25"/>
        <c:minorUnit val="0.0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7385417419152878"/>
          <c:y val="2.4221453287197232E-2"/>
          <c:w val="0.10779840593320333"/>
          <c:h val="0.3529419030233677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&amp;F</c:oddHeader>
      <c:oddFooter>Page &amp;P</c:oddFooter>
    </c:headerFooter>
    <c:pageMargins b="1" l="0.75000000000000189" r="0.75000000000000189" t="1" header="0.5" footer="0.5"/>
    <c:pageSetup paperSize="9" orientation="landscape" horizontalDpi="-4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SimpleBox dynamic output - Continental </a:t>
            </a:r>
          </a:p>
        </c:rich>
      </c:tx>
      <c:layout>
        <c:manualLayout>
          <c:xMode val="edge"/>
          <c:yMode val="edge"/>
          <c:x val="0.24654386091646799"/>
          <c:y val="3.7800724736397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41672084567436"/>
          <c:y val="0.19031174022717789"/>
          <c:w val="0.79740157480314966"/>
          <c:h val="0.63824446944131985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dynamicR!$P$19</c:f>
              <c:strCache>
                <c:ptCount val="1"/>
                <c:pt idx="0">
                  <c:v>aC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dynamicR!$P$21:$P$120</c:f>
              <c:numCache>
                <c:formatCode>0.00</c:formatCode>
                <c:ptCount val="100"/>
                <c:pt idx="0">
                  <c:v>0.28378790227866552</c:v>
                </c:pt>
                <c:pt idx="1">
                  <c:v>0.51004532528448554</c:v>
                </c:pt>
                <c:pt idx="2">
                  <c:v>0.63532583216703131</c:v>
                </c:pt>
                <c:pt idx="3">
                  <c:v>0.70415239137926844</c:v>
                </c:pt>
                <c:pt idx="4">
                  <c:v>0.7451891153601985</c:v>
                </c:pt>
                <c:pt idx="5">
                  <c:v>0.77284897768907723</c:v>
                </c:pt>
                <c:pt idx="6">
                  <c:v>0.79378868324691132</c:v>
                </c:pt>
                <c:pt idx="7">
                  <c:v>0.81100965267822889</c:v>
                </c:pt>
                <c:pt idx="8">
                  <c:v>0.82588837105595403</c:v>
                </c:pt>
                <c:pt idx="9">
                  <c:v>0.83909459460582392</c:v>
                </c:pt>
                <c:pt idx="10">
                  <c:v>0.85098769509780336</c:v>
                </c:pt>
                <c:pt idx="11">
                  <c:v>0.86178693602157519</c:v>
                </c:pt>
                <c:pt idx="12">
                  <c:v>0.87164329335564017</c:v>
                </c:pt>
                <c:pt idx="13">
                  <c:v>0.88067075874831524</c:v>
                </c:pt>
                <c:pt idx="14">
                  <c:v>0.88896145300117446</c:v>
                </c:pt>
                <c:pt idx="15">
                  <c:v>0.89659234453226078</c:v>
                </c:pt>
                <c:pt idx="16">
                  <c:v>0.90362899255897466</c:v>
                </c:pt>
                <c:pt idx="17">
                  <c:v>0.91012859899562848</c:v>
                </c:pt>
                <c:pt idx="18">
                  <c:v>0.91614099890206835</c:v>
                </c:pt>
                <c:pt idx="19">
                  <c:v>0.92171005436603004</c:v>
                </c:pt>
                <c:pt idx="20">
                  <c:v>0.92687462616821814</c:v>
                </c:pt>
                <c:pt idx="21">
                  <c:v>0.93166920279684629</c:v>
                </c:pt>
                <c:pt idx="22">
                  <c:v>0.93612462162148669</c:v>
                </c:pt>
                <c:pt idx="23">
                  <c:v>0.94026850786998295</c:v>
                </c:pt>
                <c:pt idx="24">
                  <c:v>0.94412571441168802</c:v>
                </c:pt>
                <c:pt idx="25">
                  <c:v>0.94771863821677205</c:v>
                </c:pt>
                <c:pt idx="26">
                  <c:v>0.95106753482049566</c:v>
                </c:pt>
                <c:pt idx="27">
                  <c:v>0.95419080319010841</c:v>
                </c:pt>
                <c:pt idx="28">
                  <c:v>0.95710518883171392</c:v>
                </c:pt>
                <c:pt idx="29">
                  <c:v>0.95982595571960294</c:v>
                </c:pt>
                <c:pt idx="30">
                  <c:v>0.96236705487200325</c:v>
                </c:pt>
                <c:pt idx="31">
                  <c:v>0.9647412717313113</c:v>
                </c:pt>
                <c:pt idx="32">
                  <c:v>0.96696034583031054</c:v>
                </c:pt>
                <c:pt idx="33">
                  <c:v>0.96903507416338064</c:v>
                </c:pt>
                <c:pt idx="34">
                  <c:v>0.97097540365377488</c:v>
                </c:pt>
                <c:pt idx="35">
                  <c:v>0.97279051253514359</c:v>
                </c:pt>
                <c:pt idx="36">
                  <c:v>0.97448888229669473</c:v>
                </c:pt>
                <c:pt idx="37">
                  <c:v>0.97607836142877336</c:v>
                </c:pt>
                <c:pt idx="38">
                  <c:v>0.97756622120737047</c:v>
                </c:pt>
                <c:pt idx="39">
                  <c:v>0.97895920506694734</c:v>
                </c:pt>
                <c:pt idx="40">
                  <c:v>0.98026357327273117</c:v>
                </c:pt>
                <c:pt idx="41">
                  <c:v>0.98148514316544699</c:v>
                </c:pt>
                <c:pt idx="42">
                  <c:v>0.98262932498990663</c:v>
                </c:pt>
                <c:pt idx="43">
                  <c:v>0.98370115403018521</c:v>
                </c:pt>
                <c:pt idx="44">
                  <c:v>0.98470531978781184</c:v>
                </c:pt>
                <c:pt idx="45">
                  <c:v>0.98564619249589591</c:v>
                </c:pt>
                <c:pt idx="46">
                  <c:v>0.98652784716704123</c:v>
                </c:pt>
                <c:pt idx="47">
                  <c:v>0.98735408546669989</c:v>
                </c:pt>
                <c:pt idx="48">
                  <c:v>0.98812845567906216</c:v>
                </c:pt>
                <c:pt idx="49">
                  <c:v>0.98812845567906216</c:v>
                </c:pt>
                <c:pt idx="50">
                  <c:v>0.7050663872926809</c:v>
                </c:pt>
                <c:pt idx="51">
                  <c:v>0.47948934392676196</c:v>
                </c:pt>
                <c:pt idx="52">
                  <c:v>0.3548465892508389</c:v>
                </c:pt>
                <c:pt idx="53">
                  <c:v>0.28661794113314792</c:v>
                </c:pt>
                <c:pt idx="54">
                  <c:v>0.24614179645842724</c:v>
                </c:pt>
                <c:pt idx="55">
                  <c:v>0.21900766909698099</c:v>
                </c:pt>
                <c:pt idx="56">
                  <c:v>0.19856076890183932</c:v>
                </c:pt>
                <c:pt idx="57">
                  <c:v>0.18180200057581264</c:v>
                </c:pt>
                <c:pt idx="58">
                  <c:v>0.16735656820404551</c:v>
                </c:pt>
                <c:pt idx="59">
                  <c:v>0.15455689764618838</c:v>
                </c:pt>
                <c:pt idx="60">
                  <c:v>0.14304489909811685</c:v>
                </c:pt>
                <c:pt idx="61">
                  <c:v>0.13260309856190944</c:v>
                </c:pt>
                <c:pt idx="62">
                  <c:v>0.12308215753732427</c:v>
                </c:pt>
                <c:pt idx="63">
                  <c:v>0.11436922866165497</c:v>
                </c:pt>
                <c:pt idx="64">
                  <c:v>0.10637360023437276</c:v>
                </c:pt>
                <c:pt idx="65">
                  <c:v>9.9019644474392529E-2</c:v>
                </c:pt>
                <c:pt idx="66">
                  <c:v>9.2242620481263485E-2</c:v>
                </c:pt>
                <c:pt idx="67">
                  <c:v>8.5986649141520322E-2</c:v>
                </c:pt>
                <c:pt idx="68">
                  <c:v>8.0202892127459013E-2</c:v>
                </c:pt>
                <c:pt idx="69">
                  <c:v>7.4848356336224553E-2</c:v>
                </c:pt>
                <c:pt idx="70">
                  <c:v>6.9885118994305453E-2</c:v>
                </c:pt>
                <c:pt idx="71">
                  <c:v>6.527944514057997E-2</c:v>
                </c:pt>
                <c:pt idx="72">
                  <c:v>6.1001306955532013E-2</c:v>
                </c:pt>
                <c:pt idx="73">
                  <c:v>5.7023794339034276E-2</c:v>
                </c:pt>
                <c:pt idx="74">
                  <c:v>5.3322760425748641E-2</c:v>
                </c:pt>
                <c:pt idx="75">
                  <c:v>4.9876437532177499E-2</c:v>
                </c:pt>
                <c:pt idx="76">
                  <c:v>4.6665151308647866E-2</c:v>
                </c:pt>
                <c:pt idx="77">
                  <c:v>4.3671076872398421E-2</c:v>
                </c:pt>
                <c:pt idx="78">
                  <c:v>4.0877984413143449E-2</c:v>
                </c:pt>
                <c:pt idx="79">
                  <c:v>3.8271091123911492E-2</c:v>
                </c:pt>
                <c:pt idx="80">
                  <c:v>3.5836971644596156E-2</c:v>
                </c:pt>
                <c:pt idx="81">
                  <c:v>3.3563191509148931E-2</c:v>
                </c:pt>
                <c:pt idx="82">
                  <c:v>3.1438453153414266E-2</c:v>
                </c:pt>
                <c:pt idx="83">
                  <c:v>2.9452331351063388E-2</c:v>
                </c:pt>
                <c:pt idx="84">
                  <c:v>2.7595234917554723E-2</c:v>
                </c:pt>
                <c:pt idx="85">
                  <c:v>2.5858318206092384E-2</c:v>
                </c:pt>
                <c:pt idx="86">
                  <c:v>2.4233420474861354E-2</c:v>
                </c:pt>
                <c:pt idx="87">
                  <c:v>2.2712972766276672E-2</c:v>
                </c:pt>
                <c:pt idx="88">
                  <c:v>2.1289995588380892E-2</c:v>
                </c:pt>
                <c:pt idx="89">
                  <c:v>1.9957991893911911E-2</c:v>
                </c:pt>
                <c:pt idx="90">
                  <c:v>1.8710942258030761E-2</c:v>
                </c:pt>
                <c:pt idx="91">
                  <c:v>1.7543259836390792E-2</c:v>
                </c:pt>
                <c:pt idx="92">
                  <c:v>1.6449751763521613E-2</c:v>
                </c:pt>
                <c:pt idx="93">
                  <c:v>1.542557590271355E-2</c:v>
                </c:pt>
                <c:pt idx="94">
                  <c:v>1.446622134569363E-2</c:v>
                </c:pt>
                <c:pt idx="95">
                  <c:v>1.356749718741336E-2</c:v>
                </c:pt>
                <c:pt idx="96">
                  <c:v>1.2725499264852653E-2</c:v>
                </c:pt>
                <c:pt idx="97">
                  <c:v>1.1936579307317221E-2</c:v>
                </c:pt>
                <c:pt idx="98">
                  <c:v>1.1197329754835504E-2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5-4C95-8183-971D3E9BCE68}"/>
            </c:ext>
          </c:extLst>
        </c:ser>
        <c:ser>
          <c:idx val="1"/>
          <c:order val="1"/>
          <c:tx>
            <c:strRef>
              <c:f>dynamicR!$R$19</c:f>
              <c:strCache>
                <c:ptCount val="1"/>
                <c:pt idx="0">
                  <c:v>w1C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dynamicR!$R$21:$R$120</c:f>
              <c:numCache>
                <c:formatCode>0.00</c:formatCode>
                <c:ptCount val="100"/>
                <c:pt idx="0">
                  <c:v>0.10823279672741658</c:v>
                </c:pt>
                <c:pt idx="1">
                  <c:v>0.32384733494466816</c:v>
                </c:pt>
                <c:pt idx="2">
                  <c:v>0.49821884169104169</c:v>
                </c:pt>
                <c:pt idx="3">
                  <c:v>0.61075954503966223</c:v>
                </c:pt>
                <c:pt idx="4">
                  <c:v>0.67945853943412515</c:v>
                </c:pt>
                <c:pt idx="5">
                  <c:v>0.72281661457988144</c:v>
                </c:pt>
                <c:pt idx="6">
                  <c:v>0.75258318516899858</c:v>
                </c:pt>
                <c:pt idx="7">
                  <c:v>0.77508252535679201</c:v>
                </c:pt>
                <c:pt idx="8">
                  <c:v>0.79347807204339171</c:v>
                </c:pt>
                <c:pt idx="9">
                  <c:v>0.80931644518566404</c:v>
                </c:pt>
                <c:pt idx="10">
                  <c:v>0.82336905290319473</c:v>
                </c:pt>
                <c:pt idx="11">
                  <c:v>0.8360461297920927</c:v>
                </c:pt>
                <c:pt idx="12">
                  <c:v>0.84758943211594184</c:v>
                </c:pt>
                <c:pt idx="13">
                  <c:v>0.85815841756304201</c:v>
                </c:pt>
                <c:pt idx="14">
                  <c:v>0.86787041747524696</c:v>
                </c:pt>
                <c:pt idx="15">
                  <c:v>0.87681831792270848</c:v>
                </c:pt>
                <c:pt idx="16">
                  <c:v>0.88507918560153187</c:v>
                </c:pt>
                <c:pt idx="17">
                  <c:v>0.89271884221649433</c:v>
                </c:pt>
                <c:pt idx="18">
                  <c:v>0.89979446741930635</c:v>
                </c:pt>
                <c:pt idx="19">
                  <c:v>0.90635629143077212</c:v>
                </c:pt>
                <c:pt idx="20">
                  <c:v>0.91244869879536872</c:v>
                </c:pt>
                <c:pt idx="21">
                  <c:v>0.91811119200014624</c:v>
                </c:pt>
                <c:pt idx="22">
                  <c:v>0.92337903857753456</c:v>
                </c:pt>
                <c:pt idx="23">
                  <c:v>0.92828391782544462</c:v>
                </c:pt>
                <c:pt idx="24">
                  <c:v>0.9328543490582164</c:v>
                </c:pt>
                <c:pt idx="25">
                  <c:v>0.93711606302698347</c:v>
                </c:pt>
                <c:pt idx="26">
                  <c:v>0.94109238186026167</c:v>
                </c:pt>
                <c:pt idx="27">
                  <c:v>0.94480450947622274</c:v>
                </c:pt>
                <c:pt idx="28">
                  <c:v>0.94827176793280876</c:v>
                </c:pt>
                <c:pt idx="29">
                  <c:v>0.95151179980576761</c:v>
                </c:pt>
                <c:pt idx="30">
                  <c:v>0.95454075135252747</c:v>
                </c:pt>
                <c:pt idx="31">
                  <c:v>0.95737343593433233</c:v>
                </c:pt>
                <c:pt idx="32">
                  <c:v>0.96002347285609935</c:v>
                </c:pt>
                <c:pt idx="33">
                  <c:v>0.96250340397745793</c:v>
                </c:pt>
                <c:pt idx="34">
                  <c:v>0.9648247961560904</c:v>
                </c:pt>
                <c:pt idx="35">
                  <c:v>0.96699833397985935</c:v>
                </c:pt>
                <c:pt idx="36">
                  <c:v>0.96903390213585183</c:v>
                </c:pt>
                <c:pt idx="37">
                  <c:v>0.9709406570953345</c:v>
                </c:pt>
                <c:pt idx="38">
                  <c:v>0.97272709016032088</c:v>
                </c:pt>
                <c:pt idx="39">
                  <c:v>0.97440108401453507</c:v>
                </c:pt>
                <c:pt idx="40">
                  <c:v>0.97596996367300781</c:v>
                </c:pt>
                <c:pt idx="41">
                  <c:v>0.97744054216657317</c:v>
                </c:pt>
                <c:pt idx="42">
                  <c:v>0.97881916146142045</c:v>
                </c:pt>
                <c:pt idx="43">
                  <c:v>0.98011172929390056</c:v>
                </c:pt>
                <c:pt idx="44">
                  <c:v>0.98132375254889592</c:v>
                </c:pt>
                <c:pt idx="45">
                  <c:v>0.98246036761516109</c:v>
                </c:pt>
                <c:pt idx="46">
                  <c:v>0.98352636799646598</c:v>
                </c:pt>
                <c:pt idx="47">
                  <c:v>0.98452622944182278</c:v>
                </c:pt>
                <c:pt idx="48">
                  <c:v>0.98546413289127732</c:v>
                </c:pt>
                <c:pt idx="49">
                  <c:v>0.98546413289127732</c:v>
                </c:pt>
                <c:pt idx="50">
                  <c:v>0.87811117644584136</c:v>
                </c:pt>
                <c:pt idx="51">
                  <c:v>0.6633221925240691</c:v>
                </c:pt>
                <c:pt idx="52">
                  <c:v>0.48972495519227399</c:v>
                </c:pt>
                <c:pt idx="53">
                  <c:v>0.37791112100784313</c:v>
                </c:pt>
                <c:pt idx="54">
                  <c:v>0.30989396186548757</c:v>
                </c:pt>
                <c:pt idx="55">
                  <c:v>0.26717594060444705</c:v>
                </c:pt>
                <c:pt idx="56">
                  <c:v>0.2380100308065804</c:v>
                </c:pt>
                <c:pt idx="57">
                  <c:v>0.21607416706215271</c:v>
                </c:pt>
                <c:pt idx="58">
                  <c:v>0.19820749104015251</c:v>
                </c:pt>
                <c:pt idx="59">
                  <c:v>0.18286565520306089</c:v>
                </c:pt>
                <c:pt idx="60">
                  <c:v>0.16927901146424579</c:v>
                </c:pt>
                <c:pt idx="61">
                  <c:v>0.15703925144437203</c:v>
                </c:pt>
                <c:pt idx="62">
                  <c:v>0.14590670692873906</c:v>
                </c:pt>
                <c:pt idx="63">
                  <c:v>0.13572322828317701</c:v>
                </c:pt>
                <c:pt idx="64">
                  <c:v>0.12637310995840154</c:v>
                </c:pt>
                <c:pt idx="65">
                  <c:v>0.11776506206550075</c:v>
                </c:pt>
                <c:pt idx="66">
                  <c:v>0.10982327969751488</c:v>
                </c:pt>
                <c:pt idx="67">
                  <c:v>0.10248322599648864</c:v>
                </c:pt>
                <c:pt idx="68">
                  <c:v>9.5688965244306756E-2</c:v>
                </c:pt>
                <c:pt idx="69">
                  <c:v>8.9391350472491388E-2</c:v>
                </c:pt>
                <c:pt idx="70">
                  <c:v>8.354704931906469E-2</c:v>
                </c:pt>
                <c:pt idx="71">
                  <c:v>7.8117556132932059E-2</c:v>
                </c:pt>
                <c:pt idx="72">
                  <c:v>7.3068527403878328E-2</c:v>
                </c:pt>
                <c:pt idx="73">
                  <c:v>6.8369168963756652E-2</c:v>
                </c:pt>
                <c:pt idx="74">
                  <c:v>6.3991795915615227E-2</c:v>
                </c:pt>
                <c:pt idx="75">
                  <c:v>5.991143190148121E-2</c:v>
                </c:pt>
                <c:pt idx="76">
                  <c:v>5.6105470293159522E-2</c:v>
                </c:pt>
                <c:pt idx="77">
                  <c:v>5.2553389025515707E-2</c:v>
                </c:pt>
                <c:pt idx="78">
                  <c:v>4.9236494046523804E-2</c:v>
                </c:pt>
                <c:pt idx="79">
                  <c:v>4.6137724840582151E-2</c:v>
                </c:pt>
                <c:pt idx="80">
                  <c:v>4.3241561953385091E-2</c:v>
                </c:pt>
                <c:pt idx="81">
                  <c:v>4.0533629217551742E-2</c:v>
                </c:pt>
                <c:pt idx="82">
                  <c:v>3.8000838431075074E-2</c:v>
                </c:pt>
                <c:pt idx="83">
                  <c:v>3.5631097284238786E-2</c:v>
                </c:pt>
                <c:pt idx="84">
                  <c:v>3.3413275144792004E-2</c:v>
                </c:pt>
                <c:pt idx="85">
                  <c:v>3.1337091280743773E-2</c:v>
                </c:pt>
                <c:pt idx="86">
                  <c:v>2.9393045648259567E-2</c:v>
                </c:pt>
                <c:pt idx="87">
                  <c:v>2.7572330959959045E-2</c:v>
                </c:pt>
                <c:pt idx="88">
                  <c:v>2.5866805766520087E-2</c:v>
                </c:pt>
                <c:pt idx="89">
                  <c:v>2.426888853395991E-2</c:v>
                </c:pt>
                <c:pt idx="90">
                  <c:v>2.2771550328704569E-2</c:v>
                </c:pt>
                <c:pt idx="91">
                  <c:v>2.1368260853275242E-2</c:v>
                </c:pt>
                <c:pt idx="92">
                  <c:v>2.0052939423333652E-2</c:v>
                </c:pt>
                <c:pt idx="93">
                  <c:v>1.8819919477889618E-2</c:v>
                </c:pt>
                <c:pt idx="94">
                  <c:v>1.7663911862982495E-2</c:v>
                </c:pt>
                <c:pt idx="95">
                  <c:v>1.6580000183522986E-2</c:v>
                </c:pt>
                <c:pt idx="96">
                  <c:v>1.5563602908502042E-2</c:v>
                </c:pt>
                <c:pt idx="97">
                  <c:v>1.4610428206244103E-2</c:v>
                </c:pt>
                <c:pt idx="98">
                  <c:v>1.371647125087702E-2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75-4C95-8183-971D3E9BCE68}"/>
            </c:ext>
          </c:extLst>
        </c:ser>
        <c:ser>
          <c:idx val="2"/>
          <c:order val="2"/>
          <c:tx>
            <c:strRef>
              <c:f>dynamicR!$S$19</c:f>
              <c:strCache>
                <c:ptCount val="1"/>
                <c:pt idx="0">
                  <c:v>w2C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FFFF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dynamicR!$S$21:$S$120</c:f>
              <c:numCache>
                <c:formatCode>0.00</c:formatCode>
                <c:ptCount val="100"/>
                <c:pt idx="0">
                  <c:v>1.1745077396565818E-2</c:v>
                </c:pt>
                <c:pt idx="1">
                  <c:v>4.9338295938749749E-2</c:v>
                </c:pt>
                <c:pt idx="2">
                  <c:v>0.10042432136444737</c:v>
                </c:pt>
                <c:pt idx="3">
                  <c:v>0.15565298117693635</c:v>
                </c:pt>
                <c:pt idx="4">
                  <c:v>0.21051098780125044</c:v>
                </c:pt>
                <c:pt idx="5">
                  <c:v>0.26314359330991</c:v>
                </c:pt>
                <c:pt idx="6">
                  <c:v>0.31289655497296659</c:v>
                </c:pt>
                <c:pt idx="7">
                  <c:v>0.35961533921784711</c:v>
                </c:pt>
                <c:pt idx="8">
                  <c:v>0.40334465974922956</c:v>
                </c:pt>
                <c:pt idx="9">
                  <c:v>0.44420564712735661</c:v>
                </c:pt>
                <c:pt idx="10">
                  <c:v>0.48234652627227936</c:v>
                </c:pt>
                <c:pt idx="11">
                  <c:v>0.51792255686625754</c:v>
                </c:pt>
                <c:pt idx="12">
                  <c:v>0.55108815968267366</c:v>
                </c:pt>
                <c:pt idx="13">
                  <c:v>0.58199306371987036</c:v>
                </c:pt>
                <c:pt idx="14">
                  <c:v>0.61078101010644337</c:v>
                </c:pt>
                <c:pt idx="15">
                  <c:v>0.63758901391169964</c:v>
                </c:pt>
                <c:pt idx="16">
                  <c:v>0.66254701858964726</c:v>
                </c:pt>
                <c:pt idx="17">
                  <c:v>0.6857779351795813</c:v>
                </c:pt>
                <c:pt idx="18">
                  <c:v>0.70739768721258578</c:v>
                </c:pt>
                <c:pt idx="19">
                  <c:v>0.72751536670001049</c:v>
                </c:pt>
                <c:pt idx="20">
                  <c:v>0.74623344014611104</c:v>
                </c:pt>
                <c:pt idx="21">
                  <c:v>0.76364799979585196</c:v>
                </c:pt>
                <c:pt idx="22">
                  <c:v>0.7798490232093499</c:v>
                </c:pt>
                <c:pt idx="23">
                  <c:v>0.7949206757726579</c:v>
                </c:pt>
                <c:pt idx="24">
                  <c:v>0.80894159679554101</c:v>
                </c:pt>
                <c:pt idx="25">
                  <c:v>0.82198518034631884</c:v>
                </c:pt>
                <c:pt idx="26">
                  <c:v>0.8341198761173958</c:v>
                </c:pt>
                <c:pt idx="27">
                  <c:v>0.84540947960422863</c:v>
                </c:pt>
                <c:pt idx="28">
                  <c:v>0.85591341172942403</c:v>
                </c:pt>
                <c:pt idx="29">
                  <c:v>0.86568698698640301</c:v>
                </c:pt>
                <c:pt idx="30">
                  <c:v>0.87478167222138425</c:v>
                </c:pt>
                <c:pt idx="31">
                  <c:v>0.88324533564973751</c:v>
                </c:pt>
                <c:pt idx="32">
                  <c:v>0.89112248409780204</c:v>
                </c:pt>
                <c:pt idx="33">
                  <c:v>0.89845448724774368</c:v>
                </c:pt>
                <c:pt idx="34">
                  <c:v>0.90527978919183549</c:v>
                </c:pt>
                <c:pt idx="35">
                  <c:v>0.91163410807804302</c:v>
                </c:pt>
                <c:pt idx="36">
                  <c:v>0.91755062421452382</c:v>
                </c:pt>
                <c:pt idx="37">
                  <c:v>0.92306015670634833</c:v>
                </c:pt>
                <c:pt idx="38">
                  <c:v>0.92819132884872035</c:v>
                </c:pt>
                <c:pt idx="39">
                  <c:v>0.93297072277469262</c:v>
                </c:pt>
                <c:pt idx="40">
                  <c:v>0.93742302396464638</c:v>
                </c:pt>
                <c:pt idx="41">
                  <c:v>0.94157115616802112</c:v>
                </c:pt>
                <c:pt idx="42">
                  <c:v>0.94543640720854483</c:v>
                </c:pt>
                <c:pt idx="43">
                  <c:v>0.94903854613846106</c:v>
                </c:pt>
                <c:pt idx="44">
                  <c:v>0.95239593224842978</c:v>
                </c:pt>
                <c:pt idx="45">
                  <c:v>0.95552561645380174</c:v>
                </c:pt>
                <c:pt idx="46">
                  <c:v>0.95844343554638878</c:v>
                </c:pt>
                <c:pt idx="47">
                  <c:v>0.9611640997609272</c:v>
                </c:pt>
                <c:pt idx="48">
                  <c:v>0.96370127408441142</c:v>
                </c:pt>
                <c:pt idx="49">
                  <c:v>0.96370127408441142</c:v>
                </c:pt>
                <c:pt idx="50">
                  <c:v>0.95432257376421015</c:v>
                </c:pt>
                <c:pt idx="51">
                  <c:v>0.91893673765151418</c:v>
                </c:pt>
                <c:pt idx="52">
                  <c:v>0.86991005116659681</c:v>
                </c:pt>
                <c:pt idx="53">
                  <c:v>0.81660289026310451</c:v>
                </c:pt>
                <c:pt idx="54">
                  <c:v>0.76353798746501012</c:v>
                </c:pt>
                <c:pt idx="55">
                  <c:v>0.71257888117341428</c:v>
                </c:pt>
                <c:pt idx="56">
                  <c:v>0.66438804152098796</c:v>
                </c:pt>
                <c:pt idx="57">
                  <c:v>0.61912758676164636</c:v>
                </c:pt>
                <c:pt idx="58">
                  <c:v>0.57675987783333138</c:v>
                </c:pt>
                <c:pt idx="59">
                  <c:v>0.53717035518894185</c:v>
                </c:pt>
                <c:pt idx="60">
                  <c:v>0.50021694968890429</c:v>
                </c:pt>
                <c:pt idx="61">
                  <c:v>0.46574999959735036</c:v>
                </c:pt>
                <c:pt idx="62">
                  <c:v>0.43362051355052667</c:v>
                </c:pt>
                <c:pt idx="63">
                  <c:v>0.40368359356674105</c:v>
                </c:pt>
                <c:pt idx="64">
                  <c:v>0.3758000721354024</c:v>
                </c:pt>
                <c:pt idx="65">
                  <c:v>0.34983736285514155</c:v>
                </c:pt>
                <c:pt idx="66">
                  <c:v>0.32566935423932492</c:v>
                </c:pt>
                <c:pt idx="67">
                  <c:v>0.30317686073484484</c:v>
                </c:pt>
                <c:pt idx="68">
                  <c:v>0.2822475230414247</c:v>
                </c:pt>
                <c:pt idx="69">
                  <c:v>0.26277532566867884</c:v>
                </c:pt>
                <c:pt idx="70">
                  <c:v>0.24466083590234955</c:v>
                </c:pt>
                <c:pt idx="71">
                  <c:v>0.22781072677258948</c:v>
                </c:pt>
                <c:pt idx="72">
                  <c:v>0.21213765081271097</c:v>
                </c:pt>
                <c:pt idx="73">
                  <c:v>0.1975598416121708</c:v>
                </c:pt>
                <c:pt idx="74">
                  <c:v>0.18400092317969216</c:v>
                </c:pt>
                <c:pt idx="75">
                  <c:v>0.17138961013086698</c:v>
                </c:pt>
                <c:pt idx="76">
                  <c:v>0.15965941849002582</c:v>
                </c:pt>
                <c:pt idx="77">
                  <c:v>0.14874839328668446</c:v>
                </c:pt>
                <c:pt idx="78">
                  <c:v>0.13859877954159069</c:v>
                </c:pt>
                <c:pt idx="79">
                  <c:v>0.12915681078380187</c:v>
                </c:pt>
                <c:pt idx="80">
                  <c:v>0.12037274507660063</c:v>
                </c:pt>
                <c:pt idx="81">
                  <c:v>0.1121998233185971</c:v>
                </c:pt>
                <c:pt idx="82">
                  <c:v>0.10459495910524522</c:v>
                </c:pt>
                <c:pt idx="83">
                  <c:v>9.7517949604781037E-2</c:v>
                </c:pt>
                <c:pt idx="84">
                  <c:v>9.0931487760306698E-2</c:v>
                </c:pt>
                <c:pt idx="85">
                  <c:v>8.4800903355176496E-2</c:v>
                </c:pt>
                <c:pt idx="86">
                  <c:v>7.9094014534378129E-2</c:v>
                </c:pt>
                <c:pt idx="87">
                  <c:v>7.3780885926620438E-2</c:v>
                </c:pt>
                <c:pt idx="88">
                  <c:v>6.8833801435769434E-2</c:v>
                </c:pt>
                <c:pt idx="89">
                  <c:v>6.4226932470774184E-2</c:v>
                </c:pt>
                <c:pt idx="90">
                  <c:v>5.993634225062211E-2</c:v>
                </c:pt>
                <c:pt idx="91">
                  <c:v>5.5939822902897611E-2</c:v>
                </c:pt>
                <c:pt idx="92">
                  <c:v>5.2216745105046758E-2</c:v>
                </c:pt>
                <c:pt idx="93">
                  <c:v>4.8747935798334301E-2</c:v>
                </c:pt>
                <c:pt idx="94">
                  <c:v>4.5515565133641793E-2</c:v>
                </c:pt>
                <c:pt idx="95">
                  <c:v>4.2503130988759547E-2</c:v>
                </c:pt>
                <c:pt idx="96">
                  <c:v>3.9695328267256601E-2</c:v>
                </c:pt>
                <c:pt idx="97">
                  <c:v>3.7077894594827736E-2</c:v>
                </c:pt>
                <c:pt idx="98">
                  <c:v>3.4637591656471109E-2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75-4C95-8183-971D3E9BCE68}"/>
            </c:ext>
          </c:extLst>
        </c:ser>
        <c:ser>
          <c:idx val="3"/>
          <c:order val="3"/>
          <c:tx>
            <c:strRef>
              <c:f>dynamicR!$T$19</c:f>
              <c:strCache>
                <c:ptCount val="1"/>
                <c:pt idx="0">
                  <c:v>sd1C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  <c:spPr>
              <a:solidFill>
                <a:srgbClr val="FFFFFF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dynamicR!$T$21:$T$120</c:f>
              <c:numCache>
                <c:formatCode>0.00</c:formatCode>
                <c:ptCount val="100"/>
                <c:pt idx="0">
                  <c:v>2.617773031496416E-3</c:v>
                </c:pt>
                <c:pt idx="1">
                  <c:v>1.8211182424293367E-2</c:v>
                </c:pt>
                <c:pt idx="2">
                  <c:v>4.7205320662142849E-2</c:v>
                </c:pt>
                <c:pt idx="3">
                  <c:v>8.4418534681293872E-2</c:v>
                </c:pt>
                <c:pt idx="4">
                  <c:v>0.12536131126504252</c:v>
                </c:pt>
                <c:pt idx="5">
                  <c:v>0.16729597531480081</c:v>
                </c:pt>
                <c:pt idx="6">
                  <c:v>0.20878248763136134</c:v>
                </c:pt>
                <c:pt idx="7">
                  <c:v>0.24912445710874534</c:v>
                </c:pt>
                <c:pt idx="8">
                  <c:v>0.28800712937961825</c:v>
                </c:pt>
                <c:pt idx="9">
                  <c:v>0.32530193867768331</c:v>
                </c:pt>
                <c:pt idx="10">
                  <c:v>0.36096999019077153</c:v>
                </c:pt>
                <c:pt idx="11">
                  <c:v>0.39501624440685529</c:v>
                </c:pt>
                <c:pt idx="12">
                  <c:v>0.42746813933982353</c:v>
                </c:pt>
                <c:pt idx="13">
                  <c:v>0.45836532819855197</c:v>
                </c:pt>
                <c:pt idx="14">
                  <c:v>0.4877544538819617</c:v>
                </c:pt>
                <c:pt idx="15">
                  <c:v>0.51568631328380754</c:v>
                </c:pt>
                <c:pt idx="16">
                  <c:v>0.5422141465463669</c:v>
                </c:pt>
                <c:pt idx="17">
                  <c:v>0.56739248660107211</c:v>
                </c:pt>
                <c:pt idx="18">
                  <c:v>0.59127636238831482</c:v>
                </c:pt>
                <c:pt idx="19">
                  <c:v>0.61392068831008118</c:v>
                </c:pt>
                <c:pt idx="20">
                  <c:v>0.63537982687891748</c:v>
                </c:pt>
                <c:pt idx="21">
                  <c:v>0.65570722753252009</c:v>
                </c:pt>
                <c:pt idx="22">
                  <c:v>0.67495517352350276</c:v>
                </c:pt>
                <c:pt idx="23">
                  <c:v>0.69317456334584304</c:v>
                </c:pt>
                <c:pt idx="24">
                  <c:v>0.71041478088894039</c:v>
                </c:pt>
                <c:pt idx="25">
                  <c:v>0.72672360355767218</c:v>
                </c:pt>
                <c:pt idx="26">
                  <c:v>0.74214711644337339</c:v>
                </c:pt>
                <c:pt idx="27">
                  <c:v>0.75672966653932727</c:v>
                </c:pt>
                <c:pt idx="28">
                  <c:v>0.77051384811983903</c:v>
                </c:pt>
                <c:pt idx="29">
                  <c:v>0.78354050571910194</c:v>
                </c:pt>
                <c:pt idx="30">
                  <c:v>0.79584874559018504</c:v>
                </c:pt>
                <c:pt idx="31">
                  <c:v>0.80747595656771831</c:v>
                </c:pt>
                <c:pt idx="32">
                  <c:v>0.8184578422754184</c:v>
                </c:pt>
                <c:pt idx="33">
                  <c:v>0.82882846229606078</c:v>
                </c:pt>
                <c:pt idx="34">
                  <c:v>0.83862027810690998</c:v>
                </c:pt>
                <c:pt idx="35">
                  <c:v>0.84786420157613995</c:v>
                </c:pt>
                <c:pt idx="36">
                  <c:v>0.85658964590593756</c:v>
                </c:pt>
                <c:pt idx="37">
                  <c:v>0.86482457893873033</c:v>
                </c:pt>
                <c:pt idx="38">
                  <c:v>0.87259557786390896</c:v>
                </c:pt>
                <c:pt idx="39">
                  <c:v>0.87992788418092416</c:v>
                </c:pt>
                <c:pt idx="40">
                  <c:v>0.8868454583181743</c:v>
                </c:pt>
                <c:pt idx="41">
                  <c:v>0.89337103374481608</c:v>
                </c:pt>
                <c:pt idx="42">
                  <c:v>0.89952617040555516</c:v>
                </c:pt>
                <c:pt idx="43">
                  <c:v>0.90533130716109633</c:v>
                </c:pt>
                <c:pt idx="44">
                  <c:v>0.91080581293303353</c:v>
                </c:pt>
                <c:pt idx="45">
                  <c:v>0.91596803639638325</c:v>
                </c:pt>
                <c:pt idx="46">
                  <c:v>0.92083535416263051</c:v>
                </c:pt>
                <c:pt idx="47">
                  <c:v>0.92542421740104186</c:v>
                </c:pt>
                <c:pt idx="48">
                  <c:v>0.92975019682922477</c:v>
                </c:pt>
                <c:pt idx="49">
                  <c:v>0.92975019682922477</c:v>
                </c:pt>
                <c:pt idx="50">
                  <c:v>0.9312102514129883</c:v>
                </c:pt>
                <c:pt idx="51">
                  <c:v>0.91946045429427081</c:v>
                </c:pt>
                <c:pt idx="52">
                  <c:v>0.89408891416967584</c:v>
                </c:pt>
                <c:pt idx="53">
                  <c:v>0.86028971639498197</c:v>
                </c:pt>
                <c:pt idx="54">
                  <c:v>0.82256418564643474</c:v>
                </c:pt>
                <c:pt idx="55">
                  <c:v>0.7836610974526842</c:v>
                </c:pt>
                <c:pt idx="56">
                  <c:v>0.74503106323307389</c:v>
                </c:pt>
                <c:pt idx="57">
                  <c:v>0.70738042378351906</c:v>
                </c:pt>
                <c:pt idx="58">
                  <c:v>0.67103331156434309</c:v>
                </c:pt>
                <c:pt idx="59">
                  <c:v>0.63612714715168295</c:v>
                </c:pt>
                <c:pt idx="60">
                  <c:v>0.60270925024717925</c:v>
                </c:pt>
                <c:pt idx="61">
                  <c:v>0.57078254376102733</c:v>
                </c:pt>
                <c:pt idx="62">
                  <c:v>0.54032706007060927</c:v>
                </c:pt>
                <c:pt idx="63">
                  <c:v>0.5113102143902285</c:v>
                </c:pt>
                <c:pt idx="64">
                  <c:v>0.48369201143402801</c:v>
                </c:pt>
                <c:pt idx="65">
                  <c:v>0.45742797349919956</c:v>
                </c:pt>
                <c:pt idx="66">
                  <c:v>0.43247076162211906</c:v>
                </c:pt>
                <c:pt idx="67">
                  <c:v>0.40877143599784743</c:v>
                </c:pt>
                <c:pt idx="68">
                  <c:v>0.38628030956875714</c:v>
                </c:pt>
                <c:pt idx="69">
                  <c:v>0.36494738130522358</c:v>
                </c:pt>
                <c:pt idx="70">
                  <c:v>0.34472301438036895</c:v>
                </c:pt>
                <c:pt idx="71">
                  <c:v>0.32555817833141215</c:v>
                </c:pt>
                <c:pt idx="72">
                  <c:v>0.30740479667378168</c:v>
                </c:pt>
                <c:pt idx="73">
                  <c:v>0.29021589202608156</c:v>
                </c:pt>
                <c:pt idx="74">
                  <c:v>0.27394578879401638</c:v>
                </c:pt>
                <c:pt idx="75">
                  <c:v>0.25855022519491755</c:v>
                </c:pt>
                <c:pt idx="76">
                  <c:v>0.24398642828489303</c:v>
                </c:pt>
                <c:pt idx="77">
                  <c:v>0.23021317255699042</c:v>
                </c:pt>
                <c:pt idx="78">
                  <c:v>0.21719076935814435</c:v>
                </c:pt>
                <c:pt idx="79">
                  <c:v>0.20488110598511525</c:v>
                </c:pt>
                <c:pt idx="80">
                  <c:v>0.193247866872785</c:v>
                </c:pt>
                <c:pt idx="81">
                  <c:v>0.1822559182456818</c:v>
                </c:pt>
                <c:pt idx="82">
                  <c:v>0.17187196823591039</c:v>
                </c:pt>
                <c:pt idx="83">
                  <c:v>0.16206411022453254</c:v>
                </c:pt>
                <c:pt idx="84">
                  <c:v>0.15280194793400825</c:v>
                </c:pt>
                <c:pt idx="85">
                  <c:v>0.1440565054880853</c:v>
                </c:pt>
                <c:pt idx="86">
                  <c:v>0.13580021089505412</c:v>
                </c:pt>
                <c:pt idx="87">
                  <c:v>0.12800678846154606</c:v>
                </c:pt>
                <c:pt idx="88">
                  <c:v>0.12065132744818564</c:v>
                </c:pt>
                <c:pt idx="89">
                  <c:v>0.11371007298898858</c:v>
                </c:pt>
                <c:pt idx="90">
                  <c:v>0.10716050375444768</c:v>
                </c:pt>
                <c:pt idx="91">
                  <c:v>0.10098125865841405</c:v>
                </c:pt>
                <c:pt idx="92">
                  <c:v>9.5152055284561249E-2</c:v>
                </c:pt>
                <c:pt idx="93">
                  <c:v>8.9653648602059904E-2</c:v>
                </c:pt>
                <c:pt idx="94">
                  <c:v>8.4467772188512397E-2</c:v>
                </c:pt>
                <c:pt idx="95">
                  <c:v>7.9577153599542705E-2</c:v>
                </c:pt>
                <c:pt idx="96">
                  <c:v>7.496544446322774E-2</c:v>
                </c:pt>
                <c:pt idx="97">
                  <c:v>7.061712723094371E-2</c:v>
                </c:pt>
                <c:pt idx="98">
                  <c:v>6.651751440816446E-2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75-4C95-8183-971D3E9BCE68}"/>
            </c:ext>
          </c:extLst>
        </c:ser>
        <c:ser>
          <c:idx val="4"/>
          <c:order val="4"/>
          <c:tx>
            <c:strRef>
              <c:f>dynamicR!$U$19</c:f>
              <c:strCache>
                <c:ptCount val="1"/>
                <c:pt idx="0">
                  <c:v>sd2C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3"/>
            <c:spPr>
              <a:solidFill>
                <a:srgbClr val="FFFF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dynamicR!$U$21:$U$120</c:f>
              <c:numCache>
                <c:formatCode>0.00</c:formatCode>
                <c:ptCount val="100"/>
                <c:pt idx="0">
                  <c:v>2.1650781722583424E-4</c:v>
                </c:pt>
                <c:pt idx="1">
                  <c:v>1.971480822397122E-3</c:v>
                </c:pt>
                <c:pt idx="2">
                  <c:v>6.3831179383712277E-3</c:v>
                </c:pt>
                <c:pt idx="3">
                  <c:v>1.3793943937889885E-2</c:v>
                </c:pt>
                <c:pt idx="4">
                  <c:v>2.4116090327254116E-2</c:v>
                </c:pt>
                <c:pt idx="5">
                  <c:v>3.7084057226445664E-2</c:v>
                </c:pt>
                <c:pt idx="6">
                  <c:v>5.2377671585877333E-2</c:v>
                </c:pt>
                <c:pt idx="7">
                  <c:v>6.9674056540604878E-2</c:v>
                </c:pt>
                <c:pt idx="8">
                  <c:v>8.8667631126203517E-2</c:v>
                </c:pt>
                <c:pt idx="9">
                  <c:v>0.10907683737117162</c:v>
                </c:pt>
                <c:pt idx="10">
                  <c:v>0.13064557215104489</c:v>
                </c:pt>
                <c:pt idx="11">
                  <c:v>0.15314275913286429</c:v>
                </c:pt>
                <c:pt idx="12">
                  <c:v>0.17636052152807152</c:v>
                </c:pt>
                <c:pt idx="13">
                  <c:v>0.20011315205217151</c:v>
                </c:pt>
                <c:pt idx="14">
                  <c:v>0.22423504963837815</c:v>
                </c:pt>
                <c:pt idx="15">
                  <c:v>0.24857917710750979</c:v>
                </c:pt>
                <c:pt idx="16">
                  <c:v>0.27301567772708712</c:v>
                </c:pt>
                <c:pt idx="17">
                  <c:v>0.29743021615665716</c:v>
                </c:pt>
                <c:pt idx="18">
                  <c:v>0.32172268158377942</c:v>
                </c:pt>
                <c:pt idx="19">
                  <c:v>0.34580588250157324</c:v>
                </c:pt>
                <c:pt idx="20">
                  <c:v>0.36960438046980698</c:v>
                </c:pt>
                <c:pt idx="21">
                  <c:v>0.39305334989259649</c:v>
                </c:pt>
                <c:pt idx="22">
                  <c:v>0.41609758806113345</c:v>
                </c:pt>
                <c:pt idx="23">
                  <c:v>0.43869049801114229</c:v>
                </c:pt>
                <c:pt idx="24">
                  <c:v>0.46079325611165328</c:v>
                </c:pt>
                <c:pt idx="25">
                  <c:v>0.48237406172098946</c:v>
                </c:pt>
                <c:pt idx="26">
                  <c:v>0.50340735805463765</c:v>
                </c:pt>
                <c:pt idx="27">
                  <c:v>0.52387314660606799</c:v>
                </c:pt>
                <c:pt idx="28">
                  <c:v>0.54375638247713121</c:v>
                </c:pt>
                <c:pt idx="29">
                  <c:v>0.56304642814144767</c:v>
                </c:pt>
                <c:pt idx="30">
                  <c:v>0.58173654426205545</c:v>
                </c:pt>
                <c:pt idx="31">
                  <c:v>0.59982341978294129</c:v>
                </c:pt>
                <c:pt idx="32">
                  <c:v>0.61730674876363512</c:v>
                </c:pt>
                <c:pt idx="33">
                  <c:v>0.63418885210343712</c:v>
                </c:pt>
                <c:pt idx="34">
                  <c:v>0.650474335947685</c:v>
                </c:pt>
                <c:pt idx="35">
                  <c:v>0.66616978092984591</c:v>
                </c:pt>
                <c:pt idx="36">
                  <c:v>0.68128346086813352</c:v>
                </c:pt>
                <c:pt idx="37">
                  <c:v>0.69582509039711682</c:v>
                </c:pt>
                <c:pt idx="38">
                  <c:v>0.70980559928561116</c:v>
                </c:pt>
                <c:pt idx="39">
                  <c:v>0.72323693022156099</c:v>
                </c:pt>
                <c:pt idx="40">
                  <c:v>0.73613185751107479</c:v>
                </c:pt>
                <c:pt idx="41">
                  <c:v>0.74850382509074898</c:v>
                </c:pt>
                <c:pt idx="42">
                  <c:v>0.76036680247458566</c:v>
                </c:pt>
                <c:pt idx="43">
                  <c:v>0.77173515701790762</c:v>
                </c:pt>
                <c:pt idx="44">
                  <c:v>0.78262354081385033</c:v>
                </c:pt>
                <c:pt idx="45">
                  <c:v>0.79304679077043916</c:v>
                </c:pt>
                <c:pt idx="46">
                  <c:v>0.80301984067645615</c:v>
                </c:pt>
                <c:pt idx="47">
                  <c:v>0.81255764417376242</c:v>
                </c:pt>
                <c:pt idx="48">
                  <c:v>0.82167510757738194</c:v>
                </c:pt>
                <c:pt idx="49">
                  <c:v>0.82167510757738194</c:v>
                </c:pt>
                <c:pt idx="50">
                  <c:v>0.83017052212628217</c:v>
                </c:pt>
                <c:pt idx="51">
                  <c:v>0.83673657680396651</c:v>
                </c:pt>
                <c:pt idx="52">
                  <c:v>0.84026951935304184</c:v>
                </c:pt>
                <c:pt idx="53">
                  <c:v>0.8404410312930074</c:v>
                </c:pt>
                <c:pt idx="54">
                  <c:v>0.83735292620581436</c:v>
                </c:pt>
                <c:pt idx="55">
                  <c:v>0.83128435334857287</c:v>
                </c:pt>
                <c:pt idx="56">
                  <c:v>0.82256881755271005</c:v>
                </c:pt>
                <c:pt idx="57">
                  <c:v>0.81154220239340968</c:v>
                </c:pt>
                <c:pt idx="58">
                  <c:v>0.79852274857787153</c:v>
                </c:pt>
                <c:pt idx="59">
                  <c:v>0.78380431135500961</c:v>
                </c:pt>
                <c:pt idx="60">
                  <c:v>0.76765491359226601</c:v>
                </c:pt>
                <c:pt idx="61">
                  <c:v>0.75031733456392902</c:v>
                </c:pt>
                <c:pt idx="62">
                  <c:v>0.73201044123011993</c:v>
                </c:pt>
                <c:pt idx="63">
                  <c:v>0.71293094294677017</c:v>
                </c:pt>
                <c:pt idx="64">
                  <c:v>0.69325492305581604</c:v>
                </c:pt>
                <c:pt idx="65">
                  <c:v>0.67313929390780824</c:v>
                </c:pt>
                <c:pt idx="66">
                  <c:v>0.65272385410152811</c:v>
                </c:pt>
                <c:pt idx="67">
                  <c:v>0.63213226185135651</c:v>
                </c:pt>
                <c:pt idx="68">
                  <c:v>0.61147355809489512</c:v>
                </c:pt>
                <c:pt idx="69">
                  <c:v>0.59084372670322727</c:v>
                </c:pt>
                <c:pt idx="70">
                  <c:v>0.57032651637426224</c:v>
                </c:pt>
                <c:pt idx="71">
                  <c:v>0.54999477367833283</c:v>
                </c:pt>
                <c:pt idx="72">
                  <c:v>0.52991137712637604</c:v>
                </c:pt>
                <c:pt idx="73">
                  <c:v>0.51013029224602791</c:v>
                </c:pt>
                <c:pt idx="74">
                  <c:v>0.49069737247307504</c:v>
                </c:pt>
                <c:pt idx="75">
                  <c:v>0.47165119408561268</c:v>
                </c:pt>
                <c:pt idx="76">
                  <c:v>0.45302379813246385</c:v>
                </c:pt>
                <c:pt idx="77">
                  <c:v>0.43484137455159527</c:v>
                </c:pt>
                <c:pt idx="78">
                  <c:v>0.4171249052107453</c:v>
                </c:pt>
                <c:pt idx="79">
                  <c:v>0.39989069338994027</c:v>
                </c:pt>
                <c:pt idx="80">
                  <c:v>0.3831508518825601</c:v>
                </c:pt>
                <c:pt idx="81">
                  <c:v>0.36691392597218669</c:v>
                </c:pt>
                <c:pt idx="82">
                  <c:v>0.3511851354444438</c:v>
                </c:pt>
                <c:pt idx="83">
                  <c:v>0.33596688115758877</c:v>
                </c:pt>
                <c:pt idx="84">
                  <c:v>0.32125905366915208</c:v>
                </c:pt>
                <c:pt idx="85">
                  <c:v>0.30705936468021877</c:v>
                </c:pt>
                <c:pt idx="86">
                  <c:v>0.29336363617246658</c:v>
                </c:pt>
                <c:pt idx="87">
                  <c:v>0.28016605010216644</c:v>
                </c:pt>
                <c:pt idx="88">
                  <c:v>0.26745940657111189</c:v>
                </c:pt>
                <c:pt idx="89">
                  <c:v>0.25523529641360659</c:v>
                </c:pt>
                <c:pt idx="90">
                  <c:v>0.24348431681220303</c:v>
                </c:pt>
                <c:pt idx="91">
                  <c:v>0.23219624531071861</c:v>
                </c:pt>
                <c:pt idx="92">
                  <c:v>0.22136015771948012</c:v>
                </c:pt>
                <c:pt idx="93">
                  <c:v>0.21096460670752282</c:v>
                </c:pt>
                <c:pt idx="94">
                  <c:v>0.20099772145248504</c:v>
                </c:pt>
                <c:pt idx="95">
                  <c:v>0.19144728928595148</c:v>
                </c:pt>
                <c:pt idx="96">
                  <c:v>0.1823008699351783</c:v>
                </c:pt>
                <c:pt idx="97">
                  <c:v>0.17354590035784453</c:v>
                </c:pt>
                <c:pt idx="98">
                  <c:v>0.16516973947692232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75-4C95-8183-971D3E9BCE68}"/>
            </c:ext>
          </c:extLst>
        </c:ser>
        <c:ser>
          <c:idx val="5"/>
          <c:order val="5"/>
          <c:tx>
            <c:strRef>
              <c:f>dynamicR!$V$19</c:f>
              <c:strCache>
                <c:ptCount val="1"/>
                <c:pt idx="0">
                  <c:v>s1C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rgbClr val="FFFFFF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dynamicR!$V$21:$V$120</c:f>
              <c:numCache>
                <c:formatCode>0.00</c:formatCode>
                <c:ptCount val="100"/>
                <c:pt idx="0">
                  <c:v>1.3403262499542984E-2</c:v>
                </c:pt>
                <c:pt idx="1">
                  <c:v>5.374323525384192E-2</c:v>
                </c:pt>
                <c:pt idx="2">
                  <c:v>0.10739552302447962</c:v>
                </c:pt>
                <c:pt idx="3">
                  <c:v>0.16509830286437141</c:v>
                </c:pt>
                <c:pt idx="4">
                  <c:v>0.22232188846206313</c:v>
                </c:pt>
                <c:pt idx="5">
                  <c:v>0.27712106883806142</c:v>
                </c:pt>
                <c:pt idx="6">
                  <c:v>0.32876929667459831</c:v>
                </c:pt>
                <c:pt idx="7">
                  <c:v>0.37707850043738977</c:v>
                </c:pt>
                <c:pt idx="8">
                  <c:v>0.42209011168806421</c:v>
                </c:pt>
                <c:pt idx="9">
                  <c:v>0.46394002544861224</c:v>
                </c:pt>
                <c:pt idx="10">
                  <c:v>0.50280038542534877</c:v>
                </c:pt>
                <c:pt idx="11">
                  <c:v>0.53885410720339544</c:v>
                </c:pt>
                <c:pt idx="12">
                  <c:v>0.57228409430508353</c:v>
                </c:pt>
                <c:pt idx="13">
                  <c:v>0.60326772901601777</c:v>
                </c:pt>
                <c:pt idx="14">
                  <c:v>0.63197479855246563</c:v>
                </c:pt>
                <c:pt idx="15">
                  <c:v>0.65856636328058793</c:v>
                </c:pt>
                <c:pt idx="16">
                  <c:v>0.6831942345712847</c:v>
                </c:pt>
                <c:pt idx="17">
                  <c:v>0.70600101737052223</c:v>
                </c:pt>
                <c:pt idx="18">
                  <c:v>0.72712021156451523</c:v>
                </c:pt>
                <c:pt idx="19">
                  <c:v>0.74667647493264566</c:v>
                </c:pt>
                <c:pt idx="20">
                  <c:v>0.76478595990363674</c:v>
                </c:pt>
                <c:pt idx="21">
                  <c:v>0.78155671400170956</c:v>
                </c:pt>
                <c:pt idx="22">
                  <c:v>0.79708908347695884</c:v>
                </c:pt>
                <c:pt idx="23">
                  <c:v>0.81147617488979995</c:v>
                </c:pt>
                <c:pt idx="24">
                  <c:v>0.82480427986796068</c:v>
                </c:pt>
                <c:pt idx="25">
                  <c:v>0.83715328391586863</c:v>
                </c:pt>
                <c:pt idx="26">
                  <c:v>0.84859709997042654</c:v>
                </c:pt>
                <c:pt idx="27">
                  <c:v>0.85920407835534307</c:v>
                </c:pt>
                <c:pt idx="28">
                  <c:v>0.8690373937146646</c:v>
                </c:pt>
                <c:pt idx="29">
                  <c:v>0.87815540972733452</c:v>
                </c:pt>
                <c:pt idx="30">
                  <c:v>0.88661202657024485</c:v>
                </c:pt>
                <c:pt idx="31">
                  <c:v>0.89445701103124897</c:v>
                </c:pt>
                <c:pt idx="32">
                  <c:v>0.90173630641514591</c:v>
                </c:pt>
                <c:pt idx="33">
                  <c:v>0.90849232102875399</c:v>
                </c:pt>
                <c:pt idx="34">
                  <c:v>0.91476419663475128</c:v>
                </c:pt>
                <c:pt idx="35">
                  <c:v>0.92058805876837313</c:v>
                </c:pt>
                <c:pt idx="36">
                  <c:v>0.92599724983905107</c:v>
                </c:pt>
                <c:pt idx="37">
                  <c:v>0.93102254537301621</c:v>
                </c:pt>
                <c:pt idx="38">
                  <c:v>0.9356923540364176</c:v>
                </c:pt>
                <c:pt idx="39">
                  <c:v>0.94003290251311356</c:v>
                </c:pt>
                <c:pt idx="40">
                  <c:v>0.94406840639571099</c:v>
                </c:pt>
                <c:pt idx="41">
                  <c:v>0.94782122806132663</c:v>
                </c:pt>
                <c:pt idx="42">
                  <c:v>0.95131202233431633</c:v>
                </c:pt>
                <c:pt idx="43">
                  <c:v>0.95455987072176052</c:v>
                </c:pt>
                <c:pt idx="44">
                  <c:v>0.95758240505895564</c:v>
                </c:pt>
                <c:pt idx="45">
                  <c:v>0.96039592139321783</c:v>
                </c:pt>
                <c:pt idx="46">
                  <c:v>0.96301548485357324</c:v>
                </c:pt>
                <c:pt idx="47">
                  <c:v>0.96545502617419843</c:v>
                </c:pt>
                <c:pt idx="48">
                  <c:v>0.96772743049975851</c:v>
                </c:pt>
                <c:pt idx="49">
                  <c:v>0.96772743049975851</c:v>
                </c:pt>
                <c:pt idx="50">
                  <c:v>0.95644135408731557</c:v>
                </c:pt>
                <c:pt idx="51">
                  <c:v>0.91807438994268353</c:v>
                </c:pt>
                <c:pt idx="52">
                  <c:v>0.86626113355177636</c:v>
                </c:pt>
                <c:pt idx="53">
                  <c:v>0.81027288367669859</c:v>
                </c:pt>
                <c:pt idx="54">
                  <c:v>0.75464806490550362</c:v>
                </c:pt>
                <c:pt idx="55">
                  <c:v>0.70133999171267025</c:v>
                </c:pt>
                <c:pt idx="56">
                  <c:v>0.6510827770191786</c:v>
                </c:pt>
                <c:pt idx="57">
                  <c:v>0.60407144551991621</c:v>
                </c:pt>
                <c:pt idx="58">
                  <c:v>0.56027103095808528</c:v>
                </c:pt>
                <c:pt idx="59">
                  <c:v>0.51955162250836551</c:v>
                </c:pt>
                <c:pt idx="60">
                  <c:v>0.48174668878363514</c:v>
                </c:pt>
                <c:pt idx="61">
                  <c:v>0.44667836038485514</c:v>
                </c:pt>
                <c:pt idx="62">
                  <c:v>0.41416868434029303</c:v>
                </c:pt>
                <c:pt idx="63">
                  <c:v>0.38404461511350119</c:v>
                </c:pt>
                <c:pt idx="64">
                  <c:v>0.35614048081139987</c:v>
                </c:pt>
                <c:pt idx="65">
                  <c:v>0.33029925365235463</c:v>
                </c:pt>
                <c:pt idx="66">
                  <c:v>0.30637252015498057</c:v>
                </c:pt>
                <c:pt idx="67">
                  <c:v>0.28422102363688712</c:v>
                </c:pt>
                <c:pt idx="68">
                  <c:v>0.2637144839665449</c:v>
                </c:pt>
                <c:pt idx="69">
                  <c:v>0.24473095974418055</c:v>
                </c:pt>
                <c:pt idx="70">
                  <c:v>0.22715701699607174</c:v>
                </c:pt>
                <c:pt idx="71">
                  <c:v>0.21088706986625175</c:v>
                </c:pt>
                <c:pt idx="72">
                  <c:v>0.19582312003982197</c:v>
                </c:pt>
                <c:pt idx="73">
                  <c:v>0.18187419254246012</c:v>
                </c:pt>
                <c:pt idx="74">
                  <c:v>0.16895601408691902</c:v>
                </c:pt>
                <c:pt idx="75">
                  <c:v>0.1569905726342859</c:v>
                </c:pt>
                <c:pt idx="76">
                  <c:v>0.14590570032374869</c:v>
                </c:pt>
                <c:pt idx="77">
                  <c:v>0.13563468219526958</c:v>
                </c:pt>
                <c:pt idx="78">
                  <c:v>0.12611581476412584</c:v>
                </c:pt>
                <c:pt idx="79">
                  <c:v>0.11729210157793026</c:v>
                </c:pt>
                <c:pt idx="80">
                  <c:v>0.10911120907231403</c:v>
                </c:pt>
                <c:pt idx="81">
                  <c:v>0.10152430806261938</c:v>
                </c:pt>
                <c:pt idx="82">
                  <c:v>9.4486733816155216E-2</c:v>
                </c:pt>
                <c:pt idx="83">
                  <c:v>8.7957105120785903E-2</c:v>
                </c:pt>
                <c:pt idx="84">
                  <c:v>8.1897288806053084E-2</c:v>
                </c:pt>
                <c:pt idx="85">
                  <c:v>7.6272086518715504E-2</c:v>
                </c:pt>
                <c:pt idx="86">
                  <c:v>7.1049041564805918E-2</c:v>
                </c:pt>
                <c:pt idx="87">
                  <c:v>6.6198156642614123E-2</c:v>
                </c:pt>
                <c:pt idx="88">
                  <c:v>6.1691831861755024E-2</c:v>
                </c:pt>
                <c:pt idx="89">
                  <c:v>5.7504502193360313E-2</c:v>
                </c:pt>
                <c:pt idx="90">
                  <c:v>5.361261528046779E-2</c:v>
                </c:pt>
                <c:pt idx="91">
                  <c:v>4.9994444163078473E-2</c:v>
                </c:pt>
                <c:pt idx="92">
                  <c:v>4.6629918811189552E-2</c:v>
                </c:pt>
                <c:pt idx="93">
                  <c:v>4.3500483046870805E-2</c:v>
                </c:pt>
                <c:pt idx="94">
                  <c:v>4.0588968192850731E-2</c:v>
                </c:pt>
                <c:pt idx="95">
                  <c:v>3.7879567482072676E-2</c:v>
                </c:pt>
                <c:pt idx="96">
                  <c:v>3.5357692067829967E-2</c:v>
                </c:pt>
                <c:pt idx="97">
                  <c:v>3.3009805246165487E-2</c:v>
                </c:pt>
                <c:pt idx="98">
                  <c:v>3.0823399215993887E-2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75-4C95-8183-971D3E9BCE68}"/>
            </c:ext>
          </c:extLst>
        </c:ser>
        <c:ser>
          <c:idx val="6"/>
          <c:order val="6"/>
          <c:tx>
            <c:strRef>
              <c:f>dynamicR!$W$19</c:f>
              <c:strCache>
                <c:ptCount val="1"/>
                <c:pt idx="0">
                  <c:v>s2C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dynamicR!$W$21:$W$120</c:f>
              <c:numCache>
                <c:formatCode>0.00</c:formatCode>
                <c:ptCount val="100"/>
                <c:pt idx="0">
                  <c:v>8.1355784181579936E-3</c:v>
                </c:pt>
                <c:pt idx="1">
                  <c:v>3.3106197463545109E-2</c:v>
                </c:pt>
                <c:pt idx="2">
                  <c:v>6.7206809555044489E-2</c:v>
                </c:pt>
                <c:pt idx="3">
                  <c:v>0.10501898084607325</c:v>
                </c:pt>
                <c:pt idx="4">
                  <c:v>0.14378480874484884</c:v>
                </c:pt>
                <c:pt idx="5">
                  <c:v>0.1822210347530315</c:v>
                </c:pt>
                <c:pt idx="6">
                  <c:v>0.21975078093694803</c:v>
                </c:pt>
                <c:pt idx="7">
                  <c:v>0.25611824889232288</c:v>
                </c:pt>
                <c:pt idx="8">
                  <c:v>0.29121270539184663</c:v>
                </c:pt>
                <c:pt idx="9">
                  <c:v>0.32499088441969737</c:v>
                </c:pt>
                <c:pt idx="10">
                  <c:v>0.35744294385950348</c:v>
                </c:pt>
                <c:pt idx="11">
                  <c:v>0.38857708799771667</c:v>
                </c:pt>
                <c:pt idx="12">
                  <c:v>0.41841229585090411</c:v>
                </c:pt>
                <c:pt idx="13">
                  <c:v>0.44697451897529872</c:v>
                </c:pt>
                <c:pt idx="14">
                  <c:v>0.4742944602613603</c:v>
                </c:pt>
                <c:pt idx="15">
                  <c:v>0.50040613876893547</c:v>
                </c:pt>
                <c:pt idx="16">
                  <c:v>0.52534589410515742</c:v>
                </c:pt>
                <c:pt idx="17">
                  <c:v>0.54915160704529575</c:v>
                </c:pt>
                <c:pt idx="18">
                  <c:v>0.57186212426996841</c:v>
                </c:pt>
                <c:pt idx="19">
                  <c:v>0.59351678148704989</c:v>
                </c:pt>
                <c:pt idx="20">
                  <c:v>0.61415504134144472</c:v>
                </c:pt>
                <c:pt idx="21">
                  <c:v>0.63381618533640904</c:v>
                </c:pt>
                <c:pt idx="22">
                  <c:v>0.65253908339707234</c:v>
                </c:pt>
                <c:pt idx="23">
                  <c:v>0.670361988321174</c:v>
                </c:pt>
                <c:pt idx="24">
                  <c:v>0.68732239992618771</c:v>
                </c:pt>
                <c:pt idx="25">
                  <c:v>0.70345696096775134</c:v>
                </c:pt>
                <c:pt idx="26">
                  <c:v>0.71880135591544891</c:v>
                </c:pt>
                <c:pt idx="27">
                  <c:v>0.73339024217995874</c:v>
                </c:pt>
                <c:pt idx="28">
                  <c:v>0.74725720786600813</c:v>
                </c:pt>
                <c:pt idx="29">
                  <c:v>0.76043474508759323</c:v>
                </c:pt>
                <c:pt idx="30">
                  <c:v>0.77295423114557382</c:v>
                </c:pt>
                <c:pt idx="31">
                  <c:v>0.78484591845718543</c:v>
                </c:pt>
                <c:pt idx="32">
                  <c:v>0.7961389350241751</c:v>
                </c:pt>
                <c:pt idx="33">
                  <c:v>0.8068612936138313</c:v>
                </c:pt>
                <c:pt idx="34">
                  <c:v>0.81703990630199275</c:v>
                </c:pt>
                <c:pt idx="35">
                  <c:v>0.82670060254826472</c:v>
                </c:pt>
                <c:pt idx="36">
                  <c:v>0.83586815062056052</c:v>
                </c:pt>
                <c:pt idx="37">
                  <c:v>0.84456628227694464</c:v>
                </c:pt>
                <c:pt idx="38">
                  <c:v>0.85281771993548661</c:v>
                </c:pt>
                <c:pt idx="39">
                  <c:v>0.86064420536135455</c:v>
                </c:pt>
                <c:pt idx="40">
                  <c:v>0.86806652929985229</c:v>
                </c:pt>
                <c:pt idx="41">
                  <c:v>0.87510456185482055</c:v>
                </c:pt>
                <c:pt idx="42">
                  <c:v>0.88177728342569051</c:v>
                </c:pt>
                <c:pt idx="43">
                  <c:v>0.88810281589273743</c:v>
                </c:pt>
                <c:pt idx="44">
                  <c:v>0.89409845374392127</c:v>
                </c:pt>
                <c:pt idx="45">
                  <c:v>0.89978069495254331</c:v>
                </c:pt>
                <c:pt idx="46">
                  <c:v>0.90516527149940296</c:v>
                </c:pt>
                <c:pt idx="47">
                  <c:v>0.91026717944138524</c:v>
                </c:pt>
                <c:pt idx="48">
                  <c:v>0.91510070841730573</c:v>
                </c:pt>
                <c:pt idx="49">
                  <c:v>0.91510070841730573</c:v>
                </c:pt>
                <c:pt idx="50">
                  <c:v>0.91154388993218216</c:v>
                </c:pt>
                <c:pt idx="51">
                  <c:v>0.89091023008940873</c:v>
                </c:pt>
                <c:pt idx="52">
                  <c:v>0.86091711000124438</c:v>
                </c:pt>
                <c:pt idx="53">
                  <c:v>0.82699471880036801</c:v>
                </c:pt>
                <c:pt idx="54">
                  <c:v>0.79191212298961111</c:v>
                </c:pt>
                <c:pt idx="55">
                  <c:v>0.75696320465777889</c:v>
                </c:pt>
                <c:pt idx="56">
                  <c:v>0.72273497687266142</c:v>
                </c:pt>
                <c:pt idx="57">
                  <c:v>0.68949284029787627</c:v>
                </c:pt>
                <c:pt idx="58">
                  <c:v>0.65735666610784937</c:v>
                </c:pt>
                <c:pt idx="59">
                  <c:v>0.62637839379794447</c:v>
                </c:pt>
                <c:pt idx="60">
                  <c:v>0.59657613670124243</c:v>
                </c:pt>
                <c:pt idx="61">
                  <c:v>0.56794951576582031</c:v>
                </c:pt>
                <c:pt idx="62">
                  <c:v>0.5404869967669208</c:v>
                </c:pt>
                <c:pt idx="63">
                  <c:v>0.51416970442749554</c:v>
                </c:pt>
                <c:pt idx="64">
                  <c:v>0.48897364574042801</c:v>
                </c:pt>
                <c:pt idx="65">
                  <c:v>0.46487119302200158</c:v>
                </c:pt>
                <c:pt idx="66">
                  <c:v>0.44183204335828818</c:v>
                </c:pt>
                <c:pt idx="67">
                  <c:v>0.41982405111956667</c:v>
                </c:pt>
                <c:pt idx="68">
                  <c:v>0.39881386090659038</c:v>
                </c:pt>
                <c:pt idx="69">
                  <c:v>0.3787672595197879</c:v>
                </c:pt>
                <c:pt idx="70">
                  <c:v>0.35964970596629475</c:v>
                </c:pt>
                <c:pt idx="71">
                  <c:v>0.34142656057992543</c:v>
                </c:pt>
                <c:pt idx="72">
                  <c:v>0.32406338356413378</c:v>
                </c:pt>
                <c:pt idx="73">
                  <c:v>0.30752608884786836</c:v>
                </c:pt>
                <c:pt idx="74">
                  <c:v>0.29178113335444639</c:v>
                </c:pt>
                <c:pt idx="75">
                  <c:v>0.27679564145521912</c:v>
                </c:pt>
                <c:pt idx="76">
                  <c:v>0.26253749767437373</c:v>
                </c:pt>
                <c:pt idx="77">
                  <c:v>0.24897542602680492</c:v>
                </c:pt>
                <c:pt idx="78">
                  <c:v>0.23607901455115726</c:v>
                </c:pt>
                <c:pt idx="79">
                  <c:v>0.22381877383343812</c:v>
                </c:pt>
                <c:pt idx="80">
                  <c:v>0.21216634210584001</c:v>
                </c:pt>
                <c:pt idx="81">
                  <c:v>0.20109402835338763</c:v>
                </c:pt>
                <c:pt idx="82">
                  <c:v>0.19057535649855389</c:v>
                </c:pt>
                <c:pt idx="83">
                  <c:v>0.18058473100083949</c:v>
                </c:pt>
                <c:pt idx="84">
                  <c:v>0.17109755782500383</c:v>
                </c:pt>
                <c:pt idx="85">
                  <c:v>0.16209019469528604</c:v>
                </c:pt>
                <c:pt idx="86">
                  <c:v>0.15353995845433613</c:v>
                </c:pt>
                <c:pt idx="87">
                  <c:v>0.14542505651102339</c:v>
                </c:pt>
                <c:pt idx="88">
                  <c:v>0.13772466228304828</c:v>
                </c:pt>
                <c:pt idx="89">
                  <c:v>0.13041875934187214</c:v>
                </c:pt>
                <c:pt idx="90">
                  <c:v>0.12348822202185543</c:v>
                </c:pt>
                <c:pt idx="91">
                  <c:v>0.1169147708869584</c:v>
                </c:pt>
                <c:pt idx="92">
                  <c:v>0.11068091628886444</c:v>
                </c:pt>
                <c:pt idx="93">
                  <c:v>0.10476994196954391</c:v>
                </c:pt>
                <c:pt idx="94">
                  <c:v>9.9165866416616649E-2</c:v>
                </c:pt>
                <c:pt idx="95">
                  <c:v>9.3853462119691936E-2</c:v>
                </c:pt>
                <c:pt idx="96">
                  <c:v>8.8818210427120292E-2</c:v>
                </c:pt>
                <c:pt idx="97">
                  <c:v>8.4046237352039088E-2</c:v>
                </c:pt>
                <c:pt idx="98">
                  <c:v>7.9524317364137481E-2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75-4C95-8183-971D3E9BCE68}"/>
            </c:ext>
          </c:extLst>
        </c:ser>
        <c:ser>
          <c:idx val="7"/>
          <c:order val="7"/>
          <c:tx>
            <c:strRef>
              <c:f>dynamicR!$X$19</c:f>
              <c:strCache>
                <c:ptCount val="1"/>
                <c:pt idx="0">
                  <c:v>s3C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3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dynamicR!$F$20:$F$120</c:f>
              <c:numCache>
                <c:formatCode>0.0E+00</c:formatCode>
                <c:ptCount val="101"/>
                <c:pt idx="0">
                  <c:v>0</c:v>
                </c:pt>
                <c:pt idx="1">
                  <c:v>2.0754648657564885E-2</c:v>
                </c:pt>
                <c:pt idx="2">
                  <c:v>4.150929731512977E-2</c:v>
                </c:pt>
                <c:pt idx="3">
                  <c:v>6.2263945972694655E-2</c:v>
                </c:pt>
                <c:pt idx="4">
                  <c:v>8.301859463025954E-2</c:v>
                </c:pt>
                <c:pt idx="5">
                  <c:v>0.10377324328782443</c:v>
                </c:pt>
                <c:pt idx="6">
                  <c:v>0.12452789194538931</c:v>
                </c:pt>
                <c:pt idx="7">
                  <c:v>0.1452825406029542</c:v>
                </c:pt>
                <c:pt idx="8">
                  <c:v>0.16603718926051908</c:v>
                </c:pt>
                <c:pt idx="9">
                  <c:v>0.18679183791808396</c:v>
                </c:pt>
                <c:pt idx="10">
                  <c:v>0.20754648657564886</c:v>
                </c:pt>
                <c:pt idx="11">
                  <c:v>0.22830113523321374</c:v>
                </c:pt>
                <c:pt idx="12">
                  <c:v>0.24905578389077862</c:v>
                </c:pt>
                <c:pt idx="13">
                  <c:v>0.26981043254834353</c:v>
                </c:pt>
                <c:pt idx="14">
                  <c:v>0.2905650812059084</c:v>
                </c:pt>
                <c:pt idx="15">
                  <c:v>0.31131972986347328</c:v>
                </c:pt>
                <c:pt idx="16">
                  <c:v>0.33207437852103816</c:v>
                </c:pt>
                <c:pt idx="17">
                  <c:v>0.35282902717860309</c:v>
                </c:pt>
                <c:pt idx="18">
                  <c:v>0.37358367583616792</c:v>
                </c:pt>
                <c:pt idx="19">
                  <c:v>0.39433832449373285</c:v>
                </c:pt>
                <c:pt idx="20">
                  <c:v>0.41509297315129773</c:v>
                </c:pt>
                <c:pt idx="21">
                  <c:v>0.43584762180886261</c:v>
                </c:pt>
                <c:pt idx="22">
                  <c:v>0.45660227046642748</c:v>
                </c:pt>
                <c:pt idx="23">
                  <c:v>0.47735691912399236</c:v>
                </c:pt>
                <c:pt idx="24">
                  <c:v>0.49811156778155724</c:v>
                </c:pt>
                <c:pt idx="25">
                  <c:v>0.51886621643912212</c:v>
                </c:pt>
                <c:pt idx="26">
                  <c:v>0.53962086509668705</c:v>
                </c:pt>
                <c:pt idx="27">
                  <c:v>0.56037551375425199</c:v>
                </c:pt>
                <c:pt idx="28">
                  <c:v>0.58113016241181681</c:v>
                </c:pt>
                <c:pt idx="29">
                  <c:v>0.60188481106938163</c:v>
                </c:pt>
                <c:pt idx="30">
                  <c:v>0.62263945972694656</c:v>
                </c:pt>
                <c:pt idx="31">
                  <c:v>0.6433941083845115</c:v>
                </c:pt>
                <c:pt idx="32">
                  <c:v>0.66414875704207632</c:v>
                </c:pt>
                <c:pt idx="33">
                  <c:v>0.68490340569964125</c:v>
                </c:pt>
                <c:pt idx="34">
                  <c:v>0.70565805435720619</c:v>
                </c:pt>
                <c:pt idx="35">
                  <c:v>0.72641270301477101</c:v>
                </c:pt>
                <c:pt idx="36">
                  <c:v>0.74716735167233583</c:v>
                </c:pt>
                <c:pt idx="37">
                  <c:v>0.76792200032990077</c:v>
                </c:pt>
                <c:pt idx="38">
                  <c:v>0.7886766489874657</c:v>
                </c:pt>
                <c:pt idx="39">
                  <c:v>0.80943129764503052</c:v>
                </c:pt>
                <c:pt idx="40">
                  <c:v>0.83018594630259546</c:v>
                </c:pt>
                <c:pt idx="41">
                  <c:v>0.85094059496016039</c:v>
                </c:pt>
                <c:pt idx="42">
                  <c:v>0.87169524361772521</c:v>
                </c:pt>
                <c:pt idx="43">
                  <c:v>0.89244989227529004</c:v>
                </c:pt>
                <c:pt idx="44">
                  <c:v>0.91320454093285497</c:v>
                </c:pt>
                <c:pt idx="45">
                  <c:v>0.9339591895904199</c:v>
                </c:pt>
                <c:pt idx="46">
                  <c:v>0.95471383824798473</c:v>
                </c:pt>
                <c:pt idx="47">
                  <c:v>0.97546848690554966</c:v>
                </c:pt>
                <c:pt idx="48">
                  <c:v>0.99622313556311448</c:v>
                </c:pt>
                <c:pt idx="49">
                  <c:v>1.0169777842206795</c:v>
                </c:pt>
                <c:pt idx="50">
                  <c:v>1.0169777842206795</c:v>
                </c:pt>
                <c:pt idx="51">
                  <c:v>1.0377324328782445</c:v>
                </c:pt>
                <c:pt idx="52">
                  <c:v>1.0584870815358094</c:v>
                </c:pt>
                <c:pt idx="53">
                  <c:v>1.0792417301933741</c:v>
                </c:pt>
                <c:pt idx="54">
                  <c:v>1.099996378850939</c:v>
                </c:pt>
                <c:pt idx="55">
                  <c:v>1.120751027508504</c:v>
                </c:pt>
                <c:pt idx="56">
                  <c:v>1.1415056761660689</c:v>
                </c:pt>
                <c:pt idx="57">
                  <c:v>1.1622603248236336</c:v>
                </c:pt>
                <c:pt idx="58">
                  <c:v>1.1830149734811986</c:v>
                </c:pt>
                <c:pt idx="59">
                  <c:v>1.2037696221387635</c:v>
                </c:pt>
                <c:pt idx="60">
                  <c:v>1.2245242707963282</c:v>
                </c:pt>
                <c:pt idx="61">
                  <c:v>1.2452789194538934</c:v>
                </c:pt>
                <c:pt idx="62">
                  <c:v>1.2660335681114581</c:v>
                </c:pt>
                <c:pt idx="63">
                  <c:v>1.286788216769023</c:v>
                </c:pt>
                <c:pt idx="64">
                  <c:v>1.3075428654265879</c:v>
                </c:pt>
                <c:pt idx="65">
                  <c:v>1.3282975140841526</c:v>
                </c:pt>
                <c:pt idx="66">
                  <c:v>1.3490521627417178</c:v>
                </c:pt>
                <c:pt idx="67">
                  <c:v>1.3698068113992825</c:v>
                </c:pt>
                <c:pt idx="68">
                  <c:v>1.3905614600568472</c:v>
                </c:pt>
                <c:pt idx="69">
                  <c:v>1.4113161087144124</c:v>
                </c:pt>
                <c:pt idx="70">
                  <c:v>1.4320707573719773</c:v>
                </c:pt>
                <c:pt idx="71">
                  <c:v>1.452825406029542</c:v>
                </c:pt>
                <c:pt idx="72">
                  <c:v>1.473580054687107</c:v>
                </c:pt>
                <c:pt idx="73">
                  <c:v>1.4943347033446719</c:v>
                </c:pt>
                <c:pt idx="74">
                  <c:v>1.5150893520022368</c:v>
                </c:pt>
                <c:pt idx="75">
                  <c:v>1.5358440006598018</c:v>
                </c:pt>
                <c:pt idx="76">
                  <c:v>1.5565986493173665</c:v>
                </c:pt>
                <c:pt idx="77">
                  <c:v>1.5773532979749314</c:v>
                </c:pt>
                <c:pt idx="78">
                  <c:v>1.5981079466324963</c:v>
                </c:pt>
                <c:pt idx="79">
                  <c:v>1.618862595290061</c:v>
                </c:pt>
                <c:pt idx="80">
                  <c:v>1.6396172439476262</c:v>
                </c:pt>
                <c:pt idx="81">
                  <c:v>1.6603718926051909</c:v>
                </c:pt>
                <c:pt idx="82">
                  <c:v>1.6811265412627556</c:v>
                </c:pt>
                <c:pt idx="83">
                  <c:v>1.7018811899203208</c:v>
                </c:pt>
                <c:pt idx="84">
                  <c:v>1.7226358385778857</c:v>
                </c:pt>
                <c:pt idx="85">
                  <c:v>1.7433904872354506</c:v>
                </c:pt>
                <c:pt idx="86">
                  <c:v>1.7641451358930154</c:v>
                </c:pt>
                <c:pt idx="87">
                  <c:v>1.7848997845505801</c:v>
                </c:pt>
                <c:pt idx="88">
                  <c:v>1.8056544332081452</c:v>
                </c:pt>
                <c:pt idx="89">
                  <c:v>1.8264090818657102</c:v>
                </c:pt>
                <c:pt idx="90">
                  <c:v>1.8471637305232749</c:v>
                </c:pt>
                <c:pt idx="91">
                  <c:v>1.8679183791808398</c:v>
                </c:pt>
                <c:pt idx="92">
                  <c:v>1.8886730278384045</c:v>
                </c:pt>
                <c:pt idx="93">
                  <c:v>1.9094276764959695</c:v>
                </c:pt>
                <c:pt idx="94">
                  <c:v>1.9301823251535346</c:v>
                </c:pt>
                <c:pt idx="95">
                  <c:v>1.9509369738110993</c:v>
                </c:pt>
                <c:pt idx="96">
                  <c:v>1.9716916224686643</c:v>
                </c:pt>
                <c:pt idx="97">
                  <c:v>1.9924462711262292</c:v>
                </c:pt>
                <c:pt idx="98">
                  <c:v>2.0132009197837939</c:v>
                </c:pt>
                <c:pt idx="99">
                  <c:v>2.0339555684413591</c:v>
                </c:pt>
              </c:numCache>
            </c:numRef>
          </c:xVal>
          <c:yVal>
            <c:numRef>
              <c:f>dynamicR!$X$21:$X$120</c:f>
              <c:numCache>
                <c:formatCode>0.00</c:formatCode>
                <c:ptCount val="100"/>
                <c:pt idx="0">
                  <c:v>1.3403262499542981E-2</c:v>
                </c:pt>
                <c:pt idx="1">
                  <c:v>5.3743235253841927E-2</c:v>
                </c:pt>
                <c:pt idx="2">
                  <c:v>0.10739552302447958</c:v>
                </c:pt>
                <c:pt idx="3">
                  <c:v>0.16509830286437135</c:v>
                </c:pt>
                <c:pt idx="4">
                  <c:v>0.22232188846206299</c:v>
                </c:pt>
                <c:pt idx="5">
                  <c:v>0.27712106883806126</c:v>
                </c:pt>
                <c:pt idx="6">
                  <c:v>0.3287692966745982</c:v>
                </c:pt>
                <c:pt idx="7">
                  <c:v>0.37707850043738961</c:v>
                </c:pt>
                <c:pt idx="8">
                  <c:v>0.42209011168806426</c:v>
                </c:pt>
                <c:pt idx="9">
                  <c:v>0.46394002544861213</c:v>
                </c:pt>
                <c:pt idx="10">
                  <c:v>0.50280038542534855</c:v>
                </c:pt>
                <c:pt idx="11">
                  <c:v>0.53885410720339511</c:v>
                </c:pt>
                <c:pt idx="12">
                  <c:v>0.57228409430508309</c:v>
                </c:pt>
                <c:pt idx="13">
                  <c:v>0.60326772901601722</c:v>
                </c:pt>
                <c:pt idx="14">
                  <c:v>0.63197479855246519</c:v>
                </c:pt>
                <c:pt idx="15">
                  <c:v>0.65856636328058749</c:v>
                </c:pt>
                <c:pt idx="16">
                  <c:v>0.68319423457128448</c:v>
                </c:pt>
                <c:pt idx="17">
                  <c:v>0.70600101737052201</c:v>
                </c:pt>
                <c:pt idx="18">
                  <c:v>0.72712021156451512</c:v>
                </c:pt>
                <c:pt idx="19">
                  <c:v>0.74667647493264511</c:v>
                </c:pt>
                <c:pt idx="20">
                  <c:v>0.7647859599036364</c:v>
                </c:pt>
                <c:pt idx="21">
                  <c:v>0.78155671400170912</c:v>
                </c:pt>
                <c:pt idx="22">
                  <c:v>0.79708908347695862</c:v>
                </c:pt>
                <c:pt idx="23">
                  <c:v>0.81147617488979962</c:v>
                </c:pt>
                <c:pt idx="24">
                  <c:v>0.82480427986796045</c:v>
                </c:pt>
                <c:pt idx="25">
                  <c:v>0.8371532839158683</c:v>
                </c:pt>
                <c:pt idx="26">
                  <c:v>0.84859709997042643</c:v>
                </c:pt>
                <c:pt idx="27">
                  <c:v>0.85920407835534263</c:v>
                </c:pt>
                <c:pt idx="28">
                  <c:v>0.86903739371466426</c:v>
                </c:pt>
                <c:pt idx="29">
                  <c:v>0.87815540972733419</c:v>
                </c:pt>
                <c:pt idx="30">
                  <c:v>0.88661202657024463</c:v>
                </c:pt>
                <c:pt idx="31">
                  <c:v>0.89445701103124875</c:v>
                </c:pt>
                <c:pt idx="32">
                  <c:v>0.90173630641514568</c:v>
                </c:pt>
                <c:pt idx="33">
                  <c:v>0.90849232102875355</c:v>
                </c:pt>
                <c:pt idx="34">
                  <c:v>0.91476419663475106</c:v>
                </c:pt>
                <c:pt idx="35">
                  <c:v>0.92058805876837313</c:v>
                </c:pt>
                <c:pt idx="36">
                  <c:v>0.92599724983905107</c:v>
                </c:pt>
                <c:pt idx="37">
                  <c:v>0.93102254537301621</c:v>
                </c:pt>
                <c:pt idx="38">
                  <c:v>0.93569235403641782</c:v>
                </c:pt>
                <c:pt idx="39">
                  <c:v>0.94003290251311378</c:v>
                </c:pt>
                <c:pt idx="40">
                  <c:v>0.94406840639571121</c:v>
                </c:pt>
                <c:pt idx="41">
                  <c:v>0.94782122806132696</c:v>
                </c:pt>
                <c:pt idx="42">
                  <c:v>0.95131202233431678</c:v>
                </c:pt>
                <c:pt idx="43">
                  <c:v>0.95455987072176096</c:v>
                </c:pt>
                <c:pt idx="44">
                  <c:v>0.9575824050589562</c:v>
                </c:pt>
                <c:pt idx="45">
                  <c:v>0.96039592139321839</c:v>
                </c:pt>
                <c:pt idx="46">
                  <c:v>0.96301548485357358</c:v>
                </c:pt>
                <c:pt idx="47">
                  <c:v>0.96545502617419887</c:v>
                </c:pt>
                <c:pt idx="48">
                  <c:v>0.96772743049975907</c:v>
                </c:pt>
                <c:pt idx="49">
                  <c:v>0.96772743049975907</c:v>
                </c:pt>
                <c:pt idx="50">
                  <c:v>0.95644135408731668</c:v>
                </c:pt>
                <c:pt idx="51">
                  <c:v>0.91807438994268431</c:v>
                </c:pt>
                <c:pt idx="52">
                  <c:v>0.86626113355177714</c:v>
                </c:pt>
                <c:pt idx="53">
                  <c:v>0.81027288367669947</c:v>
                </c:pt>
                <c:pt idx="54">
                  <c:v>0.75464806490550462</c:v>
                </c:pt>
                <c:pt idx="55">
                  <c:v>0.70133999171267114</c:v>
                </c:pt>
                <c:pt idx="56">
                  <c:v>0.65108277701917938</c:v>
                </c:pt>
                <c:pt idx="57">
                  <c:v>0.60407144551991709</c:v>
                </c:pt>
                <c:pt idx="58">
                  <c:v>0.56027103095808639</c:v>
                </c:pt>
                <c:pt idx="59">
                  <c:v>0.5195516225083664</c:v>
                </c:pt>
                <c:pt idx="60">
                  <c:v>0.48174668878363608</c:v>
                </c:pt>
                <c:pt idx="61">
                  <c:v>0.44667836038485614</c:v>
                </c:pt>
                <c:pt idx="62">
                  <c:v>0.41416868434029391</c:v>
                </c:pt>
                <c:pt idx="63">
                  <c:v>0.38404461511350202</c:v>
                </c:pt>
                <c:pt idx="64">
                  <c:v>0.35614048081140059</c:v>
                </c:pt>
                <c:pt idx="65">
                  <c:v>0.33029925365235524</c:v>
                </c:pt>
                <c:pt idx="66">
                  <c:v>0.30637252015498118</c:v>
                </c:pt>
                <c:pt idx="67">
                  <c:v>0.28422102363688767</c:v>
                </c:pt>
                <c:pt idx="68">
                  <c:v>0.2637144839665454</c:v>
                </c:pt>
                <c:pt idx="69">
                  <c:v>0.24473095974418102</c:v>
                </c:pt>
                <c:pt idx="70">
                  <c:v>0.2271570169960721</c:v>
                </c:pt>
                <c:pt idx="71">
                  <c:v>0.21088706986625219</c:v>
                </c:pt>
                <c:pt idx="72">
                  <c:v>0.1958231200398223</c:v>
                </c:pt>
                <c:pt idx="73">
                  <c:v>0.18187419254246037</c:v>
                </c:pt>
                <c:pt idx="74">
                  <c:v>0.16895601408691921</c:v>
                </c:pt>
                <c:pt idx="75">
                  <c:v>0.15699057263428615</c:v>
                </c:pt>
                <c:pt idx="76">
                  <c:v>0.14590570032374894</c:v>
                </c:pt>
                <c:pt idx="77">
                  <c:v>0.13563468219526981</c:v>
                </c:pt>
                <c:pt idx="78">
                  <c:v>0.12611581476412609</c:v>
                </c:pt>
                <c:pt idx="79">
                  <c:v>0.11729210157793044</c:v>
                </c:pt>
                <c:pt idx="80">
                  <c:v>0.10911120907231416</c:v>
                </c:pt>
                <c:pt idx="81">
                  <c:v>0.10152430806261953</c:v>
                </c:pt>
                <c:pt idx="82">
                  <c:v>9.4486733816155369E-2</c:v>
                </c:pt>
                <c:pt idx="83">
                  <c:v>8.7957105120786069E-2</c:v>
                </c:pt>
                <c:pt idx="84">
                  <c:v>8.1897288806053195E-2</c:v>
                </c:pt>
                <c:pt idx="85">
                  <c:v>7.6272086518715546E-2</c:v>
                </c:pt>
                <c:pt idx="86">
                  <c:v>7.1049041564805945E-2</c:v>
                </c:pt>
                <c:pt idx="87">
                  <c:v>6.6198156642614164E-2</c:v>
                </c:pt>
                <c:pt idx="88">
                  <c:v>6.1691831861755059E-2</c:v>
                </c:pt>
                <c:pt idx="89">
                  <c:v>5.7504502193360368E-2</c:v>
                </c:pt>
                <c:pt idx="90">
                  <c:v>5.3612615280467839E-2</c:v>
                </c:pt>
                <c:pt idx="91">
                  <c:v>4.9994444163078522E-2</c:v>
                </c:pt>
                <c:pt idx="92">
                  <c:v>4.6629918811189601E-2</c:v>
                </c:pt>
                <c:pt idx="93">
                  <c:v>4.3500483046870854E-2</c:v>
                </c:pt>
                <c:pt idx="94">
                  <c:v>4.058896819285078E-2</c:v>
                </c:pt>
                <c:pt idx="95">
                  <c:v>3.7879567482072746E-2</c:v>
                </c:pt>
                <c:pt idx="96">
                  <c:v>3.5357692067830057E-2</c:v>
                </c:pt>
                <c:pt idx="97">
                  <c:v>3.3009805246165577E-2</c:v>
                </c:pt>
                <c:pt idx="98">
                  <c:v>3.0823399215993964E-2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5-4C95-8183-971D3E9B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47392"/>
        <c:axId val="205562240"/>
      </c:scatterChart>
      <c:valAx>
        <c:axId val="2055473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[years]</a:t>
                </a:r>
              </a:p>
            </c:rich>
          </c:tx>
          <c:layout>
            <c:manualLayout>
              <c:xMode val="edge"/>
              <c:yMode val="edge"/>
              <c:x val="0.42626718678513814"/>
              <c:y val="0.90657584756922682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562240"/>
        <c:crosses val="autoZero"/>
        <c:crossBetween val="midCat"/>
      </c:valAx>
      <c:valAx>
        <c:axId val="2055622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of steady state</a:t>
                </a:r>
              </a:p>
            </c:rich>
          </c:tx>
          <c:layout>
            <c:manualLayout>
              <c:xMode val="edge"/>
              <c:yMode val="edge"/>
              <c:x val="1.1520624142165715E-2"/>
              <c:y val="0.311419048397497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547392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6697344024657463"/>
          <c:y val="3.4602076124567477E-2"/>
          <c:w val="0.12155987382311151"/>
          <c:h val="0.5847761763343596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&amp;F</c:oddHeader>
      <c:oddFooter>Page &amp;P</c:oddFooter>
    </c:headerFooter>
    <c:pageMargins b="1" l="0.75000000000000189" r="0.75000000000000189" t="1" header="0.5" footer="0.5"/>
    <c:pageSetup paperSize="9" orientation="landscape" horizontalDpi="-4" verticalDpi="30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371475</xdr:colOff>
      <xdr:row>1</xdr:row>
      <xdr:rowOff>38100</xdr:rowOff>
    </xdr:from>
    <xdr:to>
      <xdr:col>14</xdr:col>
      <xdr:colOff>733425</xdr:colOff>
      <xdr:row>6</xdr:row>
      <xdr:rowOff>9525</xdr:rowOff>
    </xdr:to>
    <xdr:grpSp>
      <xdr:nvGrpSpPr>
        <xdr:cNvPr id="11180865" name="Group 1">
          <a:extLst>
            <a:ext uri="{FF2B5EF4-FFF2-40B4-BE49-F238E27FC236}">
              <a16:creationId xmlns:a16="http://schemas.microsoft.com/office/drawing/2014/main" id="{00000000-0008-0000-0000-0000419BAA00}"/>
            </a:ext>
          </a:extLst>
        </xdr:cNvPr>
        <xdr:cNvGrpSpPr>
          <a:grpSpLocks/>
        </xdr:cNvGrpSpPr>
      </xdr:nvGrpSpPr>
      <xdr:grpSpPr bwMode="auto">
        <a:xfrm>
          <a:off x="8166735" y="198120"/>
          <a:ext cx="2762250" cy="771525"/>
          <a:chOff x="4505325" y="771525"/>
          <a:chExt cx="3362325" cy="882186"/>
        </a:xfrm>
      </xdr:grpSpPr>
      <xdr:pic>
        <xdr:nvPicPr>
          <xdr:cNvPr id="11180866" name="Picture 9" descr="RIVM logo.png">
            <a:extLst>
              <a:ext uri="{FF2B5EF4-FFF2-40B4-BE49-F238E27FC236}">
                <a16:creationId xmlns:a16="http://schemas.microsoft.com/office/drawing/2014/main" id="{00000000-0008-0000-0000-0000429BA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05325" y="771525"/>
            <a:ext cx="3362325" cy="8821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180867" name="Picture 17" descr="SimpleBox.png">
            <a:extLst>
              <a:ext uri="{FF2B5EF4-FFF2-40B4-BE49-F238E27FC236}">
                <a16:creationId xmlns:a16="http://schemas.microsoft.com/office/drawing/2014/main" id="{00000000-0008-0000-0000-0000439BA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58000" y="781049"/>
            <a:ext cx="854756" cy="6000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657225</xdr:colOff>
      <xdr:row>26</xdr:row>
      <xdr:rowOff>28575</xdr:rowOff>
    </xdr:from>
    <xdr:to>
      <xdr:col>54</xdr:col>
      <xdr:colOff>657225</xdr:colOff>
      <xdr:row>45</xdr:row>
      <xdr:rowOff>38100</xdr:rowOff>
    </xdr:to>
    <xdr:sp macro="" textlink="">
      <xdr:nvSpPr>
        <xdr:cNvPr id="2" name="Line 111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33528000" y="4238625"/>
          <a:ext cx="0" cy="3086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54</xdr:col>
      <xdr:colOff>666750</xdr:colOff>
      <xdr:row>26</xdr:row>
      <xdr:rowOff>28575</xdr:rowOff>
    </xdr:from>
    <xdr:to>
      <xdr:col>54</xdr:col>
      <xdr:colOff>666750</xdr:colOff>
      <xdr:row>45</xdr:row>
      <xdr:rowOff>95250</xdr:rowOff>
    </xdr:to>
    <xdr:sp macro="" textlink="">
      <xdr:nvSpPr>
        <xdr:cNvPr id="3" name="Line 1118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ShapeType="1"/>
        </xdr:cNvSpPr>
      </xdr:nvSpPr>
      <xdr:spPr bwMode="auto">
        <a:xfrm>
          <a:off x="33528000" y="4238625"/>
          <a:ext cx="0" cy="314325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54</xdr:col>
      <xdr:colOff>657225</xdr:colOff>
      <xdr:row>86</xdr:row>
      <xdr:rowOff>28575</xdr:rowOff>
    </xdr:from>
    <xdr:to>
      <xdr:col>54</xdr:col>
      <xdr:colOff>657225</xdr:colOff>
      <xdr:row>105</xdr:row>
      <xdr:rowOff>38100</xdr:rowOff>
    </xdr:to>
    <xdr:sp macro="" textlink="">
      <xdr:nvSpPr>
        <xdr:cNvPr id="4" name="Line 111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ShapeType="1"/>
        </xdr:cNvSpPr>
      </xdr:nvSpPr>
      <xdr:spPr bwMode="auto">
        <a:xfrm>
          <a:off x="33528000" y="13954125"/>
          <a:ext cx="0" cy="3086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54</xdr:col>
      <xdr:colOff>666750</xdr:colOff>
      <xdr:row>86</xdr:row>
      <xdr:rowOff>28575</xdr:rowOff>
    </xdr:from>
    <xdr:to>
      <xdr:col>54</xdr:col>
      <xdr:colOff>666750</xdr:colOff>
      <xdr:row>105</xdr:row>
      <xdr:rowOff>95250</xdr:rowOff>
    </xdr:to>
    <xdr:sp macro="" textlink="">
      <xdr:nvSpPr>
        <xdr:cNvPr id="5" name="Line 111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ShapeType="1"/>
        </xdr:cNvSpPr>
      </xdr:nvSpPr>
      <xdr:spPr bwMode="auto">
        <a:xfrm>
          <a:off x="33528000" y="13954125"/>
          <a:ext cx="0" cy="314325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48</xdr:col>
      <xdr:colOff>9525</xdr:colOff>
      <xdr:row>143</xdr:row>
      <xdr:rowOff>95250</xdr:rowOff>
    </xdr:from>
    <xdr:to>
      <xdr:col>48</xdr:col>
      <xdr:colOff>438150</xdr:colOff>
      <xdr:row>146</xdr:row>
      <xdr:rowOff>95250</xdr:rowOff>
    </xdr:to>
    <xdr:sp macro="" textlink="">
      <xdr:nvSpPr>
        <xdr:cNvPr id="6" name="Freeform 219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/>
        </xdr:cNvSpPr>
      </xdr:nvSpPr>
      <xdr:spPr bwMode="auto">
        <a:xfrm>
          <a:off x="29270325" y="23250525"/>
          <a:ext cx="428625" cy="485775"/>
        </a:xfrm>
        <a:custGeom>
          <a:avLst/>
          <a:gdLst>
            <a:gd name="T0" fmla="*/ 2147483647 w 82"/>
            <a:gd name="T1" fmla="*/ 2147483647 h 121"/>
            <a:gd name="T2" fmla="*/ 2147483647 w 82"/>
            <a:gd name="T3" fmla="*/ 0 h 121"/>
            <a:gd name="T4" fmla="*/ 2147483647 w 82"/>
            <a:gd name="T5" fmla="*/ 0 h 121"/>
            <a:gd name="T6" fmla="*/ 0 w 82"/>
            <a:gd name="T7" fmla="*/ 2147483647 h 121"/>
            <a:gd name="T8" fmla="*/ 0 60000 65536"/>
            <a:gd name="T9" fmla="*/ 0 60000 65536"/>
            <a:gd name="T10" fmla="*/ 0 60000 65536"/>
            <a:gd name="T11" fmla="*/ 0 60000 65536"/>
            <a:gd name="T12" fmla="*/ 0 w 82"/>
            <a:gd name="T13" fmla="*/ 0 h 121"/>
            <a:gd name="T14" fmla="*/ 82 w 82"/>
            <a:gd name="T15" fmla="*/ 121 h 12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82" h="121">
              <a:moveTo>
                <a:pt x="82" y="51"/>
              </a:moveTo>
              <a:lnTo>
                <a:pt x="82" y="0"/>
              </a:lnTo>
              <a:lnTo>
                <a:pt x="34" y="0"/>
              </a:lnTo>
              <a:lnTo>
                <a:pt x="0" y="121"/>
              </a:lnTo>
            </a:path>
          </a:pathLst>
        </a:custGeom>
        <a:noFill/>
        <a:ln w="12700">
          <a:solidFill>
            <a:srgbClr val="E46C0A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47625</xdr:colOff>
      <xdr:row>134</xdr:row>
      <xdr:rowOff>28575</xdr:rowOff>
    </xdr:from>
    <xdr:to>
      <xdr:col>49</xdr:col>
      <xdr:colOff>666750</xdr:colOff>
      <xdr:row>165</xdr:row>
      <xdr:rowOff>9525</xdr:rowOff>
    </xdr:to>
    <xdr:grpSp>
      <xdr:nvGrpSpPr>
        <xdr:cNvPr id="7" name="Group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>
          <a:grpSpLocks/>
        </xdr:cNvGrpSpPr>
      </xdr:nvGrpSpPr>
      <xdr:grpSpPr bwMode="auto">
        <a:xfrm>
          <a:off x="26146125" y="21471255"/>
          <a:ext cx="3545205" cy="4941570"/>
          <a:chOff x="26729531" y="21566981"/>
          <a:chExt cx="3476625" cy="4963716"/>
        </a:xfrm>
      </xdr:grpSpPr>
      <xdr:sp macro="" textlink="">
        <xdr:nvSpPr>
          <xdr:cNvPr id="8" name="Line 2130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8671771" y="23231294"/>
            <a:ext cx="430475" cy="329940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" name="Rectangle 2131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>
            <a:spLocks noChangeArrowheads="1"/>
          </xdr:cNvSpPr>
        </xdr:nvSpPr>
        <xdr:spPr bwMode="auto">
          <a:xfrm>
            <a:off x="26729531" y="21566981"/>
            <a:ext cx="3476625" cy="495421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0" name="Line 2132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6741204" y="24658163"/>
            <a:ext cx="218678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" name="Line 2133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>
            <a:spLocks noChangeShapeType="1"/>
          </xdr:cNvSpPr>
        </xdr:nvSpPr>
        <xdr:spPr bwMode="auto">
          <a:xfrm>
            <a:off x="29111731" y="23231294"/>
            <a:ext cx="108494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" name="Line 2134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>
            <a:spLocks noChangeShapeType="1"/>
          </xdr:cNvSpPr>
        </xdr:nvSpPr>
        <xdr:spPr bwMode="auto">
          <a:xfrm>
            <a:off x="26733180" y="25644475"/>
            <a:ext cx="204338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" name="Line 213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6748501" y="23386913"/>
            <a:ext cx="233017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53</xdr:col>
      <xdr:colOff>457200</xdr:colOff>
      <xdr:row>6</xdr:row>
      <xdr:rowOff>142875</xdr:rowOff>
    </xdr:from>
    <xdr:to>
      <xdr:col>56</xdr:col>
      <xdr:colOff>533400</xdr:colOff>
      <xdr:row>13</xdr:row>
      <xdr:rowOff>142875</xdr:rowOff>
    </xdr:to>
    <xdr:grpSp>
      <xdr:nvGrpSpPr>
        <xdr:cNvPr id="14" name="Group 680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>
          <a:grpSpLocks/>
        </xdr:cNvGrpSpPr>
      </xdr:nvGrpSpPr>
      <xdr:grpSpPr bwMode="auto">
        <a:xfrm>
          <a:off x="32407860" y="1102995"/>
          <a:ext cx="2270760" cy="1120140"/>
          <a:chOff x="5741064" y="463829"/>
          <a:chExt cx="1554221" cy="788339"/>
        </a:xfrm>
      </xdr:grpSpPr>
      <xdr:sp macro="" textlink="">
        <xdr:nvSpPr>
          <xdr:cNvPr id="15" name="Line 146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ShapeType="1"/>
          </xdr:cNvSpPr>
        </xdr:nvSpPr>
        <xdr:spPr bwMode="auto">
          <a:xfrm>
            <a:off x="6661601" y="836882"/>
            <a:ext cx="28164" cy="415286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" name="Line 146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>
            <a:spLocks noChangeShapeType="1"/>
          </xdr:cNvSpPr>
        </xdr:nvSpPr>
        <xdr:spPr bwMode="auto">
          <a:xfrm>
            <a:off x="6753133" y="801689"/>
            <a:ext cx="253474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" name="Line 146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ShapeType="1"/>
          </xdr:cNvSpPr>
        </xdr:nvSpPr>
        <xdr:spPr bwMode="auto">
          <a:xfrm>
            <a:off x="6788337" y="717224"/>
            <a:ext cx="443579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" name="Line 146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>
            <a:spLocks noChangeShapeType="1"/>
          </xdr:cNvSpPr>
        </xdr:nvSpPr>
        <xdr:spPr bwMode="auto">
          <a:xfrm>
            <a:off x="6816501" y="639798"/>
            <a:ext cx="478784" cy="147814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" name="Line 146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788337" y="463829"/>
            <a:ext cx="330924" cy="105581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" name="Oval 686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6464454" y="491984"/>
            <a:ext cx="337965" cy="330821"/>
          </a:xfrm>
          <a:prstGeom prst="ellipse">
            <a:avLst/>
          </a:prstGeom>
          <a:solidFill>
            <a:srgbClr val="FFFF00"/>
          </a:solidFill>
          <a:ln w="9525">
            <a:solidFill>
              <a:srgbClr val="FFCC00"/>
            </a:solidFill>
            <a:round/>
            <a:headEnd/>
            <a:tailEnd/>
          </a:ln>
        </xdr:spPr>
      </xdr:sp>
      <xdr:grpSp>
        <xdr:nvGrpSpPr>
          <xdr:cNvPr id="21" name="Group 687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GrpSpPr>
            <a:grpSpLocks/>
          </xdr:cNvGrpSpPr>
        </xdr:nvGrpSpPr>
        <xdr:grpSpPr bwMode="auto">
          <a:xfrm>
            <a:off x="5741064" y="476672"/>
            <a:ext cx="991176" cy="444225"/>
            <a:chOff x="2284681" y="5661248"/>
            <a:chExt cx="991176" cy="444225"/>
          </a:xfrm>
        </xdr:grpSpPr>
        <xdr:sp macro="" textlink="">
          <xdr:nvSpPr>
            <xdr:cNvPr id="22" name="Arc 1475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566319" y="5661248"/>
              <a:ext cx="309801" cy="7742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" name="Arc 1476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284681" y="5738674"/>
              <a:ext cx="281638" cy="168930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4" name="Arc 1477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284682" y="5907604"/>
              <a:ext cx="133778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5" name="Arc 1478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418460" y="5977990"/>
              <a:ext cx="168982" cy="9150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" name="Arc 1479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587442" y="5977991"/>
              <a:ext cx="197146" cy="12748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7" name="Rectangle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2411420" y="5906768"/>
              <a:ext cx="153421" cy="72872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" name="Rectangle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/>
          </xdr:nvSpPr>
          <xdr:spPr>
            <a:xfrm>
              <a:off x="2564841" y="5741151"/>
              <a:ext cx="500286" cy="238489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00000000-0008-0000-0200-00001D000000}"/>
                </a:ext>
              </a:extLst>
            </xdr:cNvPr>
            <xdr:cNvSpPr/>
          </xdr:nvSpPr>
          <xdr:spPr>
            <a:xfrm>
              <a:off x="3065127" y="5807398"/>
              <a:ext cx="40023" cy="79496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0" name="Arc 1473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SpPr>
              <a:spLocks/>
            </xdr:cNvSpPr>
          </xdr:nvSpPr>
          <xdr:spPr bwMode="auto">
            <a:xfrm>
              <a:off x="3101431" y="5805264"/>
              <a:ext cx="174425" cy="8122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" name="Arc 1474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SpPr>
              <a:spLocks/>
            </xdr:cNvSpPr>
          </xdr:nvSpPr>
          <xdr:spPr bwMode="auto">
            <a:xfrm>
              <a:off x="2876121" y="5661248"/>
              <a:ext cx="225310" cy="14401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2" name="Rectangle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2784967" y="5979640"/>
              <a:ext cx="180103" cy="66247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3" name="Arc 1481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960613" y="5886486"/>
              <a:ext cx="315244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" name="Arc 1480">
              <a:extLst>
                <a:ext uri="{FF2B5EF4-FFF2-40B4-BE49-F238E27FC236}">
                  <a16:creationId xmlns:a16="http://schemas.microsoft.com/office/drawing/2014/main" id="{00000000-0008-0000-0200-00002200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771800" y="6045641"/>
              <a:ext cx="188812" cy="5983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45</xdr:col>
      <xdr:colOff>371475</xdr:colOff>
      <xdr:row>5</xdr:row>
      <xdr:rowOff>9525</xdr:rowOff>
    </xdr:from>
    <xdr:to>
      <xdr:col>60</xdr:col>
      <xdr:colOff>314325</xdr:colOff>
      <xdr:row>45</xdr:row>
      <xdr:rowOff>9525</xdr:rowOff>
    </xdr:to>
    <xdr:grpSp>
      <xdr:nvGrpSpPr>
        <xdr:cNvPr id="35" name="Group 595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pSpPr>
          <a:grpSpLocks/>
        </xdr:cNvGrpSpPr>
      </xdr:nvGrpSpPr>
      <xdr:grpSpPr bwMode="auto">
        <a:xfrm>
          <a:off x="26469975" y="809625"/>
          <a:ext cx="10915650" cy="6400800"/>
          <a:chOff x="26969974" y="793937"/>
          <a:chExt cx="10706389" cy="6272366"/>
        </a:xfrm>
      </xdr:grpSpPr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CxnSpPr/>
        </xdr:nvCxnSpPr>
        <xdr:spPr>
          <a:xfrm>
            <a:off x="29007919" y="5830278"/>
            <a:ext cx="1837021" cy="1844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Rectangle 762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>
            <a:spLocks noChangeArrowheads="1"/>
          </xdr:cNvSpPr>
        </xdr:nvSpPr>
        <xdr:spPr bwMode="auto">
          <a:xfrm>
            <a:off x="26974240" y="793937"/>
            <a:ext cx="10700497" cy="6265769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/>
        </xdr:nvCxnSpPr>
        <xdr:spPr>
          <a:xfrm flipV="1">
            <a:off x="26979542" y="3376676"/>
            <a:ext cx="6496549" cy="9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CxnSpPr/>
        </xdr:nvCxnSpPr>
        <xdr:spPr>
          <a:xfrm>
            <a:off x="36470818" y="3265987"/>
            <a:ext cx="1205545" cy="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CxnSpPr/>
        </xdr:nvCxnSpPr>
        <xdr:spPr>
          <a:xfrm flipH="1" flipV="1">
            <a:off x="34863424" y="3422796"/>
            <a:ext cx="0" cy="363428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CxnSpPr/>
        </xdr:nvCxnSpPr>
        <xdr:spPr>
          <a:xfrm flipV="1">
            <a:off x="33141217" y="3275211"/>
            <a:ext cx="373145" cy="12175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CxnSpPr/>
        </xdr:nvCxnSpPr>
        <xdr:spPr>
          <a:xfrm>
            <a:off x="35006942" y="3265987"/>
            <a:ext cx="1186410" cy="9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CxnSpPr/>
        </xdr:nvCxnSpPr>
        <xdr:spPr>
          <a:xfrm>
            <a:off x="33514362" y="3265987"/>
            <a:ext cx="1195977" cy="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CxnSpPr/>
        </xdr:nvCxnSpPr>
        <xdr:spPr>
          <a:xfrm flipV="1">
            <a:off x="31265925" y="3376676"/>
            <a:ext cx="0" cy="11161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CxnSpPr/>
        </xdr:nvCxnSpPr>
        <xdr:spPr>
          <a:xfrm flipV="1">
            <a:off x="28998352" y="3395124"/>
            <a:ext cx="9568" cy="243515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CxnSpPr/>
        </xdr:nvCxnSpPr>
        <xdr:spPr>
          <a:xfrm>
            <a:off x="26969974" y="6365274"/>
            <a:ext cx="1913564" cy="922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CxnSpPr/>
        </xdr:nvCxnSpPr>
        <xdr:spPr>
          <a:xfrm>
            <a:off x="29007919" y="5110801"/>
            <a:ext cx="2066649" cy="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515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1262505" y="4489983"/>
            <a:ext cx="1884019" cy="0"/>
          </a:xfrm>
          <a:prstGeom prst="line">
            <a:avLst/>
          </a:prstGeom>
          <a:noFill/>
          <a:ln w="0" algn="ctr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CxnSpPr/>
        </xdr:nvCxnSpPr>
        <xdr:spPr>
          <a:xfrm flipV="1">
            <a:off x="30844941" y="4492788"/>
            <a:ext cx="420984" cy="13559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CxnSpPr/>
        </xdr:nvCxnSpPr>
        <xdr:spPr>
          <a:xfrm flipV="1">
            <a:off x="28730453" y="5830278"/>
            <a:ext cx="277467" cy="1226801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CxnSpPr/>
        </xdr:nvCxnSpPr>
        <xdr:spPr>
          <a:xfrm>
            <a:off x="34710339" y="3265987"/>
            <a:ext cx="153085" cy="15680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CxnSpPr/>
        </xdr:nvCxnSpPr>
        <xdr:spPr>
          <a:xfrm flipH="1">
            <a:off x="34863424" y="3265987"/>
            <a:ext cx="143517" cy="15680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CxnSpPr/>
        </xdr:nvCxnSpPr>
        <xdr:spPr>
          <a:xfrm flipH="1" flipV="1">
            <a:off x="36336868" y="3422796"/>
            <a:ext cx="0" cy="364350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CxnSpPr/>
        </xdr:nvCxnSpPr>
        <xdr:spPr>
          <a:xfrm>
            <a:off x="36183783" y="3275211"/>
            <a:ext cx="153085" cy="15680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CxnSpPr/>
        </xdr:nvCxnSpPr>
        <xdr:spPr>
          <a:xfrm flipH="1">
            <a:off x="36336868" y="3265987"/>
            <a:ext cx="143517" cy="16603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209550</xdr:colOff>
      <xdr:row>25</xdr:row>
      <xdr:rowOff>66675</xdr:rowOff>
    </xdr:from>
    <xdr:to>
      <xdr:col>46</xdr:col>
      <xdr:colOff>66675</xdr:colOff>
      <xdr:row>25</xdr:row>
      <xdr:rowOff>66675</xdr:rowOff>
    </xdr:to>
    <xdr:sp macro="" textlink="">
      <xdr:nvSpPr>
        <xdr:cNvPr id="56" name="Line 1548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ShapeType="1"/>
        </xdr:cNvSpPr>
      </xdr:nvSpPr>
      <xdr:spPr bwMode="auto">
        <a:xfrm>
          <a:off x="27641550" y="4114800"/>
          <a:ext cx="466725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</xdr:colOff>
      <xdr:row>25</xdr:row>
      <xdr:rowOff>114300</xdr:rowOff>
    </xdr:from>
    <xdr:to>
      <xdr:col>45</xdr:col>
      <xdr:colOff>657225</xdr:colOff>
      <xdr:row>25</xdr:row>
      <xdr:rowOff>114300</xdr:rowOff>
    </xdr:to>
    <xdr:sp macro="" textlink="">
      <xdr:nvSpPr>
        <xdr:cNvPr id="57" name="Line 1549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ShapeType="1"/>
        </xdr:cNvSpPr>
      </xdr:nvSpPr>
      <xdr:spPr bwMode="auto">
        <a:xfrm flipH="1" flipV="1">
          <a:off x="27451050" y="4162425"/>
          <a:ext cx="590550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28575</xdr:colOff>
      <xdr:row>10</xdr:row>
      <xdr:rowOff>85725</xdr:rowOff>
    </xdr:from>
    <xdr:to>
      <xdr:col>45</xdr:col>
      <xdr:colOff>676275</xdr:colOff>
      <xdr:row>10</xdr:row>
      <xdr:rowOff>85725</xdr:rowOff>
    </xdr:to>
    <xdr:sp macro="" textlink="">
      <xdr:nvSpPr>
        <xdr:cNvPr id="58" name="Line 149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ShapeType="1"/>
        </xdr:cNvSpPr>
      </xdr:nvSpPr>
      <xdr:spPr bwMode="auto">
        <a:xfrm flipV="1">
          <a:off x="27460575" y="1704975"/>
          <a:ext cx="58102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</xdr:colOff>
      <xdr:row>28</xdr:row>
      <xdr:rowOff>76200</xdr:rowOff>
    </xdr:from>
    <xdr:to>
      <xdr:col>48</xdr:col>
      <xdr:colOff>447675</xdr:colOff>
      <xdr:row>28</xdr:row>
      <xdr:rowOff>76200</xdr:rowOff>
    </xdr:to>
    <xdr:sp macro="" textlink="">
      <xdr:nvSpPr>
        <xdr:cNvPr id="59" name="Line 163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ShapeType="1"/>
        </xdr:cNvSpPr>
      </xdr:nvSpPr>
      <xdr:spPr bwMode="auto">
        <a:xfrm>
          <a:off x="27451050" y="4610100"/>
          <a:ext cx="225742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28575</xdr:colOff>
      <xdr:row>8</xdr:row>
      <xdr:rowOff>85725</xdr:rowOff>
    </xdr:from>
    <xdr:to>
      <xdr:col>46</xdr:col>
      <xdr:colOff>47625</xdr:colOff>
      <xdr:row>8</xdr:row>
      <xdr:rowOff>85725</xdr:rowOff>
    </xdr:to>
    <xdr:sp macro="" textlink="">
      <xdr:nvSpPr>
        <xdr:cNvPr id="60" name="Line 1658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ShapeType="1"/>
        </xdr:cNvSpPr>
      </xdr:nvSpPr>
      <xdr:spPr bwMode="auto">
        <a:xfrm flipV="1">
          <a:off x="27460575" y="1381125"/>
          <a:ext cx="628650" cy="0"/>
        </a:xfrm>
        <a:prstGeom prst="line">
          <a:avLst/>
        </a:prstGeom>
        <a:noFill/>
        <a:ln w="9525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0</xdr:colOff>
      <xdr:row>9</xdr:row>
      <xdr:rowOff>85725</xdr:rowOff>
    </xdr:from>
    <xdr:to>
      <xdr:col>45</xdr:col>
      <xdr:colOff>704850</xdr:colOff>
      <xdr:row>9</xdr:row>
      <xdr:rowOff>85725</xdr:rowOff>
    </xdr:to>
    <xdr:sp macro="" textlink="">
      <xdr:nvSpPr>
        <xdr:cNvPr id="61" name="Line 1659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ShapeType="1"/>
        </xdr:cNvSpPr>
      </xdr:nvSpPr>
      <xdr:spPr bwMode="auto">
        <a:xfrm flipH="1">
          <a:off x="27432000" y="1543050"/>
          <a:ext cx="609600" cy="0"/>
        </a:xfrm>
        <a:prstGeom prst="line">
          <a:avLst/>
        </a:prstGeom>
        <a:noFill/>
        <a:ln w="9525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285750</xdr:colOff>
      <xdr:row>33</xdr:row>
      <xdr:rowOff>95250</xdr:rowOff>
    </xdr:from>
    <xdr:to>
      <xdr:col>60</xdr:col>
      <xdr:colOff>590550</xdr:colOff>
      <xdr:row>33</xdr:row>
      <xdr:rowOff>95250</xdr:rowOff>
    </xdr:to>
    <xdr:sp macro="" textlink="">
      <xdr:nvSpPr>
        <xdr:cNvPr id="62" name="Line 17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>
          <a:spLocks noChangeShapeType="1"/>
        </xdr:cNvSpPr>
      </xdr:nvSpPr>
      <xdr:spPr bwMode="auto">
        <a:xfrm flipH="1">
          <a:off x="36252150" y="5438775"/>
          <a:ext cx="9144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57</xdr:col>
      <xdr:colOff>171450</xdr:colOff>
      <xdr:row>34</xdr:row>
      <xdr:rowOff>95250</xdr:rowOff>
    </xdr:from>
    <xdr:to>
      <xdr:col>60</xdr:col>
      <xdr:colOff>590550</xdr:colOff>
      <xdr:row>34</xdr:row>
      <xdr:rowOff>95250</xdr:rowOff>
    </xdr:to>
    <xdr:sp macro="" textlink="">
      <xdr:nvSpPr>
        <xdr:cNvPr id="63" name="Line 17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>
          <a:spLocks noChangeShapeType="1"/>
        </xdr:cNvSpPr>
      </xdr:nvSpPr>
      <xdr:spPr bwMode="auto">
        <a:xfrm flipH="1" flipV="1">
          <a:off x="34918650" y="5600700"/>
          <a:ext cx="22479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53</xdr:col>
      <xdr:colOff>247650</xdr:colOff>
      <xdr:row>35</xdr:row>
      <xdr:rowOff>104775</xdr:rowOff>
    </xdr:from>
    <xdr:to>
      <xdr:col>60</xdr:col>
      <xdr:colOff>590550</xdr:colOff>
      <xdr:row>35</xdr:row>
      <xdr:rowOff>104775</xdr:rowOff>
    </xdr:to>
    <xdr:sp macro="" textlink="">
      <xdr:nvSpPr>
        <xdr:cNvPr id="64" name="Line 17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>
          <a:spLocks noChangeShapeType="1"/>
        </xdr:cNvSpPr>
      </xdr:nvSpPr>
      <xdr:spPr bwMode="auto">
        <a:xfrm flipH="1">
          <a:off x="32556450" y="5772150"/>
          <a:ext cx="46101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219075</xdr:colOff>
      <xdr:row>4</xdr:row>
      <xdr:rowOff>57150</xdr:rowOff>
    </xdr:from>
    <xdr:to>
      <xdr:col>51</xdr:col>
      <xdr:colOff>485775</xdr:colOff>
      <xdr:row>6</xdr:row>
      <xdr:rowOff>19050</xdr:rowOff>
    </xdr:to>
    <xdr:sp macro="" textlink="">
      <xdr:nvSpPr>
        <xdr:cNvPr id="65" name="Line 2552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>
          <a:spLocks noChangeShapeType="1"/>
        </xdr:cNvSpPr>
      </xdr:nvSpPr>
      <xdr:spPr bwMode="auto">
        <a:xfrm rot="18953249" flipV="1">
          <a:off x="31308675" y="704850"/>
          <a:ext cx="26670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161925</xdr:colOff>
      <xdr:row>24</xdr:row>
      <xdr:rowOff>47625</xdr:rowOff>
    </xdr:from>
    <xdr:to>
      <xdr:col>49</xdr:col>
      <xdr:colOff>38100</xdr:colOff>
      <xdr:row>24</xdr:row>
      <xdr:rowOff>47625</xdr:rowOff>
    </xdr:to>
    <xdr:sp macro="" textlink="">
      <xdr:nvSpPr>
        <xdr:cNvPr id="66" name="Line 1636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>
          <a:spLocks noChangeShapeType="1"/>
        </xdr:cNvSpPr>
      </xdr:nvSpPr>
      <xdr:spPr bwMode="auto">
        <a:xfrm flipV="1">
          <a:off x="27593925" y="3933825"/>
          <a:ext cx="2314575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</xdr:colOff>
      <xdr:row>24</xdr:row>
      <xdr:rowOff>95250</xdr:rowOff>
    </xdr:from>
    <xdr:to>
      <xdr:col>48</xdr:col>
      <xdr:colOff>638175</xdr:colOff>
      <xdr:row>24</xdr:row>
      <xdr:rowOff>104775</xdr:rowOff>
    </xdr:to>
    <xdr:sp macro="" textlink="">
      <xdr:nvSpPr>
        <xdr:cNvPr id="67" name="Line 1549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>
          <a:spLocks noChangeShapeType="1"/>
        </xdr:cNvSpPr>
      </xdr:nvSpPr>
      <xdr:spPr bwMode="auto">
        <a:xfrm flipH="1" flipV="1">
          <a:off x="27451050" y="3981450"/>
          <a:ext cx="2419350" cy="9525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</xdr:colOff>
      <xdr:row>23</xdr:row>
      <xdr:rowOff>76200</xdr:rowOff>
    </xdr:from>
    <xdr:to>
      <xdr:col>51</xdr:col>
      <xdr:colOff>571500</xdr:colOff>
      <xdr:row>23</xdr:row>
      <xdr:rowOff>76200</xdr:rowOff>
    </xdr:to>
    <xdr:sp macro="" textlink="">
      <xdr:nvSpPr>
        <xdr:cNvPr id="68" name="Line 1549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>
          <a:spLocks noChangeShapeType="1"/>
        </xdr:cNvSpPr>
      </xdr:nvSpPr>
      <xdr:spPr bwMode="auto">
        <a:xfrm flipH="1" flipV="1">
          <a:off x="27451050" y="3800475"/>
          <a:ext cx="4210050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</xdr:colOff>
      <xdr:row>27</xdr:row>
      <xdr:rowOff>66675</xdr:rowOff>
    </xdr:from>
    <xdr:to>
      <xdr:col>51</xdr:col>
      <xdr:colOff>581025</xdr:colOff>
      <xdr:row>27</xdr:row>
      <xdr:rowOff>76200</xdr:rowOff>
    </xdr:to>
    <xdr:sp macro="" textlink="">
      <xdr:nvSpPr>
        <xdr:cNvPr id="69" name="Line 1633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>
          <a:spLocks noChangeShapeType="1"/>
        </xdr:cNvSpPr>
      </xdr:nvSpPr>
      <xdr:spPr bwMode="auto">
        <a:xfrm flipV="1">
          <a:off x="27451050" y="4438650"/>
          <a:ext cx="4219575" cy="9525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48</xdr:col>
      <xdr:colOff>504825</xdr:colOff>
      <xdr:row>29</xdr:row>
      <xdr:rowOff>133350</xdr:rowOff>
    </xdr:from>
    <xdr:to>
      <xdr:col>48</xdr:col>
      <xdr:colOff>695325</xdr:colOff>
      <xdr:row>31</xdr:row>
      <xdr:rowOff>19050</xdr:rowOff>
    </xdr:to>
    <xdr:grpSp>
      <xdr:nvGrpSpPr>
        <xdr:cNvPr id="70" name="Group 59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GrpSpPr>
          <a:grpSpLocks noChangeAspect="1"/>
        </xdr:cNvGrpSpPr>
      </xdr:nvGrpSpPr>
      <xdr:grpSpPr bwMode="auto">
        <a:xfrm>
          <a:off x="28797885" y="4773930"/>
          <a:ext cx="190500" cy="205740"/>
          <a:chOff x="1022492" y="5877272"/>
          <a:chExt cx="474280" cy="474280"/>
        </a:xfrm>
      </xdr:grpSpPr>
      <xdr:grpSp>
        <xdr:nvGrpSpPr>
          <xdr:cNvPr id="71" name="Group 60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73" name="Arc 72">
              <a:extLst>
                <a:ext uri="{FF2B5EF4-FFF2-40B4-BE49-F238E27FC236}">
                  <a16:creationId xmlns:a16="http://schemas.microsoft.com/office/drawing/2014/main" id="{00000000-0008-0000-0200-000049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:cNvPr>
            <xdr:cNvCxnSpPr>
              <a:endCxn id="73" idx="0"/>
            </xdr:cNvCxnSpPr>
          </xdr:nvCxnSpPr>
          <xdr:spPr>
            <a:xfrm flipH="1" flipV="1">
              <a:off x="1046206" y="6006621"/>
              <a:ext cx="213426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Straight Connector 74">
              <a:extLst>
                <a:ext uri="{FF2B5EF4-FFF2-40B4-BE49-F238E27FC236}">
                  <a16:creationId xmlns:a16="http://schemas.microsoft.com/office/drawing/2014/main" id="{00000000-0008-0000-0200-00004B000000}"/>
                </a:ext>
              </a:extLst>
            </xdr:cNvPr>
            <xdr:cNvCxnSpPr>
              <a:endCxn id="73" idx="2"/>
            </xdr:cNvCxnSpPr>
          </xdr:nvCxnSpPr>
          <xdr:spPr>
            <a:xfrm flipH="1">
              <a:off x="1069920" y="6135970"/>
              <a:ext cx="18971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>
            <a:spLocks noChangeAspect="1"/>
          </xdr:cNvSpPr>
        </xdr:nvSpPr>
        <xdr:spPr>
          <a:xfrm>
            <a:off x="1235918" y="5941947"/>
            <a:ext cx="47428" cy="107791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51</xdr:col>
      <xdr:colOff>619125</xdr:colOff>
      <xdr:row>25</xdr:row>
      <xdr:rowOff>133350</xdr:rowOff>
    </xdr:from>
    <xdr:to>
      <xdr:col>52</xdr:col>
      <xdr:colOff>114300</xdr:colOff>
      <xdr:row>27</xdr:row>
      <xdr:rowOff>9525</xdr:rowOff>
    </xdr:to>
    <xdr:grpSp>
      <xdr:nvGrpSpPr>
        <xdr:cNvPr id="76" name="Group 60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GrpSpPr>
          <a:grpSpLocks noChangeAspect="1"/>
        </xdr:cNvGrpSpPr>
      </xdr:nvGrpSpPr>
      <xdr:grpSpPr bwMode="auto">
        <a:xfrm>
          <a:off x="31106745" y="4133850"/>
          <a:ext cx="226695" cy="196215"/>
          <a:chOff x="1022492" y="5877272"/>
          <a:chExt cx="474280" cy="474280"/>
        </a:xfrm>
      </xdr:grpSpPr>
      <xdr:grpSp>
        <xdr:nvGrpSpPr>
          <xdr:cNvPr id="77" name="Group 606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79" name="Arc 78">
              <a:extLst>
                <a:ext uri="{FF2B5EF4-FFF2-40B4-BE49-F238E27FC236}">
                  <a16:creationId xmlns:a16="http://schemas.microsoft.com/office/drawing/2014/main" id="{00000000-0008-0000-0200-00004F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80" name="Straight Connector 79">
              <a:extLst>
                <a:ext uri="{FF2B5EF4-FFF2-40B4-BE49-F238E27FC236}">
                  <a16:creationId xmlns:a16="http://schemas.microsoft.com/office/drawing/2014/main" id="{00000000-0008-0000-0200-000050000000}"/>
                </a:ext>
              </a:extLst>
            </xdr:cNvPr>
            <xdr:cNvCxnSpPr>
              <a:endCxn id="79" idx="0"/>
            </xdr:cNvCxnSpPr>
          </xdr:nvCxnSpPr>
          <xdr:spPr>
            <a:xfrm flipH="1" flipV="1">
              <a:off x="1044050" y="5990196"/>
              <a:ext cx="215582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Connector 80">
              <a:extLst>
                <a:ext uri="{FF2B5EF4-FFF2-40B4-BE49-F238E27FC236}">
                  <a16:creationId xmlns:a16="http://schemas.microsoft.com/office/drawing/2014/main" id="{00000000-0008-0000-0200-000051000000}"/>
                </a:ext>
              </a:extLst>
            </xdr:cNvPr>
            <xdr:cNvCxnSpPr>
              <a:endCxn id="79" idx="2"/>
            </xdr:cNvCxnSpPr>
          </xdr:nvCxnSpPr>
          <xdr:spPr>
            <a:xfrm flipH="1">
              <a:off x="1065608" y="6125704"/>
              <a:ext cx="194024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8" name="Oval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>
            <a:spLocks noChangeAspect="1"/>
          </xdr:cNvSpPr>
        </xdr:nvSpPr>
        <xdr:spPr>
          <a:xfrm>
            <a:off x="1216516" y="5945026"/>
            <a:ext cx="86233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54</xdr:col>
      <xdr:colOff>590550</xdr:colOff>
      <xdr:row>25</xdr:row>
      <xdr:rowOff>142875</xdr:rowOff>
    </xdr:from>
    <xdr:to>
      <xdr:col>55</xdr:col>
      <xdr:colOff>85725</xdr:colOff>
      <xdr:row>27</xdr:row>
      <xdr:rowOff>19050</xdr:rowOff>
    </xdr:to>
    <xdr:grpSp>
      <xdr:nvGrpSpPr>
        <xdr:cNvPr id="82" name="Group 61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GrpSpPr>
          <a:grpSpLocks noChangeAspect="1"/>
        </xdr:cNvGrpSpPr>
      </xdr:nvGrpSpPr>
      <xdr:grpSpPr bwMode="auto">
        <a:xfrm>
          <a:off x="33272730" y="4143375"/>
          <a:ext cx="226695" cy="196215"/>
          <a:chOff x="1022492" y="5877272"/>
          <a:chExt cx="474280" cy="474280"/>
        </a:xfrm>
      </xdr:grpSpPr>
      <xdr:grpSp>
        <xdr:nvGrpSpPr>
          <xdr:cNvPr id="83" name="Group 61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85" name="Arc 84">
              <a:extLst>
                <a:ext uri="{FF2B5EF4-FFF2-40B4-BE49-F238E27FC236}">
                  <a16:creationId xmlns:a16="http://schemas.microsoft.com/office/drawing/2014/main" id="{00000000-0008-0000-0200-000055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86" name="Straight Connector 85">
              <a:extLst>
                <a:ext uri="{FF2B5EF4-FFF2-40B4-BE49-F238E27FC236}">
                  <a16:creationId xmlns:a16="http://schemas.microsoft.com/office/drawing/2014/main" id="{00000000-0008-0000-0200-000056000000}"/>
                </a:ext>
              </a:extLst>
            </xdr:cNvPr>
            <xdr:cNvCxnSpPr>
              <a:endCxn id="85" idx="0"/>
            </xdr:cNvCxnSpPr>
          </xdr:nvCxnSpPr>
          <xdr:spPr>
            <a:xfrm flipH="1" flipV="1">
              <a:off x="1044050" y="5990196"/>
              <a:ext cx="215582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00000000-0008-0000-0200-000057000000}"/>
                </a:ext>
              </a:extLst>
            </xdr:cNvPr>
            <xdr:cNvCxnSpPr>
              <a:endCxn id="85" idx="2"/>
            </xdr:cNvCxnSpPr>
          </xdr:nvCxnSpPr>
          <xdr:spPr>
            <a:xfrm flipH="1">
              <a:off x="1065608" y="6125704"/>
              <a:ext cx="194024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SpPr>
            <a:spLocks noChangeAspect="1"/>
          </xdr:cNvSpPr>
        </xdr:nvSpPr>
        <xdr:spPr>
          <a:xfrm>
            <a:off x="1216516" y="5945026"/>
            <a:ext cx="86233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48</xdr:col>
      <xdr:colOff>476250</xdr:colOff>
      <xdr:row>33</xdr:row>
      <xdr:rowOff>133350</xdr:rowOff>
    </xdr:from>
    <xdr:to>
      <xdr:col>48</xdr:col>
      <xdr:colOff>676275</xdr:colOff>
      <xdr:row>35</xdr:row>
      <xdr:rowOff>9525</xdr:rowOff>
    </xdr:to>
    <xdr:grpSp>
      <xdr:nvGrpSpPr>
        <xdr:cNvPr id="88" name="Group 61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GrpSpPr>
          <a:grpSpLocks noChangeAspect="1"/>
        </xdr:cNvGrpSpPr>
      </xdr:nvGrpSpPr>
      <xdr:grpSpPr bwMode="auto">
        <a:xfrm>
          <a:off x="28769310" y="5414010"/>
          <a:ext cx="200025" cy="196215"/>
          <a:chOff x="1022492" y="5877272"/>
          <a:chExt cx="474280" cy="474280"/>
        </a:xfrm>
      </xdr:grpSpPr>
      <xdr:grpSp>
        <xdr:nvGrpSpPr>
          <xdr:cNvPr id="89" name="Group 618">
            <a:extLst>
              <a:ext uri="{FF2B5EF4-FFF2-40B4-BE49-F238E27FC236}">
                <a16:creationId xmlns:a16="http://schemas.microsoft.com/office/drawing/2014/main" id="{00000000-0008-0000-0200-000059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91" name="Arc 90">
              <a:extLst>
                <a:ext uri="{FF2B5EF4-FFF2-40B4-BE49-F238E27FC236}">
                  <a16:creationId xmlns:a16="http://schemas.microsoft.com/office/drawing/2014/main" id="{00000000-0008-0000-0200-00005B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92" name="Straight Connector 91">
              <a:extLst>
                <a:ext uri="{FF2B5EF4-FFF2-40B4-BE49-F238E27FC236}">
                  <a16:creationId xmlns:a16="http://schemas.microsoft.com/office/drawing/2014/main" id="{00000000-0008-0000-0200-00005C000000}"/>
                </a:ext>
              </a:extLst>
            </xdr:cNvPr>
            <xdr:cNvCxnSpPr>
              <a:endCxn id="91" idx="0"/>
            </xdr:cNvCxnSpPr>
          </xdr:nvCxnSpPr>
          <xdr:spPr>
            <a:xfrm flipH="1" flipV="1">
              <a:off x="1045077" y="5990196"/>
              <a:ext cx="225848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00000000-0008-0000-0200-00005D000000}"/>
                </a:ext>
              </a:extLst>
            </xdr:cNvPr>
            <xdr:cNvCxnSpPr>
              <a:endCxn id="91" idx="2"/>
            </xdr:cNvCxnSpPr>
          </xdr:nvCxnSpPr>
          <xdr:spPr>
            <a:xfrm flipH="1">
              <a:off x="1067662" y="6125704"/>
              <a:ext cx="203263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00000000-0008-0000-0200-00005A000000}"/>
              </a:ext>
            </a:extLst>
          </xdr:cNvPr>
          <xdr:cNvSpPr>
            <a:spLocks noChangeAspect="1"/>
          </xdr:cNvSpPr>
        </xdr:nvSpPr>
        <xdr:spPr>
          <a:xfrm>
            <a:off x="1225755" y="5945026"/>
            <a:ext cx="67754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58</xdr:col>
      <xdr:colOff>581025</xdr:colOff>
      <xdr:row>25</xdr:row>
      <xdr:rowOff>133350</xdr:rowOff>
    </xdr:from>
    <xdr:to>
      <xdr:col>59</xdr:col>
      <xdr:colOff>66675</xdr:colOff>
      <xdr:row>27</xdr:row>
      <xdr:rowOff>9525</xdr:rowOff>
    </xdr:to>
    <xdr:grpSp>
      <xdr:nvGrpSpPr>
        <xdr:cNvPr id="94" name="Group 62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GrpSpPr>
          <a:grpSpLocks noChangeAspect="1"/>
        </xdr:cNvGrpSpPr>
      </xdr:nvGrpSpPr>
      <xdr:grpSpPr bwMode="auto">
        <a:xfrm>
          <a:off x="36189285" y="4133850"/>
          <a:ext cx="217170" cy="196215"/>
          <a:chOff x="1022492" y="5877272"/>
          <a:chExt cx="474280" cy="474280"/>
        </a:xfrm>
      </xdr:grpSpPr>
      <xdr:grpSp>
        <xdr:nvGrpSpPr>
          <xdr:cNvPr id="95" name="Group 62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97" name="Arc 96">
              <a:extLst>
                <a:ext uri="{FF2B5EF4-FFF2-40B4-BE49-F238E27FC236}">
                  <a16:creationId xmlns:a16="http://schemas.microsoft.com/office/drawing/2014/main" id="{00000000-0008-0000-0200-000061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98" name="Straight Connector 97">
              <a:extLst>
                <a:ext uri="{FF2B5EF4-FFF2-40B4-BE49-F238E27FC236}">
                  <a16:creationId xmlns:a16="http://schemas.microsoft.com/office/drawing/2014/main" id="{00000000-0008-0000-0200-000062000000}"/>
                </a:ext>
              </a:extLst>
            </xdr:cNvPr>
            <xdr:cNvCxnSpPr>
              <a:endCxn id="97" idx="0"/>
            </xdr:cNvCxnSpPr>
          </xdr:nvCxnSpPr>
          <xdr:spPr>
            <a:xfrm flipH="1" flipV="1">
              <a:off x="1045077" y="5990196"/>
              <a:ext cx="225848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Straight Connector 98">
              <a:extLst>
                <a:ext uri="{FF2B5EF4-FFF2-40B4-BE49-F238E27FC236}">
                  <a16:creationId xmlns:a16="http://schemas.microsoft.com/office/drawing/2014/main" id="{00000000-0008-0000-0200-000063000000}"/>
                </a:ext>
              </a:extLst>
            </xdr:cNvPr>
            <xdr:cNvCxnSpPr>
              <a:endCxn id="97" idx="2"/>
            </xdr:cNvCxnSpPr>
          </xdr:nvCxnSpPr>
          <xdr:spPr>
            <a:xfrm flipH="1">
              <a:off x="1067662" y="6125704"/>
              <a:ext cx="203263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SpPr>
            <a:spLocks noChangeAspect="1"/>
          </xdr:cNvSpPr>
        </xdr:nvSpPr>
        <xdr:spPr>
          <a:xfrm>
            <a:off x="1225755" y="5945026"/>
            <a:ext cx="67754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56</xdr:col>
      <xdr:colOff>600075</xdr:colOff>
      <xdr:row>25</xdr:row>
      <xdr:rowOff>142875</xdr:rowOff>
    </xdr:from>
    <xdr:to>
      <xdr:col>57</xdr:col>
      <xdr:colOff>95250</xdr:colOff>
      <xdr:row>27</xdr:row>
      <xdr:rowOff>28575</xdr:rowOff>
    </xdr:to>
    <xdr:grpSp>
      <xdr:nvGrpSpPr>
        <xdr:cNvPr id="100" name="Group 62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GrpSpPr>
          <a:grpSpLocks noChangeAspect="1"/>
        </xdr:cNvGrpSpPr>
      </xdr:nvGrpSpPr>
      <xdr:grpSpPr bwMode="auto">
        <a:xfrm>
          <a:off x="34745295" y="4143375"/>
          <a:ext cx="226695" cy="205740"/>
          <a:chOff x="1022492" y="5877272"/>
          <a:chExt cx="474280" cy="474280"/>
        </a:xfrm>
      </xdr:grpSpPr>
      <xdr:grpSp>
        <xdr:nvGrpSpPr>
          <xdr:cNvPr id="101" name="Group 630">
            <a:extLst>
              <a:ext uri="{FF2B5EF4-FFF2-40B4-BE49-F238E27FC236}">
                <a16:creationId xmlns:a16="http://schemas.microsoft.com/office/drawing/2014/main" id="{00000000-0008-0000-0200-000065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103" name="Arc 102">
              <a:extLst>
                <a:ext uri="{FF2B5EF4-FFF2-40B4-BE49-F238E27FC236}">
                  <a16:creationId xmlns:a16="http://schemas.microsoft.com/office/drawing/2014/main" id="{00000000-0008-0000-0200-000067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104" name="Straight Connector 103">
              <a:extLst>
                <a:ext uri="{FF2B5EF4-FFF2-40B4-BE49-F238E27FC236}">
                  <a16:creationId xmlns:a16="http://schemas.microsoft.com/office/drawing/2014/main" id="{00000000-0008-0000-0200-000068000000}"/>
                </a:ext>
              </a:extLst>
            </xdr:cNvPr>
            <xdr:cNvCxnSpPr>
              <a:endCxn id="103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" name="Straight Connector 104">
              <a:extLst>
                <a:ext uri="{FF2B5EF4-FFF2-40B4-BE49-F238E27FC236}">
                  <a16:creationId xmlns:a16="http://schemas.microsoft.com/office/drawing/2014/main" id="{00000000-0008-0000-0200-000069000000}"/>
                </a:ext>
              </a:extLst>
            </xdr:cNvPr>
            <xdr:cNvCxnSpPr>
              <a:endCxn id="103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00000000-0008-0000-0200-00006600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49</xdr:col>
      <xdr:colOff>28575</xdr:colOff>
      <xdr:row>6</xdr:row>
      <xdr:rowOff>133350</xdr:rowOff>
    </xdr:from>
    <xdr:to>
      <xdr:col>49</xdr:col>
      <xdr:colOff>238125</xdr:colOff>
      <xdr:row>8</xdr:row>
      <xdr:rowOff>28575</xdr:rowOff>
    </xdr:to>
    <xdr:grpSp>
      <xdr:nvGrpSpPr>
        <xdr:cNvPr id="106" name="Group 65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GrpSpPr>
          <a:grpSpLocks noChangeAspect="1"/>
        </xdr:cNvGrpSpPr>
      </xdr:nvGrpSpPr>
      <xdr:grpSpPr bwMode="auto">
        <a:xfrm>
          <a:off x="29053155" y="1093470"/>
          <a:ext cx="209550" cy="215265"/>
          <a:chOff x="1022492" y="5877272"/>
          <a:chExt cx="474280" cy="474280"/>
        </a:xfrm>
      </xdr:grpSpPr>
      <xdr:grpSp>
        <xdr:nvGrpSpPr>
          <xdr:cNvPr id="107" name="Group 654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109" name="Arc 108">
              <a:extLst>
                <a:ext uri="{FF2B5EF4-FFF2-40B4-BE49-F238E27FC236}">
                  <a16:creationId xmlns:a16="http://schemas.microsoft.com/office/drawing/2014/main" id="{00000000-0008-0000-0200-00006D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110" name="Straight Connector 109">
              <a:extLst>
                <a:ext uri="{FF2B5EF4-FFF2-40B4-BE49-F238E27FC236}">
                  <a16:creationId xmlns:a16="http://schemas.microsoft.com/office/drawing/2014/main" id="{00000000-0008-0000-0200-00006E000000}"/>
                </a:ext>
              </a:extLst>
            </xdr:cNvPr>
            <xdr:cNvCxnSpPr>
              <a:endCxn id="109" idx="0"/>
            </xdr:cNvCxnSpPr>
          </xdr:nvCxnSpPr>
          <xdr:spPr>
            <a:xfrm flipH="1" flipV="1">
              <a:off x="1044050" y="6000997"/>
              <a:ext cx="237140" cy="123725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" name="Straight Connector 110">
              <a:extLst>
                <a:ext uri="{FF2B5EF4-FFF2-40B4-BE49-F238E27FC236}">
                  <a16:creationId xmlns:a16="http://schemas.microsoft.com/office/drawing/2014/main" id="{00000000-0008-0000-0200-00006F000000}"/>
                </a:ext>
              </a:extLst>
            </xdr:cNvPr>
            <xdr:cNvCxnSpPr>
              <a:endCxn id="109" idx="2"/>
            </xdr:cNvCxnSpPr>
          </xdr:nvCxnSpPr>
          <xdr:spPr>
            <a:xfrm flipH="1">
              <a:off x="1065608" y="6124722"/>
              <a:ext cx="215582" cy="123725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00000000-0008-0000-0200-00006C000000}"/>
              </a:ext>
            </a:extLst>
          </xdr:cNvPr>
          <xdr:cNvSpPr>
            <a:spLocks noChangeAspect="1"/>
          </xdr:cNvSpPr>
        </xdr:nvSpPr>
        <xdr:spPr>
          <a:xfrm>
            <a:off x="1216516" y="5939135"/>
            <a:ext cx="86233" cy="8248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485775</xdr:colOff>
      <xdr:row>31</xdr:row>
      <xdr:rowOff>133350</xdr:rowOff>
    </xdr:from>
    <xdr:to>
      <xdr:col>45</xdr:col>
      <xdr:colOff>695325</xdr:colOff>
      <xdr:row>33</xdr:row>
      <xdr:rowOff>9525</xdr:rowOff>
    </xdr:to>
    <xdr:grpSp>
      <xdr:nvGrpSpPr>
        <xdr:cNvPr id="112" name="Group 668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GrpSpPr>
          <a:grpSpLocks noChangeAspect="1"/>
        </xdr:cNvGrpSpPr>
      </xdr:nvGrpSpPr>
      <xdr:grpSpPr bwMode="auto">
        <a:xfrm>
          <a:off x="26584275" y="5093970"/>
          <a:ext cx="209550" cy="196215"/>
          <a:chOff x="1022492" y="5877272"/>
          <a:chExt cx="474280" cy="474280"/>
        </a:xfrm>
      </xdr:grpSpPr>
      <xdr:grpSp>
        <xdr:nvGrpSpPr>
          <xdr:cNvPr id="113" name="Group 669">
            <a:extLst>
              <a:ext uri="{FF2B5EF4-FFF2-40B4-BE49-F238E27FC236}">
                <a16:creationId xmlns:a16="http://schemas.microsoft.com/office/drawing/2014/main" id="{00000000-0008-0000-0200-000071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115" name="Arc 114">
              <a:extLst>
                <a:ext uri="{FF2B5EF4-FFF2-40B4-BE49-F238E27FC236}">
                  <a16:creationId xmlns:a16="http://schemas.microsoft.com/office/drawing/2014/main" id="{00000000-0008-0000-0200-000073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116" name="Straight Connector 115">
              <a:extLst>
                <a:ext uri="{FF2B5EF4-FFF2-40B4-BE49-F238E27FC236}">
                  <a16:creationId xmlns:a16="http://schemas.microsoft.com/office/drawing/2014/main" id="{00000000-0008-0000-0200-000074000000}"/>
                </a:ext>
              </a:extLst>
            </xdr:cNvPr>
            <xdr:cNvCxnSpPr>
              <a:endCxn id="115" idx="0"/>
            </xdr:cNvCxnSpPr>
          </xdr:nvCxnSpPr>
          <xdr:spPr>
            <a:xfrm flipH="1" flipV="1">
              <a:off x="1044050" y="5990196"/>
              <a:ext cx="215582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" name="Straight Connector 116">
              <a:extLst>
                <a:ext uri="{FF2B5EF4-FFF2-40B4-BE49-F238E27FC236}">
                  <a16:creationId xmlns:a16="http://schemas.microsoft.com/office/drawing/2014/main" id="{00000000-0008-0000-0200-000075000000}"/>
                </a:ext>
              </a:extLst>
            </xdr:cNvPr>
            <xdr:cNvCxnSpPr>
              <a:endCxn id="115" idx="2"/>
            </xdr:cNvCxnSpPr>
          </xdr:nvCxnSpPr>
          <xdr:spPr>
            <a:xfrm flipH="1">
              <a:off x="1065608" y="6125704"/>
              <a:ext cx="194024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SpPr>
            <a:spLocks noChangeAspect="1"/>
          </xdr:cNvSpPr>
        </xdr:nvSpPr>
        <xdr:spPr>
          <a:xfrm>
            <a:off x="1216516" y="5945026"/>
            <a:ext cx="86233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485775</xdr:colOff>
      <xdr:row>42</xdr:row>
      <xdr:rowOff>133350</xdr:rowOff>
    </xdr:from>
    <xdr:to>
      <xdr:col>45</xdr:col>
      <xdr:colOff>695325</xdr:colOff>
      <xdr:row>44</xdr:row>
      <xdr:rowOff>19050</xdr:rowOff>
    </xdr:to>
    <xdr:grpSp>
      <xdr:nvGrpSpPr>
        <xdr:cNvPr id="118" name="Group 674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GrpSpPr>
          <a:grpSpLocks noChangeAspect="1"/>
        </xdr:cNvGrpSpPr>
      </xdr:nvGrpSpPr>
      <xdr:grpSpPr bwMode="auto">
        <a:xfrm>
          <a:off x="26584275" y="6854190"/>
          <a:ext cx="209550" cy="205740"/>
          <a:chOff x="1022492" y="5877272"/>
          <a:chExt cx="474280" cy="474280"/>
        </a:xfrm>
      </xdr:grpSpPr>
      <xdr:grpSp>
        <xdr:nvGrpSpPr>
          <xdr:cNvPr id="119" name="Group 675">
            <a:extLst>
              <a:ext uri="{FF2B5EF4-FFF2-40B4-BE49-F238E27FC236}">
                <a16:creationId xmlns:a16="http://schemas.microsoft.com/office/drawing/2014/main" id="{00000000-0008-0000-0200-000077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121" name="Arc 120">
              <a:extLst>
                <a:ext uri="{FF2B5EF4-FFF2-40B4-BE49-F238E27FC236}">
                  <a16:creationId xmlns:a16="http://schemas.microsoft.com/office/drawing/2014/main" id="{00000000-0008-0000-0200-000079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122" name="Straight Connector 121">
              <a:extLst>
                <a:ext uri="{FF2B5EF4-FFF2-40B4-BE49-F238E27FC236}">
                  <a16:creationId xmlns:a16="http://schemas.microsoft.com/office/drawing/2014/main" id="{00000000-0008-0000-0200-00007A000000}"/>
                </a:ext>
              </a:extLst>
            </xdr:cNvPr>
            <xdr:cNvCxnSpPr>
              <a:endCxn id="121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" name="Straight Connector 122">
              <a:extLst>
                <a:ext uri="{FF2B5EF4-FFF2-40B4-BE49-F238E27FC236}">
                  <a16:creationId xmlns:a16="http://schemas.microsoft.com/office/drawing/2014/main" id="{00000000-0008-0000-0200-00007B000000}"/>
                </a:ext>
              </a:extLst>
            </xdr:cNvPr>
            <xdr:cNvCxnSpPr>
              <a:endCxn id="121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00000000-0008-0000-0200-00007800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657225</xdr:colOff>
      <xdr:row>20</xdr:row>
      <xdr:rowOff>9525</xdr:rowOff>
    </xdr:from>
    <xdr:to>
      <xdr:col>45</xdr:col>
      <xdr:colOff>657225</xdr:colOff>
      <xdr:row>23</xdr:row>
      <xdr:rowOff>9525</xdr:rowOff>
    </xdr:to>
    <xdr:cxnSp macro="">
      <xdr:nvCxnSpPr>
        <xdr:cNvPr id="124" name="Straight Arrow Connector 2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CxnSpPr>
          <a:cxnSpLocks/>
        </xdr:cNvCxnSpPr>
      </xdr:nvCxnSpPr>
      <xdr:spPr bwMode="auto">
        <a:xfrm>
          <a:off x="28041600" y="3248025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49</xdr:col>
      <xdr:colOff>542925</xdr:colOff>
      <xdr:row>20</xdr:row>
      <xdr:rowOff>9525</xdr:rowOff>
    </xdr:from>
    <xdr:to>
      <xdr:col>49</xdr:col>
      <xdr:colOff>542925</xdr:colOff>
      <xdr:row>23</xdr:row>
      <xdr:rowOff>9525</xdr:rowOff>
    </xdr:to>
    <xdr:cxnSp macro="">
      <xdr:nvCxnSpPr>
        <xdr:cNvPr id="125" name="Straight Arrow Connector 561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CxnSpPr>
          <a:cxnSpLocks/>
        </xdr:cNvCxnSpPr>
      </xdr:nvCxnSpPr>
      <xdr:spPr bwMode="auto">
        <a:xfrm>
          <a:off x="30413325" y="3248025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52</xdr:col>
      <xdr:colOff>666750</xdr:colOff>
      <xdr:row>20</xdr:row>
      <xdr:rowOff>9525</xdr:rowOff>
    </xdr:from>
    <xdr:to>
      <xdr:col>52</xdr:col>
      <xdr:colOff>666750</xdr:colOff>
      <xdr:row>22</xdr:row>
      <xdr:rowOff>152400</xdr:rowOff>
    </xdr:to>
    <xdr:cxnSp macro="">
      <xdr:nvCxnSpPr>
        <xdr:cNvPr id="126" name="Straight Arrow Connector 562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>
          <a:cxnSpLocks/>
        </xdr:cNvCxnSpPr>
      </xdr:nvCxnSpPr>
      <xdr:spPr bwMode="auto">
        <a:xfrm>
          <a:off x="32308800" y="3248025"/>
          <a:ext cx="0" cy="46672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45</xdr:col>
      <xdr:colOff>19050</xdr:colOff>
      <xdr:row>29</xdr:row>
      <xdr:rowOff>85725</xdr:rowOff>
    </xdr:from>
    <xdr:to>
      <xdr:col>45</xdr:col>
      <xdr:colOff>600075</xdr:colOff>
      <xdr:row>29</xdr:row>
      <xdr:rowOff>85725</xdr:rowOff>
    </xdr:to>
    <xdr:sp macro="" textlink="">
      <xdr:nvSpPr>
        <xdr:cNvPr id="127" name="Line 149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>
          <a:spLocks noChangeShapeType="1"/>
        </xdr:cNvSpPr>
      </xdr:nvSpPr>
      <xdr:spPr bwMode="auto">
        <a:xfrm>
          <a:off x="27451050" y="4781550"/>
          <a:ext cx="58102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48</xdr:col>
      <xdr:colOff>428625</xdr:colOff>
      <xdr:row>37</xdr:row>
      <xdr:rowOff>95250</xdr:rowOff>
    </xdr:from>
    <xdr:to>
      <xdr:col>50</xdr:col>
      <xdr:colOff>85725</xdr:colOff>
      <xdr:row>44</xdr:row>
      <xdr:rowOff>104775</xdr:rowOff>
    </xdr:to>
    <xdr:sp macro="" textlink="">
      <xdr:nvSpPr>
        <xdr:cNvPr id="128" name="Line 2552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>
          <a:spLocks noChangeShapeType="1"/>
        </xdr:cNvSpPr>
      </xdr:nvSpPr>
      <xdr:spPr bwMode="auto">
        <a:xfrm rot="18953249" flipH="1">
          <a:off x="29689425" y="6086475"/>
          <a:ext cx="876300" cy="114300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114300</xdr:colOff>
      <xdr:row>44</xdr:row>
      <xdr:rowOff>0</xdr:rowOff>
    </xdr:from>
    <xdr:to>
      <xdr:col>47</xdr:col>
      <xdr:colOff>390525</xdr:colOff>
      <xdr:row>45</xdr:row>
      <xdr:rowOff>123825</xdr:rowOff>
    </xdr:to>
    <xdr:sp macro="" textlink="">
      <xdr:nvSpPr>
        <xdr:cNvPr id="129" name="Line 2552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>
          <a:spLocks noChangeShapeType="1"/>
        </xdr:cNvSpPr>
      </xdr:nvSpPr>
      <xdr:spPr bwMode="auto">
        <a:xfrm rot="18953249" flipH="1">
          <a:off x="28765500" y="7124700"/>
          <a:ext cx="276225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666750</xdr:colOff>
      <xdr:row>40</xdr:row>
      <xdr:rowOff>0</xdr:rowOff>
    </xdr:from>
    <xdr:to>
      <xdr:col>58</xdr:col>
      <xdr:colOff>9525</xdr:colOff>
      <xdr:row>45</xdr:row>
      <xdr:rowOff>9525</xdr:rowOff>
    </xdr:to>
    <xdr:sp macro="" textlink="">
      <xdr:nvSpPr>
        <xdr:cNvPr id="130" name="Line 2552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>
          <a:spLocks noChangeShapeType="1"/>
        </xdr:cNvSpPr>
      </xdr:nvSpPr>
      <xdr:spPr bwMode="auto">
        <a:xfrm rot="18953249" flipH="1">
          <a:off x="34747200" y="6477000"/>
          <a:ext cx="619125" cy="8191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104775</xdr:colOff>
      <xdr:row>40</xdr:row>
      <xdr:rowOff>19050</xdr:rowOff>
    </xdr:from>
    <xdr:to>
      <xdr:col>60</xdr:col>
      <xdr:colOff>161925</xdr:colOff>
      <xdr:row>45</xdr:row>
      <xdr:rowOff>28575</xdr:rowOff>
    </xdr:to>
    <xdr:sp macro="" textlink="">
      <xdr:nvSpPr>
        <xdr:cNvPr id="131" name="Line 2552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>
          <a:spLocks noChangeShapeType="1"/>
        </xdr:cNvSpPr>
      </xdr:nvSpPr>
      <xdr:spPr bwMode="auto">
        <a:xfrm rot="18953249" flipH="1">
          <a:off x="36071175" y="6496050"/>
          <a:ext cx="666750" cy="8191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704850</xdr:colOff>
      <xdr:row>40</xdr:row>
      <xdr:rowOff>0</xdr:rowOff>
    </xdr:from>
    <xdr:to>
      <xdr:col>56</xdr:col>
      <xdr:colOff>47625</xdr:colOff>
      <xdr:row>45</xdr:row>
      <xdr:rowOff>9525</xdr:rowOff>
    </xdr:to>
    <xdr:sp macro="" textlink="">
      <xdr:nvSpPr>
        <xdr:cNvPr id="132" name="Line 2552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>
          <a:spLocks noChangeShapeType="1"/>
        </xdr:cNvSpPr>
      </xdr:nvSpPr>
      <xdr:spPr bwMode="auto">
        <a:xfrm rot="18953249" flipH="1">
          <a:off x="33528000" y="6477000"/>
          <a:ext cx="657225" cy="8191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190500</xdr:colOff>
      <xdr:row>31</xdr:row>
      <xdr:rowOff>19050</xdr:rowOff>
    </xdr:from>
    <xdr:to>
      <xdr:col>50</xdr:col>
      <xdr:colOff>190500</xdr:colOff>
      <xdr:row>34</xdr:row>
      <xdr:rowOff>19050</xdr:rowOff>
    </xdr:to>
    <xdr:cxnSp macro="">
      <xdr:nvCxnSpPr>
        <xdr:cNvPr id="133" name="Straight Arrow Connector 588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CxnSpPr>
          <a:cxnSpLocks/>
        </xdr:cNvCxnSpPr>
      </xdr:nvCxnSpPr>
      <xdr:spPr bwMode="auto">
        <a:xfrm>
          <a:off x="30670500" y="5038725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45</xdr:col>
      <xdr:colOff>666750</xdr:colOff>
      <xdr:row>39</xdr:row>
      <xdr:rowOff>9525</xdr:rowOff>
    </xdr:from>
    <xdr:to>
      <xdr:col>45</xdr:col>
      <xdr:colOff>666750</xdr:colOff>
      <xdr:row>42</xdr:row>
      <xdr:rowOff>9525</xdr:rowOff>
    </xdr:to>
    <xdr:cxnSp macro="">
      <xdr:nvCxnSpPr>
        <xdr:cNvPr id="134" name="Straight Arrow Connector 589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CxnSpPr>
          <a:cxnSpLocks/>
        </xdr:cNvCxnSpPr>
      </xdr:nvCxnSpPr>
      <xdr:spPr bwMode="auto">
        <a:xfrm>
          <a:off x="28041600" y="6324600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55</xdr:col>
      <xdr:colOff>628650</xdr:colOff>
      <xdr:row>19</xdr:row>
      <xdr:rowOff>9525</xdr:rowOff>
    </xdr:from>
    <xdr:to>
      <xdr:col>55</xdr:col>
      <xdr:colOff>628650</xdr:colOff>
      <xdr:row>21</xdr:row>
      <xdr:rowOff>152400</xdr:rowOff>
    </xdr:to>
    <xdr:cxnSp macro="">
      <xdr:nvCxnSpPr>
        <xdr:cNvPr id="135" name="Straight Arrow Connector 723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CxnSpPr>
          <a:cxnSpLocks/>
        </xdr:cNvCxnSpPr>
      </xdr:nvCxnSpPr>
      <xdr:spPr bwMode="auto">
        <a:xfrm>
          <a:off x="34137600" y="3086100"/>
          <a:ext cx="0" cy="46672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57</xdr:col>
      <xdr:colOff>619125</xdr:colOff>
      <xdr:row>19</xdr:row>
      <xdr:rowOff>19050</xdr:rowOff>
    </xdr:from>
    <xdr:to>
      <xdr:col>57</xdr:col>
      <xdr:colOff>619125</xdr:colOff>
      <xdr:row>21</xdr:row>
      <xdr:rowOff>152400</xdr:rowOff>
    </xdr:to>
    <xdr:cxnSp macro="">
      <xdr:nvCxnSpPr>
        <xdr:cNvPr id="136" name="Straight Arrow Connector 724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CxnSpPr>
          <a:cxnSpLocks/>
        </xdr:cNvCxnSpPr>
      </xdr:nvCxnSpPr>
      <xdr:spPr bwMode="auto">
        <a:xfrm>
          <a:off x="35356800" y="3095625"/>
          <a:ext cx="0" cy="45720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59</xdr:col>
      <xdr:colOff>638175</xdr:colOff>
      <xdr:row>19</xdr:row>
      <xdr:rowOff>19050</xdr:rowOff>
    </xdr:from>
    <xdr:to>
      <xdr:col>59</xdr:col>
      <xdr:colOff>638175</xdr:colOff>
      <xdr:row>21</xdr:row>
      <xdr:rowOff>152400</xdr:rowOff>
    </xdr:to>
    <xdr:cxnSp macro="">
      <xdr:nvCxnSpPr>
        <xdr:cNvPr id="137" name="Straight Arrow Connector 725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CxnSpPr>
          <a:cxnSpLocks/>
        </xdr:cNvCxnSpPr>
      </xdr:nvCxnSpPr>
      <xdr:spPr bwMode="auto">
        <a:xfrm>
          <a:off x="36576000" y="3095625"/>
          <a:ext cx="0" cy="45720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51</xdr:col>
      <xdr:colOff>9525</xdr:colOff>
      <xdr:row>18</xdr:row>
      <xdr:rowOff>85725</xdr:rowOff>
    </xdr:from>
    <xdr:to>
      <xdr:col>58</xdr:col>
      <xdr:colOff>619125</xdr:colOff>
      <xdr:row>23</xdr:row>
      <xdr:rowOff>19050</xdr:rowOff>
    </xdr:to>
    <xdr:grpSp>
      <xdr:nvGrpSpPr>
        <xdr:cNvPr id="138" name="Group 591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GrpSpPr>
          <a:grpSpLocks/>
        </xdr:cNvGrpSpPr>
      </xdr:nvGrpSpPr>
      <xdr:grpSpPr bwMode="auto">
        <a:xfrm>
          <a:off x="30497145" y="2966085"/>
          <a:ext cx="5730240" cy="733425"/>
          <a:chOff x="31034338" y="3014113"/>
          <a:chExt cx="5622222" cy="740602"/>
        </a:xfrm>
      </xdr:grpSpPr>
      <xdr:cxnSp macro="">
        <xdr:nvCxnSpPr>
          <xdr:cNvPr id="139" name="Straight Arrow Connector 2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CxnSpPr>
            <a:cxnSpLocks/>
          </xdr:cNvCxnSpPr>
        </xdr:nvCxnSpPr>
        <xdr:spPr bwMode="auto">
          <a:xfrm flipH="1">
            <a:off x="31034338" y="3020122"/>
            <a:ext cx="333113" cy="597273"/>
          </a:xfrm>
          <a:prstGeom prst="straightConnector1">
            <a:avLst/>
          </a:prstGeom>
          <a:noFill/>
          <a:ln w="12700" algn="ctr">
            <a:solidFill>
              <a:srgbClr val="E46C0A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0" name="Straight Arrow Connector 2">
            <a:extLst>
              <a:ext uri="{FF2B5EF4-FFF2-40B4-BE49-F238E27FC236}">
                <a16:creationId xmlns:a16="http://schemas.microsoft.com/office/drawing/2014/main" id="{00000000-0008-0000-0200-00008C000000}"/>
              </a:ext>
            </a:extLst>
          </xdr:cNvPr>
          <xdr:cNvCxnSpPr>
            <a:cxnSpLocks/>
          </xdr:cNvCxnSpPr>
        </xdr:nvCxnSpPr>
        <xdr:spPr bwMode="auto">
          <a:xfrm flipH="1">
            <a:off x="31368272" y="3016492"/>
            <a:ext cx="5007355" cy="351"/>
          </a:xfrm>
          <a:prstGeom prst="straightConnector1">
            <a:avLst/>
          </a:prstGeom>
          <a:noFill/>
          <a:ln w="12700" algn="ctr">
            <a:solidFill>
              <a:srgbClr val="E46C0A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41" name="Arc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 bwMode="auto">
          <a:xfrm>
            <a:off x="33182046" y="3014113"/>
            <a:ext cx="572722" cy="731107"/>
          </a:xfrm>
          <a:prstGeom prst="arc">
            <a:avLst>
              <a:gd name="adj1" fmla="val 16142086"/>
              <a:gd name="adj2" fmla="val 21578245"/>
            </a:avLst>
          </a:prstGeom>
          <a:noFill/>
          <a:ln w="12700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endParaRPr lang="en-US"/>
          </a:p>
        </xdr:txBody>
      </xdr:sp>
      <xdr:sp macro="" textlink="">
        <xdr:nvSpPr>
          <xdr:cNvPr id="142" name="Arc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SpPr/>
        </xdr:nvSpPr>
        <xdr:spPr bwMode="auto">
          <a:xfrm>
            <a:off x="34671123" y="3014113"/>
            <a:ext cx="544086" cy="731107"/>
          </a:xfrm>
          <a:prstGeom prst="arc">
            <a:avLst>
              <a:gd name="adj1" fmla="val 16142086"/>
              <a:gd name="adj2" fmla="val 21578245"/>
            </a:avLst>
          </a:prstGeom>
          <a:noFill/>
          <a:ln w="12700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endParaRPr lang="en-US"/>
          </a:p>
        </xdr:txBody>
      </xdr:sp>
      <xdr:sp macro="" textlink="">
        <xdr:nvSpPr>
          <xdr:cNvPr id="143" name="Arc 142">
            <a:extLst>
              <a:ext uri="{FF2B5EF4-FFF2-40B4-BE49-F238E27FC236}">
                <a16:creationId xmlns:a16="http://schemas.microsoft.com/office/drawing/2014/main" id="{00000000-0008-0000-0200-00008F000000}"/>
              </a:ext>
            </a:extLst>
          </xdr:cNvPr>
          <xdr:cNvSpPr/>
        </xdr:nvSpPr>
        <xdr:spPr bwMode="auto">
          <a:xfrm>
            <a:off x="36112474" y="3023608"/>
            <a:ext cx="544086" cy="731107"/>
          </a:xfrm>
          <a:prstGeom prst="arc">
            <a:avLst>
              <a:gd name="adj1" fmla="val 16142086"/>
              <a:gd name="adj2" fmla="val 21578245"/>
            </a:avLst>
          </a:prstGeom>
          <a:noFill/>
          <a:ln w="12700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endParaRPr lang="en-US"/>
          </a:p>
        </xdr:txBody>
      </xdr:sp>
    </xdr:grpSp>
    <xdr:clientData/>
  </xdr:twoCellAnchor>
  <xdr:twoCellAnchor>
    <xdr:from>
      <xdr:col>48</xdr:col>
      <xdr:colOff>685800</xdr:colOff>
      <xdr:row>47</xdr:row>
      <xdr:rowOff>142875</xdr:rowOff>
    </xdr:from>
    <xdr:to>
      <xdr:col>52</xdr:col>
      <xdr:colOff>581025</xdr:colOff>
      <xdr:row>59</xdr:row>
      <xdr:rowOff>104775</xdr:rowOff>
    </xdr:to>
    <xdr:sp macro="" textlink="">
      <xdr:nvSpPr>
        <xdr:cNvPr id="144" name="Rectangle 66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>
          <a:spLocks noChangeArrowheads="1"/>
        </xdr:cNvSpPr>
      </xdr:nvSpPr>
      <xdr:spPr bwMode="auto">
        <a:xfrm>
          <a:off x="29870400" y="7753350"/>
          <a:ext cx="2409825" cy="1905000"/>
        </a:xfrm>
        <a:prstGeom prst="rect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133350</xdr:colOff>
      <xdr:row>115</xdr:row>
      <xdr:rowOff>85725</xdr:rowOff>
    </xdr:from>
    <xdr:to>
      <xdr:col>45</xdr:col>
      <xdr:colOff>600075</xdr:colOff>
      <xdr:row>115</xdr:row>
      <xdr:rowOff>95250</xdr:rowOff>
    </xdr:to>
    <xdr:sp macro="" textlink="">
      <xdr:nvSpPr>
        <xdr:cNvPr id="145" name="Line 1552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>
          <a:spLocks noChangeShapeType="1"/>
        </xdr:cNvSpPr>
      </xdr:nvSpPr>
      <xdr:spPr bwMode="auto">
        <a:xfrm flipV="1">
          <a:off x="27565350" y="18707100"/>
          <a:ext cx="466725" cy="9525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228600</xdr:colOff>
      <xdr:row>120</xdr:row>
      <xdr:rowOff>133350</xdr:rowOff>
    </xdr:from>
    <xdr:to>
      <xdr:col>45</xdr:col>
      <xdr:colOff>438150</xdr:colOff>
      <xdr:row>122</xdr:row>
      <xdr:rowOff>19050</xdr:rowOff>
    </xdr:to>
    <xdr:grpSp>
      <xdr:nvGrpSpPr>
        <xdr:cNvPr id="146" name="Group 711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GrpSpPr>
          <a:grpSpLocks noChangeAspect="1"/>
        </xdr:cNvGrpSpPr>
      </xdr:nvGrpSpPr>
      <xdr:grpSpPr bwMode="auto">
        <a:xfrm>
          <a:off x="26327100" y="19335750"/>
          <a:ext cx="209550" cy="205740"/>
          <a:chOff x="1022492" y="5877272"/>
          <a:chExt cx="474280" cy="474280"/>
        </a:xfrm>
      </xdr:grpSpPr>
      <xdr:grpSp>
        <xdr:nvGrpSpPr>
          <xdr:cNvPr id="147" name="Group 712">
            <a:extLst>
              <a:ext uri="{FF2B5EF4-FFF2-40B4-BE49-F238E27FC236}">
                <a16:creationId xmlns:a16="http://schemas.microsoft.com/office/drawing/2014/main" id="{00000000-0008-0000-0200-00009300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149" name="Arc 148">
              <a:extLst>
                <a:ext uri="{FF2B5EF4-FFF2-40B4-BE49-F238E27FC236}">
                  <a16:creationId xmlns:a16="http://schemas.microsoft.com/office/drawing/2014/main" id="{00000000-0008-0000-0200-00009500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00000000-0008-0000-0200-000096000000}"/>
                </a:ext>
              </a:extLst>
            </xdr:cNvPr>
            <xdr:cNvCxnSpPr>
              <a:endCxn id="149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150">
              <a:extLst>
                <a:ext uri="{FF2B5EF4-FFF2-40B4-BE49-F238E27FC236}">
                  <a16:creationId xmlns:a16="http://schemas.microsoft.com/office/drawing/2014/main" id="{00000000-0008-0000-0200-000097000000}"/>
                </a:ext>
              </a:extLst>
            </xdr:cNvPr>
            <xdr:cNvCxnSpPr>
              <a:endCxn id="149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8" name="Oval 147">
            <a:extLst>
              <a:ext uri="{FF2B5EF4-FFF2-40B4-BE49-F238E27FC236}">
                <a16:creationId xmlns:a16="http://schemas.microsoft.com/office/drawing/2014/main" id="{00000000-0008-0000-0200-00009400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219075</xdr:colOff>
      <xdr:row>120</xdr:row>
      <xdr:rowOff>85725</xdr:rowOff>
    </xdr:from>
    <xdr:to>
      <xdr:col>45</xdr:col>
      <xdr:colOff>552450</xdr:colOff>
      <xdr:row>122</xdr:row>
      <xdr:rowOff>85725</xdr:rowOff>
    </xdr:to>
    <xdr:sp macro="" textlink="">
      <xdr:nvSpPr>
        <xdr:cNvPr id="152" name="Line 2552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>
          <a:spLocks noChangeShapeType="1"/>
        </xdr:cNvSpPr>
      </xdr:nvSpPr>
      <xdr:spPr bwMode="auto">
        <a:xfrm rot="-2646751">
          <a:off x="27651075" y="19516725"/>
          <a:ext cx="333375" cy="3238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114300</xdr:colOff>
      <xdr:row>119</xdr:row>
      <xdr:rowOff>85725</xdr:rowOff>
    </xdr:from>
    <xdr:to>
      <xdr:col>45</xdr:col>
      <xdr:colOff>619125</xdr:colOff>
      <xdr:row>119</xdr:row>
      <xdr:rowOff>85725</xdr:rowOff>
    </xdr:to>
    <xdr:sp macro="" textlink="">
      <xdr:nvSpPr>
        <xdr:cNvPr id="153" name="Line 26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>
          <a:spLocks noChangeShapeType="1"/>
        </xdr:cNvSpPr>
      </xdr:nvSpPr>
      <xdr:spPr bwMode="auto">
        <a:xfrm flipV="1">
          <a:off x="27546300" y="19354800"/>
          <a:ext cx="495300" cy="0"/>
        </a:xfrm>
        <a:prstGeom prst="line">
          <a:avLst/>
        </a:prstGeom>
        <a:noFill/>
        <a:ln w="12700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180975</xdr:colOff>
      <xdr:row>117</xdr:row>
      <xdr:rowOff>57150</xdr:rowOff>
    </xdr:from>
    <xdr:to>
      <xdr:col>45</xdr:col>
      <xdr:colOff>619125</xdr:colOff>
      <xdr:row>117</xdr:row>
      <xdr:rowOff>57150</xdr:rowOff>
    </xdr:to>
    <xdr:sp macro="" textlink="">
      <xdr:nvSpPr>
        <xdr:cNvPr id="154" name="Line 1548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>
          <a:spLocks noChangeShapeType="1"/>
        </xdr:cNvSpPr>
      </xdr:nvSpPr>
      <xdr:spPr bwMode="auto">
        <a:xfrm>
          <a:off x="27612975" y="19002375"/>
          <a:ext cx="428625" cy="0"/>
        </a:xfrm>
        <a:prstGeom prst="line">
          <a:avLst/>
        </a:prstGeom>
        <a:noFill/>
        <a:ln w="12700">
          <a:solidFill>
            <a:srgbClr val="3333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66675</xdr:colOff>
      <xdr:row>117</xdr:row>
      <xdr:rowOff>133350</xdr:rowOff>
    </xdr:from>
    <xdr:to>
      <xdr:col>45</xdr:col>
      <xdr:colOff>504825</xdr:colOff>
      <xdr:row>117</xdr:row>
      <xdr:rowOff>133350</xdr:rowOff>
    </xdr:to>
    <xdr:sp macro="" textlink="">
      <xdr:nvSpPr>
        <xdr:cNvPr id="155" name="Line 1549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>
          <a:spLocks noChangeShapeType="1"/>
        </xdr:cNvSpPr>
      </xdr:nvSpPr>
      <xdr:spPr bwMode="auto">
        <a:xfrm flipH="1">
          <a:off x="27498675" y="19078575"/>
          <a:ext cx="438150" cy="0"/>
        </a:xfrm>
        <a:prstGeom prst="line">
          <a:avLst/>
        </a:prstGeom>
        <a:noFill/>
        <a:ln w="12700">
          <a:solidFill>
            <a:srgbClr val="3333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704850</xdr:colOff>
      <xdr:row>112</xdr:row>
      <xdr:rowOff>142875</xdr:rowOff>
    </xdr:from>
    <xdr:to>
      <xdr:col>48</xdr:col>
      <xdr:colOff>342900</xdr:colOff>
      <xdr:row>124</xdr:row>
      <xdr:rowOff>114300</xdr:rowOff>
    </xdr:to>
    <xdr:sp macro="" textlink="">
      <xdr:nvSpPr>
        <xdr:cNvPr id="156" name="Rectangle 696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>
          <a:spLocks noChangeArrowheads="1"/>
        </xdr:cNvSpPr>
      </xdr:nvSpPr>
      <xdr:spPr bwMode="auto">
        <a:xfrm>
          <a:off x="27432000" y="18278475"/>
          <a:ext cx="2171700" cy="1914525"/>
        </a:xfrm>
        <a:prstGeom prst="rect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685800</xdr:colOff>
      <xdr:row>112</xdr:row>
      <xdr:rowOff>142875</xdr:rowOff>
    </xdr:from>
    <xdr:to>
      <xdr:col>52</xdr:col>
      <xdr:colOff>600075</xdr:colOff>
      <xdr:row>124</xdr:row>
      <xdr:rowOff>104775</xdr:rowOff>
    </xdr:to>
    <xdr:sp macro="" textlink="">
      <xdr:nvSpPr>
        <xdr:cNvPr id="157" name="Rectangle 697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>
          <a:spLocks noChangeArrowheads="1"/>
        </xdr:cNvSpPr>
      </xdr:nvSpPr>
      <xdr:spPr bwMode="auto">
        <a:xfrm>
          <a:off x="29870400" y="18278475"/>
          <a:ext cx="2428875" cy="1905000"/>
        </a:xfrm>
        <a:prstGeom prst="rect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199657</xdr:colOff>
      <xdr:row>101</xdr:row>
      <xdr:rowOff>20012</xdr:rowOff>
    </xdr:from>
    <xdr:to>
      <xdr:col>50</xdr:col>
      <xdr:colOff>601138</xdr:colOff>
      <xdr:row>101</xdr:row>
      <xdr:rowOff>29451</xdr:rowOff>
    </xdr:to>
    <xdr:cxnSp macro="">
      <xdr:nvCxnSpPr>
        <xdr:cNvPr id="158" name="Straight Connector 15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CxnSpPr/>
      </xdr:nvCxnSpPr>
      <xdr:spPr bwMode="auto">
        <a:xfrm>
          <a:off x="29460457" y="16374437"/>
          <a:ext cx="1620681" cy="94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314325</xdr:colOff>
      <xdr:row>69</xdr:row>
      <xdr:rowOff>0</xdr:rowOff>
    </xdr:from>
    <xdr:to>
      <xdr:col>60</xdr:col>
      <xdr:colOff>266700</xdr:colOff>
      <xdr:row>108</xdr:row>
      <xdr:rowOff>142875</xdr:rowOff>
    </xdr:to>
    <xdr:sp macro="" textlink="">
      <xdr:nvSpPr>
        <xdr:cNvPr id="159" name="Rectangle 73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>
          <a:spLocks noChangeArrowheads="1"/>
        </xdr:cNvSpPr>
      </xdr:nvSpPr>
      <xdr:spPr bwMode="auto">
        <a:xfrm>
          <a:off x="27746325" y="11172825"/>
          <a:ext cx="9096375" cy="64579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323883</xdr:colOff>
      <xdr:row>85</xdr:row>
      <xdr:rowOff>76077</xdr:rowOff>
    </xdr:from>
    <xdr:to>
      <xdr:col>54</xdr:col>
      <xdr:colOff>371777</xdr:colOff>
      <xdr:row>85</xdr:row>
      <xdr:rowOff>76077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CxnSpPr/>
      </xdr:nvCxnSpPr>
      <xdr:spPr bwMode="auto">
        <a:xfrm flipV="1">
          <a:off x="27755883" y="13839702"/>
          <a:ext cx="553429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496083</xdr:colOff>
      <xdr:row>84</xdr:row>
      <xdr:rowOff>123235</xdr:rowOff>
    </xdr:from>
    <xdr:to>
      <xdr:col>60</xdr:col>
      <xdr:colOff>266700</xdr:colOff>
      <xdr:row>84</xdr:row>
      <xdr:rowOff>123235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CxnSpPr/>
      </xdr:nvCxnSpPr>
      <xdr:spPr bwMode="auto">
        <a:xfrm>
          <a:off x="35852883" y="13724935"/>
          <a:ext cx="989817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324007</xdr:colOff>
      <xdr:row>85</xdr:row>
      <xdr:rowOff>113831</xdr:rowOff>
    </xdr:from>
    <xdr:to>
      <xdr:col>56</xdr:col>
      <xdr:colOff>324007</xdr:colOff>
      <xdr:row>108</xdr:row>
      <xdr:rowOff>142961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CxnSpPr/>
      </xdr:nvCxnSpPr>
      <xdr:spPr bwMode="auto">
        <a:xfrm flipH="1" flipV="1">
          <a:off x="34461607" y="13877456"/>
          <a:ext cx="0" cy="375340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37227</xdr:colOff>
      <xdr:row>84</xdr:row>
      <xdr:rowOff>123235</xdr:rowOff>
    </xdr:from>
    <xdr:to>
      <xdr:col>54</xdr:col>
      <xdr:colOff>410011</xdr:colOff>
      <xdr:row>92</xdr:row>
      <xdr:rowOff>95202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CxnSpPr/>
      </xdr:nvCxnSpPr>
      <xdr:spPr bwMode="auto">
        <a:xfrm flipV="1">
          <a:off x="32955627" y="13724935"/>
          <a:ext cx="372784" cy="126736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467385</xdr:colOff>
      <xdr:row>84</xdr:row>
      <xdr:rowOff>123235</xdr:rowOff>
    </xdr:from>
    <xdr:to>
      <xdr:col>58</xdr:col>
      <xdr:colOff>209326</xdr:colOff>
      <xdr:row>84</xdr:row>
      <xdr:rowOff>123235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CxnSpPr/>
      </xdr:nvCxnSpPr>
      <xdr:spPr bwMode="auto">
        <a:xfrm>
          <a:off x="34604985" y="13724935"/>
          <a:ext cx="96114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410011</xdr:colOff>
      <xdr:row>84</xdr:row>
      <xdr:rowOff>123235</xdr:rowOff>
    </xdr:from>
    <xdr:to>
      <xdr:col>56</xdr:col>
      <xdr:colOff>171069</xdr:colOff>
      <xdr:row>84</xdr:row>
      <xdr:rowOff>123235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CxnSpPr/>
      </xdr:nvCxnSpPr>
      <xdr:spPr bwMode="auto">
        <a:xfrm>
          <a:off x="33328411" y="13724935"/>
          <a:ext cx="98025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304834</xdr:colOff>
      <xdr:row>85</xdr:row>
      <xdr:rowOff>76077</xdr:rowOff>
    </xdr:from>
    <xdr:to>
      <xdr:col>51</xdr:col>
      <xdr:colOff>314392</xdr:colOff>
      <xdr:row>92</xdr:row>
      <xdr:rowOff>85763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CxnSpPr/>
      </xdr:nvCxnSpPr>
      <xdr:spPr bwMode="auto">
        <a:xfrm flipV="1">
          <a:off x="31394434" y="13839702"/>
          <a:ext cx="9558" cy="114316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199657</xdr:colOff>
      <xdr:row>85</xdr:row>
      <xdr:rowOff>85515</xdr:rowOff>
    </xdr:from>
    <xdr:to>
      <xdr:col>48</xdr:col>
      <xdr:colOff>199657</xdr:colOff>
      <xdr:row>101</xdr:row>
      <xdr:rowOff>20012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CxnSpPr/>
      </xdr:nvCxnSpPr>
      <xdr:spPr bwMode="auto">
        <a:xfrm flipV="1">
          <a:off x="29460457" y="13849140"/>
          <a:ext cx="0" cy="252529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314325</xdr:colOff>
      <xdr:row>104</xdr:row>
      <xdr:rowOff>76750</xdr:rowOff>
    </xdr:from>
    <xdr:to>
      <xdr:col>48</xdr:col>
      <xdr:colOff>75395</xdr:colOff>
      <xdr:row>104</xdr:row>
      <xdr:rowOff>86189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CxnSpPr/>
      </xdr:nvCxnSpPr>
      <xdr:spPr bwMode="auto">
        <a:xfrm>
          <a:off x="27746325" y="16916950"/>
          <a:ext cx="1589870" cy="94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199657</xdr:colOff>
      <xdr:row>96</xdr:row>
      <xdr:rowOff>76467</xdr:rowOff>
    </xdr:from>
    <xdr:to>
      <xdr:col>51</xdr:col>
      <xdr:colOff>113663</xdr:colOff>
      <xdr:row>96</xdr:row>
      <xdr:rowOff>76467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 bwMode="auto">
        <a:xfrm>
          <a:off x="29460457" y="15621267"/>
          <a:ext cx="1742806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304800</xdr:colOff>
      <xdr:row>92</xdr:row>
      <xdr:rowOff>85725</xdr:rowOff>
    </xdr:from>
    <xdr:to>
      <xdr:col>54</xdr:col>
      <xdr:colOff>38100</xdr:colOff>
      <xdr:row>92</xdr:row>
      <xdr:rowOff>85725</xdr:rowOff>
    </xdr:to>
    <xdr:cxnSp macro="">
      <xdr:nvCxnSpPr>
        <xdr:cNvPr id="170" name="Straight Connector 74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CxnSpPr>
          <a:cxnSpLocks noChangeShapeType="1"/>
        </xdr:cNvCxnSpPr>
      </xdr:nvCxnSpPr>
      <xdr:spPr bwMode="auto">
        <a:xfrm>
          <a:off x="31394400" y="14982825"/>
          <a:ext cx="1562100" cy="0"/>
        </a:xfrm>
        <a:prstGeom prst="line">
          <a:avLst/>
        </a:prstGeom>
        <a:noFill/>
        <a:ln w="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50</xdr:col>
      <xdr:colOff>601138</xdr:colOff>
      <xdr:row>92</xdr:row>
      <xdr:rowOff>85763</xdr:rowOff>
    </xdr:from>
    <xdr:to>
      <xdr:col>51</xdr:col>
      <xdr:colOff>304834</xdr:colOff>
      <xdr:row>101</xdr:row>
      <xdr:rowOff>29451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CxnSpPr/>
      </xdr:nvCxnSpPr>
      <xdr:spPr bwMode="auto">
        <a:xfrm flipV="1">
          <a:off x="31081138" y="14982863"/>
          <a:ext cx="313296" cy="140101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639339</xdr:colOff>
      <xdr:row>101</xdr:row>
      <xdr:rowOff>10574</xdr:rowOff>
    </xdr:from>
    <xdr:to>
      <xdr:col>48</xdr:col>
      <xdr:colOff>199657</xdr:colOff>
      <xdr:row>108</xdr:row>
      <xdr:rowOff>142962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CxnSpPr/>
      </xdr:nvCxnSpPr>
      <xdr:spPr bwMode="auto">
        <a:xfrm flipV="1">
          <a:off x="29261964" y="16364999"/>
          <a:ext cx="198493" cy="126586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171069</xdr:colOff>
      <xdr:row>84</xdr:row>
      <xdr:rowOff>123235</xdr:rowOff>
    </xdr:from>
    <xdr:to>
      <xdr:col>56</xdr:col>
      <xdr:colOff>324006</xdr:colOff>
      <xdr:row>85</xdr:row>
      <xdr:rowOff>123270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CxnSpPr/>
      </xdr:nvCxnSpPr>
      <xdr:spPr bwMode="auto">
        <a:xfrm>
          <a:off x="34308669" y="13724935"/>
          <a:ext cx="152937" cy="1619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324007</xdr:colOff>
      <xdr:row>84</xdr:row>
      <xdr:rowOff>123235</xdr:rowOff>
    </xdr:from>
    <xdr:to>
      <xdr:col>56</xdr:col>
      <xdr:colOff>457827</xdr:colOff>
      <xdr:row>85</xdr:row>
      <xdr:rowOff>123270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CxnSpPr/>
      </xdr:nvCxnSpPr>
      <xdr:spPr bwMode="auto">
        <a:xfrm flipH="1">
          <a:off x="34461607" y="13724935"/>
          <a:ext cx="133820" cy="1619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352705</xdr:colOff>
      <xdr:row>85</xdr:row>
      <xdr:rowOff>123270</xdr:rowOff>
    </xdr:from>
    <xdr:to>
      <xdr:col>58</xdr:col>
      <xdr:colOff>362263</xdr:colOff>
      <xdr:row>108</xdr:row>
      <xdr:rowOff>152400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CxnSpPr/>
      </xdr:nvCxnSpPr>
      <xdr:spPr bwMode="auto">
        <a:xfrm flipH="1" flipV="1">
          <a:off x="35709505" y="13886895"/>
          <a:ext cx="9558" cy="375340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209326</xdr:colOff>
      <xdr:row>84</xdr:row>
      <xdr:rowOff>123235</xdr:rowOff>
    </xdr:from>
    <xdr:to>
      <xdr:col>58</xdr:col>
      <xdr:colOff>352704</xdr:colOff>
      <xdr:row>85</xdr:row>
      <xdr:rowOff>132709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CxnSpPr/>
      </xdr:nvCxnSpPr>
      <xdr:spPr bwMode="auto">
        <a:xfrm>
          <a:off x="35566126" y="13724935"/>
          <a:ext cx="143378" cy="17139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352705</xdr:colOff>
      <xdr:row>84</xdr:row>
      <xdr:rowOff>123235</xdr:rowOff>
    </xdr:from>
    <xdr:to>
      <xdr:col>58</xdr:col>
      <xdr:colOff>505642</xdr:colOff>
      <xdr:row>85</xdr:row>
      <xdr:rowOff>123270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CxnSpPr/>
      </xdr:nvCxnSpPr>
      <xdr:spPr bwMode="auto">
        <a:xfrm flipH="1">
          <a:off x="35709505" y="13724935"/>
          <a:ext cx="152937" cy="1619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161925</xdr:colOff>
      <xdr:row>89</xdr:row>
      <xdr:rowOff>57150</xdr:rowOff>
    </xdr:from>
    <xdr:to>
      <xdr:col>46</xdr:col>
      <xdr:colOff>28575</xdr:colOff>
      <xdr:row>89</xdr:row>
      <xdr:rowOff>57150</xdr:rowOff>
    </xdr:to>
    <xdr:sp macro="" textlink="">
      <xdr:nvSpPr>
        <xdr:cNvPr id="178" name="Line 1548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>
          <a:spLocks noChangeShapeType="1"/>
        </xdr:cNvSpPr>
      </xdr:nvSpPr>
      <xdr:spPr bwMode="auto">
        <a:xfrm flipV="1">
          <a:off x="27593925" y="14468475"/>
          <a:ext cx="47625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0</xdr:colOff>
      <xdr:row>89</xdr:row>
      <xdr:rowOff>114300</xdr:rowOff>
    </xdr:from>
    <xdr:to>
      <xdr:col>45</xdr:col>
      <xdr:colOff>638175</xdr:colOff>
      <xdr:row>89</xdr:row>
      <xdr:rowOff>123825</xdr:rowOff>
    </xdr:to>
    <xdr:sp macro="" textlink="">
      <xdr:nvSpPr>
        <xdr:cNvPr id="179" name="Line 1549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>
          <a:spLocks noChangeShapeType="1"/>
        </xdr:cNvSpPr>
      </xdr:nvSpPr>
      <xdr:spPr bwMode="auto">
        <a:xfrm flipH="1" flipV="1">
          <a:off x="27432000" y="14525625"/>
          <a:ext cx="609600" cy="9525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</xdr:colOff>
      <xdr:row>74</xdr:row>
      <xdr:rowOff>95250</xdr:rowOff>
    </xdr:from>
    <xdr:to>
      <xdr:col>45</xdr:col>
      <xdr:colOff>666750</xdr:colOff>
      <xdr:row>74</xdr:row>
      <xdr:rowOff>95250</xdr:rowOff>
    </xdr:to>
    <xdr:sp macro="" textlink="">
      <xdr:nvSpPr>
        <xdr:cNvPr id="180" name="Line 1493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>
          <a:spLocks noChangeShapeType="1"/>
        </xdr:cNvSpPr>
      </xdr:nvSpPr>
      <xdr:spPr bwMode="auto">
        <a:xfrm flipV="1">
          <a:off x="27451050" y="12077700"/>
          <a:ext cx="59055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714375</xdr:colOff>
      <xdr:row>92</xdr:row>
      <xdr:rowOff>85725</xdr:rowOff>
    </xdr:from>
    <xdr:to>
      <xdr:col>48</xdr:col>
      <xdr:colOff>428625</xdr:colOff>
      <xdr:row>92</xdr:row>
      <xdr:rowOff>85725</xdr:rowOff>
    </xdr:to>
    <xdr:sp macro="" textlink="">
      <xdr:nvSpPr>
        <xdr:cNvPr id="181" name="Line 1633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>
          <a:spLocks noChangeShapeType="1"/>
        </xdr:cNvSpPr>
      </xdr:nvSpPr>
      <xdr:spPr bwMode="auto">
        <a:xfrm>
          <a:off x="27432000" y="14982825"/>
          <a:ext cx="225742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38100</xdr:colOff>
      <xdr:row>72</xdr:row>
      <xdr:rowOff>95250</xdr:rowOff>
    </xdr:from>
    <xdr:to>
      <xdr:col>46</xdr:col>
      <xdr:colOff>57150</xdr:colOff>
      <xdr:row>72</xdr:row>
      <xdr:rowOff>95250</xdr:rowOff>
    </xdr:to>
    <xdr:sp macro="" textlink="">
      <xdr:nvSpPr>
        <xdr:cNvPr id="182" name="Line 1658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>
          <a:spLocks noChangeShapeType="1"/>
        </xdr:cNvSpPr>
      </xdr:nvSpPr>
      <xdr:spPr bwMode="auto">
        <a:xfrm flipV="1">
          <a:off x="27470100" y="11753850"/>
          <a:ext cx="628650" cy="0"/>
        </a:xfrm>
        <a:prstGeom prst="line">
          <a:avLst/>
        </a:prstGeom>
        <a:noFill/>
        <a:ln w="9525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9525</xdr:colOff>
      <xdr:row>73</xdr:row>
      <xdr:rowOff>85725</xdr:rowOff>
    </xdr:from>
    <xdr:to>
      <xdr:col>45</xdr:col>
      <xdr:colOff>714375</xdr:colOff>
      <xdr:row>73</xdr:row>
      <xdr:rowOff>95250</xdr:rowOff>
    </xdr:to>
    <xdr:sp macro="" textlink="">
      <xdr:nvSpPr>
        <xdr:cNvPr id="183" name="Line 1659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>
          <a:spLocks noChangeShapeType="1"/>
        </xdr:cNvSpPr>
      </xdr:nvSpPr>
      <xdr:spPr bwMode="auto">
        <a:xfrm flipH="1">
          <a:off x="27441525" y="11906250"/>
          <a:ext cx="600075" cy="9525"/>
        </a:xfrm>
        <a:prstGeom prst="line">
          <a:avLst/>
        </a:prstGeom>
        <a:noFill/>
        <a:ln w="9525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247650</xdr:colOff>
      <xdr:row>97</xdr:row>
      <xdr:rowOff>95250</xdr:rowOff>
    </xdr:from>
    <xdr:to>
      <xdr:col>60</xdr:col>
      <xdr:colOff>552450</xdr:colOff>
      <xdr:row>97</xdr:row>
      <xdr:rowOff>95250</xdr:rowOff>
    </xdr:to>
    <xdr:sp macro="" textlink="">
      <xdr:nvSpPr>
        <xdr:cNvPr id="184" name="Line 1757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>
          <a:spLocks noChangeShapeType="1"/>
        </xdr:cNvSpPr>
      </xdr:nvSpPr>
      <xdr:spPr bwMode="auto">
        <a:xfrm flipH="1">
          <a:off x="36214050" y="15801975"/>
          <a:ext cx="9144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57</xdr:col>
      <xdr:colOff>133350</xdr:colOff>
      <xdr:row>98</xdr:row>
      <xdr:rowOff>95250</xdr:rowOff>
    </xdr:from>
    <xdr:to>
      <xdr:col>60</xdr:col>
      <xdr:colOff>552450</xdr:colOff>
      <xdr:row>98</xdr:row>
      <xdr:rowOff>95250</xdr:rowOff>
    </xdr:to>
    <xdr:sp macro="" textlink="">
      <xdr:nvSpPr>
        <xdr:cNvPr id="185" name="Line 1758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>
          <a:spLocks noChangeShapeType="1"/>
        </xdr:cNvSpPr>
      </xdr:nvSpPr>
      <xdr:spPr bwMode="auto">
        <a:xfrm flipH="1" flipV="1">
          <a:off x="34880550" y="15963900"/>
          <a:ext cx="22479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53</xdr:col>
      <xdr:colOff>209550</xdr:colOff>
      <xdr:row>99</xdr:row>
      <xdr:rowOff>104775</xdr:rowOff>
    </xdr:from>
    <xdr:to>
      <xdr:col>60</xdr:col>
      <xdr:colOff>552450</xdr:colOff>
      <xdr:row>99</xdr:row>
      <xdr:rowOff>104775</xdr:rowOff>
    </xdr:to>
    <xdr:sp macro="" textlink="">
      <xdr:nvSpPr>
        <xdr:cNvPr id="186" name="Line 1759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>
          <a:spLocks noChangeShapeType="1"/>
        </xdr:cNvSpPr>
      </xdr:nvSpPr>
      <xdr:spPr bwMode="auto">
        <a:xfrm flipH="1">
          <a:off x="32518350" y="16135350"/>
          <a:ext cx="46101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180975</xdr:colOff>
      <xdr:row>68</xdr:row>
      <xdr:rowOff>9525</xdr:rowOff>
    </xdr:from>
    <xdr:to>
      <xdr:col>51</xdr:col>
      <xdr:colOff>447675</xdr:colOff>
      <xdr:row>69</xdr:row>
      <xdr:rowOff>133350</xdr:rowOff>
    </xdr:to>
    <xdr:sp macro="" textlink="">
      <xdr:nvSpPr>
        <xdr:cNvPr id="187" name="Line 2552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>
          <a:spLocks noChangeShapeType="1"/>
        </xdr:cNvSpPr>
      </xdr:nvSpPr>
      <xdr:spPr bwMode="auto">
        <a:xfrm rot="18953249" flipV="1">
          <a:off x="31270575" y="11020425"/>
          <a:ext cx="26670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152400</xdr:colOff>
      <xdr:row>88</xdr:row>
      <xdr:rowOff>66675</xdr:rowOff>
    </xdr:from>
    <xdr:to>
      <xdr:col>49</xdr:col>
      <xdr:colOff>28575</xdr:colOff>
      <xdr:row>88</xdr:row>
      <xdr:rowOff>66675</xdr:rowOff>
    </xdr:to>
    <xdr:sp macro="" textlink="">
      <xdr:nvSpPr>
        <xdr:cNvPr id="188" name="Line 1636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>
          <a:spLocks noChangeShapeType="1"/>
        </xdr:cNvSpPr>
      </xdr:nvSpPr>
      <xdr:spPr bwMode="auto">
        <a:xfrm flipV="1">
          <a:off x="27584400" y="14316075"/>
          <a:ext cx="2314575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714375</xdr:colOff>
      <xdr:row>88</xdr:row>
      <xdr:rowOff>114300</xdr:rowOff>
    </xdr:from>
    <xdr:to>
      <xdr:col>48</xdr:col>
      <xdr:colOff>619125</xdr:colOff>
      <xdr:row>88</xdr:row>
      <xdr:rowOff>114300</xdr:rowOff>
    </xdr:to>
    <xdr:sp macro="" textlink="">
      <xdr:nvSpPr>
        <xdr:cNvPr id="189" name="Line 1549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>
          <a:spLocks noChangeShapeType="1"/>
        </xdr:cNvSpPr>
      </xdr:nvSpPr>
      <xdr:spPr bwMode="auto">
        <a:xfrm flipH="1" flipV="1">
          <a:off x="27432000" y="14363700"/>
          <a:ext cx="2438400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0</xdr:colOff>
      <xdr:row>87</xdr:row>
      <xdr:rowOff>85725</xdr:rowOff>
    </xdr:from>
    <xdr:to>
      <xdr:col>51</xdr:col>
      <xdr:colOff>552450</xdr:colOff>
      <xdr:row>87</xdr:row>
      <xdr:rowOff>85725</xdr:rowOff>
    </xdr:to>
    <xdr:sp macro="" textlink="">
      <xdr:nvSpPr>
        <xdr:cNvPr id="190" name="Line 154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>
          <a:spLocks noChangeShapeType="1"/>
        </xdr:cNvSpPr>
      </xdr:nvSpPr>
      <xdr:spPr bwMode="auto">
        <a:xfrm flipH="1" flipV="1">
          <a:off x="27432000" y="14173200"/>
          <a:ext cx="4210050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714375</xdr:colOff>
      <xdr:row>91</xdr:row>
      <xdr:rowOff>76200</xdr:rowOff>
    </xdr:from>
    <xdr:to>
      <xdr:col>51</xdr:col>
      <xdr:colOff>561975</xdr:colOff>
      <xdr:row>91</xdr:row>
      <xdr:rowOff>85725</xdr:rowOff>
    </xdr:to>
    <xdr:sp macro="" textlink="">
      <xdr:nvSpPr>
        <xdr:cNvPr id="191" name="Line 1633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>
          <a:spLocks noChangeShapeType="1"/>
        </xdr:cNvSpPr>
      </xdr:nvSpPr>
      <xdr:spPr bwMode="auto">
        <a:xfrm flipV="1">
          <a:off x="27432000" y="14811375"/>
          <a:ext cx="4219575" cy="9525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48</xdr:col>
      <xdr:colOff>447675</xdr:colOff>
      <xdr:row>93</xdr:row>
      <xdr:rowOff>142875</xdr:rowOff>
    </xdr:from>
    <xdr:to>
      <xdr:col>48</xdr:col>
      <xdr:colOff>638175</xdr:colOff>
      <xdr:row>95</xdr:row>
      <xdr:rowOff>19050</xdr:rowOff>
    </xdr:to>
    <xdr:grpSp>
      <xdr:nvGrpSpPr>
        <xdr:cNvPr id="192" name="Group 783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pSpPr>
          <a:grpSpLocks noChangeAspect="1"/>
        </xdr:cNvGrpSpPr>
      </xdr:nvGrpSpPr>
      <xdr:grpSpPr bwMode="auto">
        <a:xfrm>
          <a:off x="28740735" y="15024735"/>
          <a:ext cx="190500" cy="196215"/>
          <a:chOff x="2707905" y="4003582"/>
          <a:chExt cx="474280" cy="474280"/>
        </a:xfrm>
      </xdr:grpSpPr>
      <xdr:grpSp>
        <xdr:nvGrpSpPr>
          <xdr:cNvPr id="193" name="Group 852">
            <a:extLst>
              <a:ext uri="{FF2B5EF4-FFF2-40B4-BE49-F238E27FC236}">
                <a16:creationId xmlns:a16="http://schemas.microsoft.com/office/drawing/2014/main" id="{00000000-0008-0000-0200-0000C1000000}"/>
              </a:ext>
            </a:extLst>
          </xdr:cNvPr>
          <xdr:cNvGrpSpPr/>
        </xdr:nvGrpSpPr>
        <xdr:grpSpPr>
          <a:xfrm>
            <a:off x="2707905" y="4003582"/>
            <a:ext cx="474280" cy="474280"/>
            <a:chOff x="2707905" y="400358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195" name="Arc 194">
              <a:extLst>
                <a:ext uri="{FF2B5EF4-FFF2-40B4-BE49-F238E27FC236}">
                  <a16:creationId xmlns:a16="http://schemas.microsoft.com/office/drawing/2014/main" id="{00000000-0008-0000-0200-0000C3000000}"/>
                </a:ext>
              </a:extLst>
            </xdr:cNvPr>
            <xdr:cNvSpPr>
              <a:spLocks noChangeAspect="1"/>
            </xdr:cNvSpPr>
          </xdr:nvSpPr>
          <xdr:spPr>
            <a:xfrm>
              <a:off x="2707905" y="400358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196" name="Straight Connector 195">
              <a:extLst>
                <a:ext uri="{FF2B5EF4-FFF2-40B4-BE49-F238E27FC236}">
                  <a16:creationId xmlns:a16="http://schemas.microsoft.com/office/drawing/2014/main" id="{00000000-0008-0000-0200-0000C4000000}"/>
                </a:ext>
              </a:extLst>
            </xdr:cNvPr>
            <xdr:cNvCxnSpPr>
              <a:endCxn id="195" idx="0"/>
            </xdr:cNvCxnSpPr>
          </xdr:nvCxnSpPr>
          <xdr:spPr>
            <a:xfrm flipH="1" flipV="1">
              <a:off x="2731619" y="4139091"/>
              <a:ext cx="213426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Straight Connector 196">
              <a:extLst>
                <a:ext uri="{FF2B5EF4-FFF2-40B4-BE49-F238E27FC236}">
                  <a16:creationId xmlns:a16="http://schemas.microsoft.com/office/drawing/2014/main" id="{00000000-0008-0000-0200-0000C5000000}"/>
                </a:ext>
              </a:extLst>
            </xdr:cNvPr>
            <xdr:cNvCxnSpPr>
              <a:endCxn id="195" idx="2"/>
            </xdr:cNvCxnSpPr>
          </xdr:nvCxnSpPr>
          <xdr:spPr>
            <a:xfrm flipH="1">
              <a:off x="2755333" y="4252014"/>
              <a:ext cx="189712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4" name="Oval 193">
            <a:extLst>
              <a:ext uri="{FF2B5EF4-FFF2-40B4-BE49-F238E27FC236}">
                <a16:creationId xmlns:a16="http://schemas.microsoft.com/office/drawing/2014/main" id="{00000000-0008-0000-0200-0000C2000000}"/>
              </a:ext>
            </a:extLst>
          </xdr:cNvPr>
          <xdr:cNvSpPr>
            <a:spLocks noChangeAspect="1"/>
          </xdr:cNvSpPr>
        </xdr:nvSpPr>
        <xdr:spPr>
          <a:xfrm>
            <a:off x="2921331" y="4071336"/>
            <a:ext cx="47428" cy="90339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51</xdr:col>
      <xdr:colOff>619125</xdr:colOff>
      <xdr:row>89</xdr:row>
      <xdr:rowOff>133350</xdr:rowOff>
    </xdr:from>
    <xdr:to>
      <xdr:col>52</xdr:col>
      <xdr:colOff>114300</xdr:colOff>
      <xdr:row>91</xdr:row>
      <xdr:rowOff>9525</xdr:rowOff>
    </xdr:to>
    <xdr:grpSp>
      <xdr:nvGrpSpPr>
        <xdr:cNvPr id="198" name="Group 784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GrpSpPr>
          <a:grpSpLocks noChangeAspect="1"/>
        </xdr:cNvGrpSpPr>
      </xdr:nvGrpSpPr>
      <xdr:grpSpPr bwMode="auto">
        <a:xfrm>
          <a:off x="31106745" y="14375130"/>
          <a:ext cx="226695" cy="196215"/>
          <a:chOff x="5029763" y="3374153"/>
          <a:chExt cx="474280" cy="474280"/>
        </a:xfrm>
      </xdr:grpSpPr>
      <xdr:grpSp>
        <xdr:nvGrpSpPr>
          <xdr:cNvPr id="199" name="Group 847">
            <a:extLst>
              <a:ext uri="{FF2B5EF4-FFF2-40B4-BE49-F238E27FC236}">
                <a16:creationId xmlns:a16="http://schemas.microsoft.com/office/drawing/2014/main" id="{00000000-0008-0000-0200-0000C7000000}"/>
              </a:ext>
            </a:extLst>
          </xdr:cNvPr>
          <xdr:cNvGrpSpPr/>
        </xdr:nvGrpSpPr>
        <xdr:grpSpPr>
          <a:xfrm>
            <a:off x="5029763" y="3374153"/>
            <a:ext cx="474280" cy="474280"/>
            <a:chOff x="5029763" y="3374153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01" name="Arc 200">
              <a:extLst>
                <a:ext uri="{FF2B5EF4-FFF2-40B4-BE49-F238E27FC236}">
                  <a16:creationId xmlns:a16="http://schemas.microsoft.com/office/drawing/2014/main" id="{00000000-0008-0000-0200-0000C9000000}"/>
                </a:ext>
              </a:extLst>
            </xdr:cNvPr>
            <xdr:cNvSpPr>
              <a:spLocks noChangeAspect="1"/>
            </xdr:cNvSpPr>
          </xdr:nvSpPr>
          <xdr:spPr>
            <a:xfrm>
              <a:off x="5029763" y="3374153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00000000-0008-0000-0200-0000CA000000}"/>
                </a:ext>
              </a:extLst>
            </xdr:cNvPr>
            <xdr:cNvCxnSpPr>
              <a:endCxn id="201" idx="0"/>
            </xdr:cNvCxnSpPr>
          </xdr:nvCxnSpPr>
          <xdr:spPr>
            <a:xfrm flipH="1" flipV="1">
              <a:off x="5072879" y="3487077"/>
              <a:ext cx="194024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00000000-0008-0000-0200-0000CB000000}"/>
                </a:ext>
              </a:extLst>
            </xdr:cNvPr>
            <xdr:cNvCxnSpPr>
              <a:endCxn id="201" idx="2"/>
            </xdr:cNvCxnSpPr>
          </xdr:nvCxnSpPr>
          <xdr:spPr>
            <a:xfrm flipH="1">
              <a:off x="5072879" y="3622585"/>
              <a:ext cx="194024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0" name="Oval 199">
            <a:extLst>
              <a:ext uri="{FF2B5EF4-FFF2-40B4-BE49-F238E27FC236}">
                <a16:creationId xmlns:a16="http://schemas.microsoft.com/office/drawing/2014/main" id="{00000000-0008-0000-0200-0000C8000000}"/>
              </a:ext>
            </a:extLst>
          </xdr:cNvPr>
          <xdr:cNvSpPr>
            <a:spLocks noChangeAspect="1"/>
          </xdr:cNvSpPr>
        </xdr:nvSpPr>
        <xdr:spPr>
          <a:xfrm>
            <a:off x="5223787" y="3441907"/>
            <a:ext cx="86233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54</xdr:col>
      <xdr:colOff>533400</xdr:colOff>
      <xdr:row>89</xdr:row>
      <xdr:rowOff>142875</xdr:rowOff>
    </xdr:from>
    <xdr:to>
      <xdr:col>55</xdr:col>
      <xdr:colOff>28575</xdr:colOff>
      <xdr:row>91</xdr:row>
      <xdr:rowOff>19050</xdr:rowOff>
    </xdr:to>
    <xdr:grpSp>
      <xdr:nvGrpSpPr>
        <xdr:cNvPr id="204" name="Group 785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GrpSpPr>
          <a:grpSpLocks noChangeAspect="1"/>
        </xdr:cNvGrpSpPr>
      </xdr:nvGrpSpPr>
      <xdr:grpSpPr bwMode="auto">
        <a:xfrm>
          <a:off x="33215580" y="14384655"/>
          <a:ext cx="226695" cy="196215"/>
          <a:chOff x="7095567" y="3383678"/>
          <a:chExt cx="474280" cy="474280"/>
        </a:xfrm>
      </xdr:grpSpPr>
      <xdr:grpSp>
        <xdr:nvGrpSpPr>
          <xdr:cNvPr id="205" name="Group 842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GrpSpPr/>
        </xdr:nvGrpSpPr>
        <xdr:grpSpPr>
          <a:xfrm>
            <a:off x="7095567" y="3383678"/>
            <a:ext cx="474280" cy="474280"/>
            <a:chOff x="7095567" y="3383678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07" name="Arc 206">
              <a:extLst>
                <a:ext uri="{FF2B5EF4-FFF2-40B4-BE49-F238E27FC236}">
                  <a16:creationId xmlns:a16="http://schemas.microsoft.com/office/drawing/2014/main" id="{00000000-0008-0000-0200-0000CF000000}"/>
                </a:ext>
              </a:extLst>
            </xdr:cNvPr>
            <xdr:cNvSpPr>
              <a:spLocks noChangeAspect="1"/>
            </xdr:cNvSpPr>
          </xdr:nvSpPr>
          <xdr:spPr>
            <a:xfrm>
              <a:off x="7095567" y="3383678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00000000-0008-0000-0200-0000D0000000}"/>
                </a:ext>
              </a:extLst>
            </xdr:cNvPr>
            <xdr:cNvCxnSpPr>
              <a:endCxn id="207" idx="0"/>
            </xdr:cNvCxnSpPr>
          </xdr:nvCxnSpPr>
          <xdr:spPr>
            <a:xfrm flipH="1" flipV="1">
              <a:off x="7138683" y="3496602"/>
              <a:ext cx="194024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9" name="Straight Connector 208">
              <a:extLst>
                <a:ext uri="{FF2B5EF4-FFF2-40B4-BE49-F238E27FC236}">
                  <a16:creationId xmlns:a16="http://schemas.microsoft.com/office/drawing/2014/main" id="{00000000-0008-0000-0200-0000D1000000}"/>
                </a:ext>
              </a:extLst>
            </xdr:cNvPr>
            <xdr:cNvCxnSpPr>
              <a:endCxn id="207" idx="2"/>
            </xdr:cNvCxnSpPr>
          </xdr:nvCxnSpPr>
          <xdr:spPr>
            <a:xfrm flipH="1">
              <a:off x="7138683" y="3632110"/>
              <a:ext cx="194024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6" name="Oval 205">
            <a:extLst>
              <a:ext uri="{FF2B5EF4-FFF2-40B4-BE49-F238E27FC236}">
                <a16:creationId xmlns:a16="http://schemas.microsoft.com/office/drawing/2014/main" id="{00000000-0008-0000-0200-0000CE000000}"/>
              </a:ext>
            </a:extLst>
          </xdr:cNvPr>
          <xdr:cNvSpPr>
            <a:spLocks noChangeAspect="1"/>
          </xdr:cNvSpPr>
        </xdr:nvSpPr>
        <xdr:spPr>
          <a:xfrm>
            <a:off x="7289591" y="3451432"/>
            <a:ext cx="86233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48</xdr:col>
      <xdr:colOff>428625</xdr:colOff>
      <xdr:row>97</xdr:row>
      <xdr:rowOff>142875</xdr:rowOff>
    </xdr:from>
    <xdr:to>
      <xdr:col>48</xdr:col>
      <xdr:colOff>628650</xdr:colOff>
      <xdr:row>99</xdr:row>
      <xdr:rowOff>19050</xdr:rowOff>
    </xdr:to>
    <xdr:grpSp>
      <xdr:nvGrpSpPr>
        <xdr:cNvPr id="210" name="Group 786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pSpPr>
          <a:grpSpLocks noChangeAspect="1"/>
        </xdr:cNvGrpSpPr>
      </xdr:nvGrpSpPr>
      <xdr:grpSpPr bwMode="auto">
        <a:xfrm>
          <a:off x="28721685" y="15664815"/>
          <a:ext cx="200025" cy="196215"/>
          <a:chOff x="2687733" y="4634257"/>
          <a:chExt cx="474280" cy="474280"/>
        </a:xfrm>
      </xdr:grpSpPr>
      <xdr:grpSp>
        <xdr:nvGrpSpPr>
          <xdr:cNvPr id="211" name="Group 837">
            <a:extLst>
              <a:ext uri="{FF2B5EF4-FFF2-40B4-BE49-F238E27FC236}">
                <a16:creationId xmlns:a16="http://schemas.microsoft.com/office/drawing/2014/main" id="{00000000-0008-0000-0200-0000D3000000}"/>
              </a:ext>
            </a:extLst>
          </xdr:cNvPr>
          <xdr:cNvGrpSpPr/>
        </xdr:nvGrpSpPr>
        <xdr:grpSpPr>
          <a:xfrm>
            <a:off x="2687733" y="4634257"/>
            <a:ext cx="474280" cy="474280"/>
            <a:chOff x="2687733" y="4634257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13" name="Arc 212">
              <a:extLst>
                <a:ext uri="{FF2B5EF4-FFF2-40B4-BE49-F238E27FC236}">
                  <a16:creationId xmlns:a16="http://schemas.microsoft.com/office/drawing/2014/main" id="{00000000-0008-0000-0200-0000D5000000}"/>
                </a:ext>
              </a:extLst>
            </xdr:cNvPr>
            <xdr:cNvSpPr>
              <a:spLocks noChangeAspect="1"/>
            </xdr:cNvSpPr>
          </xdr:nvSpPr>
          <xdr:spPr>
            <a:xfrm>
              <a:off x="2687733" y="4634257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14" name="Straight Connector 213">
              <a:extLst>
                <a:ext uri="{FF2B5EF4-FFF2-40B4-BE49-F238E27FC236}">
                  <a16:creationId xmlns:a16="http://schemas.microsoft.com/office/drawing/2014/main" id="{00000000-0008-0000-0200-0000D6000000}"/>
                </a:ext>
              </a:extLst>
            </xdr:cNvPr>
            <xdr:cNvCxnSpPr>
              <a:endCxn id="213" idx="0"/>
            </xdr:cNvCxnSpPr>
          </xdr:nvCxnSpPr>
          <xdr:spPr>
            <a:xfrm flipH="1" flipV="1">
              <a:off x="2710318" y="4747181"/>
              <a:ext cx="225848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Connector 214">
              <a:extLst>
                <a:ext uri="{FF2B5EF4-FFF2-40B4-BE49-F238E27FC236}">
                  <a16:creationId xmlns:a16="http://schemas.microsoft.com/office/drawing/2014/main" id="{00000000-0008-0000-0200-0000D7000000}"/>
                </a:ext>
              </a:extLst>
            </xdr:cNvPr>
            <xdr:cNvCxnSpPr>
              <a:endCxn id="213" idx="2"/>
            </xdr:cNvCxnSpPr>
          </xdr:nvCxnSpPr>
          <xdr:spPr>
            <a:xfrm flipH="1">
              <a:off x="2732903" y="4882689"/>
              <a:ext cx="203263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00000000-0008-0000-0200-0000D4000000}"/>
              </a:ext>
            </a:extLst>
          </xdr:cNvPr>
          <xdr:cNvSpPr>
            <a:spLocks noChangeAspect="1"/>
          </xdr:cNvSpPr>
        </xdr:nvSpPr>
        <xdr:spPr>
          <a:xfrm>
            <a:off x="2890996" y="4702011"/>
            <a:ext cx="67754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58</xdr:col>
      <xdr:colOff>542925</xdr:colOff>
      <xdr:row>89</xdr:row>
      <xdr:rowOff>133350</xdr:rowOff>
    </xdr:from>
    <xdr:to>
      <xdr:col>59</xdr:col>
      <xdr:colOff>28575</xdr:colOff>
      <xdr:row>91</xdr:row>
      <xdr:rowOff>9525</xdr:rowOff>
    </xdr:to>
    <xdr:grpSp>
      <xdr:nvGrpSpPr>
        <xdr:cNvPr id="216" name="Group 787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GrpSpPr>
          <a:grpSpLocks noChangeAspect="1"/>
        </xdr:cNvGrpSpPr>
      </xdr:nvGrpSpPr>
      <xdr:grpSpPr bwMode="auto">
        <a:xfrm>
          <a:off x="36151185" y="14375130"/>
          <a:ext cx="217170" cy="196215"/>
          <a:chOff x="9973798" y="3374153"/>
          <a:chExt cx="474280" cy="474280"/>
        </a:xfrm>
      </xdr:grpSpPr>
      <xdr:grpSp>
        <xdr:nvGrpSpPr>
          <xdr:cNvPr id="217" name="Group 832">
            <a:extLst>
              <a:ext uri="{FF2B5EF4-FFF2-40B4-BE49-F238E27FC236}">
                <a16:creationId xmlns:a16="http://schemas.microsoft.com/office/drawing/2014/main" id="{00000000-0008-0000-0200-0000D9000000}"/>
              </a:ext>
            </a:extLst>
          </xdr:cNvPr>
          <xdr:cNvGrpSpPr/>
        </xdr:nvGrpSpPr>
        <xdr:grpSpPr>
          <a:xfrm>
            <a:off x="9973798" y="3374153"/>
            <a:ext cx="474280" cy="474280"/>
            <a:chOff x="9973798" y="3374153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19" name="Arc 218">
              <a:extLst>
                <a:ext uri="{FF2B5EF4-FFF2-40B4-BE49-F238E27FC236}">
                  <a16:creationId xmlns:a16="http://schemas.microsoft.com/office/drawing/2014/main" id="{00000000-0008-0000-0200-0000DB000000}"/>
                </a:ext>
              </a:extLst>
            </xdr:cNvPr>
            <xdr:cNvSpPr>
              <a:spLocks noChangeAspect="1"/>
            </xdr:cNvSpPr>
          </xdr:nvSpPr>
          <xdr:spPr>
            <a:xfrm>
              <a:off x="9973798" y="3374153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20" name="Straight Connector 219">
              <a:extLst>
                <a:ext uri="{FF2B5EF4-FFF2-40B4-BE49-F238E27FC236}">
                  <a16:creationId xmlns:a16="http://schemas.microsoft.com/office/drawing/2014/main" id="{00000000-0008-0000-0200-0000DC000000}"/>
                </a:ext>
              </a:extLst>
            </xdr:cNvPr>
            <xdr:cNvCxnSpPr>
              <a:endCxn id="219" idx="0"/>
            </xdr:cNvCxnSpPr>
          </xdr:nvCxnSpPr>
          <xdr:spPr>
            <a:xfrm flipH="1" flipV="1">
              <a:off x="9996383" y="3487077"/>
              <a:ext cx="225848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1" name="Straight Connector 220">
              <a:extLst>
                <a:ext uri="{FF2B5EF4-FFF2-40B4-BE49-F238E27FC236}">
                  <a16:creationId xmlns:a16="http://schemas.microsoft.com/office/drawing/2014/main" id="{00000000-0008-0000-0200-0000DD000000}"/>
                </a:ext>
              </a:extLst>
            </xdr:cNvPr>
            <xdr:cNvCxnSpPr>
              <a:endCxn id="219" idx="2"/>
            </xdr:cNvCxnSpPr>
          </xdr:nvCxnSpPr>
          <xdr:spPr>
            <a:xfrm flipH="1">
              <a:off x="10018968" y="3622585"/>
              <a:ext cx="203263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8" name="Oval 217">
            <a:extLst>
              <a:ext uri="{FF2B5EF4-FFF2-40B4-BE49-F238E27FC236}">
                <a16:creationId xmlns:a16="http://schemas.microsoft.com/office/drawing/2014/main" id="{00000000-0008-0000-0200-0000DA000000}"/>
              </a:ext>
            </a:extLst>
          </xdr:cNvPr>
          <xdr:cNvSpPr>
            <a:spLocks noChangeAspect="1"/>
          </xdr:cNvSpPr>
        </xdr:nvSpPr>
        <xdr:spPr>
          <a:xfrm>
            <a:off x="10177061" y="3441907"/>
            <a:ext cx="67754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56</xdr:col>
      <xdr:colOff>523875</xdr:colOff>
      <xdr:row>89</xdr:row>
      <xdr:rowOff>142875</xdr:rowOff>
    </xdr:from>
    <xdr:to>
      <xdr:col>57</xdr:col>
      <xdr:colOff>19050</xdr:colOff>
      <xdr:row>91</xdr:row>
      <xdr:rowOff>28575</xdr:rowOff>
    </xdr:to>
    <xdr:grpSp>
      <xdr:nvGrpSpPr>
        <xdr:cNvPr id="222" name="Group 788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pSpPr>
          <a:grpSpLocks noChangeAspect="1"/>
        </xdr:cNvGrpSpPr>
      </xdr:nvGrpSpPr>
      <xdr:grpSpPr bwMode="auto">
        <a:xfrm>
          <a:off x="34669095" y="14384655"/>
          <a:ext cx="226695" cy="205740"/>
          <a:chOff x="8520395" y="3383678"/>
          <a:chExt cx="474280" cy="474280"/>
        </a:xfrm>
      </xdr:grpSpPr>
      <xdr:grpSp>
        <xdr:nvGrpSpPr>
          <xdr:cNvPr id="223" name="Group 827">
            <a:extLst>
              <a:ext uri="{FF2B5EF4-FFF2-40B4-BE49-F238E27FC236}">
                <a16:creationId xmlns:a16="http://schemas.microsoft.com/office/drawing/2014/main" id="{00000000-0008-0000-0200-0000DF000000}"/>
              </a:ext>
            </a:extLst>
          </xdr:cNvPr>
          <xdr:cNvGrpSpPr/>
        </xdr:nvGrpSpPr>
        <xdr:grpSpPr>
          <a:xfrm>
            <a:off x="8520395" y="3383678"/>
            <a:ext cx="474280" cy="474280"/>
            <a:chOff x="8520395" y="3383678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25" name="Arc 224">
              <a:extLst>
                <a:ext uri="{FF2B5EF4-FFF2-40B4-BE49-F238E27FC236}">
                  <a16:creationId xmlns:a16="http://schemas.microsoft.com/office/drawing/2014/main" id="{00000000-0008-0000-0200-0000E1000000}"/>
                </a:ext>
              </a:extLst>
            </xdr:cNvPr>
            <xdr:cNvSpPr>
              <a:spLocks noChangeAspect="1"/>
            </xdr:cNvSpPr>
          </xdr:nvSpPr>
          <xdr:spPr>
            <a:xfrm>
              <a:off x="8520395" y="3383678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26" name="Straight Connector 225">
              <a:extLst>
                <a:ext uri="{FF2B5EF4-FFF2-40B4-BE49-F238E27FC236}">
                  <a16:creationId xmlns:a16="http://schemas.microsoft.com/office/drawing/2014/main" id="{00000000-0008-0000-0200-0000E2000000}"/>
                </a:ext>
              </a:extLst>
            </xdr:cNvPr>
            <xdr:cNvCxnSpPr>
              <a:endCxn id="225" idx="0"/>
            </xdr:cNvCxnSpPr>
          </xdr:nvCxnSpPr>
          <xdr:spPr>
            <a:xfrm flipH="1" flipV="1">
              <a:off x="8541953" y="3491469"/>
              <a:ext cx="215582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00000000-0008-0000-0200-0000E3000000}"/>
                </a:ext>
              </a:extLst>
            </xdr:cNvPr>
            <xdr:cNvCxnSpPr>
              <a:endCxn id="225" idx="2"/>
            </xdr:cNvCxnSpPr>
          </xdr:nvCxnSpPr>
          <xdr:spPr>
            <a:xfrm flipH="1">
              <a:off x="8563511" y="3620818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24" name="Oval 223">
            <a:extLst>
              <a:ext uri="{FF2B5EF4-FFF2-40B4-BE49-F238E27FC236}">
                <a16:creationId xmlns:a16="http://schemas.microsoft.com/office/drawing/2014/main" id="{00000000-0008-0000-0200-0000E0000000}"/>
              </a:ext>
            </a:extLst>
          </xdr:cNvPr>
          <xdr:cNvSpPr>
            <a:spLocks noChangeAspect="1"/>
          </xdr:cNvSpPr>
        </xdr:nvSpPr>
        <xdr:spPr>
          <a:xfrm>
            <a:off x="8714419" y="3448353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48</xdr:col>
      <xdr:colOff>609600</xdr:colOff>
      <xdr:row>70</xdr:row>
      <xdr:rowOff>133350</xdr:rowOff>
    </xdr:from>
    <xdr:to>
      <xdr:col>49</xdr:col>
      <xdr:colOff>95250</xdr:colOff>
      <xdr:row>72</xdr:row>
      <xdr:rowOff>19050</xdr:rowOff>
    </xdr:to>
    <xdr:grpSp>
      <xdr:nvGrpSpPr>
        <xdr:cNvPr id="228" name="Group 789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GrpSpPr>
          <a:grpSpLocks noChangeAspect="1"/>
        </xdr:cNvGrpSpPr>
      </xdr:nvGrpSpPr>
      <xdr:grpSpPr bwMode="auto">
        <a:xfrm>
          <a:off x="28902660" y="11334750"/>
          <a:ext cx="217170" cy="205740"/>
          <a:chOff x="2864226" y="390588"/>
          <a:chExt cx="474280" cy="474280"/>
        </a:xfrm>
      </xdr:grpSpPr>
      <xdr:grpSp>
        <xdr:nvGrpSpPr>
          <xdr:cNvPr id="229" name="Group 822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2864226" y="390588"/>
            <a:ext cx="474280" cy="474280"/>
            <a:chOff x="2864226" y="390588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31" name="Arc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SpPr>
              <a:spLocks noChangeAspect="1"/>
            </xdr:cNvSpPr>
          </xdr:nvSpPr>
          <xdr:spPr>
            <a:xfrm>
              <a:off x="2864226" y="390588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32" name="Straight Connector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CxnSpPr>
              <a:endCxn id="231" idx="0"/>
            </xdr:cNvCxnSpPr>
          </xdr:nvCxnSpPr>
          <xdr:spPr>
            <a:xfrm flipH="1" flipV="1">
              <a:off x="2886811" y="519937"/>
              <a:ext cx="225848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3" name="Straight Connector 232">
              <a:extLst>
                <a:ext uri="{FF2B5EF4-FFF2-40B4-BE49-F238E27FC236}">
                  <a16:creationId xmlns:a16="http://schemas.microsoft.com/office/drawing/2014/main" id="{00000000-0008-0000-0200-0000E9000000}"/>
                </a:ext>
              </a:extLst>
            </xdr:cNvPr>
            <xdr:cNvCxnSpPr>
              <a:endCxn id="231" idx="2"/>
            </xdr:cNvCxnSpPr>
          </xdr:nvCxnSpPr>
          <xdr:spPr>
            <a:xfrm flipH="1">
              <a:off x="2909396" y="627728"/>
              <a:ext cx="203263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0" name="Oval 229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>
            <a:spLocks noChangeAspect="1"/>
          </xdr:cNvSpPr>
        </xdr:nvSpPr>
        <xdr:spPr>
          <a:xfrm>
            <a:off x="3067489" y="455263"/>
            <a:ext cx="67754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428625</xdr:colOff>
      <xdr:row>95</xdr:row>
      <xdr:rowOff>133350</xdr:rowOff>
    </xdr:from>
    <xdr:to>
      <xdr:col>45</xdr:col>
      <xdr:colOff>638175</xdr:colOff>
      <xdr:row>97</xdr:row>
      <xdr:rowOff>9525</xdr:rowOff>
    </xdr:to>
    <xdr:grpSp>
      <xdr:nvGrpSpPr>
        <xdr:cNvPr id="234" name="Group 790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GrpSpPr>
          <a:grpSpLocks noChangeAspect="1"/>
        </xdr:cNvGrpSpPr>
      </xdr:nvGrpSpPr>
      <xdr:grpSpPr bwMode="auto">
        <a:xfrm>
          <a:off x="26527125" y="15335250"/>
          <a:ext cx="209550" cy="196215"/>
          <a:chOff x="538587" y="4315447"/>
          <a:chExt cx="474280" cy="474280"/>
        </a:xfrm>
      </xdr:grpSpPr>
      <xdr:grpSp>
        <xdr:nvGrpSpPr>
          <xdr:cNvPr id="235" name="Group 817">
            <a:extLst>
              <a:ext uri="{FF2B5EF4-FFF2-40B4-BE49-F238E27FC236}">
                <a16:creationId xmlns:a16="http://schemas.microsoft.com/office/drawing/2014/main" id="{00000000-0008-0000-0200-0000EB000000}"/>
              </a:ext>
            </a:extLst>
          </xdr:cNvPr>
          <xdr:cNvGrpSpPr/>
        </xdr:nvGrpSpPr>
        <xdr:grpSpPr>
          <a:xfrm>
            <a:off x="538587" y="4315447"/>
            <a:ext cx="474280" cy="474280"/>
            <a:chOff x="538587" y="4315447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37" name="Arc 236">
              <a:extLst>
                <a:ext uri="{FF2B5EF4-FFF2-40B4-BE49-F238E27FC236}">
                  <a16:creationId xmlns:a16="http://schemas.microsoft.com/office/drawing/2014/main" id="{00000000-0008-0000-0200-0000ED000000}"/>
                </a:ext>
              </a:extLst>
            </xdr:cNvPr>
            <xdr:cNvSpPr>
              <a:spLocks noChangeAspect="1"/>
            </xdr:cNvSpPr>
          </xdr:nvSpPr>
          <xdr:spPr>
            <a:xfrm>
              <a:off x="538587" y="4315447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38" name="Straight Connector 237">
              <a:extLst>
                <a:ext uri="{FF2B5EF4-FFF2-40B4-BE49-F238E27FC236}">
                  <a16:creationId xmlns:a16="http://schemas.microsoft.com/office/drawing/2014/main" id="{00000000-0008-0000-0200-0000EE000000}"/>
                </a:ext>
              </a:extLst>
            </xdr:cNvPr>
            <xdr:cNvCxnSpPr>
              <a:endCxn id="237" idx="0"/>
            </xdr:cNvCxnSpPr>
          </xdr:nvCxnSpPr>
          <xdr:spPr>
            <a:xfrm flipH="1" flipV="1">
              <a:off x="581703" y="4428371"/>
              <a:ext cx="194024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Connector 238">
              <a:extLst>
                <a:ext uri="{FF2B5EF4-FFF2-40B4-BE49-F238E27FC236}">
                  <a16:creationId xmlns:a16="http://schemas.microsoft.com/office/drawing/2014/main" id="{00000000-0008-0000-0200-0000EF000000}"/>
                </a:ext>
              </a:extLst>
            </xdr:cNvPr>
            <xdr:cNvCxnSpPr>
              <a:endCxn id="237" idx="2"/>
            </xdr:cNvCxnSpPr>
          </xdr:nvCxnSpPr>
          <xdr:spPr>
            <a:xfrm flipH="1">
              <a:off x="581703" y="4563879"/>
              <a:ext cx="194024" cy="13550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00000000-0008-0000-0200-0000EC000000}"/>
              </a:ext>
            </a:extLst>
          </xdr:cNvPr>
          <xdr:cNvSpPr>
            <a:spLocks noChangeAspect="1"/>
          </xdr:cNvSpPr>
        </xdr:nvSpPr>
        <xdr:spPr>
          <a:xfrm>
            <a:off x="732611" y="4383201"/>
            <a:ext cx="86233" cy="67754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428625</xdr:colOff>
      <xdr:row>106</xdr:row>
      <xdr:rowOff>133350</xdr:rowOff>
    </xdr:from>
    <xdr:to>
      <xdr:col>45</xdr:col>
      <xdr:colOff>638175</xdr:colOff>
      <xdr:row>108</xdr:row>
      <xdr:rowOff>19050</xdr:rowOff>
    </xdr:to>
    <xdr:grpSp>
      <xdr:nvGrpSpPr>
        <xdr:cNvPr id="240" name="Group 791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GrpSpPr>
          <a:grpSpLocks noChangeAspect="1"/>
        </xdr:cNvGrpSpPr>
      </xdr:nvGrpSpPr>
      <xdr:grpSpPr bwMode="auto">
        <a:xfrm>
          <a:off x="26527125" y="17095470"/>
          <a:ext cx="209550" cy="205740"/>
          <a:chOff x="533825" y="6041153"/>
          <a:chExt cx="474280" cy="474280"/>
        </a:xfrm>
      </xdr:grpSpPr>
      <xdr:grpSp>
        <xdr:nvGrpSpPr>
          <xdr:cNvPr id="241" name="Group 812">
            <a:extLst>
              <a:ext uri="{FF2B5EF4-FFF2-40B4-BE49-F238E27FC236}">
                <a16:creationId xmlns:a16="http://schemas.microsoft.com/office/drawing/2014/main" id="{00000000-0008-0000-0200-0000F1000000}"/>
              </a:ext>
            </a:extLst>
          </xdr:cNvPr>
          <xdr:cNvGrpSpPr/>
        </xdr:nvGrpSpPr>
        <xdr:grpSpPr>
          <a:xfrm>
            <a:off x="533825" y="6041153"/>
            <a:ext cx="474280" cy="474280"/>
            <a:chOff x="533825" y="6041153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43" name="Arc 242">
              <a:extLst>
                <a:ext uri="{FF2B5EF4-FFF2-40B4-BE49-F238E27FC236}">
                  <a16:creationId xmlns:a16="http://schemas.microsoft.com/office/drawing/2014/main" id="{00000000-0008-0000-0200-0000F3000000}"/>
                </a:ext>
              </a:extLst>
            </xdr:cNvPr>
            <xdr:cNvSpPr>
              <a:spLocks noChangeAspect="1"/>
            </xdr:cNvSpPr>
          </xdr:nvSpPr>
          <xdr:spPr>
            <a:xfrm>
              <a:off x="533825" y="6041153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44" name="Straight Connector 243">
              <a:extLst>
                <a:ext uri="{FF2B5EF4-FFF2-40B4-BE49-F238E27FC236}">
                  <a16:creationId xmlns:a16="http://schemas.microsoft.com/office/drawing/2014/main" id="{00000000-0008-0000-0200-0000F4000000}"/>
                </a:ext>
              </a:extLst>
            </xdr:cNvPr>
            <xdr:cNvCxnSpPr>
              <a:endCxn id="243" idx="0"/>
            </xdr:cNvCxnSpPr>
          </xdr:nvCxnSpPr>
          <xdr:spPr>
            <a:xfrm flipH="1" flipV="1">
              <a:off x="555383" y="6170502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00000000-0008-0000-0200-0000F5000000}"/>
                </a:ext>
              </a:extLst>
            </xdr:cNvPr>
            <xdr:cNvCxnSpPr>
              <a:endCxn id="243" idx="2"/>
            </xdr:cNvCxnSpPr>
          </xdr:nvCxnSpPr>
          <xdr:spPr>
            <a:xfrm flipH="1">
              <a:off x="576941" y="6278293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2" name="Oval 241">
            <a:extLst>
              <a:ext uri="{FF2B5EF4-FFF2-40B4-BE49-F238E27FC236}">
                <a16:creationId xmlns:a16="http://schemas.microsoft.com/office/drawing/2014/main" id="{00000000-0008-0000-0200-0000F2000000}"/>
              </a:ext>
            </a:extLst>
          </xdr:cNvPr>
          <xdr:cNvSpPr>
            <a:spLocks noChangeAspect="1"/>
          </xdr:cNvSpPr>
        </xdr:nvSpPr>
        <xdr:spPr>
          <a:xfrm>
            <a:off x="727849" y="6105828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59293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118586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677878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237171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796464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355757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915049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474342" algn="l" defTabSz="1118586" rtl="0" eaLnBrk="1" latinLnBrk="0" hangingPunct="1">
              <a:defRPr sz="22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666750</xdr:colOff>
      <xdr:row>84</xdr:row>
      <xdr:rowOff>9525</xdr:rowOff>
    </xdr:from>
    <xdr:to>
      <xdr:col>45</xdr:col>
      <xdr:colOff>666750</xdr:colOff>
      <xdr:row>87</xdr:row>
      <xdr:rowOff>9525</xdr:rowOff>
    </xdr:to>
    <xdr:cxnSp macro="">
      <xdr:nvCxnSpPr>
        <xdr:cNvPr id="246" name="Straight Arrow Connector 792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CxnSpPr>
          <a:cxnSpLocks/>
        </xdr:cNvCxnSpPr>
      </xdr:nvCxnSpPr>
      <xdr:spPr bwMode="auto">
        <a:xfrm>
          <a:off x="28041600" y="13611225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49</xdr:col>
      <xdr:colOff>514350</xdr:colOff>
      <xdr:row>84</xdr:row>
      <xdr:rowOff>9525</xdr:rowOff>
    </xdr:from>
    <xdr:to>
      <xdr:col>49</xdr:col>
      <xdr:colOff>514350</xdr:colOff>
      <xdr:row>87</xdr:row>
      <xdr:rowOff>9525</xdr:rowOff>
    </xdr:to>
    <xdr:cxnSp macro="">
      <xdr:nvCxnSpPr>
        <xdr:cNvPr id="247" name="Straight Arrow Connector 793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CxnSpPr>
          <a:cxnSpLocks/>
        </xdr:cNvCxnSpPr>
      </xdr:nvCxnSpPr>
      <xdr:spPr bwMode="auto">
        <a:xfrm>
          <a:off x="30384750" y="13611225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52</xdr:col>
      <xdr:colOff>657225</xdr:colOff>
      <xdr:row>83</xdr:row>
      <xdr:rowOff>152400</xdr:rowOff>
    </xdr:from>
    <xdr:to>
      <xdr:col>52</xdr:col>
      <xdr:colOff>657225</xdr:colOff>
      <xdr:row>86</xdr:row>
      <xdr:rowOff>142875</xdr:rowOff>
    </xdr:to>
    <xdr:cxnSp macro="">
      <xdr:nvCxnSpPr>
        <xdr:cNvPr id="248" name="Straight Arrow Connector 794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CxnSpPr>
          <a:cxnSpLocks/>
        </xdr:cNvCxnSpPr>
      </xdr:nvCxnSpPr>
      <xdr:spPr bwMode="auto">
        <a:xfrm>
          <a:off x="32308800" y="13592175"/>
          <a:ext cx="0" cy="4762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44</xdr:col>
      <xdr:colOff>714375</xdr:colOff>
      <xdr:row>93</xdr:row>
      <xdr:rowOff>85725</xdr:rowOff>
    </xdr:from>
    <xdr:to>
      <xdr:col>45</xdr:col>
      <xdr:colOff>581025</xdr:colOff>
      <xdr:row>93</xdr:row>
      <xdr:rowOff>85725</xdr:rowOff>
    </xdr:to>
    <xdr:sp macro="" textlink="">
      <xdr:nvSpPr>
        <xdr:cNvPr id="249" name="Line 1493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>
          <a:spLocks noChangeShapeType="1"/>
        </xdr:cNvSpPr>
      </xdr:nvSpPr>
      <xdr:spPr bwMode="auto">
        <a:xfrm>
          <a:off x="27432000" y="15144750"/>
          <a:ext cx="58102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sm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48</xdr:col>
      <xdr:colOff>390525</xdr:colOff>
      <xdr:row>101</xdr:row>
      <xdr:rowOff>95250</xdr:rowOff>
    </xdr:from>
    <xdr:to>
      <xdr:col>50</xdr:col>
      <xdr:colOff>47625</xdr:colOff>
      <xdr:row>108</xdr:row>
      <xdr:rowOff>104775</xdr:rowOff>
    </xdr:to>
    <xdr:sp macro="" textlink="">
      <xdr:nvSpPr>
        <xdr:cNvPr id="250" name="Line 2552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>
          <a:spLocks noChangeShapeType="1"/>
        </xdr:cNvSpPr>
      </xdr:nvSpPr>
      <xdr:spPr bwMode="auto">
        <a:xfrm rot="18953249" flipH="1">
          <a:off x="29651325" y="16449675"/>
          <a:ext cx="876300" cy="114300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76200</xdr:colOff>
      <xdr:row>108</xdr:row>
      <xdr:rowOff>0</xdr:rowOff>
    </xdr:from>
    <xdr:to>
      <xdr:col>47</xdr:col>
      <xdr:colOff>352425</xdr:colOff>
      <xdr:row>109</xdr:row>
      <xdr:rowOff>123825</xdr:rowOff>
    </xdr:to>
    <xdr:sp macro="" textlink="">
      <xdr:nvSpPr>
        <xdr:cNvPr id="251" name="Line 2552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>
          <a:spLocks noChangeShapeType="1"/>
        </xdr:cNvSpPr>
      </xdr:nvSpPr>
      <xdr:spPr bwMode="auto">
        <a:xfrm rot="18953249" flipH="1">
          <a:off x="28727400" y="17487900"/>
          <a:ext cx="276225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628650</xdr:colOff>
      <xdr:row>103</xdr:row>
      <xdr:rowOff>161925</xdr:rowOff>
    </xdr:from>
    <xdr:to>
      <xdr:col>57</xdr:col>
      <xdr:colOff>685800</xdr:colOff>
      <xdr:row>109</xdr:row>
      <xdr:rowOff>9525</xdr:rowOff>
    </xdr:to>
    <xdr:sp macro="" textlink="">
      <xdr:nvSpPr>
        <xdr:cNvPr id="252" name="Line 2552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>
          <a:spLocks noChangeShapeType="1"/>
        </xdr:cNvSpPr>
      </xdr:nvSpPr>
      <xdr:spPr bwMode="auto">
        <a:xfrm rot="18953249" flipH="1">
          <a:off x="34747200" y="16840200"/>
          <a:ext cx="609600" cy="8191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66675</xdr:colOff>
      <xdr:row>104</xdr:row>
      <xdr:rowOff>19050</xdr:rowOff>
    </xdr:from>
    <xdr:to>
      <xdr:col>60</xdr:col>
      <xdr:colOff>123825</xdr:colOff>
      <xdr:row>109</xdr:row>
      <xdr:rowOff>28575</xdr:rowOff>
    </xdr:to>
    <xdr:sp macro="" textlink="">
      <xdr:nvSpPr>
        <xdr:cNvPr id="253" name="Line 25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>
          <a:spLocks noChangeShapeType="1"/>
        </xdr:cNvSpPr>
      </xdr:nvSpPr>
      <xdr:spPr bwMode="auto">
        <a:xfrm rot="18953249" flipH="1">
          <a:off x="36033075" y="16859250"/>
          <a:ext cx="666750" cy="8191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666750</xdr:colOff>
      <xdr:row>103</xdr:row>
      <xdr:rowOff>161925</xdr:rowOff>
    </xdr:from>
    <xdr:to>
      <xdr:col>56</xdr:col>
      <xdr:colOff>9525</xdr:colOff>
      <xdr:row>109</xdr:row>
      <xdr:rowOff>9525</xdr:rowOff>
    </xdr:to>
    <xdr:sp macro="" textlink="">
      <xdr:nvSpPr>
        <xdr:cNvPr id="254" name="Line 2552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SpPr>
          <a:spLocks noChangeShapeType="1"/>
        </xdr:cNvSpPr>
      </xdr:nvSpPr>
      <xdr:spPr bwMode="auto">
        <a:xfrm rot="18953249" flipH="1">
          <a:off x="33528000" y="16840200"/>
          <a:ext cx="619125" cy="8191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504825</xdr:colOff>
      <xdr:row>95</xdr:row>
      <xdr:rowOff>9525</xdr:rowOff>
    </xdr:from>
    <xdr:to>
      <xdr:col>50</xdr:col>
      <xdr:colOff>504825</xdr:colOff>
      <xdr:row>98</xdr:row>
      <xdr:rowOff>9525</xdr:rowOff>
    </xdr:to>
    <xdr:cxnSp macro="">
      <xdr:nvCxnSpPr>
        <xdr:cNvPr id="255" name="Straight Arrow Connector 801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CxnSpPr>
          <a:cxnSpLocks/>
        </xdr:cNvCxnSpPr>
      </xdr:nvCxnSpPr>
      <xdr:spPr bwMode="auto">
        <a:xfrm>
          <a:off x="30984825" y="15392400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45</xdr:col>
      <xdr:colOff>542925</xdr:colOff>
      <xdr:row>103</xdr:row>
      <xdr:rowOff>9525</xdr:rowOff>
    </xdr:from>
    <xdr:to>
      <xdr:col>45</xdr:col>
      <xdr:colOff>542925</xdr:colOff>
      <xdr:row>106</xdr:row>
      <xdr:rowOff>9525</xdr:rowOff>
    </xdr:to>
    <xdr:cxnSp macro="">
      <xdr:nvCxnSpPr>
        <xdr:cNvPr id="256" name="Straight Arrow Connector 802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CxnSpPr>
          <a:cxnSpLocks/>
        </xdr:cNvCxnSpPr>
      </xdr:nvCxnSpPr>
      <xdr:spPr bwMode="auto">
        <a:xfrm>
          <a:off x="27974925" y="16687800"/>
          <a:ext cx="0" cy="4857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55</xdr:col>
      <xdr:colOff>657225</xdr:colOff>
      <xdr:row>83</xdr:row>
      <xdr:rowOff>19050</xdr:rowOff>
    </xdr:from>
    <xdr:to>
      <xdr:col>55</xdr:col>
      <xdr:colOff>657225</xdr:colOff>
      <xdr:row>86</xdr:row>
      <xdr:rowOff>9525</xdr:rowOff>
    </xdr:to>
    <xdr:cxnSp macro="">
      <xdr:nvCxnSpPr>
        <xdr:cNvPr id="257" name="Straight Arrow Connector 803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CxnSpPr>
          <a:cxnSpLocks/>
        </xdr:cNvCxnSpPr>
      </xdr:nvCxnSpPr>
      <xdr:spPr bwMode="auto">
        <a:xfrm>
          <a:off x="34137600" y="13458825"/>
          <a:ext cx="0" cy="4762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57</xdr:col>
      <xdr:colOff>561975</xdr:colOff>
      <xdr:row>83</xdr:row>
      <xdr:rowOff>19050</xdr:rowOff>
    </xdr:from>
    <xdr:to>
      <xdr:col>57</xdr:col>
      <xdr:colOff>561975</xdr:colOff>
      <xdr:row>85</xdr:row>
      <xdr:rowOff>152400</xdr:rowOff>
    </xdr:to>
    <xdr:cxnSp macro="">
      <xdr:nvCxnSpPr>
        <xdr:cNvPr id="258" name="Straight Arrow Connector 804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CxnSpPr>
          <a:cxnSpLocks/>
        </xdr:cNvCxnSpPr>
      </xdr:nvCxnSpPr>
      <xdr:spPr bwMode="auto">
        <a:xfrm>
          <a:off x="35309175" y="13458825"/>
          <a:ext cx="0" cy="45720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59</xdr:col>
      <xdr:colOff>666750</xdr:colOff>
      <xdr:row>83</xdr:row>
      <xdr:rowOff>19050</xdr:rowOff>
    </xdr:from>
    <xdr:to>
      <xdr:col>59</xdr:col>
      <xdr:colOff>666750</xdr:colOff>
      <xdr:row>85</xdr:row>
      <xdr:rowOff>152400</xdr:rowOff>
    </xdr:to>
    <xdr:cxnSp macro="">
      <xdr:nvCxnSpPr>
        <xdr:cNvPr id="259" name="Straight Arrow Connector 805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CxnSpPr>
          <a:cxnSpLocks/>
        </xdr:cNvCxnSpPr>
      </xdr:nvCxnSpPr>
      <xdr:spPr bwMode="auto">
        <a:xfrm>
          <a:off x="36576000" y="13458825"/>
          <a:ext cx="0" cy="45720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51</xdr:col>
      <xdr:colOff>0</xdr:colOff>
      <xdr:row>82</xdr:row>
      <xdr:rowOff>85725</xdr:rowOff>
    </xdr:from>
    <xdr:to>
      <xdr:col>58</xdr:col>
      <xdr:colOff>619125</xdr:colOff>
      <xdr:row>87</xdr:row>
      <xdr:rowOff>19050</xdr:rowOff>
    </xdr:to>
    <xdr:grpSp>
      <xdr:nvGrpSpPr>
        <xdr:cNvPr id="260" name="Group 806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GrpSpPr>
          <a:grpSpLocks/>
        </xdr:cNvGrpSpPr>
      </xdr:nvGrpSpPr>
      <xdr:grpSpPr bwMode="auto">
        <a:xfrm>
          <a:off x="30487620" y="13207365"/>
          <a:ext cx="5739765" cy="733425"/>
          <a:chOff x="4378144" y="2229544"/>
          <a:chExt cx="5622221" cy="740602"/>
        </a:xfrm>
      </xdr:grpSpPr>
      <xdr:cxnSp macro="">
        <xdr:nvCxnSpPr>
          <xdr:cNvPr id="261" name="Straight Arrow Connector 807">
            <a:extLst>
              <a:ext uri="{FF2B5EF4-FFF2-40B4-BE49-F238E27FC236}">
                <a16:creationId xmlns:a16="http://schemas.microsoft.com/office/drawing/2014/main" id="{00000000-0008-0000-0200-000005010000}"/>
              </a:ext>
            </a:extLst>
          </xdr:cNvPr>
          <xdr:cNvCxnSpPr>
            <a:cxnSpLocks/>
          </xdr:cNvCxnSpPr>
        </xdr:nvCxnSpPr>
        <xdr:spPr bwMode="auto">
          <a:xfrm flipH="1">
            <a:off x="4378144" y="2235553"/>
            <a:ext cx="333113" cy="597273"/>
          </a:xfrm>
          <a:prstGeom prst="straightConnector1">
            <a:avLst/>
          </a:prstGeom>
          <a:noFill/>
          <a:ln w="12700" algn="ctr">
            <a:solidFill>
              <a:srgbClr val="E46C0A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62" name="Straight Arrow Connector 808">
            <a:extLst>
              <a:ext uri="{FF2B5EF4-FFF2-40B4-BE49-F238E27FC236}">
                <a16:creationId xmlns:a16="http://schemas.microsoft.com/office/drawing/2014/main" id="{00000000-0008-0000-0200-000006010000}"/>
              </a:ext>
            </a:extLst>
          </xdr:cNvPr>
          <xdr:cNvCxnSpPr>
            <a:cxnSpLocks/>
          </xdr:cNvCxnSpPr>
        </xdr:nvCxnSpPr>
        <xdr:spPr bwMode="auto">
          <a:xfrm flipH="1">
            <a:off x="4712077" y="2231923"/>
            <a:ext cx="5007355" cy="351"/>
          </a:xfrm>
          <a:prstGeom prst="straightConnector1">
            <a:avLst/>
          </a:prstGeom>
          <a:noFill/>
          <a:ln w="12700" algn="ctr">
            <a:solidFill>
              <a:srgbClr val="E46C0A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63" name="Arc 262">
            <a:extLst>
              <a:ext uri="{FF2B5EF4-FFF2-40B4-BE49-F238E27FC236}">
                <a16:creationId xmlns:a16="http://schemas.microsoft.com/office/drawing/2014/main" id="{00000000-0008-0000-0200-000007010000}"/>
              </a:ext>
            </a:extLst>
          </xdr:cNvPr>
          <xdr:cNvSpPr/>
        </xdr:nvSpPr>
        <xdr:spPr bwMode="auto">
          <a:xfrm>
            <a:off x="6522211" y="2229544"/>
            <a:ext cx="571751" cy="731107"/>
          </a:xfrm>
          <a:prstGeom prst="arc">
            <a:avLst>
              <a:gd name="adj1" fmla="val 16142086"/>
              <a:gd name="adj2" fmla="val 21578245"/>
            </a:avLst>
          </a:prstGeom>
          <a:noFill/>
          <a:ln w="12700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="horz" wrap="square" lIns="18288" tIns="0" rIns="0" bIns="0" numCol="1" spcCol="0" rtlCol="0" fromWordArt="0" anchor="t" anchorCtr="0" forceAA="0" upright="1" compatLnSpc="1">
            <a:prstTxWarp prst="textNoShape">
              <a:avLst/>
            </a:prstTxWarp>
            <a:noAutofit/>
          </a:bodyPr>
          <a:lstStyle/>
          <a:p>
            <a:endParaRPr lang="en-US"/>
          </a:p>
        </xdr:txBody>
      </xdr:sp>
      <xdr:sp macro="" textlink="">
        <xdr:nvSpPr>
          <xdr:cNvPr id="264" name="Arc 263">
            <a:extLst>
              <a:ext uri="{FF2B5EF4-FFF2-40B4-BE49-F238E27FC236}">
                <a16:creationId xmlns:a16="http://schemas.microsoft.com/office/drawing/2014/main" id="{00000000-0008-0000-0200-000008010000}"/>
              </a:ext>
            </a:extLst>
          </xdr:cNvPr>
          <xdr:cNvSpPr/>
        </xdr:nvSpPr>
        <xdr:spPr bwMode="auto">
          <a:xfrm>
            <a:off x="8018294" y="2229544"/>
            <a:ext cx="543164" cy="731107"/>
          </a:xfrm>
          <a:prstGeom prst="arc">
            <a:avLst>
              <a:gd name="adj1" fmla="val 16142086"/>
              <a:gd name="adj2" fmla="val 21578245"/>
            </a:avLst>
          </a:prstGeom>
          <a:noFill/>
          <a:ln w="12700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="horz" wrap="square" lIns="18288" tIns="0" rIns="0" bIns="0" numCol="1" spcCol="0" rtlCol="0" fromWordArt="0" anchor="t" anchorCtr="0" forceAA="0" upright="1" compatLnSpc="1">
            <a:prstTxWarp prst="textNoShape">
              <a:avLst/>
            </a:prstTxWarp>
            <a:noAutofit/>
          </a:bodyPr>
          <a:lstStyle/>
          <a:p>
            <a:endParaRPr lang="en-US"/>
          </a:p>
        </xdr:txBody>
      </xdr:sp>
      <xdr:sp macro="" textlink="">
        <xdr:nvSpPr>
          <xdr:cNvPr id="265" name="Arc 264">
            <a:extLst>
              <a:ext uri="{FF2B5EF4-FFF2-40B4-BE49-F238E27FC236}">
                <a16:creationId xmlns:a16="http://schemas.microsoft.com/office/drawing/2014/main" id="{00000000-0008-0000-0200-000009010000}"/>
              </a:ext>
            </a:extLst>
          </xdr:cNvPr>
          <xdr:cNvSpPr/>
        </xdr:nvSpPr>
        <xdr:spPr bwMode="auto">
          <a:xfrm>
            <a:off x="9457201" y="2239039"/>
            <a:ext cx="543164" cy="731107"/>
          </a:xfrm>
          <a:prstGeom prst="arc">
            <a:avLst>
              <a:gd name="adj1" fmla="val 16142086"/>
              <a:gd name="adj2" fmla="val 21578245"/>
            </a:avLst>
          </a:prstGeom>
          <a:noFill/>
          <a:ln w="12700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="horz" wrap="square" lIns="18288" tIns="0" rIns="0" bIns="0" numCol="1" spcCol="0" rtlCol="0" fromWordArt="0" anchor="t" anchorCtr="0" forceAA="0" upright="1" compatLnSpc="1">
            <a:prstTxWarp prst="textNoShape">
              <a:avLst/>
            </a:prstTxWarp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53</xdr:col>
      <xdr:colOff>495300</xdr:colOff>
      <xdr:row>70</xdr:row>
      <xdr:rowOff>85725</xdr:rowOff>
    </xdr:from>
    <xdr:to>
      <xdr:col>56</xdr:col>
      <xdr:colOff>571500</xdr:colOff>
      <xdr:row>77</xdr:row>
      <xdr:rowOff>85725</xdr:rowOff>
    </xdr:to>
    <xdr:grpSp>
      <xdr:nvGrpSpPr>
        <xdr:cNvPr id="266" name="Group 680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GrpSpPr>
          <a:grpSpLocks/>
        </xdr:cNvGrpSpPr>
      </xdr:nvGrpSpPr>
      <xdr:grpSpPr bwMode="auto">
        <a:xfrm>
          <a:off x="32445960" y="11287125"/>
          <a:ext cx="2270760" cy="1120140"/>
          <a:chOff x="5741064" y="463829"/>
          <a:chExt cx="1554221" cy="788339"/>
        </a:xfrm>
      </xdr:grpSpPr>
      <xdr:sp macro="" textlink="">
        <xdr:nvSpPr>
          <xdr:cNvPr id="267" name="Line 1465">
            <a:extLst>
              <a:ext uri="{FF2B5EF4-FFF2-40B4-BE49-F238E27FC236}">
                <a16:creationId xmlns:a16="http://schemas.microsoft.com/office/drawing/2014/main" id="{00000000-0008-0000-0200-00000B010000}"/>
              </a:ext>
            </a:extLst>
          </xdr:cNvPr>
          <xdr:cNvSpPr>
            <a:spLocks noChangeShapeType="1"/>
          </xdr:cNvSpPr>
        </xdr:nvSpPr>
        <xdr:spPr bwMode="auto">
          <a:xfrm>
            <a:off x="6661601" y="836882"/>
            <a:ext cx="28164" cy="415286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8" name="Line 1466">
            <a:extLst>
              <a:ext uri="{FF2B5EF4-FFF2-40B4-BE49-F238E27FC236}">
                <a16:creationId xmlns:a16="http://schemas.microsoft.com/office/drawing/2014/main" id="{00000000-0008-0000-0200-00000C010000}"/>
              </a:ext>
            </a:extLst>
          </xdr:cNvPr>
          <xdr:cNvSpPr>
            <a:spLocks noChangeShapeType="1"/>
          </xdr:cNvSpPr>
        </xdr:nvSpPr>
        <xdr:spPr bwMode="auto">
          <a:xfrm>
            <a:off x="6753133" y="801689"/>
            <a:ext cx="253474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9" name="Line 1467">
            <a:extLst>
              <a:ext uri="{FF2B5EF4-FFF2-40B4-BE49-F238E27FC236}">
                <a16:creationId xmlns:a16="http://schemas.microsoft.com/office/drawing/2014/main" id="{00000000-0008-0000-0200-00000D010000}"/>
              </a:ext>
            </a:extLst>
          </xdr:cNvPr>
          <xdr:cNvSpPr>
            <a:spLocks noChangeShapeType="1"/>
          </xdr:cNvSpPr>
        </xdr:nvSpPr>
        <xdr:spPr bwMode="auto">
          <a:xfrm>
            <a:off x="6788337" y="717224"/>
            <a:ext cx="443579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0" name="Line 1468">
            <a:extLst>
              <a:ext uri="{FF2B5EF4-FFF2-40B4-BE49-F238E27FC236}">
                <a16:creationId xmlns:a16="http://schemas.microsoft.com/office/drawing/2014/main" id="{00000000-0008-0000-0200-00000E010000}"/>
              </a:ext>
            </a:extLst>
          </xdr:cNvPr>
          <xdr:cNvSpPr>
            <a:spLocks noChangeShapeType="1"/>
          </xdr:cNvSpPr>
        </xdr:nvSpPr>
        <xdr:spPr bwMode="auto">
          <a:xfrm>
            <a:off x="6816501" y="639798"/>
            <a:ext cx="478784" cy="147814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" name="Line 1469">
            <a:extLst>
              <a:ext uri="{FF2B5EF4-FFF2-40B4-BE49-F238E27FC236}">
                <a16:creationId xmlns:a16="http://schemas.microsoft.com/office/drawing/2014/main" id="{00000000-0008-0000-0200-00000F01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788337" y="463829"/>
            <a:ext cx="330924" cy="105581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2" name="Oval 686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SpPr>
            <a:spLocks noChangeArrowheads="1"/>
          </xdr:cNvSpPr>
        </xdr:nvSpPr>
        <xdr:spPr bwMode="auto">
          <a:xfrm>
            <a:off x="6464454" y="491984"/>
            <a:ext cx="337965" cy="330821"/>
          </a:xfrm>
          <a:prstGeom prst="ellipse">
            <a:avLst/>
          </a:prstGeom>
          <a:solidFill>
            <a:srgbClr val="FFFF00"/>
          </a:solidFill>
          <a:ln w="9525">
            <a:solidFill>
              <a:srgbClr val="FFCC00"/>
            </a:solidFill>
            <a:round/>
            <a:headEnd/>
            <a:tailEnd/>
          </a:ln>
        </xdr:spPr>
      </xdr:sp>
      <xdr:grpSp>
        <xdr:nvGrpSpPr>
          <xdr:cNvPr id="273" name="Group 687">
            <a:extLst>
              <a:ext uri="{FF2B5EF4-FFF2-40B4-BE49-F238E27FC236}">
                <a16:creationId xmlns:a16="http://schemas.microsoft.com/office/drawing/2014/main" id="{00000000-0008-0000-0200-000011010000}"/>
              </a:ext>
            </a:extLst>
          </xdr:cNvPr>
          <xdr:cNvGrpSpPr>
            <a:grpSpLocks/>
          </xdr:cNvGrpSpPr>
        </xdr:nvGrpSpPr>
        <xdr:grpSpPr bwMode="auto">
          <a:xfrm>
            <a:off x="5741064" y="476672"/>
            <a:ext cx="991176" cy="444225"/>
            <a:chOff x="2284681" y="5661248"/>
            <a:chExt cx="991176" cy="444225"/>
          </a:xfrm>
        </xdr:grpSpPr>
        <xdr:sp macro="" textlink="">
          <xdr:nvSpPr>
            <xdr:cNvPr id="274" name="Arc 1475">
              <a:extLst>
                <a:ext uri="{FF2B5EF4-FFF2-40B4-BE49-F238E27FC236}">
                  <a16:creationId xmlns:a16="http://schemas.microsoft.com/office/drawing/2014/main" id="{00000000-0008-0000-0200-000012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566319" y="5661248"/>
              <a:ext cx="309801" cy="7742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75" name="Arc 1476">
              <a:extLst>
                <a:ext uri="{FF2B5EF4-FFF2-40B4-BE49-F238E27FC236}">
                  <a16:creationId xmlns:a16="http://schemas.microsoft.com/office/drawing/2014/main" id="{00000000-0008-0000-0200-000013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284681" y="5738674"/>
              <a:ext cx="281638" cy="168930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76" name="Arc 1477">
              <a:extLst>
                <a:ext uri="{FF2B5EF4-FFF2-40B4-BE49-F238E27FC236}">
                  <a16:creationId xmlns:a16="http://schemas.microsoft.com/office/drawing/2014/main" id="{00000000-0008-0000-0200-000014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284682" y="5907604"/>
              <a:ext cx="133778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77" name="Arc 1478">
              <a:extLst>
                <a:ext uri="{FF2B5EF4-FFF2-40B4-BE49-F238E27FC236}">
                  <a16:creationId xmlns:a16="http://schemas.microsoft.com/office/drawing/2014/main" id="{00000000-0008-0000-0200-000015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418460" y="5977990"/>
              <a:ext cx="168982" cy="9150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78" name="Arc 1479">
              <a:extLst>
                <a:ext uri="{FF2B5EF4-FFF2-40B4-BE49-F238E27FC236}">
                  <a16:creationId xmlns:a16="http://schemas.microsoft.com/office/drawing/2014/main" id="{00000000-0008-0000-0200-000016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587442" y="5977991"/>
              <a:ext cx="197146" cy="12748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79" name="Rectangle 278">
              <a:extLst>
                <a:ext uri="{FF2B5EF4-FFF2-40B4-BE49-F238E27FC236}">
                  <a16:creationId xmlns:a16="http://schemas.microsoft.com/office/drawing/2014/main" id="{00000000-0008-0000-0200-000017010000}"/>
                </a:ext>
              </a:extLst>
            </xdr:cNvPr>
            <xdr:cNvSpPr/>
          </xdr:nvSpPr>
          <xdr:spPr>
            <a:xfrm>
              <a:off x="2411420" y="5906768"/>
              <a:ext cx="153421" cy="72872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0" name="Rectangle 279">
              <a:extLst>
                <a:ext uri="{FF2B5EF4-FFF2-40B4-BE49-F238E27FC236}">
                  <a16:creationId xmlns:a16="http://schemas.microsoft.com/office/drawing/2014/main" id="{00000000-0008-0000-0200-000018010000}"/>
                </a:ext>
              </a:extLst>
            </xdr:cNvPr>
            <xdr:cNvSpPr/>
          </xdr:nvSpPr>
          <xdr:spPr>
            <a:xfrm>
              <a:off x="2564841" y="5741151"/>
              <a:ext cx="500286" cy="238489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id="{00000000-0008-0000-0200-000019010000}"/>
                </a:ext>
              </a:extLst>
            </xdr:cNvPr>
            <xdr:cNvSpPr/>
          </xdr:nvSpPr>
          <xdr:spPr>
            <a:xfrm>
              <a:off x="3065127" y="5807398"/>
              <a:ext cx="40023" cy="79496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2" name="Arc 1473">
              <a:extLst>
                <a:ext uri="{FF2B5EF4-FFF2-40B4-BE49-F238E27FC236}">
                  <a16:creationId xmlns:a16="http://schemas.microsoft.com/office/drawing/2014/main" id="{00000000-0008-0000-0200-00001A010000}"/>
                </a:ext>
              </a:extLst>
            </xdr:cNvPr>
            <xdr:cNvSpPr>
              <a:spLocks/>
            </xdr:cNvSpPr>
          </xdr:nvSpPr>
          <xdr:spPr bwMode="auto">
            <a:xfrm>
              <a:off x="3101431" y="5805264"/>
              <a:ext cx="174425" cy="8122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3" name="Arc 1474">
              <a:extLst>
                <a:ext uri="{FF2B5EF4-FFF2-40B4-BE49-F238E27FC236}">
                  <a16:creationId xmlns:a16="http://schemas.microsoft.com/office/drawing/2014/main" id="{00000000-0008-0000-0200-00001B010000}"/>
                </a:ext>
              </a:extLst>
            </xdr:cNvPr>
            <xdr:cNvSpPr>
              <a:spLocks/>
            </xdr:cNvSpPr>
          </xdr:nvSpPr>
          <xdr:spPr bwMode="auto">
            <a:xfrm>
              <a:off x="2876121" y="5661248"/>
              <a:ext cx="225310" cy="14401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4" name="Rectangle 283">
              <a:extLst>
                <a:ext uri="{FF2B5EF4-FFF2-40B4-BE49-F238E27FC236}">
                  <a16:creationId xmlns:a16="http://schemas.microsoft.com/office/drawing/2014/main" id="{00000000-0008-0000-0200-00001C010000}"/>
                </a:ext>
              </a:extLst>
            </xdr:cNvPr>
            <xdr:cNvSpPr/>
          </xdr:nvSpPr>
          <xdr:spPr>
            <a:xfrm>
              <a:off x="2784967" y="5979640"/>
              <a:ext cx="180103" cy="66247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5" name="Arc 1481">
              <a:extLst>
                <a:ext uri="{FF2B5EF4-FFF2-40B4-BE49-F238E27FC236}">
                  <a16:creationId xmlns:a16="http://schemas.microsoft.com/office/drawing/2014/main" id="{00000000-0008-0000-0200-00001D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960613" y="5886486"/>
              <a:ext cx="315244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6" name="Arc 1480">
              <a:extLst>
                <a:ext uri="{FF2B5EF4-FFF2-40B4-BE49-F238E27FC236}">
                  <a16:creationId xmlns:a16="http://schemas.microsoft.com/office/drawing/2014/main" id="{00000000-0008-0000-0200-00001E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771800" y="6045641"/>
              <a:ext cx="188812" cy="5983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48</xdr:col>
      <xdr:colOff>628650</xdr:colOff>
      <xdr:row>149</xdr:row>
      <xdr:rowOff>133350</xdr:rowOff>
    </xdr:from>
    <xdr:to>
      <xdr:col>49</xdr:col>
      <xdr:colOff>123825</xdr:colOff>
      <xdr:row>151</xdr:row>
      <xdr:rowOff>19050</xdr:rowOff>
    </xdr:to>
    <xdr:grpSp>
      <xdr:nvGrpSpPr>
        <xdr:cNvPr id="287" name="Group 711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GrpSpPr>
          <a:grpSpLocks noChangeAspect="1"/>
        </xdr:cNvGrpSpPr>
      </xdr:nvGrpSpPr>
      <xdr:grpSpPr bwMode="auto">
        <a:xfrm>
          <a:off x="28921710" y="23976330"/>
          <a:ext cx="226695" cy="205740"/>
          <a:chOff x="1022492" y="5877272"/>
          <a:chExt cx="474280" cy="474280"/>
        </a:xfrm>
      </xdr:grpSpPr>
      <xdr:grpSp>
        <xdr:nvGrpSpPr>
          <xdr:cNvPr id="288" name="Group 712">
            <a:extLst>
              <a:ext uri="{FF2B5EF4-FFF2-40B4-BE49-F238E27FC236}">
                <a16:creationId xmlns:a16="http://schemas.microsoft.com/office/drawing/2014/main" id="{00000000-0008-0000-0200-000020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90" name="Arc 289">
              <a:extLst>
                <a:ext uri="{FF2B5EF4-FFF2-40B4-BE49-F238E27FC236}">
                  <a16:creationId xmlns:a16="http://schemas.microsoft.com/office/drawing/2014/main" id="{00000000-0008-0000-0200-000022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00000000-0008-0000-0200-000023010000}"/>
                </a:ext>
              </a:extLst>
            </xdr:cNvPr>
            <xdr:cNvCxnSpPr>
              <a:endCxn id="290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00000000-0008-0000-0200-000024010000}"/>
                </a:ext>
              </a:extLst>
            </xdr:cNvPr>
            <xdr:cNvCxnSpPr>
              <a:endCxn id="290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9" name="Oval 288">
            <a:extLst>
              <a:ext uri="{FF2B5EF4-FFF2-40B4-BE49-F238E27FC236}">
                <a16:creationId xmlns:a16="http://schemas.microsoft.com/office/drawing/2014/main" id="{00000000-0008-0000-0200-000021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46</xdr:col>
      <xdr:colOff>638175</xdr:colOff>
      <xdr:row>156</xdr:row>
      <xdr:rowOff>152400</xdr:rowOff>
    </xdr:from>
    <xdr:to>
      <xdr:col>47</xdr:col>
      <xdr:colOff>133350</xdr:colOff>
      <xdr:row>158</xdr:row>
      <xdr:rowOff>38100</xdr:rowOff>
    </xdr:to>
    <xdr:grpSp>
      <xdr:nvGrpSpPr>
        <xdr:cNvPr id="293" name="Group 711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GrpSpPr>
          <a:grpSpLocks noChangeAspect="1"/>
        </xdr:cNvGrpSpPr>
      </xdr:nvGrpSpPr>
      <xdr:grpSpPr bwMode="auto">
        <a:xfrm>
          <a:off x="27468195" y="25115520"/>
          <a:ext cx="226695" cy="205740"/>
          <a:chOff x="1022492" y="5877272"/>
          <a:chExt cx="474280" cy="474280"/>
        </a:xfrm>
      </xdr:grpSpPr>
      <xdr:grpSp>
        <xdr:nvGrpSpPr>
          <xdr:cNvPr id="294" name="Group 712">
            <a:extLst>
              <a:ext uri="{FF2B5EF4-FFF2-40B4-BE49-F238E27FC236}">
                <a16:creationId xmlns:a16="http://schemas.microsoft.com/office/drawing/2014/main" id="{00000000-0008-0000-0200-000026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296" name="Arc 295">
              <a:extLst>
                <a:ext uri="{FF2B5EF4-FFF2-40B4-BE49-F238E27FC236}">
                  <a16:creationId xmlns:a16="http://schemas.microsoft.com/office/drawing/2014/main" id="{00000000-0008-0000-0200-000028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297" name="Straight Connector 296">
              <a:extLst>
                <a:ext uri="{FF2B5EF4-FFF2-40B4-BE49-F238E27FC236}">
                  <a16:creationId xmlns:a16="http://schemas.microsoft.com/office/drawing/2014/main" id="{00000000-0008-0000-0200-000029010000}"/>
                </a:ext>
              </a:extLst>
            </xdr:cNvPr>
            <xdr:cNvCxnSpPr>
              <a:endCxn id="296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00000000-0008-0000-0200-00002A010000}"/>
                </a:ext>
              </a:extLst>
            </xdr:cNvPr>
            <xdr:cNvCxnSpPr>
              <a:endCxn id="296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95" name="Oval 294">
            <a:extLst>
              <a:ext uri="{FF2B5EF4-FFF2-40B4-BE49-F238E27FC236}">
                <a16:creationId xmlns:a16="http://schemas.microsoft.com/office/drawing/2014/main" id="{00000000-0008-0000-0200-000027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476250</xdr:colOff>
      <xdr:row>162</xdr:row>
      <xdr:rowOff>142875</xdr:rowOff>
    </xdr:from>
    <xdr:to>
      <xdr:col>45</xdr:col>
      <xdr:colOff>685800</xdr:colOff>
      <xdr:row>164</xdr:row>
      <xdr:rowOff>28575</xdr:rowOff>
    </xdr:to>
    <xdr:grpSp>
      <xdr:nvGrpSpPr>
        <xdr:cNvPr id="299" name="Group 711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GrpSpPr>
          <a:grpSpLocks noChangeAspect="1"/>
        </xdr:cNvGrpSpPr>
      </xdr:nvGrpSpPr>
      <xdr:grpSpPr bwMode="auto">
        <a:xfrm>
          <a:off x="26574750" y="26066115"/>
          <a:ext cx="209550" cy="205740"/>
          <a:chOff x="1022492" y="5877272"/>
          <a:chExt cx="474280" cy="474280"/>
        </a:xfrm>
      </xdr:grpSpPr>
      <xdr:grpSp>
        <xdr:nvGrpSpPr>
          <xdr:cNvPr id="300" name="Group 712">
            <a:extLst>
              <a:ext uri="{FF2B5EF4-FFF2-40B4-BE49-F238E27FC236}">
                <a16:creationId xmlns:a16="http://schemas.microsoft.com/office/drawing/2014/main" id="{00000000-0008-0000-0200-00002C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02" name="Arc 301">
              <a:extLst>
                <a:ext uri="{FF2B5EF4-FFF2-40B4-BE49-F238E27FC236}">
                  <a16:creationId xmlns:a16="http://schemas.microsoft.com/office/drawing/2014/main" id="{00000000-0008-0000-0200-00002E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03" name="Straight Connector 302">
              <a:extLst>
                <a:ext uri="{FF2B5EF4-FFF2-40B4-BE49-F238E27FC236}">
                  <a16:creationId xmlns:a16="http://schemas.microsoft.com/office/drawing/2014/main" id="{00000000-0008-0000-0200-00002F010000}"/>
                </a:ext>
              </a:extLst>
            </xdr:cNvPr>
            <xdr:cNvCxnSpPr>
              <a:endCxn id="302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4" name="Straight Connector 303">
              <a:extLst>
                <a:ext uri="{FF2B5EF4-FFF2-40B4-BE49-F238E27FC236}">
                  <a16:creationId xmlns:a16="http://schemas.microsoft.com/office/drawing/2014/main" id="{00000000-0008-0000-0200-000030010000}"/>
                </a:ext>
              </a:extLst>
            </xdr:cNvPr>
            <xdr:cNvCxnSpPr>
              <a:endCxn id="302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01" name="Oval 300">
            <a:extLst>
              <a:ext uri="{FF2B5EF4-FFF2-40B4-BE49-F238E27FC236}">
                <a16:creationId xmlns:a16="http://schemas.microsoft.com/office/drawing/2014/main" id="{00000000-0008-0000-0200-00002D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466725</xdr:colOff>
      <xdr:row>139</xdr:row>
      <xdr:rowOff>142875</xdr:rowOff>
    </xdr:from>
    <xdr:to>
      <xdr:col>45</xdr:col>
      <xdr:colOff>685800</xdr:colOff>
      <xdr:row>141</xdr:row>
      <xdr:rowOff>28575</xdr:rowOff>
    </xdr:to>
    <xdr:grpSp>
      <xdr:nvGrpSpPr>
        <xdr:cNvPr id="305" name="Group 711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GrpSpPr>
          <a:grpSpLocks noChangeAspect="1"/>
        </xdr:cNvGrpSpPr>
      </xdr:nvGrpSpPr>
      <xdr:grpSpPr bwMode="auto">
        <a:xfrm>
          <a:off x="26565225" y="22385655"/>
          <a:ext cx="219075" cy="205740"/>
          <a:chOff x="1022492" y="5877272"/>
          <a:chExt cx="474280" cy="474280"/>
        </a:xfrm>
      </xdr:grpSpPr>
      <xdr:grpSp>
        <xdr:nvGrpSpPr>
          <xdr:cNvPr id="306" name="Group 712">
            <a:extLst>
              <a:ext uri="{FF2B5EF4-FFF2-40B4-BE49-F238E27FC236}">
                <a16:creationId xmlns:a16="http://schemas.microsoft.com/office/drawing/2014/main" id="{00000000-0008-0000-0200-000032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08" name="Arc 307">
              <a:extLst>
                <a:ext uri="{FF2B5EF4-FFF2-40B4-BE49-F238E27FC236}">
                  <a16:creationId xmlns:a16="http://schemas.microsoft.com/office/drawing/2014/main" id="{00000000-0008-0000-0200-000034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09" name="Straight Connector 308">
              <a:extLst>
                <a:ext uri="{FF2B5EF4-FFF2-40B4-BE49-F238E27FC236}">
                  <a16:creationId xmlns:a16="http://schemas.microsoft.com/office/drawing/2014/main" id="{00000000-0008-0000-0200-000035010000}"/>
                </a:ext>
              </a:extLst>
            </xdr:cNvPr>
            <xdr:cNvCxnSpPr>
              <a:endCxn id="308" idx="0"/>
            </xdr:cNvCxnSpPr>
          </xdr:nvCxnSpPr>
          <xdr:spPr>
            <a:xfrm flipH="1" flipV="1">
              <a:off x="1043113" y="6006621"/>
              <a:ext cx="226830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Connector 309">
              <a:extLst>
                <a:ext uri="{FF2B5EF4-FFF2-40B4-BE49-F238E27FC236}">
                  <a16:creationId xmlns:a16="http://schemas.microsoft.com/office/drawing/2014/main" id="{00000000-0008-0000-0200-000036010000}"/>
                </a:ext>
              </a:extLst>
            </xdr:cNvPr>
            <xdr:cNvCxnSpPr>
              <a:endCxn id="308" idx="2"/>
            </xdr:cNvCxnSpPr>
          </xdr:nvCxnSpPr>
          <xdr:spPr>
            <a:xfrm flipH="1">
              <a:off x="1063734" y="6114412"/>
              <a:ext cx="206209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07" name="Oval 306">
            <a:extLst>
              <a:ext uri="{FF2B5EF4-FFF2-40B4-BE49-F238E27FC236}">
                <a16:creationId xmlns:a16="http://schemas.microsoft.com/office/drawing/2014/main" id="{00000000-0008-0000-0200-000033010000}"/>
              </a:ext>
            </a:extLst>
          </xdr:cNvPr>
          <xdr:cNvSpPr>
            <a:spLocks noChangeAspect="1"/>
          </xdr:cNvSpPr>
        </xdr:nvSpPr>
        <xdr:spPr>
          <a:xfrm>
            <a:off x="1208080" y="5941947"/>
            <a:ext cx="103104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47</xdr:col>
      <xdr:colOff>95250</xdr:colOff>
      <xdr:row>150</xdr:row>
      <xdr:rowOff>142875</xdr:rowOff>
    </xdr:from>
    <xdr:to>
      <xdr:col>47</xdr:col>
      <xdr:colOff>304800</xdr:colOff>
      <xdr:row>152</xdr:row>
      <xdr:rowOff>28575</xdr:rowOff>
    </xdr:to>
    <xdr:grpSp>
      <xdr:nvGrpSpPr>
        <xdr:cNvPr id="311" name="Group 711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GrpSpPr>
          <a:grpSpLocks noChangeAspect="1"/>
        </xdr:cNvGrpSpPr>
      </xdr:nvGrpSpPr>
      <xdr:grpSpPr bwMode="auto">
        <a:xfrm>
          <a:off x="27656790" y="24145875"/>
          <a:ext cx="209550" cy="205740"/>
          <a:chOff x="1022492" y="5877272"/>
          <a:chExt cx="474280" cy="474280"/>
        </a:xfrm>
      </xdr:grpSpPr>
      <xdr:grpSp>
        <xdr:nvGrpSpPr>
          <xdr:cNvPr id="312" name="Group 712">
            <a:extLst>
              <a:ext uri="{FF2B5EF4-FFF2-40B4-BE49-F238E27FC236}">
                <a16:creationId xmlns:a16="http://schemas.microsoft.com/office/drawing/2014/main" id="{00000000-0008-0000-0200-000038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14" name="Arc 313">
              <a:extLst>
                <a:ext uri="{FF2B5EF4-FFF2-40B4-BE49-F238E27FC236}">
                  <a16:creationId xmlns:a16="http://schemas.microsoft.com/office/drawing/2014/main" id="{00000000-0008-0000-0200-00003A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15" name="Straight Connector 314">
              <a:extLst>
                <a:ext uri="{FF2B5EF4-FFF2-40B4-BE49-F238E27FC236}">
                  <a16:creationId xmlns:a16="http://schemas.microsoft.com/office/drawing/2014/main" id="{00000000-0008-0000-0200-00003B010000}"/>
                </a:ext>
              </a:extLst>
            </xdr:cNvPr>
            <xdr:cNvCxnSpPr>
              <a:endCxn id="314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6" name="Straight Connector 315">
              <a:extLst>
                <a:ext uri="{FF2B5EF4-FFF2-40B4-BE49-F238E27FC236}">
                  <a16:creationId xmlns:a16="http://schemas.microsoft.com/office/drawing/2014/main" id="{00000000-0008-0000-0200-00003C010000}"/>
                </a:ext>
              </a:extLst>
            </xdr:cNvPr>
            <xdr:cNvCxnSpPr>
              <a:endCxn id="314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13" name="Oval 312">
            <a:extLst>
              <a:ext uri="{FF2B5EF4-FFF2-40B4-BE49-F238E27FC236}">
                <a16:creationId xmlns:a16="http://schemas.microsoft.com/office/drawing/2014/main" id="{00000000-0008-0000-0200-000039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54</xdr:col>
      <xdr:colOff>647700</xdr:colOff>
      <xdr:row>149</xdr:row>
      <xdr:rowOff>142875</xdr:rowOff>
    </xdr:from>
    <xdr:to>
      <xdr:col>55</xdr:col>
      <xdr:colOff>142875</xdr:colOff>
      <xdr:row>151</xdr:row>
      <xdr:rowOff>28575</xdr:rowOff>
    </xdr:to>
    <xdr:grpSp>
      <xdr:nvGrpSpPr>
        <xdr:cNvPr id="317" name="Group 711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GrpSpPr>
          <a:grpSpLocks noChangeAspect="1"/>
        </xdr:cNvGrpSpPr>
      </xdr:nvGrpSpPr>
      <xdr:grpSpPr bwMode="auto">
        <a:xfrm>
          <a:off x="33329880" y="23985855"/>
          <a:ext cx="226695" cy="205740"/>
          <a:chOff x="1022492" y="5877272"/>
          <a:chExt cx="474280" cy="474280"/>
        </a:xfrm>
      </xdr:grpSpPr>
      <xdr:grpSp>
        <xdr:nvGrpSpPr>
          <xdr:cNvPr id="318" name="Group 712">
            <a:extLst>
              <a:ext uri="{FF2B5EF4-FFF2-40B4-BE49-F238E27FC236}">
                <a16:creationId xmlns:a16="http://schemas.microsoft.com/office/drawing/2014/main" id="{00000000-0008-0000-0200-00003E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20" name="Arc 319">
              <a:extLst>
                <a:ext uri="{FF2B5EF4-FFF2-40B4-BE49-F238E27FC236}">
                  <a16:creationId xmlns:a16="http://schemas.microsoft.com/office/drawing/2014/main" id="{00000000-0008-0000-0200-000040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00000000-0008-0000-0200-000041010000}"/>
                </a:ext>
              </a:extLst>
            </xdr:cNvPr>
            <xdr:cNvCxnSpPr>
              <a:endCxn id="320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00000000-0008-0000-0200-000042010000}"/>
                </a:ext>
              </a:extLst>
            </xdr:cNvPr>
            <xdr:cNvCxnSpPr>
              <a:endCxn id="320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19" name="Oval 318">
            <a:extLst>
              <a:ext uri="{FF2B5EF4-FFF2-40B4-BE49-F238E27FC236}">
                <a16:creationId xmlns:a16="http://schemas.microsoft.com/office/drawing/2014/main" id="{00000000-0008-0000-0200-00003F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52</xdr:col>
      <xdr:colOff>666750</xdr:colOff>
      <xdr:row>156</xdr:row>
      <xdr:rowOff>152400</xdr:rowOff>
    </xdr:from>
    <xdr:to>
      <xdr:col>53</xdr:col>
      <xdr:colOff>161925</xdr:colOff>
      <xdr:row>158</xdr:row>
      <xdr:rowOff>38100</xdr:rowOff>
    </xdr:to>
    <xdr:grpSp>
      <xdr:nvGrpSpPr>
        <xdr:cNvPr id="323" name="Group 711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GrpSpPr>
          <a:grpSpLocks noChangeAspect="1"/>
        </xdr:cNvGrpSpPr>
      </xdr:nvGrpSpPr>
      <xdr:grpSpPr bwMode="auto">
        <a:xfrm>
          <a:off x="31885890" y="25115520"/>
          <a:ext cx="226695" cy="205740"/>
          <a:chOff x="1022492" y="5877272"/>
          <a:chExt cx="474280" cy="474280"/>
        </a:xfrm>
      </xdr:grpSpPr>
      <xdr:grpSp>
        <xdr:nvGrpSpPr>
          <xdr:cNvPr id="324" name="Group 712">
            <a:extLst>
              <a:ext uri="{FF2B5EF4-FFF2-40B4-BE49-F238E27FC236}">
                <a16:creationId xmlns:a16="http://schemas.microsoft.com/office/drawing/2014/main" id="{00000000-0008-0000-0200-000044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26" name="Arc 325">
              <a:extLst>
                <a:ext uri="{FF2B5EF4-FFF2-40B4-BE49-F238E27FC236}">
                  <a16:creationId xmlns:a16="http://schemas.microsoft.com/office/drawing/2014/main" id="{00000000-0008-0000-0200-000046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27" name="Straight Connector 326">
              <a:extLst>
                <a:ext uri="{FF2B5EF4-FFF2-40B4-BE49-F238E27FC236}">
                  <a16:creationId xmlns:a16="http://schemas.microsoft.com/office/drawing/2014/main" id="{00000000-0008-0000-0200-000047010000}"/>
                </a:ext>
              </a:extLst>
            </xdr:cNvPr>
            <xdr:cNvCxnSpPr>
              <a:endCxn id="326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8" name="Straight Connector 327">
              <a:extLst>
                <a:ext uri="{FF2B5EF4-FFF2-40B4-BE49-F238E27FC236}">
                  <a16:creationId xmlns:a16="http://schemas.microsoft.com/office/drawing/2014/main" id="{00000000-0008-0000-0200-000048010000}"/>
                </a:ext>
              </a:extLst>
            </xdr:cNvPr>
            <xdr:cNvCxnSpPr>
              <a:endCxn id="326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25" name="Oval 324">
            <a:extLst>
              <a:ext uri="{FF2B5EF4-FFF2-40B4-BE49-F238E27FC236}">
                <a16:creationId xmlns:a16="http://schemas.microsoft.com/office/drawing/2014/main" id="{00000000-0008-0000-0200-000045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51</xdr:col>
      <xdr:colOff>485775</xdr:colOff>
      <xdr:row>163</xdr:row>
      <xdr:rowOff>0</xdr:rowOff>
    </xdr:from>
    <xdr:to>
      <xdr:col>51</xdr:col>
      <xdr:colOff>695325</xdr:colOff>
      <xdr:row>164</xdr:row>
      <xdr:rowOff>38100</xdr:rowOff>
    </xdr:to>
    <xdr:grpSp>
      <xdr:nvGrpSpPr>
        <xdr:cNvPr id="329" name="Group 711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GrpSpPr>
          <a:grpSpLocks noChangeAspect="1"/>
        </xdr:cNvGrpSpPr>
      </xdr:nvGrpSpPr>
      <xdr:grpSpPr bwMode="auto">
        <a:xfrm>
          <a:off x="30973395" y="26083260"/>
          <a:ext cx="209550" cy="198120"/>
          <a:chOff x="1022492" y="5877272"/>
          <a:chExt cx="474280" cy="474280"/>
        </a:xfrm>
      </xdr:grpSpPr>
      <xdr:grpSp>
        <xdr:nvGrpSpPr>
          <xdr:cNvPr id="330" name="Group 712">
            <a:extLst>
              <a:ext uri="{FF2B5EF4-FFF2-40B4-BE49-F238E27FC236}">
                <a16:creationId xmlns:a16="http://schemas.microsoft.com/office/drawing/2014/main" id="{00000000-0008-0000-0200-00004A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32" name="Arc 331">
              <a:extLst>
                <a:ext uri="{FF2B5EF4-FFF2-40B4-BE49-F238E27FC236}">
                  <a16:creationId xmlns:a16="http://schemas.microsoft.com/office/drawing/2014/main" id="{00000000-0008-0000-0200-00004C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33" name="Straight Connector 332">
              <a:extLst>
                <a:ext uri="{FF2B5EF4-FFF2-40B4-BE49-F238E27FC236}">
                  <a16:creationId xmlns:a16="http://schemas.microsoft.com/office/drawing/2014/main" id="{00000000-0008-0000-0200-00004D010000}"/>
                </a:ext>
              </a:extLst>
            </xdr:cNvPr>
            <xdr:cNvCxnSpPr>
              <a:endCxn id="332" idx="0"/>
            </xdr:cNvCxnSpPr>
          </xdr:nvCxnSpPr>
          <xdr:spPr>
            <a:xfrm flipH="1" flipV="1">
              <a:off x="1044050" y="6012781"/>
              <a:ext cx="215582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4" name="Straight Connector 333">
              <a:extLst>
                <a:ext uri="{FF2B5EF4-FFF2-40B4-BE49-F238E27FC236}">
                  <a16:creationId xmlns:a16="http://schemas.microsoft.com/office/drawing/2014/main" id="{00000000-0008-0000-0200-00004E010000}"/>
                </a:ext>
              </a:extLst>
            </xdr:cNvPr>
            <xdr:cNvCxnSpPr>
              <a:endCxn id="332" idx="2"/>
            </xdr:cNvCxnSpPr>
          </xdr:nvCxnSpPr>
          <xdr:spPr>
            <a:xfrm flipH="1">
              <a:off x="1065608" y="6125704"/>
              <a:ext cx="194024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1" name="Oval 330">
            <a:extLst>
              <a:ext uri="{FF2B5EF4-FFF2-40B4-BE49-F238E27FC236}">
                <a16:creationId xmlns:a16="http://schemas.microsoft.com/office/drawing/2014/main" id="{00000000-0008-0000-0200-00004B010000}"/>
              </a:ext>
            </a:extLst>
          </xdr:cNvPr>
          <xdr:cNvSpPr>
            <a:spLocks noChangeAspect="1"/>
          </xdr:cNvSpPr>
        </xdr:nvSpPr>
        <xdr:spPr>
          <a:xfrm>
            <a:off x="1216516" y="5945026"/>
            <a:ext cx="86233" cy="90339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51</xdr:col>
      <xdr:colOff>457200</xdr:colOff>
      <xdr:row>139</xdr:row>
      <xdr:rowOff>152400</xdr:rowOff>
    </xdr:from>
    <xdr:to>
      <xdr:col>51</xdr:col>
      <xdr:colOff>657225</xdr:colOff>
      <xdr:row>141</xdr:row>
      <xdr:rowOff>38100</xdr:rowOff>
    </xdr:to>
    <xdr:grpSp>
      <xdr:nvGrpSpPr>
        <xdr:cNvPr id="335" name="Group 711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GrpSpPr>
          <a:grpSpLocks noChangeAspect="1"/>
        </xdr:cNvGrpSpPr>
      </xdr:nvGrpSpPr>
      <xdr:grpSpPr bwMode="auto">
        <a:xfrm>
          <a:off x="30944820" y="22395180"/>
          <a:ext cx="200025" cy="205740"/>
          <a:chOff x="1022492" y="5877272"/>
          <a:chExt cx="474280" cy="474280"/>
        </a:xfrm>
      </xdr:grpSpPr>
      <xdr:grpSp>
        <xdr:nvGrpSpPr>
          <xdr:cNvPr id="336" name="Group 712">
            <a:extLst>
              <a:ext uri="{FF2B5EF4-FFF2-40B4-BE49-F238E27FC236}">
                <a16:creationId xmlns:a16="http://schemas.microsoft.com/office/drawing/2014/main" id="{00000000-0008-0000-0200-000050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38" name="Arc 337">
              <a:extLst>
                <a:ext uri="{FF2B5EF4-FFF2-40B4-BE49-F238E27FC236}">
                  <a16:creationId xmlns:a16="http://schemas.microsoft.com/office/drawing/2014/main" id="{00000000-0008-0000-0200-000052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39" name="Straight Connector 338">
              <a:extLst>
                <a:ext uri="{FF2B5EF4-FFF2-40B4-BE49-F238E27FC236}">
                  <a16:creationId xmlns:a16="http://schemas.microsoft.com/office/drawing/2014/main" id="{00000000-0008-0000-0200-000053010000}"/>
                </a:ext>
              </a:extLst>
            </xdr:cNvPr>
            <xdr:cNvCxnSpPr>
              <a:endCxn id="338" idx="0"/>
            </xdr:cNvCxnSpPr>
          </xdr:nvCxnSpPr>
          <xdr:spPr>
            <a:xfrm flipH="1" flipV="1">
              <a:off x="1045077" y="6006621"/>
              <a:ext cx="225848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0" name="Straight Connector 339">
              <a:extLst>
                <a:ext uri="{FF2B5EF4-FFF2-40B4-BE49-F238E27FC236}">
                  <a16:creationId xmlns:a16="http://schemas.microsoft.com/office/drawing/2014/main" id="{00000000-0008-0000-0200-000054010000}"/>
                </a:ext>
              </a:extLst>
            </xdr:cNvPr>
            <xdr:cNvCxnSpPr>
              <a:endCxn id="338" idx="2"/>
            </xdr:cNvCxnSpPr>
          </xdr:nvCxnSpPr>
          <xdr:spPr>
            <a:xfrm flipH="1">
              <a:off x="1067662" y="6114412"/>
              <a:ext cx="203263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7" name="Oval 336">
            <a:extLst>
              <a:ext uri="{FF2B5EF4-FFF2-40B4-BE49-F238E27FC236}">
                <a16:creationId xmlns:a16="http://schemas.microsoft.com/office/drawing/2014/main" id="{00000000-0008-0000-0200-000051010000}"/>
              </a:ext>
            </a:extLst>
          </xdr:cNvPr>
          <xdr:cNvSpPr>
            <a:spLocks noChangeAspect="1"/>
          </xdr:cNvSpPr>
        </xdr:nvSpPr>
        <xdr:spPr>
          <a:xfrm>
            <a:off x="1225755" y="5941947"/>
            <a:ext cx="67754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53</xdr:col>
      <xdr:colOff>114300</xdr:colOff>
      <xdr:row>150</xdr:row>
      <xdr:rowOff>142875</xdr:rowOff>
    </xdr:from>
    <xdr:to>
      <xdr:col>53</xdr:col>
      <xdr:colOff>314325</xdr:colOff>
      <xdr:row>152</xdr:row>
      <xdr:rowOff>28575</xdr:rowOff>
    </xdr:to>
    <xdr:grpSp>
      <xdr:nvGrpSpPr>
        <xdr:cNvPr id="341" name="Group 711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GrpSpPr>
          <a:grpSpLocks noChangeAspect="1"/>
        </xdr:cNvGrpSpPr>
      </xdr:nvGrpSpPr>
      <xdr:grpSpPr bwMode="auto">
        <a:xfrm>
          <a:off x="32064960" y="24145875"/>
          <a:ext cx="200025" cy="205740"/>
          <a:chOff x="1022492" y="5877272"/>
          <a:chExt cx="474280" cy="474280"/>
        </a:xfrm>
      </xdr:grpSpPr>
      <xdr:grpSp>
        <xdr:nvGrpSpPr>
          <xdr:cNvPr id="342" name="Group 712">
            <a:extLst>
              <a:ext uri="{FF2B5EF4-FFF2-40B4-BE49-F238E27FC236}">
                <a16:creationId xmlns:a16="http://schemas.microsoft.com/office/drawing/2014/main" id="{00000000-0008-0000-0200-000056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44" name="Arc 343">
              <a:extLst>
                <a:ext uri="{FF2B5EF4-FFF2-40B4-BE49-F238E27FC236}">
                  <a16:creationId xmlns:a16="http://schemas.microsoft.com/office/drawing/2014/main" id="{00000000-0008-0000-0200-000058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45" name="Straight Connector 344">
              <a:extLst>
                <a:ext uri="{FF2B5EF4-FFF2-40B4-BE49-F238E27FC236}">
                  <a16:creationId xmlns:a16="http://schemas.microsoft.com/office/drawing/2014/main" id="{00000000-0008-0000-0200-000059010000}"/>
                </a:ext>
              </a:extLst>
            </xdr:cNvPr>
            <xdr:cNvCxnSpPr>
              <a:endCxn id="344" idx="0"/>
            </xdr:cNvCxnSpPr>
          </xdr:nvCxnSpPr>
          <xdr:spPr>
            <a:xfrm flipH="1" flipV="1">
              <a:off x="1045077" y="6006621"/>
              <a:ext cx="225848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6" name="Straight Connector 345">
              <a:extLst>
                <a:ext uri="{FF2B5EF4-FFF2-40B4-BE49-F238E27FC236}">
                  <a16:creationId xmlns:a16="http://schemas.microsoft.com/office/drawing/2014/main" id="{00000000-0008-0000-0200-00005A010000}"/>
                </a:ext>
              </a:extLst>
            </xdr:cNvPr>
            <xdr:cNvCxnSpPr>
              <a:endCxn id="344" idx="2"/>
            </xdr:cNvCxnSpPr>
          </xdr:nvCxnSpPr>
          <xdr:spPr>
            <a:xfrm flipH="1">
              <a:off x="1067662" y="6114412"/>
              <a:ext cx="203263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3" name="Oval 342">
            <a:extLst>
              <a:ext uri="{FF2B5EF4-FFF2-40B4-BE49-F238E27FC236}">
                <a16:creationId xmlns:a16="http://schemas.microsoft.com/office/drawing/2014/main" id="{00000000-0008-0000-0200-000057010000}"/>
              </a:ext>
            </a:extLst>
          </xdr:cNvPr>
          <xdr:cNvSpPr>
            <a:spLocks noChangeAspect="1"/>
          </xdr:cNvSpPr>
        </xdr:nvSpPr>
        <xdr:spPr>
          <a:xfrm>
            <a:off x="1225755" y="5941947"/>
            <a:ext cx="67754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60</xdr:col>
      <xdr:colOff>552450</xdr:colOff>
      <xdr:row>149</xdr:row>
      <xdr:rowOff>142875</xdr:rowOff>
    </xdr:from>
    <xdr:to>
      <xdr:col>61</xdr:col>
      <xdr:colOff>152400</xdr:colOff>
      <xdr:row>151</xdr:row>
      <xdr:rowOff>28575</xdr:rowOff>
    </xdr:to>
    <xdr:grpSp>
      <xdr:nvGrpSpPr>
        <xdr:cNvPr id="347" name="Group 711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GrpSpPr>
          <a:grpSpLocks noChangeAspect="1"/>
        </xdr:cNvGrpSpPr>
      </xdr:nvGrpSpPr>
      <xdr:grpSpPr bwMode="auto">
        <a:xfrm>
          <a:off x="37623750" y="23985855"/>
          <a:ext cx="224790" cy="205740"/>
          <a:chOff x="1022492" y="5877272"/>
          <a:chExt cx="474280" cy="474280"/>
        </a:xfrm>
      </xdr:grpSpPr>
      <xdr:grpSp>
        <xdr:nvGrpSpPr>
          <xdr:cNvPr id="348" name="Group 712">
            <a:extLst>
              <a:ext uri="{FF2B5EF4-FFF2-40B4-BE49-F238E27FC236}">
                <a16:creationId xmlns:a16="http://schemas.microsoft.com/office/drawing/2014/main" id="{00000000-0008-0000-0200-00005C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50" name="Arc 349">
              <a:extLst>
                <a:ext uri="{FF2B5EF4-FFF2-40B4-BE49-F238E27FC236}">
                  <a16:creationId xmlns:a16="http://schemas.microsoft.com/office/drawing/2014/main" id="{00000000-0008-0000-0200-00005E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51" name="Straight Connector 350">
              <a:extLst>
                <a:ext uri="{FF2B5EF4-FFF2-40B4-BE49-F238E27FC236}">
                  <a16:creationId xmlns:a16="http://schemas.microsoft.com/office/drawing/2014/main" id="{00000000-0008-0000-0200-00005F010000}"/>
                </a:ext>
              </a:extLst>
            </xdr:cNvPr>
            <xdr:cNvCxnSpPr>
              <a:endCxn id="350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2" name="Straight Connector 351">
              <a:extLst>
                <a:ext uri="{FF2B5EF4-FFF2-40B4-BE49-F238E27FC236}">
                  <a16:creationId xmlns:a16="http://schemas.microsoft.com/office/drawing/2014/main" id="{00000000-0008-0000-0200-000060010000}"/>
                </a:ext>
              </a:extLst>
            </xdr:cNvPr>
            <xdr:cNvCxnSpPr>
              <a:endCxn id="350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9" name="Oval 348">
            <a:extLst>
              <a:ext uri="{FF2B5EF4-FFF2-40B4-BE49-F238E27FC236}">
                <a16:creationId xmlns:a16="http://schemas.microsoft.com/office/drawing/2014/main" id="{00000000-0008-0000-0200-00005D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58</xdr:col>
      <xdr:colOff>657225</xdr:colOff>
      <xdr:row>156</xdr:row>
      <xdr:rowOff>161925</xdr:rowOff>
    </xdr:from>
    <xdr:to>
      <xdr:col>59</xdr:col>
      <xdr:colOff>152400</xdr:colOff>
      <xdr:row>158</xdr:row>
      <xdr:rowOff>38100</xdr:rowOff>
    </xdr:to>
    <xdr:grpSp>
      <xdr:nvGrpSpPr>
        <xdr:cNvPr id="353" name="Group 711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GrpSpPr>
          <a:grpSpLocks noChangeAspect="1"/>
        </xdr:cNvGrpSpPr>
      </xdr:nvGrpSpPr>
      <xdr:grpSpPr bwMode="auto">
        <a:xfrm>
          <a:off x="36265485" y="25125045"/>
          <a:ext cx="226695" cy="196215"/>
          <a:chOff x="1022492" y="5877272"/>
          <a:chExt cx="474280" cy="474280"/>
        </a:xfrm>
      </xdr:grpSpPr>
      <xdr:grpSp>
        <xdr:nvGrpSpPr>
          <xdr:cNvPr id="354" name="Group 712">
            <a:extLst>
              <a:ext uri="{FF2B5EF4-FFF2-40B4-BE49-F238E27FC236}">
                <a16:creationId xmlns:a16="http://schemas.microsoft.com/office/drawing/2014/main" id="{00000000-0008-0000-0200-000062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56" name="Arc 355">
              <a:extLst>
                <a:ext uri="{FF2B5EF4-FFF2-40B4-BE49-F238E27FC236}">
                  <a16:creationId xmlns:a16="http://schemas.microsoft.com/office/drawing/2014/main" id="{00000000-0008-0000-0200-000064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57" name="Straight Connector 356">
              <a:extLst>
                <a:ext uri="{FF2B5EF4-FFF2-40B4-BE49-F238E27FC236}">
                  <a16:creationId xmlns:a16="http://schemas.microsoft.com/office/drawing/2014/main" id="{00000000-0008-0000-0200-000065010000}"/>
                </a:ext>
              </a:extLst>
            </xdr:cNvPr>
            <xdr:cNvCxnSpPr>
              <a:endCxn id="356" idx="0"/>
            </xdr:cNvCxnSpPr>
          </xdr:nvCxnSpPr>
          <xdr:spPr>
            <a:xfrm flipH="1" flipV="1">
              <a:off x="1044050" y="6012781"/>
              <a:ext cx="215582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8" name="Straight Connector 357">
              <a:extLst>
                <a:ext uri="{FF2B5EF4-FFF2-40B4-BE49-F238E27FC236}">
                  <a16:creationId xmlns:a16="http://schemas.microsoft.com/office/drawing/2014/main" id="{00000000-0008-0000-0200-000066010000}"/>
                </a:ext>
              </a:extLst>
            </xdr:cNvPr>
            <xdr:cNvCxnSpPr>
              <a:endCxn id="356" idx="2"/>
            </xdr:cNvCxnSpPr>
          </xdr:nvCxnSpPr>
          <xdr:spPr>
            <a:xfrm flipH="1">
              <a:off x="1065608" y="6125704"/>
              <a:ext cx="194024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5" name="Oval 354">
            <a:extLst>
              <a:ext uri="{FF2B5EF4-FFF2-40B4-BE49-F238E27FC236}">
                <a16:creationId xmlns:a16="http://schemas.microsoft.com/office/drawing/2014/main" id="{00000000-0008-0000-0200-000063010000}"/>
              </a:ext>
            </a:extLst>
          </xdr:cNvPr>
          <xdr:cNvSpPr>
            <a:spLocks noChangeAspect="1"/>
          </xdr:cNvSpPr>
        </xdr:nvSpPr>
        <xdr:spPr>
          <a:xfrm>
            <a:off x="1216516" y="5945026"/>
            <a:ext cx="86233" cy="90339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57</xdr:col>
      <xdr:colOff>466725</xdr:colOff>
      <xdr:row>163</xdr:row>
      <xdr:rowOff>0</xdr:rowOff>
    </xdr:from>
    <xdr:to>
      <xdr:col>57</xdr:col>
      <xdr:colOff>676275</xdr:colOff>
      <xdr:row>164</xdr:row>
      <xdr:rowOff>38100</xdr:rowOff>
    </xdr:to>
    <xdr:grpSp>
      <xdr:nvGrpSpPr>
        <xdr:cNvPr id="359" name="Group 711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GrpSpPr>
          <a:grpSpLocks noChangeAspect="1"/>
        </xdr:cNvGrpSpPr>
      </xdr:nvGrpSpPr>
      <xdr:grpSpPr bwMode="auto">
        <a:xfrm>
          <a:off x="35343465" y="26083260"/>
          <a:ext cx="209550" cy="198120"/>
          <a:chOff x="1022492" y="5877272"/>
          <a:chExt cx="474280" cy="474280"/>
        </a:xfrm>
      </xdr:grpSpPr>
      <xdr:grpSp>
        <xdr:nvGrpSpPr>
          <xdr:cNvPr id="360" name="Group 712">
            <a:extLst>
              <a:ext uri="{FF2B5EF4-FFF2-40B4-BE49-F238E27FC236}">
                <a16:creationId xmlns:a16="http://schemas.microsoft.com/office/drawing/2014/main" id="{00000000-0008-0000-0200-000068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62" name="Arc 361">
              <a:extLst>
                <a:ext uri="{FF2B5EF4-FFF2-40B4-BE49-F238E27FC236}">
                  <a16:creationId xmlns:a16="http://schemas.microsoft.com/office/drawing/2014/main" id="{00000000-0008-0000-0200-00006A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63" name="Straight Connector 362">
              <a:extLst>
                <a:ext uri="{FF2B5EF4-FFF2-40B4-BE49-F238E27FC236}">
                  <a16:creationId xmlns:a16="http://schemas.microsoft.com/office/drawing/2014/main" id="{00000000-0008-0000-0200-00006B010000}"/>
                </a:ext>
              </a:extLst>
            </xdr:cNvPr>
            <xdr:cNvCxnSpPr>
              <a:endCxn id="362" idx="0"/>
            </xdr:cNvCxnSpPr>
          </xdr:nvCxnSpPr>
          <xdr:spPr>
            <a:xfrm flipH="1" flipV="1">
              <a:off x="1044050" y="6012781"/>
              <a:ext cx="215582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4" name="Straight Connector 363">
              <a:extLst>
                <a:ext uri="{FF2B5EF4-FFF2-40B4-BE49-F238E27FC236}">
                  <a16:creationId xmlns:a16="http://schemas.microsoft.com/office/drawing/2014/main" id="{00000000-0008-0000-0200-00006C010000}"/>
                </a:ext>
              </a:extLst>
            </xdr:cNvPr>
            <xdr:cNvCxnSpPr>
              <a:endCxn id="362" idx="2"/>
            </xdr:cNvCxnSpPr>
          </xdr:nvCxnSpPr>
          <xdr:spPr>
            <a:xfrm flipH="1">
              <a:off x="1065608" y="6125704"/>
              <a:ext cx="194024" cy="112924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1" name="Oval 360">
            <a:extLst>
              <a:ext uri="{FF2B5EF4-FFF2-40B4-BE49-F238E27FC236}">
                <a16:creationId xmlns:a16="http://schemas.microsoft.com/office/drawing/2014/main" id="{00000000-0008-0000-0200-000069010000}"/>
              </a:ext>
            </a:extLst>
          </xdr:cNvPr>
          <xdr:cNvSpPr>
            <a:spLocks noChangeAspect="1"/>
          </xdr:cNvSpPr>
        </xdr:nvSpPr>
        <xdr:spPr>
          <a:xfrm>
            <a:off x="1216516" y="5945026"/>
            <a:ext cx="86233" cy="90339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57</xdr:col>
      <xdr:colOff>485775</xdr:colOff>
      <xdr:row>139</xdr:row>
      <xdr:rowOff>152400</xdr:rowOff>
    </xdr:from>
    <xdr:to>
      <xdr:col>57</xdr:col>
      <xdr:colOff>695325</xdr:colOff>
      <xdr:row>141</xdr:row>
      <xdr:rowOff>38100</xdr:rowOff>
    </xdr:to>
    <xdr:grpSp>
      <xdr:nvGrpSpPr>
        <xdr:cNvPr id="365" name="Group 711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GrpSpPr>
          <a:grpSpLocks noChangeAspect="1"/>
        </xdr:cNvGrpSpPr>
      </xdr:nvGrpSpPr>
      <xdr:grpSpPr bwMode="auto">
        <a:xfrm>
          <a:off x="35362515" y="22395180"/>
          <a:ext cx="209550" cy="205740"/>
          <a:chOff x="1022492" y="5877272"/>
          <a:chExt cx="474280" cy="474280"/>
        </a:xfrm>
      </xdr:grpSpPr>
      <xdr:grpSp>
        <xdr:nvGrpSpPr>
          <xdr:cNvPr id="366" name="Group 712">
            <a:extLst>
              <a:ext uri="{FF2B5EF4-FFF2-40B4-BE49-F238E27FC236}">
                <a16:creationId xmlns:a16="http://schemas.microsoft.com/office/drawing/2014/main" id="{00000000-0008-0000-0200-00006E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68" name="Arc 367">
              <a:extLst>
                <a:ext uri="{FF2B5EF4-FFF2-40B4-BE49-F238E27FC236}">
                  <a16:creationId xmlns:a16="http://schemas.microsoft.com/office/drawing/2014/main" id="{00000000-0008-0000-0200-000070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69" name="Straight Connector 368">
              <a:extLst>
                <a:ext uri="{FF2B5EF4-FFF2-40B4-BE49-F238E27FC236}">
                  <a16:creationId xmlns:a16="http://schemas.microsoft.com/office/drawing/2014/main" id="{00000000-0008-0000-0200-000071010000}"/>
                </a:ext>
              </a:extLst>
            </xdr:cNvPr>
            <xdr:cNvCxnSpPr>
              <a:endCxn id="368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0" name="Straight Connector 369">
              <a:extLst>
                <a:ext uri="{FF2B5EF4-FFF2-40B4-BE49-F238E27FC236}">
                  <a16:creationId xmlns:a16="http://schemas.microsoft.com/office/drawing/2014/main" id="{00000000-0008-0000-0200-000072010000}"/>
                </a:ext>
              </a:extLst>
            </xdr:cNvPr>
            <xdr:cNvCxnSpPr>
              <a:endCxn id="368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7" name="Oval 366">
            <a:extLst>
              <a:ext uri="{FF2B5EF4-FFF2-40B4-BE49-F238E27FC236}">
                <a16:creationId xmlns:a16="http://schemas.microsoft.com/office/drawing/2014/main" id="{00000000-0008-0000-0200-00006F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59</xdr:col>
      <xdr:colOff>66675</xdr:colOff>
      <xdr:row>150</xdr:row>
      <xdr:rowOff>152400</xdr:rowOff>
    </xdr:from>
    <xdr:to>
      <xdr:col>59</xdr:col>
      <xdr:colOff>276225</xdr:colOff>
      <xdr:row>152</xdr:row>
      <xdr:rowOff>38100</xdr:rowOff>
    </xdr:to>
    <xdr:grpSp>
      <xdr:nvGrpSpPr>
        <xdr:cNvPr id="371" name="Group 711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GrpSpPr>
          <a:grpSpLocks noChangeAspect="1"/>
        </xdr:cNvGrpSpPr>
      </xdr:nvGrpSpPr>
      <xdr:grpSpPr bwMode="auto">
        <a:xfrm>
          <a:off x="36406455" y="24155400"/>
          <a:ext cx="209550" cy="205740"/>
          <a:chOff x="1022492" y="5877272"/>
          <a:chExt cx="474280" cy="474280"/>
        </a:xfrm>
      </xdr:grpSpPr>
      <xdr:grpSp>
        <xdr:nvGrpSpPr>
          <xdr:cNvPr id="372" name="Group 712">
            <a:extLst>
              <a:ext uri="{FF2B5EF4-FFF2-40B4-BE49-F238E27FC236}">
                <a16:creationId xmlns:a16="http://schemas.microsoft.com/office/drawing/2014/main" id="{00000000-0008-0000-0200-000074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374" name="Arc 373">
              <a:extLst>
                <a:ext uri="{FF2B5EF4-FFF2-40B4-BE49-F238E27FC236}">
                  <a16:creationId xmlns:a16="http://schemas.microsoft.com/office/drawing/2014/main" id="{00000000-0008-0000-0200-000076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375" name="Straight Connector 374">
              <a:extLst>
                <a:ext uri="{FF2B5EF4-FFF2-40B4-BE49-F238E27FC236}">
                  <a16:creationId xmlns:a16="http://schemas.microsoft.com/office/drawing/2014/main" id="{00000000-0008-0000-0200-000077010000}"/>
                </a:ext>
              </a:extLst>
            </xdr:cNvPr>
            <xdr:cNvCxnSpPr>
              <a:endCxn id="374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6" name="Straight Connector 375">
              <a:extLst>
                <a:ext uri="{FF2B5EF4-FFF2-40B4-BE49-F238E27FC236}">
                  <a16:creationId xmlns:a16="http://schemas.microsoft.com/office/drawing/2014/main" id="{00000000-0008-0000-0200-000078010000}"/>
                </a:ext>
              </a:extLst>
            </xdr:cNvPr>
            <xdr:cNvCxnSpPr>
              <a:endCxn id="374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73" name="Oval 372">
            <a:extLst>
              <a:ext uri="{FF2B5EF4-FFF2-40B4-BE49-F238E27FC236}">
                <a16:creationId xmlns:a16="http://schemas.microsoft.com/office/drawing/2014/main" id="{00000000-0008-0000-0200-000075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47</xdr:col>
      <xdr:colOff>142875</xdr:colOff>
      <xdr:row>135</xdr:row>
      <xdr:rowOff>0</xdr:rowOff>
    </xdr:from>
    <xdr:to>
      <xdr:col>49</xdr:col>
      <xdr:colOff>600075</xdr:colOff>
      <xdr:row>140</xdr:row>
      <xdr:rowOff>152400</xdr:rowOff>
    </xdr:to>
    <xdr:grpSp>
      <xdr:nvGrpSpPr>
        <xdr:cNvPr id="377" name="Group 680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GrpSpPr>
          <a:grpSpLocks noChangeAspect="1"/>
        </xdr:cNvGrpSpPr>
      </xdr:nvGrpSpPr>
      <xdr:grpSpPr bwMode="auto">
        <a:xfrm>
          <a:off x="27704415" y="21602700"/>
          <a:ext cx="1920240" cy="952500"/>
          <a:chOff x="5741064" y="463829"/>
          <a:chExt cx="1554221" cy="788339"/>
        </a:xfrm>
      </xdr:grpSpPr>
      <xdr:sp macro="" textlink="">
        <xdr:nvSpPr>
          <xdr:cNvPr id="378" name="Line 1465">
            <a:extLst>
              <a:ext uri="{FF2B5EF4-FFF2-40B4-BE49-F238E27FC236}">
                <a16:creationId xmlns:a16="http://schemas.microsoft.com/office/drawing/2014/main" id="{00000000-0008-0000-0200-00007A010000}"/>
              </a:ext>
            </a:extLst>
          </xdr:cNvPr>
          <xdr:cNvSpPr>
            <a:spLocks noChangeShapeType="1"/>
          </xdr:cNvSpPr>
        </xdr:nvSpPr>
        <xdr:spPr bwMode="auto">
          <a:xfrm>
            <a:off x="6661601" y="836882"/>
            <a:ext cx="28164" cy="415286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9" name="Line 1466">
            <a:extLst>
              <a:ext uri="{FF2B5EF4-FFF2-40B4-BE49-F238E27FC236}">
                <a16:creationId xmlns:a16="http://schemas.microsoft.com/office/drawing/2014/main" id="{00000000-0008-0000-0200-00007B010000}"/>
              </a:ext>
            </a:extLst>
          </xdr:cNvPr>
          <xdr:cNvSpPr>
            <a:spLocks noChangeShapeType="1"/>
          </xdr:cNvSpPr>
        </xdr:nvSpPr>
        <xdr:spPr bwMode="auto">
          <a:xfrm>
            <a:off x="6753133" y="801689"/>
            <a:ext cx="253474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0" name="Line 1467">
            <a:extLst>
              <a:ext uri="{FF2B5EF4-FFF2-40B4-BE49-F238E27FC236}">
                <a16:creationId xmlns:a16="http://schemas.microsoft.com/office/drawing/2014/main" id="{00000000-0008-0000-0200-00007C010000}"/>
              </a:ext>
            </a:extLst>
          </xdr:cNvPr>
          <xdr:cNvSpPr>
            <a:spLocks noChangeShapeType="1"/>
          </xdr:cNvSpPr>
        </xdr:nvSpPr>
        <xdr:spPr bwMode="auto">
          <a:xfrm>
            <a:off x="6788337" y="717224"/>
            <a:ext cx="443579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1" name="Line 1468">
            <a:extLst>
              <a:ext uri="{FF2B5EF4-FFF2-40B4-BE49-F238E27FC236}">
                <a16:creationId xmlns:a16="http://schemas.microsoft.com/office/drawing/2014/main" id="{00000000-0008-0000-0200-00007D010000}"/>
              </a:ext>
            </a:extLst>
          </xdr:cNvPr>
          <xdr:cNvSpPr>
            <a:spLocks noChangeShapeType="1"/>
          </xdr:cNvSpPr>
        </xdr:nvSpPr>
        <xdr:spPr bwMode="auto">
          <a:xfrm>
            <a:off x="6816501" y="639798"/>
            <a:ext cx="478784" cy="147814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2" name="Line 1469">
            <a:extLst>
              <a:ext uri="{FF2B5EF4-FFF2-40B4-BE49-F238E27FC236}">
                <a16:creationId xmlns:a16="http://schemas.microsoft.com/office/drawing/2014/main" id="{00000000-0008-0000-0200-00007E01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788337" y="463829"/>
            <a:ext cx="330924" cy="105581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Oval 686">
            <a:extLst>
              <a:ext uri="{FF2B5EF4-FFF2-40B4-BE49-F238E27FC236}">
                <a16:creationId xmlns:a16="http://schemas.microsoft.com/office/drawing/2014/main" id="{00000000-0008-0000-0200-00007F010000}"/>
              </a:ext>
            </a:extLst>
          </xdr:cNvPr>
          <xdr:cNvSpPr>
            <a:spLocks noChangeArrowheads="1"/>
          </xdr:cNvSpPr>
        </xdr:nvSpPr>
        <xdr:spPr bwMode="auto">
          <a:xfrm>
            <a:off x="6464454" y="491984"/>
            <a:ext cx="337965" cy="330821"/>
          </a:xfrm>
          <a:prstGeom prst="ellipse">
            <a:avLst/>
          </a:prstGeom>
          <a:solidFill>
            <a:srgbClr val="FFFF00"/>
          </a:solidFill>
          <a:ln w="9525">
            <a:solidFill>
              <a:srgbClr val="FFCC00"/>
            </a:solidFill>
            <a:round/>
            <a:headEnd/>
            <a:tailEnd/>
          </a:ln>
        </xdr:spPr>
      </xdr:sp>
      <xdr:grpSp>
        <xdr:nvGrpSpPr>
          <xdr:cNvPr id="384" name="Group 687">
            <a:extLst>
              <a:ext uri="{FF2B5EF4-FFF2-40B4-BE49-F238E27FC236}">
                <a16:creationId xmlns:a16="http://schemas.microsoft.com/office/drawing/2014/main" id="{00000000-0008-0000-0200-000080010000}"/>
              </a:ext>
            </a:extLst>
          </xdr:cNvPr>
          <xdr:cNvGrpSpPr>
            <a:grpSpLocks/>
          </xdr:cNvGrpSpPr>
        </xdr:nvGrpSpPr>
        <xdr:grpSpPr bwMode="auto">
          <a:xfrm>
            <a:off x="5741064" y="476672"/>
            <a:ext cx="991176" cy="444225"/>
            <a:chOff x="2284681" y="5661248"/>
            <a:chExt cx="991176" cy="444225"/>
          </a:xfrm>
        </xdr:grpSpPr>
        <xdr:sp macro="" textlink="">
          <xdr:nvSpPr>
            <xdr:cNvPr id="385" name="Arc 1475">
              <a:extLst>
                <a:ext uri="{FF2B5EF4-FFF2-40B4-BE49-F238E27FC236}">
                  <a16:creationId xmlns:a16="http://schemas.microsoft.com/office/drawing/2014/main" id="{00000000-0008-0000-0200-000081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566319" y="5661248"/>
              <a:ext cx="309801" cy="7742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86" name="Arc 1476">
              <a:extLst>
                <a:ext uri="{FF2B5EF4-FFF2-40B4-BE49-F238E27FC236}">
                  <a16:creationId xmlns:a16="http://schemas.microsoft.com/office/drawing/2014/main" id="{00000000-0008-0000-0200-000082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284681" y="5738674"/>
              <a:ext cx="281638" cy="168930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87" name="Arc 1477">
              <a:extLst>
                <a:ext uri="{FF2B5EF4-FFF2-40B4-BE49-F238E27FC236}">
                  <a16:creationId xmlns:a16="http://schemas.microsoft.com/office/drawing/2014/main" id="{00000000-0008-0000-0200-000083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284682" y="5907604"/>
              <a:ext cx="133778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88" name="Arc 1478">
              <a:extLst>
                <a:ext uri="{FF2B5EF4-FFF2-40B4-BE49-F238E27FC236}">
                  <a16:creationId xmlns:a16="http://schemas.microsoft.com/office/drawing/2014/main" id="{00000000-0008-0000-0200-000084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418460" y="5977990"/>
              <a:ext cx="168982" cy="9150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89" name="Arc 1479">
              <a:extLst>
                <a:ext uri="{FF2B5EF4-FFF2-40B4-BE49-F238E27FC236}">
                  <a16:creationId xmlns:a16="http://schemas.microsoft.com/office/drawing/2014/main" id="{00000000-0008-0000-0200-000085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587442" y="5977991"/>
              <a:ext cx="197146" cy="12748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0" name="Rectangle 389">
              <a:extLst>
                <a:ext uri="{FF2B5EF4-FFF2-40B4-BE49-F238E27FC236}">
                  <a16:creationId xmlns:a16="http://schemas.microsoft.com/office/drawing/2014/main" id="{00000000-0008-0000-0200-000086010000}"/>
                </a:ext>
              </a:extLst>
            </xdr:cNvPr>
            <xdr:cNvSpPr/>
          </xdr:nvSpPr>
          <xdr:spPr>
            <a:xfrm>
              <a:off x="2410275" y="5913786"/>
              <a:ext cx="156992" cy="70248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1" name="Rectangle 390">
              <a:extLst>
                <a:ext uri="{FF2B5EF4-FFF2-40B4-BE49-F238E27FC236}">
                  <a16:creationId xmlns:a16="http://schemas.microsoft.com/office/drawing/2014/main" id="{00000000-0008-0000-0200-000087010000}"/>
                </a:ext>
              </a:extLst>
            </xdr:cNvPr>
            <xdr:cNvSpPr/>
          </xdr:nvSpPr>
          <xdr:spPr>
            <a:xfrm>
              <a:off x="2567267" y="5742069"/>
              <a:ext cx="494525" cy="241966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2" name="Rectangle 391">
              <a:extLst>
                <a:ext uri="{FF2B5EF4-FFF2-40B4-BE49-F238E27FC236}">
                  <a16:creationId xmlns:a16="http://schemas.microsoft.com/office/drawing/2014/main" id="{00000000-0008-0000-0200-000088010000}"/>
                </a:ext>
              </a:extLst>
            </xdr:cNvPr>
            <xdr:cNvSpPr/>
          </xdr:nvSpPr>
          <xdr:spPr>
            <a:xfrm>
              <a:off x="3061792" y="5812317"/>
              <a:ext cx="39248" cy="780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3" name="Arc 1473">
              <a:extLst>
                <a:ext uri="{FF2B5EF4-FFF2-40B4-BE49-F238E27FC236}">
                  <a16:creationId xmlns:a16="http://schemas.microsoft.com/office/drawing/2014/main" id="{00000000-0008-0000-0200-000089010000}"/>
                </a:ext>
              </a:extLst>
            </xdr:cNvPr>
            <xdr:cNvSpPr>
              <a:spLocks/>
            </xdr:cNvSpPr>
          </xdr:nvSpPr>
          <xdr:spPr bwMode="auto">
            <a:xfrm>
              <a:off x="3101431" y="5805264"/>
              <a:ext cx="174425" cy="8122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4" name="Arc 1474">
              <a:extLst>
                <a:ext uri="{FF2B5EF4-FFF2-40B4-BE49-F238E27FC236}">
                  <a16:creationId xmlns:a16="http://schemas.microsoft.com/office/drawing/2014/main" id="{00000000-0008-0000-0200-00008A010000}"/>
                </a:ext>
              </a:extLst>
            </xdr:cNvPr>
            <xdr:cNvSpPr>
              <a:spLocks/>
            </xdr:cNvSpPr>
          </xdr:nvSpPr>
          <xdr:spPr bwMode="auto">
            <a:xfrm>
              <a:off x="2876121" y="5661248"/>
              <a:ext cx="225310" cy="14401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5" name="Rectangle 394">
              <a:extLst>
                <a:ext uri="{FF2B5EF4-FFF2-40B4-BE49-F238E27FC236}">
                  <a16:creationId xmlns:a16="http://schemas.microsoft.com/office/drawing/2014/main" id="{00000000-0008-0000-0200-00008B010000}"/>
                </a:ext>
              </a:extLst>
            </xdr:cNvPr>
            <xdr:cNvSpPr/>
          </xdr:nvSpPr>
          <xdr:spPr>
            <a:xfrm>
              <a:off x="2787056" y="5984034"/>
              <a:ext cx="172691" cy="6244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6" name="Arc 1481">
              <a:extLst>
                <a:ext uri="{FF2B5EF4-FFF2-40B4-BE49-F238E27FC236}">
                  <a16:creationId xmlns:a16="http://schemas.microsoft.com/office/drawing/2014/main" id="{00000000-0008-0000-0200-00008C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960613" y="5886486"/>
              <a:ext cx="315244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7" name="Arc 1480">
              <a:extLst>
                <a:ext uri="{FF2B5EF4-FFF2-40B4-BE49-F238E27FC236}">
                  <a16:creationId xmlns:a16="http://schemas.microsoft.com/office/drawing/2014/main" id="{00000000-0008-0000-0200-00008D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771800" y="6045641"/>
              <a:ext cx="188812" cy="5983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53</xdr:col>
      <xdr:colOff>104775</xdr:colOff>
      <xdr:row>134</xdr:row>
      <xdr:rowOff>152400</xdr:rowOff>
    </xdr:from>
    <xdr:to>
      <xdr:col>55</xdr:col>
      <xdr:colOff>561975</xdr:colOff>
      <xdr:row>140</xdr:row>
      <xdr:rowOff>142875</xdr:rowOff>
    </xdr:to>
    <xdr:grpSp>
      <xdr:nvGrpSpPr>
        <xdr:cNvPr id="398" name="Group 680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GrpSpPr>
          <a:grpSpLocks noChangeAspect="1"/>
        </xdr:cNvGrpSpPr>
      </xdr:nvGrpSpPr>
      <xdr:grpSpPr bwMode="auto">
        <a:xfrm>
          <a:off x="32055435" y="21595080"/>
          <a:ext cx="1920240" cy="950595"/>
          <a:chOff x="5741064" y="463829"/>
          <a:chExt cx="1554221" cy="788339"/>
        </a:xfrm>
      </xdr:grpSpPr>
      <xdr:sp macro="" textlink="">
        <xdr:nvSpPr>
          <xdr:cNvPr id="399" name="Line 1465">
            <a:extLst>
              <a:ext uri="{FF2B5EF4-FFF2-40B4-BE49-F238E27FC236}">
                <a16:creationId xmlns:a16="http://schemas.microsoft.com/office/drawing/2014/main" id="{00000000-0008-0000-0200-00008F010000}"/>
              </a:ext>
            </a:extLst>
          </xdr:cNvPr>
          <xdr:cNvSpPr>
            <a:spLocks noChangeShapeType="1"/>
          </xdr:cNvSpPr>
        </xdr:nvSpPr>
        <xdr:spPr bwMode="auto">
          <a:xfrm>
            <a:off x="6661601" y="836882"/>
            <a:ext cx="28164" cy="415286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0" name="Line 1466">
            <a:extLst>
              <a:ext uri="{FF2B5EF4-FFF2-40B4-BE49-F238E27FC236}">
                <a16:creationId xmlns:a16="http://schemas.microsoft.com/office/drawing/2014/main" id="{00000000-0008-0000-0200-000090010000}"/>
              </a:ext>
            </a:extLst>
          </xdr:cNvPr>
          <xdr:cNvSpPr>
            <a:spLocks noChangeShapeType="1"/>
          </xdr:cNvSpPr>
        </xdr:nvSpPr>
        <xdr:spPr bwMode="auto">
          <a:xfrm>
            <a:off x="6753133" y="801689"/>
            <a:ext cx="253474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1" name="Line 1467">
            <a:extLst>
              <a:ext uri="{FF2B5EF4-FFF2-40B4-BE49-F238E27FC236}">
                <a16:creationId xmlns:a16="http://schemas.microsoft.com/office/drawing/2014/main" id="{00000000-0008-0000-0200-000091010000}"/>
              </a:ext>
            </a:extLst>
          </xdr:cNvPr>
          <xdr:cNvSpPr>
            <a:spLocks noChangeShapeType="1"/>
          </xdr:cNvSpPr>
        </xdr:nvSpPr>
        <xdr:spPr bwMode="auto">
          <a:xfrm>
            <a:off x="6788337" y="717224"/>
            <a:ext cx="443579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2" name="Line 1468">
            <a:extLst>
              <a:ext uri="{FF2B5EF4-FFF2-40B4-BE49-F238E27FC236}">
                <a16:creationId xmlns:a16="http://schemas.microsoft.com/office/drawing/2014/main" id="{00000000-0008-0000-0200-000092010000}"/>
              </a:ext>
            </a:extLst>
          </xdr:cNvPr>
          <xdr:cNvSpPr>
            <a:spLocks noChangeShapeType="1"/>
          </xdr:cNvSpPr>
        </xdr:nvSpPr>
        <xdr:spPr bwMode="auto">
          <a:xfrm>
            <a:off x="6816501" y="639798"/>
            <a:ext cx="478784" cy="147814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" name="Line 1469">
            <a:extLst>
              <a:ext uri="{FF2B5EF4-FFF2-40B4-BE49-F238E27FC236}">
                <a16:creationId xmlns:a16="http://schemas.microsoft.com/office/drawing/2014/main" id="{00000000-0008-0000-0200-00009301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788337" y="463829"/>
            <a:ext cx="330924" cy="105581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" name="Oval 686">
            <a:extLst>
              <a:ext uri="{FF2B5EF4-FFF2-40B4-BE49-F238E27FC236}">
                <a16:creationId xmlns:a16="http://schemas.microsoft.com/office/drawing/2014/main" id="{00000000-0008-0000-0200-000094010000}"/>
              </a:ext>
            </a:extLst>
          </xdr:cNvPr>
          <xdr:cNvSpPr>
            <a:spLocks noChangeArrowheads="1"/>
          </xdr:cNvSpPr>
        </xdr:nvSpPr>
        <xdr:spPr bwMode="auto">
          <a:xfrm>
            <a:off x="6464454" y="491984"/>
            <a:ext cx="337965" cy="330821"/>
          </a:xfrm>
          <a:prstGeom prst="ellipse">
            <a:avLst/>
          </a:prstGeom>
          <a:solidFill>
            <a:srgbClr val="FFFF00"/>
          </a:solidFill>
          <a:ln w="9525">
            <a:solidFill>
              <a:srgbClr val="FFCC00"/>
            </a:solidFill>
            <a:round/>
            <a:headEnd/>
            <a:tailEnd/>
          </a:ln>
        </xdr:spPr>
      </xdr:sp>
      <xdr:grpSp>
        <xdr:nvGrpSpPr>
          <xdr:cNvPr id="405" name="Group 687">
            <a:extLst>
              <a:ext uri="{FF2B5EF4-FFF2-40B4-BE49-F238E27FC236}">
                <a16:creationId xmlns:a16="http://schemas.microsoft.com/office/drawing/2014/main" id="{00000000-0008-0000-0200-000095010000}"/>
              </a:ext>
            </a:extLst>
          </xdr:cNvPr>
          <xdr:cNvGrpSpPr>
            <a:grpSpLocks/>
          </xdr:cNvGrpSpPr>
        </xdr:nvGrpSpPr>
        <xdr:grpSpPr bwMode="auto">
          <a:xfrm>
            <a:off x="5741064" y="476672"/>
            <a:ext cx="991176" cy="444225"/>
            <a:chOff x="2284681" y="5661248"/>
            <a:chExt cx="991176" cy="444225"/>
          </a:xfrm>
        </xdr:grpSpPr>
        <xdr:sp macro="" textlink="">
          <xdr:nvSpPr>
            <xdr:cNvPr id="406" name="Arc 1475">
              <a:extLst>
                <a:ext uri="{FF2B5EF4-FFF2-40B4-BE49-F238E27FC236}">
                  <a16:creationId xmlns:a16="http://schemas.microsoft.com/office/drawing/2014/main" id="{00000000-0008-0000-0200-000096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566319" y="5661248"/>
              <a:ext cx="309801" cy="7742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" name="Arc 1476">
              <a:extLst>
                <a:ext uri="{FF2B5EF4-FFF2-40B4-BE49-F238E27FC236}">
                  <a16:creationId xmlns:a16="http://schemas.microsoft.com/office/drawing/2014/main" id="{00000000-0008-0000-0200-000097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284681" y="5738674"/>
              <a:ext cx="281638" cy="168930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8" name="Arc 1477">
              <a:extLst>
                <a:ext uri="{FF2B5EF4-FFF2-40B4-BE49-F238E27FC236}">
                  <a16:creationId xmlns:a16="http://schemas.microsoft.com/office/drawing/2014/main" id="{00000000-0008-0000-0200-000098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284682" y="5907604"/>
              <a:ext cx="133778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9" name="Arc 1478">
              <a:extLst>
                <a:ext uri="{FF2B5EF4-FFF2-40B4-BE49-F238E27FC236}">
                  <a16:creationId xmlns:a16="http://schemas.microsoft.com/office/drawing/2014/main" id="{00000000-0008-0000-0200-000099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418460" y="5977990"/>
              <a:ext cx="168982" cy="9150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10" name="Arc 1479">
              <a:extLst>
                <a:ext uri="{FF2B5EF4-FFF2-40B4-BE49-F238E27FC236}">
                  <a16:creationId xmlns:a16="http://schemas.microsoft.com/office/drawing/2014/main" id="{00000000-0008-0000-0200-00009A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587442" y="5977991"/>
              <a:ext cx="197146" cy="12748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11" name="Rectangle 410">
              <a:extLst>
                <a:ext uri="{FF2B5EF4-FFF2-40B4-BE49-F238E27FC236}">
                  <a16:creationId xmlns:a16="http://schemas.microsoft.com/office/drawing/2014/main" id="{00000000-0008-0000-0200-00009B010000}"/>
                </a:ext>
              </a:extLst>
            </xdr:cNvPr>
            <xdr:cNvSpPr/>
          </xdr:nvSpPr>
          <xdr:spPr>
            <a:xfrm>
              <a:off x="2410275" y="5913786"/>
              <a:ext cx="156992" cy="70248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12" name="Rectangle 411">
              <a:extLst>
                <a:ext uri="{FF2B5EF4-FFF2-40B4-BE49-F238E27FC236}">
                  <a16:creationId xmlns:a16="http://schemas.microsoft.com/office/drawing/2014/main" id="{00000000-0008-0000-0200-00009C010000}"/>
                </a:ext>
              </a:extLst>
            </xdr:cNvPr>
            <xdr:cNvSpPr/>
          </xdr:nvSpPr>
          <xdr:spPr>
            <a:xfrm>
              <a:off x="2567267" y="5742069"/>
              <a:ext cx="494525" cy="241966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13" name="Rectangle 412">
              <a:extLst>
                <a:ext uri="{FF2B5EF4-FFF2-40B4-BE49-F238E27FC236}">
                  <a16:creationId xmlns:a16="http://schemas.microsoft.com/office/drawing/2014/main" id="{00000000-0008-0000-0200-00009D010000}"/>
                </a:ext>
              </a:extLst>
            </xdr:cNvPr>
            <xdr:cNvSpPr/>
          </xdr:nvSpPr>
          <xdr:spPr>
            <a:xfrm>
              <a:off x="3061792" y="5812317"/>
              <a:ext cx="39248" cy="780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14" name="Arc 1473">
              <a:extLst>
                <a:ext uri="{FF2B5EF4-FFF2-40B4-BE49-F238E27FC236}">
                  <a16:creationId xmlns:a16="http://schemas.microsoft.com/office/drawing/2014/main" id="{00000000-0008-0000-0200-00009E010000}"/>
                </a:ext>
              </a:extLst>
            </xdr:cNvPr>
            <xdr:cNvSpPr>
              <a:spLocks/>
            </xdr:cNvSpPr>
          </xdr:nvSpPr>
          <xdr:spPr bwMode="auto">
            <a:xfrm>
              <a:off x="3101431" y="5805264"/>
              <a:ext cx="174425" cy="8122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15" name="Arc 1474">
              <a:extLst>
                <a:ext uri="{FF2B5EF4-FFF2-40B4-BE49-F238E27FC236}">
                  <a16:creationId xmlns:a16="http://schemas.microsoft.com/office/drawing/2014/main" id="{00000000-0008-0000-0200-00009F010000}"/>
                </a:ext>
              </a:extLst>
            </xdr:cNvPr>
            <xdr:cNvSpPr>
              <a:spLocks/>
            </xdr:cNvSpPr>
          </xdr:nvSpPr>
          <xdr:spPr bwMode="auto">
            <a:xfrm>
              <a:off x="2876121" y="5661248"/>
              <a:ext cx="225310" cy="14401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16" name="Rectangle 415">
              <a:extLst>
                <a:ext uri="{FF2B5EF4-FFF2-40B4-BE49-F238E27FC236}">
                  <a16:creationId xmlns:a16="http://schemas.microsoft.com/office/drawing/2014/main" id="{00000000-0008-0000-0200-0000A0010000}"/>
                </a:ext>
              </a:extLst>
            </xdr:cNvPr>
            <xdr:cNvSpPr/>
          </xdr:nvSpPr>
          <xdr:spPr>
            <a:xfrm>
              <a:off x="2787056" y="5984034"/>
              <a:ext cx="172691" cy="6244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17" name="Arc 1481">
              <a:extLst>
                <a:ext uri="{FF2B5EF4-FFF2-40B4-BE49-F238E27FC236}">
                  <a16:creationId xmlns:a16="http://schemas.microsoft.com/office/drawing/2014/main" id="{00000000-0008-0000-0200-0000A1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960613" y="5886486"/>
              <a:ext cx="315244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18" name="Arc 1480">
              <a:extLst>
                <a:ext uri="{FF2B5EF4-FFF2-40B4-BE49-F238E27FC236}">
                  <a16:creationId xmlns:a16="http://schemas.microsoft.com/office/drawing/2014/main" id="{00000000-0008-0000-0200-0000A2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771800" y="6045641"/>
              <a:ext cx="188812" cy="5983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59</xdr:col>
      <xdr:colOff>76200</xdr:colOff>
      <xdr:row>134</xdr:row>
      <xdr:rowOff>152400</xdr:rowOff>
    </xdr:from>
    <xdr:to>
      <xdr:col>61</xdr:col>
      <xdr:colOff>638175</xdr:colOff>
      <xdr:row>140</xdr:row>
      <xdr:rowOff>142875</xdr:rowOff>
    </xdr:to>
    <xdr:grpSp>
      <xdr:nvGrpSpPr>
        <xdr:cNvPr id="419" name="Group 680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GrpSpPr>
          <a:grpSpLocks noChangeAspect="1"/>
        </xdr:cNvGrpSpPr>
      </xdr:nvGrpSpPr>
      <xdr:grpSpPr bwMode="auto">
        <a:xfrm>
          <a:off x="36415980" y="21595080"/>
          <a:ext cx="1918335" cy="950595"/>
          <a:chOff x="5741064" y="463829"/>
          <a:chExt cx="1554221" cy="788339"/>
        </a:xfrm>
      </xdr:grpSpPr>
      <xdr:sp macro="" textlink="">
        <xdr:nvSpPr>
          <xdr:cNvPr id="420" name="Line 1465">
            <a:extLst>
              <a:ext uri="{FF2B5EF4-FFF2-40B4-BE49-F238E27FC236}">
                <a16:creationId xmlns:a16="http://schemas.microsoft.com/office/drawing/2014/main" id="{00000000-0008-0000-0200-0000A4010000}"/>
              </a:ext>
            </a:extLst>
          </xdr:cNvPr>
          <xdr:cNvSpPr>
            <a:spLocks noChangeShapeType="1"/>
          </xdr:cNvSpPr>
        </xdr:nvSpPr>
        <xdr:spPr bwMode="auto">
          <a:xfrm>
            <a:off x="6661601" y="836882"/>
            <a:ext cx="28164" cy="415286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1" name="Line 1466">
            <a:extLst>
              <a:ext uri="{FF2B5EF4-FFF2-40B4-BE49-F238E27FC236}">
                <a16:creationId xmlns:a16="http://schemas.microsoft.com/office/drawing/2014/main" id="{00000000-0008-0000-0200-0000A5010000}"/>
              </a:ext>
            </a:extLst>
          </xdr:cNvPr>
          <xdr:cNvSpPr>
            <a:spLocks noChangeShapeType="1"/>
          </xdr:cNvSpPr>
        </xdr:nvSpPr>
        <xdr:spPr bwMode="auto">
          <a:xfrm>
            <a:off x="6753133" y="801689"/>
            <a:ext cx="253474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" name="Line 1467">
            <a:extLst>
              <a:ext uri="{FF2B5EF4-FFF2-40B4-BE49-F238E27FC236}">
                <a16:creationId xmlns:a16="http://schemas.microsoft.com/office/drawing/2014/main" id="{00000000-0008-0000-0200-0000A6010000}"/>
              </a:ext>
            </a:extLst>
          </xdr:cNvPr>
          <xdr:cNvSpPr>
            <a:spLocks noChangeShapeType="1"/>
          </xdr:cNvSpPr>
        </xdr:nvSpPr>
        <xdr:spPr bwMode="auto">
          <a:xfrm>
            <a:off x="6788337" y="717224"/>
            <a:ext cx="443579" cy="344898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3" name="Line 1468">
            <a:extLst>
              <a:ext uri="{FF2B5EF4-FFF2-40B4-BE49-F238E27FC236}">
                <a16:creationId xmlns:a16="http://schemas.microsoft.com/office/drawing/2014/main" id="{00000000-0008-0000-0200-0000A7010000}"/>
              </a:ext>
            </a:extLst>
          </xdr:cNvPr>
          <xdr:cNvSpPr>
            <a:spLocks noChangeShapeType="1"/>
          </xdr:cNvSpPr>
        </xdr:nvSpPr>
        <xdr:spPr bwMode="auto">
          <a:xfrm>
            <a:off x="6816501" y="639798"/>
            <a:ext cx="478784" cy="147814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4" name="Line 1469">
            <a:extLst>
              <a:ext uri="{FF2B5EF4-FFF2-40B4-BE49-F238E27FC236}">
                <a16:creationId xmlns:a16="http://schemas.microsoft.com/office/drawing/2014/main" id="{00000000-0008-0000-0200-0000A801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788337" y="463829"/>
            <a:ext cx="330924" cy="105581"/>
          </a:xfrm>
          <a:prstGeom prst="line">
            <a:avLst/>
          </a:prstGeom>
          <a:noFill/>
          <a:ln w="9525">
            <a:solidFill>
              <a:srgbClr val="FFFF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5" name="Oval 686">
            <a:extLst>
              <a:ext uri="{FF2B5EF4-FFF2-40B4-BE49-F238E27FC236}">
                <a16:creationId xmlns:a16="http://schemas.microsoft.com/office/drawing/2014/main" id="{00000000-0008-0000-0200-0000A9010000}"/>
              </a:ext>
            </a:extLst>
          </xdr:cNvPr>
          <xdr:cNvSpPr>
            <a:spLocks noChangeArrowheads="1"/>
          </xdr:cNvSpPr>
        </xdr:nvSpPr>
        <xdr:spPr bwMode="auto">
          <a:xfrm>
            <a:off x="6464454" y="491984"/>
            <a:ext cx="337965" cy="330821"/>
          </a:xfrm>
          <a:prstGeom prst="ellipse">
            <a:avLst/>
          </a:prstGeom>
          <a:solidFill>
            <a:srgbClr val="FFFF00"/>
          </a:solidFill>
          <a:ln w="9525">
            <a:solidFill>
              <a:srgbClr val="FFCC00"/>
            </a:solidFill>
            <a:round/>
            <a:headEnd/>
            <a:tailEnd/>
          </a:ln>
        </xdr:spPr>
      </xdr:sp>
      <xdr:grpSp>
        <xdr:nvGrpSpPr>
          <xdr:cNvPr id="426" name="Group 687">
            <a:extLst>
              <a:ext uri="{FF2B5EF4-FFF2-40B4-BE49-F238E27FC236}">
                <a16:creationId xmlns:a16="http://schemas.microsoft.com/office/drawing/2014/main" id="{00000000-0008-0000-0200-0000AA010000}"/>
              </a:ext>
            </a:extLst>
          </xdr:cNvPr>
          <xdr:cNvGrpSpPr>
            <a:grpSpLocks/>
          </xdr:cNvGrpSpPr>
        </xdr:nvGrpSpPr>
        <xdr:grpSpPr bwMode="auto">
          <a:xfrm>
            <a:off x="5741064" y="476672"/>
            <a:ext cx="991176" cy="444225"/>
            <a:chOff x="2284681" y="5661248"/>
            <a:chExt cx="991176" cy="444225"/>
          </a:xfrm>
        </xdr:grpSpPr>
        <xdr:sp macro="" textlink="">
          <xdr:nvSpPr>
            <xdr:cNvPr id="427" name="Arc 1475">
              <a:extLst>
                <a:ext uri="{FF2B5EF4-FFF2-40B4-BE49-F238E27FC236}">
                  <a16:creationId xmlns:a16="http://schemas.microsoft.com/office/drawing/2014/main" id="{00000000-0008-0000-0200-0000AB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566319" y="5661248"/>
              <a:ext cx="309801" cy="7742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8" name="Arc 1476">
              <a:extLst>
                <a:ext uri="{FF2B5EF4-FFF2-40B4-BE49-F238E27FC236}">
                  <a16:creationId xmlns:a16="http://schemas.microsoft.com/office/drawing/2014/main" id="{00000000-0008-0000-0200-0000AC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2284681" y="5738674"/>
              <a:ext cx="281638" cy="168930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9" name="Arc 1477">
              <a:extLst>
                <a:ext uri="{FF2B5EF4-FFF2-40B4-BE49-F238E27FC236}">
                  <a16:creationId xmlns:a16="http://schemas.microsoft.com/office/drawing/2014/main" id="{00000000-0008-0000-0200-0000AD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284682" y="5907604"/>
              <a:ext cx="133778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0" name="Arc 1478">
              <a:extLst>
                <a:ext uri="{FF2B5EF4-FFF2-40B4-BE49-F238E27FC236}">
                  <a16:creationId xmlns:a16="http://schemas.microsoft.com/office/drawing/2014/main" id="{00000000-0008-0000-0200-0000AE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418460" y="5977990"/>
              <a:ext cx="168982" cy="9150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1" name="Arc 1479">
              <a:extLst>
                <a:ext uri="{FF2B5EF4-FFF2-40B4-BE49-F238E27FC236}">
                  <a16:creationId xmlns:a16="http://schemas.microsoft.com/office/drawing/2014/main" id="{00000000-0008-0000-0200-0000AF010000}"/>
                </a:ext>
              </a:extLst>
            </xdr:cNvPr>
            <xdr:cNvSpPr>
              <a:spLocks/>
            </xdr:cNvSpPr>
          </xdr:nvSpPr>
          <xdr:spPr bwMode="auto">
            <a:xfrm flipH="1" flipV="1">
              <a:off x="2587442" y="5977991"/>
              <a:ext cx="197146" cy="12748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2" name="Rectangle 431">
              <a:extLst>
                <a:ext uri="{FF2B5EF4-FFF2-40B4-BE49-F238E27FC236}">
                  <a16:creationId xmlns:a16="http://schemas.microsoft.com/office/drawing/2014/main" id="{00000000-0008-0000-0200-0000B0010000}"/>
                </a:ext>
              </a:extLst>
            </xdr:cNvPr>
            <xdr:cNvSpPr/>
          </xdr:nvSpPr>
          <xdr:spPr>
            <a:xfrm>
              <a:off x="2410275" y="5913786"/>
              <a:ext cx="156992" cy="70248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3" name="Rectangle 432">
              <a:extLst>
                <a:ext uri="{FF2B5EF4-FFF2-40B4-BE49-F238E27FC236}">
                  <a16:creationId xmlns:a16="http://schemas.microsoft.com/office/drawing/2014/main" id="{00000000-0008-0000-0200-0000B1010000}"/>
                </a:ext>
              </a:extLst>
            </xdr:cNvPr>
            <xdr:cNvSpPr/>
          </xdr:nvSpPr>
          <xdr:spPr>
            <a:xfrm>
              <a:off x="2567267" y="5742069"/>
              <a:ext cx="494525" cy="241966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4" name="Rectangle 433">
              <a:extLst>
                <a:ext uri="{FF2B5EF4-FFF2-40B4-BE49-F238E27FC236}">
                  <a16:creationId xmlns:a16="http://schemas.microsoft.com/office/drawing/2014/main" id="{00000000-0008-0000-0200-0000B2010000}"/>
                </a:ext>
              </a:extLst>
            </xdr:cNvPr>
            <xdr:cNvSpPr/>
          </xdr:nvSpPr>
          <xdr:spPr>
            <a:xfrm>
              <a:off x="3061792" y="5812317"/>
              <a:ext cx="39248" cy="780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5" name="Arc 1473">
              <a:extLst>
                <a:ext uri="{FF2B5EF4-FFF2-40B4-BE49-F238E27FC236}">
                  <a16:creationId xmlns:a16="http://schemas.microsoft.com/office/drawing/2014/main" id="{00000000-0008-0000-0200-0000B3010000}"/>
                </a:ext>
              </a:extLst>
            </xdr:cNvPr>
            <xdr:cNvSpPr>
              <a:spLocks/>
            </xdr:cNvSpPr>
          </xdr:nvSpPr>
          <xdr:spPr bwMode="auto">
            <a:xfrm>
              <a:off x="3101431" y="5805264"/>
              <a:ext cx="174425" cy="81222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6" name="Arc 1474">
              <a:extLst>
                <a:ext uri="{FF2B5EF4-FFF2-40B4-BE49-F238E27FC236}">
                  <a16:creationId xmlns:a16="http://schemas.microsoft.com/office/drawing/2014/main" id="{00000000-0008-0000-0200-0000B4010000}"/>
                </a:ext>
              </a:extLst>
            </xdr:cNvPr>
            <xdr:cNvSpPr>
              <a:spLocks/>
            </xdr:cNvSpPr>
          </xdr:nvSpPr>
          <xdr:spPr bwMode="auto">
            <a:xfrm>
              <a:off x="2876121" y="5661248"/>
              <a:ext cx="225310" cy="144016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7" name="Rectangle 436">
              <a:extLst>
                <a:ext uri="{FF2B5EF4-FFF2-40B4-BE49-F238E27FC236}">
                  <a16:creationId xmlns:a16="http://schemas.microsoft.com/office/drawing/2014/main" id="{00000000-0008-0000-0200-0000B5010000}"/>
                </a:ext>
              </a:extLst>
            </xdr:cNvPr>
            <xdr:cNvSpPr/>
          </xdr:nvSpPr>
          <xdr:spPr>
            <a:xfrm>
              <a:off x="2787056" y="5984034"/>
              <a:ext cx="172691" cy="6244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8" name="Arc 1481">
              <a:extLst>
                <a:ext uri="{FF2B5EF4-FFF2-40B4-BE49-F238E27FC236}">
                  <a16:creationId xmlns:a16="http://schemas.microsoft.com/office/drawing/2014/main" id="{00000000-0008-0000-0200-0000B6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960613" y="5886486"/>
              <a:ext cx="315244" cy="16189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9" name="Arc 1480">
              <a:extLst>
                <a:ext uri="{FF2B5EF4-FFF2-40B4-BE49-F238E27FC236}">
                  <a16:creationId xmlns:a16="http://schemas.microsoft.com/office/drawing/2014/main" id="{00000000-0008-0000-0200-0000B7010000}"/>
                </a:ext>
              </a:extLst>
            </xdr:cNvPr>
            <xdr:cNvSpPr>
              <a:spLocks/>
            </xdr:cNvSpPr>
          </xdr:nvSpPr>
          <xdr:spPr bwMode="auto">
            <a:xfrm flipV="1">
              <a:off x="2771800" y="6045641"/>
              <a:ext cx="188812" cy="59831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solidFill>
              <a:srgbClr val="F2F2F2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44</xdr:col>
      <xdr:colOff>600075</xdr:colOff>
      <xdr:row>137</xdr:row>
      <xdr:rowOff>95250</xdr:rowOff>
    </xdr:from>
    <xdr:to>
      <xdr:col>45</xdr:col>
      <xdr:colOff>238125</xdr:colOff>
      <xdr:row>137</xdr:row>
      <xdr:rowOff>95250</xdr:rowOff>
    </xdr:to>
    <xdr:sp macro="" textlink="">
      <xdr:nvSpPr>
        <xdr:cNvPr id="440" name="Line 1493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>
          <a:spLocks noChangeShapeType="1"/>
        </xdr:cNvSpPr>
      </xdr:nvSpPr>
      <xdr:spPr bwMode="auto">
        <a:xfrm flipV="1">
          <a:off x="27422475" y="22278975"/>
          <a:ext cx="24765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428625</xdr:colOff>
      <xdr:row>132</xdr:row>
      <xdr:rowOff>114300</xdr:rowOff>
    </xdr:from>
    <xdr:to>
      <xdr:col>46</xdr:col>
      <xdr:colOff>695325</xdr:colOff>
      <xdr:row>134</xdr:row>
      <xdr:rowOff>66675</xdr:rowOff>
    </xdr:to>
    <xdr:sp macro="" textlink="">
      <xdr:nvSpPr>
        <xdr:cNvPr id="441" name="Line 2552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SpPr>
          <a:spLocks noChangeShapeType="1"/>
        </xdr:cNvSpPr>
      </xdr:nvSpPr>
      <xdr:spPr bwMode="auto">
        <a:xfrm rot="18953249" flipV="1">
          <a:off x="28470225" y="21488400"/>
          <a:ext cx="180975" cy="276225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49</xdr:col>
      <xdr:colOff>114300</xdr:colOff>
      <xdr:row>143</xdr:row>
      <xdr:rowOff>28575</xdr:rowOff>
    </xdr:from>
    <xdr:to>
      <xdr:col>49</xdr:col>
      <xdr:colOff>114300</xdr:colOff>
      <xdr:row>145</xdr:row>
      <xdr:rowOff>152400</xdr:rowOff>
    </xdr:to>
    <xdr:cxnSp macro="">
      <xdr:nvCxnSpPr>
        <xdr:cNvPr id="442" name="Straight Arrow Connector 822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CxnSpPr>
          <a:cxnSpLocks/>
        </xdr:cNvCxnSpPr>
      </xdr:nvCxnSpPr>
      <xdr:spPr bwMode="auto">
        <a:xfrm>
          <a:off x="29984700" y="23183850"/>
          <a:ext cx="0" cy="4476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49</xdr:col>
      <xdr:colOff>400050</xdr:colOff>
      <xdr:row>160</xdr:row>
      <xdr:rowOff>85725</xdr:rowOff>
    </xdr:from>
    <xdr:to>
      <xdr:col>50</xdr:col>
      <xdr:colOff>123825</xdr:colOff>
      <xdr:row>160</xdr:row>
      <xdr:rowOff>85725</xdr:rowOff>
    </xdr:to>
    <xdr:sp macro="" textlink="">
      <xdr:nvSpPr>
        <xdr:cNvPr id="443" name="Line 1493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SpPr>
          <a:spLocks noChangeShapeType="1"/>
        </xdr:cNvSpPr>
      </xdr:nvSpPr>
      <xdr:spPr bwMode="auto">
        <a:xfrm flipH="1" flipV="1">
          <a:off x="30270450" y="25993725"/>
          <a:ext cx="33337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49</xdr:col>
      <xdr:colOff>219075</xdr:colOff>
      <xdr:row>164</xdr:row>
      <xdr:rowOff>104775</xdr:rowOff>
    </xdr:from>
    <xdr:to>
      <xdr:col>49</xdr:col>
      <xdr:colOff>504825</xdr:colOff>
      <xdr:row>166</xdr:row>
      <xdr:rowOff>66675</xdr:rowOff>
    </xdr:to>
    <xdr:sp macro="" textlink="">
      <xdr:nvSpPr>
        <xdr:cNvPr id="444" name="Line 2552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SpPr>
          <a:spLocks noChangeShapeType="1"/>
        </xdr:cNvSpPr>
      </xdr:nvSpPr>
      <xdr:spPr bwMode="auto">
        <a:xfrm rot="18953249" flipH="1">
          <a:off x="30089475" y="26660475"/>
          <a:ext cx="28575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76200</xdr:colOff>
      <xdr:row>164</xdr:row>
      <xdr:rowOff>114300</xdr:rowOff>
    </xdr:from>
    <xdr:to>
      <xdr:col>47</xdr:col>
      <xdr:colOff>361950</xdr:colOff>
      <xdr:row>166</xdr:row>
      <xdr:rowOff>76200</xdr:rowOff>
    </xdr:to>
    <xdr:sp macro="" textlink="">
      <xdr:nvSpPr>
        <xdr:cNvPr id="445" name="Line 2552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SpPr>
          <a:spLocks noChangeShapeType="1"/>
        </xdr:cNvSpPr>
      </xdr:nvSpPr>
      <xdr:spPr bwMode="auto">
        <a:xfrm rot="18953249" flipH="1">
          <a:off x="28727400" y="26670000"/>
          <a:ext cx="28575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628650</xdr:colOff>
      <xdr:row>144</xdr:row>
      <xdr:rowOff>28575</xdr:rowOff>
    </xdr:from>
    <xdr:to>
      <xdr:col>46</xdr:col>
      <xdr:colOff>628650</xdr:colOff>
      <xdr:row>146</xdr:row>
      <xdr:rowOff>152400</xdr:rowOff>
    </xdr:to>
    <xdr:cxnSp macro="">
      <xdr:nvCxnSpPr>
        <xdr:cNvPr id="446" name="Straight Arrow Connector 822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CxnSpPr>
          <a:cxnSpLocks/>
        </xdr:cNvCxnSpPr>
      </xdr:nvCxnSpPr>
      <xdr:spPr bwMode="auto">
        <a:xfrm>
          <a:off x="28651200" y="23345775"/>
          <a:ext cx="0" cy="4476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46</xdr:col>
      <xdr:colOff>76200</xdr:colOff>
      <xdr:row>152</xdr:row>
      <xdr:rowOff>28575</xdr:rowOff>
    </xdr:from>
    <xdr:to>
      <xdr:col>46</xdr:col>
      <xdr:colOff>76200</xdr:colOff>
      <xdr:row>154</xdr:row>
      <xdr:rowOff>142875</xdr:rowOff>
    </xdr:to>
    <xdr:cxnSp macro="">
      <xdr:nvCxnSpPr>
        <xdr:cNvPr id="447" name="Straight Arrow Connector 822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CxnSpPr>
          <a:cxnSpLocks/>
        </xdr:cNvCxnSpPr>
      </xdr:nvCxnSpPr>
      <xdr:spPr bwMode="auto">
        <a:xfrm>
          <a:off x="28117800" y="24641175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46</xdr:col>
      <xdr:colOff>76200</xdr:colOff>
      <xdr:row>158</xdr:row>
      <xdr:rowOff>28575</xdr:rowOff>
    </xdr:from>
    <xdr:to>
      <xdr:col>46</xdr:col>
      <xdr:colOff>76200</xdr:colOff>
      <xdr:row>160</xdr:row>
      <xdr:rowOff>142875</xdr:rowOff>
    </xdr:to>
    <xdr:cxnSp macro="">
      <xdr:nvCxnSpPr>
        <xdr:cNvPr id="448" name="Straight Arrow Connector 822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CxnSpPr>
          <a:cxnSpLocks/>
        </xdr:cNvCxnSpPr>
      </xdr:nvCxnSpPr>
      <xdr:spPr bwMode="auto">
        <a:xfrm>
          <a:off x="28117800" y="25612725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50</xdr:col>
      <xdr:colOff>600075</xdr:colOff>
      <xdr:row>137</xdr:row>
      <xdr:rowOff>95250</xdr:rowOff>
    </xdr:from>
    <xdr:to>
      <xdr:col>51</xdr:col>
      <xdr:colOff>247650</xdr:colOff>
      <xdr:row>137</xdr:row>
      <xdr:rowOff>95250</xdr:rowOff>
    </xdr:to>
    <xdr:sp macro="" textlink="">
      <xdr:nvSpPr>
        <xdr:cNvPr id="449" name="Line 1493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>
          <a:spLocks noChangeShapeType="1"/>
        </xdr:cNvSpPr>
      </xdr:nvSpPr>
      <xdr:spPr bwMode="auto">
        <a:xfrm flipV="1">
          <a:off x="31080075" y="22278975"/>
          <a:ext cx="25717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628650</xdr:colOff>
      <xdr:row>148</xdr:row>
      <xdr:rowOff>104775</xdr:rowOff>
    </xdr:from>
    <xdr:to>
      <xdr:col>45</xdr:col>
      <xdr:colOff>276225</xdr:colOff>
      <xdr:row>148</xdr:row>
      <xdr:rowOff>104775</xdr:rowOff>
    </xdr:to>
    <xdr:sp macro="" textlink="">
      <xdr:nvSpPr>
        <xdr:cNvPr id="450" name="Line 1493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>
          <a:spLocks noChangeShapeType="1"/>
        </xdr:cNvSpPr>
      </xdr:nvSpPr>
      <xdr:spPr bwMode="auto">
        <a:xfrm flipV="1">
          <a:off x="27432000" y="24069675"/>
          <a:ext cx="27622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647700</xdr:colOff>
      <xdr:row>135</xdr:row>
      <xdr:rowOff>66675</xdr:rowOff>
    </xdr:from>
    <xdr:to>
      <xdr:col>45</xdr:col>
      <xdr:colOff>295275</xdr:colOff>
      <xdr:row>135</xdr:row>
      <xdr:rowOff>66675</xdr:rowOff>
    </xdr:to>
    <xdr:sp macro="" textlink="">
      <xdr:nvSpPr>
        <xdr:cNvPr id="451" name="Line 1548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>
          <a:spLocks noChangeShapeType="1"/>
        </xdr:cNvSpPr>
      </xdr:nvSpPr>
      <xdr:spPr bwMode="auto">
        <a:xfrm flipV="1">
          <a:off x="27432000" y="21926550"/>
          <a:ext cx="295275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542925</xdr:colOff>
      <xdr:row>135</xdr:row>
      <xdr:rowOff>123825</xdr:rowOff>
    </xdr:from>
    <xdr:to>
      <xdr:col>45</xdr:col>
      <xdr:colOff>190500</xdr:colOff>
      <xdr:row>135</xdr:row>
      <xdr:rowOff>123825</xdr:rowOff>
    </xdr:to>
    <xdr:sp macro="" textlink="">
      <xdr:nvSpPr>
        <xdr:cNvPr id="452" name="Line 1549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>
          <a:spLocks noChangeShapeType="1"/>
        </xdr:cNvSpPr>
      </xdr:nvSpPr>
      <xdr:spPr bwMode="auto">
        <a:xfrm flipH="1">
          <a:off x="27365325" y="21983700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666750</xdr:colOff>
      <xdr:row>146</xdr:row>
      <xdr:rowOff>66675</xdr:rowOff>
    </xdr:from>
    <xdr:to>
      <xdr:col>45</xdr:col>
      <xdr:colOff>314325</xdr:colOff>
      <xdr:row>146</xdr:row>
      <xdr:rowOff>66675</xdr:rowOff>
    </xdr:to>
    <xdr:sp macro="" textlink="">
      <xdr:nvSpPr>
        <xdr:cNvPr id="453" name="Line 1548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>
          <a:spLocks noChangeShapeType="1"/>
        </xdr:cNvSpPr>
      </xdr:nvSpPr>
      <xdr:spPr bwMode="auto">
        <a:xfrm flipV="1">
          <a:off x="27432000" y="23707725"/>
          <a:ext cx="314325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561975</xdr:colOff>
      <xdr:row>146</xdr:row>
      <xdr:rowOff>114300</xdr:rowOff>
    </xdr:from>
    <xdr:to>
      <xdr:col>45</xdr:col>
      <xdr:colOff>209550</xdr:colOff>
      <xdr:row>146</xdr:row>
      <xdr:rowOff>114300</xdr:rowOff>
    </xdr:to>
    <xdr:sp macro="" textlink="">
      <xdr:nvSpPr>
        <xdr:cNvPr id="454" name="Line 1549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SpPr>
          <a:spLocks noChangeShapeType="1"/>
        </xdr:cNvSpPr>
      </xdr:nvSpPr>
      <xdr:spPr bwMode="auto">
        <a:xfrm flipH="1">
          <a:off x="27384375" y="23755350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657225</xdr:colOff>
      <xdr:row>156</xdr:row>
      <xdr:rowOff>57150</xdr:rowOff>
    </xdr:from>
    <xdr:to>
      <xdr:col>45</xdr:col>
      <xdr:colOff>304800</xdr:colOff>
      <xdr:row>156</xdr:row>
      <xdr:rowOff>57150</xdr:rowOff>
    </xdr:to>
    <xdr:sp macro="" textlink="">
      <xdr:nvSpPr>
        <xdr:cNvPr id="455" name="Line 1548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>
          <a:spLocks noChangeShapeType="1"/>
        </xdr:cNvSpPr>
      </xdr:nvSpPr>
      <xdr:spPr bwMode="auto">
        <a:xfrm flipV="1">
          <a:off x="27432000" y="25317450"/>
          <a:ext cx="30480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552450</xdr:colOff>
      <xdr:row>156</xdr:row>
      <xdr:rowOff>114300</xdr:rowOff>
    </xdr:from>
    <xdr:to>
      <xdr:col>45</xdr:col>
      <xdr:colOff>200025</xdr:colOff>
      <xdr:row>156</xdr:row>
      <xdr:rowOff>114300</xdr:rowOff>
    </xdr:to>
    <xdr:sp macro="" textlink="">
      <xdr:nvSpPr>
        <xdr:cNvPr id="456" name="Line 1549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>
          <a:spLocks noChangeShapeType="1"/>
        </xdr:cNvSpPr>
      </xdr:nvSpPr>
      <xdr:spPr bwMode="auto">
        <a:xfrm flipH="1">
          <a:off x="27374850" y="25374600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400050</xdr:colOff>
      <xdr:row>132</xdr:row>
      <xdr:rowOff>142875</xdr:rowOff>
    </xdr:from>
    <xdr:to>
      <xdr:col>52</xdr:col>
      <xdr:colOff>666750</xdr:colOff>
      <xdr:row>134</xdr:row>
      <xdr:rowOff>95250</xdr:rowOff>
    </xdr:to>
    <xdr:sp macro="" textlink="">
      <xdr:nvSpPr>
        <xdr:cNvPr id="457" name="Line 2552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>
          <a:spLocks noChangeShapeType="1"/>
        </xdr:cNvSpPr>
      </xdr:nvSpPr>
      <xdr:spPr bwMode="auto">
        <a:xfrm rot="18953249" flipV="1">
          <a:off x="32099250" y="21516975"/>
          <a:ext cx="209550" cy="276225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657225</xdr:colOff>
      <xdr:row>146</xdr:row>
      <xdr:rowOff>66675</xdr:rowOff>
    </xdr:from>
    <xdr:to>
      <xdr:col>51</xdr:col>
      <xdr:colOff>304800</xdr:colOff>
      <xdr:row>146</xdr:row>
      <xdr:rowOff>66675</xdr:rowOff>
    </xdr:to>
    <xdr:sp macro="" textlink="">
      <xdr:nvSpPr>
        <xdr:cNvPr id="458" name="Line 1548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>
          <a:spLocks noChangeShapeType="1"/>
        </xdr:cNvSpPr>
      </xdr:nvSpPr>
      <xdr:spPr bwMode="auto">
        <a:xfrm flipV="1">
          <a:off x="31089600" y="23707725"/>
          <a:ext cx="30480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552450</xdr:colOff>
      <xdr:row>146</xdr:row>
      <xdr:rowOff>123825</xdr:rowOff>
    </xdr:from>
    <xdr:to>
      <xdr:col>51</xdr:col>
      <xdr:colOff>200025</xdr:colOff>
      <xdr:row>146</xdr:row>
      <xdr:rowOff>123825</xdr:rowOff>
    </xdr:to>
    <xdr:sp macro="" textlink="">
      <xdr:nvSpPr>
        <xdr:cNvPr id="459" name="Line 1549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>
          <a:spLocks noChangeShapeType="1"/>
        </xdr:cNvSpPr>
      </xdr:nvSpPr>
      <xdr:spPr bwMode="auto">
        <a:xfrm flipH="1">
          <a:off x="31032450" y="23764875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647700</xdr:colOff>
      <xdr:row>156</xdr:row>
      <xdr:rowOff>57150</xdr:rowOff>
    </xdr:from>
    <xdr:to>
      <xdr:col>51</xdr:col>
      <xdr:colOff>285750</xdr:colOff>
      <xdr:row>156</xdr:row>
      <xdr:rowOff>57150</xdr:rowOff>
    </xdr:to>
    <xdr:sp macro="" textlink="">
      <xdr:nvSpPr>
        <xdr:cNvPr id="460" name="Line 1548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>
          <a:spLocks noChangeShapeType="1"/>
        </xdr:cNvSpPr>
      </xdr:nvSpPr>
      <xdr:spPr bwMode="auto">
        <a:xfrm flipV="1">
          <a:off x="31089600" y="25317450"/>
          <a:ext cx="28575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533400</xdr:colOff>
      <xdr:row>156</xdr:row>
      <xdr:rowOff>114300</xdr:rowOff>
    </xdr:from>
    <xdr:to>
      <xdr:col>51</xdr:col>
      <xdr:colOff>180975</xdr:colOff>
      <xdr:row>156</xdr:row>
      <xdr:rowOff>114300</xdr:rowOff>
    </xdr:to>
    <xdr:sp macro="" textlink="">
      <xdr:nvSpPr>
        <xdr:cNvPr id="461" name="Line 1549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>
          <a:spLocks noChangeShapeType="1"/>
        </xdr:cNvSpPr>
      </xdr:nvSpPr>
      <xdr:spPr bwMode="auto">
        <a:xfrm flipH="1">
          <a:off x="31013400" y="25374600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638175</xdr:colOff>
      <xdr:row>135</xdr:row>
      <xdr:rowOff>66675</xdr:rowOff>
    </xdr:from>
    <xdr:to>
      <xdr:col>51</xdr:col>
      <xdr:colOff>285750</xdr:colOff>
      <xdr:row>135</xdr:row>
      <xdr:rowOff>66675</xdr:rowOff>
    </xdr:to>
    <xdr:sp macro="" textlink="">
      <xdr:nvSpPr>
        <xdr:cNvPr id="462" name="Line 1548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>
          <a:spLocks noChangeShapeType="1"/>
        </xdr:cNvSpPr>
      </xdr:nvSpPr>
      <xdr:spPr bwMode="auto">
        <a:xfrm flipV="1">
          <a:off x="31089600" y="21926550"/>
          <a:ext cx="28575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533400</xdr:colOff>
      <xdr:row>135</xdr:row>
      <xdr:rowOff>114300</xdr:rowOff>
    </xdr:from>
    <xdr:to>
      <xdr:col>51</xdr:col>
      <xdr:colOff>180975</xdr:colOff>
      <xdr:row>135</xdr:row>
      <xdr:rowOff>114300</xdr:rowOff>
    </xdr:to>
    <xdr:sp macro="" textlink="">
      <xdr:nvSpPr>
        <xdr:cNvPr id="463" name="Line 1549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>
          <a:spLocks noChangeShapeType="1"/>
        </xdr:cNvSpPr>
      </xdr:nvSpPr>
      <xdr:spPr bwMode="auto">
        <a:xfrm flipH="1">
          <a:off x="31013400" y="21974175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66675</xdr:colOff>
      <xdr:row>158</xdr:row>
      <xdr:rowOff>28575</xdr:rowOff>
    </xdr:from>
    <xdr:to>
      <xdr:col>52</xdr:col>
      <xdr:colOff>66675</xdr:colOff>
      <xdr:row>160</xdr:row>
      <xdr:rowOff>142875</xdr:rowOff>
    </xdr:to>
    <xdr:cxnSp macro="">
      <xdr:nvCxnSpPr>
        <xdr:cNvPr id="464" name="Straight Arrow Connector 822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CxnSpPr>
          <a:cxnSpLocks/>
        </xdr:cNvCxnSpPr>
      </xdr:nvCxnSpPr>
      <xdr:spPr bwMode="auto">
        <a:xfrm>
          <a:off x="31765875" y="25612725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52</xdr:col>
      <xdr:colOff>66675</xdr:colOff>
      <xdr:row>152</xdr:row>
      <xdr:rowOff>38100</xdr:rowOff>
    </xdr:from>
    <xdr:to>
      <xdr:col>52</xdr:col>
      <xdr:colOff>66675</xdr:colOff>
      <xdr:row>154</xdr:row>
      <xdr:rowOff>152400</xdr:rowOff>
    </xdr:to>
    <xdr:cxnSp macro="">
      <xdr:nvCxnSpPr>
        <xdr:cNvPr id="465" name="Straight Arrow Connector 822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CxnSpPr>
          <a:cxnSpLocks/>
        </xdr:cNvCxnSpPr>
      </xdr:nvCxnSpPr>
      <xdr:spPr bwMode="auto">
        <a:xfrm>
          <a:off x="31765875" y="24650700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52</xdr:col>
      <xdr:colOff>600075</xdr:colOff>
      <xdr:row>144</xdr:row>
      <xdr:rowOff>28575</xdr:rowOff>
    </xdr:from>
    <xdr:to>
      <xdr:col>52</xdr:col>
      <xdr:colOff>600075</xdr:colOff>
      <xdr:row>146</xdr:row>
      <xdr:rowOff>142875</xdr:rowOff>
    </xdr:to>
    <xdr:cxnSp macro="">
      <xdr:nvCxnSpPr>
        <xdr:cNvPr id="466" name="Straight Arrow Connector 822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CxnSpPr>
          <a:cxnSpLocks/>
        </xdr:cNvCxnSpPr>
      </xdr:nvCxnSpPr>
      <xdr:spPr bwMode="auto">
        <a:xfrm>
          <a:off x="32299275" y="23345775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50</xdr:col>
      <xdr:colOff>600075</xdr:colOff>
      <xdr:row>148</xdr:row>
      <xdr:rowOff>95250</xdr:rowOff>
    </xdr:from>
    <xdr:to>
      <xdr:col>51</xdr:col>
      <xdr:colOff>247650</xdr:colOff>
      <xdr:row>148</xdr:row>
      <xdr:rowOff>95250</xdr:rowOff>
    </xdr:to>
    <xdr:sp macro="" textlink="">
      <xdr:nvSpPr>
        <xdr:cNvPr id="467" name="Line 1493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>
          <a:spLocks noChangeShapeType="1"/>
        </xdr:cNvSpPr>
      </xdr:nvSpPr>
      <xdr:spPr bwMode="auto">
        <a:xfrm flipV="1">
          <a:off x="31080075" y="24060150"/>
          <a:ext cx="25717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219075</xdr:colOff>
      <xdr:row>164</xdr:row>
      <xdr:rowOff>95250</xdr:rowOff>
    </xdr:from>
    <xdr:to>
      <xdr:col>55</xdr:col>
      <xdr:colOff>504825</xdr:colOff>
      <xdr:row>166</xdr:row>
      <xdr:rowOff>57150</xdr:rowOff>
    </xdr:to>
    <xdr:sp macro="" textlink="">
      <xdr:nvSpPr>
        <xdr:cNvPr id="468" name="Line 2552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>
          <a:spLocks noChangeShapeType="1"/>
        </xdr:cNvSpPr>
      </xdr:nvSpPr>
      <xdr:spPr bwMode="auto">
        <a:xfrm rot="18953249" flipH="1">
          <a:off x="33747075" y="26650950"/>
          <a:ext cx="28575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53</xdr:col>
      <xdr:colOff>76200</xdr:colOff>
      <xdr:row>164</xdr:row>
      <xdr:rowOff>104775</xdr:rowOff>
    </xdr:from>
    <xdr:to>
      <xdr:col>53</xdr:col>
      <xdr:colOff>361950</xdr:colOff>
      <xdr:row>166</xdr:row>
      <xdr:rowOff>66675</xdr:rowOff>
    </xdr:to>
    <xdr:sp macro="" textlink="">
      <xdr:nvSpPr>
        <xdr:cNvPr id="469" name="Line 2552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>
          <a:spLocks noChangeShapeType="1"/>
        </xdr:cNvSpPr>
      </xdr:nvSpPr>
      <xdr:spPr bwMode="auto">
        <a:xfrm rot="18953249" flipH="1">
          <a:off x="32385000" y="26660475"/>
          <a:ext cx="28575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381000</xdr:colOff>
      <xdr:row>160</xdr:row>
      <xdr:rowOff>76200</xdr:rowOff>
    </xdr:from>
    <xdr:to>
      <xdr:col>56</xdr:col>
      <xdr:colOff>104775</xdr:colOff>
      <xdr:row>160</xdr:row>
      <xdr:rowOff>76200</xdr:rowOff>
    </xdr:to>
    <xdr:sp macro="" textlink="">
      <xdr:nvSpPr>
        <xdr:cNvPr id="470" name="Line 1493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>
          <a:spLocks noChangeShapeType="1"/>
        </xdr:cNvSpPr>
      </xdr:nvSpPr>
      <xdr:spPr bwMode="auto">
        <a:xfrm flipH="1" flipV="1">
          <a:off x="33909000" y="25984200"/>
          <a:ext cx="333375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38100</xdr:colOff>
      <xdr:row>134</xdr:row>
      <xdr:rowOff>0</xdr:rowOff>
    </xdr:from>
    <xdr:to>
      <xdr:col>55</xdr:col>
      <xdr:colOff>657225</xdr:colOff>
      <xdr:row>164</xdr:row>
      <xdr:rowOff>142875</xdr:rowOff>
    </xdr:to>
    <xdr:grpSp>
      <xdr:nvGrpSpPr>
        <xdr:cNvPr id="471" name="Group 636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GrpSpPr>
          <a:grpSpLocks/>
        </xdr:cNvGrpSpPr>
      </xdr:nvGrpSpPr>
      <xdr:grpSpPr bwMode="auto">
        <a:xfrm>
          <a:off x="30525720" y="21442680"/>
          <a:ext cx="3545205" cy="4943475"/>
          <a:chOff x="26729531" y="21566981"/>
          <a:chExt cx="3476625" cy="4963716"/>
        </a:xfrm>
      </xdr:grpSpPr>
      <xdr:sp macro="" textlink="">
        <xdr:nvSpPr>
          <xdr:cNvPr id="472" name="Line 2130">
            <a:extLst>
              <a:ext uri="{FF2B5EF4-FFF2-40B4-BE49-F238E27FC236}">
                <a16:creationId xmlns:a16="http://schemas.microsoft.com/office/drawing/2014/main" id="{00000000-0008-0000-0200-0000D8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8671771" y="23231294"/>
            <a:ext cx="430475" cy="329940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" name="Rectangle 2131">
            <a:extLst>
              <a:ext uri="{FF2B5EF4-FFF2-40B4-BE49-F238E27FC236}">
                <a16:creationId xmlns:a16="http://schemas.microsoft.com/office/drawing/2014/main" id="{00000000-0008-0000-0200-0000D9010000}"/>
              </a:ext>
            </a:extLst>
          </xdr:cNvPr>
          <xdr:cNvSpPr>
            <a:spLocks noChangeArrowheads="1"/>
          </xdr:cNvSpPr>
        </xdr:nvSpPr>
        <xdr:spPr bwMode="auto">
          <a:xfrm>
            <a:off x="26729531" y="21566981"/>
            <a:ext cx="3476625" cy="495421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74" name="Line 2132">
            <a:extLst>
              <a:ext uri="{FF2B5EF4-FFF2-40B4-BE49-F238E27FC236}">
                <a16:creationId xmlns:a16="http://schemas.microsoft.com/office/drawing/2014/main" id="{00000000-0008-0000-0200-0000DA0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6741204" y="24658163"/>
            <a:ext cx="218678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5" name="Line 2133">
            <a:extLst>
              <a:ext uri="{FF2B5EF4-FFF2-40B4-BE49-F238E27FC236}">
                <a16:creationId xmlns:a16="http://schemas.microsoft.com/office/drawing/2014/main" id="{00000000-0008-0000-0200-0000DB010000}"/>
              </a:ext>
            </a:extLst>
          </xdr:cNvPr>
          <xdr:cNvSpPr>
            <a:spLocks noChangeShapeType="1"/>
          </xdr:cNvSpPr>
        </xdr:nvSpPr>
        <xdr:spPr bwMode="auto">
          <a:xfrm>
            <a:off x="29111731" y="23231294"/>
            <a:ext cx="108494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6" name="Line 2134">
            <a:extLst>
              <a:ext uri="{FF2B5EF4-FFF2-40B4-BE49-F238E27FC236}">
                <a16:creationId xmlns:a16="http://schemas.microsoft.com/office/drawing/2014/main" id="{00000000-0008-0000-0200-0000DC010000}"/>
              </a:ext>
            </a:extLst>
          </xdr:cNvPr>
          <xdr:cNvSpPr>
            <a:spLocks noChangeShapeType="1"/>
          </xdr:cNvSpPr>
        </xdr:nvSpPr>
        <xdr:spPr bwMode="auto">
          <a:xfrm>
            <a:off x="26733180" y="25644475"/>
            <a:ext cx="204338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7" name="Line 2132">
            <a:extLst>
              <a:ext uri="{FF2B5EF4-FFF2-40B4-BE49-F238E27FC236}">
                <a16:creationId xmlns:a16="http://schemas.microsoft.com/office/drawing/2014/main" id="{00000000-0008-0000-0200-0000DD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6748501" y="23386913"/>
            <a:ext cx="233017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53</xdr:col>
      <xdr:colOff>714375</xdr:colOff>
      <xdr:row>143</xdr:row>
      <xdr:rowOff>66675</xdr:rowOff>
    </xdr:from>
    <xdr:to>
      <xdr:col>54</xdr:col>
      <xdr:colOff>428625</xdr:colOff>
      <xdr:row>146</xdr:row>
      <xdr:rowOff>66675</xdr:rowOff>
    </xdr:to>
    <xdr:sp macro="" textlink="">
      <xdr:nvSpPr>
        <xdr:cNvPr id="478" name="Freeform 2190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>
          <a:spLocks/>
        </xdr:cNvSpPr>
      </xdr:nvSpPr>
      <xdr:spPr bwMode="auto">
        <a:xfrm>
          <a:off x="32918400" y="23221950"/>
          <a:ext cx="428625" cy="485775"/>
        </a:xfrm>
        <a:custGeom>
          <a:avLst/>
          <a:gdLst>
            <a:gd name="T0" fmla="*/ 2147483647 w 82"/>
            <a:gd name="T1" fmla="*/ 2147483647 h 121"/>
            <a:gd name="T2" fmla="*/ 2147483647 w 82"/>
            <a:gd name="T3" fmla="*/ 0 h 121"/>
            <a:gd name="T4" fmla="*/ 2147483647 w 82"/>
            <a:gd name="T5" fmla="*/ 0 h 121"/>
            <a:gd name="T6" fmla="*/ 0 w 82"/>
            <a:gd name="T7" fmla="*/ 2147483647 h 121"/>
            <a:gd name="T8" fmla="*/ 0 60000 65536"/>
            <a:gd name="T9" fmla="*/ 0 60000 65536"/>
            <a:gd name="T10" fmla="*/ 0 60000 65536"/>
            <a:gd name="T11" fmla="*/ 0 60000 65536"/>
            <a:gd name="T12" fmla="*/ 0 w 82"/>
            <a:gd name="T13" fmla="*/ 0 h 121"/>
            <a:gd name="T14" fmla="*/ 82 w 82"/>
            <a:gd name="T15" fmla="*/ 121 h 12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82" h="121">
              <a:moveTo>
                <a:pt x="82" y="51"/>
              </a:moveTo>
              <a:lnTo>
                <a:pt x="82" y="0"/>
              </a:lnTo>
              <a:lnTo>
                <a:pt x="34" y="0"/>
              </a:lnTo>
              <a:lnTo>
                <a:pt x="0" y="121"/>
              </a:lnTo>
            </a:path>
          </a:pathLst>
        </a:custGeom>
        <a:noFill/>
        <a:ln w="12700">
          <a:solidFill>
            <a:srgbClr val="E46C0A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55</xdr:col>
      <xdr:colOff>133350</xdr:colOff>
      <xdr:row>143</xdr:row>
      <xdr:rowOff>38100</xdr:rowOff>
    </xdr:from>
    <xdr:to>
      <xdr:col>55</xdr:col>
      <xdr:colOff>133350</xdr:colOff>
      <xdr:row>145</xdr:row>
      <xdr:rowOff>161925</xdr:rowOff>
    </xdr:to>
    <xdr:cxnSp macro="">
      <xdr:nvCxnSpPr>
        <xdr:cNvPr id="479" name="Straight Arrow Connector 822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CxnSpPr>
          <a:cxnSpLocks/>
        </xdr:cNvCxnSpPr>
      </xdr:nvCxnSpPr>
      <xdr:spPr bwMode="auto">
        <a:xfrm>
          <a:off x="33661350" y="23193375"/>
          <a:ext cx="0" cy="447675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57</xdr:col>
      <xdr:colOff>38100</xdr:colOff>
      <xdr:row>134</xdr:row>
      <xdr:rowOff>0</xdr:rowOff>
    </xdr:from>
    <xdr:to>
      <xdr:col>62</xdr:col>
      <xdr:colOff>0</xdr:colOff>
      <xdr:row>164</xdr:row>
      <xdr:rowOff>142875</xdr:rowOff>
    </xdr:to>
    <xdr:grpSp>
      <xdr:nvGrpSpPr>
        <xdr:cNvPr id="480" name="Group 704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GrpSpPr>
          <a:grpSpLocks/>
        </xdr:cNvGrpSpPr>
      </xdr:nvGrpSpPr>
      <xdr:grpSpPr bwMode="auto">
        <a:xfrm>
          <a:off x="34914840" y="21442680"/>
          <a:ext cx="3573780" cy="4943475"/>
          <a:chOff x="26729531" y="21566981"/>
          <a:chExt cx="3476625" cy="4963716"/>
        </a:xfrm>
      </xdr:grpSpPr>
      <xdr:sp macro="" textlink="">
        <xdr:nvSpPr>
          <xdr:cNvPr id="481" name="Line 2130">
            <a:extLst>
              <a:ext uri="{FF2B5EF4-FFF2-40B4-BE49-F238E27FC236}">
                <a16:creationId xmlns:a16="http://schemas.microsoft.com/office/drawing/2014/main" id="{00000000-0008-0000-0200-0000E1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8671771" y="23231294"/>
            <a:ext cx="430475" cy="329940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2" name="Rectangle 2131">
            <a:extLst>
              <a:ext uri="{FF2B5EF4-FFF2-40B4-BE49-F238E27FC236}">
                <a16:creationId xmlns:a16="http://schemas.microsoft.com/office/drawing/2014/main" id="{00000000-0008-0000-0200-0000E2010000}"/>
              </a:ext>
            </a:extLst>
          </xdr:cNvPr>
          <xdr:cNvSpPr>
            <a:spLocks noChangeArrowheads="1"/>
          </xdr:cNvSpPr>
        </xdr:nvSpPr>
        <xdr:spPr bwMode="auto">
          <a:xfrm>
            <a:off x="26729531" y="21566981"/>
            <a:ext cx="3476625" cy="495421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83" name="Line 2132">
            <a:extLst>
              <a:ext uri="{FF2B5EF4-FFF2-40B4-BE49-F238E27FC236}">
                <a16:creationId xmlns:a16="http://schemas.microsoft.com/office/drawing/2014/main" id="{00000000-0008-0000-0200-0000E30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6741204" y="24658163"/>
            <a:ext cx="218678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4" name="Line 2133">
            <a:extLst>
              <a:ext uri="{FF2B5EF4-FFF2-40B4-BE49-F238E27FC236}">
                <a16:creationId xmlns:a16="http://schemas.microsoft.com/office/drawing/2014/main" id="{00000000-0008-0000-0200-0000E4010000}"/>
              </a:ext>
            </a:extLst>
          </xdr:cNvPr>
          <xdr:cNvSpPr>
            <a:spLocks noChangeShapeType="1"/>
          </xdr:cNvSpPr>
        </xdr:nvSpPr>
        <xdr:spPr bwMode="auto">
          <a:xfrm>
            <a:off x="29111731" y="23231294"/>
            <a:ext cx="108494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" name="Line 2134">
            <a:extLst>
              <a:ext uri="{FF2B5EF4-FFF2-40B4-BE49-F238E27FC236}">
                <a16:creationId xmlns:a16="http://schemas.microsoft.com/office/drawing/2014/main" id="{00000000-0008-0000-0200-0000E5010000}"/>
              </a:ext>
            </a:extLst>
          </xdr:cNvPr>
          <xdr:cNvSpPr>
            <a:spLocks noChangeShapeType="1"/>
          </xdr:cNvSpPr>
        </xdr:nvSpPr>
        <xdr:spPr bwMode="auto">
          <a:xfrm>
            <a:off x="26733180" y="25644475"/>
            <a:ext cx="204338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6" name="Line 2132">
            <a:extLst>
              <a:ext uri="{FF2B5EF4-FFF2-40B4-BE49-F238E27FC236}">
                <a16:creationId xmlns:a16="http://schemas.microsoft.com/office/drawing/2014/main" id="{00000000-0008-0000-0200-0000E6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6748501" y="23386913"/>
            <a:ext cx="233017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58</xdr:col>
      <xdr:colOff>409575</xdr:colOff>
      <xdr:row>132</xdr:row>
      <xdr:rowOff>133350</xdr:rowOff>
    </xdr:from>
    <xdr:to>
      <xdr:col>58</xdr:col>
      <xdr:colOff>676275</xdr:colOff>
      <xdr:row>134</xdr:row>
      <xdr:rowOff>85725</xdr:rowOff>
    </xdr:to>
    <xdr:sp macro="" textlink="">
      <xdr:nvSpPr>
        <xdr:cNvPr id="487" name="Line 2552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SpPr>
          <a:spLocks noChangeShapeType="1"/>
        </xdr:cNvSpPr>
      </xdr:nvSpPr>
      <xdr:spPr bwMode="auto">
        <a:xfrm rot="18953249" flipV="1">
          <a:off x="35766375" y="21507450"/>
          <a:ext cx="200025" cy="276225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619125</xdr:colOff>
      <xdr:row>137</xdr:row>
      <xdr:rowOff>85725</xdr:rowOff>
    </xdr:from>
    <xdr:to>
      <xdr:col>57</xdr:col>
      <xdr:colOff>266700</xdr:colOff>
      <xdr:row>137</xdr:row>
      <xdr:rowOff>85725</xdr:rowOff>
    </xdr:to>
    <xdr:sp macro="" textlink="">
      <xdr:nvSpPr>
        <xdr:cNvPr id="488" name="Line 1493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SpPr>
          <a:spLocks noChangeShapeType="1"/>
        </xdr:cNvSpPr>
      </xdr:nvSpPr>
      <xdr:spPr bwMode="auto">
        <a:xfrm flipV="1">
          <a:off x="34747200" y="22269450"/>
          <a:ext cx="2667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676275</xdr:colOff>
      <xdr:row>146</xdr:row>
      <xdr:rowOff>57150</xdr:rowOff>
    </xdr:from>
    <xdr:to>
      <xdr:col>57</xdr:col>
      <xdr:colOff>323850</xdr:colOff>
      <xdr:row>146</xdr:row>
      <xdr:rowOff>57150</xdr:rowOff>
    </xdr:to>
    <xdr:sp macro="" textlink="">
      <xdr:nvSpPr>
        <xdr:cNvPr id="489" name="Line 1548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SpPr>
          <a:spLocks noChangeShapeType="1"/>
        </xdr:cNvSpPr>
      </xdr:nvSpPr>
      <xdr:spPr bwMode="auto">
        <a:xfrm flipV="1">
          <a:off x="34747200" y="23698200"/>
          <a:ext cx="32385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571500</xdr:colOff>
      <xdr:row>146</xdr:row>
      <xdr:rowOff>114300</xdr:rowOff>
    </xdr:from>
    <xdr:to>
      <xdr:col>57</xdr:col>
      <xdr:colOff>219075</xdr:colOff>
      <xdr:row>146</xdr:row>
      <xdr:rowOff>114300</xdr:rowOff>
    </xdr:to>
    <xdr:sp macro="" textlink="">
      <xdr:nvSpPr>
        <xdr:cNvPr id="490" name="Line 1549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SpPr>
          <a:spLocks noChangeShapeType="1"/>
        </xdr:cNvSpPr>
      </xdr:nvSpPr>
      <xdr:spPr bwMode="auto">
        <a:xfrm flipH="1">
          <a:off x="34709100" y="23755350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666750</xdr:colOff>
      <xdr:row>156</xdr:row>
      <xdr:rowOff>47625</xdr:rowOff>
    </xdr:from>
    <xdr:to>
      <xdr:col>57</xdr:col>
      <xdr:colOff>314325</xdr:colOff>
      <xdr:row>156</xdr:row>
      <xdr:rowOff>47625</xdr:rowOff>
    </xdr:to>
    <xdr:sp macro="" textlink="">
      <xdr:nvSpPr>
        <xdr:cNvPr id="491" name="Line 1548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SpPr>
          <a:spLocks noChangeShapeType="1"/>
        </xdr:cNvSpPr>
      </xdr:nvSpPr>
      <xdr:spPr bwMode="auto">
        <a:xfrm flipV="1">
          <a:off x="34747200" y="25307925"/>
          <a:ext cx="314325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561975</xdr:colOff>
      <xdr:row>156</xdr:row>
      <xdr:rowOff>104775</xdr:rowOff>
    </xdr:from>
    <xdr:to>
      <xdr:col>57</xdr:col>
      <xdr:colOff>209550</xdr:colOff>
      <xdr:row>156</xdr:row>
      <xdr:rowOff>104775</xdr:rowOff>
    </xdr:to>
    <xdr:sp macro="" textlink="">
      <xdr:nvSpPr>
        <xdr:cNvPr id="492" name="Line 1549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SpPr>
          <a:spLocks noChangeShapeType="1"/>
        </xdr:cNvSpPr>
      </xdr:nvSpPr>
      <xdr:spPr bwMode="auto">
        <a:xfrm flipH="1">
          <a:off x="34699575" y="25365075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657225</xdr:colOff>
      <xdr:row>135</xdr:row>
      <xdr:rowOff>57150</xdr:rowOff>
    </xdr:from>
    <xdr:to>
      <xdr:col>57</xdr:col>
      <xdr:colOff>304800</xdr:colOff>
      <xdr:row>135</xdr:row>
      <xdr:rowOff>57150</xdr:rowOff>
    </xdr:to>
    <xdr:sp macro="" textlink="">
      <xdr:nvSpPr>
        <xdr:cNvPr id="493" name="Line 1548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SpPr>
          <a:spLocks noChangeShapeType="1"/>
        </xdr:cNvSpPr>
      </xdr:nvSpPr>
      <xdr:spPr bwMode="auto">
        <a:xfrm flipV="1">
          <a:off x="34747200" y="21917025"/>
          <a:ext cx="304800" cy="0"/>
        </a:xfrm>
        <a:prstGeom prst="line">
          <a:avLst/>
        </a:prstGeom>
        <a:noFill/>
        <a:ln w="12700">
          <a:solidFill>
            <a:srgbClr val="0000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552450</xdr:colOff>
      <xdr:row>135</xdr:row>
      <xdr:rowOff>104775</xdr:rowOff>
    </xdr:from>
    <xdr:to>
      <xdr:col>57</xdr:col>
      <xdr:colOff>200025</xdr:colOff>
      <xdr:row>135</xdr:row>
      <xdr:rowOff>104775</xdr:rowOff>
    </xdr:to>
    <xdr:sp macro="" textlink="">
      <xdr:nvSpPr>
        <xdr:cNvPr id="494" name="Line 1549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SpPr>
          <a:spLocks noChangeShapeType="1"/>
        </xdr:cNvSpPr>
      </xdr:nvSpPr>
      <xdr:spPr bwMode="auto">
        <a:xfrm flipH="1">
          <a:off x="34690050" y="21964650"/>
          <a:ext cx="257175" cy="0"/>
        </a:xfrm>
        <a:prstGeom prst="line">
          <a:avLst/>
        </a:prstGeom>
        <a:noFill/>
        <a:ln w="12700">
          <a:solidFill>
            <a:srgbClr val="0000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85725</xdr:colOff>
      <xdr:row>158</xdr:row>
      <xdr:rowOff>19050</xdr:rowOff>
    </xdr:from>
    <xdr:to>
      <xdr:col>58</xdr:col>
      <xdr:colOff>85725</xdr:colOff>
      <xdr:row>160</xdr:row>
      <xdr:rowOff>133350</xdr:rowOff>
    </xdr:to>
    <xdr:cxnSp macro="">
      <xdr:nvCxnSpPr>
        <xdr:cNvPr id="495" name="Straight Arrow Connector 822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CxnSpPr>
          <a:cxnSpLocks/>
        </xdr:cNvCxnSpPr>
      </xdr:nvCxnSpPr>
      <xdr:spPr bwMode="auto">
        <a:xfrm>
          <a:off x="35442525" y="25603200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58</xdr:col>
      <xdr:colOff>85725</xdr:colOff>
      <xdr:row>152</xdr:row>
      <xdr:rowOff>28575</xdr:rowOff>
    </xdr:from>
    <xdr:to>
      <xdr:col>58</xdr:col>
      <xdr:colOff>85725</xdr:colOff>
      <xdr:row>154</xdr:row>
      <xdr:rowOff>142875</xdr:rowOff>
    </xdr:to>
    <xdr:cxnSp macro="">
      <xdr:nvCxnSpPr>
        <xdr:cNvPr id="496" name="Straight Arrow Connector 822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CxnSpPr>
          <a:cxnSpLocks/>
        </xdr:cNvCxnSpPr>
      </xdr:nvCxnSpPr>
      <xdr:spPr bwMode="auto">
        <a:xfrm>
          <a:off x="35442525" y="24641175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58</xdr:col>
      <xdr:colOff>619125</xdr:colOff>
      <xdr:row>144</xdr:row>
      <xdr:rowOff>19050</xdr:rowOff>
    </xdr:from>
    <xdr:to>
      <xdr:col>58</xdr:col>
      <xdr:colOff>619125</xdr:colOff>
      <xdr:row>146</xdr:row>
      <xdr:rowOff>133350</xdr:rowOff>
    </xdr:to>
    <xdr:cxnSp macro="">
      <xdr:nvCxnSpPr>
        <xdr:cNvPr id="497" name="Straight Arrow Connector 822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CxnSpPr>
          <a:cxnSpLocks/>
        </xdr:cNvCxnSpPr>
      </xdr:nvCxnSpPr>
      <xdr:spPr bwMode="auto">
        <a:xfrm>
          <a:off x="35966400" y="23336250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56</xdr:col>
      <xdr:colOff>619125</xdr:colOff>
      <xdr:row>148</xdr:row>
      <xdr:rowOff>85725</xdr:rowOff>
    </xdr:from>
    <xdr:to>
      <xdr:col>57</xdr:col>
      <xdr:colOff>266700</xdr:colOff>
      <xdr:row>148</xdr:row>
      <xdr:rowOff>85725</xdr:rowOff>
    </xdr:to>
    <xdr:sp macro="" textlink="">
      <xdr:nvSpPr>
        <xdr:cNvPr id="498" name="Line 1493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SpPr>
          <a:spLocks noChangeShapeType="1"/>
        </xdr:cNvSpPr>
      </xdr:nvSpPr>
      <xdr:spPr bwMode="auto">
        <a:xfrm flipV="1">
          <a:off x="34747200" y="24050625"/>
          <a:ext cx="26670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276225</xdr:colOff>
      <xdr:row>164</xdr:row>
      <xdr:rowOff>85725</xdr:rowOff>
    </xdr:from>
    <xdr:to>
      <xdr:col>61</xdr:col>
      <xdr:colOff>561975</xdr:colOff>
      <xdr:row>166</xdr:row>
      <xdr:rowOff>47625</xdr:rowOff>
    </xdr:to>
    <xdr:sp macro="" textlink="">
      <xdr:nvSpPr>
        <xdr:cNvPr id="499" name="Line 2552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SpPr>
          <a:spLocks noChangeShapeType="1"/>
        </xdr:cNvSpPr>
      </xdr:nvSpPr>
      <xdr:spPr bwMode="auto">
        <a:xfrm rot="18953249" flipH="1">
          <a:off x="37461825" y="26641425"/>
          <a:ext cx="28575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85725</xdr:colOff>
      <xdr:row>164</xdr:row>
      <xdr:rowOff>95250</xdr:rowOff>
    </xdr:from>
    <xdr:to>
      <xdr:col>59</xdr:col>
      <xdr:colOff>371475</xdr:colOff>
      <xdr:row>166</xdr:row>
      <xdr:rowOff>57150</xdr:rowOff>
    </xdr:to>
    <xdr:sp macro="" textlink="">
      <xdr:nvSpPr>
        <xdr:cNvPr id="500" name="Line 2552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SpPr>
          <a:spLocks noChangeShapeType="1"/>
        </xdr:cNvSpPr>
      </xdr:nvSpPr>
      <xdr:spPr bwMode="auto">
        <a:xfrm rot="18953249" flipH="1">
          <a:off x="36052125" y="26650950"/>
          <a:ext cx="285750" cy="2857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447675</xdr:colOff>
      <xdr:row>160</xdr:row>
      <xdr:rowOff>76200</xdr:rowOff>
    </xdr:from>
    <xdr:to>
      <xdr:col>62</xdr:col>
      <xdr:colOff>123825</xdr:colOff>
      <xdr:row>160</xdr:row>
      <xdr:rowOff>76200</xdr:rowOff>
    </xdr:to>
    <xdr:sp macro="" textlink="">
      <xdr:nvSpPr>
        <xdr:cNvPr id="501" name="Line 1493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SpPr>
          <a:spLocks noChangeShapeType="1"/>
        </xdr:cNvSpPr>
      </xdr:nvSpPr>
      <xdr:spPr bwMode="auto">
        <a:xfrm flipH="1" flipV="1">
          <a:off x="37633275" y="25984200"/>
          <a:ext cx="285750" cy="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9525</xdr:colOff>
      <xdr:row>143</xdr:row>
      <xdr:rowOff>57150</xdr:rowOff>
    </xdr:from>
    <xdr:to>
      <xdr:col>60</xdr:col>
      <xdr:colOff>447675</xdr:colOff>
      <xdr:row>146</xdr:row>
      <xdr:rowOff>57150</xdr:rowOff>
    </xdr:to>
    <xdr:sp macro="" textlink="">
      <xdr:nvSpPr>
        <xdr:cNvPr id="502" name="Freeform 2190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SpPr>
          <a:spLocks/>
        </xdr:cNvSpPr>
      </xdr:nvSpPr>
      <xdr:spPr bwMode="auto">
        <a:xfrm>
          <a:off x="36585525" y="23212425"/>
          <a:ext cx="438150" cy="485775"/>
        </a:xfrm>
        <a:custGeom>
          <a:avLst/>
          <a:gdLst>
            <a:gd name="T0" fmla="*/ 2147483647 w 82"/>
            <a:gd name="T1" fmla="*/ 2147483647 h 121"/>
            <a:gd name="T2" fmla="*/ 2147483647 w 82"/>
            <a:gd name="T3" fmla="*/ 0 h 121"/>
            <a:gd name="T4" fmla="*/ 2147483647 w 82"/>
            <a:gd name="T5" fmla="*/ 0 h 121"/>
            <a:gd name="T6" fmla="*/ 0 w 82"/>
            <a:gd name="T7" fmla="*/ 2147483647 h 121"/>
            <a:gd name="T8" fmla="*/ 0 60000 65536"/>
            <a:gd name="T9" fmla="*/ 0 60000 65536"/>
            <a:gd name="T10" fmla="*/ 0 60000 65536"/>
            <a:gd name="T11" fmla="*/ 0 60000 65536"/>
            <a:gd name="T12" fmla="*/ 0 w 82"/>
            <a:gd name="T13" fmla="*/ 0 h 121"/>
            <a:gd name="T14" fmla="*/ 82 w 82"/>
            <a:gd name="T15" fmla="*/ 121 h 12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82" h="121">
              <a:moveTo>
                <a:pt x="82" y="51"/>
              </a:moveTo>
              <a:lnTo>
                <a:pt x="82" y="0"/>
              </a:lnTo>
              <a:lnTo>
                <a:pt x="34" y="0"/>
              </a:lnTo>
              <a:lnTo>
                <a:pt x="0" y="121"/>
              </a:lnTo>
            </a:path>
          </a:pathLst>
        </a:custGeom>
        <a:noFill/>
        <a:ln w="12700">
          <a:solidFill>
            <a:srgbClr val="E46C0A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152400</xdr:colOff>
      <xdr:row>143</xdr:row>
      <xdr:rowOff>38100</xdr:rowOff>
    </xdr:from>
    <xdr:to>
      <xdr:col>61</xdr:col>
      <xdr:colOff>152400</xdr:colOff>
      <xdr:row>145</xdr:row>
      <xdr:rowOff>152400</xdr:rowOff>
    </xdr:to>
    <xdr:cxnSp macro="">
      <xdr:nvCxnSpPr>
        <xdr:cNvPr id="503" name="Straight Arrow Connector 822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CxnSpPr>
          <a:cxnSpLocks/>
        </xdr:cNvCxnSpPr>
      </xdr:nvCxnSpPr>
      <xdr:spPr bwMode="auto">
        <a:xfrm>
          <a:off x="37338000" y="23193375"/>
          <a:ext cx="0" cy="438150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45</xdr:col>
      <xdr:colOff>133350</xdr:colOff>
      <xdr:row>171</xdr:row>
      <xdr:rowOff>85725</xdr:rowOff>
    </xdr:from>
    <xdr:to>
      <xdr:col>45</xdr:col>
      <xdr:colOff>600075</xdr:colOff>
      <xdr:row>171</xdr:row>
      <xdr:rowOff>95250</xdr:rowOff>
    </xdr:to>
    <xdr:sp macro="" textlink="">
      <xdr:nvSpPr>
        <xdr:cNvPr id="504" name="Line 1552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SpPr>
          <a:spLocks noChangeShapeType="1"/>
        </xdr:cNvSpPr>
      </xdr:nvSpPr>
      <xdr:spPr bwMode="auto">
        <a:xfrm flipV="1">
          <a:off x="27565350" y="27774900"/>
          <a:ext cx="466725" cy="9525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228600</xdr:colOff>
      <xdr:row>176</xdr:row>
      <xdr:rowOff>133350</xdr:rowOff>
    </xdr:from>
    <xdr:to>
      <xdr:col>45</xdr:col>
      <xdr:colOff>438150</xdr:colOff>
      <xdr:row>178</xdr:row>
      <xdr:rowOff>19050</xdr:rowOff>
    </xdr:to>
    <xdr:grpSp>
      <xdr:nvGrpSpPr>
        <xdr:cNvPr id="505" name="Group 711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GrpSpPr>
          <a:grpSpLocks noChangeAspect="1"/>
        </xdr:cNvGrpSpPr>
      </xdr:nvGrpSpPr>
      <xdr:grpSpPr bwMode="auto">
        <a:xfrm>
          <a:off x="26327100" y="28296870"/>
          <a:ext cx="209550" cy="205740"/>
          <a:chOff x="1022492" y="5877272"/>
          <a:chExt cx="474280" cy="474280"/>
        </a:xfrm>
      </xdr:grpSpPr>
      <xdr:grpSp>
        <xdr:nvGrpSpPr>
          <xdr:cNvPr id="506" name="Group 712">
            <a:extLst>
              <a:ext uri="{FF2B5EF4-FFF2-40B4-BE49-F238E27FC236}">
                <a16:creationId xmlns:a16="http://schemas.microsoft.com/office/drawing/2014/main" id="{00000000-0008-0000-0200-0000FA01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508" name="Arc 507">
              <a:extLst>
                <a:ext uri="{FF2B5EF4-FFF2-40B4-BE49-F238E27FC236}">
                  <a16:creationId xmlns:a16="http://schemas.microsoft.com/office/drawing/2014/main" id="{00000000-0008-0000-0200-0000FC01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509" name="Straight Connector 508">
              <a:extLst>
                <a:ext uri="{FF2B5EF4-FFF2-40B4-BE49-F238E27FC236}">
                  <a16:creationId xmlns:a16="http://schemas.microsoft.com/office/drawing/2014/main" id="{00000000-0008-0000-0200-0000FD010000}"/>
                </a:ext>
              </a:extLst>
            </xdr:cNvPr>
            <xdr:cNvCxnSpPr>
              <a:endCxn id="508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0" name="Straight Connector 509">
              <a:extLst>
                <a:ext uri="{FF2B5EF4-FFF2-40B4-BE49-F238E27FC236}">
                  <a16:creationId xmlns:a16="http://schemas.microsoft.com/office/drawing/2014/main" id="{00000000-0008-0000-0200-0000FE010000}"/>
                </a:ext>
              </a:extLst>
            </xdr:cNvPr>
            <xdr:cNvCxnSpPr>
              <a:endCxn id="508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7" name="Oval 506">
            <a:extLst>
              <a:ext uri="{FF2B5EF4-FFF2-40B4-BE49-F238E27FC236}">
                <a16:creationId xmlns:a16="http://schemas.microsoft.com/office/drawing/2014/main" id="{00000000-0008-0000-0200-0000FB01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219075</xdr:colOff>
      <xdr:row>176</xdr:row>
      <xdr:rowOff>85725</xdr:rowOff>
    </xdr:from>
    <xdr:to>
      <xdr:col>45</xdr:col>
      <xdr:colOff>552450</xdr:colOff>
      <xdr:row>178</xdr:row>
      <xdr:rowOff>85725</xdr:rowOff>
    </xdr:to>
    <xdr:sp macro="" textlink="">
      <xdr:nvSpPr>
        <xdr:cNvPr id="511" name="Line 2552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SpPr>
          <a:spLocks noChangeShapeType="1"/>
        </xdr:cNvSpPr>
      </xdr:nvSpPr>
      <xdr:spPr bwMode="auto">
        <a:xfrm rot="-2646751">
          <a:off x="27651075" y="28584525"/>
          <a:ext cx="333375" cy="3238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114300</xdr:colOff>
      <xdr:row>175</xdr:row>
      <xdr:rowOff>85725</xdr:rowOff>
    </xdr:from>
    <xdr:to>
      <xdr:col>45</xdr:col>
      <xdr:colOff>619125</xdr:colOff>
      <xdr:row>175</xdr:row>
      <xdr:rowOff>85725</xdr:rowOff>
    </xdr:to>
    <xdr:sp macro="" textlink="">
      <xdr:nvSpPr>
        <xdr:cNvPr id="512" name="Line 26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SpPr>
          <a:spLocks noChangeShapeType="1"/>
        </xdr:cNvSpPr>
      </xdr:nvSpPr>
      <xdr:spPr bwMode="auto">
        <a:xfrm flipV="1">
          <a:off x="27546300" y="28422600"/>
          <a:ext cx="495300" cy="0"/>
        </a:xfrm>
        <a:prstGeom prst="line">
          <a:avLst/>
        </a:prstGeom>
        <a:noFill/>
        <a:ln w="12700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180975</xdr:colOff>
      <xdr:row>173</xdr:row>
      <xdr:rowOff>57150</xdr:rowOff>
    </xdr:from>
    <xdr:to>
      <xdr:col>45</xdr:col>
      <xdr:colOff>619125</xdr:colOff>
      <xdr:row>173</xdr:row>
      <xdr:rowOff>57150</xdr:rowOff>
    </xdr:to>
    <xdr:sp macro="" textlink="">
      <xdr:nvSpPr>
        <xdr:cNvPr id="513" name="Line 1548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SpPr>
          <a:spLocks noChangeShapeType="1"/>
        </xdr:cNvSpPr>
      </xdr:nvSpPr>
      <xdr:spPr bwMode="auto">
        <a:xfrm>
          <a:off x="27612975" y="28070175"/>
          <a:ext cx="428625" cy="0"/>
        </a:xfrm>
        <a:prstGeom prst="line">
          <a:avLst/>
        </a:prstGeom>
        <a:noFill/>
        <a:ln w="12700">
          <a:solidFill>
            <a:srgbClr val="3333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66675</xdr:colOff>
      <xdr:row>173</xdr:row>
      <xdr:rowOff>133350</xdr:rowOff>
    </xdr:from>
    <xdr:to>
      <xdr:col>45</xdr:col>
      <xdr:colOff>504825</xdr:colOff>
      <xdr:row>173</xdr:row>
      <xdr:rowOff>133350</xdr:rowOff>
    </xdr:to>
    <xdr:sp macro="" textlink="">
      <xdr:nvSpPr>
        <xdr:cNvPr id="514" name="Line 1549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SpPr>
          <a:spLocks noChangeShapeType="1"/>
        </xdr:cNvSpPr>
      </xdr:nvSpPr>
      <xdr:spPr bwMode="auto">
        <a:xfrm flipH="1">
          <a:off x="27498675" y="28146375"/>
          <a:ext cx="438150" cy="0"/>
        </a:xfrm>
        <a:prstGeom prst="line">
          <a:avLst/>
        </a:prstGeom>
        <a:noFill/>
        <a:ln w="12700">
          <a:solidFill>
            <a:srgbClr val="3333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704850</xdr:colOff>
      <xdr:row>168</xdr:row>
      <xdr:rowOff>142875</xdr:rowOff>
    </xdr:from>
    <xdr:to>
      <xdr:col>48</xdr:col>
      <xdr:colOff>342900</xdr:colOff>
      <xdr:row>180</xdr:row>
      <xdr:rowOff>114300</xdr:rowOff>
    </xdr:to>
    <xdr:sp macro="" textlink="">
      <xdr:nvSpPr>
        <xdr:cNvPr id="515" name="Rectangle 696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SpPr>
          <a:spLocks noChangeArrowheads="1"/>
        </xdr:cNvSpPr>
      </xdr:nvSpPr>
      <xdr:spPr bwMode="auto">
        <a:xfrm>
          <a:off x="27432000" y="27346275"/>
          <a:ext cx="2171700" cy="1914525"/>
        </a:xfrm>
        <a:prstGeom prst="rect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133350</xdr:colOff>
      <xdr:row>50</xdr:row>
      <xdr:rowOff>85725</xdr:rowOff>
    </xdr:from>
    <xdr:to>
      <xdr:col>45</xdr:col>
      <xdr:colOff>600075</xdr:colOff>
      <xdr:row>50</xdr:row>
      <xdr:rowOff>95250</xdr:rowOff>
    </xdr:to>
    <xdr:sp macro="" textlink="">
      <xdr:nvSpPr>
        <xdr:cNvPr id="516" name="Line 1552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SpPr>
          <a:spLocks noChangeShapeType="1"/>
        </xdr:cNvSpPr>
      </xdr:nvSpPr>
      <xdr:spPr bwMode="auto">
        <a:xfrm flipV="1">
          <a:off x="27565350" y="8181975"/>
          <a:ext cx="466725" cy="9525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228600</xdr:colOff>
      <xdr:row>55</xdr:row>
      <xdr:rowOff>133350</xdr:rowOff>
    </xdr:from>
    <xdr:to>
      <xdr:col>45</xdr:col>
      <xdr:colOff>438150</xdr:colOff>
      <xdr:row>57</xdr:row>
      <xdr:rowOff>19050</xdr:rowOff>
    </xdr:to>
    <xdr:grpSp>
      <xdr:nvGrpSpPr>
        <xdr:cNvPr id="517" name="Group 711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GrpSpPr>
          <a:grpSpLocks noChangeAspect="1"/>
        </xdr:cNvGrpSpPr>
      </xdr:nvGrpSpPr>
      <xdr:grpSpPr bwMode="auto">
        <a:xfrm>
          <a:off x="26327100" y="8934450"/>
          <a:ext cx="209550" cy="205740"/>
          <a:chOff x="1022492" y="5877272"/>
          <a:chExt cx="474280" cy="474280"/>
        </a:xfrm>
      </xdr:grpSpPr>
      <xdr:grpSp>
        <xdr:nvGrpSpPr>
          <xdr:cNvPr id="518" name="Group 712">
            <a:extLst>
              <a:ext uri="{FF2B5EF4-FFF2-40B4-BE49-F238E27FC236}">
                <a16:creationId xmlns:a16="http://schemas.microsoft.com/office/drawing/2014/main" id="{00000000-0008-0000-0200-000006020000}"/>
              </a:ext>
            </a:extLst>
          </xdr:cNvPr>
          <xdr:cNvGrpSpPr/>
        </xdr:nvGrpSpPr>
        <xdr:grpSpPr>
          <a:xfrm>
            <a:off x="1022492" y="5877272"/>
            <a:ext cx="474280" cy="474280"/>
            <a:chOff x="1022492" y="5877272"/>
            <a:chExt cx="474280" cy="474280"/>
          </a:xfrm>
          <a:gradFill flip="none" rotWithShape="1">
            <a:gsLst>
              <a:gs pos="85000">
                <a:schemeClr val="accent3">
                  <a:lumMod val="50000"/>
                </a:schemeClr>
              </a:gs>
              <a:gs pos="8000">
                <a:srgbClr val="D7E4BE"/>
              </a:gs>
            </a:gsLst>
            <a:path path="circle">
              <a:fillToRect l="50000" t="50000" r="50000" b="50000"/>
            </a:path>
            <a:tileRect/>
          </a:gradFill>
        </xdr:grpSpPr>
        <xdr:sp macro="" textlink="">
          <xdr:nvSpPr>
            <xdr:cNvPr id="520" name="Arc 519">
              <a:extLst>
                <a:ext uri="{FF2B5EF4-FFF2-40B4-BE49-F238E27FC236}">
                  <a16:creationId xmlns:a16="http://schemas.microsoft.com/office/drawing/2014/main" id="{00000000-0008-0000-0200-000008020000}"/>
                </a:ext>
              </a:extLst>
            </xdr:cNvPr>
            <xdr:cNvSpPr>
              <a:spLocks noChangeAspect="1"/>
            </xdr:cNvSpPr>
          </xdr:nvSpPr>
          <xdr:spPr>
            <a:xfrm>
              <a:off x="1022492" y="5877272"/>
              <a:ext cx="474280" cy="474280"/>
            </a:xfrm>
            <a:prstGeom prst="arc">
              <a:avLst>
                <a:gd name="adj1" fmla="val 12517192"/>
                <a:gd name="adj2" fmla="val 8812339"/>
              </a:avLst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endParaRPr lang="en-US"/>
            </a:p>
          </xdr:txBody>
        </xdr:sp>
        <xdr:cxnSp macro="">
          <xdr:nvCxnSpPr>
            <xdr:cNvPr id="521" name="Straight Connector 520">
              <a:extLst>
                <a:ext uri="{FF2B5EF4-FFF2-40B4-BE49-F238E27FC236}">
                  <a16:creationId xmlns:a16="http://schemas.microsoft.com/office/drawing/2014/main" id="{00000000-0008-0000-0200-000009020000}"/>
                </a:ext>
              </a:extLst>
            </xdr:cNvPr>
            <xdr:cNvCxnSpPr>
              <a:endCxn id="520" idx="0"/>
            </xdr:cNvCxnSpPr>
          </xdr:nvCxnSpPr>
          <xdr:spPr>
            <a:xfrm flipH="1" flipV="1">
              <a:off x="1044050" y="6006621"/>
              <a:ext cx="215582" cy="107791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2" name="Straight Connector 521">
              <a:extLst>
                <a:ext uri="{FF2B5EF4-FFF2-40B4-BE49-F238E27FC236}">
                  <a16:creationId xmlns:a16="http://schemas.microsoft.com/office/drawing/2014/main" id="{00000000-0008-0000-0200-00000A020000}"/>
                </a:ext>
              </a:extLst>
            </xdr:cNvPr>
            <xdr:cNvCxnSpPr>
              <a:endCxn id="520" idx="2"/>
            </xdr:cNvCxnSpPr>
          </xdr:nvCxnSpPr>
          <xdr:spPr>
            <a:xfrm flipH="1">
              <a:off x="1065608" y="6114412"/>
              <a:ext cx="194024" cy="129349"/>
            </a:xfrm>
            <a:prstGeom prst="line">
              <a:avLst/>
            </a:prstGeom>
            <a:grpFill/>
            <a:ln w="6350"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19" name="Oval 518">
            <a:extLst>
              <a:ext uri="{FF2B5EF4-FFF2-40B4-BE49-F238E27FC236}">
                <a16:creationId xmlns:a16="http://schemas.microsoft.com/office/drawing/2014/main" id="{00000000-0008-0000-0200-000007020000}"/>
              </a:ext>
            </a:extLst>
          </xdr:cNvPr>
          <xdr:cNvSpPr>
            <a:spLocks noChangeAspect="1"/>
          </xdr:cNvSpPr>
        </xdr:nvSpPr>
        <xdr:spPr>
          <a:xfrm>
            <a:off x="1216516" y="5941947"/>
            <a:ext cx="86233" cy="86233"/>
          </a:xfrm>
          <a:prstGeom prst="ellipse">
            <a:avLst/>
          </a:prstGeom>
          <a:gradFill flip="none" rotWithShape="1">
            <a:gsLst>
              <a:gs pos="10000">
                <a:srgbClr val="B2CD81"/>
              </a:gs>
              <a:gs pos="50000">
                <a:srgbClr val="9CB86E"/>
              </a:gs>
              <a:gs pos="79000">
                <a:schemeClr val="accent3">
                  <a:lumMod val="50000"/>
                </a:schemeClr>
              </a:gs>
            </a:gsLst>
            <a:path path="circle">
              <a:fillToRect l="50000" t="50000" r="50000" b="50000"/>
            </a:path>
            <a:tileRect/>
          </a:gradFill>
          <a:ln w="3175"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45</xdr:col>
      <xdr:colOff>219075</xdr:colOff>
      <xdr:row>55</xdr:row>
      <xdr:rowOff>85725</xdr:rowOff>
    </xdr:from>
    <xdr:to>
      <xdr:col>45</xdr:col>
      <xdr:colOff>552450</xdr:colOff>
      <xdr:row>57</xdr:row>
      <xdr:rowOff>85725</xdr:rowOff>
    </xdr:to>
    <xdr:sp macro="" textlink="">
      <xdr:nvSpPr>
        <xdr:cNvPr id="523" name="Line 2552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>
          <a:spLocks noChangeShapeType="1"/>
        </xdr:cNvSpPr>
      </xdr:nvSpPr>
      <xdr:spPr bwMode="auto">
        <a:xfrm rot="-2646751">
          <a:off x="27651075" y="8991600"/>
          <a:ext cx="333375" cy="323850"/>
        </a:xfrm>
        <a:prstGeom prst="line">
          <a:avLst/>
        </a:prstGeom>
        <a:noFill/>
        <a:ln w="12700">
          <a:solidFill>
            <a:srgbClr val="4F6228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114300</xdr:colOff>
      <xdr:row>54</xdr:row>
      <xdr:rowOff>85725</xdr:rowOff>
    </xdr:from>
    <xdr:to>
      <xdr:col>45</xdr:col>
      <xdr:colOff>619125</xdr:colOff>
      <xdr:row>54</xdr:row>
      <xdr:rowOff>85725</xdr:rowOff>
    </xdr:to>
    <xdr:sp macro="" textlink="">
      <xdr:nvSpPr>
        <xdr:cNvPr id="524" name="Line 26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>
          <a:spLocks noChangeShapeType="1"/>
        </xdr:cNvSpPr>
      </xdr:nvSpPr>
      <xdr:spPr bwMode="auto">
        <a:xfrm flipV="1">
          <a:off x="27546300" y="8829675"/>
          <a:ext cx="495300" cy="0"/>
        </a:xfrm>
        <a:prstGeom prst="line">
          <a:avLst/>
        </a:prstGeom>
        <a:noFill/>
        <a:ln w="12700">
          <a:solidFill>
            <a:srgbClr val="E46C0A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180975</xdr:colOff>
      <xdr:row>52</xdr:row>
      <xdr:rowOff>57150</xdr:rowOff>
    </xdr:from>
    <xdr:to>
      <xdr:col>45</xdr:col>
      <xdr:colOff>619125</xdr:colOff>
      <xdr:row>52</xdr:row>
      <xdr:rowOff>57150</xdr:rowOff>
    </xdr:to>
    <xdr:sp macro="" textlink="">
      <xdr:nvSpPr>
        <xdr:cNvPr id="525" name="Line 1548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SpPr>
          <a:spLocks noChangeShapeType="1"/>
        </xdr:cNvSpPr>
      </xdr:nvSpPr>
      <xdr:spPr bwMode="auto">
        <a:xfrm>
          <a:off x="27612975" y="8477250"/>
          <a:ext cx="428625" cy="0"/>
        </a:xfrm>
        <a:prstGeom prst="line">
          <a:avLst/>
        </a:prstGeom>
        <a:noFill/>
        <a:ln w="12700">
          <a:solidFill>
            <a:srgbClr val="3333FF"/>
          </a:solidFill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66675</xdr:colOff>
      <xdr:row>52</xdr:row>
      <xdr:rowOff>133350</xdr:rowOff>
    </xdr:from>
    <xdr:to>
      <xdr:col>45</xdr:col>
      <xdr:colOff>504825</xdr:colOff>
      <xdr:row>52</xdr:row>
      <xdr:rowOff>133350</xdr:rowOff>
    </xdr:to>
    <xdr:sp macro="" textlink="">
      <xdr:nvSpPr>
        <xdr:cNvPr id="526" name="Line 1549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SpPr>
          <a:spLocks noChangeShapeType="1"/>
        </xdr:cNvSpPr>
      </xdr:nvSpPr>
      <xdr:spPr bwMode="auto">
        <a:xfrm flipH="1">
          <a:off x="27498675" y="8553450"/>
          <a:ext cx="438150" cy="0"/>
        </a:xfrm>
        <a:prstGeom prst="line">
          <a:avLst/>
        </a:prstGeom>
        <a:noFill/>
        <a:ln w="12700">
          <a:solidFill>
            <a:srgbClr val="3333FF"/>
          </a:solidFill>
          <a:prstDash val="dash"/>
          <a:round/>
          <a:headEnd type="oval" w="sm" len="sm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704850</xdr:colOff>
      <xdr:row>47</xdr:row>
      <xdr:rowOff>142875</xdr:rowOff>
    </xdr:from>
    <xdr:to>
      <xdr:col>48</xdr:col>
      <xdr:colOff>342900</xdr:colOff>
      <xdr:row>59</xdr:row>
      <xdr:rowOff>114300</xdr:rowOff>
    </xdr:to>
    <xdr:sp macro="" textlink="">
      <xdr:nvSpPr>
        <xdr:cNvPr id="527" name="Rectangle 69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SpPr>
          <a:spLocks noChangeArrowheads="1"/>
        </xdr:cNvSpPr>
      </xdr:nvSpPr>
      <xdr:spPr bwMode="auto">
        <a:xfrm>
          <a:off x="27432000" y="7753350"/>
          <a:ext cx="2171700" cy="1914525"/>
        </a:xfrm>
        <a:prstGeom prst="rect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168</xdr:row>
      <xdr:rowOff>152400</xdr:rowOff>
    </xdr:from>
    <xdr:to>
      <xdr:col>54</xdr:col>
      <xdr:colOff>590550</xdr:colOff>
      <xdr:row>176</xdr:row>
      <xdr:rowOff>133350</xdr:rowOff>
    </xdr:to>
    <xdr:sp macro="" textlink="">
      <xdr:nvSpPr>
        <xdr:cNvPr id="528" name="Rectangle 69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SpPr>
          <a:spLocks noChangeArrowheads="1"/>
        </xdr:cNvSpPr>
      </xdr:nvSpPr>
      <xdr:spPr bwMode="auto">
        <a:xfrm>
          <a:off x="29870400" y="27355800"/>
          <a:ext cx="3638550" cy="1276350"/>
        </a:xfrm>
        <a:prstGeom prst="rect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367665</xdr:colOff>
      <xdr:row>18</xdr:row>
      <xdr:rowOff>81915</xdr:rowOff>
    </xdr:from>
    <xdr:to>
      <xdr:col>53</xdr:col>
      <xdr:colOff>704158</xdr:colOff>
      <xdr:row>22</xdr:row>
      <xdr:rowOff>19248</xdr:rowOff>
    </xdr:to>
    <xdr:cxnSp macro="">
      <xdr:nvCxnSpPr>
        <xdr:cNvPr id="529" name="Straight Arrow Connector 2">
          <a:extLst>
            <a:ext uri="{FF2B5EF4-FFF2-40B4-BE49-F238E27FC236}">
              <a16:creationId xmlns:a16="http://schemas.microsoft.com/office/drawing/2014/main" id="{3EDD6308-8A80-435F-BBD2-DCD1658ADD5B}"/>
            </a:ext>
          </a:extLst>
        </xdr:cNvPr>
        <xdr:cNvCxnSpPr>
          <a:cxnSpLocks/>
        </xdr:cNvCxnSpPr>
      </xdr:nvCxnSpPr>
      <xdr:spPr bwMode="auto">
        <a:xfrm flipH="1">
          <a:off x="32390715" y="2996565"/>
          <a:ext cx="336493" cy="585033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53</xdr:col>
      <xdr:colOff>411480</xdr:colOff>
      <xdr:row>82</xdr:row>
      <xdr:rowOff>91440</xdr:rowOff>
    </xdr:from>
    <xdr:to>
      <xdr:col>54</xdr:col>
      <xdr:colOff>26655</xdr:colOff>
      <xdr:row>86</xdr:row>
      <xdr:rowOff>17343</xdr:rowOff>
    </xdr:to>
    <xdr:cxnSp macro="">
      <xdr:nvCxnSpPr>
        <xdr:cNvPr id="530" name="Straight Arrow Connector 807">
          <a:extLst>
            <a:ext uri="{FF2B5EF4-FFF2-40B4-BE49-F238E27FC236}">
              <a16:creationId xmlns:a16="http://schemas.microsoft.com/office/drawing/2014/main" id="{42CEEA01-5022-402F-9585-0046DDED14D6}"/>
            </a:ext>
          </a:extLst>
        </xdr:cNvPr>
        <xdr:cNvCxnSpPr>
          <a:cxnSpLocks/>
        </xdr:cNvCxnSpPr>
      </xdr:nvCxnSpPr>
      <xdr:spPr bwMode="auto">
        <a:xfrm flipH="1">
          <a:off x="32434530" y="13369290"/>
          <a:ext cx="348600" cy="573603"/>
        </a:xfrm>
        <a:prstGeom prst="straightConnector1">
          <a:avLst/>
        </a:prstGeom>
        <a:noFill/>
        <a:ln w="12700" algn="ctr">
          <a:solidFill>
            <a:srgbClr val="E46C0A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</xdr:row>
      <xdr:rowOff>28575</xdr:rowOff>
    </xdr:from>
    <xdr:to>
      <xdr:col>1</xdr:col>
      <xdr:colOff>4210050</xdr:colOff>
      <xdr:row>18</xdr:row>
      <xdr:rowOff>28575</xdr:rowOff>
    </xdr:to>
    <xdr:graphicFrame macro="">
      <xdr:nvGraphicFramePr>
        <xdr:cNvPr id="12154016" name="Chart 5">
          <a:extLst>
            <a:ext uri="{FF2B5EF4-FFF2-40B4-BE49-F238E27FC236}">
              <a16:creationId xmlns:a16="http://schemas.microsoft.com/office/drawing/2014/main" id="{00000000-0008-0000-0300-0000A074B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73</xdr:row>
      <xdr:rowOff>28575</xdr:rowOff>
    </xdr:from>
    <xdr:to>
      <xdr:col>1</xdr:col>
      <xdr:colOff>4210050</xdr:colOff>
      <xdr:row>90</xdr:row>
      <xdr:rowOff>19050</xdr:rowOff>
    </xdr:to>
    <xdr:graphicFrame macro="">
      <xdr:nvGraphicFramePr>
        <xdr:cNvPr id="12154017" name="Chart 1">
          <a:extLst>
            <a:ext uri="{FF2B5EF4-FFF2-40B4-BE49-F238E27FC236}">
              <a16:creationId xmlns:a16="http://schemas.microsoft.com/office/drawing/2014/main" id="{00000000-0008-0000-0300-0000A174B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57150</xdr:colOff>
      <xdr:row>55</xdr:row>
      <xdr:rowOff>28575</xdr:rowOff>
    </xdr:from>
    <xdr:to>
      <xdr:col>1</xdr:col>
      <xdr:colOff>4210050</xdr:colOff>
      <xdr:row>72</xdr:row>
      <xdr:rowOff>28575</xdr:rowOff>
    </xdr:to>
    <xdr:graphicFrame macro="">
      <xdr:nvGraphicFramePr>
        <xdr:cNvPr id="12154018" name="Chart 7">
          <a:extLst>
            <a:ext uri="{FF2B5EF4-FFF2-40B4-BE49-F238E27FC236}">
              <a16:creationId xmlns:a16="http://schemas.microsoft.com/office/drawing/2014/main" id="{00000000-0008-0000-0300-0000A274B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57150</xdr:colOff>
      <xdr:row>37</xdr:row>
      <xdr:rowOff>28575</xdr:rowOff>
    </xdr:from>
    <xdr:to>
      <xdr:col>1</xdr:col>
      <xdr:colOff>4210050</xdr:colOff>
      <xdr:row>54</xdr:row>
      <xdr:rowOff>28575</xdr:rowOff>
    </xdr:to>
    <xdr:graphicFrame macro="">
      <xdr:nvGraphicFramePr>
        <xdr:cNvPr id="12154019" name="Chart 8">
          <a:extLst>
            <a:ext uri="{FF2B5EF4-FFF2-40B4-BE49-F238E27FC236}">
              <a16:creationId xmlns:a16="http://schemas.microsoft.com/office/drawing/2014/main" id="{00000000-0008-0000-0300-0000A374B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57150</xdr:colOff>
      <xdr:row>19</xdr:row>
      <xdr:rowOff>28575</xdr:rowOff>
    </xdr:from>
    <xdr:to>
      <xdr:col>1</xdr:col>
      <xdr:colOff>4210050</xdr:colOff>
      <xdr:row>36</xdr:row>
      <xdr:rowOff>28575</xdr:rowOff>
    </xdr:to>
    <xdr:graphicFrame macro="">
      <xdr:nvGraphicFramePr>
        <xdr:cNvPr id="12154020" name="Chart 6">
          <a:extLst>
            <a:ext uri="{FF2B5EF4-FFF2-40B4-BE49-F238E27FC236}">
              <a16:creationId xmlns:a16="http://schemas.microsoft.com/office/drawing/2014/main" id="{00000000-0008-0000-0300-0000A474B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0.26867</cdr:x>
      <cdr:y>0.15114</cdr:y>
    </cdr:from>
    <cdr:to>
      <cdr:x>0.51766</cdr:x>
      <cdr:y>0.22375</cdr:y>
    </cdr:to>
    <cdr:sp macro="" textlink="">
      <cdr:nvSpPr>
        <cdr:cNvPr id="40961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16974" y="386408"/>
          <a:ext cx="1035156" cy="1936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nl-NL" sz="1000" b="0" i="0" strike="noStrike">
              <a:solidFill>
                <a:srgbClr val="000000"/>
              </a:solidFill>
              <a:latin typeface="Arial"/>
              <a:cs typeface="Arial"/>
            </a:rPr>
            <a:t>                           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rivm-syso/SimpleBox" TargetMode="External"/><Relationship Id="rId2" Type="http://schemas.openxmlformats.org/officeDocument/2006/relationships/hyperlink" Target="mailto:joris.quik@rivm.nl" TargetMode="External"/><Relationship Id="rId1" Type="http://schemas.openxmlformats.org/officeDocument/2006/relationships/hyperlink" Target="http://www.rivm.nl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rivm-syso/SimpleBox/blob/master/Dynamic_RShell.md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comptox.epa.gov/dashboard/chemical/properties/DTXSID8059920" TargetMode="External"/><Relationship Id="rId18" Type="http://schemas.openxmlformats.org/officeDocument/2006/relationships/hyperlink" Target="https://comptox.epa.gov/dashboard/chemical/properties/DTXSID50472556" TargetMode="External"/><Relationship Id="rId26" Type="http://schemas.openxmlformats.org/officeDocument/2006/relationships/hyperlink" Target="https://comptox.epa.gov/dashboard/chemical/properties/DTXSID1067629" TargetMode="External"/><Relationship Id="rId39" Type="http://schemas.openxmlformats.org/officeDocument/2006/relationships/hyperlink" Target="https://comptox.epa.gov/dashboard/chemical/properties/DTXSID40108559" TargetMode="External"/><Relationship Id="rId21" Type="http://schemas.openxmlformats.org/officeDocument/2006/relationships/hyperlink" Target="https://comptox.epa.gov/dashboard/chemical/properties/DTXSID00192353" TargetMode="External"/><Relationship Id="rId34" Type="http://schemas.openxmlformats.org/officeDocument/2006/relationships/hyperlink" Target="https://comptox.epa.gov/dashboard/chemical/properties/DTXSID1062122" TargetMode="External"/><Relationship Id="rId42" Type="http://schemas.openxmlformats.org/officeDocument/2006/relationships/hyperlink" Target="https://comptox.epa.gov/dashboard/chemical/properties/DTXSID30382063" TargetMode="External"/><Relationship Id="rId47" Type="http://schemas.openxmlformats.org/officeDocument/2006/relationships/hyperlink" Target="https://comptox.epa.gov/dashboard/chemical/properties/DTXSID8031865" TargetMode="External"/><Relationship Id="rId50" Type="http://schemas.openxmlformats.org/officeDocument/2006/relationships/hyperlink" Target="https://comptox.epa.gov/dashboard/chemical/properties/DTXSID7047724" TargetMode="External"/><Relationship Id="rId7" Type="http://schemas.openxmlformats.org/officeDocument/2006/relationships/hyperlink" Target="https://comptox.epa.gov/dashboard/chemical/properties/DTXSID8047553" TargetMode="External"/><Relationship Id="rId2" Type="http://schemas.openxmlformats.org/officeDocument/2006/relationships/hyperlink" Target="https://comptox.epa.gov/dashboard/chemical/properties/DTXSID6062599" TargetMode="External"/><Relationship Id="rId16" Type="http://schemas.openxmlformats.org/officeDocument/2006/relationships/hyperlink" Target="https://comptox.epa.gov/dashboard/chemical/properties/DTXSID3040148" TargetMode="External"/><Relationship Id="rId29" Type="http://schemas.openxmlformats.org/officeDocument/2006/relationships/hyperlink" Target="https://comptox.epa.gov/dashboard/chemical/properties/DTXSID7027831" TargetMode="External"/><Relationship Id="rId11" Type="http://schemas.openxmlformats.org/officeDocument/2006/relationships/hyperlink" Target="https://comptox.epa.gov/dashboard/chemical/properties/DTXSID8062600" TargetMode="External"/><Relationship Id="rId24" Type="http://schemas.openxmlformats.org/officeDocument/2006/relationships/hyperlink" Target="https://comptox.epa.gov/dashboard/chemical/properties/DTXSID50469320" TargetMode="External"/><Relationship Id="rId32" Type="http://schemas.openxmlformats.org/officeDocument/2006/relationships/hyperlink" Target="https://comptox.epa.gov/dashboard/chemical/properties/DTXSID10624392" TargetMode="External"/><Relationship Id="rId37" Type="http://schemas.openxmlformats.org/officeDocument/2006/relationships/hyperlink" Target="https://comptox.epa.gov/dashboard/chemical/properties/DTXSID2029905" TargetMode="External"/><Relationship Id="rId40" Type="http://schemas.openxmlformats.org/officeDocument/2006/relationships/hyperlink" Target="https://comptox.epa.gov/dashboard/chemical/properties/DTXSID70191136" TargetMode="External"/><Relationship Id="rId45" Type="http://schemas.openxmlformats.org/officeDocument/2006/relationships/hyperlink" Target="https://comptox.epa.gov/dashboard/chemical/properties/DTXSID50379814" TargetMode="External"/><Relationship Id="rId5" Type="http://schemas.openxmlformats.org/officeDocument/2006/relationships/hyperlink" Target="https://comptox.epa.gov/dashboard/chemical/properties/DTXSID8031863" TargetMode="External"/><Relationship Id="rId15" Type="http://schemas.openxmlformats.org/officeDocument/2006/relationships/hyperlink" Target="https://comptox.epa.gov/dashboard/chemical/properties/DTXSID8071356" TargetMode="External"/><Relationship Id="rId23" Type="http://schemas.openxmlformats.org/officeDocument/2006/relationships/hyperlink" Target="https://comptox.epa.gov/dashboard/chemical/properties/DTXSID30880251" TargetMode="External"/><Relationship Id="rId28" Type="http://schemas.openxmlformats.org/officeDocument/2006/relationships/hyperlink" Target="https://comptox.epa.gov/dashboard/chemical/properties/DTXSID80892329" TargetMode="External"/><Relationship Id="rId36" Type="http://schemas.openxmlformats.org/officeDocument/2006/relationships/hyperlink" Target="https://comptox.epa.gov/dashboard/chemical/properties/DTXSID7029904" TargetMode="External"/><Relationship Id="rId49" Type="http://schemas.openxmlformats.org/officeDocument/2006/relationships/hyperlink" Target="https://comptox.epa.gov/dashboard/chemical/properties/DTXSID5031929" TargetMode="External"/><Relationship Id="rId10" Type="http://schemas.openxmlformats.org/officeDocument/2006/relationships/hyperlink" Target="https://comptox.epa.gov/dashboard/chemical/properties/DTXSID5030030" TargetMode="External"/><Relationship Id="rId19" Type="http://schemas.openxmlformats.org/officeDocument/2006/relationships/hyperlink" Target="https://comptox.epa.gov/dashboard/chemical/properties/DTXSID30891564" TargetMode="External"/><Relationship Id="rId31" Type="http://schemas.openxmlformats.org/officeDocument/2006/relationships/hyperlink" Target="https://comptox.epa.gov/dashboard/chemical/properties/DTXSID40440941" TargetMode="External"/><Relationship Id="rId44" Type="http://schemas.openxmlformats.org/officeDocument/2006/relationships/hyperlink" Target="https://comptox.epa.gov/dashboard/chemical/properties/DTXSID80892506" TargetMode="External"/><Relationship Id="rId52" Type="http://schemas.openxmlformats.org/officeDocument/2006/relationships/printerSettings" Target="../printerSettings/printerSettings5.bin"/><Relationship Id="rId4" Type="http://schemas.openxmlformats.org/officeDocument/2006/relationships/hyperlink" Target="https://comptox.epa.gov/dashboard/chemical/properties/DTXSID1037303" TargetMode="External"/><Relationship Id="rId9" Type="http://schemas.openxmlformats.org/officeDocument/2006/relationships/hyperlink" Target="https://comptox.epa.gov/dashboard/chemical/properties/DTXSID8031861" TargetMode="External"/><Relationship Id="rId14" Type="http://schemas.openxmlformats.org/officeDocument/2006/relationships/hyperlink" Target="https://comptox.epa.gov/dashboard/chemical/properties/DTXSID3031864" TargetMode="External"/><Relationship Id="rId22" Type="http://schemas.openxmlformats.org/officeDocument/2006/relationships/hyperlink" Target="https://comptox.epa.gov/dashboard/chemical/properties/DTXSID50892578" TargetMode="External"/><Relationship Id="rId27" Type="http://schemas.openxmlformats.org/officeDocument/2006/relationships/hyperlink" Target="https://comptox.epa.gov/dashboard/chemical/properties/DTXSID1032646" TargetMode="External"/><Relationship Id="rId30" Type="http://schemas.openxmlformats.org/officeDocument/2006/relationships/hyperlink" Target="https://comptox.epa.gov/dashboard/chemical/properties/DTXSID6027426" TargetMode="External"/><Relationship Id="rId35" Type="http://schemas.openxmlformats.org/officeDocument/2006/relationships/hyperlink" Target="https://comptox.epa.gov/dashboard/chemical/properties/DTXSID5044572" TargetMode="External"/><Relationship Id="rId43" Type="http://schemas.openxmlformats.org/officeDocument/2006/relationships/hyperlink" Target="https://comptox.epa.gov/dashboard/chemical/properties/DTXSID40892507" TargetMode="External"/><Relationship Id="rId48" Type="http://schemas.openxmlformats.org/officeDocument/2006/relationships/hyperlink" Target="https://comptox.epa.gov/dashboard/chemical/properties/DTXSID3059921" TargetMode="External"/><Relationship Id="rId8" Type="http://schemas.openxmlformats.org/officeDocument/2006/relationships/hyperlink" Target="https://comptox.epa.gov/dashboard/chemical/properties/DTXSID90868151" TargetMode="External"/><Relationship Id="rId51" Type="http://schemas.openxmlformats.org/officeDocument/2006/relationships/hyperlink" Target="https://comptox.epa.gov/dashboard/chemical/details/DTXSID80895097" TargetMode="External"/><Relationship Id="rId3" Type="http://schemas.openxmlformats.org/officeDocument/2006/relationships/hyperlink" Target="https://comptox.epa.gov/dashboard/chemical/properties/DTXSID3031862" TargetMode="External"/><Relationship Id="rId12" Type="http://schemas.openxmlformats.org/officeDocument/2006/relationships/hyperlink" Target="https://comptox.epa.gov/dashboard/chemical/properties/DTXSID7040150" TargetMode="External"/><Relationship Id="rId17" Type="http://schemas.openxmlformats.org/officeDocument/2006/relationships/hyperlink" Target="https://comptox.epa.gov/dashboard/chemical/properties/DTXSID20874028" TargetMode="External"/><Relationship Id="rId25" Type="http://schemas.openxmlformats.org/officeDocument/2006/relationships/hyperlink" Target="https://comptox.epa.gov/dashboard/chemical/properties/DTXSID3038939" TargetMode="External"/><Relationship Id="rId33" Type="http://schemas.openxmlformats.org/officeDocument/2006/relationships/hyperlink" Target="https://comptox.epa.gov/dashboard/chemical/properties/DTXSID5062760" TargetMode="External"/><Relationship Id="rId38" Type="http://schemas.openxmlformats.org/officeDocument/2006/relationships/hyperlink" Target="https://comptox.epa.gov/dashboard/chemical/properties/DTXSID70880215" TargetMode="External"/><Relationship Id="rId46" Type="http://schemas.openxmlformats.org/officeDocument/2006/relationships/hyperlink" Target="https://comptox.epa.gov/dashboard/chemical/properties/DTXSID40881350" TargetMode="External"/><Relationship Id="rId20" Type="http://schemas.openxmlformats.org/officeDocument/2006/relationships/hyperlink" Target="https://comptox.epa.gov/dashboard/chemical/properties/DTXSID6067331" TargetMode="External"/><Relationship Id="rId41" Type="http://schemas.openxmlformats.org/officeDocument/2006/relationships/hyperlink" Target="https://comptox.epa.gov/dashboard/chemical/properties/DTXSID60500450" TargetMode="External"/><Relationship Id="rId1" Type="http://schemas.openxmlformats.org/officeDocument/2006/relationships/hyperlink" Target="https://comptox.epa.gov/dashboard/chemical/properties/DTXSID4059916" TargetMode="External"/><Relationship Id="rId6" Type="http://schemas.openxmlformats.org/officeDocument/2006/relationships/hyperlink" Target="https://comptox.epa.gov/dashboard/chemical/properties/DTXSID303186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printerSettings" Target="../printerSettings/printerSettings10.bin"/><Relationship Id="rId7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1.bin"/><Relationship Id="rId9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printerSettings" Target="../printerSettings/printerSettings17.bin"/><Relationship Id="rId7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printerSettings" Target="../printerSettings/printerSettings20.bin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Relationship Id="rId9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24.bin"/><Relationship Id="rId7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Relationship Id="rId9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6.bin"/><Relationship Id="rId13" Type="http://schemas.openxmlformats.org/officeDocument/2006/relationships/printerSettings" Target="../printerSettings/printerSettings41.bin"/><Relationship Id="rId3" Type="http://schemas.openxmlformats.org/officeDocument/2006/relationships/printerSettings" Target="../printerSettings/printerSettings31.bin"/><Relationship Id="rId7" Type="http://schemas.openxmlformats.org/officeDocument/2006/relationships/printerSettings" Target="../printerSettings/printerSettings35.bin"/><Relationship Id="rId12" Type="http://schemas.openxmlformats.org/officeDocument/2006/relationships/printerSettings" Target="../printerSettings/printerSettings40.bin"/><Relationship Id="rId17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30.bin"/><Relationship Id="rId16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29.bin"/><Relationship Id="rId6" Type="http://schemas.openxmlformats.org/officeDocument/2006/relationships/printerSettings" Target="../printerSettings/printerSettings34.bin"/><Relationship Id="rId11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3.bin"/><Relationship Id="rId15" Type="http://schemas.openxmlformats.org/officeDocument/2006/relationships/printerSettings" Target="../printerSettings/printerSettings43.bin"/><Relationship Id="rId10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2.bin"/><Relationship Id="rId9" Type="http://schemas.openxmlformats.org/officeDocument/2006/relationships/printerSettings" Target="../printerSettings/printerSettings37.bin"/><Relationship Id="rId14" Type="http://schemas.openxmlformats.org/officeDocument/2006/relationships/printerSettings" Target="../printerSettings/printerSettings4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2:O40"/>
  <sheetViews>
    <sheetView zoomScaleNormal="100" workbookViewId="0"/>
  </sheetViews>
  <sheetFormatPr defaultColWidth="9.109375" defaultRowHeight="12.75" customHeight="1" x14ac:dyDescent="0.3"/>
  <cols>
    <col min="1" max="1" width="3.5546875" style="2" customWidth="1"/>
    <col min="2" max="2" width="11.6640625" style="2" customWidth="1"/>
    <col min="3" max="3" width="12.6640625" style="2" bestFit="1" customWidth="1"/>
    <col min="4" max="4" width="4.109375" style="2" customWidth="1"/>
    <col min="5" max="15" width="11.6640625" style="2" customWidth="1"/>
    <col min="16" max="16384" width="9.109375" style="2"/>
  </cols>
  <sheetData>
    <row r="2" spans="2:15" ht="12.75" customHeight="1" x14ac:dyDescent="0.3">
      <c r="B2" s="1" t="s">
        <v>1226</v>
      </c>
    </row>
    <row r="3" spans="2:15" ht="12.75" customHeight="1" x14ac:dyDescent="0.3">
      <c r="B3" s="243" t="str">
        <f>C32</f>
        <v>vs4.04</v>
      </c>
      <c r="C3" s="3">
        <f>B32</f>
        <v>45387</v>
      </c>
      <c r="E3" s="17"/>
      <c r="F3" s="4"/>
    </row>
    <row r="4" spans="2:15" ht="12.75" customHeight="1" x14ac:dyDescent="0.3">
      <c r="B4" s="416" t="s">
        <v>439</v>
      </c>
      <c r="C4" s="616" t="s">
        <v>3926</v>
      </c>
    </row>
    <row r="5" spans="2:15" ht="12.75" customHeight="1" x14ac:dyDescent="0.3"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</row>
    <row r="6" spans="2:15" ht="12.75" customHeight="1" x14ac:dyDescent="0.3">
      <c r="B6" s="4" t="s">
        <v>1227</v>
      </c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6"/>
    </row>
    <row r="7" spans="2:15" ht="12.75" customHeight="1" x14ac:dyDescent="0.3">
      <c r="B7" s="174" t="s">
        <v>3910</v>
      </c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</row>
    <row r="8" spans="2:15" ht="12.75" customHeight="1" x14ac:dyDescent="0.3">
      <c r="B8" s="2" t="s">
        <v>878</v>
      </c>
      <c r="O8" s="6"/>
    </row>
    <row r="9" spans="2:15" ht="12.75" customHeight="1" x14ac:dyDescent="0.3">
      <c r="B9" s="2" t="s">
        <v>1247</v>
      </c>
      <c r="O9" s="6"/>
    </row>
    <row r="10" spans="2:15" ht="12.75" customHeight="1" x14ac:dyDescent="0.3">
      <c r="B10" s="25" t="s">
        <v>3911</v>
      </c>
      <c r="D10" s="25"/>
      <c r="O10" s="6"/>
    </row>
    <row r="11" spans="2:15" ht="12.75" customHeight="1" x14ac:dyDescent="0.3">
      <c r="O11" s="6"/>
    </row>
    <row r="12" spans="2:15" ht="12.75" customHeight="1" x14ac:dyDescent="0.3">
      <c r="O12" s="6"/>
    </row>
    <row r="13" spans="2:15" ht="12.75" customHeight="1" x14ac:dyDescent="0.3">
      <c r="B13" s="4" t="s">
        <v>1248</v>
      </c>
      <c r="O13" s="6"/>
    </row>
    <row r="14" spans="2:15" ht="12.75" customHeight="1" x14ac:dyDescent="0.3">
      <c r="B14" s="29" t="s">
        <v>3927</v>
      </c>
      <c r="C14" s="415"/>
      <c r="D14" s="415"/>
      <c r="E14" s="415"/>
      <c r="F14" s="415"/>
      <c r="G14" s="415"/>
      <c r="H14" s="415"/>
      <c r="I14" s="415"/>
      <c r="J14" s="415"/>
      <c r="O14" s="6"/>
    </row>
    <row r="15" spans="2:15" ht="12.75" customHeight="1" x14ac:dyDescent="0.3">
      <c r="B15" s="29" t="s">
        <v>3908</v>
      </c>
      <c r="C15" s="447"/>
      <c r="D15" s="447"/>
      <c r="E15" s="447"/>
      <c r="F15" s="447"/>
      <c r="G15" s="447"/>
      <c r="H15" s="447"/>
      <c r="I15" s="447"/>
      <c r="J15" s="447"/>
      <c r="K15" s="447"/>
      <c r="O15" s="6"/>
    </row>
    <row r="16" spans="2:15" ht="12.75" customHeight="1" x14ac:dyDescent="0.3">
      <c r="B16" s="29" t="s">
        <v>2120</v>
      </c>
      <c r="O16" s="6"/>
    </row>
    <row r="17" spans="2:15" ht="12.75" customHeight="1" x14ac:dyDescent="0.3">
      <c r="B17" s="29" t="s">
        <v>2121</v>
      </c>
      <c r="O17" s="6"/>
    </row>
    <row r="18" spans="2:15" ht="12.75" customHeight="1" x14ac:dyDescent="0.3">
      <c r="B18" s="2" t="s">
        <v>861</v>
      </c>
      <c r="O18" s="6"/>
    </row>
    <row r="19" spans="2:15" ht="12.75" customHeight="1" x14ac:dyDescent="0.3">
      <c r="O19" s="6"/>
    </row>
    <row r="20" spans="2:15" ht="12.75" customHeight="1" x14ac:dyDescent="0.3">
      <c r="B20" s="4" t="s">
        <v>1249</v>
      </c>
      <c r="O20" s="6"/>
    </row>
    <row r="21" spans="2:15" ht="12.75" customHeight="1" x14ac:dyDescent="0.3">
      <c r="B21" s="618">
        <v>34182</v>
      </c>
      <c r="C21" s="2" t="s">
        <v>212</v>
      </c>
      <c r="D21" s="2" t="s">
        <v>1350</v>
      </c>
      <c r="O21" s="6"/>
    </row>
    <row r="22" spans="2:15" ht="12.75" customHeight="1" x14ac:dyDescent="0.3">
      <c r="B22" s="618">
        <v>35462</v>
      </c>
      <c r="C22" s="2" t="s">
        <v>885</v>
      </c>
      <c r="D22" s="2" t="s">
        <v>1351</v>
      </c>
      <c r="O22" s="6"/>
    </row>
    <row r="23" spans="2:15" ht="12.75" customHeight="1" x14ac:dyDescent="0.3">
      <c r="B23" s="618">
        <v>38152</v>
      </c>
      <c r="C23" s="2" t="s">
        <v>583</v>
      </c>
      <c r="D23" s="2" t="s">
        <v>1352</v>
      </c>
      <c r="O23" s="6"/>
    </row>
    <row r="24" spans="2:15" ht="12.75" customHeight="1" x14ac:dyDescent="0.3">
      <c r="B24" s="618">
        <v>41804</v>
      </c>
      <c r="C24" s="29" t="s">
        <v>2327</v>
      </c>
      <c r="D24" s="29" t="s">
        <v>2404</v>
      </c>
      <c r="O24" s="6"/>
    </row>
    <row r="25" spans="2:15" ht="12.75" customHeight="1" x14ac:dyDescent="0.3">
      <c r="B25" s="619">
        <v>42155</v>
      </c>
      <c r="C25" s="29" t="s">
        <v>2403</v>
      </c>
      <c r="D25" s="29" t="s">
        <v>2405</v>
      </c>
      <c r="E25" s="29"/>
      <c r="F25" s="29"/>
      <c r="G25" s="29"/>
      <c r="H25" s="29"/>
      <c r="I25" s="29"/>
      <c r="J25" s="29"/>
      <c r="O25" s="6"/>
    </row>
    <row r="26" spans="2:15" ht="12.75" customHeight="1" x14ac:dyDescent="0.3">
      <c r="B26" s="619">
        <v>44257</v>
      </c>
      <c r="C26" s="29" t="s">
        <v>2403</v>
      </c>
      <c r="D26" s="29" t="s">
        <v>3913</v>
      </c>
      <c r="E26" s="29"/>
      <c r="F26" s="29"/>
      <c r="G26" s="29"/>
      <c r="H26" s="29"/>
      <c r="I26" s="29"/>
      <c r="J26" s="29"/>
      <c r="O26" s="6"/>
    </row>
    <row r="27" spans="2:15" ht="12.75" customHeight="1" x14ac:dyDescent="0.3">
      <c r="B27" s="619"/>
      <c r="C27" s="29"/>
      <c r="D27" s="29" t="s">
        <v>3912</v>
      </c>
      <c r="E27" s="29"/>
      <c r="F27" s="29"/>
      <c r="G27" s="90"/>
      <c r="H27" s="90"/>
      <c r="I27" s="90"/>
      <c r="J27" s="90"/>
    </row>
    <row r="28" spans="2:15" ht="12.75" customHeight="1" x14ac:dyDescent="0.3">
      <c r="B28" s="619">
        <v>44497</v>
      </c>
      <c r="C28" s="29" t="s">
        <v>3919</v>
      </c>
      <c r="D28" s="29" t="s">
        <v>3914</v>
      </c>
      <c r="E28" s="29"/>
      <c r="F28" s="29"/>
      <c r="G28" s="29"/>
      <c r="H28" s="29"/>
      <c r="I28" s="29"/>
    </row>
    <row r="29" spans="2:15" ht="12.75" customHeight="1" x14ac:dyDescent="0.3">
      <c r="B29" s="90"/>
      <c r="C29" s="90"/>
      <c r="D29" s="29" t="s">
        <v>3920</v>
      </c>
      <c r="E29" s="29"/>
      <c r="F29" s="29"/>
      <c r="G29" s="29"/>
      <c r="H29" s="29"/>
      <c r="I29" s="29"/>
      <c r="J29" s="29"/>
      <c r="K29" s="29"/>
    </row>
    <row r="30" spans="2:15" ht="12.75" customHeight="1" x14ac:dyDescent="0.3">
      <c r="D30" s="29" t="s">
        <v>3922</v>
      </c>
      <c r="E30" s="29"/>
      <c r="F30" s="29"/>
      <c r="G30" s="29"/>
      <c r="H30" s="29"/>
      <c r="I30" s="29"/>
      <c r="J30" s="29"/>
      <c r="K30" s="29"/>
    </row>
    <row r="31" spans="2:15" ht="12.75" customHeight="1" x14ac:dyDescent="0.3">
      <c r="D31" s="29" t="s">
        <v>3923</v>
      </c>
      <c r="E31" s="29"/>
      <c r="F31" s="29"/>
      <c r="G31" s="29"/>
      <c r="H31" s="29"/>
      <c r="I31" s="29"/>
      <c r="J31" s="29"/>
      <c r="K31" s="29"/>
    </row>
    <row r="32" spans="2:15" ht="12.75" customHeight="1" x14ac:dyDescent="0.3">
      <c r="B32" s="619">
        <v>45387</v>
      </c>
      <c r="C32" s="29" t="s">
        <v>3941</v>
      </c>
      <c r="D32" s="29" t="s">
        <v>3936</v>
      </c>
      <c r="E32" s="29"/>
      <c r="F32" s="29"/>
    </row>
    <row r="33" spans="2:12" ht="12.75" customHeight="1" x14ac:dyDescent="0.3">
      <c r="B33" s="619"/>
      <c r="C33" s="29"/>
      <c r="D33" s="29"/>
      <c r="E33" s="29" t="s">
        <v>3947</v>
      </c>
      <c r="F33" s="29"/>
    </row>
    <row r="34" spans="2:12" ht="12.75" customHeight="1" x14ac:dyDescent="0.3">
      <c r="B34" s="29"/>
      <c r="C34" s="29"/>
      <c r="D34" s="29"/>
      <c r="E34" s="29" t="s">
        <v>3948</v>
      </c>
      <c r="F34" s="29"/>
    </row>
    <row r="35" spans="2:12" ht="12.75" customHeight="1" x14ac:dyDescent="0.3">
      <c r="B35" s="29"/>
      <c r="C35" s="29"/>
      <c r="D35" s="29" t="s">
        <v>3942</v>
      </c>
      <c r="E35" s="29"/>
      <c r="F35" s="29"/>
    </row>
    <row r="36" spans="2:12" ht="12.75" customHeight="1" x14ac:dyDescent="0.3">
      <c r="B36" s="29"/>
      <c r="C36" s="29"/>
      <c r="D36" s="29" t="s">
        <v>3943</v>
      </c>
      <c r="E36" s="29"/>
      <c r="F36" s="29"/>
    </row>
    <row r="37" spans="2:12" ht="12.75" customHeight="1" x14ac:dyDescent="0.3">
      <c r="B37" s="29"/>
      <c r="C37" s="29"/>
      <c r="D37" s="94" t="s">
        <v>3939</v>
      </c>
      <c r="E37" s="29"/>
      <c r="F37" s="29"/>
    </row>
    <row r="38" spans="2:12" ht="12.75" customHeight="1" x14ac:dyDescent="0.3">
      <c r="B38" s="29"/>
      <c r="C38" s="29"/>
      <c r="D38" s="94"/>
      <c r="E38" s="29" t="s">
        <v>3940</v>
      </c>
      <c r="F38" s="29"/>
    </row>
    <row r="39" spans="2:12" ht="12.75" customHeight="1" x14ac:dyDescent="0.3">
      <c r="B39" s="619"/>
      <c r="C39" s="29"/>
      <c r="D39" s="29" t="s">
        <v>3928</v>
      </c>
      <c r="E39" s="29"/>
      <c r="F39" s="29"/>
      <c r="G39" s="90"/>
      <c r="H39" s="90"/>
      <c r="I39" s="90"/>
      <c r="J39" s="90"/>
      <c r="K39" s="90"/>
      <c r="L39" s="90"/>
    </row>
    <row r="40" spans="2:12" ht="12.75" customHeight="1" x14ac:dyDescent="0.3">
      <c r="B40" s="29"/>
      <c r="C40" s="29"/>
      <c r="D40" s="29" t="s">
        <v>3935</v>
      </c>
      <c r="E40" s="29"/>
      <c r="F40" s="29"/>
    </row>
  </sheetData>
  <phoneticPr fontId="5" type="noConversion"/>
  <hyperlinks>
    <hyperlink ref="B4" r:id="rId1" xr:uid="{00000000-0004-0000-0000-000000000000}"/>
    <hyperlink ref="B10" r:id="rId2" xr:uid="{00000000-0004-0000-0000-000001000000}"/>
    <hyperlink ref="C4" r:id="rId3" display="https://github.com/rivm-syso/SimpleBox" xr:uid="{15CBECE7-3266-4557-9C35-B1BCAB302CDA}"/>
  </hyperlinks>
  <pageMargins left="0.75" right="0.75" top="1" bottom="1" header="0.5" footer="0.5"/>
  <pageSetup paperSize="9" scale="31" orientation="landscape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P162"/>
  <sheetViews>
    <sheetView topLeftCell="A123" zoomScaleNormal="100" workbookViewId="0">
      <selection activeCell="J132" sqref="J132"/>
    </sheetView>
  </sheetViews>
  <sheetFormatPr defaultColWidth="9.109375" defaultRowHeight="12.75" customHeight="1" x14ac:dyDescent="0.3"/>
  <cols>
    <col min="1" max="5" width="1.6640625" customWidth="1"/>
    <col min="6" max="6" width="65.6640625" customWidth="1"/>
    <col min="7" max="7" width="22.6640625" style="79" customWidth="1"/>
    <col min="8" max="8" width="10.6640625" style="79" customWidth="1"/>
    <col min="9" max="9" width="9.6640625" style="358" customWidth="1"/>
    <col min="10" max="10" width="9.6640625" style="403" customWidth="1"/>
    <col min="11" max="12" width="9.6640625" style="357" customWidth="1"/>
    <col min="14" max="14" width="67.33203125" customWidth="1"/>
    <col min="15" max="15" width="2.6640625" style="7" customWidth="1"/>
    <col min="16" max="16384" width="9.109375" style="27"/>
  </cols>
  <sheetData>
    <row r="1" spans="1:15" s="26" customFormat="1" ht="12.75" customHeight="1" x14ac:dyDescent="0.3">
      <c r="A1" s="417" t="s">
        <v>1101</v>
      </c>
      <c r="B1" s="29"/>
      <c r="C1" s="29"/>
      <c r="D1" s="29"/>
      <c r="E1" s="29"/>
      <c r="F1" s="29"/>
      <c r="G1" s="29"/>
      <c r="H1" s="36"/>
      <c r="I1" s="338"/>
      <c r="J1" s="339"/>
      <c r="K1" s="339"/>
      <c r="L1" s="339"/>
      <c r="M1" s="29"/>
      <c r="N1" s="29"/>
      <c r="O1" s="165"/>
    </row>
    <row r="2" spans="1:15" s="26" customFormat="1" ht="12.75" customHeight="1" x14ac:dyDescent="0.3">
      <c r="A2" s="20"/>
      <c r="B2" s="29"/>
      <c r="C2" s="29"/>
      <c r="D2" s="29"/>
      <c r="E2" s="29"/>
      <c r="F2" s="29"/>
      <c r="G2" s="29"/>
      <c r="H2" s="36"/>
      <c r="I2" s="338"/>
      <c r="J2" s="339"/>
      <c r="K2" s="339"/>
      <c r="L2" s="339"/>
      <c r="M2" s="29"/>
      <c r="N2" s="29"/>
      <c r="O2" s="165"/>
    </row>
    <row r="3" spans="1:15" customFormat="1" ht="12.75" customHeight="1" x14ac:dyDescent="0.3">
      <c r="A3" s="98" t="s">
        <v>2152</v>
      </c>
      <c r="B3" s="97"/>
      <c r="C3" s="97"/>
      <c r="D3" s="97"/>
      <c r="E3" s="97"/>
      <c r="F3" s="97"/>
      <c r="G3" s="98" t="s">
        <v>1008</v>
      </c>
      <c r="H3" s="98"/>
      <c r="I3" s="340" t="s">
        <v>754</v>
      </c>
      <c r="J3" s="401"/>
      <c r="K3" s="340" t="s">
        <v>753</v>
      </c>
      <c r="L3" s="340" t="s">
        <v>1358</v>
      </c>
      <c r="M3" s="97"/>
      <c r="N3" s="98" t="s">
        <v>1371</v>
      </c>
      <c r="O3" s="171"/>
    </row>
    <row r="4" spans="1:15" s="26" customFormat="1" ht="12.75" customHeight="1" x14ac:dyDescent="0.3">
      <c r="A4" s="36"/>
      <c r="B4" s="29"/>
      <c r="C4" s="29"/>
      <c r="D4" s="29"/>
      <c r="E4" s="29"/>
      <c r="F4" s="29"/>
      <c r="G4" s="36"/>
      <c r="H4" s="36"/>
      <c r="I4" s="341"/>
      <c r="J4" s="342"/>
      <c r="K4" s="342"/>
      <c r="L4" s="342"/>
      <c r="M4" s="29"/>
      <c r="N4" s="36"/>
      <c r="O4" s="161"/>
    </row>
    <row r="5" spans="1:15" s="26" customFormat="1" ht="26.4" customHeight="1" x14ac:dyDescent="0.3">
      <c r="A5" s="91" t="s">
        <v>1360</v>
      </c>
      <c r="B5" s="29"/>
      <c r="C5" s="29"/>
      <c r="D5" s="29"/>
      <c r="E5" s="29"/>
      <c r="F5" s="29"/>
      <c r="G5" s="93" t="s">
        <v>694</v>
      </c>
      <c r="H5" s="36"/>
      <c r="I5" s="411" t="s">
        <v>2058</v>
      </c>
      <c r="J5" s="400"/>
      <c r="K5" s="343" t="s">
        <v>2058</v>
      </c>
      <c r="L5" s="344" t="str">
        <f>IF(ISBLANK(I6),IF(ISBLANK(I5),IF(J5="",K5,J5),I5),VLOOKUP(ChemRowNr,substances!A8:B5034,2,0))</f>
        <v>default substance</v>
      </c>
      <c r="M5" s="29"/>
      <c r="N5" s="92"/>
      <c r="O5" s="161"/>
    </row>
    <row r="6" spans="1:15" s="26" customFormat="1" ht="12.75" customHeight="1" x14ac:dyDescent="0.3">
      <c r="A6" s="36"/>
      <c r="B6" s="29"/>
      <c r="C6" s="29"/>
      <c r="D6" s="29"/>
      <c r="E6" s="29"/>
      <c r="F6" s="29"/>
      <c r="G6" s="36" t="s">
        <v>2013</v>
      </c>
      <c r="H6" s="36"/>
      <c r="I6" s="410"/>
      <c r="J6" s="400"/>
      <c r="K6" s="121">
        <f>VLOOKUP(ChemName,ChemData,26,FALSE)</f>
        <v>1</v>
      </c>
      <c r="L6" s="393">
        <f>IF(ISBLANK(I6),IF(ISBLANK(J6),K6,J6),I6)</f>
        <v>1</v>
      </c>
      <c r="M6" s="29"/>
      <c r="N6" s="36"/>
      <c r="O6" s="161"/>
    </row>
    <row r="7" spans="1:15" s="26" customFormat="1" ht="12.75" customHeight="1" x14ac:dyDescent="0.3">
      <c r="A7" s="36"/>
      <c r="B7" s="36"/>
      <c r="C7" s="36"/>
      <c r="D7" s="36"/>
      <c r="E7" s="36"/>
      <c r="F7" s="36"/>
      <c r="G7" s="36"/>
      <c r="H7" s="36"/>
      <c r="I7" s="36"/>
      <c r="J7" s="347"/>
      <c r="K7" s="320"/>
      <c r="L7" s="320"/>
      <c r="M7" s="29"/>
      <c r="N7" s="162"/>
      <c r="O7" s="172"/>
    </row>
    <row r="8" spans="1:15" s="26" customFormat="1" ht="26.4" customHeight="1" x14ac:dyDescent="0.3">
      <c r="A8" s="92" t="s">
        <v>809</v>
      </c>
      <c r="B8" s="92"/>
      <c r="C8" s="92"/>
      <c r="D8" s="92"/>
      <c r="E8" s="92"/>
      <c r="F8" s="92"/>
      <c r="G8" s="93" t="s">
        <v>1100</v>
      </c>
      <c r="H8" s="100"/>
      <c r="I8" s="411" t="s">
        <v>2059</v>
      </c>
      <c r="J8" s="400"/>
      <c r="K8" s="343" t="s">
        <v>2059</v>
      </c>
      <c r="L8" s="344" t="str">
        <f>IF(ISBLANK(I8),IF(J8=0,K8,J8),I8)</f>
        <v>default scenario</v>
      </c>
      <c r="M8" s="29"/>
      <c r="N8" s="92"/>
      <c r="O8" s="172"/>
    </row>
    <row r="9" spans="1:15" s="26" customFormat="1" ht="12.75" customHeight="1" x14ac:dyDescent="0.3">
      <c r="A9" s="36"/>
      <c r="B9" s="29"/>
      <c r="C9" s="29"/>
      <c r="D9" s="29"/>
      <c r="E9" s="29"/>
      <c r="F9" s="29"/>
      <c r="G9" s="36"/>
      <c r="H9" s="36"/>
      <c r="I9" s="36"/>
      <c r="J9" s="342"/>
      <c r="K9" s="342"/>
      <c r="L9" s="342"/>
      <c r="M9" s="29"/>
      <c r="N9" s="36"/>
      <c r="O9" s="172"/>
    </row>
    <row r="10" spans="1:15" s="26" customFormat="1" ht="26.4" customHeight="1" x14ac:dyDescent="0.3">
      <c r="A10" s="91" t="s">
        <v>1213</v>
      </c>
      <c r="B10" s="29"/>
      <c r="C10" s="29"/>
      <c r="D10" s="29"/>
      <c r="E10" s="29"/>
      <c r="F10" s="29"/>
      <c r="G10" s="93" t="s">
        <v>1214</v>
      </c>
      <c r="H10" s="36"/>
      <c r="I10" s="411" t="s">
        <v>2198</v>
      </c>
      <c r="J10" s="400"/>
      <c r="K10" s="343" t="s">
        <v>2198</v>
      </c>
      <c r="L10" s="344" t="str">
        <f>IF(ISBLANK(I10),IF(ISBLANK(J10),K10,J10),I10)</f>
        <v>defaults only</v>
      </c>
      <c r="M10" s="101"/>
      <c r="N10" s="92"/>
      <c r="O10" s="159"/>
    </row>
    <row r="11" spans="1:15" s="26" customFormat="1" ht="12.75" customHeight="1" x14ac:dyDescent="0.3">
      <c r="A11" s="29"/>
      <c r="B11" s="29"/>
      <c r="C11" s="29"/>
      <c r="D11" s="29"/>
      <c r="E11" s="29"/>
      <c r="F11" s="29"/>
      <c r="G11" s="36"/>
      <c r="H11" s="36"/>
      <c r="I11" s="348"/>
      <c r="J11" s="339"/>
      <c r="K11" s="339"/>
      <c r="L11" s="339"/>
      <c r="M11" s="29"/>
      <c r="N11" s="29"/>
      <c r="O11" s="159"/>
    </row>
    <row r="12" spans="1:15" customFormat="1" ht="12.75" customHeight="1" x14ac:dyDescent="0.3">
      <c r="A12" s="98" t="s">
        <v>2145</v>
      </c>
      <c r="B12" s="97"/>
      <c r="C12" s="97"/>
      <c r="D12" s="97"/>
      <c r="E12" s="97"/>
      <c r="F12" s="97"/>
      <c r="G12" s="98" t="s">
        <v>1008</v>
      </c>
      <c r="H12" s="98" t="s">
        <v>968</v>
      </c>
      <c r="I12" s="340" t="s">
        <v>754</v>
      </c>
      <c r="J12" s="340" t="s">
        <v>37</v>
      </c>
      <c r="K12" s="340" t="s">
        <v>753</v>
      </c>
      <c r="L12" s="340" t="s">
        <v>1358</v>
      </c>
      <c r="M12" s="97"/>
      <c r="N12" s="98" t="s">
        <v>1371</v>
      </c>
      <c r="O12" s="159"/>
    </row>
    <row r="13" spans="1:15" s="26" customFormat="1" ht="12.75" customHeight="1" x14ac:dyDescent="0.3">
      <c r="A13" s="36"/>
      <c r="B13" s="29"/>
      <c r="C13" s="29"/>
      <c r="D13" s="29"/>
      <c r="E13" s="29"/>
      <c r="F13" s="29"/>
      <c r="G13" s="36"/>
      <c r="H13" s="36"/>
      <c r="I13" s="341"/>
      <c r="J13" s="342"/>
      <c r="K13" s="342"/>
      <c r="L13" s="342"/>
      <c r="M13" s="29"/>
      <c r="N13" s="36"/>
      <c r="O13" s="172"/>
    </row>
    <row r="14" spans="1:15" s="26" customFormat="1" ht="12.75" customHeight="1" x14ac:dyDescent="0.3">
      <c r="A14" s="36"/>
      <c r="B14" s="91" t="s">
        <v>594</v>
      </c>
      <c r="C14" s="92"/>
      <c r="D14" s="92"/>
      <c r="E14" s="92"/>
      <c r="F14" s="92"/>
      <c r="G14" s="93" t="s">
        <v>404</v>
      </c>
      <c r="H14" s="91"/>
      <c r="I14" s="413"/>
      <c r="J14" s="409" t="str">
        <f>IF(HLOOKUP(CaseName,CaseData,ROW()-2,FALSE)="",IF(ISBLANK(VLOOKUP(ChemName,ChemData,MATCH("ChemClass",substances!$3:$3,FALSE)-1,FALSE)),"",VLOOKUP(ChemName,ChemData,MATCH("ChemClass",substances!$3:$3,FALSE)-1,FALSE)),HLOOKUP(CaseName,CaseData,ROW()-2,FALSE))</f>
        <v>neutral</v>
      </c>
      <c r="K14" s="350" t="s">
        <v>2060</v>
      </c>
      <c r="L14" s="351" t="str">
        <f>IF(I14="",IF(J14="",K14,J14),I14)</f>
        <v>neutral</v>
      </c>
      <c r="M14" s="36"/>
      <c r="N14" s="29"/>
      <c r="O14" s="172"/>
    </row>
    <row r="15" spans="1:15" s="26" customFormat="1" ht="12.75" customHeight="1" x14ac:dyDescent="0.3">
      <c r="A15" s="29"/>
      <c r="B15" s="36" t="s">
        <v>1099</v>
      </c>
      <c r="C15" s="29"/>
      <c r="D15" s="29"/>
      <c r="E15" s="29"/>
      <c r="F15" s="29"/>
      <c r="G15" s="37" t="s">
        <v>695</v>
      </c>
      <c r="H15" s="36" t="s">
        <v>2106</v>
      </c>
      <c r="I15" s="412"/>
      <c r="J15" s="402">
        <f>IF(HLOOKUP(CaseName,CaseData,ROW()-2,FALSE)="",IF(ISBLANK(VLOOKUP(ChemName,ChemData,MATCH("MW",substances!$3:$3,FALSE)-1,FALSE)),"",VLOOKUP(ChemName,ChemData,MATCH("MW",substances!$3:$3,FALSE)-1,FALSE)),HLOOKUP(CaseName,CaseData,ROW()-2,FALSE))</f>
        <v>147</v>
      </c>
      <c r="K15" s="345">
        <f>MEDIAN(substances!F$4010:F$4276)</f>
        <v>138</v>
      </c>
      <c r="L15" s="346">
        <f>IF(ISBLANK(I15),IF(ISNUMBER(J15)=FALSE,K15/1000,J15/1000),I15/1000)</f>
        <v>0.14699999999999999</v>
      </c>
      <c r="M15" s="36" t="s">
        <v>1359</v>
      </c>
      <c r="N15" s="29"/>
      <c r="O15" s="159"/>
    </row>
    <row r="16" spans="1:15" s="26" customFormat="1" ht="12.75" customHeight="1" x14ac:dyDescent="0.3">
      <c r="A16" s="29"/>
      <c r="B16" s="36" t="s">
        <v>323</v>
      </c>
      <c r="C16" s="29"/>
      <c r="D16" s="29"/>
      <c r="E16" s="29"/>
      <c r="F16" s="29"/>
      <c r="G16" s="36"/>
      <c r="H16" s="36"/>
      <c r="I16" s="36"/>
      <c r="J16" s="409" t="str">
        <f>IF(HLOOKUP(CaseName,CaseData,ROW()-2,FALSE)="",IF(ISBLANK(VLOOKUP(ChemName,ChemData,MATCH("CAS",substances!$3:$3,FALSE)-1,FALSE)),"",VLOOKUP(ChemName,ChemData,MATCH("CAS",substances!$3:$3,FALSE)-1,FALSE)),HLOOKUP(CaseName,CaseData,ROW()-2,FALSE))</f>
        <v/>
      </c>
      <c r="K16" s="339"/>
      <c r="L16" s="339"/>
      <c r="M16" s="29"/>
      <c r="N16" s="29"/>
      <c r="O16" s="172"/>
    </row>
    <row r="17" spans="1:16" s="26" customFormat="1" ht="12.75" customHeight="1" x14ac:dyDescent="0.3">
      <c r="A17" s="36"/>
      <c r="B17" s="36" t="s">
        <v>595</v>
      </c>
      <c r="C17" s="29"/>
      <c r="D17" s="29"/>
      <c r="E17" s="29"/>
      <c r="F17" s="29"/>
      <c r="G17" s="94" t="s">
        <v>1739</v>
      </c>
      <c r="H17" s="36" t="s">
        <v>36</v>
      </c>
      <c r="I17" s="412"/>
      <c r="J17" s="402" t="str">
        <f>IF(HLOOKUP(CaseName,CaseData,ROW()-2,FALSE)="",IF(ISBLANK(VLOOKUP(ChemName,ChemData,MATCH("Ksw",substances!$3:$3,FALSE)-1,FALSE)),"",VLOOKUP(ChemName,ChemData,MATCH("Ksw",substances!$3:$3,FALSE)-1,FALSE)),HLOOKUP(CaseName,CaseData,ROW()-2,FALSE))</f>
        <v/>
      </c>
      <c r="K17" s="345">
        <f>(VLOOKUP(ChemClass,QSARtable,7,FALSE))*CORG*RHOsolid/1000</f>
        <v>38.4768961762732</v>
      </c>
      <c r="L17" s="346">
        <f t="shared" ref="L17:L23" si="0">IF(ISBLANK(I17), IF(ISNUMBER(J17)=FALSE, K17, J17), I17)</f>
        <v>38.4768961762732</v>
      </c>
      <c r="M17" s="36" t="s">
        <v>486</v>
      </c>
      <c r="N17" s="29" t="s">
        <v>24</v>
      </c>
      <c r="O17" s="172"/>
      <c r="P17" s="26">
        <f>VLOOKUP(ChemName,ChemData,MATCH("Ksw",substances!$3:$3,FALSE)-1,FALSE)</f>
        <v>0</v>
      </c>
    </row>
    <row r="18" spans="1:16" ht="12.75" customHeight="1" x14ac:dyDescent="0.3">
      <c r="A18" s="36"/>
      <c r="B18" s="36" t="s">
        <v>596</v>
      </c>
      <c r="C18" s="29"/>
      <c r="D18" s="29"/>
      <c r="E18" s="29"/>
      <c r="F18" s="29"/>
      <c r="G18" s="94" t="s">
        <v>597</v>
      </c>
      <c r="H18" s="36" t="s">
        <v>36</v>
      </c>
      <c r="I18" s="412"/>
      <c r="J18" s="402" t="str">
        <f>IF(HLOOKUP(CaseName,CaseData,ROW()-2,FALSE)="","",HLOOKUP(CaseName,CaseData,ROW()-2,FALSE))</f>
        <v/>
      </c>
      <c r="K18" s="345">
        <f>(VLOOKUP(ChemClass,QSARtable,8,FALSE))*CORG*RHOsolid/1000</f>
        <v>38.4768961762732</v>
      </c>
      <c r="L18" s="346">
        <f t="shared" si="0"/>
        <v>38.4768961762732</v>
      </c>
      <c r="M18" s="36" t="s">
        <v>486</v>
      </c>
      <c r="N18" s="29"/>
      <c r="O18" s="172"/>
    </row>
    <row r="19" spans="1:16" s="26" customFormat="1" ht="12.75" customHeight="1" x14ac:dyDescent="0.3">
      <c r="A19" s="36"/>
      <c r="B19" s="36" t="s">
        <v>1551</v>
      </c>
      <c r="C19" s="95"/>
      <c r="D19" s="29"/>
      <c r="E19" s="29"/>
      <c r="F19" s="29"/>
      <c r="G19" s="94" t="s">
        <v>1740</v>
      </c>
      <c r="H19" s="36" t="s">
        <v>36</v>
      </c>
      <c r="I19" s="412"/>
      <c r="J19" s="402" t="str">
        <f>IF(HLOOKUP(CaseName,CaseData,ROW()-2,FALSE)="",IF(ISBLANK(VLOOKUP(ChemName,ChemData,MATCH("Kaw",substances!$3:$3,FALSE)-1,FALSE)),"",VLOOKUP(ChemName,ChemData,MATCH("Kaw",substances!$3:$3,FALSE)-1,FALSE)),HLOOKUP(CaseName,CaseData,ROW()-2,FALSE))</f>
        <v/>
      </c>
      <c r="K19" s="542">
        <f>VLOOKUP(ChemClass,QSARtable,9,FALSE)</f>
        <v>0.16931229237089712</v>
      </c>
      <c r="L19" s="346">
        <f>IF(ISBLANK(I19), IF(ISNUMBER(J19)=FALSE, K19, J19), I19)</f>
        <v>0.16931229237089712</v>
      </c>
      <c r="M19" s="36" t="s">
        <v>486</v>
      </c>
      <c r="N19" s="29"/>
      <c r="O19" s="172"/>
    </row>
    <row r="20" spans="1:16" s="26" customFormat="1" ht="12.75" customHeight="1" x14ac:dyDescent="0.3">
      <c r="A20" s="29"/>
      <c r="B20" s="29"/>
      <c r="C20" s="36" t="s">
        <v>1552</v>
      </c>
      <c r="D20" s="29"/>
      <c r="E20" s="29"/>
      <c r="F20" s="29"/>
      <c r="G20" s="37" t="s">
        <v>485</v>
      </c>
      <c r="H20" s="36" t="s">
        <v>36</v>
      </c>
      <c r="I20" s="412"/>
      <c r="J20" s="402">
        <f>IF(HLOOKUP(CaseName,CaseData,ROW()-2,FALSE)="",IF(ISBLANK(VLOOKUP(ChemName,ChemData,MATCH("Kow",substances!$3:$3,FALSE)-1,FALSE)),"",VLOOKUP(ChemName,ChemData,MATCH("Kow",substances!$3:$3,FALSE)-1,FALSE)),HLOOKUP(CaseName,CaseData,ROW()-2,FALSE))</f>
        <v>2750</v>
      </c>
      <c r="K20" s="345">
        <f>MEDIAN(substances!K$4010:K$4276)</f>
        <v>18</v>
      </c>
      <c r="L20" s="346">
        <f t="shared" si="0"/>
        <v>2750</v>
      </c>
      <c r="M20" s="36" t="s">
        <v>486</v>
      </c>
      <c r="N20" s="29"/>
      <c r="O20" s="172"/>
    </row>
    <row r="21" spans="1:16" s="26" customFormat="1" ht="12.75" customHeight="1" x14ac:dyDescent="0.3">
      <c r="A21" s="29"/>
      <c r="B21" s="29"/>
      <c r="C21" s="36" t="s">
        <v>1553</v>
      </c>
      <c r="D21" s="29"/>
      <c r="E21" s="29"/>
      <c r="F21" s="29"/>
      <c r="G21" s="37" t="s">
        <v>1741</v>
      </c>
      <c r="H21" s="36" t="s">
        <v>36</v>
      </c>
      <c r="I21" s="412"/>
      <c r="J21" s="402" t="str">
        <f>IF(HLOOKUP(CaseName,CaseData,ROW()-2,FALSE)="","",HLOOKUP(CaseName,CaseData,ROW()-2,FALSE))</f>
        <v/>
      </c>
      <c r="K21" s="352">
        <f>10^(LOG(Kow)-3.5)</f>
        <v>0.86962635654630471</v>
      </c>
      <c r="L21" s="346">
        <f t="shared" si="0"/>
        <v>0.86962635654630471</v>
      </c>
      <c r="M21" s="36" t="s">
        <v>486</v>
      </c>
      <c r="N21" s="29"/>
      <c r="O21" s="172"/>
    </row>
    <row r="22" spans="1:16" s="26" customFormat="1" ht="12.75" customHeight="1" x14ac:dyDescent="0.3">
      <c r="A22" s="29"/>
      <c r="B22" s="29"/>
      <c r="C22" s="36" t="s">
        <v>608</v>
      </c>
      <c r="D22" s="29"/>
      <c r="E22" s="29"/>
      <c r="F22" s="29"/>
      <c r="G22" s="36" t="s">
        <v>1339</v>
      </c>
      <c r="H22" s="36"/>
      <c r="I22" s="412"/>
      <c r="J22" s="402" t="str">
        <f>IF(HLOOKUP(CaseName,CaseData,ROW()-2,FALSE)="",IF(ISBLANK(VLOOKUP(ChemName,ChemData,MATCH("pKa",substances!$3:$3,FALSE)-1,FALSE)),"",VLOOKUP(ChemName,ChemData,MATCH("pKa",substances!$3:$3,FALSE)-1,FALSE)),HLOOKUP(CaseName,CaseData,ROW()-2,FALSE))</f>
        <v/>
      </c>
      <c r="K22" s="345">
        <v>7</v>
      </c>
      <c r="L22" s="346">
        <f t="shared" si="0"/>
        <v>7</v>
      </c>
      <c r="M22" s="95" t="s">
        <v>486</v>
      </c>
      <c r="N22" s="29"/>
      <c r="O22" s="172"/>
    </row>
    <row r="23" spans="1:16" s="26" customFormat="1" ht="12.75" customHeight="1" x14ac:dyDescent="0.3">
      <c r="A23" s="29"/>
      <c r="B23" s="29"/>
      <c r="C23" s="36" t="s">
        <v>2107</v>
      </c>
      <c r="D23" s="29"/>
      <c r="E23" s="29"/>
      <c r="F23" s="29"/>
      <c r="G23" s="37" t="s">
        <v>607</v>
      </c>
      <c r="H23" s="36" t="s">
        <v>36</v>
      </c>
      <c r="I23" s="412"/>
      <c r="J23" s="402" t="str">
        <f t="shared" ref="J23:J38" si="1">IF(HLOOKUP(CaseName,CaseData,ROW()-2,FALSE)="","",HLOOKUP(CaseName,CaseData,ROW()-2,FALSE))</f>
        <v/>
      </c>
      <c r="K23" s="345">
        <f>IF(ChemClass="Acid",1/(1+10^(7-pKa)),IF(ChemClass="Base",1/(1+10^(pKa-7)),1))*Kow + (1-IF(ChemClass="Acid",1/(1+10^(7-pKa)),IF(ChemClass="Base",1/(1+10^(pKa-7)),1)))*Kow.alt</f>
        <v>2750</v>
      </c>
      <c r="L23" s="346">
        <f t="shared" si="0"/>
        <v>2750</v>
      </c>
      <c r="M23" s="36" t="s">
        <v>486</v>
      </c>
      <c r="N23" s="29" t="s">
        <v>215</v>
      </c>
      <c r="O23" s="172"/>
    </row>
    <row r="24" spans="1:16" s="26" customFormat="1" ht="12.75" customHeight="1" x14ac:dyDescent="0.3">
      <c r="A24" s="4"/>
      <c r="B24" s="29"/>
      <c r="C24" s="29" t="s">
        <v>648</v>
      </c>
      <c r="D24" s="29"/>
      <c r="E24" s="29"/>
      <c r="F24" s="29"/>
      <c r="G24" s="36" t="s">
        <v>622</v>
      </c>
      <c r="H24" s="36" t="s">
        <v>36</v>
      </c>
      <c r="I24" s="412"/>
      <c r="J24" s="402" t="str">
        <f t="shared" si="1"/>
        <v/>
      </c>
      <c r="K24" s="353">
        <f>IF(ChemClass="Acid",1/(1+10^(pH.aerw-pKa)),IF(ChemClass="Base",1/(1+10^(pKa-pH.aerw)),1))</f>
        <v>1</v>
      </c>
      <c r="L24" s="351">
        <f t="shared" ref="L24:L35" si="2">IF(ISBLANK(I24), IF(ISNUMBER(J24)=FALSE, K24, J24), I24)</f>
        <v>1</v>
      </c>
      <c r="M24" s="30" t="s">
        <v>486</v>
      </c>
      <c r="N24" s="29"/>
      <c r="O24" s="172"/>
    </row>
    <row r="25" spans="1:16" s="26" customFormat="1" ht="12.75" customHeight="1" x14ac:dyDescent="0.3">
      <c r="A25" s="4"/>
      <c r="B25" s="29"/>
      <c r="C25" s="29" t="s">
        <v>602</v>
      </c>
      <c r="D25" s="29"/>
      <c r="E25" s="29"/>
      <c r="F25" s="29"/>
      <c r="G25" s="36" t="s">
        <v>598</v>
      </c>
      <c r="H25" s="36" t="s">
        <v>36</v>
      </c>
      <c r="I25" s="412"/>
      <c r="J25" s="402" t="str">
        <f t="shared" si="1"/>
        <v/>
      </c>
      <c r="K25" s="353">
        <f>IF(ChemClass="Acid",1/(1+10^(pH.w1-pKa)),IF(ChemClass="Base",1/(1+10^(pKa-pH.w1)),1))</f>
        <v>1</v>
      </c>
      <c r="L25" s="351">
        <f t="shared" si="2"/>
        <v>1</v>
      </c>
      <c r="M25" s="30" t="s">
        <v>486</v>
      </c>
      <c r="N25" s="29"/>
      <c r="O25" s="172"/>
    </row>
    <row r="26" spans="1:16" s="26" customFormat="1" ht="12.75" customHeight="1" x14ac:dyDescent="0.3">
      <c r="A26" s="4"/>
      <c r="B26" s="29"/>
      <c r="C26" s="29" t="s">
        <v>649</v>
      </c>
      <c r="D26" s="29"/>
      <c r="E26" s="29"/>
      <c r="F26" s="29"/>
      <c r="G26" s="36" t="s">
        <v>600</v>
      </c>
      <c r="H26" s="36" t="s">
        <v>36</v>
      </c>
      <c r="I26" s="412"/>
      <c r="J26" s="402" t="str">
        <f t="shared" si="1"/>
        <v/>
      </c>
      <c r="K26" s="353">
        <f>IF(ChemClass="Acid",1/(1+10^(pH.w1-0.6-pKa)),IF(ChemClass="Base",1/(1+10^(pKa-4.5)),1))</f>
        <v>1</v>
      </c>
      <c r="L26" s="351">
        <f t="shared" si="2"/>
        <v>1</v>
      </c>
      <c r="M26" s="30"/>
      <c r="N26" s="29"/>
      <c r="O26" s="172"/>
    </row>
    <row r="27" spans="1:16" s="26" customFormat="1" ht="12.75" customHeight="1" x14ac:dyDescent="0.3">
      <c r="A27" s="4"/>
      <c r="B27" s="29"/>
      <c r="C27" s="29" t="s">
        <v>603</v>
      </c>
      <c r="D27" s="29"/>
      <c r="E27" s="29"/>
      <c r="F27" s="29"/>
      <c r="G27" s="36" t="s">
        <v>599</v>
      </c>
      <c r="H27" s="36" t="s">
        <v>36</v>
      </c>
      <c r="I27" s="412"/>
      <c r="J27" s="402" t="str">
        <f t="shared" si="1"/>
        <v/>
      </c>
      <c r="K27" s="353">
        <f>IF(ChemClass="Acid",1/(1+10^(pH.w2-pKa)),IF(ChemClass="Base",1/(1+10^(pKa-pH.w2)),1))</f>
        <v>1</v>
      </c>
      <c r="L27" s="351">
        <f t="shared" si="2"/>
        <v>1</v>
      </c>
      <c r="M27" s="30" t="s">
        <v>486</v>
      </c>
      <c r="N27" s="29"/>
      <c r="O27" s="172"/>
    </row>
    <row r="28" spans="1:16" s="26" customFormat="1" ht="12.75" customHeight="1" x14ac:dyDescent="0.3">
      <c r="A28" s="4"/>
      <c r="B28" s="29"/>
      <c r="C28" s="29" t="s">
        <v>650</v>
      </c>
      <c r="D28" s="29"/>
      <c r="E28" s="29"/>
      <c r="F28" s="29"/>
      <c r="G28" s="36" t="s">
        <v>601</v>
      </c>
      <c r="H28" s="36" t="s">
        <v>36</v>
      </c>
      <c r="I28" s="412"/>
      <c r="J28" s="402" t="str">
        <f t="shared" si="1"/>
        <v/>
      </c>
      <c r="K28" s="353">
        <f>IF(ChemClass="Acid",1/(1+10^(pH.w2-0.6-pKa)),IF(ChemClass="Base",1/(1+10^(pKa-4.5)),1))</f>
        <v>1</v>
      </c>
      <c r="L28" s="351">
        <f t="shared" si="2"/>
        <v>1</v>
      </c>
      <c r="M28" s="30"/>
      <c r="N28" s="29"/>
      <c r="O28" s="172"/>
    </row>
    <row r="29" spans="1:16" s="26" customFormat="1" ht="12.75" customHeight="1" x14ac:dyDescent="0.3">
      <c r="A29" s="4"/>
      <c r="B29" s="29"/>
      <c r="C29" s="29" t="s">
        <v>651</v>
      </c>
      <c r="D29" s="29"/>
      <c r="E29" s="29"/>
      <c r="F29" s="29"/>
      <c r="G29" s="36" t="s">
        <v>604</v>
      </c>
      <c r="H29" s="36" t="s">
        <v>36</v>
      </c>
      <c r="I29" s="412"/>
      <c r="J29" s="402" t="str">
        <f t="shared" si="1"/>
        <v/>
      </c>
      <c r="K29" s="353">
        <f>IF(ChemClass="Acid",1/(1+10^(pH.s1-0.6-pKa)),IF(ChemClass="Base",1/(1+10^(pKa-4.5)),1))</f>
        <v>1</v>
      </c>
      <c r="L29" s="351">
        <f t="shared" si="2"/>
        <v>1</v>
      </c>
      <c r="M29" s="30" t="s">
        <v>486</v>
      </c>
      <c r="N29" s="29"/>
      <c r="O29" s="172"/>
    </row>
    <row r="30" spans="1:16" s="26" customFormat="1" ht="12.75" customHeight="1" x14ac:dyDescent="0.3">
      <c r="A30" s="4"/>
      <c r="B30" s="29"/>
      <c r="C30" s="29" t="s">
        <v>652</v>
      </c>
      <c r="D30" s="29"/>
      <c r="E30" s="29"/>
      <c r="F30" s="29"/>
      <c r="G30" s="36" t="s">
        <v>645</v>
      </c>
      <c r="H30" s="36" t="s">
        <v>36</v>
      </c>
      <c r="I30" s="412"/>
      <c r="J30" s="402" t="str">
        <f t="shared" si="1"/>
        <v/>
      </c>
      <c r="K30" s="353">
        <f>IF(ChemClass="Acid",1/(1+10^(pH.s1-pKa)),IF(ChemClass="Base",1/(1+10^(pKa-pH.s1)),1))</f>
        <v>1</v>
      </c>
      <c r="L30" s="351">
        <f t="shared" si="2"/>
        <v>1</v>
      </c>
      <c r="M30" s="30" t="s">
        <v>486</v>
      </c>
      <c r="N30" s="29"/>
      <c r="O30" s="172"/>
    </row>
    <row r="31" spans="1:16" s="26" customFormat="1" ht="12.75" customHeight="1" x14ac:dyDescent="0.3">
      <c r="A31" s="4"/>
      <c r="B31" s="29"/>
      <c r="C31" s="29" t="s">
        <v>653</v>
      </c>
      <c r="D31" s="29"/>
      <c r="E31" s="29"/>
      <c r="F31" s="29"/>
      <c r="G31" s="36" t="s">
        <v>605</v>
      </c>
      <c r="H31" s="36" t="s">
        <v>36</v>
      </c>
      <c r="I31" s="412"/>
      <c r="J31" s="402" t="str">
        <f t="shared" si="1"/>
        <v/>
      </c>
      <c r="K31" s="353">
        <f>IF(ChemClass="Acid",1/(1+10^(pH.s2-0.6-pKa)),IF(ChemClass="Base",1/(1+10^(pKa-4.5)),1))</f>
        <v>1</v>
      </c>
      <c r="L31" s="351">
        <f t="shared" si="2"/>
        <v>1</v>
      </c>
      <c r="M31" s="30" t="s">
        <v>486</v>
      </c>
      <c r="N31" s="29"/>
      <c r="O31" s="172"/>
    </row>
    <row r="32" spans="1:16" s="26" customFormat="1" ht="12.75" customHeight="1" x14ac:dyDescent="0.3">
      <c r="A32" s="4"/>
      <c r="B32" s="29"/>
      <c r="C32" s="29" t="s">
        <v>654</v>
      </c>
      <c r="D32" s="29"/>
      <c r="E32" s="29"/>
      <c r="F32" s="29"/>
      <c r="G32" s="36" t="s">
        <v>646</v>
      </c>
      <c r="H32" s="36" t="s">
        <v>36</v>
      </c>
      <c r="I32" s="412"/>
      <c r="J32" s="402" t="str">
        <f t="shared" si="1"/>
        <v/>
      </c>
      <c r="K32" s="353">
        <f>IF(ChemClass="Acid",1/(1+10^(pH.s2-pKa)),IF(ChemClass="Base",1/(1+10^(pKa-pH.s2)),1))</f>
        <v>1</v>
      </c>
      <c r="L32" s="351">
        <f t="shared" si="2"/>
        <v>1</v>
      </c>
      <c r="M32" s="30" t="s">
        <v>486</v>
      </c>
      <c r="N32" s="29"/>
      <c r="O32" s="172"/>
    </row>
    <row r="33" spans="1:15" s="26" customFormat="1" ht="12.75" customHeight="1" x14ac:dyDescent="0.3">
      <c r="A33" s="4"/>
      <c r="B33" s="29"/>
      <c r="C33" s="29" t="s">
        <v>655</v>
      </c>
      <c r="D33" s="29"/>
      <c r="E33" s="29"/>
      <c r="F33" s="29"/>
      <c r="G33" s="36" t="s">
        <v>606</v>
      </c>
      <c r="H33" s="36" t="s">
        <v>36</v>
      </c>
      <c r="I33" s="412"/>
      <c r="J33" s="402" t="str">
        <f t="shared" si="1"/>
        <v/>
      </c>
      <c r="K33" s="353">
        <f>IF(ChemClass="Acid",1/(1+10^(pH.s3-0.6-pKa)),IF(ChemClass="Base",1/(1+10^(pKa-4.5)),1))</f>
        <v>1</v>
      </c>
      <c r="L33" s="351">
        <f t="shared" si="2"/>
        <v>1</v>
      </c>
      <c r="M33" s="30" t="s">
        <v>486</v>
      </c>
      <c r="N33" s="29"/>
      <c r="O33" s="172"/>
    </row>
    <row r="34" spans="1:15" s="26" customFormat="1" ht="12.75" customHeight="1" x14ac:dyDescent="0.3">
      <c r="A34" s="4"/>
      <c r="B34" s="29"/>
      <c r="C34" s="29" t="s">
        <v>656</v>
      </c>
      <c r="D34" s="29"/>
      <c r="E34" s="29"/>
      <c r="F34" s="29"/>
      <c r="G34" s="36" t="s">
        <v>647</v>
      </c>
      <c r="H34" s="36" t="s">
        <v>36</v>
      </c>
      <c r="I34" s="412"/>
      <c r="J34" s="402" t="str">
        <f t="shared" si="1"/>
        <v/>
      </c>
      <c r="K34" s="353">
        <f>IF(ChemClass="Acid",1/(1+10^(pH.s3-pKa)),IF(ChemClass="Base",1/(1+10^(pKa-pH.s3)),1))</f>
        <v>1</v>
      </c>
      <c r="L34" s="351">
        <f t="shared" si="2"/>
        <v>1</v>
      </c>
      <c r="M34" s="30" t="s">
        <v>486</v>
      </c>
      <c r="N34" s="29"/>
      <c r="O34" s="172"/>
    </row>
    <row r="35" spans="1:15" s="26" customFormat="1" ht="12.75" customHeight="1" x14ac:dyDescent="0.3">
      <c r="A35" s="29"/>
      <c r="B35" s="29"/>
      <c r="C35" s="29" t="s">
        <v>1554</v>
      </c>
      <c r="D35" s="29"/>
      <c r="E35" s="29"/>
      <c r="F35" s="29"/>
      <c r="G35" s="96" t="s">
        <v>696</v>
      </c>
      <c r="H35" s="29" t="s">
        <v>487</v>
      </c>
      <c r="I35" s="412"/>
      <c r="J35" s="402">
        <f>IF(HLOOKUP(CaseName,CaseData,ROW()-2,FALSE)="",IF(ISBLANK(VLOOKUP(ChemName,ChemData,MATCH("Pvap25",substances!$3:$3,FALSE)-1,FALSE)),"",VLOOKUP(ChemName,ChemData,MATCH("Pvap25",substances!$3:$3,FALSE)-1,FALSE)),HLOOKUP(CaseName,CaseData,ROW()-2,FALSE))</f>
        <v>232</v>
      </c>
      <c r="K35" s="345">
        <f>MEDIAN(substances!$H$4010:$H$4276)</f>
        <v>4</v>
      </c>
      <c r="L35" s="346">
        <f t="shared" si="2"/>
        <v>232</v>
      </c>
      <c r="M35" s="29" t="s">
        <v>488</v>
      </c>
      <c r="N35" s="29"/>
      <c r="O35" s="172"/>
    </row>
    <row r="36" spans="1:15" s="26" customFormat="1" ht="12.75" customHeight="1" x14ac:dyDescent="0.3">
      <c r="A36" s="29"/>
      <c r="B36" s="36"/>
      <c r="C36" s="36" t="s">
        <v>1103</v>
      </c>
      <c r="D36" s="29"/>
      <c r="E36" s="29"/>
      <c r="F36" s="29"/>
      <c r="G36" s="37" t="s">
        <v>697</v>
      </c>
      <c r="H36" s="36" t="s">
        <v>2080</v>
      </c>
      <c r="I36" s="412"/>
      <c r="J36" s="402" t="str">
        <f t="shared" si="1"/>
        <v/>
      </c>
      <c r="K36" s="345">
        <f>-3.82*LN(IF(Tm&gt;298,Pvap25*EXP(-6.79*(1-Tm/298)),Pvap25))+70</f>
        <v>46.834690152986369</v>
      </c>
      <c r="L36" s="346">
        <f>IF(ISBLANK(I36),IF(ISNUMBER(J36)=FALSE,K36*1000,J36*1000),I36*1000)</f>
        <v>46834.690152986368</v>
      </c>
      <c r="M36" s="95" t="s">
        <v>1395</v>
      </c>
      <c r="N36" s="90"/>
      <c r="O36" s="172"/>
    </row>
    <row r="37" spans="1:15" s="26" customFormat="1" ht="12.75" customHeight="1" x14ac:dyDescent="0.3">
      <c r="A37" s="29"/>
      <c r="B37" s="36"/>
      <c r="C37" s="36" t="s">
        <v>2108</v>
      </c>
      <c r="D37" s="29"/>
      <c r="E37" s="29"/>
      <c r="F37" s="29"/>
      <c r="G37" s="37" t="s">
        <v>698</v>
      </c>
      <c r="H37" s="36" t="s">
        <v>2086</v>
      </c>
      <c r="I37" s="412"/>
      <c r="J37" s="402">
        <f>IF(HLOOKUP(CaseName,CaseData,ROW()-2,FALSE)="",IF(ISBLANK(VLOOKUP(ChemName,ChemData,MATCH("Sol25",substances!$3:$3,FALSE)-1,FALSE)),"",VLOOKUP(ChemName,ChemData,MATCH("Sol25",substances!$3:$3,FALSE)-1,FALSE)),HLOOKUP(CaseName,CaseData,ROW()-2,FALSE))</f>
        <v>81.3</v>
      </c>
      <c r="K37" s="345">
        <f>10^(LOG(Kow)*-1.214+0.85)*(Molweight*1000000)</f>
        <v>69.497221916253579</v>
      </c>
      <c r="L37" s="346">
        <f>IF(ISBLANK(I37),IF(ISNUMBER(J37)=FALSE,K37/(1000*Molweight),J37/(1000*Molweight)),I37/(1000*Molweight))</f>
        <v>0.55306122448979589</v>
      </c>
      <c r="M37" s="36" t="s">
        <v>1396</v>
      </c>
      <c r="N37" s="29"/>
      <c r="O37" s="172"/>
    </row>
    <row r="38" spans="1:15" s="26" customFormat="1" ht="12.75" customHeight="1" x14ac:dyDescent="0.3">
      <c r="A38" s="29"/>
      <c r="B38" s="36"/>
      <c r="C38" s="36" t="s">
        <v>1104</v>
      </c>
      <c r="D38" s="29"/>
      <c r="E38" s="29"/>
      <c r="F38" s="29"/>
      <c r="G38" s="37" t="s">
        <v>970</v>
      </c>
      <c r="H38" s="36" t="s">
        <v>2080</v>
      </c>
      <c r="I38" s="412"/>
      <c r="J38" s="402" t="str">
        <f t="shared" si="1"/>
        <v/>
      </c>
      <c r="K38" s="345">
        <v>10</v>
      </c>
      <c r="L38" s="346">
        <f>IF(ISBLANK(I38),IF(ISNUMBER(J38)=FALSE,K38*1000,J38*1000),I38*1000)</f>
        <v>10000</v>
      </c>
      <c r="M38" s="95" t="s">
        <v>1395</v>
      </c>
      <c r="N38" s="29"/>
      <c r="O38" s="172"/>
    </row>
    <row r="39" spans="1:15" s="26" customFormat="1" ht="12.75" customHeight="1" x14ac:dyDescent="0.3">
      <c r="A39" s="29"/>
      <c r="B39" s="29"/>
      <c r="C39" s="29" t="s">
        <v>1362</v>
      </c>
      <c r="D39" s="29"/>
      <c r="E39" s="29"/>
      <c r="F39" s="29"/>
      <c r="G39" s="96" t="s">
        <v>1361</v>
      </c>
      <c r="H39" s="29" t="s">
        <v>2201</v>
      </c>
      <c r="I39" s="419"/>
      <c r="J39" s="402">
        <f>IF(HLOOKUP(CaseName,CaseData,ROW()-2,FALSE)="",IF(ISBLANK(VLOOKUP(ChemName,ChemData,MATCH("Tm",substances!$3:$3,FALSE)-1,FALSE)),"",VLOOKUP(ChemName,ChemData,MATCH("Tm",substances!$3:$3,FALSE)-1,FALSE)),HLOOKUP(CaseName,CaseData,ROW()-2,FALSE))</f>
        <v>52.1</v>
      </c>
      <c r="K39" s="345">
        <f>MEDIAN(substances!$G$4010:$G$4276)</f>
        <v>1</v>
      </c>
      <c r="L39" s="346">
        <f>IF(ISBLANK(I39),IF(ISNUMBER(J39)=FALSE,K39+273,J39+273),I39+273)</f>
        <v>325.10000000000002</v>
      </c>
      <c r="M39" s="29" t="s">
        <v>588</v>
      </c>
      <c r="N39" s="29"/>
      <c r="O39" s="172"/>
    </row>
    <row r="40" spans="1:15" s="26" customFormat="1" ht="12.75" customHeight="1" x14ac:dyDescent="0.3">
      <c r="A40" s="29"/>
      <c r="B40" s="36"/>
      <c r="C40" s="29"/>
      <c r="D40" s="29"/>
      <c r="E40" s="29"/>
      <c r="F40" s="29"/>
      <c r="G40" s="36"/>
      <c r="H40" s="36"/>
      <c r="I40" s="36"/>
      <c r="J40" s="339"/>
      <c r="K40" s="339"/>
      <c r="L40" s="339"/>
      <c r="M40" s="29"/>
      <c r="N40" s="29"/>
      <c r="O40" s="172"/>
    </row>
    <row r="41" spans="1:15" ht="12.75" customHeight="1" x14ac:dyDescent="0.3">
      <c r="A41" s="29"/>
      <c r="B41" s="248" t="s">
        <v>2147</v>
      </c>
      <c r="C41" s="249"/>
      <c r="D41" s="249"/>
      <c r="E41" s="249"/>
      <c r="F41" s="249"/>
      <c r="G41" s="250"/>
      <c r="H41" s="246"/>
      <c r="I41" s="354" t="s">
        <v>2148</v>
      </c>
      <c r="J41" s="354" t="s">
        <v>2149</v>
      </c>
      <c r="K41" s="354" t="s">
        <v>2150</v>
      </c>
      <c r="L41" s="354" t="s">
        <v>2151</v>
      </c>
      <c r="M41" s="246"/>
      <c r="N41" s="29"/>
      <c r="O41" s="172"/>
    </row>
    <row r="42" spans="1:15" ht="12.75" customHeight="1" x14ac:dyDescent="0.3">
      <c r="A42" s="29"/>
      <c r="B42" s="244"/>
      <c r="C42" s="244" t="s">
        <v>620</v>
      </c>
      <c r="D42" s="244"/>
      <c r="E42" s="244"/>
      <c r="F42" s="244"/>
      <c r="G42" s="244"/>
      <c r="H42" s="244"/>
      <c r="I42" s="245">
        <f>1.26*Kow^0.81</f>
        <v>769.53792352546407</v>
      </c>
      <c r="J42" s="245">
        <f>1.26*Kow^0.81</f>
        <v>769.53792352546407</v>
      </c>
      <c r="K42" s="245">
        <f>MAX(IF(Pvap25&gt;100000,(100000/_Sol25)/(8.314*298),(Pvap25/_Sol25)/(8.314*298)),1E-20)</f>
        <v>0.16931229237089712</v>
      </c>
      <c r="L42" s="245">
        <f>MAX(IF(Pvap25&gt;100000,(100000/_Sol25)/(8.314*298),(Pvap25/_Sol25)/(8.314*298)),1E-20)</f>
        <v>0.16931229237089712</v>
      </c>
      <c r="M42" s="244" t="s">
        <v>486</v>
      </c>
      <c r="N42" s="29"/>
      <c r="O42" s="172"/>
    </row>
    <row r="43" spans="1:15" ht="12.75" customHeight="1" x14ac:dyDescent="0.3">
      <c r="A43" s="29"/>
      <c r="B43" s="244"/>
      <c r="C43" s="244" t="s">
        <v>618</v>
      </c>
      <c r="D43" s="244"/>
      <c r="E43" s="244"/>
      <c r="F43" s="244"/>
      <c r="G43" s="244"/>
      <c r="H43" s="244"/>
      <c r="I43" s="245">
        <f>10^(0.54*LOG(Kow)+1.11)</f>
        <v>927.34141263486231</v>
      </c>
      <c r="J43" s="245">
        <f>10^(0.11*LOG(Kow)+1.54)</f>
        <v>82.856502348910112</v>
      </c>
      <c r="K43" s="245">
        <f>MAX(IF(Pvap25&gt;100000,(100000/_Sol25)/(8.314*298),(Pvap25/_Sol25)/(8.314*298)),1E-20)</f>
        <v>0.16931229237089712</v>
      </c>
      <c r="L43" s="245">
        <v>9.9999999999999995E-21</v>
      </c>
      <c r="M43" s="244" t="s">
        <v>486</v>
      </c>
      <c r="N43" s="29"/>
      <c r="O43" s="172"/>
    </row>
    <row r="44" spans="1:15" ht="12.75" customHeight="1" x14ac:dyDescent="0.3">
      <c r="A44" s="29"/>
      <c r="B44" s="244"/>
      <c r="C44" s="244" t="s">
        <v>619</v>
      </c>
      <c r="D44" s="244"/>
      <c r="E44" s="244"/>
      <c r="F44" s="244"/>
      <c r="G44" s="244"/>
      <c r="H44" s="244"/>
      <c r="I44" s="245">
        <f>10^(0.37*LOG(Kow)+1.7)</f>
        <v>938.75680179030144</v>
      </c>
      <c r="J44" s="245">
        <f>IF(pKa&gt;0,10^(pKa^0.65*(Kow/(1+Kow))^0.14),1)</f>
        <v>3486.1914541195038</v>
      </c>
      <c r="K44" s="245">
        <f>MAX(IF(Pvap25&gt;100000,(100000/_Sol25)/(8.314*298),(Pvap25/_Sol25)/(8.314*298)),1E-20)</f>
        <v>0.16931229237089712</v>
      </c>
      <c r="L44" s="245">
        <v>9.9999999999999995E-21</v>
      </c>
      <c r="M44" s="244" t="s">
        <v>486</v>
      </c>
      <c r="N44" s="29"/>
      <c r="O44" s="172"/>
    </row>
    <row r="45" spans="1:15" ht="12.75" customHeight="1" x14ac:dyDescent="0.3">
      <c r="A45" s="29"/>
      <c r="B45" s="244"/>
      <c r="C45" s="244" t="s">
        <v>1746</v>
      </c>
      <c r="D45" s="244"/>
      <c r="E45" s="244"/>
      <c r="F45" s="244"/>
      <c r="G45" s="244"/>
      <c r="H45" s="244"/>
      <c r="I45" s="245">
        <v>1000</v>
      </c>
      <c r="J45" s="245">
        <v>1000</v>
      </c>
      <c r="K45" s="245">
        <v>9.9999999999999995E-21</v>
      </c>
      <c r="L45" s="245">
        <v>9.9999999999999995E-21</v>
      </c>
      <c r="M45" s="244" t="s">
        <v>486</v>
      </c>
      <c r="N45" s="29"/>
      <c r="O45" s="172"/>
    </row>
    <row r="46" spans="1:15" ht="12.75" customHeight="1" x14ac:dyDescent="0.3">
      <c r="A46" s="29"/>
      <c r="B46" s="244"/>
      <c r="C46" s="244" t="s">
        <v>657</v>
      </c>
      <c r="D46" s="244"/>
      <c r="E46" s="244"/>
      <c r="F46" s="244"/>
      <c r="G46" s="244"/>
      <c r="H46" s="244"/>
      <c r="I46" s="245">
        <f>1.26*Kow^0.81</f>
        <v>769.53792352546407</v>
      </c>
      <c r="J46" s="245">
        <f>1.26*Kow^0.81</f>
        <v>769.53792352546407</v>
      </c>
      <c r="K46" s="245">
        <f t="shared" ref="K46:L64" si="3">MAX(IF(Pvap25&gt;100000,(100000/_Sol25)/(8.314*298),(Pvap25/_Sol25)/(8.314*298)),1E-20)</f>
        <v>0.16931229237089712</v>
      </c>
      <c r="L46" s="245">
        <f t="shared" si="3"/>
        <v>0.16931229237089712</v>
      </c>
      <c r="M46" s="244" t="s">
        <v>486</v>
      </c>
      <c r="N46" s="29"/>
      <c r="O46" s="172"/>
    </row>
    <row r="47" spans="1:15" ht="12.75" customHeight="1" x14ac:dyDescent="0.3">
      <c r="A47" s="29"/>
      <c r="B47" s="244"/>
      <c r="C47" s="244" t="s">
        <v>386</v>
      </c>
      <c r="D47" s="244"/>
      <c r="E47" s="244"/>
      <c r="F47" s="244"/>
      <c r="G47" s="244"/>
      <c r="H47" s="244"/>
      <c r="I47" s="245">
        <f>10.47*Kow^0.52</f>
        <v>643.2794569342941</v>
      </c>
      <c r="J47" s="245">
        <f>10.47*Kow^0.52</f>
        <v>643.2794569342941</v>
      </c>
      <c r="K47" s="245">
        <f t="shared" si="3"/>
        <v>0.16931229237089712</v>
      </c>
      <c r="L47" s="245">
        <f t="shared" si="3"/>
        <v>0.16931229237089712</v>
      </c>
      <c r="M47" s="244" t="s">
        <v>486</v>
      </c>
      <c r="N47" s="29"/>
      <c r="O47" s="172"/>
    </row>
    <row r="48" spans="1:15" ht="12.75" customHeight="1" x14ac:dyDescent="0.3">
      <c r="A48" s="29"/>
      <c r="B48" s="244"/>
      <c r="C48" s="244" t="s">
        <v>387</v>
      </c>
      <c r="D48" s="244"/>
      <c r="E48" s="244"/>
      <c r="F48" s="244"/>
      <c r="G48" s="244"/>
      <c r="H48" s="244"/>
      <c r="I48" s="245">
        <f>7.94*Kow^0.63</f>
        <v>1165.735707627505</v>
      </c>
      <c r="J48" s="245">
        <f>7.94*Kow^0.63</f>
        <v>1165.735707627505</v>
      </c>
      <c r="K48" s="245">
        <f t="shared" si="3"/>
        <v>0.16931229237089712</v>
      </c>
      <c r="L48" s="245">
        <f t="shared" si="3"/>
        <v>0.16931229237089712</v>
      </c>
      <c r="M48" s="244" t="s">
        <v>486</v>
      </c>
      <c r="N48" s="29"/>
      <c r="O48" s="172"/>
    </row>
    <row r="49" spans="1:15" ht="12.75" customHeight="1" x14ac:dyDescent="0.3">
      <c r="A49" s="29"/>
      <c r="B49" s="244"/>
      <c r="C49" s="244" t="s">
        <v>388</v>
      </c>
      <c r="D49" s="244"/>
      <c r="E49" s="244"/>
      <c r="F49" s="244"/>
      <c r="G49" s="244"/>
      <c r="H49" s="244"/>
      <c r="I49" s="245">
        <f>12.3*Kow^0.47</f>
        <v>508.61770925213585</v>
      </c>
      <c r="J49" s="245">
        <f>12.3*Kow^0.47</f>
        <v>508.61770925213585</v>
      </c>
      <c r="K49" s="245">
        <f t="shared" si="3"/>
        <v>0.16931229237089712</v>
      </c>
      <c r="L49" s="245">
        <f t="shared" si="3"/>
        <v>0.16931229237089712</v>
      </c>
      <c r="M49" s="244" t="s">
        <v>486</v>
      </c>
      <c r="N49" s="29"/>
      <c r="O49" s="172"/>
    </row>
    <row r="50" spans="1:15" ht="12.75" customHeight="1" x14ac:dyDescent="0.3">
      <c r="A50" s="29"/>
      <c r="B50" s="244"/>
      <c r="C50" s="244" t="s">
        <v>389</v>
      </c>
      <c r="D50" s="244"/>
      <c r="E50" s="244"/>
      <c r="F50" s="244"/>
      <c r="G50" s="244"/>
      <c r="H50" s="244"/>
      <c r="I50" s="245">
        <f>3.16*Kow^0.47</f>
        <v>130.66926514119913</v>
      </c>
      <c r="J50" s="245">
        <f>3.16*Kow^0.47</f>
        <v>130.66926514119913</v>
      </c>
      <c r="K50" s="245">
        <f t="shared" si="3"/>
        <v>0.16931229237089712</v>
      </c>
      <c r="L50" s="245">
        <f t="shared" si="3"/>
        <v>0.16931229237089712</v>
      </c>
      <c r="M50" s="244" t="s">
        <v>486</v>
      </c>
      <c r="N50" s="29"/>
      <c r="O50" s="172"/>
    </row>
    <row r="51" spans="1:15" ht="12.75" customHeight="1" x14ac:dyDescent="0.3">
      <c r="A51" s="29"/>
      <c r="B51" s="244"/>
      <c r="C51" s="244" t="s">
        <v>390</v>
      </c>
      <c r="D51" s="244"/>
      <c r="E51" s="244"/>
      <c r="F51" s="244"/>
      <c r="G51" s="244"/>
      <c r="H51" s="244"/>
      <c r="I51" s="245">
        <f>13.18*Kow^0.4</f>
        <v>313.07507103312889</v>
      </c>
      <c r="J51" s="245">
        <f>13.18*Kow^0.4</f>
        <v>313.07507103312889</v>
      </c>
      <c r="K51" s="245">
        <f t="shared" si="3"/>
        <v>0.16931229237089712</v>
      </c>
      <c r="L51" s="245">
        <f t="shared" si="3"/>
        <v>0.16931229237089712</v>
      </c>
      <c r="M51" s="244" t="s">
        <v>486</v>
      </c>
      <c r="N51" s="29"/>
      <c r="O51" s="172"/>
    </row>
    <row r="52" spans="1:15" ht="12.75" customHeight="1" x14ac:dyDescent="0.3">
      <c r="A52" s="29"/>
      <c r="B52" s="244"/>
      <c r="C52" s="244" t="s">
        <v>391</v>
      </c>
      <c r="D52" s="244"/>
      <c r="E52" s="244"/>
      <c r="F52" s="244"/>
      <c r="G52" s="244"/>
      <c r="H52" s="244"/>
      <c r="I52" s="245">
        <f>3.16*Kow^0.39</f>
        <v>69.346865117672706</v>
      </c>
      <c r="J52" s="245">
        <f>3.16*Kow^0.39</f>
        <v>69.346865117672706</v>
      </c>
      <c r="K52" s="245">
        <f t="shared" si="3"/>
        <v>0.16931229237089712</v>
      </c>
      <c r="L52" s="245">
        <f t="shared" si="3"/>
        <v>0.16931229237089712</v>
      </c>
      <c r="M52" s="244" t="s">
        <v>486</v>
      </c>
      <c r="N52" s="29"/>
      <c r="O52" s="172"/>
    </row>
    <row r="53" spans="1:15" ht="12.75" customHeight="1" x14ac:dyDescent="0.3">
      <c r="A53" s="29"/>
      <c r="B53" s="244"/>
      <c r="C53" s="244" t="s">
        <v>392</v>
      </c>
      <c r="D53" s="244"/>
      <c r="E53" s="244"/>
      <c r="F53" s="244"/>
      <c r="G53" s="244"/>
      <c r="H53" s="244"/>
      <c r="I53" s="245">
        <f>17.78*Kow^0.33</f>
        <v>242.61159085428193</v>
      </c>
      <c r="J53" s="245">
        <f>17.78*Kow^0.33</f>
        <v>242.61159085428193</v>
      </c>
      <c r="K53" s="245">
        <f t="shared" si="3"/>
        <v>0.16931229237089712</v>
      </c>
      <c r="L53" s="245">
        <f t="shared" si="3"/>
        <v>0.16931229237089712</v>
      </c>
      <c r="M53" s="244" t="s">
        <v>486</v>
      </c>
      <c r="N53" s="29"/>
      <c r="O53" s="172"/>
    </row>
    <row r="54" spans="1:15" ht="12.75" customHeight="1" x14ac:dyDescent="0.3">
      <c r="A54" s="29"/>
      <c r="B54" s="244"/>
      <c r="C54" s="244" t="s">
        <v>393</v>
      </c>
      <c r="D54" s="244"/>
      <c r="E54" s="244"/>
      <c r="F54" s="244"/>
      <c r="G54" s="244"/>
      <c r="H54" s="244"/>
      <c r="I54" s="245">
        <f>7.08*Kow^0.62</f>
        <v>960.32785896760947</v>
      </c>
      <c r="J54" s="245">
        <f>7.08*Kow^0.62</f>
        <v>960.32785896760947</v>
      </c>
      <c r="K54" s="245">
        <f t="shared" si="3"/>
        <v>0.16931229237089712</v>
      </c>
      <c r="L54" s="245">
        <f t="shared" si="3"/>
        <v>0.16931229237089712</v>
      </c>
      <c r="M54" s="244" t="s">
        <v>486</v>
      </c>
      <c r="N54" s="29"/>
      <c r="O54" s="172"/>
    </row>
    <row r="55" spans="1:15" ht="12.75" customHeight="1" x14ac:dyDescent="0.3">
      <c r="A55" s="29"/>
      <c r="B55" s="244"/>
      <c r="C55" s="244" t="s">
        <v>394</v>
      </c>
      <c r="D55" s="244"/>
      <c r="E55" s="244"/>
      <c r="F55" s="244"/>
      <c r="G55" s="244"/>
      <c r="H55" s="244"/>
      <c r="I55" s="245">
        <f>13.8*Kow^0.37</f>
        <v>258.48311759553962</v>
      </c>
      <c r="J55" s="245">
        <f>13.8*Kow^0.37</f>
        <v>258.48311759553962</v>
      </c>
      <c r="K55" s="245">
        <f t="shared" si="3"/>
        <v>0.16931229237089712</v>
      </c>
      <c r="L55" s="245">
        <f t="shared" si="3"/>
        <v>0.16931229237089712</v>
      </c>
      <c r="M55" s="244" t="s">
        <v>486</v>
      </c>
      <c r="N55" s="29"/>
      <c r="O55" s="172"/>
    </row>
    <row r="56" spans="1:15" ht="12.75" customHeight="1" x14ac:dyDescent="0.3">
      <c r="A56" s="29"/>
      <c r="B56" s="244"/>
      <c r="C56" s="244" t="s">
        <v>395</v>
      </c>
      <c r="D56" s="244"/>
      <c r="E56" s="244"/>
      <c r="F56" s="244"/>
      <c r="G56" s="244"/>
      <c r="H56" s="244"/>
      <c r="I56" s="245">
        <f>83.18*Kow^0.38</f>
        <v>1686.4184297860957</v>
      </c>
      <c r="J56" s="245">
        <f>83.18*Kow^0.38</f>
        <v>1686.4184297860957</v>
      </c>
      <c r="K56" s="245">
        <f t="shared" si="3"/>
        <v>0.16931229237089712</v>
      </c>
      <c r="L56" s="245">
        <f t="shared" si="3"/>
        <v>0.16931229237089712</v>
      </c>
      <c r="M56" s="244" t="s">
        <v>486</v>
      </c>
      <c r="N56" s="29"/>
      <c r="O56" s="172"/>
    </row>
    <row r="57" spans="1:15" ht="12.75" customHeight="1" x14ac:dyDescent="0.3">
      <c r="A57" s="29"/>
      <c r="B57" s="244"/>
      <c r="C57" s="244" t="s">
        <v>396</v>
      </c>
      <c r="D57" s="244"/>
      <c r="E57" s="244"/>
      <c r="F57" s="244"/>
      <c r="G57" s="244"/>
      <c r="H57" s="244"/>
      <c r="I57" s="245">
        <f>11.22*Kow^0.49</f>
        <v>543.58301344015683</v>
      </c>
      <c r="J57" s="245">
        <f>11.22*Kow^0.49</f>
        <v>543.58301344015683</v>
      </c>
      <c r="K57" s="245">
        <f t="shared" si="3"/>
        <v>0.16931229237089712</v>
      </c>
      <c r="L57" s="245">
        <f t="shared" si="3"/>
        <v>0.16931229237089712</v>
      </c>
      <c r="M57" s="244" t="s">
        <v>486</v>
      </c>
      <c r="N57" s="29"/>
      <c r="O57" s="172"/>
    </row>
    <row r="58" spans="1:15" ht="12.75" customHeight="1" x14ac:dyDescent="0.3">
      <c r="A58" s="29"/>
      <c r="B58" s="244"/>
      <c r="C58" s="244" t="s">
        <v>397</v>
      </c>
      <c r="D58" s="244"/>
      <c r="E58" s="244"/>
      <c r="F58" s="244"/>
      <c r="G58" s="244"/>
      <c r="H58" s="244"/>
      <c r="I58" s="245">
        <f>3.55*Kow^0.77</f>
        <v>1579.4814410691051</v>
      </c>
      <c r="J58" s="245">
        <f>3.55*Kow^0.77</f>
        <v>1579.4814410691051</v>
      </c>
      <c r="K58" s="245">
        <f t="shared" si="3"/>
        <v>0.16931229237089712</v>
      </c>
      <c r="L58" s="245">
        <f t="shared" si="3"/>
        <v>0.16931229237089712</v>
      </c>
      <c r="M58" s="244" t="s">
        <v>486</v>
      </c>
      <c r="N58" s="29"/>
      <c r="O58" s="172"/>
    </row>
    <row r="59" spans="1:15" ht="12.75" customHeight="1" x14ac:dyDescent="0.3">
      <c r="A59" s="29"/>
      <c r="B59" s="244"/>
      <c r="C59" s="244" t="s">
        <v>398</v>
      </c>
      <c r="D59" s="244"/>
      <c r="E59" s="244"/>
      <c r="F59" s="244"/>
      <c r="G59" s="244"/>
      <c r="H59" s="244"/>
      <c r="I59" s="245">
        <f>2.09*Kow^0.6</f>
        <v>241.96129621570552</v>
      </c>
      <c r="J59" s="245">
        <f>2.09*Kow^0.6</f>
        <v>241.96129621570552</v>
      </c>
      <c r="K59" s="245">
        <f t="shared" si="3"/>
        <v>0.16931229237089712</v>
      </c>
      <c r="L59" s="245">
        <f t="shared" si="3"/>
        <v>0.16931229237089712</v>
      </c>
      <c r="M59" s="244" t="s">
        <v>486</v>
      </c>
      <c r="N59" s="29"/>
      <c r="O59" s="172"/>
    </row>
    <row r="60" spans="1:15" ht="12.75" customHeight="1" x14ac:dyDescent="0.3">
      <c r="A60" s="29"/>
      <c r="B60" s="244"/>
      <c r="C60" s="244" t="s">
        <v>399</v>
      </c>
      <c r="D60" s="244"/>
      <c r="E60" s="244"/>
      <c r="F60" s="244"/>
      <c r="G60" s="244"/>
      <c r="H60" s="244"/>
      <c r="I60" s="245">
        <f>12.02*Kow^0.57</f>
        <v>1097.2967759034573</v>
      </c>
      <c r="J60" s="245">
        <f>12.02*Kow^0.57</f>
        <v>1097.2967759034573</v>
      </c>
      <c r="K60" s="245">
        <f t="shared" si="3"/>
        <v>0.16931229237089712</v>
      </c>
      <c r="L60" s="245">
        <f t="shared" si="3"/>
        <v>0.16931229237089712</v>
      </c>
      <c r="M60" s="244" t="s">
        <v>486</v>
      </c>
      <c r="N60" s="29"/>
      <c r="O60" s="172"/>
    </row>
    <row r="61" spans="1:15" ht="12.75" customHeight="1" x14ac:dyDescent="0.3">
      <c r="A61" s="29"/>
      <c r="B61" s="244"/>
      <c r="C61" s="244" t="s">
        <v>400</v>
      </c>
      <c r="D61" s="244"/>
      <c r="E61" s="244"/>
      <c r="F61" s="244"/>
      <c r="G61" s="244"/>
      <c r="H61" s="244"/>
      <c r="I61" s="245">
        <f>11.22*Kow^0.49</f>
        <v>543.58301344015683</v>
      </c>
      <c r="J61" s="245">
        <f>11.22*Kow^0.49</f>
        <v>543.58301344015683</v>
      </c>
      <c r="K61" s="245">
        <f t="shared" si="3"/>
        <v>0.16931229237089712</v>
      </c>
      <c r="L61" s="245">
        <f t="shared" si="3"/>
        <v>0.16931229237089712</v>
      </c>
      <c r="M61" s="244" t="s">
        <v>486</v>
      </c>
      <c r="N61" s="29"/>
      <c r="O61" s="172"/>
    </row>
    <row r="62" spans="1:15" ht="12.75" customHeight="1" x14ac:dyDescent="0.3">
      <c r="A62" s="29"/>
      <c r="B62" s="244"/>
      <c r="C62" s="244" t="s">
        <v>401</v>
      </c>
      <c r="D62" s="244"/>
      <c r="E62" s="244"/>
      <c r="F62" s="244"/>
      <c r="G62" s="244"/>
      <c r="H62" s="244"/>
      <c r="I62" s="245">
        <f>14.79*Kow^0.49</f>
        <v>716.54124498929764</v>
      </c>
      <c r="J62" s="245">
        <f>14.79*Kow^0.49</f>
        <v>716.54124498929764</v>
      </c>
      <c r="K62" s="245">
        <f t="shared" si="3"/>
        <v>0.16931229237089712</v>
      </c>
      <c r="L62" s="245">
        <f t="shared" si="3"/>
        <v>0.16931229237089712</v>
      </c>
      <c r="M62" s="244" t="s">
        <v>486</v>
      </c>
      <c r="N62" s="29"/>
      <c r="O62" s="172"/>
    </row>
    <row r="63" spans="1:15" ht="12.75" customHeight="1" x14ac:dyDescent="0.3">
      <c r="A63" s="29"/>
      <c r="B63" s="244"/>
      <c r="C63" s="244" t="s">
        <v>402</v>
      </c>
      <c r="D63" s="244"/>
      <c r="E63" s="244"/>
      <c r="F63" s="244"/>
      <c r="G63" s="244"/>
      <c r="H63" s="244"/>
      <c r="I63" s="245">
        <f>31.62*Kow^0.3</f>
        <v>340.22143634317268</v>
      </c>
      <c r="J63" s="245">
        <f>31.62*Kow^0.3</f>
        <v>340.22143634317268</v>
      </c>
      <c r="K63" s="245">
        <f t="shared" si="3"/>
        <v>0.16931229237089712</v>
      </c>
      <c r="L63" s="245">
        <f t="shared" si="3"/>
        <v>0.16931229237089712</v>
      </c>
      <c r="M63" s="244" t="s">
        <v>486</v>
      </c>
      <c r="N63" s="29"/>
      <c r="O63" s="172"/>
    </row>
    <row r="64" spans="1:15" ht="12.75" customHeight="1" x14ac:dyDescent="0.3">
      <c r="A64" s="29"/>
      <c r="B64" s="246"/>
      <c r="C64" s="246" t="s">
        <v>403</v>
      </c>
      <c r="D64" s="246"/>
      <c r="E64" s="246"/>
      <c r="F64" s="246"/>
      <c r="G64" s="246"/>
      <c r="H64" s="246"/>
      <c r="I64" s="247">
        <f>25.7*Kow^0.47</f>
        <v>1062.7215551040561</v>
      </c>
      <c r="J64" s="247">
        <f>25.7*Kow^0.47</f>
        <v>1062.7215551040561</v>
      </c>
      <c r="K64" s="247">
        <f t="shared" si="3"/>
        <v>0.16931229237089712</v>
      </c>
      <c r="L64" s="247">
        <f t="shared" si="3"/>
        <v>0.16931229237089712</v>
      </c>
      <c r="M64" s="246" t="s">
        <v>486</v>
      </c>
      <c r="N64" s="29"/>
      <c r="O64" s="172"/>
    </row>
    <row r="65" spans="1:15" s="26" customFormat="1" ht="12.75" customHeight="1" x14ac:dyDescent="0.3">
      <c r="A65" s="29"/>
      <c r="B65" s="36"/>
      <c r="C65" s="29"/>
      <c r="D65" s="29"/>
      <c r="E65" s="29"/>
      <c r="F65" s="29"/>
      <c r="G65" s="36"/>
      <c r="H65" s="36"/>
      <c r="I65" s="348"/>
      <c r="J65" s="339"/>
      <c r="K65" s="339"/>
      <c r="L65" s="339"/>
      <c r="M65" s="29"/>
      <c r="N65" s="29"/>
      <c r="O65" s="172"/>
    </row>
    <row r="66" spans="1:15" s="26" customFormat="1" ht="12.75" customHeight="1" x14ac:dyDescent="0.3">
      <c r="A66" s="29"/>
      <c r="B66" s="36" t="s">
        <v>2109</v>
      </c>
      <c r="C66" s="29"/>
      <c r="D66" s="95"/>
      <c r="E66" s="29"/>
      <c r="F66" s="29"/>
      <c r="G66" s="94" t="s">
        <v>965</v>
      </c>
      <c r="H66" s="36" t="s">
        <v>2081</v>
      </c>
      <c r="I66" s="412"/>
      <c r="J66" s="617">
        <f>IF(HLOOKUP(CaseName,CaseData,ROW()-2,FALSE)="",IF(ISBLANK(VLOOKUP(ChemName,ChemData,MATCH("kdeg(air)",substances!$3:$3,FALSE)-1,FALSE)),"",VLOOKUP(ChemName,ChemData,MATCH("kdeg(air)",substances!$3:$3,FALSE)-1,FALSE)),HLOOKUP(CaseName,CaseData,ROW()-2,FALSE))</f>
        <v>2.3999999999999998E-7</v>
      </c>
      <c r="K66" s="345">
        <f>C.OHrad*k0.OHrad*EXP(-Ea.OHrad/(8.314*298))</f>
        <v>3.5063474584268925E-6</v>
      </c>
      <c r="L66" s="346">
        <f t="shared" ref="L66:L75" si="4">IF(ISBLANK(I66), IF(ISNUMBER(J66)=FALSE, K66, J66), I66)</f>
        <v>2.3999999999999998E-7</v>
      </c>
      <c r="M66" s="36" t="s">
        <v>116</v>
      </c>
      <c r="N66" s="29"/>
      <c r="O66" s="172"/>
    </row>
    <row r="67" spans="1:15" s="26" customFormat="1" ht="12.75" customHeight="1" x14ac:dyDescent="0.3">
      <c r="A67" s="36"/>
      <c r="B67" s="29"/>
      <c r="C67" s="36" t="s">
        <v>1105</v>
      </c>
      <c r="D67" s="29"/>
      <c r="E67" s="29"/>
      <c r="F67" s="29"/>
      <c r="G67" s="37" t="s">
        <v>1309</v>
      </c>
      <c r="H67" s="36" t="s">
        <v>2075</v>
      </c>
      <c r="I67" s="412"/>
      <c r="J67" s="402" t="str">
        <f>IF(HLOOKUP(CaseName,CaseData,ROW()-2,FALSE)="","",HLOOKUP(CaseName,CaseData,ROW()-2,FALSE))</f>
        <v/>
      </c>
      <c r="K67" s="345">
        <v>500000</v>
      </c>
      <c r="L67" s="346">
        <f t="shared" si="4"/>
        <v>500000</v>
      </c>
      <c r="M67" s="36" t="s">
        <v>964</v>
      </c>
      <c r="N67" s="29"/>
      <c r="O67" s="172"/>
    </row>
    <row r="68" spans="1:15" s="26" customFormat="1" ht="12.75" customHeight="1" x14ac:dyDescent="0.3">
      <c r="A68" s="36"/>
      <c r="B68" s="29"/>
      <c r="C68" s="36" t="s">
        <v>1106</v>
      </c>
      <c r="D68" s="29"/>
      <c r="E68" s="29"/>
      <c r="F68" s="29"/>
      <c r="G68" s="37" t="s">
        <v>971</v>
      </c>
      <c r="H68" s="36" t="s">
        <v>2082</v>
      </c>
      <c r="I68" s="412"/>
      <c r="J68" s="402" t="str">
        <f>IF(HLOOKUP(CaseName,CaseData,ROW()-2,FALSE)="","",HLOOKUP(CaseName,CaseData,ROW()-2,FALSE))</f>
        <v/>
      </c>
      <c r="K68" s="345">
        <v>7.8999999999999999E-11</v>
      </c>
      <c r="L68" s="346">
        <f t="shared" si="4"/>
        <v>7.8999999999999999E-11</v>
      </c>
      <c r="M68" s="36" t="s">
        <v>963</v>
      </c>
      <c r="N68" s="29"/>
      <c r="O68" s="172"/>
    </row>
    <row r="69" spans="1:15" s="26" customFormat="1" ht="12.75" customHeight="1" x14ac:dyDescent="0.3">
      <c r="A69" s="36"/>
      <c r="B69" s="29"/>
      <c r="C69" s="36" t="s">
        <v>45</v>
      </c>
      <c r="D69" s="29"/>
      <c r="E69" s="29"/>
      <c r="F69" s="29"/>
      <c r="G69" s="37" t="s">
        <v>969</v>
      </c>
      <c r="H69" s="36" t="s">
        <v>1394</v>
      </c>
      <c r="I69" s="412"/>
      <c r="J69" s="402" t="str">
        <f>IF(HLOOKUP(CaseName,CaseData,ROW()-2,FALSE)="","",HLOOKUP(CaseName,CaseData,ROW()-2,FALSE))</f>
        <v/>
      </c>
      <c r="K69" s="345">
        <v>6</v>
      </c>
      <c r="L69" s="346">
        <f>IF(ISBLANK(I69),IF(ISNUMBER(J69)=FALSE,K69*1000,J69*1000),I69*1000)</f>
        <v>6000</v>
      </c>
      <c r="M69" s="36" t="s">
        <v>1395</v>
      </c>
      <c r="N69" s="29"/>
      <c r="O69" s="172"/>
    </row>
    <row r="70" spans="1:15" s="26" customFormat="1" ht="12.75" customHeight="1" x14ac:dyDescent="0.3">
      <c r="A70" s="29"/>
      <c r="B70" s="36" t="s">
        <v>2110</v>
      </c>
      <c r="C70" s="29"/>
      <c r="D70" s="95"/>
      <c r="E70" s="29"/>
      <c r="F70" s="29"/>
      <c r="G70" s="94" t="s">
        <v>196</v>
      </c>
      <c r="H70" s="36" t="s">
        <v>2081</v>
      </c>
      <c r="I70" s="412"/>
      <c r="J70" s="617">
        <f>IF(HLOOKUP(CaseName,CaseData,ROW()-2,FALSE)="",IF(ISBLANK(VLOOKUP(ChemName,ChemData,MATCH("kdeg(water)",substances!$3:$3,FALSE)-1,FALSE)),"",VLOOKUP(ChemName,ChemData,MATCH("kdeg(water)",substances!$3:$3,FALSE)-1,FALSE)),HLOOKUP(CaseName,CaseData,ROW()-2,FALSE))</f>
        <v>2.1400000000000001E-7</v>
      </c>
      <c r="K70" s="345">
        <f>IF(Biodeg="r",LN(2)/15*L73^(13/10),IF(Biodeg="r-",LN(2)/50*L73^(13/10),IF(Biodeg="i",LN(2)/150*L73^(13/10),1E-20)))/(3600*24)</f>
        <v>1.316920183599007E-7</v>
      </c>
      <c r="L70" s="346">
        <f t="shared" si="4"/>
        <v>2.1400000000000001E-7</v>
      </c>
      <c r="M70" s="36" t="s">
        <v>116</v>
      </c>
      <c r="N70" s="29"/>
      <c r="O70" s="172"/>
    </row>
    <row r="71" spans="1:15" s="26" customFormat="1" ht="12.75" customHeight="1" x14ac:dyDescent="0.3">
      <c r="A71" s="29"/>
      <c r="B71" s="29"/>
      <c r="C71" s="36" t="s">
        <v>1112</v>
      </c>
      <c r="D71" s="29"/>
      <c r="E71" s="29"/>
      <c r="F71" s="29"/>
      <c r="G71" s="37" t="s">
        <v>765</v>
      </c>
      <c r="H71" s="36" t="s">
        <v>1295</v>
      </c>
      <c r="I71" s="412"/>
      <c r="J71" s="402" t="str">
        <f>IF(HLOOKUP(CaseName,CaseData,ROW()-2,FALSE)="","",HLOOKUP(CaseName,CaseData,ROW()-2,FALSE))</f>
        <v/>
      </c>
      <c r="K71" s="352" t="s">
        <v>1296</v>
      </c>
      <c r="L71" s="351" t="str">
        <f t="shared" si="4"/>
        <v>i</v>
      </c>
      <c r="M71" s="29"/>
      <c r="N71" s="29"/>
      <c r="O71" s="172"/>
    </row>
    <row r="72" spans="1:15" s="26" customFormat="1" ht="12.75" customHeight="1" x14ac:dyDescent="0.3">
      <c r="A72" s="29"/>
      <c r="B72" s="29"/>
      <c r="C72" s="36" t="s">
        <v>764</v>
      </c>
      <c r="D72" s="95"/>
      <c r="E72" s="29"/>
      <c r="F72" s="29"/>
      <c r="G72" s="36" t="s">
        <v>16</v>
      </c>
      <c r="H72" s="36" t="s">
        <v>2074</v>
      </c>
      <c r="I72" s="412"/>
      <c r="J72" s="402" t="str">
        <f>IF(HLOOKUP(CaseName,CaseData,ROW()-2,FALSE)="","",HLOOKUP(CaseName,CaseData,ROW()-2,FALSE))</f>
        <v/>
      </c>
      <c r="K72" s="345">
        <v>40000</v>
      </c>
      <c r="L72" s="346">
        <f t="shared" si="4"/>
        <v>40000</v>
      </c>
      <c r="M72" s="36" t="s">
        <v>731</v>
      </c>
      <c r="N72" s="29"/>
      <c r="O72" s="172"/>
    </row>
    <row r="73" spans="1:15" s="26" customFormat="1" ht="12.75" customHeight="1" x14ac:dyDescent="0.3">
      <c r="A73" s="29"/>
      <c r="B73" s="29"/>
      <c r="C73" s="29" t="s">
        <v>2111</v>
      </c>
      <c r="D73" s="29"/>
      <c r="E73" s="29"/>
      <c r="F73" s="29"/>
      <c r="G73" s="36" t="s">
        <v>267</v>
      </c>
      <c r="H73" s="36" t="s">
        <v>36</v>
      </c>
      <c r="I73" s="412"/>
      <c r="J73" s="402" t="str">
        <f>IF(HLOOKUP(CaseName,CaseData,ROW()-2,FALSE)="","",HLOOKUP(CaseName,CaseData,ROW()-2,FALSE))</f>
        <v/>
      </c>
      <c r="K73" s="345">
        <v>2</v>
      </c>
      <c r="L73" s="346">
        <f t="shared" si="4"/>
        <v>2</v>
      </c>
      <c r="M73" s="36" t="s">
        <v>486</v>
      </c>
      <c r="N73" s="29"/>
      <c r="O73" s="172"/>
    </row>
    <row r="74" spans="1:15" s="26" customFormat="1" ht="12.75" customHeight="1" x14ac:dyDescent="0.3">
      <c r="A74" s="29"/>
      <c r="B74" s="36" t="s">
        <v>2112</v>
      </c>
      <c r="C74" s="95"/>
      <c r="D74" s="95"/>
      <c r="E74" s="29"/>
      <c r="F74" s="29"/>
      <c r="G74" s="94" t="s">
        <v>966</v>
      </c>
      <c r="H74" s="36" t="s">
        <v>2081</v>
      </c>
      <c r="I74" s="412"/>
      <c r="J74" s="617">
        <f>IF(HLOOKUP(CaseName,CaseData,ROW()-2,FALSE)="",IF(ISBLANK(VLOOKUP(ChemName,ChemData,MATCH("kdeg(sed)",substances!$3:$3,FALSE)-1,FALSE)),"",VLOOKUP(ChemName,ChemData,MATCH("kdeg(sed)",substances!$3:$3,FALSE)-1,FALSE)),HLOOKUP(CaseName,CaseData,ROW()-2,FALSE))</f>
        <v>2.3800000000000001E-8</v>
      </c>
      <c r="K74" s="345">
        <f>0.1*L73^(13/10)*LN(2)/IF(Biodeg="r",IF(Ksw/(CORG*RHOsolid/1000)&lt;=100,30,IF(Ksw/(CORG*RHOsolid/1000)&lt;=1000,300,IF(Ksw/(CORG*RHOsolid/1000)&lt;=10000,3000,30000))),IF(Biodeg="r-",IF(Ksw/(CORG*RHOsolid/1000)&lt;=100,90,IF(Ksw/(CORG*RHOsolid/1000)&lt;=1000,900,IF(Ksw/(CORG*RHOsolid/1000)&lt;=10000,9000,90000))),IF(Ksw/(CORG*RHOsolid/1000)&lt;=100,300,IF(Ksw/(CORG*RHOsolid/1000)&lt;=1000,3000,30000))))/(3600*24)</f>
        <v>6.5846009179950362E-10</v>
      </c>
      <c r="L74" s="346">
        <f t="shared" si="4"/>
        <v>2.3800000000000001E-8</v>
      </c>
      <c r="M74" s="36" t="s">
        <v>116</v>
      </c>
      <c r="N74" s="29"/>
      <c r="O74" s="172"/>
    </row>
    <row r="75" spans="1:15" s="26" customFormat="1" ht="12.75" customHeight="1" x14ac:dyDescent="0.3">
      <c r="A75" s="29"/>
      <c r="B75" s="36" t="s">
        <v>2113</v>
      </c>
      <c r="C75" s="95"/>
      <c r="D75" s="95"/>
      <c r="E75" s="29"/>
      <c r="F75" s="29"/>
      <c r="G75" s="94" t="s">
        <v>967</v>
      </c>
      <c r="H75" s="36" t="s">
        <v>2081</v>
      </c>
      <c r="I75" s="412"/>
      <c r="J75" s="617">
        <f>IF(HLOOKUP(CaseName,CaseData,ROW()-2,FALSE)="",IF(ISBLANK(VLOOKUP(ChemName,ChemData,MATCH("kdeg(soil)",substances!$3:$3,FALSE)-1,FALSE)),"",VLOOKUP(ChemName,ChemData,MATCH("kdeg(soil)",substances!$3:$3,FALSE)-1,FALSE)),HLOOKUP(CaseName,CaseData,ROW()-2,FALSE))</f>
        <v>1.0700000000000001E-7</v>
      </c>
      <c r="K75" s="345">
        <f>L73^(13/10)*LN(2)/IF(Biodeg="r",IF(Ksw/(CORG*RHOsolid/1000)&lt;=100,30,IF(Ksw/(CORG*RHOsolid/1000)&lt;=1000,300,IF(Ksw/(CORG*RHOsolid/1000)&lt;=10000,3000,30000))),IF(Biodeg="r-",IF(Ksw/(CORG*RHOsolid/1000)&lt;=100,90,IF(Ksw/(CORG*RHOsolid/1000)&lt;=1000,900,IF(Ksw/(CORG*RHOsolid/1000)&lt;=10000,9000,90000))),IF(Ksw/(CORG*RHOsolid/1000)&lt;=100,300,IF(Ksw/(CORG*RHOsolid/1000)&lt;=1000,3000,30000))))/(3600*24)</f>
        <v>6.5846009179950347E-9</v>
      </c>
      <c r="L75" s="346">
        <f t="shared" si="4"/>
        <v>1.0700000000000001E-7</v>
      </c>
      <c r="M75" s="36" t="s">
        <v>116</v>
      </c>
      <c r="N75" s="29"/>
      <c r="O75" s="172"/>
    </row>
    <row r="76" spans="1:15" s="26" customFormat="1" ht="12.75" customHeight="1" x14ac:dyDescent="0.3">
      <c r="A76" s="29"/>
      <c r="B76" s="36"/>
      <c r="C76" s="29"/>
      <c r="D76" s="29"/>
      <c r="E76" s="29"/>
      <c r="F76" s="29"/>
      <c r="G76" s="36"/>
      <c r="H76" s="36"/>
      <c r="I76" s="348"/>
      <c r="J76" s="339"/>
      <c r="K76" s="339"/>
      <c r="L76" s="339"/>
      <c r="M76" s="29"/>
      <c r="N76" s="29"/>
      <c r="O76" s="172"/>
    </row>
    <row r="77" spans="1:15" customFormat="1" ht="12.75" customHeight="1" x14ac:dyDescent="0.3">
      <c r="A77" s="97" t="s">
        <v>1097</v>
      </c>
      <c r="B77" s="97"/>
      <c r="C77" s="97"/>
      <c r="D77" s="97"/>
      <c r="E77" s="97"/>
      <c r="F77" s="97"/>
      <c r="G77" s="98" t="s">
        <v>1008</v>
      </c>
      <c r="H77" s="98" t="s">
        <v>968</v>
      </c>
      <c r="I77" s="340" t="s">
        <v>754</v>
      </c>
      <c r="J77" s="340" t="s">
        <v>37</v>
      </c>
      <c r="K77" s="340" t="s">
        <v>753</v>
      </c>
      <c r="L77" s="340" t="s">
        <v>1358</v>
      </c>
      <c r="M77" s="97"/>
      <c r="N77" s="98" t="s">
        <v>1371</v>
      </c>
      <c r="O77" s="172"/>
    </row>
    <row r="78" spans="1:15" s="26" customFormat="1" ht="12.75" customHeight="1" x14ac:dyDescent="0.3">
      <c r="A78" s="29"/>
      <c r="B78" s="36"/>
      <c r="C78" s="29"/>
      <c r="D78" s="29"/>
      <c r="E78" s="29"/>
      <c r="F78" s="29"/>
      <c r="G78" s="36"/>
      <c r="H78" s="36"/>
      <c r="I78" s="348"/>
      <c r="J78" s="339"/>
      <c r="K78" s="339"/>
      <c r="L78" s="339"/>
      <c r="M78" s="29"/>
      <c r="N78" s="29"/>
      <c r="O78" s="172"/>
    </row>
    <row r="79" spans="1:15" s="26" customFormat="1" ht="12.75" customHeight="1" x14ac:dyDescent="0.3">
      <c r="A79" s="45" t="s">
        <v>1377</v>
      </c>
      <c r="B79" s="29"/>
      <c r="C79" s="29"/>
      <c r="D79" s="29"/>
      <c r="E79" s="29"/>
      <c r="F79" s="29"/>
      <c r="G79" s="36"/>
      <c r="H79" s="36"/>
      <c r="I79" s="348"/>
      <c r="J79" s="339"/>
      <c r="K79" s="339"/>
      <c r="L79" s="339"/>
      <c r="M79" s="29"/>
      <c r="N79" s="29"/>
      <c r="O79" s="172"/>
    </row>
    <row r="80" spans="1:15" s="26" customFormat="1" ht="12.75" customHeight="1" x14ac:dyDescent="0.3">
      <c r="A80" s="36"/>
      <c r="B80" s="36" t="s">
        <v>1007</v>
      </c>
      <c r="C80" s="29"/>
      <c r="D80" s="29"/>
      <c r="E80" s="29"/>
      <c r="F80" s="29"/>
      <c r="G80" s="37" t="s">
        <v>700</v>
      </c>
      <c r="H80" s="36" t="s">
        <v>2077</v>
      </c>
      <c r="I80" s="412"/>
      <c r="J80" s="433">
        <f t="shared" ref="J80:J86" si="5">IF(HLOOKUP(CaseName,CaseData,ROW()-2,FALSE)="",IF(HLOOKUP(ScenarioName,ScenarioData,ROW()-75,FALSE)="","",HLOOKUP(ScenarioName,ScenarioData,ROW()-75,FALSE)),HLOOKUP(CaseName,CaseData,ROW()-2,FALSE))</f>
        <v>10000</v>
      </c>
      <c r="K80" s="339">
        <v>10000</v>
      </c>
      <c r="L80" s="346">
        <f t="shared" ref="L80:L86" si="6">IF(ISBLANK(I80),IF(ISNUMBER(J80)=FALSE,K80*1000/(Molweight*3600*24*365),J80*1000/(Molweight*3600*24*365)),I80*1000/(Molweight*3600*24*365))</f>
        <v>2.1571287063785434</v>
      </c>
      <c r="M80" s="36" t="s">
        <v>716</v>
      </c>
      <c r="N80" s="29"/>
      <c r="O80" s="172"/>
    </row>
    <row r="81" spans="1:15" s="26" customFormat="1" ht="12.75" customHeight="1" x14ac:dyDescent="0.3">
      <c r="A81" s="36"/>
      <c r="B81" s="36" t="s">
        <v>2104</v>
      </c>
      <c r="C81" s="29"/>
      <c r="D81" s="29"/>
      <c r="E81" s="29"/>
      <c r="F81" s="29"/>
      <c r="G81" s="37" t="s">
        <v>2103</v>
      </c>
      <c r="H81" s="36" t="s">
        <v>2077</v>
      </c>
      <c r="I81" s="412"/>
      <c r="J81" s="433">
        <f t="shared" si="5"/>
        <v>0</v>
      </c>
      <c r="K81" s="339">
        <v>0</v>
      </c>
      <c r="L81" s="346">
        <f>IF(ISBLANK(I81),IF(ISNUMBER(J81)=FALSE,K81*1000/(Molweight*3600*24*365),J81*1000/(Molweight*3600*24*365)),I81*1000/(Molweight*3600*24*365))</f>
        <v>0</v>
      </c>
      <c r="M81" s="36" t="s">
        <v>2411</v>
      </c>
      <c r="N81" s="29"/>
      <c r="O81" s="172"/>
    </row>
    <row r="82" spans="1:15" s="26" customFormat="1" ht="12.75" customHeight="1" x14ac:dyDescent="0.3">
      <c r="A82" s="36"/>
      <c r="B82" s="36" t="s">
        <v>1737</v>
      </c>
      <c r="C82" s="29"/>
      <c r="D82" s="29"/>
      <c r="E82" s="29"/>
      <c r="F82" s="29"/>
      <c r="G82" s="37" t="s">
        <v>699</v>
      </c>
      <c r="H82" s="36" t="s">
        <v>2077</v>
      </c>
      <c r="I82" s="412"/>
      <c r="J82" s="433">
        <f t="shared" si="5"/>
        <v>10000</v>
      </c>
      <c r="K82" s="339">
        <v>10000</v>
      </c>
      <c r="L82" s="346">
        <f t="shared" si="6"/>
        <v>2.1571287063785434</v>
      </c>
      <c r="M82" s="36" t="s">
        <v>716</v>
      </c>
      <c r="N82" s="29"/>
      <c r="O82" s="172"/>
    </row>
    <row r="83" spans="1:15" s="26" customFormat="1" ht="12.75" customHeight="1" x14ac:dyDescent="0.3">
      <c r="A83" s="36"/>
      <c r="B83" s="36" t="s">
        <v>1738</v>
      </c>
      <c r="C83" s="29"/>
      <c r="D83" s="29"/>
      <c r="E83" s="29"/>
      <c r="F83" s="29"/>
      <c r="G83" s="37" t="s">
        <v>701</v>
      </c>
      <c r="H83" s="36" t="s">
        <v>2077</v>
      </c>
      <c r="I83" s="412"/>
      <c r="J83" s="433">
        <f t="shared" si="5"/>
        <v>0</v>
      </c>
      <c r="K83" s="339">
        <v>0</v>
      </c>
      <c r="L83" s="346">
        <f t="shared" si="6"/>
        <v>0</v>
      </c>
      <c r="M83" s="36" t="s">
        <v>716</v>
      </c>
      <c r="N83" s="29"/>
      <c r="O83" s="172"/>
    </row>
    <row r="84" spans="1:15" s="26" customFormat="1" ht="12.75" customHeight="1" x14ac:dyDescent="0.3">
      <c r="A84" s="36"/>
      <c r="B84" s="36" t="s">
        <v>1201</v>
      </c>
      <c r="C84" s="29"/>
      <c r="D84" s="29"/>
      <c r="E84" s="29"/>
      <c r="F84" s="29"/>
      <c r="G84" s="37" t="s">
        <v>702</v>
      </c>
      <c r="H84" s="36" t="s">
        <v>2077</v>
      </c>
      <c r="I84" s="412"/>
      <c r="J84" s="433">
        <f t="shared" si="5"/>
        <v>0</v>
      </c>
      <c r="K84" s="339">
        <v>0</v>
      </c>
      <c r="L84" s="346">
        <f t="shared" si="6"/>
        <v>0</v>
      </c>
      <c r="M84" s="36" t="s">
        <v>716</v>
      </c>
      <c r="N84" s="29"/>
      <c r="O84" s="172"/>
    </row>
    <row r="85" spans="1:15" s="26" customFormat="1" ht="12.75" customHeight="1" x14ac:dyDescent="0.3">
      <c r="A85" s="36"/>
      <c r="B85" s="36" t="s">
        <v>1005</v>
      </c>
      <c r="C85" s="29"/>
      <c r="D85" s="29"/>
      <c r="E85" s="29"/>
      <c r="F85" s="29"/>
      <c r="G85" s="37" t="s">
        <v>1175</v>
      </c>
      <c r="H85" s="36" t="s">
        <v>2077</v>
      </c>
      <c r="I85" s="412"/>
      <c r="J85" s="433">
        <f t="shared" si="5"/>
        <v>10000</v>
      </c>
      <c r="K85" s="339">
        <v>10000</v>
      </c>
      <c r="L85" s="346">
        <f t="shared" si="6"/>
        <v>2.1571287063785434</v>
      </c>
      <c r="M85" s="36" t="s">
        <v>2411</v>
      </c>
      <c r="N85" s="29"/>
      <c r="O85" s="172"/>
    </row>
    <row r="86" spans="1:15" s="26" customFormat="1" ht="12.75" customHeight="1" x14ac:dyDescent="0.3">
      <c r="A86" s="36"/>
      <c r="B86" s="36" t="s">
        <v>1006</v>
      </c>
      <c r="C86" s="29"/>
      <c r="D86" s="29"/>
      <c r="E86" s="29"/>
      <c r="F86" s="29"/>
      <c r="G86" s="37" t="s">
        <v>1176</v>
      </c>
      <c r="H86" s="36" t="s">
        <v>2077</v>
      </c>
      <c r="I86" s="412"/>
      <c r="J86" s="433">
        <f t="shared" si="5"/>
        <v>0</v>
      </c>
      <c r="K86" s="339">
        <v>0</v>
      </c>
      <c r="L86" s="346">
        <f t="shared" si="6"/>
        <v>0</v>
      </c>
      <c r="M86" s="36" t="s">
        <v>716</v>
      </c>
      <c r="N86" s="29"/>
      <c r="O86" s="172"/>
    </row>
    <row r="87" spans="1:15" s="26" customFormat="1" ht="12.75" customHeight="1" x14ac:dyDescent="0.3">
      <c r="A87" s="45" t="s">
        <v>1327</v>
      </c>
      <c r="B87" s="29"/>
      <c r="C87" s="29"/>
      <c r="D87" s="29"/>
      <c r="E87" s="29"/>
      <c r="F87" s="29"/>
      <c r="G87" s="99"/>
      <c r="H87" s="36"/>
      <c r="I87" s="348"/>
      <c r="J87" s="433"/>
      <c r="K87" s="339"/>
      <c r="L87" s="339"/>
      <c r="M87" s="29"/>
      <c r="N87" s="29"/>
      <c r="O87" s="172"/>
    </row>
    <row r="88" spans="1:15" s="26" customFormat="1" ht="12.75" customHeight="1" x14ac:dyDescent="0.3">
      <c r="A88" s="36"/>
      <c r="B88" s="36" t="s">
        <v>1007</v>
      </c>
      <c r="C88" s="29"/>
      <c r="D88" s="29"/>
      <c r="E88" s="29"/>
      <c r="F88" s="29"/>
      <c r="G88" s="37" t="s">
        <v>1182</v>
      </c>
      <c r="H88" s="36" t="s">
        <v>2077</v>
      </c>
      <c r="I88" s="412"/>
      <c r="J88" s="433">
        <f t="shared" ref="J88:J94" si="7">IF(HLOOKUP(CaseName,CaseData,ROW()-2,FALSE)="",IF(HLOOKUP(ScenarioName,ScenarioData,ROW()-75,FALSE)="","",HLOOKUP(ScenarioName,ScenarioData,ROW()-75,FALSE)),HLOOKUP(CaseName,CaseData,ROW()-2,FALSE))</f>
        <v>0</v>
      </c>
      <c r="K88" s="339">
        <v>0</v>
      </c>
      <c r="L88" s="346">
        <f t="shared" ref="L88:L94" si="8">IF(ISBLANK(I88),IF(ISNUMBER(J88)=FALSE,K88*1000/(Molweight*3600*24*365),J88*1000/(Molweight*3600*24*365)),I88*1000/(Molweight*3600*24*365))</f>
        <v>0</v>
      </c>
      <c r="M88" s="36" t="s">
        <v>716</v>
      </c>
      <c r="N88" s="29"/>
      <c r="O88" s="172"/>
    </row>
    <row r="89" spans="1:15" s="26" customFormat="1" ht="12.75" customHeight="1" x14ac:dyDescent="0.3">
      <c r="A89" s="36"/>
      <c r="B89" s="36" t="s">
        <v>2104</v>
      </c>
      <c r="C89" s="29"/>
      <c r="D89" s="29"/>
      <c r="E89" s="29"/>
      <c r="F89" s="29"/>
      <c r="G89" s="37" t="s">
        <v>2105</v>
      </c>
      <c r="H89" s="36" t="s">
        <v>2077</v>
      </c>
      <c r="I89" s="412"/>
      <c r="J89" s="433">
        <f t="shared" si="7"/>
        <v>0</v>
      </c>
      <c r="K89" s="339">
        <v>0</v>
      </c>
      <c r="L89" s="346">
        <f>IF(ISBLANK(I89),IF(ISNUMBER(J89)=FALSE,K89*1000/(Molweight*3600*24*365),J89*1000/(Molweight*3600*24*365)),I89*1000/(Molweight*3600*24*365))</f>
        <v>0</v>
      </c>
      <c r="M89" s="36" t="s">
        <v>2411</v>
      </c>
      <c r="N89" s="29"/>
      <c r="O89" s="172"/>
    </row>
    <row r="90" spans="1:15" s="26" customFormat="1" ht="12.75" customHeight="1" x14ac:dyDescent="0.3">
      <c r="A90" s="36"/>
      <c r="B90" s="36" t="s">
        <v>1737</v>
      </c>
      <c r="C90" s="29"/>
      <c r="D90" s="29"/>
      <c r="E90" s="29"/>
      <c r="F90" s="29"/>
      <c r="G90" s="37" t="s">
        <v>1177</v>
      </c>
      <c r="H90" s="36" t="s">
        <v>2077</v>
      </c>
      <c r="I90" s="412"/>
      <c r="J90" s="433">
        <f t="shared" si="7"/>
        <v>0</v>
      </c>
      <c r="K90" s="339">
        <v>0</v>
      </c>
      <c r="L90" s="346">
        <f t="shared" si="8"/>
        <v>0</v>
      </c>
      <c r="M90" s="36" t="s">
        <v>716</v>
      </c>
      <c r="N90" s="29"/>
      <c r="O90" s="172"/>
    </row>
    <row r="91" spans="1:15" s="26" customFormat="1" ht="12.75" customHeight="1" x14ac:dyDescent="0.3">
      <c r="A91" s="36"/>
      <c r="B91" s="36" t="s">
        <v>1738</v>
      </c>
      <c r="C91" s="29"/>
      <c r="D91" s="29"/>
      <c r="E91" s="29"/>
      <c r="F91" s="29"/>
      <c r="G91" s="37" t="s">
        <v>1178</v>
      </c>
      <c r="H91" s="36" t="s">
        <v>2077</v>
      </c>
      <c r="I91" s="412"/>
      <c r="J91" s="433">
        <f t="shared" si="7"/>
        <v>0</v>
      </c>
      <c r="K91" s="339">
        <v>0</v>
      </c>
      <c r="L91" s="346">
        <f t="shared" si="8"/>
        <v>0</v>
      </c>
      <c r="M91" s="36" t="s">
        <v>716</v>
      </c>
      <c r="N91" s="29"/>
      <c r="O91" s="172"/>
    </row>
    <row r="92" spans="1:15" s="26" customFormat="1" ht="12.75" customHeight="1" x14ac:dyDescent="0.3">
      <c r="A92" s="36"/>
      <c r="B92" s="36" t="s">
        <v>1201</v>
      </c>
      <c r="C92" s="29"/>
      <c r="D92" s="29"/>
      <c r="E92" s="29"/>
      <c r="F92" s="29"/>
      <c r="G92" s="37" t="s">
        <v>1179</v>
      </c>
      <c r="H92" s="36" t="s">
        <v>2077</v>
      </c>
      <c r="I92" s="412"/>
      <c r="J92" s="433">
        <f t="shared" si="7"/>
        <v>0</v>
      </c>
      <c r="K92" s="339">
        <v>0</v>
      </c>
      <c r="L92" s="346">
        <f t="shared" si="8"/>
        <v>0</v>
      </c>
      <c r="M92" s="36" t="s">
        <v>716</v>
      </c>
      <c r="N92" s="29"/>
      <c r="O92" s="172"/>
    </row>
    <row r="93" spans="1:15" s="26" customFormat="1" ht="12.75" customHeight="1" x14ac:dyDescent="0.3">
      <c r="A93" s="36"/>
      <c r="B93" s="36" t="s">
        <v>1005</v>
      </c>
      <c r="C93" s="29"/>
      <c r="D93" s="29"/>
      <c r="E93" s="29"/>
      <c r="F93" s="29"/>
      <c r="G93" s="37" t="s">
        <v>1180</v>
      </c>
      <c r="H93" s="36" t="s">
        <v>2077</v>
      </c>
      <c r="I93" s="412"/>
      <c r="J93" s="433">
        <f t="shared" si="7"/>
        <v>0</v>
      </c>
      <c r="K93" s="339">
        <v>0</v>
      </c>
      <c r="L93" s="346">
        <f t="shared" si="8"/>
        <v>0</v>
      </c>
      <c r="M93" s="36" t="s">
        <v>716</v>
      </c>
      <c r="N93" s="29"/>
      <c r="O93" s="172"/>
    </row>
    <row r="94" spans="1:15" s="26" customFormat="1" ht="12.75" customHeight="1" x14ac:dyDescent="0.3">
      <c r="A94" s="36"/>
      <c r="B94" s="36" t="s">
        <v>1006</v>
      </c>
      <c r="C94" s="29"/>
      <c r="D94" s="29"/>
      <c r="E94" s="29"/>
      <c r="F94" s="29"/>
      <c r="G94" s="37" t="s">
        <v>1181</v>
      </c>
      <c r="H94" s="36" t="s">
        <v>2077</v>
      </c>
      <c r="I94" s="412"/>
      <c r="J94" s="433">
        <f t="shared" si="7"/>
        <v>0</v>
      </c>
      <c r="K94" s="339">
        <v>0</v>
      </c>
      <c r="L94" s="346">
        <f t="shared" si="8"/>
        <v>0</v>
      </c>
      <c r="M94" s="36" t="s">
        <v>716</v>
      </c>
      <c r="N94" s="29"/>
      <c r="O94" s="172"/>
    </row>
    <row r="95" spans="1:15" s="26" customFormat="1" ht="12.75" customHeight="1" x14ac:dyDescent="0.3">
      <c r="A95" s="45" t="s">
        <v>566</v>
      </c>
      <c r="B95" s="29"/>
      <c r="C95" s="29"/>
      <c r="D95" s="29"/>
      <c r="E95" s="29"/>
      <c r="F95" s="29"/>
      <c r="G95" s="99"/>
      <c r="H95" s="36"/>
      <c r="I95" s="348"/>
      <c r="J95" s="433" t="str">
        <f t="shared" ref="J95:J103" si="9">IF(HLOOKUP(CaseName,CaseData,ROW()-3,FALSE)="",IF(HLOOKUP(ScenarioName,ScenarioData,ROW()-75,FALSE)="","",HLOOKUP(ScenarioName,ScenarioData,ROW()-75,FALSE)),HLOOKUP(CaseName,CaseData,ROW()-3,FALSE))</f>
        <v/>
      </c>
      <c r="K95" s="339"/>
      <c r="L95" s="339"/>
      <c r="M95" s="29"/>
      <c r="N95" s="29"/>
      <c r="O95" s="172"/>
    </row>
    <row r="96" spans="1:15" s="26" customFormat="1" ht="12.75" customHeight="1" x14ac:dyDescent="0.3">
      <c r="A96" s="36"/>
      <c r="B96" s="36" t="s">
        <v>1007</v>
      </c>
      <c r="C96" s="29"/>
      <c r="D96" s="29"/>
      <c r="E96" s="29"/>
      <c r="F96" s="29"/>
      <c r="G96" s="37" t="s">
        <v>1183</v>
      </c>
      <c r="H96" s="36" t="s">
        <v>2077</v>
      </c>
      <c r="I96" s="412"/>
      <c r="J96" s="433">
        <f>IF(HLOOKUP(CaseName,CaseData,ROW()-2,FALSE)="",IF(HLOOKUP(ScenarioName,ScenarioData,ROW()-75,FALSE)="","",HLOOKUP(ScenarioName,ScenarioData,ROW()-75,FALSE)),HLOOKUP(CaseName,CaseData,ROW()-2,FALSE))</f>
        <v>0</v>
      </c>
      <c r="K96" s="339">
        <v>0</v>
      </c>
      <c r="L96" s="346">
        <f>IF(ISBLANK(I96),IF(ISNUMBER(J96)=FALSE,K96*1000/(Molweight*3600*24*365),J96*1000/(Molweight*3600*24*365)),I96*1000/(Molweight*3600*24*365))</f>
        <v>0</v>
      </c>
      <c r="M96" s="36" t="s">
        <v>716</v>
      </c>
      <c r="N96" s="29"/>
      <c r="O96" s="172"/>
    </row>
    <row r="97" spans="1:15" s="26" customFormat="1" ht="12.75" customHeight="1" x14ac:dyDescent="0.3">
      <c r="A97" s="36"/>
      <c r="B97" s="36" t="s">
        <v>1246</v>
      </c>
      <c r="C97" s="29"/>
      <c r="D97" s="29"/>
      <c r="E97" s="29"/>
      <c r="F97" s="29"/>
      <c r="G97" s="37" t="s">
        <v>690</v>
      </c>
      <c r="H97" s="36" t="s">
        <v>2077</v>
      </c>
      <c r="I97" s="412"/>
      <c r="J97" s="433">
        <f>IF(HLOOKUP(CaseName,CaseData,ROW()-2,FALSE)="",IF(HLOOKUP(ScenarioName,ScenarioData,ROW()-75,FALSE)="","",HLOOKUP(ScenarioName,ScenarioData,ROW()-75,FALSE)),HLOOKUP(CaseName,CaseData,ROW()-2,FALSE))</f>
        <v>0</v>
      </c>
      <c r="K97" s="339">
        <v>0</v>
      </c>
      <c r="L97" s="346">
        <f>IF(ISBLANK(I97),IF(ISNUMBER(J97)=FALSE,K97*1000/(Molweight*3600*24*365),J97*1000/(Molweight*3600*24*365)),I97*1000/(Molweight*3600*24*365))</f>
        <v>0</v>
      </c>
      <c r="M97" s="36" t="s">
        <v>716</v>
      </c>
      <c r="N97" s="29"/>
      <c r="O97" s="172"/>
    </row>
    <row r="98" spans="1:15" s="26" customFormat="1" ht="12.75" customHeight="1" x14ac:dyDescent="0.3">
      <c r="A98" s="36"/>
      <c r="B98" s="36" t="s">
        <v>1094</v>
      </c>
      <c r="C98" s="29"/>
      <c r="D98" s="29"/>
      <c r="E98" s="29"/>
      <c r="F98" s="29"/>
      <c r="G98" s="37" t="s">
        <v>1387</v>
      </c>
      <c r="H98" s="36" t="s">
        <v>2077</v>
      </c>
      <c r="I98" s="412"/>
      <c r="J98" s="433">
        <f>IF(HLOOKUP(CaseName,CaseData,ROW()-2,FALSE)="",IF(HLOOKUP(ScenarioName,ScenarioData,ROW()-75,FALSE)="","",HLOOKUP(ScenarioName,ScenarioData,ROW()-75,FALSE)),HLOOKUP(CaseName,CaseData,ROW()-2,FALSE))</f>
        <v>0</v>
      </c>
      <c r="K98" s="339">
        <v>0</v>
      </c>
      <c r="L98" s="346">
        <f>IF(ISBLANK(I98),IF(ISNUMBER(J98)=FALSE,K98*1000/(Molweight*3600*24*365),J98*1000/(Molweight*3600*24*365)),I98*1000/(Molweight*3600*24*365))</f>
        <v>0</v>
      </c>
      <c r="M98" s="29" t="s">
        <v>716</v>
      </c>
      <c r="N98" s="29"/>
      <c r="O98" s="172"/>
    </row>
    <row r="99" spans="1:15" s="26" customFormat="1" ht="12.75" customHeight="1" x14ac:dyDescent="0.3">
      <c r="A99" s="4" t="s">
        <v>55</v>
      </c>
      <c r="B99" s="36"/>
      <c r="C99" s="29"/>
      <c r="D99" s="29"/>
      <c r="E99" s="29"/>
      <c r="F99" s="29"/>
      <c r="G99" s="99"/>
      <c r="H99" s="36"/>
      <c r="I99" s="348"/>
      <c r="J99" s="433" t="str">
        <f t="shared" si="9"/>
        <v/>
      </c>
      <c r="K99" s="339"/>
      <c r="L99" s="339"/>
      <c r="M99" s="29"/>
      <c r="N99" s="29"/>
      <c r="O99" s="172"/>
    </row>
    <row r="100" spans="1:15" s="26" customFormat="1" ht="12.75" customHeight="1" x14ac:dyDescent="0.3">
      <c r="A100" s="36"/>
      <c r="B100" s="36" t="s">
        <v>1007</v>
      </c>
      <c r="C100" s="29"/>
      <c r="D100" s="29"/>
      <c r="E100" s="29"/>
      <c r="F100" s="29"/>
      <c r="G100" s="37" t="s">
        <v>1184</v>
      </c>
      <c r="H100" s="36" t="s">
        <v>2077</v>
      </c>
      <c r="I100" s="412"/>
      <c r="J100" s="433">
        <f>IF(HLOOKUP(CaseName,CaseData,ROW()-2,FALSE)="",IF(HLOOKUP(ScenarioName,ScenarioData,ROW()-75,FALSE)="","",HLOOKUP(ScenarioName,ScenarioData,ROW()-75,FALSE)),HLOOKUP(CaseName,CaseData,ROW()-2,FALSE))</f>
        <v>0</v>
      </c>
      <c r="K100" s="339">
        <v>0</v>
      </c>
      <c r="L100" s="346">
        <f>IF(ISBLANK(I100),IF(ISNUMBER(J100)=FALSE,K100*1000/(Molweight*3600*24*365),J100*1000/(Molweight*3600*24*365)),I100*1000/(Molweight*3600*24*365))</f>
        <v>0</v>
      </c>
      <c r="M100" s="36" t="s">
        <v>716</v>
      </c>
      <c r="N100" s="29"/>
      <c r="O100" s="172"/>
    </row>
    <row r="101" spans="1:15" s="26" customFormat="1" ht="12.75" customHeight="1" x14ac:dyDescent="0.3">
      <c r="A101" s="36"/>
      <c r="B101" s="36" t="s">
        <v>1246</v>
      </c>
      <c r="C101" s="29"/>
      <c r="D101" s="29"/>
      <c r="E101" s="29"/>
      <c r="F101" s="29"/>
      <c r="G101" s="37" t="s">
        <v>691</v>
      </c>
      <c r="H101" s="36" t="s">
        <v>2077</v>
      </c>
      <c r="I101" s="412"/>
      <c r="J101" s="433">
        <f>IF(HLOOKUP(CaseName,CaseData,ROW()-2,FALSE)="",IF(HLOOKUP(ScenarioName,ScenarioData,ROW()-75,FALSE)="","",HLOOKUP(ScenarioName,ScenarioData,ROW()-75,FALSE)),HLOOKUP(CaseName,CaseData,ROW()-2,FALSE))</f>
        <v>0</v>
      </c>
      <c r="K101" s="339">
        <v>0</v>
      </c>
      <c r="L101" s="346">
        <f>IF(ISBLANK(I101),IF(ISNUMBER(J101)=FALSE,K101*1000/(Molweight*3600*24*365),J101*1000/(Molweight*3600*24*365)),I101*1000/(Molweight*3600*24*365))</f>
        <v>0</v>
      </c>
      <c r="M101" s="36" t="s">
        <v>716</v>
      </c>
      <c r="N101" s="29"/>
      <c r="O101" s="172"/>
    </row>
    <row r="102" spans="1:15" s="26" customFormat="1" ht="12.75" customHeight="1" x14ac:dyDescent="0.3">
      <c r="A102" s="36"/>
      <c r="B102" s="36" t="s">
        <v>1094</v>
      </c>
      <c r="C102" s="29"/>
      <c r="D102" s="29"/>
      <c r="E102" s="29"/>
      <c r="F102" s="29"/>
      <c r="G102" s="37" t="s">
        <v>1386</v>
      </c>
      <c r="H102" s="36" t="s">
        <v>2077</v>
      </c>
      <c r="I102" s="412"/>
      <c r="J102" s="433">
        <f>IF(HLOOKUP(CaseName,CaseData,ROW()-2,FALSE)="",IF(HLOOKUP(ScenarioName,ScenarioData,ROW()-75,FALSE)="","",HLOOKUP(ScenarioName,ScenarioData,ROW()-75,FALSE)),HLOOKUP(CaseName,CaseData,ROW()-2,FALSE))</f>
        <v>0</v>
      </c>
      <c r="K102" s="339">
        <v>0</v>
      </c>
      <c r="L102" s="346">
        <f>IF(ISBLANK(I102),IF(ISNUMBER(J102)=FALSE,K102*1000/(Molweight*3600*24*365),J102*1000/(Molweight*3600*24*365)),I102*1000/(Molweight*3600*24*365))</f>
        <v>0</v>
      </c>
      <c r="M102" s="29" t="s">
        <v>716</v>
      </c>
      <c r="N102" s="29"/>
      <c r="O102" s="172"/>
    </row>
    <row r="103" spans="1:15" s="26" customFormat="1" ht="12.75" customHeight="1" x14ac:dyDescent="0.3">
      <c r="A103" s="45" t="s">
        <v>56</v>
      </c>
      <c r="B103" s="29"/>
      <c r="C103" s="29"/>
      <c r="D103" s="29"/>
      <c r="E103" s="29"/>
      <c r="F103" s="29"/>
      <c r="G103" s="99"/>
      <c r="H103" s="36"/>
      <c r="I103" s="36"/>
      <c r="J103" s="433" t="str">
        <f t="shared" si="9"/>
        <v/>
      </c>
      <c r="K103" s="339"/>
      <c r="L103" s="339"/>
      <c r="M103" s="29"/>
      <c r="N103" s="29"/>
      <c r="O103" s="172"/>
    </row>
    <row r="104" spans="1:15" s="26" customFormat="1" ht="12.75" customHeight="1" x14ac:dyDescent="0.3">
      <c r="A104" s="36"/>
      <c r="B104" s="36" t="s">
        <v>1007</v>
      </c>
      <c r="C104" s="29"/>
      <c r="D104" s="29"/>
      <c r="E104" s="29"/>
      <c r="F104" s="29"/>
      <c r="G104" s="37" t="s">
        <v>1388</v>
      </c>
      <c r="H104" s="36" t="s">
        <v>2077</v>
      </c>
      <c r="I104" s="412"/>
      <c r="J104" s="433">
        <f>IF(HLOOKUP(CaseName,CaseData,ROW()-2,FALSE)="",IF(HLOOKUP(ScenarioName,ScenarioData,ROW()-75,FALSE)="","",HLOOKUP(ScenarioName,ScenarioData,ROW()-75,FALSE)),HLOOKUP(CaseName,CaseData,ROW()-2,FALSE))</f>
        <v>0</v>
      </c>
      <c r="K104" s="339">
        <v>0</v>
      </c>
      <c r="L104" s="346">
        <f>IF(ISBLANK(I104),IF(ISNUMBER(J104)=FALSE,K104*1000/(Molweight*3600*24*365),J104*1000/(Molweight*3600*24*365)),I104*1000/(Molweight*3600*24*365))</f>
        <v>0</v>
      </c>
      <c r="M104" s="36" t="s">
        <v>716</v>
      </c>
      <c r="N104" s="29"/>
      <c r="O104" s="172"/>
    </row>
    <row r="105" spans="1:15" s="26" customFormat="1" ht="12.75" customHeight="1" x14ac:dyDescent="0.3">
      <c r="A105" s="36"/>
      <c r="B105" s="36" t="s">
        <v>1246</v>
      </c>
      <c r="C105" s="29"/>
      <c r="D105" s="29"/>
      <c r="E105" s="29"/>
      <c r="F105" s="29"/>
      <c r="G105" s="37" t="s">
        <v>692</v>
      </c>
      <c r="H105" s="36" t="s">
        <v>2077</v>
      </c>
      <c r="I105" s="412"/>
      <c r="J105" s="433">
        <f>IF(HLOOKUP(CaseName,CaseData,ROW()-2,FALSE)="",IF(HLOOKUP(ScenarioName,ScenarioData,ROW()-75,FALSE)="","",HLOOKUP(ScenarioName,ScenarioData,ROW()-75,FALSE)),HLOOKUP(CaseName,CaseData,ROW()-2,FALSE))</f>
        <v>0</v>
      </c>
      <c r="K105" s="339">
        <v>0</v>
      </c>
      <c r="L105" s="346">
        <f>IF(ISBLANK(I105),IF(ISNUMBER(J105)=FALSE,K105*1000/(Molweight*3600*24*365),J105*1000/(Molweight*3600*24*365)),I105*1000/(Molweight*3600*24*365))</f>
        <v>0</v>
      </c>
      <c r="M105" s="36" t="s">
        <v>716</v>
      </c>
      <c r="N105" s="29"/>
      <c r="O105" s="172"/>
    </row>
    <row r="106" spans="1:15" s="26" customFormat="1" ht="12.75" customHeight="1" x14ac:dyDescent="0.3">
      <c r="A106" s="36"/>
      <c r="B106" s="36" t="s">
        <v>1094</v>
      </c>
      <c r="C106" s="29"/>
      <c r="D106" s="29"/>
      <c r="E106" s="29"/>
      <c r="F106" s="29"/>
      <c r="G106" s="37" t="s">
        <v>1389</v>
      </c>
      <c r="H106" s="36" t="s">
        <v>2077</v>
      </c>
      <c r="I106" s="412"/>
      <c r="J106" s="433">
        <f>IF(HLOOKUP(CaseName,CaseData,ROW()-2,FALSE)="",IF(HLOOKUP(ScenarioName,ScenarioData,ROW()-75,FALSE)="","",HLOOKUP(ScenarioName,ScenarioData,ROW()-75,FALSE)),HLOOKUP(CaseName,CaseData,ROW()-2,FALSE))</f>
        <v>0</v>
      </c>
      <c r="K106" s="339">
        <v>0</v>
      </c>
      <c r="L106" s="346">
        <f>IF(ISBLANK(I106),IF(ISNUMBER(J106)=FALSE,K106*1000/(Molweight*3600*24*365),J106*1000/(Molweight*3600*24*365)),I106*1000/(Molweight*3600*24*365))</f>
        <v>0</v>
      </c>
      <c r="M106" s="29" t="s">
        <v>716</v>
      </c>
      <c r="N106" s="29"/>
      <c r="O106" s="172"/>
    </row>
    <row r="107" spans="1:15" s="26" customFormat="1" ht="12.75" customHeight="1" x14ac:dyDescent="0.3">
      <c r="A107" s="29"/>
      <c r="B107" s="29"/>
      <c r="C107" s="29"/>
      <c r="D107" s="29"/>
      <c r="E107" s="29"/>
      <c r="F107" s="29"/>
      <c r="G107" s="36"/>
      <c r="H107" s="36"/>
      <c r="I107" s="348"/>
      <c r="J107" s="339"/>
      <c r="K107" s="339"/>
      <c r="L107" s="339"/>
      <c r="M107" s="29"/>
      <c r="N107" s="29"/>
      <c r="O107" s="172"/>
    </row>
    <row r="108" spans="1:15" customFormat="1" ht="12.75" customHeight="1" x14ac:dyDescent="0.3">
      <c r="A108" s="98" t="s">
        <v>2146</v>
      </c>
      <c r="B108" s="97"/>
      <c r="C108" s="97"/>
      <c r="D108" s="97"/>
      <c r="E108" s="97"/>
      <c r="F108" s="97"/>
      <c r="G108" s="98" t="s">
        <v>1008</v>
      </c>
      <c r="H108" s="98" t="s">
        <v>968</v>
      </c>
      <c r="I108" s="340" t="s">
        <v>754</v>
      </c>
      <c r="J108" s="340" t="s">
        <v>37</v>
      </c>
      <c r="K108" s="340" t="s">
        <v>753</v>
      </c>
      <c r="L108" s="340" t="s">
        <v>1358</v>
      </c>
      <c r="M108" s="97"/>
      <c r="N108" s="98" t="s">
        <v>1371</v>
      </c>
      <c r="O108" s="172"/>
    </row>
    <row r="109" spans="1:15" s="26" customFormat="1" ht="12.75" customHeight="1" x14ac:dyDescent="0.3">
      <c r="A109" s="36"/>
      <c r="B109" s="29"/>
      <c r="C109" s="29"/>
      <c r="D109" s="29"/>
      <c r="E109" s="29"/>
      <c r="F109" s="29"/>
      <c r="G109" s="36"/>
      <c r="H109" s="36"/>
      <c r="I109" s="341"/>
      <c r="J109" s="342"/>
      <c r="K109" s="342"/>
      <c r="L109" s="342"/>
      <c r="M109" s="29"/>
      <c r="N109" s="36"/>
      <c r="O109" s="172"/>
    </row>
    <row r="110" spans="1:15" s="26" customFormat="1" ht="12.75" customHeight="1" x14ac:dyDescent="0.3">
      <c r="A110" s="4" t="s">
        <v>1377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172"/>
    </row>
    <row r="111" spans="1:15" s="26" customFormat="1" ht="12.75" customHeight="1" x14ac:dyDescent="0.3">
      <c r="A111" s="29"/>
      <c r="B111" s="29" t="s">
        <v>675</v>
      </c>
      <c r="C111" s="29"/>
      <c r="D111" s="29"/>
      <c r="E111" s="29"/>
      <c r="F111" s="29"/>
      <c r="G111" s="29" t="s">
        <v>1398</v>
      </c>
      <c r="H111" s="95" t="s">
        <v>2073</v>
      </c>
      <c r="I111" s="413"/>
      <c r="J111" s="433">
        <f>IF(HLOOKUP(CaseName,CaseData,ROW()-2,FALSE)="",IF(HLOOKUP(ScenarioName,ScenarioData,ROW()-76,FALSE)="","",HLOOKUP(ScenarioName,ScenarioData,ROW()-76,FALSE)),HLOOKUP(CaseName,CaseData,ROW()-2,FALSE))</f>
        <v>228570</v>
      </c>
      <c r="K111" s="345">
        <v>228570</v>
      </c>
      <c r="L111" s="346">
        <f>IF(ISBLANK(I111), IF(ISNUMBER(J111)=FALSE,K111*1000000,J111*1000000),I111*1000000)</f>
        <v>228570000000</v>
      </c>
      <c r="M111" s="36" t="s">
        <v>1492</v>
      </c>
      <c r="N111" s="29"/>
      <c r="O111" s="172"/>
    </row>
    <row r="112" spans="1:15" s="26" customFormat="1" ht="12.75" customHeight="1" x14ac:dyDescent="0.3">
      <c r="A112" s="29"/>
      <c r="B112" s="29" t="s">
        <v>676</v>
      </c>
      <c r="C112" s="29"/>
      <c r="D112" s="29"/>
      <c r="E112" s="29"/>
      <c r="F112" s="29"/>
      <c r="G112" s="29" t="s">
        <v>1399</v>
      </c>
      <c r="H112" s="95" t="s">
        <v>2073</v>
      </c>
      <c r="I112" s="413"/>
      <c r="J112" s="433">
        <f t="shared" ref="J112:J126" si="10">IF(HLOOKUP(CaseName,CaseData,ROW()-2,FALSE)="",IF(HLOOKUP(ScenarioName,ScenarioData,ROW()-76,FALSE)="","",HLOOKUP(ScenarioName,ScenarioData,ROW()-76,FALSE)),HLOOKUP(CaseName,CaseData,ROW()-2,FALSE))</f>
        <v>1000</v>
      </c>
      <c r="K112" s="345">
        <v>1000</v>
      </c>
      <c r="L112" s="346">
        <f>IF(ISBLANK(I112), IF(ISNUMBER(J112)=FALSE,K112*1000000,J112*1000000),I112*1000000)</f>
        <v>1000000000</v>
      </c>
      <c r="M112" s="36" t="s">
        <v>1492</v>
      </c>
      <c r="N112" s="29"/>
      <c r="O112" s="172"/>
    </row>
    <row r="113" spans="1:15" s="26" customFormat="1" ht="12.75" customHeight="1" x14ac:dyDescent="0.3">
      <c r="A113" s="29"/>
      <c r="B113" s="29" t="s">
        <v>308</v>
      </c>
      <c r="C113" s="29"/>
      <c r="D113" s="29"/>
      <c r="E113" s="29"/>
      <c r="F113" s="29"/>
      <c r="G113" s="29" t="s">
        <v>309</v>
      </c>
      <c r="H113" s="29" t="s">
        <v>486</v>
      </c>
      <c r="I113" s="413"/>
      <c r="J113" s="433">
        <f t="shared" si="10"/>
        <v>2.5000000000000001E-3</v>
      </c>
      <c r="K113" s="345">
        <v>2.5000000000000001E-3</v>
      </c>
      <c r="L113" s="346">
        <f>IF(ISBLANK(I113), IF(ISNUMBER(J113)=FALSE,K113,J113),I113)</f>
        <v>2.5000000000000001E-3</v>
      </c>
      <c r="M113" s="36" t="s">
        <v>486</v>
      </c>
      <c r="N113" s="29"/>
      <c r="O113" s="172"/>
    </row>
    <row r="114" spans="1:15" s="26" customFormat="1" ht="12.75" customHeight="1" x14ac:dyDescent="0.3">
      <c r="A114" s="29"/>
      <c r="B114" s="29" t="s">
        <v>677</v>
      </c>
      <c r="C114" s="29"/>
      <c r="D114" s="29"/>
      <c r="E114" s="29"/>
      <c r="F114" s="29"/>
      <c r="G114" s="29" t="s">
        <v>681</v>
      </c>
      <c r="H114" s="29" t="s">
        <v>486</v>
      </c>
      <c r="I114" s="413"/>
      <c r="J114" s="433">
        <f t="shared" si="10"/>
        <v>2.75E-2</v>
      </c>
      <c r="K114" s="345">
        <v>2.75E-2</v>
      </c>
      <c r="L114" s="346">
        <f>IF(ISBLANK(I114), IF(ISNUMBER(J114)=FALSE,K114,J114),I114)</f>
        <v>2.75E-2</v>
      </c>
      <c r="M114" s="36" t="s">
        <v>486</v>
      </c>
      <c r="N114" s="29"/>
      <c r="O114" s="172"/>
    </row>
    <row r="115" spans="1:15" s="26" customFormat="1" ht="12.75" customHeight="1" x14ac:dyDescent="0.3">
      <c r="A115" s="29"/>
      <c r="B115" s="29" t="s">
        <v>678</v>
      </c>
      <c r="C115" s="29"/>
      <c r="D115" s="29"/>
      <c r="E115" s="29"/>
      <c r="F115" s="29"/>
      <c r="G115" s="29" t="s">
        <v>682</v>
      </c>
      <c r="H115" s="29" t="s">
        <v>486</v>
      </c>
      <c r="I115" s="413"/>
      <c r="J115" s="433">
        <f t="shared" si="10"/>
        <v>0.27</v>
      </c>
      <c r="K115" s="345">
        <v>0.27</v>
      </c>
      <c r="L115" s="346">
        <f t="shared" ref="L115:L125" si="11">IF(ISBLANK(I115), IF(ISNUMBER(J115)=FALSE,K115,J115),I115)</f>
        <v>0.27</v>
      </c>
      <c r="M115" s="36" t="s">
        <v>486</v>
      </c>
      <c r="N115" s="29"/>
      <c r="O115" s="172"/>
    </row>
    <row r="116" spans="1:15" s="26" customFormat="1" ht="12.75" customHeight="1" x14ac:dyDescent="0.3">
      <c r="A116" s="29"/>
      <c r="B116" s="29" t="s">
        <v>679</v>
      </c>
      <c r="C116" s="29"/>
      <c r="D116" s="29"/>
      <c r="E116" s="29"/>
      <c r="F116" s="29"/>
      <c r="G116" s="29" t="s">
        <v>1416</v>
      </c>
      <c r="H116" s="29" t="s">
        <v>486</v>
      </c>
      <c r="I116" s="413"/>
      <c r="J116" s="433">
        <f t="shared" si="10"/>
        <v>0.6</v>
      </c>
      <c r="K116" s="345">
        <v>0.6</v>
      </c>
      <c r="L116" s="346">
        <f t="shared" si="11"/>
        <v>0.6</v>
      </c>
      <c r="M116" s="36" t="s">
        <v>486</v>
      </c>
      <c r="N116" s="29"/>
      <c r="O116" s="172"/>
    </row>
    <row r="117" spans="1:15" s="26" customFormat="1" ht="12.75" customHeight="1" x14ac:dyDescent="0.3">
      <c r="A117" s="29"/>
      <c r="B117" s="29" t="s">
        <v>680</v>
      </c>
      <c r="C117" s="29"/>
      <c r="D117" s="29"/>
      <c r="E117" s="29"/>
      <c r="F117" s="29"/>
      <c r="G117" s="29" t="s">
        <v>1417</v>
      </c>
      <c r="H117" s="29" t="s">
        <v>486</v>
      </c>
      <c r="I117" s="413"/>
      <c r="J117" s="433">
        <f t="shared" si="10"/>
        <v>0.1</v>
      </c>
      <c r="K117" s="345">
        <v>0.1</v>
      </c>
      <c r="L117" s="346">
        <f t="shared" si="11"/>
        <v>0.1</v>
      </c>
      <c r="M117" s="36" t="s">
        <v>486</v>
      </c>
      <c r="N117" s="29"/>
      <c r="O117" s="172"/>
    </row>
    <row r="118" spans="1:15" s="26" customFormat="1" ht="12.75" customHeight="1" x14ac:dyDescent="0.3">
      <c r="A118" s="29"/>
      <c r="B118" s="29" t="s">
        <v>988</v>
      </c>
      <c r="C118" s="29"/>
      <c r="D118" s="29"/>
      <c r="E118" s="29"/>
      <c r="F118" s="29"/>
      <c r="G118" s="29" t="s">
        <v>110</v>
      </c>
      <c r="H118" s="29" t="s">
        <v>2087</v>
      </c>
      <c r="I118" s="413"/>
      <c r="J118" s="433">
        <f t="shared" si="10"/>
        <v>12</v>
      </c>
      <c r="K118" s="345">
        <v>12</v>
      </c>
      <c r="L118" s="346">
        <f>IF(ISBLANK(I118), IF(ISNUMBER(J118)=FALSE,K118+273,J118+273),I118+273)</f>
        <v>285</v>
      </c>
      <c r="M118" s="36" t="s">
        <v>588</v>
      </c>
      <c r="N118" s="29"/>
      <c r="O118" s="172"/>
    </row>
    <row r="119" spans="1:15" s="26" customFormat="1" ht="12.75" customHeight="1" x14ac:dyDescent="0.3">
      <c r="A119" s="29"/>
      <c r="B119" s="29" t="s">
        <v>989</v>
      </c>
      <c r="C119" s="29"/>
      <c r="D119" s="29"/>
      <c r="E119" s="29"/>
      <c r="F119" s="29"/>
      <c r="G119" s="29" t="s">
        <v>109</v>
      </c>
      <c r="H119" s="29" t="s">
        <v>1490</v>
      </c>
      <c r="I119" s="413"/>
      <c r="J119" s="433">
        <f t="shared" si="10"/>
        <v>3</v>
      </c>
      <c r="K119" s="345">
        <v>3</v>
      </c>
      <c r="L119" s="346">
        <f t="shared" si="11"/>
        <v>3</v>
      </c>
      <c r="M119" s="36" t="s">
        <v>1490</v>
      </c>
      <c r="N119" s="29"/>
      <c r="O119" s="172"/>
    </row>
    <row r="120" spans="1:15" s="26" customFormat="1" ht="12.75" customHeight="1" x14ac:dyDescent="0.3">
      <c r="A120" s="29"/>
      <c r="B120" s="29" t="s">
        <v>992</v>
      </c>
      <c r="C120" s="29"/>
      <c r="D120" s="29"/>
      <c r="E120" s="29"/>
      <c r="F120" s="29"/>
      <c r="G120" s="29" t="s">
        <v>122</v>
      </c>
      <c r="H120" s="29" t="s">
        <v>1491</v>
      </c>
      <c r="I120" s="413"/>
      <c r="J120" s="433">
        <f t="shared" si="10"/>
        <v>700</v>
      </c>
      <c r="K120" s="345">
        <v>700</v>
      </c>
      <c r="L120" s="346">
        <f>IF(ISBLANK(I120),IF(ISNUMBER(J120)=FALSE,K120/1000/(3600*24*365),J120/1000/(3600*24*365)),I120/1000/(3600*24*365))</f>
        <v>2.219685438863521E-8</v>
      </c>
      <c r="M120" s="36" t="s">
        <v>1490</v>
      </c>
      <c r="N120" s="29"/>
      <c r="O120" s="172"/>
    </row>
    <row r="121" spans="1:15" s="26" customFormat="1" ht="12.75" customHeight="1" x14ac:dyDescent="0.3">
      <c r="A121" s="29"/>
      <c r="B121" s="29" t="s">
        <v>311</v>
      </c>
      <c r="C121" s="29"/>
      <c r="D121" s="29"/>
      <c r="E121" s="29"/>
      <c r="F121" s="29"/>
      <c r="G121" s="29" t="s">
        <v>312</v>
      </c>
      <c r="H121" s="29" t="s">
        <v>720</v>
      </c>
      <c r="I121" s="413"/>
      <c r="J121" s="433">
        <f t="shared" si="10"/>
        <v>100</v>
      </c>
      <c r="K121" s="345">
        <v>100</v>
      </c>
      <c r="L121" s="346">
        <f>IF(ISBLANK(I121), IF(ISNUMBER(J121)=FALSE,K121,J121),I121)</f>
        <v>100</v>
      </c>
      <c r="M121" s="36" t="s">
        <v>720</v>
      </c>
      <c r="N121" s="29"/>
      <c r="O121" s="172"/>
    </row>
    <row r="122" spans="1:15" s="26" customFormat="1" ht="12.75" customHeight="1" x14ac:dyDescent="0.3">
      <c r="A122" s="29"/>
      <c r="B122" s="29" t="s">
        <v>993</v>
      </c>
      <c r="C122" s="29"/>
      <c r="D122" s="29"/>
      <c r="E122" s="29"/>
      <c r="F122" s="29"/>
      <c r="G122" s="29" t="s">
        <v>1418</v>
      </c>
      <c r="H122" s="29" t="s">
        <v>720</v>
      </c>
      <c r="I122" s="413"/>
      <c r="J122" s="433">
        <f t="shared" si="10"/>
        <v>3</v>
      </c>
      <c r="K122" s="345">
        <v>3</v>
      </c>
      <c r="L122" s="346">
        <f t="shared" si="11"/>
        <v>3</v>
      </c>
      <c r="M122" s="36" t="s">
        <v>720</v>
      </c>
      <c r="N122" s="29"/>
      <c r="O122" s="172"/>
    </row>
    <row r="123" spans="1:15" s="26" customFormat="1" ht="12.75" customHeight="1" x14ac:dyDescent="0.3">
      <c r="A123" s="29"/>
      <c r="B123" s="29" t="s">
        <v>4</v>
      </c>
      <c r="C123" s="29"/>
      <c r="D123" s="29"/>
      <c r="E123" s="29"/>
      <c r="F123" s="29"/>
      <c r="G123" s="29" t="s">
        <v>5</v>
      </c>
      <c r="H123" s="29" t="s">
        <v>486</v>
      </c>
      <c r="I123" s="413"/>
      <c r="J123" s="433">
        <f t="shared" si="10"/>
        <v>0</v>
      </c>
      <c r="K123" s="345">
        <v>0</v>
      </c>
      <c r="L123" s="346">
        <f t="shared" si="11"/>
        <v>0</v>
      </c>
      <c r="M123" s="36" t="s">
        <v>486</v>
      </c>
      <c r="N123" s="29"/>
      <c r="O123" s="172"/>
    </row>
    <row r="124" spans="1:15" s="26" customFormat="1" ht="12.75" customHeight="1" x14ac:dyDescent="0.3">
      <c r="A124" s="29"/>
      <c r="B124" s="29" t="s">
        <v>991</v>
      </c>
      <c r="C124" s="29"/>
      <c r="D124" s="29"/>
      <c r="E124" s="29"/>
      <c r="F124" s="29"/>
      <c r="G124" s="29" t="s">
        <v>1420</v>
      </c>
      <c r="H124" s="29" t="s">
        <v>486</v>
      </c>
      <c r="I124" s="413"/>
      <c r="J124" s="433">
        <f t="shared" si="10"/>
        <v>0.25</v>
      </c>
      <c r="K124" s="345">
        <v>0.25</v>
      </c>
      <c r="L124" s="346">
        <f t="shared" si="11"/>
        <v>0.25</v>
      </c>
      <c r="M124" s="36" t="s">
        <v>486</v>
      </c>
      <c r="N124" s="29"/>
      <c r="O124" s="172"/>
    </row>
    <row r="125" spans="1:15" s="26" customFormat="1" ht="12.75" customHeight="1" x14ac:dyDescent="0.3">
      <c r="A125" s="29"/>
      <c r="B125" s="29" t="s">
        <v>990</v>
      </c>
      <c r="C125" s="29"/>
      <c r="D125" s="29"/>
      <c r="E125" s="29"/>
      <c r="F125" s="29"/>
      <c r="G125" s="29" t="s">
        <v>1419</v>
      </c>
      <c r="H125" s="29" t="s">
        <v>486</v>
      </c>
      <c r="I125" s="413"/>
      <c r="J125" s="433">
        <f t="shared" si="10"/>
        <v>0.25</v>
      </c>
      <c r="K125" s="345">
        <v>0.25</v>
      </c>
      <c r="L125" s="346">
        <f t="shared" si="11"/>
        <v>0.25</v>
      </c>
      <c r="M125" s="36" t="s">
        <v>486</v>
      </c>
      <c r="N125" s="29"/>
      <c r="O125" s="172"/>
    </row>
    <row r="126" spans="1:15" s="26" customFormat="1" ht="12.75" customHeight="1" x14ac:dyDescent="0.3">
      <c r="A126" s="29"/>
      <c r="B126" s="29" t="s">
        <v>994</v>
      </c>
      <c r="C126" s="29"/>
      <c r="D126" s="29"/>
      <c r="E126" s="29"/>
      <c r="F126" s="29"/>
      <c r="G126" s="29" t="s">
        <v>1421</v>
      </c>
      <c r="H126" s="29" t="s">
        <v>1491</v>
      </c>
      <c r="I126" s="413"/>
      <c r="J126" s="433">
        <f t="shared" si="10"/>
        <v>0.03</v>
      </c>
      <c r="K126" s="345">
        <v>0.03</v>
      </c>
      <c r="L126" s="346">
        <f>IF(ISBLANK(I126),IF(ISNUMBER(J126)=FALSE,K126/1000/(3600*24*365),J126/1000/(3600*24*365)),I126/1000/(3600*24*365))</f>
        <v>9.5129375951293754E-13</v>
      </c>
      <c r="M126" s="36" t="s">
        <v>1490</v>
      </c>
      <c r="N126" s="29"/>
      <c r="O126" s="172"/>
    </row>
    <row r="127" spans="1:15" s="26" customFormat="1" ht="12.75" customHeight="1" x14ac:dyDescent="0.3">
      <c r="A127" s="29"/>
      <c r="B127" s="29"/>
      <c r="C127" s="29"/>
      <c r="D127" s="29"/>
      <c r="E127" s="29"/>
      <c r="F127" s="29"/>
      <c r="G127" s="29"/>
      <c r="H127" s="29"/>
      <c r="I127" s="348"/>
      <c r="J127" s="339"/>
      <c r="K127" s="339"/>
      <c r="L127" s="339"/>
      <c r="M127" s="29"/>
      <c r="N127" s="29"/>
      <c r="O127" s="172"/>
    </row>
    <row r="128" spans="1:15" s="26" customFormat="1" ht="12.75" customHeight="1" x14ac:dyDescent="0.3">
      <c r="A128" s="4" t="s">
        <v>1327</v>
      </c>
      <c r="B128" s="29"/>
      <c r="C128" s="29"/>
      <c r="D128" s="29"/>
      <c r="E128" s="29"/>
      <c r="F128" s="29"/>
      <c r="G128" s="29"/>
      <c r="H128" s="29"/>
      <c r="I128" s="348"/>
      <c r="J128" s="339"/>
      <c r="K128" s="339"/>
      <c r="L128" s="339"/>
      <c r="M128" s="29"/>
      <c r="N128" s="29"/>
      <c r="O128" s="172"/>
    </row>
    <row r="129" spans="1:15" s="26" customFormat="1" ht="12.75" customHeight="1" x14ac:dyDescent="0.3">
      <c r="A129" s="29"/>
      <c r="B129" s="29" t="s">
        <v>675</v>
      </c>
      <c r="C129" s="29"/>
      <c r="D129" s="29"/>
      <c r="E129" s="29"/>
      <c r="F129" s="29"/>
      <c r="G129" s="29" t="s">
        <v>1445</v>
      </c>
      <c r="H129" s="95" t="s">
        <v>2073</v>
      </c>
      <c r="I129" s="413"/>
      <c r="J129" s="433">
        <f>IF(HLOOKUP(CaseName,CaseData,ROW()-2,FALSE)="",IF(HLOOKUP(ScenarioName,ScenarioData,ROW()-76,FALSE)="","",HLOOKUP(ScenarioName,ScenarioData,ROW()-76,FALSE)),HLOOKUP(CaseName,CaseData,ROW()-2,FALSE))</f>
        <v>3714410</v>
      </c>
      <c r="K129" s="345">
        <f>TOTAREAland.C-AREAland.R/1000000</f>
        <v>3485840</v>
      </c>
      <c r="L129" s="346">
        <f>IF(ISBLANK(I129), IF(ISNUMBER(J129)=FALSE,K129*1000000,J129*1000000),I129*1000000)</f>
        <v>3714410000000</v>
      </c>
      <c r="M129" s="36" t="s">
        <v>1492</v>
      </c>
      <c r="N129" s="29"/>
      <c r="O129" s="172"/>
    </row>
    <row r="130" spans="1:15" s="26" customFormat="1" ht="12.75" customHeight="1" x14ac:dyDescent="0.3">
      <c r="A130" s="29"/>
      <c r="B130" s="29" t="s">
        <v>676</v>
      </c>
      <c r="C130" s="29"/>
      <c r="D130" s="29"/>
      <c r="E130" s="29"/>
      <c r="F130" s="29"/>
      <c r="G130" s="29" t="s">
        <v>1446</v>
      </c>
      <c r="H130" s="95" t="s">
        <v>2073</v>
      </c>
      <c r="I130" s="413"/>
      <c r="J130" s="433">
        <f>IF(HLOOKUP(CaseName,CaseData,ROW()-2,FALSE)="",IF(HLOOKUP(ScenarioName,ScenarioData,ROW()-76,FALSE)="","",HLOOKUP(ScenarioName,ScenarioData,ROW()-76,FALSE)),HLOOKUP(CaseName,CaseData,ROW()-2,FALSE))</f>
        <v>3714410</v>
      </c>
      <c r="K130" s="345">
        <f>TOTAREAsea.C-AREAsea.R/1000000</f>
        <v>3713410</v>
      </c>
      <c r="L130" s="346">
        <f>IF(ISBLANK(I130), IF(ISNUMBER(J130)=FALSE,K130*1000000,J130*1000000),I130*1000000)</f>
        <v>3714410000000</v>
      </c>
      <c r="M130" s="36" t="s">
        <v>1492</v>
      </c>
      <c r="N130" s="29"/>
      <c r="O130" s="172"/>
    </row>
    <row r="131" spans="1:15" s="625" customFormat="1" ht="12.75" customHeight="1" x14ac:dyDescent="0.3">
      <c r="A131" s="620"/>
      <c r="B131" s="620"/>
      <c r="C131" s="620" t="s">
        <v>3915</v>
      </c>
      <c r="D131" s="620"/>
      <c r="E131" s="620"/>
      <c r="F131" s="620"/>
      <c r="G131" s="620" t="s">
        <v>3917</v>
      </c>
      <c r="H131" s="621" t="s">
        <v>3938</v>
      </c>
      <c r="I131" s="622"/>
      <c r="J131" s="433"/>
      <c r="K131" s="542">
        <v>3714410</v>
      </c>
      <c r="L131" s="623">
        <f t="shared" ref="L131:L137" si="12">IF(ISBLANK(I131), IF(ISNUMBER(J131)=FALSE,K131,J131),I131)</f>
        <v>3714410</v>
      </c>
      <c r="M131" s="621" t="s">
        <v>3938</v>
      </c>
      <c r="N131" s="620"/>
      <c r="O131" s="624"/>
    </row>
    <row r="132" spans="1:15" s="625" customFormat="1" ht="12.75" customHeight="1" x14ac:dyDescent="0.3">
      <c r="A132" s="620"/>
      <c r="B132" s="620"/>
      <c r="C132" s="620" t="s">
        <v>3916</v>
      </c>
      <c r="D132" s="620"/>
      <c r="E132" s="620"/>
      <c r="F132" s="620"/>
      <c r="G132" s="620" t="s">
        <v>3918</v>
      </c>
      <c r="H132" s="621" t="s">
        <v>3938</v>
      </c>
      <c r="I132" s="622"/>
      <c r="J132" s="433"/>
      <c r="K132" s="542">
        <v>3714410</v>
      </c>
      <c r="L132" s="623">
        <f t="shared" si="12"/>
        <v>3714410</v>
      </c>
      <c r="M132" s="621" t="s">
        <v>3938</v>
      </c>
      <c r="N132" s="620"/>
      <c r="O132" s="624"/>
    </row>
    <row r="133" spans="1:15" s="26" customFormat="1" ht="12.75" customHeight="1" x14ac:dyDescent="0.3">
      <c r="A133" s="29"/>
      <c r="B133" s="29" t="s">
        <v>308</v>
      </c>
      <c r="C133" s="29"/>
      <c r="D133" s="29"/>
      <c r="E133" s="29"/>
      <c r="F133" s="29"/>
      <c r="G133" s="29" t="s">
        <v>310</v>
      </c>
      <c r="H133" s="29" t="s">
        <v>486</v>
      </c>
      <c r="I133" s="413"/>
      <c r="J133" s="433">
        <f t="shared" ref="J133:J143" si="13">IF(HLOOKUP(CaseName,CaseData,ROW()-2,FALSE)="",IF(HLOOKUP(ScenarioName,ScenarioData,ROW()-78,FALSE)="","",HLOOKUP(ScenarioName,ScenarioData,ROW()-78,FALSE)),HLOOKUP(CaseName,CaseData,ROW()-2,FALSE))</f>
        <v>2.5000000000000001E-3</v>
      </c>
      <c r="K133" s="345">
        <v>2.5000000000000001E-3</v>
      </c>
      <c r="L133" s="346">
        <f t="shared" si="12"/>
        <v>2.5000000000000001E-3</v>
      </c>
      <c r="M133" s="36" t="s">
        <v>486</v>
      </c>
      <c r="N133" s="29"/>
      <c r="O133" s="172"/>
    </row>
    <row r="134" spans="1:15" s="26" customFormat="1" ht="12.75" customHeight="1" x14ac:dyDescent="0.3">
      <c r="A134" s="29"/>
      <c r="B134" s="29" t="s">
        <v>677</v>
      </c>
      <c r="C134" s="29"/>
      <c r="D134" s="29"/>
      <c r="E134" s="29"/>
      <c r="F134" s="29"/>
      <c r="G134" s="29" t="s">
        <v>1422</v>
      </c>
      <c r="H134" s="29" t="s">
        <v>486</v>
      </c>
      <c r="I134" s="413"/>
      <c r="J134" s="433">
        <f t="shared" si="13"/>
        <v>2.75E-2</v>
      </c>
      <c r="K134" s="345">
        <v>2.75E-2</v>
      </c>
      <c r="L134" s="346">
        <f t="shared" si="12"/>
        <v>2.75E-2</v>
      </c>
      <c r="M134" s="36" t="s">
        <v>486</v>
      </c>
      <c r="N134" s="29"/>
      <c r="O134" s="172"/>
    </row>
    <row r="135" spans="1:15" s="26" customFormat="1" ht="12.75" customHeight="1" x14ac:dyDescent="0.3">
      <c r="A135" s="29"/>
      <c r="B135" s="29" t="s">
        <v>678</v>
      </c>
      <c r="C135" s="29"/>
      <c r="D135" s="29"/>
      <c r="E135" s="29"/>
      <c r="F135" s="29"/>
      <c r="G135" s="29" t="s">
        <v>1423</v>
      </c>
      <c r="H135" s="29" t="s">
        <v>486</v>
      </c>
      <c r="I135" s="413"/>
      <c r="J135" s="433">
        <f t="shared" si="13"/>
        <v>0.27</v>
      </c>
      <c r="K135" s="345">
        <v>0.27</v>
      </c>
      <c r="L135" s="346">
        <f t="shared" si="12"/>
        <v>0.27</v>
      </c>
      <c r="M135" s="36" t="s">
        <v>486</v>
      </c>
      <c r="N135" s="29"/>
      <c r="O135" s="172"/>
    </row>
    <row r="136" spans="1:15" s="26" customFormat="1" ht="12.75" customHeight="1" x14ac:dyDescent="0.3">
      <c r="A136" s="29"/>
      <c r="B136" s="29" t="s">
        <v>679</v>
      </c>
      <c r="C136" s="29"/>
      <c r="D136" s="29"/>
      <c r="E136" s="29"/>
      <c r="F136" s="29"/>
      <c r="G136" s="29" t="s">
        <v>1340</v>
      </c>
      <c r="H136" s="29" t="s">
        <v>486</v>
      </c>
      <c r="I136" s="413"/>
      <c r="J136" s="433">
        <f t="shared" si="13"/>
        <v>0.6</v>
      </c>
      <c r="K136" s="345">
        <v>0.6</v>
      </c>
      <c r="L136" s="346">
        <f t="shared" si="12"/>
        <v>0.6</v>
      </c>
      <c r="M136" s="36" t="s">
        <v>486</v>
      </c>
      <c r="N136" s="29"/>
      <c r="O136" s="172"/>
    </row>
    <row r="137" spans="1:15" s="26" customFormat="1" ht="12.75" customHeight="1" x14ac:dyDescent="0.3">
      <c r="A137" s="29"/>
      <c r="B137" s="29" t="s">
        <v>680</v>
      </c>
      <c r="C137" s="29"/>
      <c r="D137" s="29"/>
      <c r="E137" s="29"/>
      <c r="F137" s="29"/>
      <c r="G137" s="29" t="s">
        <v>1341</v>
      </c>
      <c r="H137" s="29" t="s">
        <v>486</v>
      </c>
      <c r="I137" s="413"/>
      <c r="J137" s="433">
        <f t="shared" si="13"/>
        <v>0.1</v>
      </c>
      <c r="K137" s="345">
        <v>0.1</v>
      </c>
      <c r="L137" s="346">
        <f t="shared" si="12"/>
        <v>0.1</v>
      </c>
      <c r="M137" s="36" t="s">
        <v>486</v>
      </c>
      <c r="N137" s="29"/>
      <c r="O137" s="172"/>
    </row>
    <row r="138" spans="1:15" s="26" customFormat="1" ht="12.75" customHeight="1" x14ac:dyDescent="0.3">
      <c r="A138" s="29"/>
      <c r="B138" s="29" t="s">
        <v>988</v>
      </c>
      <c r="C138" s="29"/>
      <c r="D138" s="29"/>
      <c r="E138" s="29"/>
      <c r="F138" s="29"/>
      <c r="G138" s="29" t="s">
        <v>1108</v>
      </c>
      <c r="H138" s="29" t="s">
        <v>2087</v>
      </c>
      <c r="I138" s="413"/>
      <c r="J138" s="433">
        <f t="shared" si="13"/>
        <v>12</v>
      </c>
      <c r="K138" s="345">
        <v>12</v>
      </c>
      <c r="L138" s="346">
        <f>IF(ISBLANK(I138), IF(ISNUMBER(J138)=FALSE,K138+273,J138+273),I138+273)</f>
        <v>285</v>
      </c>
      <c r="M138" s="36" t="s">
        <v>588</v>
      </c>
      <c r="N138" s="29"/>
      <c r="O138" s="172"/>
    </row>
    <row r="139" spans="1:15" s="26" customFormat="1" ht="12.75" customHeight="1" x14ac:dyDescent="0.3">
      <c r="A139" s="29"/>
      <c r="B139" s="29" t="s">
        <v>989</v>
      </c>
      <c r="C139" s="29"/>
      <c r="D139" s="29"/>
      <c r="E139" s="29"/>
      <c r="F139" s="29"/>
      <c r="G139" s="29" t="s">
        <v>787</v>
      </c>
      <c r="H139" s="29" t="s">
        <v>1490</v>
      </c>
      <c r="I139" s="413"/>
      <c r="J139" s="433">
        <f t="shared" si="13"/>
        <v>3</v>
      </c>
      <c r="K139" s="345">
        <v>3</v>
      </c>
      <c r="L139" s="346">
        <f t="shared" ref="L139" si="14">IF(ISBLANK(I139), IF(ISNUMBER(J139)=FALSE,K139,J139),I139)</f>
        <v>3</v>
      </c>
      <c r="M139" s="36" t="s">
        <v>1490</v>
      </c>
      <c r="N139" s="29"/>
      <c r="O139" s="172"/>
    </row>
    <row r="140" spans="1:15" s="26" customFormat="1" ht="12.75" customHeight="1" x14ac:dyDescent="0.3">
      <c r="A140" s="29"/>
      <c r="B140" s="29" t="s">
        <v>992</v>
      </c>
      <c r="C140" s="29"/>
      <c r="D140" s="29"/>
      <c r="E140" s="29"/>
      <c r="F140" s="29"/>
      <c r="G140" s="29" t="s">
        <v>1063</v>
      </c>
      <c r="H140" s="29" t="s">
        <v>1491</v>
      </c>
      <c r="I140" s="413"/>
      <c r="J140" s="433">
        <f t="shared" si="13"/>
        <v>700</v>
      </c>
      <c r="K140" s="345">
        <v>700</v>
      </c>
      <c r="L140" s="346">
        <f>IF(ISBLANK(I140),IF(ISNUMBER(J140)=FALSE,K140/1000/(3600*24*365),J140/1000/(3600*24*365)),I140/1000/(3600*24*365))</f>
        <v>2.219685438863521E-8</v>
      </c>
      <c r="M140" s="36" t="s">
        <v>1490</v>
      </c>
      <c r="N140" s="29"/>
      <c r="O140" s="172"/>
    </row>
    <row r="141" spans="1:15" s="26" customFormat="1" ht="12.75" customHeight="1" x14ac:dyDescent="0.3">
      <c r="A141" s="29"/>
      <c r="B141" s="29" t="s">
        <v>311</v>
      </c>
      <c r="C141" s="29"/>
      <c r="D141" s="29"/>
      <c r="E141" s="29"/>
      <c r="F141" s="29"/>
      <c r="G141" s="29" t="s">
        <v>313</v>
      </c>
      <c r="H141" s="29" t="s">
        <v>720</v>
      </c>
      <c r="I141" s="413"/>
      <c r="J141" s="433">
        <f t="shared" si="13"/>
        <v>100</v>
      </c>
      <c r="K141" s="345">
        <v>100</v>
      </c>
      <c r="L141" s="346">
        <f>IF(ISBLANK(I141), IF(ISNUMBER(J141)=FALSE,K141,J141),I141)</f>
        <v>100</v>
      </c>
      <c r="M141" s="36" t="s">
        <v>720</v>
      </c>
      <c r="N141" s="29"/>
      <c r="O141" s="172"/>
    </row>
    <row r="142" spans="1:15" s="26" customFormat="1" ht="12.75" customHeight="1" x14ac:dyDescent="0.3">
      <c r="A142" s="29"/>
      <c r="B142" s="29" t="s">
        <v>993</v>
      </c>
      <c r="C142" s="29"/>
      <c r="D142" s="29"/>
      <c r="E142" s="29"/>
      <c r="F142" s="29"/>
      <c r="G142" s="29" t="s">
        <v>1342</v>
      </c>
      <c r="H142" s="29" t="s">
        <v>720</v>
      </c>
      <c r="I142" s="413"/>
      <c r="J142" s="433">
        <f t="shared" si="13"/>
        <v>3</v>
      </c>
      <c r="K142" s="345">
        <v>3</v>
      </c>
      <c r="L142" s="346">
        <f>IF(ISBLANK(I142), IF(ISNUMBER(J142)=FALSE,K142,J142),I142)</f>
        <v>3</v>
      </c>
      <c r="M142" s="36" t="s">
        <v>720</v>
      </c>
      <c r="N142" s="29"/>
      <c r="O142" s="172"/>
    </row>
    <row r="143" spans="1:15" s="26" customFormat="1" ht="12.75" customHeight="1" x14ac:dyDescent="0.3">
      <c r="A143" s="29"/>
      <c r="B143" s="29" t="s">
        <v>3</v>
      </c>
      <c r="C143" s="29"/>
      <c r="D143" s="29"/>
      <c r="E143" s="29"/>
      <c r="F143" s="29"/>
      <c r="G143" s="29" t="s">
        <v>1234</v>
      </c>
      <c r="H143" s="29" t="s">
        <v>486</v>
      </c>
      <c r="I143" s="413"/>
      <c r="J143" s="433">
        <f t="shared" si="13"/>
        <v>0</v>
      </c>
      <c r="K143" s="345">
        <v>0</v>
      </c>
      <c r="L143" s="346">
        <f>IF(ISBLANK(I143), IF(ISNUMBER(J143)=FALSE,K143,J143),I143)</f>
        <v>0</v>
      </c>
      <c r="M143" s="36" t="s">
        <v>486</v>
      </c>
      <c r="N143" s="29"/>
      <c r="O143" s="172"/>
    </row>
    <row r="144" spans="1:15" s="26" customFormat="1" ht="12.75" customHeight="1" x14ac:dyDescent="0.3">
      <c r="A144" s="29"/>
      <c r="B144" s="29" t="s">
        <v>990</v>
      </c>
      <c r="C144" s="29"/>
      <c r="D144" s="29"/>
      <c r="E144" s="29"/>
      <c r="F144" s="29"/>
      <c r="G144" s="29" t="s">
        <v>1343</v>
      </c>
      <c r="H144" s="29" t="s">
        <v>486</v>
      </c>
      <c r="I144" s="413"/>
      <c r="J144" s="433">
        <f>IF(HLOOKUP(CaseName,CaseData,ROW()-2,FALSE)="",IF(HLOOKUP(ScenarioName,ScenarioData,ROW()-77,FALSE)="","",HLOOKUP(ScenarioName,ScenarioData,ROW()-77,FALSE)),HLOOKUP(CaseName,CaseData,ROW()-2,FALSE))</f>
        <v>0.25</v>
      </c>
      <c r="K144" s="345">
        <v>0.25</v>
      </c>
      <c r="L144" s="346">
        <f>IF(ISBLANK(I144), IF(ISNUMBER(J144)=FALSE,K144,J144),I144)</f>
        <v>0.25</v>
      </c>
      <c r="M144" s="36" t="s">
        <v>486</v>
      </c>
      <c r="N144" s="29"/>
      <c r="O144" s="172"/>
    </row>
    <row r="145" spans="1:15" s="26" customFormat="1" ht="12.75" customHeight="1" x14ac:dyDescent="0.3">
      <c r="A145" s="29"/>
      <c r="B145" s="29" t="s">
        <v>991</v>
      </c>
      <c r="C145" s="29"/>
      <c r="D145" s="29"/>
      <c r="E145" s="29"/>
      <c r="F145" s="29"/>
      <c r="G145" s="29" t="s">
        <v>1344</v>
      </c>
      <c r="H145" s="29" t="s">
        <v>486</v>
      </c>
      <c r="I145" s="413"/>
      <c r="J145" s="433">
        <f>IF(HLOOKUP(CaseName,CaseData,ROW()-2,FALSE)="",IF(HLOOKUP(ScenarioName,ScenarioData,ROW()-79,FALSE)="","",HLOOKUP(ScenarioName,ScenarioData,ROW()-79,FALSE)),HLOOKUP(CaseName,CaseData,ROW()-2,FALSE))</f>
        <v>0.25</v>
      </c>
      <c r="K145" s="345">
        <v>0.25</v>
      </c>
      <c r="L145" s="346">
        <f>IF(ISBLANK(I145), IF(ISNUMBER(J145)=FALSE,K145,J145),I145)</f>
        <v>0.25</v>
      </c>
      <c r="M145" s="36" t="s">
        <v>486</v>
      </c>
      <c r="N145" s="29"/>
      <c r="O145" s="172"/>
    </row>
    <row r="146" spans="1:15" s="26" customFormat="1" ht="12.75" customHeight="1" x14ac:dyDescent="0.3">
      <c r="A146" s="29"/>
      <c r="B146" s="29" t="s">
        <v>994</v>
      </c>
      <c r="C146" s="29"/>
      <c r="D146" s="29"/>
      <c r="E146" s="29"/>
      <c r="F146" s="29"/>
      <c r="G146" s="29" t="s">
        <v>1345</v>
      </c>
      <c r="H146" s="29" t="s">
        <v>1491</v>
      </c>
      <c r="I146" s="413"/>
      <c r="J146" s="433">
        <f>IF(HLOOKUP(CaseName,CaseData,ROW()-2,FALSE)="",IF(HLOOKUP(ScenarioName,ScenarioData,ROW()-78,FALSE)="","",HLOOKUP(ScenarioName,ScenarioData,ROW()-78,FALSE)),HLOOKUP(CaseName,CaseData,ROW()-2,FALSE))</f>
        <v>0.03</v>
      </c>
      <c r="K146" s="345">
        <v>0.03</v>
      </c>
      <c r="L146" s="346">
        <f>IF(ISBLANK(I146),IF(ISNUMBER(J146)=FALSE,K146/1000/(3600*24*365),J146/1000/(3600*24*365)),I146/1000/(3600*24*365))</f>
        <v>9.5129375951293754E-13</v>
      </c>
      <c r="M146" s="36" t="s">
        <v>1490</v>
      </c>
      <c r="N146" s="29"/>
      <c r="O146" s="172"/>
    </row>
    <row r="147" spans="1:15" s="26" customFormat="1" ht="12.75" customHeight="1" x14ac:dyDescent="0.3">
      <c r="A147" s="29"/>
      <c r="B147" s="29"/>
      <c r="C147" s="29"/>
      <c r="D147" s="29"/>
      <c r="E147" s="29"/>
      <c r="F147" s="29"/>
      <c r="G147" s="29"/>
      <c r="H147" s="29"/>
      <c r="I147" s="348"/>
      <c r="J147" s="339"/>
      <c r="K147" s="339"/>
      <c r="L147" s="339"/>
      <c r="M147" s="29"/>
      <c r="N147" s="29"/>
      <c r="O147" s="172"/>
    </row>
    <row r="148" spans="1:15" s="26" customFormat="1" ht="12.75" customHeight="1" x14ac:dyDescent="0.3">
      <c r="A148" s="4" t="s">
        <v>593</v>
      </c>
      <c r="B148" s="29"/>
      <c r="C148" s="29"/>
      <c r="D148" s="29"/>
      <c r="E148" s="29"/>
      <c r="F148" s="29"/>
      <c r="G148" s="37"/>
      <c r="H148" s="100"/>
      <c r="I148" s="348"/>
      <c r="J148" s="339"/>
      <c r="K148" s="339"/>
      <c r="L148" s="339"/>
      <c r="M148" s="29"/>
      <c r="N148" s="29"/>
      <c r="O148" s="172"/>
    </row>
    <row r="149" spans="1:15" s="26" customFormat="1" ht="12.75" customHeight="1" x14ac:dyDescent="0.3">
      <c r="A149" s="29"/>
      <c r="B149" s="29" t="s">
        <v>559</v>
      </c>
      <c r="C149" s="29"/>
      <c r="D149" s="29"/>
      <c r="E149" s="29"/>
      <c r="F149" s="29"/>
      <c r="G149" s="36" t="s">
        <v>644</v>
      </c>
      <c r="H149" s="36" t="s">
        <v>36</v>
      </c>
      <c r="I149" s="414"/>
      <c r="J149" s="349" t="str">
        <f t="shared" ref="J149:J160" si="15">IF(HLOOKUP(CaseName,CaseData,ROW()-2,FALSE)="","",HLOOKUP(CaseName,CaseData,ROW()-2,FALSE))</f>
        <v/>
      </c>
      <c r="K149" s="352">
        <v>3</v>
      </c>
      <c r="L149" s="351">
        <f t="shared" ref="L149:L154" si="16">IF(ISBLANK(I149), IF(ISNUMBER(J149)=FALSE, K149, J149), I149)</f>
        <v>3</v>
      </c>
      <c r="M149" s="30" t="s">
        <v>486</v>
      </c>
      <c r="N149" s="29" t="s">
        <v>223</v>
      </c>
      <c r="O149" s="172"/>
    </row>
    <row r="150" spans="1:15" s="26" customFormat="1" ht="12.75" customHeight="1" x14ac:dyDescent="0.3">
      <c r="A150" s="29"/>
      <c r="B150" s="29" t="s">
        <v>560</v>
      </c>
      <c r="C150" s="29"/>
      <c r="D150" s="29"/>
      <c r="E150" s="29"/>
      <c r="F150" s="29"/>
      <c r="G150" s="36" t="s">
        <v>218</v>
      </c>
      <c r="H150" s="36" t="s">
        <v>36</v>
      </c>
      <c r="I150" s="414"/>
      <c r="J150" s="349" t="str">
        <f t="shared" si="15"/>
        <v/>
      </c>
      <c r="K150" s="352">
        <v>7</v>
      </c>
      <c r="L150" s="351">
        <f t="shared" si="16"/>
        <v>7</v>
      </c>
      <c r="M150" s="30" t="s">
        <v>486</v>
      </c>
      <c r="N150" s="29"/>
      <c r="O150" s="172"/>
    </row>
    <row r="151" spans="1:15" s="26" customFormat="1" ht="12.75" customHeight="1" x14ac:dyDescent="0.3">
      <c r="A151" s="29"/>
      <c r="B151" s="29" t="s">
        <v>564</v>
      </c>
      <c r="C151" s="29"/>
      <c r="D151" s="29"/>
      <c r="E151" s="29"/>
      <c r="F151" s="29"/>
      <c r="G151" s="36" t="s">
        <v>222</v>
      </c>
      <c r="H151" s="36" t="s">
        <v>36</v>
      </c>
      <c r="I151" s="414"/>
      <c r="J151" s="349" t="str">
        <f t="shared" si="15"/>
        <v/>
      </c>
      <c r="K151" s="352">
        <v>8</v>
      </c>
      <c r="L151" s="351">
        <f t="shared" si="16"/>
        <v>8</v>
      </c>
      <c r="M151" s="30" t="s">
        <v>486</v>
      </c>
      <c r="N151" s="29"/>
      <c r="O151" s="172"/>
    </row>
    <row r="152" spans="1:15" s="26" customFormat="1" ht="12.75" customHeight="1" x14ac:dyDescent="0.3">
      <c r="A152" s="29"/>
      <c r="B152" s="29" t="s">
        <v>561</v>
      </c>
      <c r="C152" s="29"/>
      <c r="D152" s="29"/>
      <c r="E152" s="29"/>
      <c r="F152" s="29"/>
      <c r="G152" s="36" t="s">
        <v>219</v>
      </c>
      <c r="H152" s="36" t="s">
        <v>36</v>
      </c>
      <c r="I152" s="414"/>
      <c r="J152" s="349" t="str">
        <f t="shared" si="15"/>
        <v/>
      </c>
      <c r="K152" s="352">
        <v>5</v>
      </c>
      <c r="L152" s="351">
        <f t="shared" si="16"/>
        <v>5</v>
      </c>
      <c r="M152" s="30" t="s">
        <v>486</v>
      </c>
      <c r="N152" s="29"/>
      <c r="O152" s="172"/>
    </row>
    <row r="153" spans="1:15" s="26" customFormat="1" ht="12.75" customHeight="1" x14ac:dyDescent="0.3">
      <c r="A153" s="29"/>
      <c r="B153" s="29" t="s">
        <v>562</v>
      </c>
      <c r="C153" s="29"/>
      <c r="D153" s="29"/>
      <c r="E153" s="29"/>
      <c r="F153" s="29"/>
      <c r="G153" s="36" t="s">
        <v>220</v>
      </c>
      <c r="H153" s="36" t="s">
        <v>36</v>
      </c>
      <c r="I153" s="414"/>
      <c r="J153" s="349" t="str">
        <f t="shared" si="15"/>
        <v/>
      </c>
      <c r="K153" s="352">
        <v>7</v>
      </c>
      <c r="L153" s="351">
        <f t="shared" si="16"/>
        <v>7</v>
      </c>
      <c r="M153" s="30" t="s">
        <v>486</v>
      </c>
      <c r="N153" s="29"/>
      <c r="O153" s="172"/>
    </row>
    <row r="154" spans="1:15" s="26" customFormat="1" ht="12.75" customHeight="1" x14ac:dyDescent="0.3">
      <c r="A154" s="29"/>
      <c r="B154" s="29" t="s">
        <v>563</v>
      </c>
      <c r="C154" s="29"/>
      <c r="D154" s="29"/>
      <c r="E154" s="29"/>
      <c r="F154" s="29"/>
      <c r="G154" s="36" t="s">
        <v>221</v>
      </c>
      <c r="H154" s="36" t="s">
        <v>36</v>
      </c>
      <c r="I154" s="414"/>
      <c r="J154" s="349" t="str">
        <f t="shared" si="15"/>
        <v/>
      </c>
      <c r="K154" s="352">
        <v>7</v>
      </c>
      <c r="L154" s="351">
        <f t="shared" si="16"/>
        <v>7</v>
      </c>
      <c r="M154" s="30" t="s">
        <v>486</v>
      </c>
      <c r="N154" s="29"/>
      <c r="O154" s="172"/>
    </row>
    <row r="155" spans="1:15" s="26" customFormat="1" ht="12.75" customHeight="1" x14ac:dyDescent="0.3">
      <c r="A155" s="29"/>
      <c r="B155" s="29" t="s">
        <v>269</v>
      </c>
      <c r="C155" s="29"/>
      <c r="D155" s="29"/>
      <c r="E155" s="29"/>
      <c r="F155" s="29"/>
      <c r="G155" s="36" t="s">
        <v>1174</v>
      </c>
      <c r="H155" s="95" t="s">
        <v>2076</v>
      </c>
      <c r="I155" s="413"/>
      <c r="J155" s="349" t="str">
        <f t="shared" si="15"/>
        <v/>
      </c>
      <c r="K155" s="345">
        <f>0.0000257*SQRT(18)/SQRT(Molweight*1000)</f>
        <v>8.9931266270753822E-6</v>
      </c>
      <c r="L155" s="346">
        <f t="shared" ref="L155:L160" si="17">IF(ISBLANK(I155), IF(ISNUMBER(J155)=FALSE, K155, J155), I155)</f>
        <v>8.9931266270753822E-6</v>
      </c>
      <c r="M155" s="36" t="s">
        <v>1505</v>
      </c>
      <c r="N155" s="29"/>
      <c r="O155" s="172"/>
    </row>
    <row r="156" spans="1:15" s="26" customFormat="1" ht="12.75" customHeight="1" x14ac:dyDescent="0.3">
      <c r="A156" s="29"/>
      <c r="B156" s="29" t="s">
        <v>270</v>
      </c>
      <c r="C156" s="29"/>
      <c r="D156" s="29"/>
      <c r="E156" s="29"/>
      <c r="F156" s="29"/>
      <c r="G156" s="36" t="s">
        <v>871</v>
      </c>
      <c r="H156" s="95" t="s">
        <v>2076</v>
      </c>
      <c r="I156" s="413"/>
      <c r="J156" s="349" t="str">
        <f t="shared" si="15"/>
        <v/>
      </c>
      <c r="K156" s="345">
        <f>0.000000002*SQRT(32)/SQRT(Molweight*1000)</f>
        <v>9.331389496316871E-10</v>
      </c>
      <c r="L156" s="346">
        <f t="shared" si="17"/>
        <v>9.331389496316871E-10</v>
      </c>
      <c r="M156" s="36" t="s">
        <v>1505</v>
      </c>
      <c r="N156" s="29"/>
      <c r="O156" s="172"/>
    </row>
    <row r="157" spans="1:15" s="26" customFormat="1" ht="12.75" customHeight="1" x14ac:dyDescent="0.3">
      <c r="A157" s="29"/>
      <c r="B157" s="29" t="s">
        <v>203</v>
      </c>
      <c r="C157" s="29"/>
      <c r="D157" s="29"/>
      <c r="E157" s="29"/>
      <c r="F157" s="29"/>
      <c r="G157" s="29" t="s">
        <v>1546</v>
      </c>
      <c r="H157" s="29" t="s">
        <v>36</v>
      </c>
      <c r="I157" s="414"/>
      <c r="J157" s="349" t="str">
        <f t="shared" si="15"/>
        <v/>
      </c>
      <c r="K157" s="352">
        <v>0.1</v>
      </c>
      <c r="L157" s="351">
        <f t="shared" si="17"/>
        <v>0.1</v>
      </c>
      <c r="M157" s="36" t="s">
        <v>486</v>
      </c>
      <c r="N157" s="29"/>
      <c r="O157" s="172"/>
    </row>
    <row r="158" spans="1:15" s="26" customFormat="1" ht="12.75" customHeight="1" x14ac:dyDescent="0.3">
      <c r="A158" s="36"/>
      <c r="B158" s="36" t="s">
        <v>1075</v>
      </c>
      <c r="C158" s="29"/>
      <c r="D158" s="29"/>
      <c r="E158" s="94"/>
      <c r="F158" s="94"/>
      <c r="G158" s="94" t="s">
        <v>983</v>
      </c>
      <c r="H158" s="36" t="s">
        <v>36</v>
      </c>
      <c r="I158" s="412"/>
      <c r="J158" s="349" t="str">
        <f t="shared" si="15"/>
        <v/>
      </c>
      <c r="K158" s="345">
        <v>0.02</v>
      </c>
      <c r="L158" s="346">
        <f t="shared" si="17"/>
        <v>0.02</v>
      </c>
      <c r="M158" s="36" t="s">
        <v>486</v>
      </c>
      <c r="N158" s="29"/>
      <c r="O158" s="172"/>
    </row>
    <row r="159" spans="1:15" s="26" customFormat="1" ht="12.75" customHeight="1" x14ac:dyDescent="0.3">
      <c r="A159" s="29"/>
      <c r="B159" s="29" t="s">
        <v>1545</v>
      </c>
      <c r="C159" s="29"/>
      <c r="D159" s="29"/>
      <c r="E159" s="29"/>
      <c r="F159" s="29"/>
      <c r="G159" s="29" t="s">
        <v>1544</v>
      </c>
      <c r="H159" s="36" t="s">
        <v>2085</v>
      </c>
      <c r="I159" s="414"/>
      <c r="J159" s="349" t="str">
        <f t="shared" si="15"/>
        <v/>
      </c>
      <c r="K159" s="352">
        <v>2000</v>
      </c>
      <c r="L159" s="351">
        <f t="shared" si="17"/>
        <v>2000</v>
      </c>
      <c r="M159" s="36" t="s">
        <v>1506</v>
      </c>
      <c r="N159" s="29"/>
      <c r="O159" s="172"/>
    </row>
    <row r="160" spans="1:15" s="26" customFormat="1" ht="12.75" customHeight="1" x14ac:dyDescent="0.3">
      <c r="A160" s="36"/>
      <c r="B160" s="36" t="s">
        <v>984</v>
      </c>
      <c r="C160" s="95"/>
      <c r="D160" s="95"/>
      <c r="E160" s="29"/>
      <c r="F160" s="29"/>
      <c r="G160" s="94" t="s">
        <v>985</v>
      </c>
      <c r="H160" s="36" t="s">
        <v>2085</v>
      </c>
      <c r="I160" s="412"/>
      <c r="J160" s="349" t="str">
        <f t="shared" si="15"/>
        <v/>
      </c>
      <c r="K160" s="345">
        <v>2500</v>
      </c>
      <c r="L160" s="346">
        <f t="shared" si="17"/>
        <v>2500</v>
      </c>
      <c r="M160" s="36" t="s">
        <v>1506</v>
      </c>
      <c r="N160" s="29"/>
      <c r="O160" s="172"/>
    </row>
    <row r="161" spans="1:15" ht="12.75" customHeight="1" x14ac:dyDescent="0.3">
      <c r="A161" s="69"/>
      <c r="B161" s="70"/>
      <c r="C161" s="70"/>
      <c r="D161" s="70"/>
      <c r="E161" s="70"/>
      <c r="F161" s="70"/>
      <c r="G161" s="69"/>
      <c r="H161" s="69"/>
      <c r="I161" s="355"/>
      <c r="J161" s="356"/>
      <c r="K161" s="356"/>
      <c r="L161" s="356"/>
      <c r="M161" s="134"/>
      <c r="N161" s="70"/>
      <c r="O161" s="172"/>
    </row>
    <row r="162" spans="1:15" s="26" customFormat="1" ht="12.75" customHeight="1" x14ac:dyDescent="0.3">
      <c r="A162" s="29"/>
      <c r="B162" s="29"/>
      <c r="C162" s="29"/>
      <c r="D162" s="29"/>
      <c r="E162" s="29"/>
      <c r="F162" s="29"/>
      <c r="G162" s="36"/>
      <c r="H162" s="36"/>
      <c r="I162" s="348"/>
      <c r="J162" s="339"/>
      <c r="K162" s="339"/>
      <c r="L162" s="339"/>
      <c r="M162" s="29"/>
      <c r="N162" s="29"/>
      <c r="O162" s="172"/>
    </row>
  </sheetData>
  <phoneticPr fontId="5" type="noConversion"/>
  <conditionalFormatting sqref="I1:I6 I8 I10:I15 I17:I39 I41:I102 I104:I1048576">
    <cfRule type="cellIs" dxfId="121" priority="30" operator="equal">
      <formula>0</formula>
    </cfRule>
  </conditionalFormatting>
  <conditionalFormatting sqref="J1:J1048576">
    <cfRule type="expression" dxfId="120" priority="2">
      <formula>HLOOKUP(CaseName,CaseData,ROW()-2,FALSE)&lt;&gt;""</formula>
    </cfRule>
  </conditionalFormatting>
  <dataValidations disablePrompts="1" count="4">
    <dataValidation type="list" allowBlank="1" showInputMessage="1" showErrorMessage="1" sqref="I5" xr:uid="{00000000-0002-0000-0100-000000000000}">
      <formula1>ChemNames</formula1>
    </dataValidation>
    <dataValidation type="list" allowBlank="1" showInputMessage="1" showErrorMessage="1" sqref="I8" xr:uid="{00000000-0002-0000-0100-000001000000}">
      <formula1>ScenarioNames</formula1>
    </dataValidation>
    <dataValidation type="list" allowBlank="1" showInputMessage="1" showErrorMessage="1" sqref="I10" xr:uid="{00000000-0002-0000-0100-000002000000}">
      <formula1>CaseNames</formula1>
    </dataValidation>
    <dataValidation type="list" allowBlank="1" showInputMessage="1" showErrorMessage="1" sqref="I14" xr:uid="{00000000-0002-0000-0100-000003000000}">
      <formula1>$C$41:$C$64</formula1>
    </dataValidation>
  </dataValidations>
  <pageMargins left="0.75" right="0.75" top="1" bottom="1" header="0.5" footer="0.5"/>
  <pageSetup paperSize="9" orientation="portrait" horizontalDpi="360" r:id="rId1"/>
  <headerFooter alignWithMargins="0"/>
  <ignoredErrors>
    <ignoredError sqref="J2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CY1047"/>
  <sheetViews>
    <sheetView zoomScaleNormal="100" workbookViewId="0">
      <selection activeCell="J18" sqref="J18"/>
    </sheetView>
  </sheetViews>
  <sheetFormatPr defaultRowHeight="12.75" customHeight="1" x14ac:dyDescent="0.3"/>
  <cols>
    <col min="1" max="1" width="2.6640625" style="26" customWidth="1"/>
    <col min="2" max="2" width="26.88671875" style="26" customWidth="1"/>
    <col min="3" max="12" width="7.6640625" style="28" customWidth="1"/>
    <col min="13" max="23" width="9.109375" style="28" customWidth="1"/>
    <col min="24" max="26" width="2.6640625" style="26" customWidth="1"/>
    <col min="27" max="27" width="21" style="26" customWidth="1"/>
    <col min="28" max="35" width="9.109375" style="26" customWidth="1"/>
    <col min="36" max="36" width="8.44140625" style="26" bestFit="1" customWidth="1"/>
    <col min="37" max="37" width="8.6640625" style="26" customWidth="1"/>
    <col min="38" max="41" width="9.109375" style="26" customWidth="1"/>
    <col min="42" max="44" width="2.6640625" style="26" customWidth="1"/>
    <col min="45" max="60" width="10.6640625" style="26" customWidth="1"/>
    <col min="61" max="61" width="9.109375" style="26" customWidth="1"/>
    <col min="62" max="62" width="11.5546875" style="26" customWidth="1"/>
    <col min="63" max="64" width="2.6640625" style="26" customWidth="1"/>
    <col min="65" max="65" width="2.6640625" customWidth="1"/>
    <col min="67" max="67" width="30.33203125" customWidth="1"/>
    <col min="68" max="68" width="10.109375" customWidth="1"/>
    <col min="69" max="69" width="9.109375" style="183" customWidth="1"/>
    <col min="70" max="102" width="9.109375" style="179"/>
    <col min="103" max="103" width="3.5546875" customWidth="1"/>
  </cols>
  <sheetData>
    <row r="1" spans="1:103" ht="12.75" customHeight="1" x14ac:dyDescent="0.3">
      <c r="A1" s="29"/>
      <c r="B1" s="29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96"/>
      <c r="Y1" s="436"/>
      <c r="Z1" s="29"/>
      <c r="AA1" s="29"/>
      <c r="AB1" s="29"/>
      <c r="AC1" s="29"/>
      <c r="AD1" s="29"/>
      <c r="AE1" s="29"/>
      <c r="AF1" s="29"/>
      <c r="AG1" s="101"/>
      <c r="AH1" s="29"/>
      <c r="AI1" s="29"/>
      <c r="AJ1" s="29"/>
      <c r="AK1" s="29"/>
      <c r="AL1" s="29"/>
      <c r="AM1" s="29"/>
      <c r="AN1" s="29"/>
      <c r="AO1" s="29"/>
      <c r="AP1" s="29"/>
      <c r="AQ1" s="437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436"/>
      <c r="BM1" s="557"/>
      <c r="BN1" s="557">
        <f>COLUMN()</f>
        <v>66</v>
      </c>
      <c r="BO1" s="557"/>
      <c r="BP1" s="558"/>
      <c r="BQ1" s="559"/>
      <c r="BR1" s="560"/>
      <c r="BS1" s="560"/>
      <c r="BT1" s="560"/>
      <c r="BU1" s="560"/>
      <c r="BV1" s="560"/>
      <c r="BW1" s="560"/>
      <c r="BX1" s="560"/>
      <c r="BY1" s="560"/>
      <c r="BZ1" s="560"/>
      <c r="CA1" s="560"/>
      <c r="CB1" s="560"/>
      <c r="CC1" s="560"/>
      <c r="CD1" s="560"/>
      <c r="CE1" s="560"/>
      <c r="CF1" s="560"/>
      <c r="CG1" s="560"/>
      <c r="CH1" s="560"/>
      <c r="CI1" s="560"/>
      <c r="CJ1" s="560"/>
      <c r="CK1" s="560"/>
      <c r="CL1" s="560"/>
      <c r="CM1" s="560"/>
      <c r="CN1" s="560"/>
      <c r="CO1" s="560"/>
      <c r="CP1" s="560"/>
      <c r="CQ1" s="560"/>
      <c r="CR1" s="560"/>
      <c r="CS1" s="560"/>
      <c r="CT1" s="560"/>
      <c r="CU1" s="560"/>
      <c r="CV1" s="560"/>
      <c r="CW1" s="560"/>
      <c r="CX1" s="561">
        <f>COLUMN()</f>
        <v>102</v>
      </c>
      <c r="CY1" s="561"/>
    </row>
    <row r="2" spans="1:103" ht="12.75" customHeight="1" x14ac:dyDescent="0.3">
      <c r="A2" s="29"/>
      <c r="B2" s="42" t="s">
        <v>362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96"/>
      <c r="Y2" s="436"/>
      <c r="Z2" s="96"/>
      <c r="AA2" s="42" t="s">
        <v>2054</v>
      </c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437"/>
      <c r="AR2" s="2"/>
      <c r="AS2" s="42" t="s">
        <v>2170</v>
      </c>
      <c r="AT2" s="2"/>
      <c r="AU2" s="2"/>
      <c r="AV2" s="2"/>
      <c r="AW2" s="2"/>
      <c r="AX2" s="5" t="s">
        <v>1250</v>
      </c>
      <c r="AY2" s="36" t="str">
        <f>CONCATENATE(version!$B$2,", ",version!$B$3)</f>
        <v>SimpleBox, vs4.04</v>
      </c>
      <c r="AZ2" s="2"/>
      <c r="BA2" s="75"/>
      <c r="BB2" s="75"/>
      <c r="BC2" s="2"/>
      <c r="BD2" s="2"/>
      <c r="BE2" s="2"/>
      <c r="BF2" s="2"/>
      <c r="BG2" s="2"/>
      <c r="BH2" s="2"/>
      <c r="BI2" s="2"/>
      <c r="BJ2" s="2"/>
      <c r="BK2" s="2"/>
      <c r="BL2" s="436"/>
      <c r="BM2" s="562"/>
      <c r="BN2" s="563" t="s">
        <v>2210</v>
      </c>
      <c r="BO2" s="550"/>
      <c r="BP2" s="564"/>
      <c r="BQ2" s="550"/>
      <c r="BR2" s="565"/>
      <c r="BS2" s="565"/>
      <c r="BT2" s="566"/>
      <c r="BU2" s="566"/>
      <c r="BV2" s="566"/>
      <c r="BW2" s="566"/>
      <c r="BX2" s="566"/>
      <c r="BY2" s="566"/>
      <c r="BZ2" s="566"/>
      <c r="CA2" s="566"/>
      <c r="CB2" s="566"/>
      <c r="CC2" s="566"/>
      <c r="CD2" s="566"/>
      <c r="CE2" s="566"/>
      <c r="CF2" s="566"/>
      <c r="CG2" s="566"/>
      <c r="CH2" s="566"/>
      <c r="CI2" s="566"/>
      <c r="CJ2" s="566"/>
      <c r="CK2" s="566"/>
      <c r="CL2" s="566"/>
      <c r="CM2" s="566"/>
      <c r="CN2" s="566"/>
      <c r="CO2" s="566"/>
      <c r="CP2" s="566"/>
      <c r="CQ2" s="566"/>
      <c r="CR2" s="566"/>
      <c r="CS2" s="566"/>
      <c r="CT2" s="566"/>
      <c r="CU2" s="566"/>
      <c r="CV2" s="566"/>
      <c r="CW2" s="566"/>
      <c r="CX2" s="566"/>
      <c r="CY2" s="567"/>
    </row>
    <row r="3" spans="1:103" ht="12.75" customHeight="1" x14ac:dyDescent="0.3">
      <c r="A3" s="29"/>
      <c r="B3" s="29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96"/>
      <c r="Y3" s="436"/>
      <c r="Z3" s="96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437"/>
      <c r="AR3" s="2"/>
      <c r="AS3" s="46" t="s">
        <v>1377</v>
      </c>
      <c r="AT3" s="2"/>
      <c r="AU3" s="2"/>
      <c r="AV3" s="2"/>
      <c r="AW3" s="2"/>
      <c r="AX3" s="5" t="s">
        <v>1360</v>
      </c>
      <c r="AY3" s="73" t="str">
        <f>ChemName</f>
        <v>default substance</v>
      </c>
      <c r="AZ3" s="2"/>
      <c r="BA3" s="5" t="s">
        <v>809</v>
      </c>
      <c r="BB3" s="227" t="str">
        <f>ScenarioName</f>
        <v>default scenario</v>
      </c>
      <c r="BC3" s="2"/>
      <c r="BD3" s="5" t="s">
        <v>1213</v>
      </c>
      <c r="BE3" s="227" t="str">
        <f>CaseName</f>
        <v>defaults only</v>
      </c>
      <c r="BF3" s="2"/>
      <c r="BG3" s="2"/>
      <c r="BH3" s="2"/>
      <c r="BI3" s="2"/>
      <c r="BJ3" s="2"/>
      <c r="BK3" s="2"/>
      <c r="BL3" s="436"/>
      <c r="BM3" s="562"/>
      <c r="BN3" s="568"/>
      <c r="BO3" s="569"/>
      <c r="BP3" s="570"/>
      <c r="BQ3" s="571"/>
      <c r="BR3" s="572"/>
      <c r="BS3" s="572"/>
      <c r="BT3" s="566"/>
      <c r="BU3" s="566"/>
      <c r="BV3" s="566"/>
      <c r="BW3" s="566"/>
      <c r="BX3" s="566"/>
      <c r="BY3" s="551"/>
      <c r="BZ3" s="566"/>
      <c r="CA3" s="566"/>
      <c r="CB3" s="566"/>
      <c r="CC3" s="566"/>
      <c r="CD3" s="566"/>
      <c r="CE3" s="566"/>
      <c r="CF3" s="566"/>
      <c r="CG3" s="566"/>
      <c r="CH3" s="566"/>
      <c r="CI3" s="566"/>
      <c r="CJ3" s="566"/>
      <c r="CK3" s="566"/>
      <c r="CL3" s="566"/>
      <c r="CM3" s="566"/>
      <c r="CN3" s="566"/>
      <c r="CO3" s="566"/>
      <c r="CP3" s="566"/>
      <c r="CQ3" s="566"/>
      <c r="CR3" s="566"/>
      <c r="CS3" s="566"/>
      <c r="CT3" s="566"/>
      <c r="CU3" s="566"/>
      <c r="CV3" s="566"/>
      <c r="CW3" s="566"/>
      <c r="CX3" s="566"/>
      <c r="CY3" s="567"/>
    </row>
    <row r="4" spans="1:103" ht="12.75" customHeight="1" x14ac:dyDescent="0.3">
      <c r="A4" s="29"/>
      <c r="B4" s="20" t="s">
        <v>1250</v>
      </c>
      <c r="C4" s="36" t="str">
        <f>CONCATENATE(version!$B$2,", ",version!$B$3)</f>
        <v>SimpleBox, vs4.04</v>
      </c>
      <c r="D4" s="36"/>
      <c r="E4" s="36"/>
      <c r="F4" s="36"/>
      <c r="G4" s="20"/>
      <c r="H4" s="20"/>
      <c r="I4" s="20"/>
      <c r="J4" s="20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96"/>
      <c r="Y4" s="436"/>
      <c r="Z4" s="96"/>
      <c r="AA4" s="20" t="s">
        <v>1250</v>
      </c>
      <c r="AB4" s="36" t="str">
        <f>CONCATENATE(version!$B$2,", ",version!$B$3)</f>
        <v>SimpleBox, vs4.04</v>
      </c>
      <c r="AC4" s="36"/>
      <c r="AD4" s="36"/>
      <c r="AE4" s="36"/>
      <c r="AF4" s="20"/>
      <c r="AG4" s="20"/>
      <c r="AH4" s="20"/>
      <c r="AI4" s="20"/>
      <c r="AJ4" s="36"/>
      <c r="AK4" s="102"/>
      <c r="AL4" s="103"/>
      <c r="AM4" s="29"/>
      <c r="AN4" s="29"/>
      <c r="AO4" s="29"/>
      <c r="AP4" s="29"/>
      <c r="AQ4" s="437"/>
      <c r="AR4" s="2"/>
      <c r="AS4" s="2"/>
      <c r="AT4" s="75"/>
      <c r="AU4" s="75"/>
      <c r="AV4" s="2"/>
      <c r="AW4" s="2"/>
      <c r="AX4" s="75"/>
      <c r="AY4" s="75"/>
      <c r="AZ4" s="75"/>
      <c r="BA4" s="75"/>
      <c r="BB4" s="75"/>
      <c r="BC4" s="2"/>
      <c r="BD4" s="2"/>
      <c r="BE4" s="2"/>
      <c r="BF4" s="2"/>
      <c r="BG4" s="75"/>
      <c r="BH4" s="75"/>
      <c r="BI4" s="2"/>
      <c r="BJ4" s="2"/>
      <c r="BK4" s="2"/>
      <c r="BL4" s="436"/>
      <c r="BM4" s="562"/>
      <c r="BN4" s="573" t="s">
        <v>1250</v>
      </c>
      <c r="BO4" s="574" t="str">
        <f>CONCATENATE(version!$B$2,", ",version!$B$3)</f>
        <v>SimpleBox, vs4.04</v>
      </c>
      <c r="BP4" s="554"/>
      <c r="BQ4" s="553"/>
      <c r="BR4" s="551"/>
      <c r="BS4" s="551"/>
      <c r="BT4" s="551"/>
      <c r="BU4" s="551"/>
      <c r="BV4" s="551"/>
      <c r="BW4" s="551"/>
      <c r="BX4" s="551"/>
      <c r="BY4" s="551"/>
      <c r="BZ4" s="551"/>
      <c r="CA4" s="551"/>
      <c r="CB4" s="551"/>
      <c r="CC4" s="551"/>
      <c r="CD4" s="551"/>
      <c r="CE4" s="551"/>
      <c r="CF4" s="551"/>
      <c r="CG4" s="551"/>
      <c r="CH4" s="551"/>
      <c r="CI4" s="551"/>
      <c r="CJ4" s="551"/>
      <c r="CK4" s="551"/>
      <c r="CL4" s="551"/>
      <c r="CM4" s="551"/>
      <c r="CN4" s="551"/>
      <c r="CO4" s="551"/>
      <c r="CP4" s="551"/>
      <c r="CQ4" s="551"/>
      <c r="CR4" s="551"/>
      <c r="CS4" s="551"/>
      <c r="CT4" s="551"/>
      <c r="CU4" s="551"/>
      <c r="CV4" s="551"/>
      <c r="CW4" s="551"/>
      <c r="CX4" s="551"/>
      <c r="CY4" s="575"/>
    </row>
    <row r="5" spans="1:103" ht="12.75" customHeight="1" x14ac:dyDescent="0.3">
      <c r="A5" s="29"/>
      <c r="B5" s="20" t="s">
        <v>1360</v>
      </c>
      <c r="C5" s="104" t="str">
        <f>ChemName</f>
        <v>default substance</v>
      </c>
      <c r="D5" s="36"/>
      <c r="E5" s="36"/>
      <c r="F5" s="36"/>
      <c r="G5" s="20"/>
      <c r="H5" s="20"/>
      <c r="I5" s="20"/>
      <c r="J5" s="20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96"/>
      <c r="Y5" s="436"/>
      <c r="Z5" s="96"/>
      <c r="AA5" s="20" t="s">
        <v>1360</v>
      </c>
      <c r="AB5" s="104" t="str">
        <f>ChemName</f>
        <v>default substance</v>
      </c>
      <c r="AC5" s="36"/>
      <c r="AD5" s="36"/>
      <c r="AE5" s="36"/>
      <c r="AF5" s="20"/>
      <c r="AG5" s="20"/>
      <c r="AH5" s="20"/>
      <c r="AI5" s="20"/>
      <c r="AJ5" s="36"/>
      <c r="AK5" s="105"/>
      <c r="AL5" s="103"/>
      <c r="AM5" s="29"/>
      <c r="AN5" s="29"/>
      <c r="AO5" s="29"/>
      <c r="AP5" s="29"/>
      <c r="AQ5" s="437"/>
      <c r="AR5" s="2"/>
      <c r="AS5" s="2"/>
      <c r="AT5" s="75"/>
      <c r="AU5" s="43"/>
      <c r="AV5" s="2"/>
      <c r="AW5" s="75"/>
      <c r="AX5" s="75"/>
      <c r="AY5" s="75"/>
      <c r="AZ5" s="75"/>
      <c r="BA5" s="75"/>
      <c r="BB5" s="75"/>
      <c r="BC5" s="2"/>
      <c r="BD5" s="2"/>
      <c r="BE5" s="2"/>
      <c r="BF5" s="2"/>
      <c r="BG5" s="75"/>
      <c r="BH5" s="75"/>
      <c r="BI5" s="75"/>
      <c r="BJ5" s="2"/>
      <c r="BK5" s="2"/>
      <c r="BL5" s="436"/>
      <c r="BM5" s="562"/>
      <c r="BN5" s="573" t="s">
        <v>1360</v>
      </c>
      <c r="BO5" s="576" t="str">
        <f>ChemName</f>
        <v>default substance</v>
      </c>
      <c r="BP5" s="577"/>
      <c r="BQ5" s="553"/>
      <c r="BR5" s="551"/>
      <c r="BS5" s="551"/>
      <c r="BT5" s="566"/>
      <c r="BU5" s="566"/>
      <c r="BV5" s="566"/>
      <c r="BW5" s="551"/>
      <c r="BX5" s="566"/>
      <c r="BY5" s="551"/>
      <c r="BZ5" s="566"/>
      <c r="CA5" s="566"/>
      <c r="CB5" s="566"/>
      <c r="CC5" s="566"/>
      <c r="CD5" s="566"/>
      <c r="CE5" s="566"/>
      <c r="CF5" s="566"/>
      <c r="CG5" s="566"/>
      <c r="CH5" s="566"/>
      <c r="CI5" s="566"/>
      <c r="CJ5" s="566"/>
      <c r="CK5" s="566"/>
      <c r="CL5" s="566"/>
      <c r="CM5" s="566"/>
      <c r="CN5" s="566"/>
      <c r="CO5" s="566"/>
      <c r="CP5" s="566"/>
      <c r="CQ5" s="566"/>
      <c r="CR5" s="566"/>
      <c r="CS5" s="566"/>
      <c r="CT5" s="566"/>
      <c r="CU5" s="566"/>
      <c r="CV5" s="566"/>
      <c r="CW5" s="566"/>
      <c r="CX5" s="566"/>
      <c r="CY5" s="578"/>
    </row>
    <row r="6" spans="1:103" ht="12.75" customHeight="1" x14ac:dyDescent="0.3">
      <c r="A6" s="29"/>
      <c r="B6" s="20" t="s">
        <v>809</v>
      </c>
      <c r="C6" s="227" t="str">
        <f>ScenarioName</f>
        <v>default scenario</v>
      </c>
      <c r="D6" s="36"/>
      <c r="E6" s="36"/>
      <c r="F6" s="36"/>
      <c r="G6" s="20"/>
      <c r="H6" s="20"/>
      <c r="I6" s="20"/>
      <c r="J6" s="20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96"/>
      <c r="Y6" s="436"/>
      <c r="Z6" s="96"/>
      <c r="AA6" s="20" t="s">
        <v>809</v>
      </c>
      <c r="AB6" s="227" t="str">
        <f>ScenarioName</f>
        <v>default scenario</v>
      </c>
      <c r="AC6" s="36"/>
      <c r="AD6" s="36"/>
      <c r="AE6" s="36"/>
      <c r="AF6" s="20"/>
      <c r="AG6" s="20"/>
      <c r="AH6" s="20"/>
      <c r="AI6" s="20"/>
      <c r="AJ6" s="36"/>
      <c r="AK6" s="105"/>
      <c r="AL6" s="103"/>
      <c r="AM6" s="29"/>
      <c r="AN6" s="29"/>
      <c r="AO6" s="29"/>
      <c r="AP6" s="29"/>
      <c r="AQ6" s="437"/>
      <c r="AR6" s="2"/>
      <c r="AS6" s="2"/>
      <c r="AT6" s="2"/>
      <c r="AU6" s="2"/>
      <c r="AV6" s="2"/>
      <c r="AW6" s="54"/>
      <c r="AX6" s="2"/>
      <c r="AY6" s="2"/>
      <c r="AZ6" s="75"/>
      <c r="BA6" s="75"/>
      <c r="BB6" s="75"/>
      <c r="BC6" s="2"/>
      <c r="BD6" s="2"/>
      <c r="BE6" s="2"/>
      <c r="BF6" s="2"/>
      <c r="BG6" s="75"/>
      <c r="BH6" s="75"/>
      <c r="BI6" s="75"/>
      <c r="BJ6" s="2"/>
      <c r="BK6" s="2"/>
      <c r="BL6" s="436"/>
      <c r="BM6" s="562"/>
      <c r="BN6" s="573" t="s">
        <v>809</v>
      </c>
      <c r="BO6" s="579" t="str">
        <f>ScenarioName</f>
        <v>default scenario</v>
      </c>
      <c r="BP6" s="580"/>
      <c r="BQ6" s="553"/>
      <c r="BR6" s="551"/>
      <c r="BS6" s="551"/>
      <c r="BT6" s="566"/>
      <c r="BU6" s="566"/>
      <c r="BV6" s="566"/>
      <c r="BW6" s="551"/>
      <c r="BX6" s="566"/>
      <c r="BY6" s="551"/>
      <c r="BZ6" s="566"/>
      <c r="CA6" s="566"/>
      <c r="CB6" s="566"/>
      <c r="CC6" s="566"/>
      <c r="CD6" s="566"/>
      <c r="CE6" s="566"/>
      <c r="CF6" s="566"/>
      <c r="CG6" s="566"/>
      <c r="CH6" s="566"/>
      <c r="CI6" s="566"/>
      <c r="CJ6" s="566"/>
      <c r="CK6" s="566"/>
      <c r="CL6" s="566"/>
      <c r="CM6" s="566"/>
      <c r="CN6" s="566"/>
      <c r="CO6" s="566"/>
      <c r="CP6" s="566"/>
      <c r="CQ6" s="566"/>
      <c r="CR6" s="566"/>
      <c r="CS6" s="566"/>
      <c r="CT6" s="566"/>
      <c r="CU6" s="566"/>
      <c r="CV6" s="566"/>
      <c r="CW6" s="566"/>
      <c r="CX6" s="566"/>
      <c r="CY6" s="578"/>
    </row>
    <row r="7" spans="1:103" ht="12.75" customHeight="1" x14ac:dyDescent="0.3">
      <c r="A7" s="29"/>
      <c r="B7" s="20" t="s">
        <v>1213</v>
      </c>
      <c r="C7" s="227" t="str">
        <f>CaseName</f>
        <v>defaults only</v>
      </c>
      <c r="D7" s="36"/>
      <c r="E7" s="36"/>
      <c r="F7" s="36"/>
      <c r="G7" s="20"/>
      <c r="H7" s="20"/>
      <c r="I7" s="20"/>
      <c r="J7" s="20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96"/>
      <c r="Y7" s="436"/>
      <c r="Z7" s="96"/>
      <c r="AA7" s="20" t="s">
        <v>1213</v>
      </c>
      <c r="AB7" s="227" t="str">
        <f>CaseName</f>
        <v>defaults only</v>
      </c>
      <c r="AC7" s="36"/>
      <c r="AD7" s="36"/>
      <c r="AE7" s="197"/>
      <c r="AF7" s="198"/>
      <c r="AG7" s="20"/>
      <c r="AH7" s="20"/>
      <c r="AI7" s="20"/>
      <c r="AJ7" s="36"/>
      <c r="AK7" s="105"/>
      <c r="AL7" s="103"/>
      <c r="AM7" s="29"/>
      <c r="AN7" s="29"/>
      <c r="AO7" s="29"/>
      <c r="AP7" s="29"/>
      <c r="AQ7" s="437"/>
      <c r="AR7" s="2"/>
      <c r="AS7" s="2"/>
      <c r="AT7" s="2"/>
      <c r="AU7" s="2"/>
      <c r="AV7" s="2"/>
      <c r="AW7" s="54"/>
      <c r="AX7" s="2"/>
      <c r="AY7" s="75"/>
      <c r="AZ7" s="75"/>
      <c r="BA7" s="75"/>
      <c r="BB7" s="75"/>
      <c r="BC7" s="2"/>
      <c r="BD7" s="2"/>
      <c r="BE7" s="2"/>
      <c r="BF7" s="2"/>
      <c r="BG7" s="75"/>
      <c r="BH7" s="75"/>
      <c r="BI7" s="75"/>
      <c r="BJ7" s="2"/>
      <c r="BK7" s="2"/>
      <c r="BL7" s="436"/>
      <c r="BM7" s="562"/>
      <c r="BN7" s="573" t="s">
        <v>1213</v>
      </c>
      <c r="BO7" s="579" t="str">
        <f>CaseName</f>
        <v>defaults only</v>
      </c>
      <c r="BP7" s="580"/>
      <c r="BQ7" s="553"/>
      <c r="BR7" s="565"/>
      <c r="BS7" s="565"/>
      <c r="BT7" s="566"/>
      <c r="BU7" s="566"/>
      <c r="BV7" s="566"/>
      <c r="BW7" s="551"/>
      <c r="BX7" s="566"/>
      <c r="BY7" s="551"/>
      <c r="BZ7" s="566"/>
      <c r="CA7" s="566"/>
      <c r="CB7" s="566"/>
      <c r="CC7" s="566"/>
      <c r="CD7" s="566"/>
      <c r="CE7" s="566"/>
      <c r="CF7" s="566"/>
      <c r="CG7" s="566"/>
      <c r="CH7" s="566"/>
      <c r="CI7" s="566"/>
      <c r="CJ7" s="566"/>
      <c r="CK7" s="566"/>
      <c r="CL7" s="566"/>
      <c r="CM7" s="566"/>
      <c r="CN7" s="566"/>
      <c r="CO7" s="566"/>
      <c r="CP7" s="566"/>
      <c r="CQ7" s="566"/>
      <c r="CR7" s="566"/>
      <c r="CS7" s="566"/>
      <c r="CT7" s="566"/>
      <c r="CU7" s="566"/>
      <c r="CV7" s="566"/>
      <c r="CW7" s="566"/>
      <c r="CX7" s="566"/>
      <c r="CY7" s="581"/>
    </row>
    <row r="8" spans="1:103" ht="12.75" customHeight="1" thickBot="1" x14ac:dyDescent="0.35">
      <c r="A8" s="29"/>
      <c r="B8" s="29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96"/>
      <c r="Y8" s="436"/>
      <c r="Z8" s="96"/>
      <c r="AA8" s="29"/>
      <c r="AB8" s="29"/>
      <c r="AC8" s="29"/>
      <c r="AD8" s="96"/>
      <c r="AE8" s="29"/>
      <c r="AF8" s="29"/>
      <c r="AG8" s="29"/>
      <c r="AH8" s="29"/>
      <c r="AI8" s="29"/>
      <c r="AJ8" s="29"/>
      <c r="AK8" s="29"/>
      <c r="AL8" s="96"/>
      <c r="AM8" s="96"/>
      <c r="AN8" s="29"/>
      <c r="AO8" s="29"/>
      <c r="AP8" s="29"/>
      <c r="AQ8" s="437"/>
      <c r="AR8" s="2"/>
      <c r="AS8" s="2"/>
      <c r="AT8" s="2"/>
      <c r="AU8" s="2"/>
      <c r="AV8" s="75"/>
      <c r="AW8" s="75"/>
      <c r="AX8" s="294">
        <f>output!AG12</f>
        <v>2.1193209962461261E-2</v>
      </c>
      <c r="AY8" s="75"/>
      <c r="AZ8" s="295">
        <f>output!AF12</f>
        <v>3.595294636395773E-5</v>
      </c>
      <c r="BA8" s="75"/>
      <c r="BB8" s="75"/>
      <c r="BC8" s="2"/>
      <c r="BD8" s="2"/>
      <c r="BE8" s="2"/>
      <c r="BF8" s="2"/>
      <c r="BG8" s="75"/>
      <c r="BH8" s="75"/>
      <c r="BI8" s="75"/>
      <c r="BJ8" s="2"/>
      <c r="BK8" s="2"/>
      <c r="BL8" s="436"/>
      <c r="BM8" s="562"/>
      <c r="BN8" s="568"/>
      <c r="BO8" s="569"/>
      <c r="BP8" s="570"/>
      <c r="BQ8" s="571"/>
      <c r="BR8" s="572"/>
      <c r="BS8" s="572"/>
      <c r="BT8" s="566"/>
      <c r="BU8" s="566"/>
      <c r="BV8" s="566"/>
      <c r="BW8" s="566"/>
      <c r="BX8" s="566"/>
      <c r="BY8" s="551"/>
      <c r="BZ8" s="566"/>
      <c r="CA8" s="566"/>
      <c r="CB8" s="566"/>
      <c r="CC8" s="566"/>
      <c r="CD8" s="566"/>
      <c r="CE8" s="566"/>
      <c r="CF8" s="566"/>
      <c r="CG8" s="566"/>
      <c r="CH8" s="566"/>
      <c r="CI8" s="566"/>
      <c r="CJ8" s="566"/>
      <c r="CK8" s="566"/>
      <c r="CL8" s="566"/>
      <c r="CM8" s="566"/>
      <c r="CN8" s="566"/>
      <c r="CO8" s="566"/>
      <c r="CP8" s="566"/>
      <c r="CQ8" s="566"/>
      <c r="CR8" s="566"/>
      <c r="CS8" s="566"/>
      <c r="CT8" s="566"/>
      <c r="CU8" s="566"/>
      <c r="CV8" s="566"/>
      <c r="CW8" s="566"/>
      <c r="CX8" s="566"/>
      <c r="CY8" s="552"/>
    </row>
    <row r="9" spans="1:103" ht="12.75" customHeight="1" x14ac:dyDescent="0.3">
      <c r="A9" s="29"/>
      <c r="B9" s="106"/>
      <c r="C9" s="67" t="s">
        <v>2178</v>
      </c>
      <c r="D9" s="50"/>
      <c r="E9" s="50"/>
      <c r="F9" s="50"/>
      <c r="G9" s="50"/>
      <c r="H9" s="50"/>
      <c r="I9" s="50"/>
      <c r="J9" s="50"/>
      <c r="K9" s="50"/>
      <c r="L9" s="63"/>
      <c r="M9" s="67" t="s">
        <v>774</v>
      </c>
      <c r="N9" s="50"/>
      <c r="O9" s="50"/>
      <c r="P9" s="50"/>
      <c r="Q9" s="50"/>
      <c r="R9" s="63"/>
      <c r="S9" s="67" t="s">
        <v>1236</v>
      </c>
      <c r="T9" s="50"/>
      <c r="U9" s="50"/>
      <c r="V9" s="50"/>
      <c r="W9" s="63"/>
      <c r="X9" s="29"/>
      <c r="Y9" s="436"/>
      <c r="Z9" s="96"/>
      <c r="AA9" s="107"/>
      <c r="AB9" s="108"/>
      <c r="AC9" s="109" t="s">
        <v>510</v>
      </c>
      <c r="AD9" s="110" t="s">
        <v>1034</v>
      </c>
      <c r="AE9" s="110" t="s">
        <v>1035</v>
      </c>
      <c r="AF9" s="110" t="s">
        <v>1235</v>
      </c>
      <c r="AG9" s="111" t="s">
        <v>2163</v>
      </c>
      <c r="AH9" s="110" t="s">
        <v>357</v>
      </c>
      <c r="AI9" s="110" t="s">
        <v>358</v>
      </c>
      <c r="AJ9" s="110" t="s">
        <v>360</v>
      </c>
      <c r="AK9" s="110" t="s">
        <v>361</v>
      </c>
      <c r="AL9" s="110" t="s">
        <v>359</v>
      </c>
      <c r="AM9" s="110" t="s">
        <v>367</v>
      </c>
      <c r="AN9" s="111" t="s">
        <v>368</v>
      </c>
      <c r="AO9" s="109" t="s">
        <v>370</v>
      </c>
      <c r="AP9" s="29"/>
      <c r="AQ9" s="437"/>
      <c r="AR9" s="2"/>
      <c r="AS9" s="313">
        <f>output!AD12</f>
        <v>0.16302811978198747</v>
      </c>
      <c r="AT9" s="81"/>
      <c r="AU9" s="2"/>
      <c r="AV9" s="75"/>
      <c r="AW9" s="75"/>
      <c r="AX9" s="75"/>
      <c r="AY9" s="75"/>
      <c r="AZ9" s="75"/>
      <c r="BA9" s="75"/>
      <c r="BB9" s="75"/>
      <c r="BC9" s="2"/>
      <c r="BD9" s="2"/>
      <c r="BE9" s="2"/>
      <c r="BF9" s="2"/>
      <c r="BG9" s="75"/>
      <c r="BH9" s="75"/>
      <c r="BI9" s="75"/>
      <c r="BJ9" s="2"/>
      <c r="BK9" s="2"/>
      <c r="BL9"/>
      <c r="BM9" s="562"/>
      <c r="BN9" s="582" t="s">
        <v>2207</v>
      </c>
      <c r="BO9" s="583" t="s">
        <v>728</v>
      </c>
      <c r="BP9" s="584" t="s">
        <v>404</v>
      </c>
      <c r="BQ9" s="555" t="s">
        <v>1339</v>
      </c>
      <c r="BR9" s="556" t="s">
        <v>1312</v>
      </c>
      <c r="BS9" s="556" t="s">
        <v>278</v>
      </c>
      <c r="BT9" s="556" t="s">
        <v>1313</v>
      </c>
      <c r="BU9" s="556" t="s">
        <v>1314</v>
      </c>
      <c r="BV9" s="556" t="s">
        <v>1315</v>
      </c>
      <c r="BW9" s="556" t="s">
        <v>1316</v>
      </c>
      <c r="BX9" s="556" t="s">
        <v>1317</v>
      </c>
      <c r="BY9" s="556" t="s">
        <v>1318</v>
      </c>
      <c r="BZ9" s="556" t="s">
        <v>1319</v>
      </c>
      <c r="CA9" s="556" t="s">
        <v>519</v>
      </c>
      <c r="CB9" s="556" t="s">
        <v>279</v>
      </c>
      <c r="CC9" s="556" t="s">
        <v>1320</v>
      </c>
      <c r="CD9" s="556" t="s">
        <v>1321</v>
      </c>
      <c r="CE9" s="556" t="s">
        <v>1322</v>
      </c>
      <c r="CF9" s="556" t="s">
        <v>1323</v>
      </c>
      <c r="CG9" s="556" t="s">
        <v>1324</v>
      </c>
      <c r="CH9" s="556" t="s">
        <v>1325</v>
      </c>
      <c r="CI9" s="556" t="s">
        <v>518</v>
      </c>
      <c r="CJ9" s="556" t="s">
        <v>520</v>
      </c>
      <c r="CK9" s="556" t="s">
        <v>1478</v>
      </c>
      <c r="CL9" s="556" t="s">
        <v>1479</v>
      </c>
      <c r="CM9" s="556" t="s">
        <v>521</v>
      </c>
      <c r="CN9" s="556" t="s">
        <v>526</v>
      </c>
      <c r="CO9" s="556" t="s">
        <v>522</v>
      </c>
      <c r="CP9" s="556" t="s">
        <v>1480</v>
      </c>
      <c r="CQ9" s="556" t="s">
        <v>1481</v>
      </c>
      <c r="CR9" s="556" t="s">
        <v>523</v>
      </c>
      <c r="CS9" s="556" t="s">
        <v>527</v>
      </c>
      <c r="CT9" s="556" t="s">
        <v>524</v>
      </c>
      <c r="CU9" s="556" t="s">
        <v>1482</v>
      </c>
      <c r="CV9" s="556" t="s">
        <v>1483</v>
      </c>
      <c r="CW9" s="556" t="s">
        <v>525</v>
      </c>
      <c r="CX9" s="556" t="s">
        <v>528</v>
      </c>
      <c r="CY9" s="552"/>
    </row>
    <row r="10" spans="1:103" ht="12.75" customHeight="1" x14ac:dyDescent="0.3">
      <c r="A10" s="29"/>
      <c r="B10" s="112"/>
      <c r="C10" s="51" t="s">
        <v>2177</v>
      </c>
      <c r="D10" s="40"/>
      <c r="E10" s="51" t="s">
        <v>2179</v>
      </c>
      <c r="F10" s="40"/>
      <c r="G10" s="51" t="s">
        <v>2180</v>
      </c>
      <c r="H10" s="40"/>
      <c r="I10" s="51" t="s">
        <v>2181</v>
      </c>
      <c r="J10" s="40"/>
      <c r="K10" s="51" t="s">
        <v>2182</v>
      </c>
      <c r="L10" s="41"/>
      <c r="M10" s="51" t="s">
        <v>2192</v>
      </c>
      <c r="N10" s="51" t="s">
        <v>2193</v>
      </c>
      <c r="O10" s="51" t="s">
        <v>2194</v>
      </c>
      <c r="P10" s="51" t="s">
        <v>2195</v>
      </c>
      <c r="Q10" s="51" t="s">
        <v>2196</v>
      </c>
      <c r="R10" s="64"/>
      <c r="S10" s="51" t="s">
        <v>2192</v>
      </c>
      <c r="T10" s="20" t="s">
        <v>2193</v>
      </c>
      <c r="U10" s="20" t="s">
        <v>2194</v>
      </c>
      <c r="V10" s="20" t="s">
        <v>2195</v>
      </c>
      <c r="W10" s="64" t="s">
        <v>2196</v>
      </c>
      <c r="X10" s="29"/>
      <c r="Y10" s="436"/>
      <c r="Z10" s="29"/>
      <c r="AA10" s="113"/>
      <c r="AB10" s="114"/>
      <c r="AC10" s="35"/>
      <c r="AD10" s="115"/>
      <c r="AE10" s="115"/>
      <c r="AF10" s="115"/>
      <c r="AG10" s="116" t="s">
        <v>2162</v>
      </c>
      <c r="AH10" s="115" t="s">
        <v>366</v>
      </c>
      <c r="AI10" s="115" t="s">
        <v>366</v>
      </c>
      <c r="AJ10" s="115" t="s">
        <v>366</v>
      </c>
      <c r="AK10" s="115" t="s">
        <v>366</v>
      </c>
      <c r="AL10" s="115" t="s">
        <v>366</v>
      </c>
      <c r="AM10" s="115" t="s">
        <v>366</v>
      </c>
      <c r="AN10" s="116" t="s">
        <v>366</v>
      </c>
      <c r="AO10" s="35" t="s">
        <v>369</v>
      </c>
      <c r="AP10" s="29"/>
      <c r="AQ10" s="437"/>
      <c r="AR10" s="2"/>
      <c r="AS10" s="68"/>
      <c r="AT10" s="83"/>
      <c r="AU10" s="285">
        <f>output!AE12</f>
        <v>0.92453714973466272</v>
      </c>
      <c r="AV10" s="2"/>
      <c r="AW10" s="75"/>
      <c r="AX10" s="75"/>
      <c r="AY10" s="55" t="s">
        <v>446</v>
      </c>
      <c r="AZ10" s="75"/>
      <c r="BA10" s="75"/>
      <c r="BB10" s="75"/>
      <c r="BC10" s="29"/>
      <c r="BD10" s="2"/>
      <c r="BE10" s="2"/>
      <c r="BF10" s="2"/>
      <c r="BG10" s="75"/>
      <c r="BH10" s="75"/>
      <c r="BI10" s="75"/>
      <c r="BJ10" s="2"/>
      <c r="BK10" s="2"/>
      <c r="BL10"/>
      <c r="BM10" s="562"/>
      <c r="BN10" s="585" t="s">
        <v>2208</v>
      </c>
      <c r="BO10" s="586"/>
      <c r="BP10" s="587"/>
      <c r="BQ10" s="588" t="s">
        <v>486</v>
      </c>
      <c r="BR10" s="589" t="s">
        <v>2209</v>
      </c>
      <c r="BS10" s="589" t="s">
        <v>2209</v>
      </c>
      <c r="BT10" s="589" t="s">
        <v>2209</v>
      </c>
      <c r="BU10" s="589" t="s">
        <v>2209</v>
      </c>
      <c r="BV10" s="589" t="s">
        <v>2209</v>
      </c>
      <c r="BW10" s="589" t="s">
        <v>2209</v>
      </c>
      <c r="BX10" s="589" t="s">
        <v>2209</v>
      </c>
      <c r="BY10" s="589" t="s">
        <v>2209</v>
      </c>
      <c r="BZ10" s="589" t="s">
        <v>2209</v>
      </c>
      <c r="CA10" s="589" t="s">
        <v>2209</v>
      </c>
      <c r="CB10" s="589" t="s">
        <v>2209</v>
      </c>
      <c r="CC10" s="589" t="s">
        <v>2209</v>
      </c>
      <c r="CD10" s="589" t="s">
        <v>2209</v>
      </c>
      <c r="CE10" s="589" t="s">
        <v>2209</v>
      </c>
      <c r="CF10" s="589" t="s">
        <v>2209</v>
      </c>
      <c r="CG10" s="589" t="s">
        <v>2209</v>
      </c>
      <c r="CH10" s="589" t="s">
        <v>2209</v>
      </c>
      <c r="CI10" s="589" t="s">
        <v>2209</v>
      </c>
      <c r="CJ10" s="589" t="s">
        <v>2209</v>
      </c>
      <c r="CK10" s="589" t="s">
        <v>2209</v>
      </c>
      <c r="CL10" s="589" t="s">
        <v>2209</v>
      </c>
      <c r="CM10" s="589" t="s">
        <v>2209</v>
      </c>
      <c r="CN10" s="589" t="s">
        <v>2209</v>
      </c>
      <c r="CO10" s="589" t="s">
        <v>2209</v>
      </c>
      <c r="CP10" s="589" t="s">
        <v>2209</v>
      </c>
      <c r="CQ10" s="589" t="s">
        <v>2209</v>
      </c>
      <c r="CR10" s="589" t="s">
        <v>2209</v>
      </c>
      <c r="CS10" s="589" t="s">
        <v>2209</v>
      </c>
      <c r="CT10" s="589" t="s">
        <v>2209</v>
      </c>
      <c r="CU10" s="589" t="s">
        <v>2209</v>
      </c>
      <c r="CV10" s="589" t="s">
        <v>2209</v>
      </c>
      <c r="CW10" s="589" t="s">
        <v>2209</v>
      </c>
      <c r="CX10" s="589" t="s">
        <v>2209</v>
      </c>
      <c r="CY10" s="590"/>
    </row>
    <row r="11" spans="1:103" ht="12.75" customHeight="1" x14ac:dyDescent="0.3">
      <c r="A11" s="29"/>
      <c r="B11" s="65" t="s">
        <v>446</v>
      </c>
      <c r="C11" s="516">
        <f>M.aR*Molweight</f>
        <v>98144.707069385448</v>
      </c>
      <c r="D11" s="117">
        <f>C11/$C$51</f>
        <v>2.7110834494191858E-2</v>
      </c>
      <c r="E11" s="516">
        <f>M.aC*Molweight</f>
        <v>560027.99537728471</v>
      </c>
      <c r="F11" s="117">
        <f>E11/$E$51</f>
        <v>0.75600315949413854</v>
      </c>
      <c r="G11" s="516">
        <f>M.aM*Molweight</f>
        <v>1035312.0400349151</v>
      </c>
      <c r="H11" s="117">
        <f>G11/$G$51</f>
        <v>0.7437803068510318</v>
      </c>
      <c r="I11" s="516">
        <f>M.aA*Molweight</f>
        <v>409154.62636402092</v>
      </c>
      <c r="J11" s="117">
        <f>I11/$I$51</f>
        <v>0.17428447403782654</v>
      </c>
      <c r="K11" s="516">
        <f>M.aT*Molweight</f>
        <v>1034422.902044191</v>
      </c>
      <c r="L11" s="118">
        <f>K11/$K$51</f>
        <v>0.91768180876745675</v>
      </c>
      <c r="M11" s="320">
        <f>C.aR*(Molweight*1000)</f>
        <v>4.2751538558777479E-7</v>
      </c>
      <c r="N11" s="320">
        <f>C.aC*(Molweight*1000)</f>
        <v>7.53858614661931E-8</v>
      </c>
      <c r="O11" s="320">
        <f>C.aM*(Molweight*1000)</f>
        <v>1.3386223018048307E-8</v>
      </c>
      <c r="P11" s="320">
        <f>C.aA*(Molweight*1000)</f>
        <v>9.6271676791534352E-9</v>
      </c>
      <c r="Q11" s="321">
        <f>C.aT*(Molweight*1000)</f>
        <v>8.113120800346597E-9</v>
      </c>
      <c r="R11" s="119" t="s">
        <v>1493</v>
      </c>
      <c r="S11" s="323">
        <f>F.aR</f>
        <v>6.8911117754855549E-6</v>
      </c>
      <c r="T11" s="323">
        <f>F.aC</f>
        <v>1.2151431624865981E-6</v>
      </c>
      <c r="U11" s="323">
        <f>F.aM</f>
        <v>2.1577225563969581E-7</v>
      </c>
      <c r="V11" s="323">
        <f>F.aA</f>
        <v>1.4320130311713386E-7</v>
      </c>
      <c r="W11" s="324">
        <f>F.aT</f>
        <v>1.3674041447317226E-7</v>
      </c>
      <c r="X11" s="29"/>
      <c r="Y11" s="436"/>
      <c r="Z11" s="29"/>
      <c r="AA11" s="31" t="s">
        <v>365</v>
      </c>
      <c r="AB11" s="34"/>
      <c r="AC11" s="329"/>
      <c r="AD11" s="330"/>
      <c r="AE11" s="330"/>
      <c r="AF11" s="330"/>
      <c r="AG11" s="331"/>
      <c r="AH11" s="325"/>
      <c r="AI11" s="325"/>
      <c r="AJ11" s="325"/>
      <c r="AK11" s="325"/>
      <c r="AL11" s="325"/>
      <c r="AM11" s="325"/>
      <c r="AN11" s="326"/>
      <c r="AO11" s="332"/>
      <c r="AP11" s="29"/>
      <c r="AQ11" s="437"/>
      <c r="AR11" s="2"/>
      <c r="AS11" s="314">
        <f>output!AC12</f>
        <v>0.31709791983764585</v>
      </c>
      <c r="AT11" s="2"/>
      <c r="AU11" s="75"/>
      <c r="AV11" s="2"/>
      <c r="AW11" s="75"/>
      <c r="AX11" s="75"/>
      <c r="AY11" s="300">
        <f>IF(ISERROR(output!D11),0,output!D11)</f>
        <v>2.7110834494191858E-2</v>
      </c>
      <c r="AZ11" s="75"/>
      <c r="BA11" s="75"/>
      <c r="BB11" s="75"/>
      <c r="BC11" s="29"/>
      <c r="BD11" s="2"/>
      <c r="BE11" s="2"/>
      <c r="BF11" s="2"/>
      <c r="BG11" s="75"/>
      <c r="BH11" s="75"/>
      <c r="BI11" s="75"/>
      <c r="BJ11" s="2"/>
      <c r="BK11" s="2"/>
      <c r="BL11"/>
      <c r="BM11" s="562"/>
      <c r="BN11" s="591"/>
      <c r="BO11" s="592"/>
      <c r="BP11" s="592"/>
      <c r="BQ11" s="550"/>
      <c r="BR11" s="551"/>
      <c r="BS11" s="551"/>
      <c r="BT11" s="551"/>
      <c r="BU11" s="551"/>
      <c r="BV11" s="551"/>
      <c r="BW11" s="551"/>
      <c r="BX11" s="551"/>
      <c r="BY11" s="551"/>
      <c r="BZ11" s="551"/>
      <c r="CA11" s="551"/>
      <c r="CB11" s="551"/>
      <c r="CC11" s="551"/>
      <c r="CD11" s="566"/>
      <c r="CE11" s="566"/>
      <c r="CF11" s="566"/>
      <c r="CG11" s="566"/>
      <c r="CH11" s="566"/>
      <c r="CI11" s="566"/>
      <c r="CJ11" s="566"/>
      <c r="CK11" s="566"/>
      <c r="CL11" s="566"/>
      <c r="CM11" s="566"/>
      <c r="CN11" s="566"/>
      <c r="CO11" s="566"/>
      <c r="CP11" s="566"/>
      <c r="CQ11" s="566"/>
      <c r="CR11" s="566"/>
      <c r="CS11" s="566"/>
      <c r="CT11" s="566"/>
      <c r="CU11" s="566"/>
      <c r="CV11" s="566"/>
      <c r="CW11" s="566"/>
      <c r="CX11" s="566"/>
      <c r="CY11" s="590"/>
    </row>
    <row r="12" spans="1:103" ht="12.75" customHeight="1" x14ac:dyDescent="0.3">
      <c r="A12" s="29"/>
      <c r="B12" s="121" t="s">
        <v>714</v>
      </c>
      <c r="C12" s="318">
        <f>FRgas.aR*C11</f>
        <v>98144.703604319831</v>
      </c>
      <c r="D12" s="122">
        <f>C12/$C$51</f>
        <v>2.7110833537025411E-2</v>
      </c>
      <c r="E12" s="318">
        <f>FRgas.aC*E11</f>
        <v>560027.97560511553</v>
      </c>
      <c r="F12" s="122">
        <f>E12/$E$51</f>
        <v>0.75600313280293296</v>
      </c>
      <c r="G12" s="318">
        <f>FRgas.aM*G11</f>
        <v>1035312.0034825195</v>
      </c>
      <c r="H12" s="122">
        <f>G12/$G$51</f>
        <v>0.74378028059136236</v>
      </c>
      <c r="I12" s="318">
        <f>FRgas.aA*I11</f>
        <v>409154.61170112411</v>
      </c>
      <c r="J12" s="122">
        <f>I12/$I$51</f>
        <v>0.17428446779198425</v>
      </c>
      <c r="K12" s="318">
        <f>FRgas.aT*K11</f>
        <v>1034422.8656312395</v>
      </c>
      <c r="L12" s="123">
        <f>K12/$K$51</f>
        <v>0.91768177646393456</v>
      </c>
      <c r="M12" s="320">
        <f>FRgas.aR*M11</f>
        <v>4.275153704940534E-7</v>
      </c>
      <c r="N12" s="320">
        <f>FRgas.aC*N11</f>
        <v>7.5385858804644003E-8</v>
      </c>
      <c r="O12" s="320">
        <f>FRgas.aM*O11</f>
        <v>1.3386222545438601E-8</v>
      </c>
      <c r="P12" s="320">
        <f>FRgas.aA*P11</f>
        <v>9.6271673341440994E-9</v>
      </c>
      <c r="Q12" s="320">
        <f>FRgas.aT*Q11</f>
        <v>8.1131205147548209E-9</v>
      </c>
      <c r="R12" s="120" t="s">
        <v>1493</v>
      </c>
      <c r="S12" s="325">
        <f>S11*FRgas.aR</f>
        <v>6.8911115321901681E-6</v>
      </c>
      <c r="T12" s="325">
        <f>T11*FRgas.aC</f>
        <v>1.2151431195851425E-6</v>
      </c>
      <c r="U12" s="325">
        <f>U11*FRgas.aM</f>
        <v>2.1577224802170962E-7</v>
      </c>
      <c r="V12" s="325">
        <f>V11*FRgas.aA</f>
        <v>1.432012979852209E-7</v>
      </c>
      <c r="W12" s="326">
        <f>W11*FRgas.aT</f>
        <v>1.3674040965974239E-7</v>
      </c>
      <c r="X12" s="29"/>
      <c r="Y12" s="436"/>
      <c r="Z12" s="29"/>
      <c r="AA12" s="32" t="s">
        <v>371</v>
      </c>
      <c r="AB12" s="33" t="s">
        <v>1312</v>
      </c>
      <c r="AC12" s="332">
        <f>E.aR*Molweight</f>
        <v>0.31709791983764585</v>
      </c>
      <c r="AD12" s="325">
        <f>k.aC.aR*M.aC*Molweight</f>
        <v>0.16302811978198747</v>
      </c>
      <c r="AE12" s="325">
        <f>k.aR.aC*M.aR*Molweight</f>
        <v>0.92453714973466272</v>
      </c>
      <c r="AF12" s="325">
        <f>kesc.aR*M.aR*Molweight</f>
        <v>3.595294636395773E-5</v>
      </c>
      <c r="AG12" s="326">
        <f>KDEG.aR*M.aR*Molweight</f>
        <v>2.1193209962461261E-2</v>
      </c>
      <c r="AH12" s="325">
        <f>SUM(AH13:AH15)</f>
        <v>1.924091722944514E-4</v>
      </c>
      <c r="AI12" s="325">
        <f>SUM(AI13:AI15)</f>
        <v>0.30082084255853042</v>
      </c>
      <c r="AJ12" s="325">
        <f>SUM(AJ18:AJ20)</f>
        <v>1.3014430987545779E-4</v>
      </c>
      <c r="AK12" s="325">
        <f>SUM(AK18:AK20)</f>
        <v>0.1651419839474938</v>
      </c>
      <c r="AL12" s="325"/>
      <c r="AM12" s="325"/>
      <c r="AN12" s="326"/>
      <c r="AO12" s="329">
        <f>SUM(AC12,AD12,AI12,AK12)-SUM(AE12,AF12,AG12,AH12,AJ12)</f>
        <v>0</v>
      </c>
      <c r="AP12" s="29"/>
      <c r="AQ12" s="437"/>
      <c r="AR12" s="2"/>
      <c r="AS12" s="68"/>
      <c r="AT12" s="75"/>
      <c r="AU12" s="75"/>
      <c r="AV12" s="75"/>
      <c r="AW12" s="75"/>
      <c r="AX12" s="75"/>
      <c r="AY12" s="75"/>
      <c r="AZ12" s="75"/>
      <c r="BA12" s="75"/>
      <c r="BB12" s="75"/>
      <c r="BC12" s="29" t="s">
        <v>2063</v>
      </c>
      <c r="BD12" s="2"/>
      <c r="BE12" s="2"/>
      <c r="BF12" s="2"/>
      <c r="BG12" s="75"/>
      <c r="BH12" s="75"/>
      <c r="BI12" s="75"/>
      <c r="BJ12" s="2"/>
      <c r="BK12" s="2"/>
      <c r="BL12"/>
      <c r="BM12" s="562"/>
      <c r="BN12" s="406">
        <f>ChemRowNr</f>
        <v>1</v>
      </c>
      <c r="BO12" s="408" t="str">
        <f>ChemName</f>
        <v>default substance</v>
      </c>
      <c r="BP12" s="540" t="str">
        <f>substances!D6</f>
        <v>neutral</v>
      </c>
      <c r="BQ12" s="541" t="str">
        <f>substances!E6</f>
        <v/>
      </c>
      <c r="BR12" s="424">
        <f>engine!D45</f>
        <v>667651.06849922077</v>
      </c>
      <c r="BS12" s="424"/>
      <c r="BT12" s="424">
        <f>engine!F45</f>
        <v>1185317.6262797334</v>
      </c>
      <c r="BU12" s="424">
        <f>engine!G45</f>
        <v>43812.198826802509</v>
      </c>
      <c r="BV12" s="424">
        <f>engine!H45</f>
        <v>314654.9881080364</v>
      </c>
      <c r="BW12" s="424">
        <f>engine!I45</f>
        <v>3028.5870216424737</v>
      </c>
      <c r="BX12" s="424">
        <f>engine!J45</f>
        <v>1541.2160774373965</v>
      </c>
      <c r="BY12" s="424">
        <f>engine!K45</f>
        <v>22372779.059265718</v>
      </c>
      <c r="BZ12" s="424">
        <f>engine!L45</f>
        <v>570.82076942125775</v>
      </c>
      <c r="CA12" s="424">
        <f>engine!M45</f>
        <v>3809714.2542672427</v>
      </c>
      <c r="CB12" s="424">
        <f>engine!N45</f>
        <v>1989.7107070472816</v>
      </c>
      <c r="CC12" s="424">
        <f>engine!O45</f>
        <v>1648.3920136322045</v>
      </c>
      <c r="CD12" s="424">
        <f>engine!P45</f>
        <v>1199025.559628234</v>
      </c>
      <c r="CE12" s="424">
        <f>engine!Q45</f>
        <v>437.58293806424581</v>
      </c>
      <c r="CF12" s="424">
        <f>engine!R45</f>
        <v>4144.2262038286035</v>
      </c>
      <c r="CG12" s="424">
        <f>engine!S45</f>
        <v>4416.4482267603616</v>
      </c>
      <c r="CH12" s="424">
        <f>engine!T45</f>
        <v>16271.613286409631</v>
      </c>
      <c r="CI12" s="424">
        <f>engine!U45</f>
        <v>1635.7215654668003</v>
      </c>
      <c r="CJ12" s="424">
        <f>engine!V45</f>
        <v>7042939.0478565656</v>
      </c>
      <c r="CK12" s="424">
        <f>engine!W45</f>
        <v>601309.63675219798</v>
      </c>
      <c r="CL12" s="610"/>
      <c r="CM12" s="424">
        <f>engine!Y45</f>
        <v>413.42543024188501</v>
      </c>
      <c r="CN12" s="424">
        <f>engine!Z45</f>
        <v>30239.246781184025</v>
      </c>
      <c r="CO12" s="424">
        <f>engine!AA45</f>
        <v>2783364.8051974215</v>
      </c>
      <c r="CP12" s="424">
        <f>engine!AB45</f>
        <v>1311789.0182934674</v>
      </c>
      <c r="CQ12" s="424"/>
      <c r="CR12" s="424">
        <f>engine!AD45</f>
        <v>3086.1412318186885</v>
      </c>
      <c r="CS12" s="424">
        <f>engine!AE45</f>
        <v>35222.959385935472</v>
      </c>
      <c r="CT12" s="424">
        <f>engine!AF45</f>
        <v>7036890.4900965383</v>
      </c>
      <c r="CU12" s="424">
        <f>engine!AG45</f>
        <v>301752.48190265067</v>
      </c>
      <c r="CV12" s="424"/>
      <c r="CW12" s="424">
        <f>engine!AI45</f>
        <v>60.599335470275186</v>
      </c>
      <c r="CX12" s="424">
        <f>engine!AJ45</f>
        <v>9288.4839780582624</v>
      </c>
      <c r="CY12" s="590"/>
    </row>
    <row r="13" spans="1:103" ht="12.75" customHeight="1" x14ac:dyDescent="0.3">
      <c r="A13" s="29"/>
      <c r="B13" s="121" t="s">
        <v>1547</v>
      </c>
      <c r="C13" s="318">
        <f>(1-FRgas.aR)*C11</f>
        <v>3.465065615120699E-3</v>
      </c>
      <c r="D13" s="122">
        <f>C13/$C$51</f>
        <v>9.5716644542674072E-10</v>
      </c>
      <c r="E13" s="318">
        <f>(1-FRgas.aC)*E11</f>
        <v>1.9772169159513638E-2</v>
      </c>
      <c r="F13" s="122">
        <f>E13/$E$51</f>
        <v>2.669120557906162E-8</v>
      </c>
      <c r="G13" s="318">
        <f>(1-FRgas.aM)*G11</f>
        <v>3.6552395518479101E-2</v>
      </c>
      <c r="H13" s="122">
        <f>G13/$G$51</f>
        <v>2.62596694557496E-8</v>
      </c>
      <c r="I13" s="318">
        <f>(1-FRgas.aA)*I11</f>
        <v>1.4662896799084068E-2</v>
      </c>
      <c r="J13" s="122">
        <f>I13/$I$51</f>
        <v>6.2458422606852788E-9</v>
      </c>
      <c r="K13" s="318">
        <f>(1-FRgas.aT)*K11</f>
        <v>3.64129515300552E-2</v>
      </c>
      <c r="L13" s="123">
        <f>K13/$K$51</f>
        <v>3.2303522240882541E-8</v>
      </c>
      <c r="M13" s="320">
        <f>(1-FRgas.aR)*M11</f>
        <v>1.5093721370913879E-14</v>
      </c>
      <c r="N13" s="320">
        <f>(1-FRgas.aC)*N11</f>
        <v>2.6615490965609122E-15</v>
      </c>
      <c r="O13" s="320">
        <f>(1-FRgas.aM)*O11</f>
        <v>4.726097054157407E-16</v>
      </c>
      <c r="P13" s="320">
        <f>(1-FRgas.aA)*P11</f>
        <v>3.4500933644903698E-16</v>
      </c>
      <c r="Q13" s="320">
        <f>(1-FRgas.aT)*Q11</f>
        <v>2.8559177670631531E-16</v>
      </c>
      <c r="R13" s="120" t="s">
        <v>1493</v>
      </c>
      <c r="S13" s="325">
        <f>S11*(1-FRgas.aR)</f>
        <v>2.4329538674263082E-13</v>
      </c>
      <c r="T13" s="325">
        <f>T11*(1-FRgas.aC)</f>
        <v>4.2901455570136846E-14</v>
      </c>
      <c r="U13" s="325">
        <f>U11*(1-FRgas.aM)</f>
        <v>7.6179861965002956E-15</v>
      </c>
      <c r="V13" s="325">
        <f>V11*(1-FRgas.aA)</f>
        <v>5.1319129585810077E-15</v>
      </c>
      <c r="W13" s="326">
        <f>W11*(1-FRgas.aT)</f>
        <v>4.8134298598491097E-15</v>
      </c>
      <c r="X13" s="29"/>
      <c r="Y13" s="436"/>
      <c r="Z13" s="29"/>
      <c r="AA13" s="32" t="s">
        <v>372</v>
      </c>
      <c r="AB13" s="33" t="s">
        <v>278</v>
      </c>
      <c r="AC13" s="332">
        <f>E.w0R*Molweight</f>
        <v>0</v>
      </c>
      <c r="AD13" s="325">
        <f>k.w1R.w0R*M.w1R*Molweight</f>
        <v>0</v>
      </c>
      <c r="AE13" s="325">
        <f>(k.w0R.w1R+k.w0R.w2R)*M.w0R*Molweight</f>
        <v>1.3168924134068003E-5</v>
      </c>
      <c r="AF13" s="330"/>
      <c r="AG13" s="326">
        <f>KDEG.w0R*M.w0R*Molweight</f>
        <v>4.7730682628509925E-4</v>
      </c>
      <c r="AH13" s="325">
        <f>k.aR.w0R*M.aR*Molweight</f>
        <v>1.3993383217517516E-5</v>
      </c>
      <c r="AI13" s="325">
        <f>k.w0R.aR*M.w0R*Molweight</f>
        <v>2.8144722204247652E-4</v>
      </c>
      <c r="AJ13" s="325"/>
      <c r="AK13" s="325"/>
      <c r="AL13" s="325">
        <f>SUM(AL18:AL20)*AREAFRAC.w0R/(AREAFRAC.w0R+AREAFRAC.w1R)</f>
        <v>7.5792958924412632E-4</v>
      </c>
      <c r="AM13" s="325"/>
      <c r="AN13" s="326"/>
      <c r="AO13" s="329">
        <f>SUM(AC13,AD13,AH13,AL13,AN13)-SUM(AF13,AE13,AG13,AI13,AM13)</f>
        <v>0</v>
      </c>
      <c r="AP13" s="29"/>
      <c r="AQ13" s="437"/>
      <c r="AR13" s="2"/>
      <c r="AS13" s="68"/>
      <c r="AT13" s="75"/>
      <c r="AU13" s="75"/>
      <c r="AV13" s="75"/>
      <c r="AW13" s="75"/>
      <c r="AX13" s="2"/>
      <c r="AY13" s="75"/>
      <c r="AZ13" s="75"/>
      <c r="BA13" s="75"/>
      <c r="BB13" s="2"/>
      <c r="BC13" s="29" t="s">
        <v>2064</v>
      </c>
      <c r="BD13" s="2"/>
      <c r="BE13" s="2"/>
      <c r="BF13" s="2"/>
      <c r="BG13" s="75"/>
      <c r="BH13" s="75"/>
      <c r="BI13" s="68"/>
      <c r="BJ13" s="2"/>
      <c r="BK13" s="2"/>
      <c r="BL13"/>
      <c r="BM13" s="562"/>
      <c r="BN13" s="593"/>
      <c r="BO13" s="558"/>
      <c r="BP13" s="558"/>
      <c r="BQ13" s="559"/>
      <c r="BR13" s="560"/>
      <c r="BS13" s="560"/>
      <c r="BT13" s="560"/>
      <c r="BU13" s="560"/>
      <c r="BV13" s="560"/>
      <c r="BW13" s="560"/>
      <c r="BX13" s="560"/>
      <c r="BY13" s="560"/>
      <c r="BZ13" s="560"/>
      <c r="CA13" s="560"/>
      <c r="CB13" s="560"/>
      <c r="CC13" s="560"/>
      <c r="CD13" s="560"/>
      <c r="CE13" s="560"/>
      <c r="CF13" s="560"/>
      <c r="CG13" s="560"/>
      <c r="CH13" s="560"/>
      <c r="CI13" s="560"/>
      <c r="CJ13" s="560"/>
      <c r="CK13" s="560"/>
      <c r="CL13" s="560"/>
      <c r="CM13" s="560"/>
      <c r="CN13" s="560"/>
      <c r="CO13" s="560"/>
      <c r="CP13" s="560"/>
      <c r="CQ13" s="560"/>
      <c r="CR13" s="560"/>
      <c r="CS13" s="560"/>
      <c r="CT13" s="560"/>
      <c r="CU13" s="560"/>
      <c r="CV13" s="560"/>
      <c r="CW13" s="560"/>
      <c r="CX13" s="560"/>
      <c r="CY13" s="552"/>
    </row>
    <row r="14" spans="1:103" ht="12.75" customHeight="1" x14ac:dyDescent="0.3">
      <c r="A14" s="29"/>
      <c r="B14" s="121"/>
      <c r="C14" s="318"/>
      <c r="D14" s="122"/>
      <c r="E14" s="318"/>
      <c r="F14" s="122"/>
      <c r="G14" s="318"/>
      <c r="H14" s="122"/>
      <c r="I14" s="318"/>
      <c r="J14" s="122"/>
      <c r="K14" s="318"/>
      <c r="L14" s="123"/>
      <c r="M14" s="320"/>
      <c r="N14" s="320"/>
      <c r="O14" s="320"/>
      <c r="P14" s="320"/>
      <c r="Q14" s="320"/>
      <c r="R14" s="120"/>
      <c r="S14" s="325"/>
      <c r="T14" s="325"/>
      <c r="U14" s="325"/>
      <c r="V14" s="325"/>
      <c r="W14" s="326"/>
      <c r="X14" s="29"/>
      <c r="Y14" s="436"/>
      <c r="Z14" s="29"/>
      <c r="AA14" s="32" t="s">
        <v>2057</v>
      </c>
      <c r="AB14" s="33" t="s">
        <v>1313</v>
      </c>
      <c r="AC14" s="332">
        <f>E.w1R*Molweight</f>
        <v>0.31709791983764585</v>
      </c>
      <c r="AD14" s="325">
        <f>(WATERflow.w0R.w1R*C.w0R+WATERflow.w1C.w1R*C.w1C)*Molweight</f>
        <v>1.3168924134068003E-5</v>
      </c>
      <c r="AE14" s="325">
        <f>(WATERflow.w1R.w0R+WATERflow.w1R.w2R)*C.w1R*Molweight</f>
        <v>1.2657657092588681E-2</v>
      </c>
      <c r="AF14" s="330"/>
      <c r="AG14" s="326">
        <f>KDEG.w1R*M.w1R*Molweight</f>
        <v>1.5122737446699147E-2</v>
      </c>
      <c r="AH14" s="325">
        <f>k.aR.w1R*M.aR*Molweight</f>
        <v>1.5392721539269269E-4</v>
      </c>
      <c r="AI14" s="325">
        <f>k.w1R.aR*M.w1R*Molweight</f>
        <v>0.29724083892240521</v>
      </c>
      <c r="AJ14" s="325"/>
      <c r="AK14" s="325"/>
      <c r="AL14" s="325">
        <f>SUM(AL18:AL20)*AREAFRAC.w1R/(AREAFRAC.w0R+AREAFRAC.w1R)</f>
        <v>8.3372254816853897E-3</v>
      </c>
      <c r="AM14" s="325">
        <f>k.w1R.sd1R*M.w1R*Molweight</f>
        <v>3.9017622967814406E-3</v>
      </c>
      <c r="AN14" s="326">
        <f>k.sd1R.w1R*M.sd1R*Molweight</f>
        <v>3.3207542996164779E-3</v>
      </c>
      <c r="AO14" s="329">
        <f>SUM(AC14,AD14,AH14,AL14,AN14)-SUM(AF14,AE14,AG14,AI14,AM14)</f>
        <v>0</v>
      </c>
      <c r="AP14" s="29"/>
      <c r="AQ14" s="437"/>
      <c r="AR14" s="29"/>
      <c r="AS14" s="68"/>
      <c r="AT14" s="75"/>
      <c r="AU14" s="75"/>
      <c r="AV14" s="75"/>
      <c r="AW14" s="75"/>
      <c r="AX14" s="75"/>
      <c r="AY14" s="75"/>
      <c r="AZ14" s="75"/>
      <c r="BA14" s="75"/>
      <c r="BB14" s="2"/>
      <c r="BC14" s="2"/>
      <c r="BD14" s="2"/>
      <c r="BE14" s="2"/>
      <c r="BF14" s="2"/>
      <c r="BG14" s="75"/>
      <c r="BH14" s="75"/>
      <c r="BI14" s="75"/>
      <c r="BJ14" s="2"/>
      <c r="BK14" s="2"/>
      <c r="BL14"/>
      <c r="BM14" s="562"/>
      <c r="BN14" s="593">
        <v>1</v>
      </c>
      <c r="BO14" s="549" t="s">
        <v>2058</v>
      </c>
      <c r="BP14" s="549" t="s">
        <v>2060</v>
      </c>
      <c r="BQ14" s="550" t="s">
        <v>2408</v>
      </c>
      <c r="BR14" s="566">
        <v>613494.65730612515</v>
      </c>
      <c r="BS14" s="566"/>
      <c r="BT14" s="566">
        <v>1179635.2590101566</v>
      </c>
      <c r="BU14" s="566">
        <v>40093.373441346703</v>
      </c>
      <c r="BV14" s="566">
        <v>302059.19505536079</v>
      </c>
      <c r="BW14" s="566">
        <v>2624.7240174060034</v>
      </c>
      <c r="BX14" s="566">
        <v>1717.4069084951063</v>
      </c>
      <c r="BY14" s="566">
        <v>31944266.477687914</v>
      </c>
      <c r="BZ14" s="566">
        <v>636.07663277596532</v>
      </c>
      <c r="CA14" s="566">
        <v>3435308.917657515</v>
      </c>
      <c r="CB14" s="566">
        <v>1.777883430327659E-30</v>
      </c>
      <c r="CC14" s="566">
        <v>1775.5951988213487</v>
      </c>
      <c r="CD14" s="566">
        <v>1095354.7214501193</v>
      </c>
      <c r="CE14" s="566">
        <v>454.66160188377529</v>
      </c>
      <c r="CF14" s="566">
        <v>3585.3853120829135</v>
      </c>
      <c r="CG14" s="566">
        <v>5786.4771898540921</v>
      </c>
      <c r="CH14" s="566">
        <v>35162.232309511528</v>
      </c>
      <c r="CI14" s="566">
        <v>2143.1396999459594</v>
      </c>
      <c r="CJ14" s="566">
        <v>6376670.7339119557</v>
      </c>
      <c r="CK14" s="566">
        <v>2615184.0137042124</v>
      </c>
      <c r="CL14" s="566"/>
      <c r="CM14" s="566">
        <v>1722.2294897506613</v>
      </c>
      <c r="CN14" s="566">
        <v>38551.92748511504</v>
      </c>
      <c r="CO14" s="566">
        <v>2467022.5422988078</v>
      </c>
      <c r="CP14" s="566">
        <v>12669396.116566913</v>
      </c>
      <c r="CQ14" s="566"/>
      <c r="CR14" s="566">
        <v>9471.1799522401998</v>
      </c>
      <c r="CS14" s="566">
        <v>46844.633134018331</v>
      </c>
      <c r="CT14" s="566">
        <v>6335553.5206311308</v>
      </c>
      <c r="CU14" s="566">
        <v>641720.26641705201</v>
      </c>
      <c r="CV14" s="566"/>
      <c r="CW14" s="566">
        <v>345.08077547940565</v>
      </c>
      <c r="CX14" s="566">
        <v>11232.335012012683</v>
      </c>
      <c r="CY14" s="552"/>
    </row>
    <row r="15" spans="1:103" ht="12.75" customHeight="1" x14ac:dyDescent="0.3">
      <c r="A15" s="29"/>
      <c r="B15" s="66" t="s">
        <v>356</v>
      </c>
      <c r="C15" s="318">
        <f>M.w0R*Molweight</f>
        <v>5493.3226387826535</v>
      </c>
      <c r="D15" s="122">
        <f>C15/$C$51</f>
        <v>1.5174385387685314E-3</v>
      </c>
      <c r="E15" s="318">
        <f>M.w0C*Molweight</f>
        <v>292.48747393595039</v>
      </c>
      <c r="F15" s="122">
        <f>E15/$E$51</f>
        <v>3.9484000127363439E-4</v>
      </c>
      <c r="G15" s="318"/>
      <c r="H15" s="122"/>
      <c r="I15" s="318"/>
      <c r="J15" s="122"/>
      <c r="K15" s="318"/>
      <c r="L15" s="123"/>
      <c r="M15" s="320">
        <f>C.w0R*Molweight</f>
        <v>9.6133747014615277E-8</v>
      </c>
      <c r="N15" s="320">
        <f>C.w0C*Molweight</f>
        <v>3.1497597081200016E-10</v>
      </c>
      <c r="O15" s="320"/>
      <c r="P15" s="320"/>
      <c r="Q15" s="320"/>
      <c r="R15" s="120" t="s">
        <v>1489</v>
      </c>
      <c r="S15" s="325">
        <f>F.w0R</f>
        <v>1.392368399397196E-4</v>
      </c>
      <c r="T15" s="325">
        <f>F.w0C</f>
        <v>4.5620045191976932E-7</v>
      </c>
      <c r="U15" s="325"/>
      <c r="V15" s="325"/>
      <c r="W15" s="326"/>
      <c r="X15" s="29"/>
      <c r="Y15" s="436"/>
      <c r="Z15" s="29"/>
      <c r="AA15" s="32" t="s">
        <v>376</v>
      </c>
      <c r="AB15" s="33" t="s">
        <v>1314</v>
      </c>
      <c r="AC15" s="332">
        <f>E.w2R*Molweight</f>
        <v>0</v>
      </c>
      <c r="AD15" s="325">
        <f>(k.w1R.w2R*M.w1R+k.w2C.w2R*M.w2C)*Molweight</f>
        <v>1.2660582207119393E-2</v>
      </c>
      <c r="AE15" s="325">
        <f>k.w2R.w2C*M.w2R*Molweight</f>
        <v>8.822401335729162E-3</v>
      </c>
      <c r="AF15" s="330"/>
      <c r="AG15" s="326">
        <f>KDEG.w2R*M.w2R*Molweight</f>
        <v>5.594027476634899E-4</v>
      </c>
      <c r="AH15" s="325">
        <f>k.aR.w2R*M.aR*Molweight</f>
        <v>2.4488573684241205E-5</v>
      </c>
      <c r="AI15" s="325">
        <f>k.w2R.aR*M.w2R*Molweight</f>
        <v>3.2985564140827124E-3</v>
      </c>
      <c r="AJ15" s="325"/>
      <c r="AK15" s="325"/>
      <c r="AL15" s="325"/>
      <c r="AM15" s="325">
        <f>k.w2R.sd2R*M.w2R*Molweight</f>
        <v>2.8966861168978864E-5</v>
      </c>
      <c r="AN15" s="326">
        <f>k.sd2R.w2R*M.sd2R*Molweight</f>
        <v>2.4256577840715313E-5</v>
      </c>
      <c r="AO15" s="329">
        <f>SUM(AC15,AD15,AH15,AL15,AN15)-SUM(AF15,AE15,AG15,AI15,AM15)</f>
        <v>0</v>
      </c>
      <c r="AP15" s="29"/>
      <c r="AQ15" s="437"/>
      <c r="AR15" s="29"/>
      <c r="AS15" s="68"/>
      <c r="AT15" s="75"/>
      <c r="AU15" s="75"/>
      <c r="AV15" s="75"/>
      <c r="AW15" s="75"/>
      <c r="AX15" s="75"/>
      <c r="AY15" s="75"/>
      <c r="AZ15" s="75"/>
      <c r="BA15" s="75"/>
      <c r="BB15" s="2"/>
      <c r="BC15" s="2"/>
      <c r="BD15" s="2"/>
      <c r="BE15" s="2"/>
      <c r="BF15" s="2"/>
      <c r="BG15" s="75"/>
      <c r="BH15" s="75"/>
      <c r="BI15" s="75"/>
      <c r="BJ15" s="2"/>
      <c r="BK15" s="2"/>
      <c r="BL15"/>
      <c r="BM15" s="562"/>
      <c r="BN15" s="591">
        <v>2</v>
      </c>
      <c r="BO15" s="549" t="s">
        <v>2122</v>
      </c>
      <c r="BP15" s="549" t="s">
        <v>2060</v>
      </c>
      <c r="BQ15" s="550" t="s">
        <v>2408</v>
      </c>
      <c r="BR15" s="566">
        <v>355584.4975411857</v>
      </c>
      <c r="BS15" s="566"/>
      <c r="BT15" s="566">
        <v>930354.75083961745</v>
      </c>
      <c r="BU15" s="566">
        <v>35862.962058455661</v>
      </c>
      <c r="BV15" s="566">
        <v>2008103.6598729347</v>
      </c>
      <c r="BW15" s="566">
        <v>22809.378094855936</v>
      </c>
      <c r="BX15" s="566">
        <v>78961.286400844954</v>
      </c>
      <c r="BY15" s="566">
        <v>87639450.908398464</v>
      </c>
      <c r="BZ15" s="566">
        <v>29244.920889201829</v>
      </c>
      <c r="CA15" s="566">
        <v>1985324.7390203127</v>
      </c>
      <c r="CB15" s="566">
        <v>1.0526765152785147E-29</v>
      </c>
      <c r="CC15" s="566">
        <v>14951.724567872618</v>
      </c>
      <c r="CD15" s="566">
        <v>9985872.7880680151</v>
      </c>
      <c r="CE15" s="566">
        <v>32272.219601244324</v>
      </c>
      <c r="CF15" s="566">
        <v>317558.19229169504</v>
      </c>
      <c r="CG15" s="566">
        <v>294040.66962567979</v>
      </c>
      <c r="CH15" s="566">
        <v>2294740.2658685199</v>
      </c>
      <c r="CI15" s="566">
        <v>108903.95171321472</v>
      </c>
      <c r="CJ15" s="566">
        <v>3417426.5378010352</v>
      </c>
      <c r="CK15" s="566">
        <v>62108630.98653093</v>
      </c>
      <c r="CL15" s="566"/>
      <c r="CM15" s="566">
        <v>398647.07225355256</v>
      </c>
      <c r="CN15" s="566">
        <v>1816681.0738082412</v>
      </c>
      <c r="CO15" s="566">
        <v>962898.3499224293</v>
      </c>
      <c r="CP15" s="566">
        <v>117808651.760533</v>
      </c>
      <c r="CQ15" s="566"/>
      <c r="CR15" s="566">
        <v>821858.12275739934</v>
      </c>
      <c r="CS15" s="566">
        <v>1569201.8735873294</v>
      </c>
      <c r="CT15" s="566">
        <v>3591143.4484920818</v>
      </c>
      <c r="CU15" s="566">
        <v>20185484.425204489</v>
      </c>
      <c r="CV15" s="566"/>
      <c r="CW15" s="566">
        <v>112689.95001253299</v>
      </c>
      <c r="CX15" s="566">
        <v>568840.5607040351</v>
      </c>
      <c r="CY15" s="590"/>
    </row>
    <row r="16" spans="1:103" ht="12.75" customHeight="1" x14ac:dyDescent="0.3">
      <c r="A16" s="29"/>
      <c r="B16" s="121" t="s">
        <v>715</v>
      </c>
      <c r="C16" s="318">
        <f>FRw.w0R*C15</f>
        <v>5491.9031087130115</v>
      </c>
      <c r="D16" s="122">
        <f>C16/$C$51</f>
        <v>1.5170464173192271E-3</v>
      </c>
      <c r="E16" s="318">
        <f>FRw.w0C*E15</f>
        <v>292.41189221764489</v>
      </c>
      <c r="F16" s="122">
        <f>E16/$E$51</f>
        <v>3.9473797062818344E-4</v>
      </c>
      <c r="G16" s="318"/>
      <c r="H16" s="122"/>
      <c r="I16" s="318"/>
      <c r="J16" s="122"/>
      <c r="K16" s="318"/>
      <c r="L16" s="123"/>
      <c r="M16" s="320">
        <f>M15*FRw.w0R</f>
        <v>9.6108905083134474E-8</v>
      </c>
      <c r="N16" s="320">
        <f>N15*FRw.w0C</f>
        <v>3.1489457783889761E-10</v>
      </c>
      <c r="O16" s="320"/>
      <c r="P16" s="320"/>
      <c r="Q16" s="320"/>
      <c r="R16" s="120" t="s">
        <v>1489</v>
      </c>
      <c r="S16" s="325">
        <f>S15*FRw.w0R</f>
        <v>1.392008597335506E-4</v>
      </c>
      <c r="T16" s="325">
        <f>T15*FRw.w0C</f>
        <v>4.5608256511393851E-7</v>
      </c>
      <c r="U16" s="325"/>
      <c r="V16" s="325"/>
      <c r="W16" s="326"/>
      <c r="X16" s="29"/>
      <c r="Y16" s="436"/>
      <c r="Z16" s="29"/>
      <c r="AA16" s="32" t="s">
        <v>377</v>
      </c>
      <c r="AB16" s="33" t="s">
        <v>1315</v>
      </c>
      <c r="AC16" s="332"/>
      <c r="AD16" s="330"/>
      <c r="AE16" s="330"/>
      <c r="AF16" s="325">
        <f>NETsedrate.w1R*SYSTEMAREA.R*AREAFRAC.w1R*C.sd1R*Molweight</f>
        <v>1.3392318344930236E-4</v>
      </c>
      <c r="AG16" s="326">
        <f>KDEG.sd1R*M.sd1R*Molweight</f>
        <v>4.4708481371566054E-4</v>
      </c>
      <c r="AH16" s="325"/>
      <c r="AI16" s="325"/>
      <c r="AJ16" s="325"/>
      <c r="AK16" s="325"/>
      <c r="AL16" s="325"/>
      <c r="AM16" s="325">
        <f>k.w1R.sd1R*M.w1R*Molweight</f>
        <v>3.9017622967814406E-3</v>
      </c>
      <c r="AN16" s="326">
        <f>k.sd1R.w1R*M.sd1R*Molweight</f>
        <v>3.3207542996164779E-3</v>
      </c>
      <c r="AO16" s="329">
        <f>SUM(AC16,AD16,AM16)-SUM(AE16,AF16,AG16,AN16)</f>
        <v>0</v>
      </c>
      <c r="AP16" s="29"/>
      <c r="AQ16" s="437"/>
      <c r="AR16" s="29"/>
      <c r="AS16" s="68"/>
      <c r="AT16" s="75"/>
      <c r="AU16" s="75"/>
      <c r="AV16" s="75"/>
      <c r="AW16" s="75"/>
      <c r="AX16" s="75"/>
      <c r="AY16" s="75"/>
      <c r="AZ16" s="75"/>
      <c r="BA16" s="75"/>
      <c r="BB16" s="2"/>
      <c r="BC16" s="2"/>
      <c r="BD16" s="2"/>
      <c r="BE16" s="2"/>
      <c r="BF16" s="2"/>
      <c r="BG16" s="75"/>
      <c r="BH16" s="75"/>
      <c r="BI16" s="75"/>
      <c r="BJ16" s="2"/>
      <c r="BK16" s="2"/>
      <c r="BL16"/>
      <c r="BM16" s="562"/>
      <c r="BN16" s="591">
        <v>3</v>
      </c>
      <c r="BO16" s="549" t="s">
        <v>2123</v>
      </c>
      <c r="BP16" s="549" t="s">
        <v>2061</v>
      </c>
      <c r="BQ16" s="550">
        <v>7.89</v>
      </c>
      <c r="BR16" s="566">
        <v>317472.52880934137</v>
      </c>
      <c r="BS16" s="566"/>
      <c r="BT16" s="566">
        <v>7487679.1671231072</v>
      </c>
      <c r="BU16" s="566">
        <v>338441.08083969657</v>
      </c>
      <c r="BV16" s="566">
        <v>1371914.0908750098</v>
      </c>
      <c r="BW16" s="566">
        <v>16000.916059034569</v>
      </c>
      <c r="BX16" s="566">
        <v>599247.89048866322</v>
      </c>
      <c r="BY16" s="566">
        <v>35613751.353170402</v>
      </c>
      <c r="BZ16" s="566">
        <v>221943.66314394926</v>
      </c>
      <c r="CA16" s="566">
        <v>636019.98010430322</v>
      </c>
      <c r="CB16" s="566">
        <v>2.3088311237763766E-29</v>
      </c>
      <c r="CC16" s="566">
        <v>191753.63844499015</v>
      </c>
      <c r="CD16" s="566">
        <v>14928120.252142092</v>
      </c>
      <c r="CE16" s="566">
        <v>35133.652589485835</v>
      </c>
      <c r="CF16" s="566">
        <v>35288.801005046691</v>
      </c>
      <c r="CG16" s="566">
        <v>672375.56697731849</v>
      </c>
      <c r="CH16" s="566">
        <v>2961691.5267001791</v>
      </c>
      <c r="CI16" s="566">
        <v>249027.98776937727</v>
      </c>
      <c r="CJ16" s="566">
        <v>215529.51820021064</v>
      </c>
      <c r="CK16" s="566">
        <v>10207417.770489298</v>
      </c>
      <c r="CL16" s="566"/>
      <c r="CM16" s="566">
        <v>4854.6582154068383</v>
      </c>
      <c r="CN16" s="566">
        <v>817808.42075196106</v>
      </c>
      <c r="CO16" s="566">
        <v>19508.486702837952</v>
      </c>
      <c r="CP16" s="566">
        <v>3178226.1576954816</v>
      </c>
      <c r="CQ16" s="566"/>
      <c r="CR16" s="566">
        <v>1676.1426280615146</v>
      </c>
      <c r="CS16" s="566">
        <v>250356.00940419463</v>
      </c>
      <c r="CT16" s="566">
        <v>34483.136198799759</v>
      </c>
      <c r="CU16" s="566">
        <v>558174.81041590357</v>
      </c>
      <c r="CV16" s="566"/>
      <c r="CW16" s="566">
        <v>223.97543587735356</v>
      </c>
      <c r="CX16" s="566">
        <v>36245.634645208433</v>
      </c>
      <c r="CY16" s="552"/>
    </row>
    <row r="17" spans="1:103" ht="12.75" customHeight="1" x14ac:dyDescent="0.3">
      <c r="A17" s="29"/>
      <c r="B17" s="121" t="s">
        <v>492</v>
      </c>
      <c r="C17" s="318">
        <f>(1-FRw.w0R)*C15</f>
        <v>1.4195300696415858</v>
      </c>
      <c r="D17" s="122">
        <f>C17/$C$51</f>
        <v>3.9212144930418055E-7</v>
      </c>
      <c r="E17" s="318">
        <f>(1-FRw.w0C)*E15</f>
        <v>7.5581718305480841E-2</v>
      </c>
      <c r="F17" s="122">
        <f>E17/$E$51</f>
        <v>1.0203064545093836E-7</v>
      </c>
      <c r="G17" s="318"/>
      <c r="H17" s="122"/>
      <c r="I17" s="318"/>
      <c r="J17" s="122"/>
      <c r="K17" s="318"/>
      <c r="L17" s="123"/>
      <c r="M17" s="320">
        <f>M16*Kp.susp1R</f>
        <v>7.3959447249981231E-6</v>
      </c>
      <c r="N17" s="320">
        <f>N16*Kp.susp1C</f>
        <v>2.4232331955957289E-8</v>
      </c>
      <c r="O17" s="320"/>
      <c r="P17" s="320"/>
      <c r="Q17" s="320"/>
      <c r="R17" s="120" t="s">
        <v>1494</v>
      </c>
      <c r="S17" s="325">
        <f>S15*(1-FRw.w0R)</f>
        <v>3.5980206169012654E-8</v>
      </c>
      <c r="T17" s="325">
        <f>T15*(1-FRw.w0C)</f>
        <v>1.1788680583081538E-10</v>
      </c>
      <c r="U17" s="325"/>
      <c r="V17" s="325"/>
      <c r="W17" s="326"/>
      <c r="X17" s="29"/>
      <c r="Y17" s="436"/>
      <c r="Z17" s="29"/>
      <c r="AA17" s="32" t="s">
        <v>378</v>
      </c>
      <c r="AB17" s="33" t="s">
        <v>1316</v>
      </c>
      <c r="AC17" s="332"/>
      <c r="AD17" s="330"/>
      <c r="AE17" s="330"/>
      <c r="AF17" s="325">
        <f>NETsedrate.w2R*SYSTEMAREA.R*AREAFRAC.w2R*C.sd2R*Molweight</f>
        <v>4.070454468803137E-7</v>
      </c>
      <c r="AG17" s="326">
        <f>KDEG.sd2R*M.sd2R*Molweight</f>
        <v>4.3032378813832318E-6</v>
      </c>
      <c r="AH17" s="325"/>
      <c r="AI17" s="325"/>
      <c r="AJ17" s="325"/>
      <c r="AK17" s="325"/>
      <c r="AL17" s="325"/>
      <c r="AM17" s="325">
        <f>k.w2R.sd2R*M.w2R*Molweight</f>
        <v>2.8966861168978864E-5</v>
      </c>
      <c r="AN17" s="326">
        <f>k.sd2R.w2R*M.sd2R*Molweight</f>
        <v>2.4256577840715313E-5</v>
      </c>
      <c r="AO17" s="329">
        <f>SUM(AC17,AD17,AM17)-SUM(AE17,AF17,AG17,AN17)</f>
        <v>0</v>
      </c>
      <c r="AP17" s="29"/>
      <c r="AQ17" s="437"/>
      <c r="AR17" s="29"/>
      <c r="AS17" s="68"/>
      <c r="AT17" s="75"/>
      <c r="AU17" s="75"/>
      <c r="AV17" s="75"/>
      <c r="AW17" s="75"/>
      <c r="AX17" s="75"/>
      <c r="AY17" s="75"/>
      <c r="AZ17" s="75"/>
      <c r="BA17" s="75"/>
      <c r="BB17" s="2"/>
      <c r="BC17" s="2"/>
      <c r="BD17" s="2"/>
      <c r="BE17" s="2"/>
      <c r="BF17" s="2"/>
      <c r="BG17" s="75"/>
      <c r="BH17" s="75"/>
      <c r="BI17" s="75"/>
      <c r="BJ17" s="2"/>
      <c r="BK17" s="2"/>
      <c r="BL17"/>
      <c r="BM17" s="562"/>
      <c r="BN17" s="591">
        <v>4</v>
      </c>
      <c r="BO17" s="549" t="s">
        <v>2124</v>
      </c>
      <c r="BP17" s="549" t="s">
        <v>2062</v>
      </c>
      <c r="BQ17" s="550">
        <v>5.13</v>
      </c>
      <c r="BR17" s="566">
        <v>2242.7749337922419</v>
      </c>
      <c r="BS17" s="566"/>
      <c r="BT17" s="566">
        <v>32676514.640274532</v>
      </c>
      <c r="BU17" s="566">
        <v>1533090.9232293691</v>
      </c>
      <c r="BV17" s="566">
        <v>265497.71985026734</v>
      </c>
      <c r="BW17" s="566">
        <v>3795.9434580319548</v>
      </c>
      <c r="BX17" s="566">
        <v>424398.82567130408</v>
      </c>
      <c r="BY17" s="566">
        <v>12337879.861596532</v>
      </c>
      <c r="BZ17" s="566">
        <v>157184.75024863111</v>
      </c>
      <c r="CA17" s="566">
        <v>20.977504011334375</v>
      </c>
      <c r="CB17" s="566">
        <v>1.1907134063207188E-31</v>
      </c>
      <c r="CC17" s="566">
        <v>28040.75418011193</v>
      </c>
      <c r="CD17" s="566">
        <v>24797873.733735818</v>
      </c>
      <c r="CE17" s="566">
        <v>227.83201879571774</v>
      </c>
      <c r="CF17" s="566">
        <v>3069.9851243784888</v>
      </c>
      <c r="CG17" s="566">
        <v>2056.914515269214</v>
      </c>
      <c r="CH17" s="566">
        <v>16825.388380246855</v>
      </c>
      <c r="CI17" s="566">
        <v>761.8201908404493</v>
      </c>
      <c r="CJ17" s="566">
        <v>3.0795769932630699E-2</v>
      </c>
      <c r="CK17" s="566">
        <v>13294291.158993268</v>
      </c>
      <c r="CL17" s="566"/>
      <c r="CM17" s="566">
        <v>331.6417092253734</v>
      </c>
      <c r="CN17" s="566">
        <v>10.838199776782977</v>
      </c>
      <c r="CO17" s="566">
        <v>5.2728293511821334E-5</v>
      </c>
      <c r="CP17" s="566">
        <v>1252049.9055472726</v>
      </c>
      <c r="CQ17" s="566"/>
      <c r="CR17" s="566">
        <v>31.430519872021293</v>
      </c>
      <c r="CS17" s="566">
        <v>5.6881183555361328E-2</v>
      </c>
      <c r="CT17" s="566">
        <v>9.3792190005214117E-5</v>
      </c>
      <c r="CU17" s="566">
        <v>239774.54760197128</v>
      </c>
      <c r="CV17" s="566"/>
      <c r="CW17" s="566">
        <v>5.9117169460246677</v>
      </c>
      <c r="CX17" s="566">
        <v>9.8226075771431706E-3</v>
      </c>
      <c r="CY17" s="552"/>
    </row>
    <row r="18" spans="1:103" ht="12.75" customHeight="1" x14ac:dyDescent="0.3">
      <c r="A18" s="29"/>
      <c r="B18" s="121"/>
      <c r="C18" s="318"/>
      <c r="D18" s="122"/>
      <c r="E18" s="318"/>
      <c r="F18" s="122"/>
      <c r="G18" s="318"/>
      <c r="H18" s="122"/>
      <c r="I18" s="318"/>
      <c r="J18" s="122"/>
      <c r="K18" s="318"/>
      <c r="L18" s="123"/>
      <c r="M18" s="320"/>
      <c r="N18" s="320"/>
      <c r="O18" s="320"/>
      <c r="P18" s="320"/>
      <c r="Q18" s="320"/>
      <c r="R18" s="120"/>
      <c r="S18" s="325"/>
      <c r="T18" s="325"/>
      <c r="U18" s="325"/>
      <c r="V18" s="325"/>
      <c r="W18" s="326"/>
      <c r="X18" s="29"/>
      <c r="Y18" s="436"/>
      <c r="Z18" s="29"/>
      <c r="AA18" s="32" t="s">
        <v>379</v>
      </c>
      <c r="AB18" s="33" t="s">
        <v>1317</v>
      </c>
      <c r="AC18" s="332">
        <f>E.s1R*Molweight</f>
        <v>0</v>
      </c>
      <c r="AD18" s="330"/>
      <c r="AE18" s="330"/>
      <c r="AF18" s="325">
        <f>(FRACinf.s1R*RAINrate.R/Ks1w.R*CORRleach.s1R)*SYSTEMAREA.R*AREAFRAC.s1R*C.s1R*Molweight</f>
        <v>9.2383945141754799E-9</v>
      </c>
      <c r="AG18" s="326">
        <f>KDEG.s1R*M.s1R*Molweight</f>
        <v>9.8452250683369887E-6</v>
      </c>
      <c r="AH18" s="325"/>
      <c r="AI18" s="325"/>
      <c r="AJ18" s="325">
        <f>k.aR.s1R*M.aR*Molweight</f>
        <v>3.6225735738529487E-5</v>
      </c>
      <c r="AK18" s="325">
        <f>k.s1R.aR*M.s1R*Molweight</f>
        <v>2.4994695432668769E-5</v>
      </c>
      <c r="AL18" s="325">
        <f>(k.s1R.w1R+k.s1R.w0R)*M.s1R*Molweight</f>
        <v>1.3765768430095584E-6</v>
      </c>
      <c r="AM18" s="325"/>
      <c r="AN18" s="326"/>
      <c r="AO18" s="329">
        <f>SUM(AC18,AD18,AJ18)-SUM(AE18,AF18,AG18,AK18,AL18,AO17)</f>
        <v>0</v>
      </c>
      <c r="AP18" s="29"/>
      <c r="AQ18" s="437"/>
      <c r="AR18" s="29"/>
      <c r="AS18" s="68"/>
      <c r="AT18" s="75"/>
      <c r="AU18" s="75"/>
      <c r="AV18" s="75"/>
      <c r="AW18" s="75"/>
      <c r="AX18" s="75"/>
      <c r="AY18" s="75"/>
      <c r="AZ18" s="75"/>
      <c r="BA18" s="75"/>
      <c r="BB18" s="2"/>
      <c r="BC18" s="2"/>
      <c r="BD18" s="2"/>
      <c r="BE18" s="2"/>
      <c r="BF18" s="2"/>
      <c r="BG18" s="75"/>
      <c r="BH18" s="75"/>
      <c r="BI18" s="75"/>
      <c r="BJ18" s="2"/>
      <c r="BK18" s="2"/>
      <c r="BL18"/>
      <c r="BM18" s="562"/>
      <c r="BN18" s="591">
        <v>5</v>
      </c>
      <c r="BO18" s="549" t="s">
        <v>2125</v>
      </c>
      <c r="BP18" s="549" t="s">
        <v>2126</v>
      </c>
      <c r="BQ18" s="550" t="s">
        <v>2408</v>
      </c>
      <c r="BR18" s="566">
        <v>872.05312279306725</v>
      </c>
      <c r="BS18" s="566"/>
      <c r="BT18" s="566">
        <v>143115231.13908371</v>
      </c>
      <c r="BU18" s="566">
        <v>249517845.14781663</v>
      </c>
      <c r="BV18" s="566">
        <v>52408278.339014381</v>
      </c>
      <c r="BW18" s="566">
        <v>23182553.835899308</v>
      </c>
      <c r="BX18" s="566">
        <v>176633425.72391704</v>
      </c>
      <c r="BY18" s="566">
        <v>4202774015.3244686</v>
      </c>
      <c r="BZ18" s="566">
        <v>65419787.305154465</v>
      </c>
      <c r="CA18" s="566">
        <v>1.4791067130316433</v>
      </c>
      <c r="CB18" s="566">
        <v>7.0050862234176071E-32</v>
      </c>
      <c r="CC18" s="566">
        <v>32045.654113084402</v>
      </c>
      <c r="CD18" s="566">
        <v>18784158146809.969</v>
      </c>
      <c r="CE18" s="566">
        <v>11735.002256204032</v>
      </c>
      <c r="CF18" s="566">
        <v>87261245231.277039</v>
      </c>
      <c r="CG18" s="566">
        <v>155248.69177622008</v>
      </c>
      <c r="CH18" s="566">
        <v>1379988.3713418969</v>
      </c>
      <c r="CI18" s="566">
        <v>57499.51547267408</v>
      </c>
      <c r="CJ18" s="566">
        <v>3.6803267473785388E-4</v>
      </c>
      <c r="CK18" s="566">
        <v>1034851296686479.9</v>
      </c>
      <c r="CL18" s="566"/>
      <c r="CM18" s="566">
        <v>971186001066.26001</v>
      </c>
      <c r="CN18" s="566">
        <v>138.64955321210519</v>
      </c>
      <c r="CO18" s="566">
        <v>1.1252896963139627E-7</v>
      </c>
      <c r="CP18" s="566">
        <v>680373352390103.5</v>
      </c>
      <c r="CQ18" s="566"/>
      <c r="CR18" s="566">
        <v>638515968458.4054</v>
      </c>
      <c r="CS18" s="566">
        <v>2.1910620867556286E-2</v>
      </c>
      <c r="CT18" s="566">
        <v>2.9497961775104423E-8</v>
      </c>
      <c r="CU18" s="566">
        <v>2381304676605045</v>
      </c>
      <c r="CV18" s="566"/>
      <c r="CW18" s="566">
        <v>2234803958968.0654</v>
      </c>
      <c r="CX18" s="566">
        <v>8.3893787970827759E-3</v>
      </c>
      <c r="CY18" s="552"/>
    </row>
    <row r="19" spans="1:103" ht="12.75" customHeight="1" x14ac:dyDescent="0.3">
      <c r="A19" s="29"/>
      <c r="B19" s="66" t="s">
        <v>447</v>
      </c>
      <c r="C19" s="318">
        <f>M.w1R*Molweight</f>
        <v>174241.69106312079</v>
      </c>
      <c r="D19" s="122">
        <f>C19/$C$51</f>
        <v>4.8131354093917264E-2</v>
      </c>
      <c r="E19" s="318">
        <f>M.w1C*Molweight</f>
        <v>242.31362600393405</v>
      </c>
      <c r="F19" s="122">
        <f>E19/$E$51</f>
        <v>3.2710840950735364E-4</v>
      </c>
      <c r="G19" s="318"/>
      <c r="H19" s="122"/>
      <c r="I19" s="318"/>
      <c r="J19" s="122"/>
      <c r="K19" s="318"/>
      <c r="L19" s="123"/>
      <c r="M19" s="320">
        <f>C.w1R*Molweight</f>
        <v>9.2401474285111661E-6</v>
      </c>
      <c r="N19" s="320">
        <f>C.w1C*Molweight</f>
        <v>7.9074061847069822E-10</v>
      </c>
      <c r="O19" s="320"/>
      <c r="P19" s="320"/>
      <c r="Q19" s="320"/>
      <c r="R19" s="120" t="s">
        <v>1489</v>
      </c>
      <c r="S19" s="325">
        <f>F.w1R</f>
        <v>1.3383114343056068E-2</v>
      </c>
      <c r="T19" s="325">
        <f>F.w1C</f>
        <v>1.1452817386916262E-6</v>
      </c>
      <c r="U19" s="325"/>
      <c r="V19" s="325"/>
      <c r="W19" s="326"/>
      <c r="X19" s="29"/>
      <c r="Y19" s="436"/>
      <c r="Z19" s="29"/>
      <c r="AA19" s="32" t="s">
        <v>380</v>
      </c>
      <c r="AB19" s="33" t="s">
        <v>1318</v>
      </c>
      <c r="AC19" s="332">
        <f>E.s2R*Molweight</f>
        <v>0.31709791983764585</v>
      </c>
      <c r="AD19" s="330"/>
      <c r="AE19" s="330"/>
      <c r="AF19" s="325">
        <f>(FRACinf.s2R*RAINrate.R/Ks2w.R*SYSTEMAREA.R*AREAFRAC.s2R*CORRleach.s2R)*C.s2R*Molweight</f>
        <v>6.1026163302236982E-5</v>
      </c>
      <c r="AG19" s="326">
        <f>KDEG.s2R*M.s2R*Molweight</f>
        <v>0.14291639470105044</v>
      </c>
      <c r="AH19" s="325"/>
      <c r="AI19" s="325"/>
      <c r="AJ19" s="325">
        <f>k.aR.s2R*M.aR*Molweight</f>
        <v>8.0501634974509964E-5</v>
      </c>
      <c r="AK19" s="325">
        <f>k.s2R.aR*M.s2R*Molweight</f>
        <v>0.16510773195745646</v>
      </c>
      <c r="AL19" s="325">
        <f>(k.s2R.w1R+k.s2R.w0R)*M.s2R*Molweight</f>
        <v>9.0932686508113179E-3</v>
      </c>
      <c r="AM19" s="325"/>
      <c r="AN19" s="326"/>
      <c r="AO19" s="329">
        <f>SUM(AC19,AD19,AJ19)-SUM(AE19,AF19,AG19,AK19,AL19,AO18)</f>
        <v>0</v>
      </c>
      <c r="AP19" s="29"/>
      <c r="AQ19" s="437"/>
      <c r="AR19" s="2"/>
      <c r="AS19" s="68"/>
      <c r="AT19" s="75"/>
      <c r="AU19" s="75"/>
      <c r="AV19" s="75"/>
      <c r="AW19" s="75"/>
      <c r="AX19" s="75"/>
      <c r="AY19" s="75"/>
      <c r="AZ19" s="75"/>
      <c r="BA19" s="75"/>
      <c r="BB19" s="2"/>
      <c r="BC19" s="2"/>
      <c r="BD19" s="2"/>
      <c r="BE19" s="2"/>
      <c r="BF19" s="2"/>
      <c r="BG19" s="75"/>
      <c r="BH19" s="75"/>
      <c r="BI19" s="75"/>
      <c r="BJ19" s="2"/>
      <c r="BK19" s="2"/>
      <c r="BL19"/>
      <c r="BM19" s="562"/>
      <c r="BN19" s="591">
        <v>6</v>
      </c>
      <c r="BO19" s="549" t="s">
        <v>2144</v>
      </c>
      <c r="BP19" s="549" t="s">
        <v>2408</v>
      </c>
      <c r="BQ19" s="550" t="s">
        <v>2408</v>
      </c>
      <c r="BR19" s="566">
        <v>186940.77686251613</v>
      </c>
      <c r="BS19" s="566"/>
      <c r="BT19" s="566">
        <v>5485148.9213171862</v>
      </c>
      <c r="BU19" s="566">
        <v>239656.17412632596</v>
      </c>
      <c r="BV19" s="566">
        <v>721128.72594925587</v>
      </c>
      <c r="BW19" s="566">
        <v>8316.9831025150215</v>
      </c>
      <c r="BX19" s="566">
        <v>342044.40238413296</v>
      </c>
      <c r="BY19" s="566">
        <v>26395600.993168827</v>
      </c>
      <c r="BZ19" s="566">
        <v>126683.11199412332</v>
      </c>
      <c r="CA19" s="566">
        <v>247744.64172338511</v>
      </c>
      <c r="CB19" s="566">
        <v>8.6420021591478861E-30</v>
      </c>
      <c r="CC19" s="566">
        <v>69207.285197845151</v>
      </c>
      <c r="CD19" s="566">
        <v>4721867.028177971</v>
      </c>
      <c r="CE19" s="566">
        <v>9098.6338050315462</v>
      </c>
      <c r="CF19" s="566">
        <v>8193.3395684140378</v>
      </c>
      <c r="CG19" s="566">
        <v>249508.68925231061</v>
      </c>
      <c r="CH19" s="566">
        <v>1114441.2669654693</v>
      </c>
      <c r="CI19" s="566">
        <v>92410.62564900388</v>
      </c>
      <c r="CJ19" s="566">
        <v>52708.695800766523</v>
      </c>
      <c r="CK19" s="566">
        <v>1752692.5310296826</v>
      </c>
      <c r="CL19" s="566"/>
      <c r="CM19" s="566">
        <v>610.29309931777141</v>
      </c>
      <c r="CN19" s="566">
        <v>190531.73851719088</v>
      </c>
      <c r="CO19" s="566">
        <v>3263.0043513891824</v>
      </c>
      <c r="CP19" s="566">
        <v>328939.36031684693</v>
      </c>
      <c r="CQ19" s="566"/>
      <c r="CR19" s="566">
        <v>129.10036166099721</v>
      </c>
      <c r="CS19" s="566">
        <v>40169.848248477945</v>
      </c>
      <c r="CT19" s="566">
        <v>5133.7324845227567</v>
      </c>
      <c r="CU19" s="566">
        <v>51494.815435079261</v>
      </c>
      <c r="CV19" s="566"/>
      <c r="CW19" s="566">
        <v>14.769489405240147</v>
      </c>
      <c r="CX19" s="566">
        <v>5136.4708549643747</v>
      </c>
      <c r="CY19" s="552"/>
    </row>
    <row r="20" spans="1:103" ht="12.75" customHeight="1" x14ac:dyDescent="0.3">
      <c r="A20" s="29"/>
      <c r="B20" s="121" t="s">
        <v>715</v>
      </c>
      <c r="C20" s="318">
        <f>FRw.w1R*C19</f>
        <v>174002.5581493983</v>
      </c>
      <c r="D20" s="122">
        <f>C20/$C$51</f>
        <v>4.8065297624448562E-2</v>
      </c>
      <c r="E20" s="318">
        <f>FRw.w1C*E19</f>
        <v>241.98106975366218</v>
      </c>
      <c r="F20" s="122">
        <f>E20/$E$51</f>
        <v>3.2665947913603231E-4</v>
      </c>
      <c r="G20" s="318"/>
      <c r="H20" s="122"/>
      <c r="I20" s="318"/>
      <c r="J20" s="122"/>
      <c r="K20" s="318"/>
      <c r="L20" s="123"/>
      <c r="M20" s="320">
        <f>M19*FRw.w1R</f>
        <v>9.2274660583733802E-6</v>
      </c>
      <c r="N20" s="320">
        <f>N19*FRw.w1C</f>
        <v>7.8965538963172232E-10</v>
      </c>
      <c r="O20" s="320"/>
      <c r="P20" s="320"/>
      <c r="Q20" s="320"/>
      <c r="R20" s="120" t="s">
        <v>1489</v>
      </c>
      <c r="S20" s="325">
        <f>S19*FRw.w1R</f>
        <v>1.336474707912509E-2</v>
      </c>
      <c r="T20" s="325">
        <f>T19*FRw.w1C</f>
        <v>1.1437099302596977E-6</v>
      </c>
      <c r="U20" s="325"/>
      <c r="V20" s="325"/>
      <c r="W20" s="326"/>
      <c r="X20" s="29"/>
      <c r="Y20" s="436"/>
      <c r="Z20" s="29"/>
      <c r="AA20" s="32" t="s">
        <v>381</v>
      </c>
      <c r="AB20" s="33" t="s">
        <v>1319</v>
      </c>
      <c r="AC20" s="332">
        <f>E.s3R*Molweight</f>
        <v>0</v>
      </c>
      <c r="AD20" s="330"/>
      <c r="AE20" s="330"/>
      <c r="AF20" s="325">
        <f>(FRACinf.s3R*RAINrate.R/Ks3w.R*SYSTEMAREA.R*AREAFRAC.s3R*CORRleach.s3R)*C.s3R*Molweight</f>
        <v>3.4216275978427696E-9</v>
      </c>
      <c r="AG20" s="326">
        <f>KDEG.s3R*M.s3R*Molweight</f>
        <v>3.6463796549396238E-6</v>
      </c>
      <c r="AH20" s="325"/>
      <c r="AI20" s="325"/>
      <c r="AJ20" s="325">
        <f>k.aR.s3R*M.aR*Molweight</f>
        <v>1.3416939162418327E-5</v>
      </c>
      <c r="AK20" s="325">
        <f>k.s3R.aR*M.s3R*Molweight</f>
        <v>9.2572946046921324E-6</v>
      </c>
      <c r="AL20" s="325">
        <f>(k.s3R.w1R+k.s3R.w0R)*M.s3R*Molweight</f>
        <v>5.0984327518872512E-7</v>
      </c>
      <c r="AM20" s="325"/>
      <c r="AN20" s="326"/>
      <c r="AO20" s="329">
        <f>SUM(AC20,AD20,AJ20)-SUM(AE20,AF20,AG20,AK20,AL20,AO19)</f>
        <v>0</v>
      </c>
      <c r="AP20" s="29"/>
      <c r="AQ20" s="437"/>
      <c r="AR20" s="2"/>
      <c r="AS20" s="68"/>
      <c r="AT20" s="75"/>
      <c r="AU20" s="75"/>
      <c r="AV20" s="75"/>
      <c r="AW20" s="75"/>
      <c r="AX20" s="75"/>
      <c r="AY20" s="75"/>
      <c r="AZ20" s="75"/>
      <c r="BA20" s="75"/>
      <c r="BB20" s="2"/>
      <c r="BC20" s="2"/>
      <c r="BD20" s="296">
        <f>IF(output!AK18&lt;0,"",output!AK18)</f>
        <v>2.4994695432668769E-5</v>
      </c>
      <c r="BE20" s="2"/>
      <c r="BF20" s="296">
        <f>IF(output!AK20&lt;0,"",output!AK20)</f>
        <v>9.2572946046921324E-6</v>
      </c>
      <c r="BG20" s="75"/>
      <c r="BH20" s="296">
        <f>IF(output!AK19&lt;0,"",output!AK19)</f>
        <v>0.16510773195745646</v>
      </c>
      <c r="BI20" s="75"/>
      <c r="BJ20" s="2"/>
      <c r="BK20" s="2"/>
      <c r="BL20"/>
      <c r="BM20" s="562"/>
      <c r="BN20" s="591">
        <v>7</v>
      </c>
      <c r="BO20" s="549" t="s">
        <v>1777</v>
      </c>
      <c r="BP20" s="549" t="s">
        <v>2408</v>
      </c>
      <c r="BQ20" s="550" t="s">
        <v>2408</v>
      </c>
      <c r="BR20" s="566">
        <v>768527.5335039919</v>
      </c>
      <c r="BS20" s="566"/>
      <c r="BT20" s="566">
        <v>4270020.2630872643</v>
      </c>
      <c r="BU20" s="566">
        <v>144774.90317660072</v>
      </c>
      <c r="BV20" s="566">
        <v>35007.503588478052</v>
      </c>
      <c r="BW20" s="566">
        <v>361.68304229126068</v>
      </c>
      <c r="BX20" s="566">
        <v>1954.886741572968</v>
      </c>
      <c r="BY20" s="566">
        <v>12381709.044220431</v>
      </c>
      <c r="BZ20" s="566">
        <v>724.03212650850662</v>
      </c>
      <c r="CA20" s="566">
        <v>674855.14923886047</v>
      </c>
      <c r="CB20" s="566">
        <v>1.2675914369809737E-29</v>
      </c>
      <c r="CC20" s="566">
        <v>13949.484943772577</v>
      </c>
      <c r="CD20" s="566">
        <v>3426913.1934407461</v>
      </c>
      <c r="CE20" s="566">
        <v>114.36401097391209</v>
      </c>
      <c r="CF20" s="566">
        <v>428.0632769478641</v>
      </c>
      <c r="CG20" s="566">
        <v>917.18015153530712</v>
      </c>
      <c r="CH20" s="566">
        <v>5799.8716204220482</v>
      </c>
      <c r="CI20" s="566">
        <v>339.69635242048412</v>
      </c>
      <c r="CJ20" s="566">
        <v>90781.606690240937</v>
      </c>
      <c r="CK20" s="566">
        <v>924833.72227343079</v>
      </c>
      <c r="CL20" s="566"/>
      <c r="CM20" s="566">
        <v>23.103623564496484</v>
      </c>
      <c r="CN20" s="566">
        <v>442.83873541011559</v>
      </c>
      <c r="CO20" s="566">
        <v>3486.5836524032366</v>
      </c>
      <c r="CP20" s="566">
        <v>194949.99295734899</v>
      </c>
      <c r="CQ20" s="566"/>
      <c r="CR20" s="566">
        <v>4.9181238314189724</v>
      </c>
      <c r="CS20" s="566">
        <v>55.690322357636802</v>
      </c>
      <c r="CT20" s="566">
        <v>5775.3892145613208</v>
      </c>
      <c r="CU20" s="566">
        <v>14209.263050629543</v>
      </c>
      <c r="CV20" s="566"/>
      <c r="CW20" s="566">
        <v>0.34850461821871337</v>
      </c>
      <c r="CX20" s="566">
        <v>8.0335381313102587</v>
      </c>
      <c r="CY20" s="552"/>
    </row>
    <row r="21" spans="1:103" ht="12.75" customHeight="1" x14ac:dyDescent="0.3">
      <c r="A21" s="29"/>
      <c r="B21" s="121" t="s">
        <v>492</v>
      </c>
      <c r="C21" s="318">
        <f>(1-FRw.w1R)*C19</f>
        <v>239.13291372248958</v>
      </c>
      <c r="D21" s="122">
        <f>C21/$C$51</f>
        <v>6.6056469468709288E-5</v>
      </c>
      <c r="E21" s="318">
        <f>(1-FRw.w1C)*E19</f>
        <v>0.33255625027187752</v>
      </c>
      <c r="F21" s="122">
        <f>E21/$E$51</f>
        <v>4.4893037132132709E-7</v>
      </c>
      <c r="G21" s="318"/>
      <c r="H21" s="122"/>
      <c r="I21" s="318"/>
      <c r="J21" s="122"/>
      <c r="K21" s="318"/>
      <c r="L21" s="123"/>
      <c r="M21" s="320">
        <f>M20*Kp.susp1R</f>
        <v>7.1008850699623503E-4</v>
      </c>
      <c r="N21" s="320">
        <f>N20*Kp.susp1C</f>
        <v>6.0766976883788694E-8</v>
      </c>
      <c r="O21" s="320"/>
      <c r="P21" s="320"/>
      <c r="Q21" s="320"/>
      <c r="R21" s="120" t="s">
        <v>1494</v>
      </c>
      <c r="S21" s="325">
        <f>S19*(1-FRw.w1R)</f>
        <v>1.8367263930977824E-5</v>
      </c>
      <c r="T21" s="325">
        <f>T19*(1-FRw.w1C)</f>
        <v>1.5718084319284626E-9</v>
      </c>
      <c r="U21" s="325"/>
      <c r="V21" s="325"/>
      <c r="W21" s="326"/>
      <c r="X21" s="29"/>
      <c r="Y21" s="436"/>
      <c r="Z21" s="29"/>
      <c r="AA21" s="31" t="s">
        <v>2197</v>
      </c>
      <c r="AB21" s="34"/>
      <c r="AC21" s="329"/>
      <c r="AD21" s="330"/>
      <c r="AE21" s="330"/>
      <c r="AF21" s="330"/>
      <c r="AG21" s="331"/>
      <c r="AH21" s="325"/>
      <c r="AI21" s="325"/>
      <c r="AJ21" s="325"/>
      <c r="AK21" s="325"/>
      <c r="AL21" s="325"/>
      <c r="AM21" s="325"/>
      <c r="AN21" s="326"/>
      <c r="AO21" s="332"/>
      <c r="AP21" s="29"/>
      <c r="AQ21" s="437"/>
      <c r="AR21" s="2"/>
      <c r="AS21" s="68"/>
      <c r="AT21" s="75"/>
      <c r="AU21" s="286">
        <f>IF(output!AI15&lt;0,"",output!AI15)</f>
        <v>3.2985564140827124E-3</v>
      </c>
      <c r="AV21" s="75"/>
      <c r="AW21" s="75"/>
      <c r="AX21" s="288">
        <f>IF(output!AI14&lt;0,"",output!AI14)</f>
        <v>0.29724083892240521</v>
      </c>
      <c r="AY21" s="75"/>
      <c r="AZ21" s="75"/>
      <c r="BA21" s="296">
        <f>IF(output!AI13&lt;0,"",output!AI13)</f>
        <v>2.8144722204247652E-4</v>
      </c>
      <c r="BB21" s="57"/>
      <c r="BC21" s="2"/>
      <c r="BD21" s="86"/>
      <c r="BE21" s="2"/>
      <c r="BF21" s="86" t="str">
        <f>IF(output!AJ19&lt;=0,ABS(output!AJ19),"")</f>
        <v/>
      </c>
      <c r="BG21" s="75"/>
      <c r="BH21" s="89"/>
      <c r="BI21" s="2"/>
      <c r="BJ21" s="2"/>
      <c r="BK21" s="2"/>
      <c r="BL21"/>
      <c r="BM21" s="562"/>
      <c r="BN21" s="591">
        <v>8</v>
      </c>
      <c r="BO21" s="549" t="s">
        <v>1836</v>
      </c>
      <c r="BP21" s="549" t="s">
        <v>2408</v>
      </c>
      <c r="BQ21" s="550" t="s">
        <v>2408</v>
      </c>
      <c r="BR21" s="566">
        <v>775498.99558815372</v>
      </c>
      <c r="BS21" s="566"/>
      <c r="BT21" s="566">
        <v>1497501.196387144</v>
      </c>
      <c r="BU21" s="566">
        <v>52635.910649746736</v>
      </c>
      <c r="BV21" s="566">
        <v>32092.603974306905</v>
      </c>
      <c r="BW21" s="566">
        <v>335.1288229582002</v>
      </c>
      <c r="BX21" s="566">
        <v>267.31841267141351</v>
      </c>
      <c r="BY21" s="566">
        <v>8661710.1762851458</v>
      </c>
      <c r="BZ21" s="566">
        <v>99.006819507930942</v>
      </c>
      <c r="CA21" s="566">
        <v>4448384.8877561586</v>
      </c>
      <c r="CB21" s="566">
        <v>3.2112275587733388E-30</v>
      </c>
      <c r="CC21" s="566">
        <v>3204.166195919533</v>
      </c>
      <c r="CD21" s="566">
        <v>5186445.734226034</v>
      </c>
      <c r="CE21" s="566">
        <v>68.667749342433751</v>
      </c>
      <c r="CF21" s="566">
        <v>1651.0851933518438</v>
      </c>
      <c r="CG21" s="566">
        <v>775.3292469495301</v>
      </c>
      <c r="CH21" s="566">
        <v>3407.5308400701879</v>
      </c>
      <c r="CI21" s="566">
        <v>287.15898035167777</v>
      </c>
      <c r="CJ21" s="566">
        <v>9233584.146019157</v>
      </c>
      <c r="CK21" s="566">
        <v>86007470.100630358</v>
      </c>
      <c r="CL21" s="566"/>
      <c r="CM21" s="566">
        <v>5531.2828172709424</v>
      </c>
      <c r="CN21" s="566">
        <v>5776.4068815796309</v>
      </c>
      <c r="CO21" s="566">
        <v>3872579.1884971359</v>
      </c>
      <c r="CP21" s="566">
        <v>113882877.71678507</v>
      </c>
      <c r="CQ21" s="566"/>
      <c r="CR21" s="566">
        <v>7358.5633921370099</v>
      </c>
      <c r="CS21" s="566">
        <v>8478.5811908461546</v>
      </c>
      <c r="CT21" s="566">
        <v>9629131.7606283892</v>
      </c>
      <c r="CU21" s="566">
        <v>70832910.835570335</v>
      </c>
      <c r="CV21" s="566"/>
      <c r="CW21" s="566">
        <v>4515.7317845262369</v>
      </c>
      <c r="CX21" s="566">
        <v>1664.3333995817438</v>
      </c>
      <c r="CY21" s="552"/>
    </row>
    <row r="22" spans="1:103" ht="12.75" customHeight="1" x14ac:dyDescent="0.3">
      <c r="A22" s="29"/>
      <c r="B22" s="121"/>
      <c r="C22" s="318"/>
      <c r="D22" s="122"/>
      <c r="E22" s="318"/>
      <c r="F22" s="122"/>
      <c r="G22" s="318"/>
      <c r="H22" s="122"/>
      <c r="I22" s="318"/>
      <c r="J22" s="122"/>
      <c r="K22" s="318"/>
      <c r="L22" s="123"/>
      <c r="M22" s="320"/>
      <c r="N22" s="320"/>
      <c r="O22" s="320"/>
      <c r="P22" s="320"/>
      <c r="Q22" s="320"/>
      <c r="R22" s="120"/>
      <c r="S22" s="325"/>
      <c r="T22" s="325"/>
      <c r="U22" s="325"/>
      <c r="V22" s="325"/>
      <c r="W22" s="326"/>
      <c r="X22" s="29"/>
      <c r="Y22" s="436"/>
      <c r="Z22" s="29"/>
      <c r="AA22" s="32" t="s">
        <v>371</v>
      </c>
      <c r="AB22" s="33" t="s">
        <v>519</v>
      </c>
      <c r="AC22" s="332">
        <f>E.aC*Molweight</f>
        <v>0</v>
      </c>
      <c r="AD22" s="325">
        <f>(k.aR.aC*M.aR+k.aM.aC*M.aM)*Molweight</f>
        <v>1.0602653720892681</v>
      </c>
      <c r="AE22" s="325">
        <f>(k.aC.aM+k.aC.aR)*M.aC*Molweight</f>
        <v>0.92739525707541226</v>
      </c>
      <c r="AF22" s="325">
        <f>kesc.aC*M.aC*Molweight</f>
        <v>2.0515274925503283E-4</v>
      </c>
      <c r="AG22" s="326">
        <f>KDEG.aC*M.aC*Molweight</f>
        <v>0.12093154328226981</v>
      </c>
      <c r="AH22" s="325">
        <f>SUM(AH23:AH25)</f>
        <v>1.6520710800562607E-2</v>
      </c>
      <c r="AI22" s="325">
        <f>SUM(AI23:AI25)</f>
        <v>4.9419950320914209E-3</v>
      </c>
      <c r="AJ22" s="325">
        <f>SUM(AJ28:AJ30)</f>
        <v>3.7293642013396634E-4</v>
      </c>
      <c r="AK22" s="325">
        <f>SUM(AK28:AK30)</f>
        <v>2.1823320627448238E-4</v>
      </c>
      <c r="AL22" s="325"/>
      <c r="AM22" s="325"/>
      <c r="AN22" s="326"/>
      <c r="AO22" s="329">
        <f>SUM(AC22,AD22,AI22,AK22)-SUM(AE22,AF22,AG22,AH22,AJ22)</f>
        <v>0</v>
      </c>
      <c r="AP22" s="29"/>
      <c r="AQ22" s="437"/>
      <c r="AR22" s="2"/>
      <c r="AS22" s="68"/>
      <c r="AT22" s="75"/>
      <c r="AU22" s="75"/>
      <c r="AV22" s="75"/>
      <c r="AW22" s="75"/>
      <c r="AX22" s="259"/>
      <c r="AY22" s="75"/>
      <c r="AZ22" s="87"/>
      <c r="BA22" s="88"/>
      <c r="BB22" s="5"/>
      <c r="BC22" s="2"/>
      <c r="BD22" s="296">
        <f>IF(output!AJ18&lt;0,"",output!AJ18)</f>
        <v>3.6225735738529487E-5</v>
      </c>
      <c r="BE22" s="2"/>
      <c r="BF22" s="296">
        <f>IF(output!AJ20&lt;0,"",output!AJ20)</f>
        <v>1.3416939162418327E-5</v>
      </c>
      <c r="BG22" s="75"/>
      <c r="BH22" s="296">
        <f>IF(output!AJ19&lt;0,"",output!AJ19)</f>
        <v>8.0501634974509964E-5</v>
      </c>
      <c r="BI22" s="68"/>
      <c r="BJ22" s="2"/>
      <c r="BK22" s="2"/>
      <c r="BL22"/>
      <c r="BM22" s="562"/>
      <c r="BN22" s="591">
        <v>9</v>
      </c>
      <c r="BO22" s="549" t="s">
        <v>1962</v>
      </c>
      <c r="BP22" s="549" t="s">
        <v>2408</v>
      </c>
      <c r="BQ22" s="550" t="s">
        <v>2408</v>
      </c>
      <c r="BR22" s="566">
        <v>287418.78488055337</v>
      </c>
      <c r="BS22" s="566"/>
      <c r="BT22" s="566">
        <v>9664918.1276724488</v>
      </c>
      <c r="BU22" s="566">
        <v>408427.34578809101</v>
      </c>
      <c r="BV22" s="566">
        <v>80140.483646963839</v>
      </c>
      <c r="BW22" s="566">
        <v>1031.7735986566595</v>
      </c>
      <c r="BX22" s="566">
        <v>65712.618308630015</v>
      </c>
      <c r="BY22" s="566">
        <v>4946878.2971498286</v>
      </c>
      <c r="BZ22" s="566">
        <v>24338.006780974069</v>
      </c>
      <c r="CA22" s="566">
        <v>460021.48915395892</v>
      </c>
      <c r="CB22" s="566">
        <v>2.1849513397839396E-29</v>
      </c>
      <c r="CC22" s="566">
        <v>340061.36000881542</v>
      </c>
      <c r="CD22" s="566">
        <v>7391172.7707722075</v>
      </c>
      <c r="CE22" s="566">
        <v>2819.7529974642293</v>
      </c>
      <c r="CF22" s="566">
        <v>933.58304807894126</v>
      </c>
      <c r="CG22" s="566">
        <v>56578.996813226775</v>
      </c>
      <c r="CH22" s="566">
        <v>326510.62103935424</v>
      </c>
      <c r="CI22" s="566">
        <v>20955.184004898794</v>
      </c>
      <c r="CJ22" s="566">
        <v>119472.60551560679</v>
      </c>
      <c r="CK22" s="566">
        <v>2663067.1007246426</v>
      </c>
      <c r="CL22" s="566"/>
      <c r="CM22" s="566">
        <v>67.271836869750686</v>
      </c>
      <c r="CN22" s="566">
        <v>52741.091538734676</v>
      </c>
      <c r="CO22" s="566">
        <v>8046.6592644001248</v>
      </c>
      <c r="CP22" s="566">
        <v>693366.82907729642</v>
      </c>
      <c r="CQ22" s="566"/>
      <c r="CR22" s="566">
        <v>17.688177905794433</v>
      </c>
      <c r="CS22" s="566">
        <v>11818.239586375905</v>
      </c>
      <c r="CT22" s="566">
        <v>14128.598378336585</v>
      </c>
      <c r="CU22" s="566">
        <v>114606.72011819892</v>
      </c>
      <c r="CV22" s="566"/>
      <c r="CW22" s="566">
        <v>2.8422674871992548</v>
      </c>
      <c r="CX22" s="566">
        <v>1756.9804941571231</v>
      </c>
      <c r="CY22" s="552"/>
    </row>
    <row r="23" spans="1:103" ht="12.75" customHeight="1" x14ac:dyDescent="0.3">
      <c r="A23" s="29"/>
      <c r="B23" s="66" t="s">
        <v>448</v>
      </c>
      <c r="C23" s="318">
        <f>M.sd1R*Molweight</f>
        <v>46254.283251881345</v>
      </c>
      <c r="D23" s="122">
        <f>C23/$C$51</f>
        <v>1.2776972445418677E-2</v>
      </c>
      <c r="E23" s="318">
        <f>M.sd1C*Molweight</f>
        <v>64.324691895444133</v>
      </c>
      <c r="F23" s="122">
        <f>E23/$E$51</f>
        <v>8.6834355974796395E-5</v>
      </c>
      <c r="G23" s="318"/>
      <c r="H23" s="122"/>
      <c r="I23" s="318"/>
      <c r="J23" s="122"/>
      <c r="K23" s="318"/>
      <c r="L23" s="123"/>
      <c r="M23" s="320">
        <f>C.sd1R*(Molweight*1000)/(FRACw.sdR*1000+FRACs.sdR*RHOsolid)</f>
        <v>1.8868415291416635E-4</v>
      </c>
      <c r="N23" s="320">
        <f>C.sd1C*(Molweight*1000)/(FRACw.sdC*1000+FRACs.sdC*RHOsolid)</f>
        <v>1.6146952732658704E-8</v>
      </c>
      <c r="O23" s="320"/>
      <c r="P23" s="320"/>
      <c r="Q23" s="320"/>
      <c r="R23" s="120" t="s">
        <v>1495</v>
      </c>
      <c r="S23" s="325">
        <f>F.sd1R</f>
        <v>1.7729356910770482E-2</v>
      </c>
      <c r="T23" s="325">
        <f>F.sd1C</f>
        <v>1.5172185029702801E-6</v>
      </c>
      <c r="U23" s="325"/>
      <c r="V23" s="325"/>
      <c r="W23" s="326"/>
      <c r="X23" s="29"/>
      <c r="Y23" s="436"/>
      <c r="Z23" s="29"/>
      <c r="AA23" s="32" t="s">
        <v>372</v>
      </c>
      <c r="AB23" s="33" t="s">
        <v>279</v>
      </c>
      <c r="AC23" s="332">
        <f>E.w0C*Molweight</f>
        <v>0</v>
      </c>
      <c r="AD23" s="325">
        <f>k.w1C.w0C*M.w1C*Molweight</f>
        <v>0</v>
      </c>
      <c r="AE23" s="325">
        <f>(k.w0C.w1C+k.w0C.w2C)*M.w0C*Molweight</f>
        <v>7.0116860190125087E-7</v>
      </c>
      <c r="AF23" s="330"/>
      <c r="AG23" s="326">
        <f>KDEG.w0C*M.w0C*Molweight</f>
        <v>2.5413811838922241E-5</v>
      </c>
      <c r="AH23" s="325">
        <f>k.aC.w0C*M.aC*Molweight</f>
        <v>4.0098812622724775E-5</v>
      </c>
      <c r="AI23" s="325">
        <f>k.w0C.aC*M.w0C*Molweight</f>
        <v>1.4985427296827578E-5</v>
      </c>
      <c r="AJ23" s="325"/>
      <c r="AK23" s="325"/>
      <c r="AL23" s="325">
        <f>SUM(AL28:AL30)*AREAFRAC.w0C/(AREAFRAC.w1C+AREAFRAC.w0C)</f>
        <v>1.0015951149262991E-6</v>
      </c>
      <c r="AM23" s="325"/>
      <c r="AN23" s="326"/>
      <c r="AO23" s="329">
        <f>SUM(AC23,AD23,AH23,AL23,AN23)-SUM(AF23,AE23,AG23,AI23,AM23)</f>
        <v>0</v>
      </c>
      <c r="AP23" s="29"/>
      <c r="AQ23" s="437"/>
      <c r="AR23" s="2"/>
      <c r="AS23" s="68"/>
      <c r="AT23" s="75"/>
      <c r="AU23" s="286">
        <f>IF(output!AH15&lt;0,"",output!AH15)</f>
        <v>2.4488573684241205E-5</v>
      </c>
      <c r="AV23" s="75"/>
      <c r="AW23" s="75"/>
      <c r="AX23" s="288">
        <f>IF(output!AH14&lt;0,"",output!AH14)</f>
        <v>1.5392721539269269E-4</v>
      </c>
      <c r="AY23" s="291">
        <f>output!AL14</f>
        <v>8.3372254816853897E-3</v>
      </c>
      <c r="AZ23" s="87"/>
      <c r="BA23" s="296">
        <f>IF(output!AH13&lt;0,"",output!AH13)</f>
        <v>1.3993383217517516E-5</v>
      </c>
      <c r="BB23" s="291">
        <f>output!AL13</f>
        <v>7.5792958924412632E-4</v>
      </c>
      <c r="BC23" s="2"/>
      <c r="BD23" s="75"/>
      <c r="BE23" s="2"/>
      <c r="BF23" s="2"/>
      <c r="BG23" s="2"/>
      <c r="BH23" s="75"/>
      <c r="BI23" s="49"/>
      <c r="BJ23" s="2"/>
      <c r="BK23" s="2"/>
      <c r="BL23"/>
      <c r="BM23" s="562"/>
      <c r="BN23" s="591">
        <v>10</v>
      </c>
      <c r="BO23" s="549" t="s">
        <v>1802</v>
      </c>
      <c r="BP23" s="549" t="s">
        <v>2408</v>
      </c>
      <c r="BQ23" s="550" t="s">
        <v>2408</v>
      </c>
      <c r="BR23" s="566">
        <v>258651.6371123108</v>
      </c>
      <c r="BS23" s="566"/>
      <c r="BT23" s="566">
        <v>5896316.5470033595</v>
      </c>
      <c r="BU23" s="566">
        <v>243298.3983714288</v>
      </c>
      <c r="BV23" s="566">
        <v>77116.991707295543</v>
      </c>
      <c r="BW23" s="566">
        <v>959.9111045455677</v>
      </c>
      <c r="BX23" s="566">
        <v>37889.286305369635</v>
      </c>
      <c r="BY23" s="566">
        <v>18783529.105169021</v>
      </c>
      <c r="BZ23" s="566">
        <v>14033.069001988755</v>
      </c>
      <c r="CA23" s="566">
        <v>355420.45763974992</v>
      </c>
      <c r="CB23" s="566">
        <v>1.235297945332216E-29</v>
      </c>
      <c r="CC23" s="566">
        <v>72928.433986081</v>
      </c>
      <c r="CD23" s="566">
        <v>4181190.5454442208</v>
      </c>
      <c r="CE23" s="566">
        <v>953.8194556038402</v>
      </c>
      <c r="CF23" s="566">
        <v>824.8248368379252</v>
      </c>
      <c r="CG23" s="566">
        <v>23470.748790023841</v>
      </c>
      <c r="CH23" s="566">
        <v>180258.6242433704</v>
      </c>
      <c r="CI23" s="566">
        <v>8692.8699222310479</v>
      </c>
      <c r="CJ23" s="566">
        <v>77524.366594164792</v>
      </c>
      <c r="CK23" s="566">
        <v>1320822.0050415054</v>
      </c>
      <c r="CL23" s="566"/>
      <c r="CM23" s="566">
        <v>52.10958450818822</v>
      </c>
      <c r="CN23" s="566">
        <v>18374.960127187962</v>
      </c>
      <c r="CO23" s="566">
        <v>4848.4359051288593</v>
      </c>
      <c r="CP23" s="566">
        <v>299941.6487004619</v>
      </c>
      <c r="CQ23" s="566"/>
      <c r="CR23" s="566">
        <v>11.962820799657473</v>
      </c>
      <c r="CS23" s="566">
        <v>3740.2677706597078</v>
      </c>
      <c r="CT23" s="566">
        <v>7789.2769482442773</v>
      </c>
      <c r="CU23" s="566">
        <v>43982.545263468295</v>
      </c>
      <c r="CV23" s="566"/>
      <c r="CW23" s="566">
        <v>1.7002528724828103</v>
      </c>
      <c r="CX23" s="566">
        <v>533.57265811751427</v>
      </c>
      <c r="CY23" s="552"/>
    </row>
    <row r="24" spans="1:103" ht="12.75" customHeight="1" x14ac:dyDescent="0.3">
      <c r="A24" s="29"/>
      <c r="B24" s="121" t="s">
        <v>717</v>
      </c>
      <c r="C24" s="318">
        <f>C23*FRACw.sdR</f>
        <v>37003.426601505074</v>
      </c>
      <c r="D24" s="122">
        <f>C24/$C$51</f>
        <v>1.0221577956334941E-2</v>
      </c>
      <c r="E24" s="318">
        <f>E23*FRACw.sdC</f>
        <v>51.459753516355306</v>
      </c>
      <c r="F24" s="122">
        <f>E24/$E$51</f>
        <v>6.9467484779837127E-5</v>
      </c>
      <c r="G24" s="318"/>
      <c r="H24" s="122"/>
      <c r="I24" s="318"/>
      <c r="J24" s="122"/>
      <c r="K24" s="318"/>
      <c r="L24" s="123"/>
      <c r="M24" s="320">
        <f>M25/Kp.sd1R</f>
        <v>1.224093790644573E-5</v>
      </c>
      <c r="N24" s="320">
        <f>N25/Kp.sd1C</f>
        <v>1.0475381356944344E-9</v>
      </c>
      <c r="O24" s="320"/>
      <c r="P24" s="320"/>
      <c r="Q24" s="320"/>
      <c r="R24" s="120" t="s">
        <v>1489</v>
      </c>
      <c r="S24" s="325">
        <f>S23*FRACw.sdR</f>
        <v>1.4183485528616386E-2</v>
      </c>
      <c r="T24" s="325">
        <f>T23*FRACw.sdC</f>
        <v>1.2137748023762241E-6</v>
      </c>
      <c r="U24" s="325"/>
      <c r="V24" s="325"/>
      <c r="W24" s="326"/>
      <c r="X24" s="29"/>
      <c r="Y24" s="436"/>
      <c r="Z24" s="29"/>
      <c r="AA24" s="32" t="s">
        <v>2057</v>
      </c>
      <c r="AB24" s="33" t="s">
        <v>1320</v>
      </c>
      <c r="AC24" s="332">
        <f>E.w1C*Molweight</f>
        <v>0</v>
      </c>
      <c r="AD24" s="325">
        <f>k.w0C.w1C*M.w0C*Molweight</f>
        <v>7.0116860190125087E-7</v>
      </c>
      <c r="AE24" s="325">
        <f>(k.w1C.w0C+k.w1C.w1R+k.w1C.w2C)*M.w1C*Molweight</f>
        <v>1.76026918018632E-5</v>
      </c>
      <c r="AF24" s="330"/>
      <c r="AG24" s="326">
        <f>KDEG.w1C*M.w1C*Molweight</f>
        <v>2.1030818304487553E-5</v>
      </c>
      <c r="AH24" s="325">
        <f>k.aC.w1C*M.aC*Molweight</f>
        <v>4.4108693884997252E-4</v>
      </c>
      <c r="AI24" s="325">
        <f>k.w1C.aC*M.w1C*Molweight</f>
        <v>4.1336550992062711E-4</v>
      </c>
      <c r="AJ24" s="517"/>
      <c r="AK24" s="517"/>
      <c r="AL24" s="325">
        <f>SUM(AL28:AL30)*AREAFRAC.w1C/(AREAFRAC.w1C+AREAFRAC.w0C)</f>
        <v>1.101754626418929E-5</v>
      </c>
      <c r="AM24" s="325">
        <f>k.w1C.sd1C*M.w1C*Molweight</f>
        <v>5.4260846768070559E-6</v>
      </c>
      <c r="AN24" s="326">
        <f>k.sd1C.w1C*M.sd1C*Molweight</f>
        <v>4.6194509877219488E-6</v>
      </c>
      <c r="AO24" s="329">
        <f>SUM(AC24,AD24,AH24,AL24,AN24)-SUM(AF24,AE24,AG24,AI24,AM24)</f>
        <v>0</v>
      </c>
      <c r="AP24" s="503"/>
      <c r="AQ24" s="437"/>
      <c r="AR24" s="2"/>
      <c r="AS24" s="313">
        <f>output!AE13</f>
        <v>1.3168924134068003E-5</v>
      </c>
      <c r="AT24" s="75"/>
      <c r="AU24" s="75"/>
      <c r="AV24" s="75"/>
      <c r="AW24" s="75"/>
      <c r="AX24" s="259"/>
      <c r="AY24" s="75"/>
      <c r="AZ24" s="75"/>
      <c r="BA24" s="75"/>
      <c r="BB24" s="76"/>
      <c r="BC24" s="87"/>
      <c r="BD24" s="75"/>
      <c r="BE24" s="87"/>
      <c r="BF24" s="87"/>
      <c r="BG24" s="43"/>
      <c r="BH24" s="90"/>
      <c r="BI24" s="2"/>
      <c r="BJ24" s="2"/>
      <c r="BK24" s="2"/>
      <c r="BL24"/>
      <c r="BM24" s="562"/>
      <c r="BN24" s="591">
        <v>11</v>
      </c>
      <c r="BO24" s="549" t="s">
        <v>1838</v>
      </c>
      <c r="BP24" s="549" t="s">
        <v>2408</v>
      </c>
      <c r="BQ24" s="550" t="s">
        <v>2408</v>
      </c>
      <c r="BR24" s="566">
        <v>103.79758761587939</v>
      </c>
      <c r="BS24" s="566"/>
      <c r="BT24" s="566">
        <v>40813472.371129893</v>
      </c>
      <c r="BU24" s="566">
        <v>1989860.9224724537</v>
      </c>
      <c r="BV24" s="566">
        <v>319213.84933665639</v>
      </c>
      <c r="BW24" s="566">
        <v>4746.3605977344168</v>
      </c>
      <c r="BX24" s="566">
        <v>343193.6288710591</v>
      </c>
      <c r="BY24" s="566">
        <v>7612067.4105902798</v>
      </c>
      <c r="BZ24" s="566">
        <v>127108.75143372557</v>
      </c>
      <c r="CA24" s="566">
        <v>7.1414970439821465E-2</v>
      </c>
      <c r="CB24" s="566">
        <v>8.3394318919116597E-33</v>
      </c>
      <c r="CC24" s="566">
        <v>3616.2695959608632</v>
      </c>
      <c r="CD24" s="566">
        <v>132065194.49502219</v>
      </c>
      <c r="CE24" s="566">
        <v>28.283879584387947</v>
      </c>
      <c r="CF24" s="566">
        <v>15750.574032693055</v>
      </c>
      <c r="CG24" s="566">
        <v>122.3600676209698</v>
      </c>
      <c r="CH24" s="566">
        <v>1014.5219250757146</v>
      </c>
      <c r="CI24" s="566">
        <v>45.318543563322152</v>
      </c>
      <c r="CJ24" s="566">
        <v>7.4989867547143195E-6</v>
      </c>
      <c r="CK24" s="566">
        <v>2545476073.3075199</v>
      </c>
      <c r="CL24" s="566"/>
      <c r="CM24" s="566">
        <v>61329.199392973132</v>
      </c>
      <c r="CN24" s="566">
        <v>4.6116537190460494E-2</v>
      </c>
      <c r="CO24" s="566">
        <v>2.1410468251640495E-7</v>
      </c>
      <c r="CP24" s="566">
        <v>1634864559.8086228</v>
      </c>
      <c r="CQ24" s="566"/>
      <c r="CR24" s="566">
        <v>39461.377081208615</v>
      </c>
      <c r="CS24" s="566">
        <v>6.8978538344045164E-4</v>
      </c>
      <c r="CT24" s="566">
        <v>3.8259490455328466E-7</v>
      </c>
      <c r="CU24" s="566">
        <v>3902738068.8122454</v>
      </c>
      <c r="CV24" s="566"/>
      <c r="CW24" s="566">
        <v>93711.042873617407</v>
      </c>
      <c r="CX24" s="566">
        <v>1.7598706239828842E-3</v>
      </c>
      <c r="CY24" s="552"/>
    </row>
    <row r="25" spans="1:103" ht="12.75" customHeight="1" x14ac:dyDescent="0.3">
      <c r="A25" s="29"/>
      <c r="B25" s="121" t="s">
        <v>718</v>
      </c>
      <c r="C25" s="318">
        <f>C23*FRACs.sdR</f>
        <v>9250.8566503762668</v>
      </c>
      <c r="D25" s="122">
        <f>C25/$C$51</f>
        <v>2.5553944890837348E-3</v>
      </c>
      <c r="E25" s="318">
        <f>E23*FRACs.sdC</f>
        <v>12.864938379088823</v>
      </c>
      <c r="F25" s="122">
        <f>E25/$E$51</f>
        <v>1.7366871194959275E-5</v>
      </c>
      <c r="G25" s="318"/>
      <c r="H25" s="122"/>
      <c r="I25" s="318"/>
      <c r="J25" s="122"/>
      <c r="K25" s="318"/>
      <c r="L25" s="123"/>
      <c r="M25" s="320">
        <f>C.sd1R*FRACs.sdR/(FRACw.sdR/(Kp.sd1R*RHOsolid/1000)+FRACs.sdR)*(Molweight*1000)/(FRACs.sdR*RHOsolid)</f>
        <v>4.7099329692651946E-4</v>
      </c>
      <c r="N25" s="320">
        <f>C.sd1C*FRACs.sdC/(FRACw.sdC/(Kp.sd1C*RHOsolid/1000)+FRACs.sdC)*(Molweight*1000)/(FRACs.sdC*RHOsolid)</f>
        <v>4.0306016087801545E-8</v>
      </c>
      <c r="O25" s="320"/>
      <c r="P25" s="320"/>
      <c r="Q25" s="320"/>
      <c r="R25" s="120" t="s">
        <v>1494</v>
      </c>
      <c r="S25" s="325">
        <f>S23*(1-FRACw.sdR)</f>
        <v>3.5458713821540956E-3</v>
      </c>
      <c r="T25" s="325">
        <f>T23*(1-FRACw.sdC)</f>
        <v>3.0344370059405597E-7</v>
      </c>
      <c r="U25" s="325"/>
      <c r="V25" s="325"/>
      <c r="W25" s="326"/>
      <c r="X25" s="29"/>
      <c r="Y25" s="436"/>
      <c r="Z25" s="29"/>
      <c r="AA25" s="32" t="s">
        <v>376</v>
      </c>
      <c r="AB25" s="33" t="s">
        <v>1321</v>
      </c>
      <c r="AC25" s="332">
        <f>E.w2C*Molweight</f>
        <v>0</v>
      </c>
      <c r="AD25" s="325">
        <f>(k.w2M.w2C*M.w2M+k.w2R.w2C*M.w2R+k.w1C.w2C*M.w1C)*Molweight</f>
        <v>9.3781410757734929E-3</v>
      </c>
      <c r="AE25" s="325">
        <f>(k.w2C.w2M+k.w2C.w2R)*M.w2C*Molweight</f>
        <v>5.5887400958915135E-3</v>
      </c>
      <c r="AF25" s="330"/>
      <c r="AG25" s="326">
        <f>KDEG.w2C*M.w2C*Molweight</f>
        <v>1.5309393514494361E-2</v>
      </c>
      <c r="AH25" s="325">
        <f>k.aC.w2C*M.aC*Molweight</f>
        <v>1.6039525049089908E-2</v>
      </c>
      <c r="AI25" s="325">
        <f>k.w2C.aC*M.w2C*Molweight</f>
        <v>4.5136440948739661E-3</v>
      </c>
      <c r="AJ25" s="325"/>
      <c r="AK25" s="325"/>
      <c r="AL25" s="325"/>
      <c r="AM25" s="325">
        <f>k.w2C.sd2C*M.w2C*Molweight</f>
        <v>3.9637370246024513E-5</v>
      </c>
      <c r="AN25" s="326">
        <f>k.sd2C.w2C*M.sd2C*Molweight</f>
        <v>3.3748950642461441E-5</v>
      </c>
      <c r="AO25" s="329">
        <f>SUM(AC25,AD25,AH25,AL25,AN25)-SUM(AF25,AE25,AG25,AI25,AM25)</f>
        <v>0</v>
      </c>
      <c r="AP25" s="29"/>
      <c r="AQ25" s="437"/>
      <c r="AR25" s="2"/>
      <c r="AS25" s="313">
        <f>output!AE14</f>
        <v>1.2657657092588681E-2</v>
      </c>
      <c r="AT25" s="75"/>
      <c r="AU25" s="75"/>
      <c r="AV25" s="87"/>
      <c r="AW25" s="75"/>
      <c r="AX25" s="289">
        <f>output!AD14</f>
        <v>1.3168924134068003E-5</v>
      </c>
      <c r="AY25" s="75"/>
      <c r="AZ25" s="201"/>
      <c r="BA25" s="87"/>
      <c r="BB25" s="76"/>
      <c r="BC25" s="87"/>
      <c r="BD25" s="75"/>
      <c r="BE25" s="87"/>
      <c r="BF25" s="87"/>
      <c r="BG25" s="43"/>
      <c r="BH25" s="90"/>
      <c r="BI25" s="75"/>
      <c r="BJ25" s="2"/>
      <c r="BK25" s="2"/>
      <c r="BL25"/>
      <c r="BM25" s="562"/>
      <c r="BN25" s="591">
        <v>12</v>
      </c>
      <c r="BO25" s="549" t="s">
        <v>1771</v>
      </c>
      <c r="BP25" s="549" t="s">
        <v>2408</v>
      </c>
      <c r="BQ25" s="550" t="s">
        <v>2408</v>
      </c>
      <c r="BR25" s="566">
        <v>580291.00010953029</v>
      </c>
      <c r="BS25" s="566"/>
      <c r="BT25" s="566">
        <v>2104430.1743604424</v>
      </c>
      <c r="BU25" s="566">
        <v>73119.790041047701</v>
      </c>
      <c r="BV25" s="566">
        <v>17775.508290026595</v>
      </c>
      <c r="BW25" s="566">
        <v>188.10186783489092</v>
      </c>
      <c r="BX25" s="566">
        <v>32.863271484128404</v>
      </c>
      <c r="BY25" s="566">
        <v>13141803.951791415</v>
      </c>
      <c r="BZ25" s="566">
        <v>12.171582031158668</v>
      </c>
      <c r="CA25" s="566">
        <v>1148464.8624781575</v>
      </c>
      <c r="CB25" s="566">
        <v>3.236876098979502E-31</v>
      </c>
      <c r="CC25" s="566">
        <v>326.52949123786942</v>
      </c>
      <c r="CD25" s="566">
        <v>2080430.3208565102</v>
      </c>
      <c r="CE25" s="566">
        <v>2.758099436680467</v>
      </c>
      <c r="CF25" s="566">
        <v>267.59706847747111</v>
      </c>
      <c r="CG25" s="566">
        <v>30.27459823029217</v>
      </c>
      <c r="CH25" s="566">
        <v>248.45626346694354</v>
      </c>
      <c r="CI25" s="566">
        <v>11.212814159367472</v>
      </c>
      <c r="CJ25" s="566">
        <v>389769.19885007048</v>
      </c>
      <c r="CK25" s="566">
        <v>7774888.24366327</v>
      </c>
      <c r="CL25" s="566"/>
      <c r="CM25" s="566">
        <v>202.02847554818118</v>
      </c>
      <c r="CN25" s="566">
        <v>36.878381082042807</v>
      </c>
      <c r="CO25" s="566">
        <v>46342.597691755189</v>
      </c>
      <c r="CP25" s="566">
        <v>1810018.6468394301</v>
      </c>
      <c r="CQ25" s="566"/>
      <c r="CR25" s="566">
        <v>47.125330709126523</v>
      </c>
      <c r="CS25" s="566">
        <v>15.310513075172796</v>
      </c>
      <c r="CT25" s="566">
        <v>69314.304979248409</v>
      </c>
      <c r="CU25" s="566">
        <v>2765058.8462661044</v>
      </c>
      <c r="CV25" s="566"/>
      <c r="CW25" s="566">
        <v>71.586802920952834</v>
      </c>
      <c r="CX25" s="566">
        <v>1.9911987032171341</v>
      </c>
      <c r="CY25" s="552"/>
    </row>
    <row r="26" spans="1:103" ht="12.75" customHeight="1" x14ac:dyDescent="0.3">
      <c r="A26" s="29"/>
      <c r="B26" s="121"/>
      <c r="C26" s="318"/>
      <c r="D26" s="122"/>
      <c r="E26" s="318"/>
      <c r="F26" s="122"/>
      <c r="G26" s="318"/>
      <c r="H26" s="122"/>
      <c r="I26" s="318"/>
      <c r="J26" s="122"/>
      <c r="K26" s="318"/>
      <c r="L26" s="123"/>
      <c r="M26" s="320"/>
      <c r="N26" s="320"/>
      <c r="O26" s="320"/>
      <c r="P26" s="320"/>
      <c r="Q26" s="320"/>
      <c r="R26" s="120"/>
      <c r="S26" s="325"/>
      <c r="T26" s="325"/>
      <c r="U26" s="325"/>
      <c r="V26" s="325"/>
      <c r="W26" s="326"/>
      <c r="X26" s="29"/>
      <c r="Y26" s="436"/>
      <c r="Z26" s="29"/>
      <c r="AA26" s="32" t="s">
        <v>377</v>
      </c>
      <c r="AB26" s="33" t="s">
        <v>1322</v>
      </c>
      <c r="AC26" s="332"/>
      <c r="AD26" s="330"/>
      <c r="AE26" s="330"/>
      <c r="AF26" s="325">
        <f>(NETsedrate.w1C*SYSTEMAREA.C*AREAFRAC.w1C)*C.sd1C*Molweight</f>
        <v>1.8488385595538951E-7</v>
      </c>
      <c r="AG26" s="326">
        <f>KDEG.sd1C*M.sd1C*Molweight</f>
        <v>6.2174983312971711E-7</v>
      </c>
      <c r="AH26" s="325"/>
      <c r="AI26" s="325"/>
      <c r="AJ26" s="325"/>
      <c r="AK26" s="325"/>
      <c r="AL26" s="325"/>
      <c r="AM26" s="325">
        <f>k.w1C.sd1C*M.w1C*Molweight</f>
        <v>5.4260846768070559E-6</v>
      </c>
      <c r="AN26" s="326">
        <f>k.sd1C.w1C*M.sd1C*Molweight</f>
        <v>4.6194509877219488E-6</v>
      </c>
      <c r="AO26" s="329">
        <f>SUM(AC26,AD26,AM26)-SUM(AE26,AF26,AG26,AN26)</f>
        <v>0</v>
      </c>
      <c r="AP26" s="29"/>
      <c r="AQ26" s="437"/>
      <c r="AR26" s="2"/>
      <c r="AS26" s="313">
        <f>output!AE15</f>
        <v>8.822401335729162E-3</v>
      </c>
      <c r="AT26" s="75"/>
      <c r="AU26" s="285">
        <f>output!AD15</f>
        <v>1.2660582207119393E-2</v>
      </c>
      <c r="AV26" s="87"/>
      <c r="AW26" s="75"/>
      <c r="AX26" s="75"/>
      <c r="AY26" s="75"/>
      <c r="AZ26" s="87"/>
      <c r="BA26" s="87"/>
      <c r="BB26" s="60" t="s">
        <v>2164</v>
      </c>
      <c r="BC26" s="87"/>
      <c r="BD26" s="75"/>
      <c r="BE26" s="87"/>
      <c r="BF26" s="87"/>
      <c r="BG26" s="75"/>
      <c r="BH26" s="87"/>
      <c r="BI26" s="75"/>
      <c r="BJ26" s="2"/>
      <c r="BK26" s="2"/>
      <c r="BL26"/>
      <c r="BM26" s="562"/>
      <c r="BN26" s="591">
        <v>13</v>
      </c>
      <c r="BO26" s="549" t="s">
        <v>1855</v>
      </c>
      <c r="BP26" s="549" t="s">
        <v>2408</v>
      </c>
      <c r="BQ26" s="550" t="s">
        <v>2408</v>
      </c>
      <c r="BR26" s="566">
        <v>390936.04935502051</v>
      </c>
      <c r="BS26" s="566"/>
      <c r="BT26" s="566">
        <v>2409030.5831171428</v>
      </c>
      <c r="BU26" s="566">
        <v>80063.372570097228</v>
      </c>
      <c r="BV26" s="566">
        <v>33447.604610702867</v>
      </c>
      <c r="BW26" s="566">
        <v>334.80690104749374</v>
      </c>
      <c r="BX26" s="566">
        <v>10.444800384705648</v>
      </c>
      <c r="BY26" s="566">
        <v>9838091.3625445105</v>
      </c>
      <c r="BZ26" s="566">
        <v>3.8684445869280184</v>
      </c>
      <c r="CA26" s="566">
        <v>167169.09624299812</v>
      </c>
      <c r="CB26" s="566">
        <v>1.9425767905779568E-32</v>
      </c>
      <c r="CC26" s="566">
        <v>16.276055976621834</v>
      </c>
      <c r="CD26" s="566">
        <v>1798088.8660445889</v>
      </c>
      <c r="CE26" s="566">
        <v>0.22598097705480341</v>
      </c>
      <c r="CF26" s="566">
        <v>375.96003123732748</v>
      </c>
      <c r="CG26" s="566">
        <v>2.2189091511618044</v>
      </c>
      <c r="CH26" s="566">
        <v>8.9098802020470682</v>
      </c>
      <c r="CI26" s="566">
        <v>0.82181820413400142</v>
      </c>
      <c r="CJ26" s="566">
        <v>12219.525568881487</v>
      </c>
      <c r="CK26" s="566">
        <v>5488510.0122211464</v>
      </c>
      <c r="CL26" s="566"/>
      <c r="CM26" s="566">
        <v>231.83294529641532</v>
      </c>
      <c r="CN26" s="566">
        <v>0.58215888020279716</v>
      </c>
      <c r="CO26" s="566">
        <v>561.39731080421575</v>
      </c>
      <c r="CP26" s="566">
        <v>853981.04412395693</v>
      </c>
      <c r="CQ26" s="566"/>
      <c r="CR26" s="566">
        <v>36.185639766668736</v>
      </c>
      <c r="CS26" s="566">
        <v>9.2476541033062132E-2</v>
      </c>
      <c r="CT26" s="566">
        <v>805.49019243093619</v>
      </c>
      <c r="CU26" s="566">
        <v>1672119.3275431092</v>
      </c>
      <c r="CV26" s="566"/>
      <c r="CW26" s="566">
        <v>70.21722255753879</v>
      </c>
      <c r="CX26" s="566">
        <v>1.0915097144157254E-2</v>
      </c>
      <c r="CY26" s="552"/>
    </row>
    <row r="27" spans="1:103" ht="12.75" customHeight="1" x14ac:dyDescent="0.3">
      <c r="A27" s="29"/>
      <c r="B27" s="66" t="s">
        <v>1463</v>
      </c>
      <c r="C27" s="318">
        <f>M.w2R*Molweight</f>
        <v>6440.3932275399684</v>
      </c>
      <c r="D27" s="122">
        <f>C27/$C$51</f>
        <v>1.7790509552991988E-3</v>
      </c>
      <c r="E27" s="318">
        <f>M.w2C*Molweight</f>
        <v>176256.7572653504</v>
      </c>
      <c r="F27" s="122">
        <f>E27/$E$51</f>
        <v>0.23793572191873527</v>
      </c>
      <c r="G27" s="318">
        <f>M.w2M*Molweight</f>
        <v>88392.516602573101</v>
      </c>
      <c r="H27" s="122">
        <f>G27/$G$51</f>
        <v>6.3502220180670907E-2</v>
      </c>
      <c r="I27" s="318">
        <f>M.w2A*Molweight</f>
        <v>192832.98568913969</v>
      </c>
      <c r="J27" s="122">
        <f>I27/$I$51</f>
        <v>8.2139595454738701E-2</v>
      </c>
      <c r="K27" s="318">
        <f>M.w2T*Molweight</f>
        <v>44357.614839689646</v>
      </c>
      <c r="L27" s="123">
        <f>K27/$K$51</f>
        <v>3.9351580613938869E-2</v>
      </c>
      <c r="M27" s="320">
        <f>C.w2R*Molweight</f>
        <v>6.4403932275399614E-7</v>
      </c>
      <c r="N27" s="320">
        <f>C.w2C*Molweight</f>
        <v>2.3726077259288876E-10</v>
      </c>
      <c r="O27" s="320">
        <f>C.w2M*Molweight</f>
        <v>2.2857687240431924E-11</v>
      </c>
      <c r="P27" s="320">
        <f>C.w2A*Molweight</f>
        <v>7.5620778701623413E-11</v>
      </c>
      <c r="Q27" s="320">
        <f>C.w2T*Molweight</f>
        <v>4.9700408783965993E-12</v>
      </c>
      <c r="R27" s="120" t="s">
        <v>1489</v>
      </c>
      <c r="S27" s="325">
        <f>F.w2R</f>
        <v>9.3280458613092837E-4</v>
      </c>
      <c r="T27" s="325">
        <f>F.w2C</f>
        <v>3.4364040977689002E-7</v>
      </c>
      <c r="U27" s="325">
        <f>F.w2M</f>
        <v>3.3106294496191159E-8</v>
      </c>
      <c r="V27" s="325">
        <f>F.w2A</f>
        <v>2.9838236091167891E-8</v>
      </c>
      <c r="W27" s="326">
        <f>F.w2T</f>
        <v>1.4182650477097306E-8</v>
      </c>
      <c r="X27" s="29"/>
      <c r="Y27" s="436"/>
      <c r="Z27" s="29"/>
      <c r="AA27" s="32" t="s">
        <v>378</v>
      </c>
      <c r="AB27" s="33" t="s">
        <v>1323</v>
      </c>
      <c r="AC27" s="332"/>
      <c r="AD27" s="330"/>
      <c r="AE27" s="330"/>
      <c r="AF27" s="325">
        <f>(NETsedrate.w2C*SYSTEMAREA.C*AREAFRAC.w2C)*C.sd2C*Molweight</f>
        <v>0</v>
      </c>
      <c r="AG27" s="326">
        <f>KDEG.sd2C*M.sd2C*Molweight</f>
        <v>5.8884196035630824E-6</v>
      </c>
      <c r="AH27" s="325"/>
      <c r="AI27" s="325"/>
      <c r="AJ27" s="325"/>
      <c r="AK27" s="325"/>
      <c r="AL27" s="325"/>
      <c r="AM27" s="325">
        <f>k.w2C.sd2C*M.w2C*Molweight</f>
        <v>3.9637370246024513E-5</v>
      </c>
      <c r="AN27" s="326">
        <f>k.sd2C.w2C*M.sd2C*Molweight</f>
        <v>3.3748950642461441E-5</v>
      </c>
      <c r="AO27" s="329">
        <f>SUM(AC27,AD27,AM27)-SUM(AE27,AF27,AG27,AN27)</f>
        <v>0</v>
      </c>
      <c r="AP27" s="29"/>
      <c r="AQ27" s="437"/>
      <c r="AR27" s="2"/>
      <c r="AS27" s="68"/>
      <c r="AT27" s="83"/>
      <c r="AU27" s="82"/>
      <c r="AV27" s="81"/>
      <c r="AW27" s="2"/>
      <c r="AX27" s="75"/>
      <c r="AY27" s="75"/>
      <c r="AZ27" s="75"/>
      <c r="BA27" s="297">
        <f>output!AG13</f>
        <v>4.7730682628509925E-4</v>
      </c>
      <c r="BB27" s="264">
        <f>IF(ISERROR(output!D15),0,output!D15)</f>
        <v>1.5174385387685314E-3</v>
      </c>
      <c r="BC27" s="86"/>
      <c r="BD27" s="295">
        <f>output!AG18</f>
        <v>9.8452250683369887E-6</v>
      </c>
      <c r="BE27" s="75"/>
      <c r="BF27" s="295">
        <f>output!AG19</f>
        <v>0.14291639470105044</v>
      </c>
      <c r="BG27" s="75"/>
      <c r="BH27" s="256">
        <f>output!AG20</f>
        <v>3.6463796549396238E-6</v>
      </c>
      <c r="BI27" s="2"/>
      <c r="BJ27" s="2"/>
      <c r="BK27" s="2"/>
      <c r="BL27"/>
      <c r="BM27" s="562"/>
      <c r="BN27" s="591">
        <v>14</v>
      </c>
      <c r="BO27" s="549" t="s">
        <v>457</v>
      </c>
      <c r="BP27" s="549" t="s">
        <v>2408</v>
      </c>
      <c r="BQ27" s="550" t="s">
        <v>2408</v>
      </c>
      <c r="BR27" s="566">
        <v>633907.57248216891</v>
      </c>
      <c r="BS27" s="566"/>
      <c r="BT27" s="566">
        <v>2520846.064902694</v>
      </c>
      <c r="BU27" s="566">
        <v>90351.159862115281</v>
      </c>
      <c r="BV27" s="566">
        <v>25190.56255444566</v>
      </c>
      <c r="BW27" s="566">
        <v>274.07536291142446</v>
      </c>
      <c r="BX27" s="566">
        <v>1003.4840025652508</v>
      </c>
      <c r="BY27" s="566">
        <v>19896730.373738024</v>
      </c>
      <c r="BZ27" s="566">
        <v>371.66074169083367</v>
      </c>
      <c r="CA27" s="566">
        <v>1195981.6956093879</v>
      </c>
      <c r="CB27" s="566">
        <v>7.0845262080311794E-30</v>
      </c>
      <c r="CC27" s="566">
        <v>7819.7483012826597</v>
      </c>
      <c r="CD27" s="566">
        <v>6855502.5162943639</v>
      </c>
      <c r="CE27" s="566">
        <v>78.141962528396078</v>
      </c>
      <c r="CF27" s="566">
        <v>1039.7898283547129</v>
      </c>
      <c r="CG27" s="566">
        <v>875.99400964407914</v>
      </c>
      <c r="CH27" s="566">
        <v>7018.6958090288936</v>
      </c>
      <c r="CI27" s="566">
        <v>324.44222579410325</v>
      </c>
      <c r="CJ27" s="566">
        <v>376945.00713807472</v>
      </c>
      <c r="CK27" s="566">
        <v>11588153.067192426</v>
      </c>
      <c r="CL27" s="566"/>
      <c r="CM27" s="566">
        <v>354.71113744718588</v>
      </c>
      <c r="CN27" s="566">
        <v>990.9648588855307</v>
      </c>
      <c r="CO27" s="566">
        <v>36396.694452036027</v>
      </c>
      <c r="CP27" s="566">
        <v>5489624.2118869806</v>
      </c>
      <c r="CQ27" s="566"/>
      <c r="CR27" s="566">
        <v>168.55698226827229</v>
      </c>
      <c r="CS27" s="566">
        <v>306.29695357547882</v>
      </c>
      <c r="CT27" s="566">
        <v>60350.531196249023</v>
      </c>
      <c r="CU27" s="566">
        <v>739651.94753205136</v>
      </c>
      <c r="CV27" s="566"/>
      <c r="CW27" s="566">
        <v>22.509929533870011</v>
      </c>
      <c r="CX27" s="566">
        <v>46.252418531412125</v>
      </c>
      <c r="CY27" s="552"/>
    </row>
    <row r="28" spans="1:103" ht="12.75" customHeight="1" x14ac:dyDescent="0.3">
      <c r="A28" s="29"/>
      <c r="B28" s="121" t="s">
        <v>715</v>
      </c>
      <c r="C28" s="318">
        <f>FRw.w2R*C27</f>
        <v>6436.5006317355283</v>
      </c>
      <c r="D28" s="122">
        <f>C28/$C$51</f>
        <v>1.7779756907866423E-3</v>
      </c>
      <c r="E28" s="318">
        <f>FRw.w2C*E27</f>
        <v>176150.22707540775</v>
      </c>
      <c r="F28" s="122">
        <f>E28/$E$51</f>
        <v>0.23779191275054554</v>
      </c>
      <c r="G28" s="318">
        <f>FRw.w2M*G27</f>
        <v>88339.09186170483</v>
      </c>
      <c r="H28" s="122">
        <f>G28/$G$51</f>
        <v>6.346383922051603E-2</v>
      </c>
      <c r="I28" s="318">
        <f>FRw.w2A*I27</f>
        <v>192716.43676975984</v>
      </c>
      <c r="J28" s="122">
        <f>I28/$I$51</f>
        <v>8.2089950000905493E-2</v>
      </c>
      <c r="K28" s="318">
        <f>FRw.w2T*K27</f>
        <v>44330.804944809068</v>
      </c>
      <c r="L28" s="123">
        <f>K28/$K$51</f>
        <v>3.9327796383351696E-2</v>
      </c>
      <c r="M28" s="320">
        <f>M27*FRw.w2R</f>
        <v>6.4365006317355217E-7</v>
      </c>
      <c r="N28" s="320">
        <f>N27*FRw.w2C</f>
        <v>2.3711737136639161E-10</v>
      </c>
      <c r="O28" s="320">
        <f>O27*FRw.w2M</f>
        <v>2.2843871975694543E-11</v>
      </c>
      <c r="P28" s="320">
        <f>P27*FRw.w2A</f>
        <v>7.5575073243043078E-11</v>
      </c>
      <c r="Q28" s="320">
        <f>Q27*FRw.w2T</f>
        <v>4.9670369686060583E-12</v>
      </c>
      <c r="R28" s="120" t="s">
        <v>1489</v>
      </c>
      <c r="S28" s="325">
        <f>S27*FRw.w2R</f>
        <v>9.3224079583271969E-4</v>
      </c>
      <c r="T28" s="325">
        <f>T27*FRw.w2C</f>
        <v>3.4343271233201764E-7</v>
      </c>
      <c r="U28" s="325">
        <f>U27*FRw.w2M</f>
        <v>3.308628493800062E-8</v>
      </c>
      <c r="V28" s="325">
        <f>V27*FRw.w2A</f>
        <v>2.9820201758710717E-8</v>
      </c>
      <c r="W28" s="326">
        <f>W27*FRw.w2T</f>
        <v>1.4174078434398591E-8</v>
      </c>
      <c r="X28" s="29"/>
      <c r="Y28" s="436"/>
      <c r="Z28" s="29"/>
      <c r="AA28" s="32" t="s">
        <v>379</v>
      </c>
      <c r="AB28" s="33" t="s">
        <v>1324</v>
      </c>
      <c r="AC28" s="332">
        <f>E.s1C*Molweight</f>
        <v>0</v>
      </c>
      <c r="AD28" s="330"/>
      <c r="AE28" s="330"/>
      <c r="AF28" s="325">
        <f>(FRACinf.s1C*RAINrate.C/Ks1w.C*SYSTEMAREA.C*AREAFRAC.s1C*CORRleach.s1C)*C.s1C*Molweight</f>
        <v>2.6473180281173304E-8</v>
      </c>
      <c r="AG28" s="326">
        <f>KDEG.s1C*M.s1C*Molweight</f>
        <v>2.821209007072516E-5</v>
      </c>
      <c r="AH28" s="325"/>
      <c r="AI28" s="325"/>
      <c r="AJ28" s="325">
        <f>k.aC.s1C*M.aC*Molweight</f>
        <v>1.0380704477955766E-4</v>
      </c>
      <c r="AK28" s="325">
        <f>k.s1C.aC*M.s1C*Molweight</f>
        <v>7.1623817022184664E-5</v>
      </c>
      <c r="AL28" s="325">
        <f>(k.s1C.w1C+k.s1C.w0C)*M.s1C*Molweight</f>
        <v>3.9446645063666555E-6</v>
      </c>
      <c r="AM28" s="325"/>
      <c r="AN28" s="326"/>
      <c r="AO28" s="329">
        <f>SUM(AC28,AD28,AJ28)-SUM(AE28,AF28,AG28,AK28,AL28,AO27)</f>
        <v>0</v>
      </c>
      <c r="AP28" s="29"/>
      <c r="AQ28" s="437"/>
      <c r="AR28" s="2"/>
      <c r="AS28" s="314">
        <f>output!AC13</f>
        <v>0</v>
      </c>
      <c r="AT28" s="81"/>
      <c r="AU28" s="81"/>
      <c r="AV28" s="81"/>
      <c r="AW28" s="83"/>
      <c r="AX28" s="75"/>
      <c r="AY28" s="75"/>
      <c r="AZ28" s="87"/>
      <c r="BA28" s="85"/>
      <c r="BB28" s="43"/>
      <c r="BC28" s="86"/>
      <c r="BD28" s="86"/>
      <c r="BE28" s="75"/>
      <c r="BF28" s="86"/>
      <c r="BG28" s="75"/>
      <c r="BH28" s="86"/>
      <c r="BI28" s="86"/>
      <c r="BJ28" s="2"/>
      <c r="BK28" s="2"/>
      <c r="BL28"/>
      <c r="BM28" s="562"/>
      <c r="BN28" s="591">
        <v>15</v>
      </c>
      <c r="BO28" s="549" t="s">
        <v>1931</v>
      </c>
      <c r="BP28" s="549" t="s">
        <v>2408</v>
      </c>
      <c r="BQ28" s="550" t="s">
        <v>2408</v>
      </c>
      <c r="BR28" s="566">
        <v>413581.03453592968</v>
      </c>
      <c r="BS28" s="566"/>
      <c r="BT28" s="566">
        <v>5102991.0005152188</v>
      </c>
      <c r="BU28" s="566">
        <v>239100.05267443327</v>
      </c>
      <c r="BV28" s="566">
        <v>574859.52148211468</v>
      </c>
      <c r="BW28" s="566">
        <v>7382.0947430018859</v>
      </c>
      <c r="BX28" s="566">
        <v>219452.62003020328</v>
      </c>
      <c r="BY28" s="566">
        <v>44520225.547409005</v>
      </c>
      <c r="BZ28" s="566">
        <v>81278.748159334515</v>
      </c>
      <c r="CA28" s="566">
        <v>1363447.6231662168</v>
      </c>
      <c r="CB28" s="566">
        <v>3.9919141314848557E-29</v>
      </c>
      <c r="CC28" s="566">
        <v>238146.30363741404</v>
      </c>
      <c r="CD28" s="566">
        <v>121898226.37996504</v>
      </c>
      <c r="CE28" s="566">
        <v>26827.535094205778</v>
      </c>
      <c r="CF28" s="566">
        <v>188177.34376789935</v>
      </c>
      <c r="CG28" s="566">
        <v>376612.98652328277</v>
      </c>
      <c r="CH28" s="566">
        <v>2519033.2171068941</v>
      </c>
      <c r="CI28" s="566">
        <v>139486.29130491955</v>
      </c>
      <c r="CJ28" s="566">
        <v>2126562.1682992326</v>
      </c>
      <c r="CK28" s="566">
        <v>3141386025.2652225</v>
      </c>
      <c r="CL28" s="566"/>
      <c r="CM28" s="566">
        <v>979673.7705491283</v>
      </c>
      <c r="CN28" s="566">
        <v>2108329.9156855582</v>
      </c>
      <c r="CO28" s="566">
        <v>447400.01040267659</v>
      </c>
      <c r="CP28" s="566">
        <v>2248713063.1960683</v>
      </c>
      <c r="CQ28" s="566"/>
      <c r="CR28" s="566">
        <v>702633.18848354626</v>
      </c>
      <c r="CS28" s="566">
        <v>1423032.1042793638</v>
      </c>
      <c r="CT28" s="566">
        <v>3359482.1021033707</v>
      </c>
      <c r="CU28" s="566">
        <v>4735238735.0840578</v>
      </c>
      <c r="CV28" s="566"/>
      <c r="CW28" s="566">
        <v>1471453.6030197898</v>
      </c>
      <c r="CX28" s="566">
        <v>969821.10600329028</v>
      </c>
      <c r="CY28" s="552"/>
    </row>
    <row r="29" spans="1:103" ht="12.75" customHeight="1" x14ac:dyDescent="0.3">
      <c r="A29" s="29"/>
      <c r="B29" s="121" t="s">
        <v>492</v>
      </c>
      <c r="C29" s="318">
        <f>(1-FRw.w2R)*C27</f>
        <v>3.892595804440059</v>
      </c>
      <c r="D29" s="122">
        <f>C29/$C$51</f>
        <v>1.0752645125564677E-6</v>
      </c>
      <c r="E29" s="318">
        <f>(1-FRw.w2C)*E27</f>
        <v>106.53018994266915</v>
      </c>
      <c r="F29" s="122">
        <f>E29/$E$51</f>
        <v>1.4380916818972878E-4</v>
      </c>
      <c r="G29" s="318">
        <f>(1-FRw.w2M)*G27</f>
        <v>53.424740868268515</v>
      </c>
      <c r="H29" s="122">
        <f>G29/$G$51</f>
        <v>3.8380960154870353E-5</v>
      </c>
      <c r="I29" s="318">
        <f>(1-FRw.w2A)*I27</f>
        <v>116.54891937986667</v>
      </c>
      <c r="J29" s="122">
        <f>I29/$I$51</f>
        <v>4.9645453833204683E-5</v>
      </c>
      <c r="K29" s="318">
        <f>(1-FRw.w2T)*K27</f>
        <v>26.809894880579709</v>
      </c>
      <c r="L29" s="123">
        <f>K29/$K$51</f>
        <v>2.3784230587176924E-5</v>
      </c>
      <c r="M29" s="320">
        <f>M28*Kp.susp2R</f>
        <v>4.9531313309160914E-5</v>
      </c>
      <c r="N29" s="320">
        <f>N28*Kp.susp2C</f>
        <v>1.8247080959310933E-8</v>
      </c>
      <c r="O29" s="320">
        <f>O28*Kp.susp2M</f>
        <v>1.757922580545752E-9</v>
      </c>
      <c r="P29" s="320">
        <f>P28*Kp.susp2A</f>
        <v>5.8157884933736234E-9</v>
      </c>
      <c r="Q29" s="320">
        <f>Q28*Kp.susp2T</f>
        <v>3.8223233148953222E-10</v>
      </c>
      <c r="R29" s="120" t="s">
        <v>1494</v>
      </c>
      <c r="S29" s="325">
        <f>S27*(1-FRw.w2R)</f>
        <v>5.6379029820864514E-7</v>
      </c>
      <c r="T29" s="325">
        <f>T27*(1-FRw.w2C)</f>
        <v>2.076974448724037E-10</v>
      </c>
      <c r="U29" s="325">
        <f>U27*(1-FRw.w2M)</f>
        <v>2.0009558190541552E-11</v>
      </c>
      <c r="V29" s="325">
        <f>V27*(1-FRw.w2A)</f>
        <v>1.8034332457171581E-11</v>
      </c>
      <c r="W29" s="326">
        <f>W27*(1-FRw.w2T)</f>
        <v>8.5720426987151953E-12</v>
      </c>
      <c r="X29" s="29"/>
      <c r="Y29" s="436"/>
      <c r="Z29" s="29"/>
      <c r="AA29" s="32" t="s">
        <v>380</v>
      </c>
      <c r="AB29" s="33" t="s">
        <v>1325</v>
      </c>
      <c r="AC29" s="332">
        <f>E.s2C*Molweight</f>
        <v>0</v>
      </c>
      <c r="AD29" s="330"/>
      <c r="AE29" s="330"/>
      <c r="AF29" s="325">
        <f>(FRACinf.s2C*RAINrate.C/Ks2w.C*SYSTEMAREA.C*AREAFRAC.s2C*CORRleach.s2C)*C.s2C*Molweight</f>
        <v>4.4384031459696264E-8</v>
      </c>
      <c r="AG29" s="326">
        <f>KDEG.s2C*M.s2C*Molweight</f>
        <v>1.0394239806790003E-4</v>
      </c>
      <c r="AH29" s="325"/>
      <c r="AI29" s="325"/>
      <c r="AJ29" s="325">
        <f>k.aC.s2C*M.aC*Molweight</f>
        <v>2.306823217323503E-4</v>
      </c>
      <c r="AK29" s="325">
        <f>k.s2C.aC*M.s2C*Molweight</f>
        <v>1.2008204961445154E-4</v>
      </c>
      <c r="AL29" s="325">
        <f>(k.s2C.w1C+k.s2C.w0C)*M.s2C*Molweight</f>
        <v>6.6134900185390639E-6</v>
      </c>
      <c r="AM29" s="325"/>
      <c r="AN29" s="326"/>
      <c r="AO29" s="329">
        <f>SUM(AC29,AD29,AJ29)-SUM(AE29,AF29,AG29,AK29,AL29,AO28)</f>
        <v>0</v>
      </c>
      <c r="AP29" s="29"/>
      <c r="AQ29" s="437"/>
      <c r="AR29" s="2"/>
      <c r="AS29" s="314">
        <f>output!AC14</f>
        <v>0.31709791983764585</v>
      </c>
      <c r="AT29" s="83"/>
      <c r="AU29" s="82"/>
      <c r="AV29" s="75"/>
      <c r="AW29" s="81"/>
      <c r="AX29" s="75"/>
      <c r="AY29" s="47" t="s">
        <v>447</v>
      </c>
      <c r="AZ29" s="87"/>
      <c r="BA29" s="85"/>
      <c r="BB29" s="43"/>
      <c r="BC29" s="86"/>
      <c r="BD29" s="86"/>
      <c r="BE29" s="75"/>
      <c r="BF29" s="86"/>
      <c r="BG29" s="75"/>
      <c r="BH29" s="86"/>
      <c r="BI29" s="86"/>
      <c r="BJ29" s="2"/>
      <c r="BK29" s="2"/>
      <c r="BL29"/>
      <c r="BM29" s="562"/>
      <c r="BN29" s="591">
        <v>16</v>
      </c>
      <c r="BO29" s="549" t="s">
        <v>1918</v>
      </c>
      <c r="BP29" s="549" t="s">
        <v>2408</v>
      </c>
      <c r="BQ29" s="550" t="s">
        <v>2408</v>
      </c>
      <c r="BR29" s="566">
        <v>362300.57036342978</v>
      </c>
      <c r="BS29" s="566"/>
      <c r="BT29" s="566">
        <v>1418576.5097147031</v>
      </c>
      <c r="BU29" s="566">
        <v>51217.81455813424</v>
      </c>
      <c r="BV29" s="566">
        <v>1952975.9431658408</v>
      </c>
      <c r="BW29" s="566">
        <v>20495.022784660014</v>
      </c>
      <c r="BX29" s="566">
        <v>18687.019102874299</v>
      </c>
      <c r="BY29" s="566">
        <v>1729840946.1979804</v>
      </c>
      <c r="BZ29" s="566">
        <v>6921.1181862497415</v>
      </c>
      <c r="CA29" s="566">
        <v>714155.03294041671</v>
      </c>
      <c r="CB29" s="566">
        <v>6.9481203535072108E-31</v>
      </c>
      <c r="CC29" s="566">
        <v>781.11304542884545</v>
      </c>
      <c r="CD29" s="566">
        <v>2065045.1305234085</v>
      </c>
      <c r="CE29" s="566">
        <v>1075.3702575565285</v>
      </c>
      <c r="CF29" s="566">
        <v>41316.82244406391</v>
      </c>
      <c r="CG29" s="566">
        <v>10227.523436021638</v>
      </c>
      <c r="CH29" s="566">
        <v>90591.503620274249</v>
      </c>
      <c r="CI29" s="566">
        <v>3787.971642970977</v>
      </c>
      <c r="CJ29" s="566">
        <v>244891.61702667552</v>
      </c>
      <c r="CK29" s="566">
        <v>9479642.6562472396</v>
      </c>
      <c r="CL29" s="566"/>
      <c r="CM29" s="566">
        <v>38315.940899518442</v>
      </c>
      <c r="CN29" s="566">
        <v>12587.965860636901</v>
      </c>
      <c r="CO29" s="566">
        <v>29797.191563887201</v>
      </c>
      <c r="CP29" s="566">
        <v>2983247.3455932811</v>
      </c>
      <c r="CQ29" s="566"/>
      <c r="CR29" s="566">
        <v>12069.474063427344</v>
      </c>
      <c r="CS29" s="566">
        <v>4692.9953832365682</v>
      </c>
      <c r="CT29" s="566">
        <v>45577.923616324544</v>
      </c>
      <c r="CU29" s="566">
        <v>3847483.7311912351</v>
      </c>
      <c r="CV29" s="566"/>
      <c r="CW29" s="566">
        <v>15523.728657836817</v>
      </c>
      <c r="CX29" s="566">
        <v>701.69188468448135</v>
      </c>
      <c r="CY29" s="552"/>
    </row>
    <row r="30" spans="1:103" ht="12.75" customHeight="1" x14ac:dyDescent="0.3">
      <c r="A30" s="29"/>
      <c r="B30" s="121"/>
      <c r="C30" s="318"/>
      <c r="D30" s="122"/>
      <c r="E30" s="318"/>
      <c r="F30" s="122"/>
      <c r="G30" s="318"/>
      <c r="H30" s="122"/>
      <c r="I30" s="318"/>
      <c r="J30" s="122"/>
      <c r="K30" s="318"/>
      <c r="L30" s="123"/>
      <c r="M30" s="320"/>
      <c r="N30" s="320"/>
      <c r="O30" s="320"/>
      <c r="P30" s="320"/>
      <c r="Q30" s="320"/>
      <c r="R30" s="120"/>
      <c r="S30" s="325"/>
      <c r="T30" s="325"/>
      <c r="U30" s="325"/>
      <c r="V30" s="325"/>
      <c r="W30" s="326"/>
      <c r="X30" s="29"/>
      <c r="Y30" s="436"/>
      <c r="Z30" s="29"/>
      <c r="AA30" s="32" t="s">
        <v>381</v>
      </c>
      <c r="AB30" s="33" t="s">
        <v>518</v>
      </c>
      <c r="AC30" s="332">
        <f>E.s3C*Molweight</f>
        <v>0</v>
      </c>
      <c r="AD30" s="330"/>
      <c r="AE30" s="330"/>
      <c r="AF30" s="325">
        <f>(FRACinf.s3C*RAINrate.C/Ks3w.C*SYSTEMAREA.C*AREAFRAC.s3C*CORRleach.s3C)*C.s3C*Molweight</f>
        <v>9.8048815856197424E-9</v>
      </c>
      <c r="AG30" s="326">
        <f>KDEG.s3C*M.s3C*Molweight</f>
        <v>1.0448922248416723E-5</v>
      </c>
      <c r="AH30" s="325"/>
      <c r="AI30" s="325"/>
      <c r="AJ30" s="325">
        <f>k.aC.s3C*M.aC*Molweight</f>
        <v>3.8447053622058392E-5</v>
      </c>
      <c r="AK30" s="325">
        <f>k.s3C.aC*M.s3C*Molweight</f>
        <v>2.652733963784617E-5</v>
      </c>
      <c r="AL30" s="325">
        <f>(k.s3C.w1C+k.s3C.w0C)*M.s3C*Molweight</f>
        <v>1.4609868542098719E-6</v>
      </c>
      <c r="AM30" s="325"/>
      <c r="AN30" s="326"/>
      <c r="AO30" s="329">
        <f>SUM(AC30,AD30,AJ30)-SUM(AE30,AF30,AG30,AK30,AL30,AO29)</f>
        <v>0</v>
      </c>
      <c r="AP30" s="29"/>
      <c r="AQ30" s="437"/>
      <c r="AR30" s="2"/>
      <c r="AS30" s="314">
        <f>output!AC15</f>
        <v>0</v>
      </c>
      <c r="AT30" s="81"/>
      <c r="AU30" s="75"/>
      <c r="AV30" s="81"/>
      <c r="AW30" s="83"/>
      <c r="AX30" s="75"/>
      <c r="AY30" s="277">
        <f>IF(ISERROR(output!D19),0,output!D19)</f>
        <v>4.8131354093917264E-2</v>
      </c>
      <c r="AZ30" s="87"/>
      <c r="BA30" s="85"/>
      <c r="BB30" s="2"/>
      <c r="BC30" s="86"/>
      <c r="BD30" s="47" t="s">
        <v>2160</v>
      </c>
      <c r="BE30" s="75"/>
      <c r="BF30" s="47" t="s">
        <v>2161</v>
      </c>
      <c r="BG30" s="75"/>
      <c r="BH30" s="47" t="s">
        <v>452</v>
      </c>
      <c r="BI30" s="75"/>
      <c r="BJ30" s="2"/>
      <c r="BK30" s="2"/>
      <c r="BL30"/>
      <c r="BM30" s="562"/>
      <c r="BN30" s="591">
        <v>17</v>
      </c>
      <c r="BO30" s="549" t="s">
        <v>1893</v>
      </c>
      <c r="BP30" s="549" t="s">
        <v>2408</v>
      </c>
      <c r="BQ30" s="550" t="s">
        <v>2408</v>
      </c>
      <c r="BR30" s="566">
        <v>393076.67918167071</v>
      </c>
      <c r="BS30" s="566"/>
      <c r="BT30" s="566">
        <v>1613562.6864184977</v>
      </c>
      <c r="BU30" s="566">
        <v>57852.655888910711</v>
      </c>
      <c r="BV30" s="566">
        <v>12623.524739698039</v>
      </c>
      <c r="BW30" s="566">
        <v>138.0307762130098</v>
      </c>
      <c r="BX30" s="566">
        <v>41.379289033367236</v>
      </c>
      <c r="BY30" s="566">
        <v>6510366.1015709555</v>
      </c>
      <c r="BZ30" s="566">
        <v>15.325662604950825</v>
      </c>
      <c r="CA30" s="566">
        <v>776377.8755009718</v>
      </c>
      <c r="CB30" s="566">
        <v>5.7642100073206242E-31</v>
      </c>
      <c r="CC30" s="566">
        <v>649.86880706942304</v>
      </c>
      <c r="CD30" s="566">
        <v>2081337.8496002492</v>
      </c>
      <c r="CE30" s="566">
        <v>5.0841749333011022</v>
      </c>
      <c r="CF30" s="566">
        <v>248.29342277171673</v>
      </c>
      <c r="CG30" s="566">
        <v>39.350496122814533</v>
      </c>
      <c r="CH30" s="566">
        <v>329.20802566998088</v>
      </c>
      <c r="CI30" s="566">
        <v>14.574257823264638</v>
      </c>
      <c r="CJ30" s="566">
        <v>265833.01657846291</v>
      </c>
      <c r="CK30" s="566">
        <v>9058505.9723720513</v>
      </c>
      <c r="CL30" s="566"/>
      <c r="CM30" s="566">
        <v>218.30791075798209</v>
      </c>
      <c r="CN30" s="566">
        <v>48.360372383398499</v>
      </c>
      <c r="CO30" s="566">
        <v>32222.237856774565</v>
      </c>
      <c r="CP30" s="566">
        <v>2644847.9272676115</v>
      </c>
      <c r="CQ30" s="566"/>
      <c r="CR30" s="566">
        <v>63.856629297550889</v>
      </c>
      <c r="CS30" s="566">
        <v>19.227053144047222</v>
      </c>
      <c r="CT30" s="566">
        <v>48944.631579971239</v>
      </c>
      <c r="CU30" s="566">
        <v>3576907.301997385</v>
      </c>
      <c r="CV30" s="566"/>
      <c r="CW30" s="566">
        <v>85.909915761512167</v>
      </c>
      <c r="CX30" s="566">
        <v>2.6813857803295171</v>
      </c>
      <c r="CY30" s="552"/>
    </row>
    <row r="31" spans="1:103" ht="12.75" customHeight="1" x14ac:dyDescent="0.3">
      <c r="A31" s="29"/>
      <c r="B31" s="66" t="s">
        <v>810</v>
      </c>
      <c r="C31" s="318"/>
      <c r="D31" s="122"/>
      <c r="E31" s="318"/>
      <c r="F31" s="122"/>
      <c r="G31" s="318">
        <f>M.w3M*Molweight</f>
        <v>263748.96828078903</v>
      </c>
      <c r="H31" s="122">
        <f>G31/$G$51</f>
        <v>0.18948035082535367</v>
      </c>
      <c r="I31" s="318">
        <f>M.w3A*Molweight</f>
        <v>1740006.1681959245</v>
      </c>
      <c r="J31" s="122">
        <f>I31/$I$51</f>
        <v>0.74117714992374706</v>
      </c>
      <c r="K31" s="318">
        <f>M.w3T*Molweight</f>
        <v>47058.208556335914</v>
      </c>
      <c r="L31" s="123">
        <f>K31/$K$51</f>
        <v>4.1747395441453297E-2</v>
      </c>
      <c r="M31" s="320"/>
      <c r="N31" s="320"/>
      <c r="O31" s="320">
        <f>C.w3M*Molweight</f>
        <v>2.2734546839731681E-12</v>
      </c>
      <c r="P31" s="320">
        <f>C.w3A*Molweight</f>
        <v>2.2745178669227771E-11</v>
      </c>
      <c r="Q31" s="320">
        <f>C.w3T*Molweight</f>
        <v>1.7575428032244976E-13</v>
      </c>
      <c r="R31" s="120" t="s">
        <v>1489</v>
      </c>
      <c r="S31" s="325"/>
      <c r="T31" s="325"/>
      <c r="U31" s="325">
        <f>F.w3M</f>
        <v>3.2927942140282204E-9</v>
      </c>
      <c r="V31" s="325">
        <f>F.w3A</f>
        <v>8.9747292043376498E-9</v>
      </c>
      <c r="W31" s="326">
        <f>F.w3T</f>
        <v>5.0153742970243959E-10</v>
      </c>
      <c r="X31" s="29"/>
      <c r="Y31" s="436"/>
      <c r="Z31" s="29"/>
      <c r="AA31" s="31" t="s">
        <v>373</v>
      </c>
      <c r="AB31" s="34"/>
      <c r="AC31" s="329"/>
      <c r="AD31" s="330"/>
      <c r="AE31" s="330"/>
      <c r="AF31" s="330"/>
      <c r="AG31" s="331"/>
      <c r="AH31" s="325"/>
      <c r="AI31" s="325"/>
      <c r="AJ31" s="325"/>
      <c r="AK31" s="325"/>
      <c r="AL31" s="325"/>
      <c r="AM31" s="325"/>
      <c r="AN31" s="326"/>
      <c r="AO31" s="332"/>
      <c r="AP31" s="29"/>
      <c r="AQ31" s="437"/>
      <c r="AR31" s="2"/>
      <c r="AS31" s="2"/>
      <c r="AT31" s="54"/>
      <c r="AU31" s="75"/>
      <c r="AV31" s="81"/>
      <c r="AW31" s="75"/>
      <c r="AX31" s="290">
        <f>output!AG14</f>
        <v>1.5122737446699147E-2</v>
      </c>
      <c r="AY31" s="75"/>
      <c r="AZ31" s="75"/>
      <c r="BA31" s="87"/>
      <c r="BB31" s="2"/>
      <c r="BC31" s="86"/>
      <c r="BD31" s="277">
        <f>IF(ISERROR(output!D39),0,output!D39)</f>
        <v>6.2583070658624439E-5</v>
      </c>
      <c r="BE31" s="75"/>
      <c r="BF31" s="277">
        <f>IF(ISERROR(output!D43),0,output!D43)</f>
        <v>0.90847560779659298</v>
      </c>
      <c r="BG31" s="75"/>
      <c r="BH31" s="273">
        <f>IF(ISERROR(output!D47),0,output!D47)</f>
        <v>2.3178915058749785E-5</v>
      </c>
      <c r="BI31" s="75"/>
      <c r="BJ31" s="2"/>
      <c r="BK31" s="2"/>
      <c r="BL31"/>
      <c r="BM31" s="562"/>
      <c r="BN31" s="591">
        <v>18</v>
      </c>
      <c r="BO31" s="549" t="s">
        <v>1906</v>
      </c>
      <c r="BP31" s="549" t="s">
        <v>2408</v>
      </c>
      <c r="BQ31" s="550" t="s">
        <v>2408</v>
      </c>
      <c r="BR31" s="566">
        <v>298011.6199461146</v>
      </c>
      <c r="BS31" s="566"/>
      <c r="BT31" s="566">
        <v>4873619.8828886673</v>
      </c>
      <c r="BU31" s="566">
        <v>197973.69827725005</v>
      </c>
      <c r="BV31" s="566">
        <v>519868.80225929548</v>
      </c>
      <c r="BW31" s="566">
        <v>5804.0086277259024</v>
      </c>
      <c r="BX31" s="566">
        <v>291572.51796066714</v>
      </c>
      <c r="BY31" s="566">
        <v>215042999.85907394</v>
      </c>
      <c r="BZ31" s="566">
        <v>107989.82146691375</v>
      </c>
      <c r="CA31" s="566">
        <v>421578.65787826595</v>
      </c>
      <c r="CB31" s="566">
        <v>1.3609733767648705E-29</v>
      </c>
      <c r="CC31" s="566">
        <v>54725.279228260857</v>
      </c>
      <c r="CD31" s="566">
        <v>4185259.7933452176</v>
      </c>
      <c r="CE31" s="566">
        <v>5837.5429453555889</v>
      </c>
      <c r="CF31" s="566">
        <v>6134.977565512645</v>
      </c>
      <c r="CG31" s="566">
        <v>143725.70358553666</v>
      </c>
      <c r="CH31" s="566">
        <v>1223082.2279543809</v>
      </c>
      <c r="CI31" s="566">
        <v>53231.742068717285</v>
      </c>
      <c r="CJ31" s="566">
        <v>94809.641090379635</v>
      </c>
      <c r="CK31" s="566">
        <v>1411581.5373390738</v>
      </c>
      <c r="CL31" s="566"/>
      <c r="CM31" s="566">
        <v>413.81761404980227</v>
      </c>
      <c r="CN31" s="566">
        <v>116014.42297933759</v>
      </c>
      <c r="CO31" s="566">
        <v>6058.3030960654878</v>
      </c>
      <c r="CP31" s="566">
        <v>355549.9975406063</v>
      </c>
      <c r="CQ31" s="566"/>
      <c r="CR31" s="566">
        <v>105.25290958304734</v>
      </c>
      <c r="CS31" s="566">
        <v>23419.494879093123</v>
      </c>
      <c r="CT31" s="566">
        <v>10035.290341947108</v>
      </c>
      <c r="CU31" s="566">
        <v>49351.033068678094</v>
      </c>
      <c r="CV31" s="566"/>
      <c r="CW31" s="566">
        <v>14.206084168175497</v>
      </c>
      <c r="CX31" s="566">
        <v>3631.5008996057259</v>
      </c>
      <c r="CY31" s="552"/>
    </row>
    <row r="32" spans="1:103" ht="12.75" customHeight="1" x14ac:dyDescent="0.3">
      <c r="A32" s="29"/>
      <c r="B32" s="121" t="s">
        <v>715</v>
      </c>
      <c r="C32" s="318"/>
      <c r="D32" s="122"/>
      <c r="E32" s="318"/>
      <c r="F32" s="122"/>
      <c r="G32" s="318">
        <f>FRw.w3M*G31</f>
        <v>263589.55749776959</v>
      </c>
      <c r="H32" s="122">
        <f>G32/$G$51</f>
        <v>0.18936582825000958</v>
      </c>
      <c r="I32" s="318">
        <f>FRw.w3A*I31</f>
        <v>1738954.5024869028</v>
      </c>
      <c r="J32" s="122">
        <f>I32/$I$51</f>
        <v>0.74072917990666742</v>
      </c>
      <c r="K32" s="318">
        <f>FRw.w3T*K31</f>
        <v>47029.766413330181</v>
      </c>
      <c r="L32" s="123">
        <f>K32/$K$51</f>
        <v>4.1722163172149183E-2</v>
      </c>
      <c r="M32" s="320"/>
      <c r="N32" s="320"/>
      <c r="O32" s="320">
        <f>O31*FRw.w3M</f>
        <v>2.2720806001475755E-12</v>
      </c>
      <c r="P32" s="320">
        <f>P31*FRw.w3A</f>
        <v>2.2731431405057551E-11</v>
      </c>
      <c r="Q32" s="320">
        <f>Q31*FRw.w3T</f>
        <v>1.7564805383129855E-13</v>
      </c>
      <c r="R32" s="120" t="s">
        <v>1489</v>
      </c>
      <c r="S32" s="325"/>
      <c r="T32" s="325"/>
      <c r="U32" s="325">
        <f>U31*FRw.w3M</f>
        <v>3.290804037886863E-9</v>
      </c>
      <c r="V32" s="325">
        <f>V31*FRw.w3A</f>
        <v>8.9693048471575009E-9</v>
      </c>
      <c r="W32" s="326">
        <f>W31*FRw.w3T</f>
        <v>5.0123429875598101E-10</v>
      </c>
      <c r="X32" s="29"/>
      <c r="Y32" s="436"/>
      <c r="Z32" s="29"/>
      <c r="AA32" s="32" t="s">
        <v>371</v>
      </c>
      <c r="AB32" s="33" t="s">
        <v>520</v>
      </c>
      <c r="AC32" s="332">
        <f>E.aM*Molweight</f>
        <v>0</v>
      </c>
      <c r="AD32" s="325">
        <f>(k.aC.aM*M.aC+k.aA.aM*M.aA+k.aT.aM*M.aT)*Molweight</f>
        <v>1.4611254155854208</v>
      </c>
      <c r="AE32" s="325">
        <f>(k.aM.aA+k.aM.aC+k.aM.aT)*M.aM*Molweight</f>
        <v>1.2118374201870186</v>
      </c>
      <c r="AF32" s="325">
        <f>kesc.aM*M.aM*Molweight</f>
        <v>3.792615960330874E-4</v>
      </c>
      <c r="AG32" s="326">
        <f>KDEG.aM*M.aM*Molweight</f>
        <v>0.22356361434358341</v>
      </c>
      <c r="AH32" s="325">
        <f>AH33</f>
        <v>2.9651934536082E-2</v>
      </c>
      <c r="AI32" s="325">
        <f>AI33</f>
        <v>4.527172368133491E-3</v>
      </c>
      <c r="AJ32" s="325">
        <f>AJ36</f>
        <v>7.1076274045152321E-4</v>
      </c>
      <c r="AK32" s="325">
        <f>AK36</f>
        <v>4.9040544961464377E-4</v>
      </c>
      <c r="AL32" s="325"/>
      <c r="AM32" s="325"/>
      <c r="AN32" s="326"/>
      <c r="AO32" s="329">
        <f>SUM(AC32,AD32,AI32,AK32)-SUM(AE32,AF32,AG32,AH32,AJ32)</f>
        <v>0</v>
      </c>
      <c r="AP32" s="29"/>
      <c r="AQ32" s="437"/>
      <c r="AR32" s="2"/>
      <c r="AS32" s="2"/>
      <c r="AT32" s="2"/>
      <c r="AU32" s="2"/>
      <c r="AV32" s="81"/>
      <c r="AW32" s="75"/>
      <c r="AX32" s="75"/>
      <c r="AY32" s="291">
        <f>IF(output!AN16&lt;0,"",output!AN16)</f>
        <v>3.3207542996164779E-3</v>
      </c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2"/>
      <c r="BK32" s="2"/>
      <c r="BL32"/>
      <c r="BM32" s="562"/>
      <c r="BN32" s="591">
        <v>19</v>
      </c>
      <c r="BO32" s="549" t="s">
        <v>1797</v>
      </c>
      <c r="BP32" s="549" t="s">
        <v>2408</v>
      </c>
      <c r="BQ32" s="550" t="s">
        <v>2408</v>
      </c>
      <c r="BR32" s="566">
        <v>374381.13892413001</v>
      </c>
      <c r="BS32" s="566"/>
      <c r="BT32" s="566">
        <v>1618773.7870817427</v>
      </c>
      <c r="BU32" s="566">
        <v>49802.354507521151</v>
      </c>
      <c r="BV32" s="566">
        <v>12829.948433583944</v>
      </c>
      <c r="BW32" s="566">
        <v>120.35095728900659</v>
      </c>
      <c r="BX32" s="566">
        <v>0.92859160126138696</v>
      </c>
      <c r="BY32" s="566">
        <v>9090323.5133290663</v>
      </c>
      <c r="BZ32" s="566">
        <v>0.34392281528199509</v>
      </c>
      <c r="CA32" s="566">
        <v>264413.01731788204</v>
      </c>
      <c r="CB32" s="566">
        <v>1.1572485699194643E-33</v>
      </c>
      <c r="CC32" s="566">
        <v>0.95240552005525081</v>
      </c>
      <c r="CD32" s="566">
        <v>249513.2929218768</v>
      </c>
      <c r="CE32" s="566">
        <v>7.5484998630957756E-3</v>
      </c>
      <c r="CF32" s="566">
        <v>30.148337319016893</v>
      </c>
      <c r="CG32" s="566">
        <v>0.31078169440507453</v>
      </c>
      <c r="CH32" s="566">
        <v>1.1999171700200626</v>
      </c>
      <c r="CI32" s="566">
        <v>0.1151043312611387</v>
      </c>
      <c r="CJ32" s="566">
        <v>28521.749227373635</v>
      </c>
      <c r="CK32" s="566">
        <v>34769.627438740514</v>
      </c>
      <c r="CL32" s="566"/>
      <c r="CM32" s="566">
        <v>0.84019731915922113</v>
      </c>
      <c r="CN32" s="566">
        <v>0.12032404143463624</v>
      </c>
      <c r="CO32" s="566">
        <v>1033.2551167941106</v>
      </c>
      <c r="CP32" s="566">
        <v>849.46704086145667</v>
      </c>
      <c r="CQ32" s="566"/>
      <c r="CR32" s="566">
        <v>2.0728175395154532E-2</v>
      </c>
      <c r="CS32" s="566">
        <v>8.4336254578240531E-3</v>
      </c>
      <c r="CT32" s="566">
        <v>1398.4728590229722</v>
      </c>
      <c r="CU32" s="566">
        <v>158.23549533771595</v>
      </c>
      <c r="CV32" s="566"/>
      <c r="CW32" s="566">
        <v>3.7545248342191542E-3</v>
      </c>
      <c r="CX32" s="566">
        <v>2.5681618172436276E-3</v>
      </c>
      <c r="CY32" s="552"/>
    </row>
    <row r="33" spans="1:103" ht="12.75" customHeight="1" x14ac:dyDescent="0.3">
      <c r="A33" s="29"/>
      <c r="B33" s="121" t="s">
        <v>492</v>
      </c>
      <c r="C33" s="318"/>
      <c r="D33" s="122"/>
      <c r="E33" s="318"/>
      <c r="F33" s="122"/>
      <c r="G33" s="318">
        <f>(1-FRw.w3M)*G31</f>
        <v>159.41078301943207</v>
      </c>
      <c r="H33" s="122">
        <f>G33/$G$51</f>
        <v>1.1452257534410386E-4</v>
      </c>
      <c r="I33" s="318">
        <f>(1-FRw.w3A)*I31</f>
        <v>1051.665709021685</v>
      </c>
      <c r="J33" s="122">
        <f>I33/$I$51</f>
        <v>4.4797001707953761E-4</v>
      </c>
      <c r="K33" s="318">
        <f>(1-FRw.w3T)*K31</f>
        <v>28.442143005734923</v>
      </c>
      <c r="L33" s="123">
        <f>K33/$K$51</f>
        <v>2.5232269304117219E-5</v>
      </c>
      <c r="M33" s="320"/>
      <c r="N33" s="320"/>
      <c r="O33" s="320">
        <f>O32*Kp.susp3M</f>
        <v>1.7484521871200558E-10</v>
      </c>
      <c r="P33" s="320">
        <f>P32*Kp.susp3A</f>
        <v>1.7492698522209513E-9</v>
      </c>
      <c r="Q33" s="320">
        <f>Q32*Kp.susp3T</f>
        <v>1.3516783861662643E-11</v>
      </c>
      <c r="R33" s="120" t="s">
        <v>1494</v>
      </c>
      <c r="S33" s="325"/>
      <c r="T33" s="325"/>
      <c r="U33" s="325">
        <f>U31*(1-FRw.w3M)</f>
        <v>1.990176141357544E-12</v>
      </c>
      <c r="V33" s="325">
        <f>V31*(1-FRw.w3A)</f>
        <v>5.424357180149153E-12</v>
      </c>
      <c r="W33" s="326">
        <f>W31*(1-FRw.w3T)</f>
        <v>3.031309464585409E-13</v>
      </c>
      <c r="X33" s="29"/>
      <c r="Y33" s="436"/>
      <c r="Z33" s="29"/>
      <c r="AA33" s="32" t="s">
        <v>382</v>
      </c>
      <c r="AB33" s="33" t="s">
        <v>1478</v>
      </c>
      <c r="AC33" s="332">
        <f>E.w2M*Molweight</f>
        <v>0</v>
      </c>
      <c r="AD33" s="325">
        <f>(k.w2C.w2M*M.w2C+k.w2A.w2M*M.w2A+k.w2T.w2M*M.w2T+k.w3M.w2M*M.w3M)*Molweight</f>
        <v>8.5224302828935221E-3</v>
      </c>
      <c r="AE33" s="325">
        <f>(k.w2M.w2C+k.w2M.w2A+k.w2M.w2T+k.w2M.w3M)*M.w2M*Molweight</f>
        <v>2.5996562034044837E-2</v>
      </c>
      <c r="AF33" s="330"/>
      <c r="AG33" s="326">
        <f>KDEG.w2M*M.w2M*Molweight</f>
        <v>7.6776393790565604E-3</v>
      </c>
      <c r="AH33" s="325">
        <f>k.aM.w2M*M.aM*Molweight</f>
        <v>2.9651934536082E-2</v>
      </c>
      <c r="AI33" s="325">
        <f>k.w2M.aM*M.w2M*Molweight</f>
        <v>4.527172368133491E-3</v>
      </c>
      <c r="AJ33" s="325"/>
      <c r="AK33" s="325"/>
      <c r="AL33" s="325">
        <f>AL36</f>
        <v>2.7008962259362432E-5</v>
      </c>
      <c r="AM33" s="325"/>
      <c r="AN33" s="326"/>
      <c r="AO33" s="329">
        <f>SUM(AC33,AD33,AH33,AL33)-SUM(AE33,AF33,AG33,AI33)</f>
        <v>0</v>
      </c>
      <c r="AP33" s="29"/>
      <c r="AQ33" s="437"/>
      <c r="AR33" s="2"/>
      <c r="AS33" s="2"/>
      <c r="AT33" s="75"/>
      <c r="AU33" s="287">
        <f>output!AG15</f>
        <v>5.594027476634899E-4</v>
      </c>
      <c r="AV33" s="81"/>
      <c r="AW33" s="75"/>
      <c r="AX33" s="75"/>
      <c r="AY33" s="258"/>
      <c r="AZ33" s="75"/>
      <c r="BA33" s="75"/>
      <c r="BB33" s="75"/>
      <c r="BC33" s="86"/>
      <c r="BD33" s="75"/>
      <c r="BE33" s="75"/>
      <c r="BF33" s="75"/>
      <c r="BG33" s="75"/>
      <c r="BH33" s="75"/>
      <c r="BI33" s="75"/>
      <c r="BJ33" s="2"/>
      <c r="BK33" s="2"/>
      <c r="BL33"/>
      <c r="BM33" s="562"/>
      <c r="BN33" s="591">
        <v>20</v>
      </c>
      <c r="BO33" s="549" t="s">
        <v>1967</v>
      </c>
      <c r="BP33" s="549" t="s">
        <v>2408</v>
      </c>
      <c r="BQ33" s="550" t="s">
        <v>2408</v>
      </c>
      <c r="BR33" s="566">
        <v>277946.60706233361</v>
      </c>
      <c r="BS33" s="566"/>
      <c r="BT33" s="566">
        <v>6203244.5415821746</v>
      </c>
      <c r="BU33" s="566">
        <v>288147.43469030422</v>
      </c>
      <c r="BV33" s="566">
        <v>81131.25441249249</v>
      </c>
      <c r="BW33" s="566">
        <v>1136.8587880438058</v>
      </c>
      <c r="BX33" s="566">
        <v>96219.194138986655</v>
      </c>
      <c r="BY33" s="566">
        <v>15128371.824204518</v>
      </c>
      <c r="BZ33" s="566">
        <v>35636.738569995061</v>
      </c>
      <c r="CA33" s="566">
        <v>435290.80451465241</v>
      </c>
      <c r="CB33" s="566">
        <v>1.3103367852516753E-29</v>
      </c>
      <c r="CC33" s="566">
        <v>142991.39408276539</v>
      </c>
      <c r="CD33" s="566">
        <v>40525207.376773849</v>
      </c>
      <c r="CE33" s="566">
        <v>1870.1618313384906</v>
      </c>
      <c r="CF33" s="566">
        <v>7994.4210145580164</v>
      </c>
      <c r="CG33" s="566">
        <v>55757.114312383885</v>
      </c>
      <c r="CH33" s="566">
        <v>429007.14527496754</v>
      </c>
      <c r="CI33" s="566">
        <v>20650.783078660708</v>
      </c>
      <c r="CJ33" s="566">
        <v>186403.62058514747</v>
      </c>
      <c r="CK33" s="566">
        <v>533869011.14850754</v>
      </c>
      <c r="CL33" s="566"/>
      <c r="CM33" s="566">
        <v>21275.837391592155</v>
      </c>
      <c r="CN33" s="566">
        <v>85699.600033373499</v>
      </c>
      <c r="CO33" s="566">
        <v>31454.533552130146</v>
      </c>
      <c r="CP33" s="566">
        <v>336190392.93154037</v>
      </c>
      <c r="CQ33" s="566"/>
      <c r="CR33" s="566">
        <v>13437.852248013947</v>
      </c>
      <c r="CS33" s="566">
        <v>69539.470372955358</v>
      </c>
      <c r="CT33" s="566">
        <v>146801.53861429435</v>
      </c>
      <c r="CU33" s="566">
        <v>543095418.76878369</v>
      </c>
      <c r="CV33" s="566"/>
      <c r="CW33" s="566">
        <v>21523.962108915268</v>
      </c>
      <c r="CX33" s="566">
        <v>15596.036677322896</v>
      </c>
      <c r="CY33" s="552"/>
    </row>
    <row r="34" spans="1:103" ht="12.75" customHeight="1" x14ac:dyDescent="0.3">
      <c r="A34" s="29"/>
      <c r="B34" s="121"/>
      <c r="C34" s="318"/>
      <c r="D34" s="122"/>
      <c r="E34" s="318"/>
      <c r="F34" s="122"/>
      <c r="G34" s="318"/>
      <c r="H34" s="122"/>
      <c r="I34" s="318"/>
      <c r="J34" s="122"/>
      <c r="K34" s="318"/>
      <c r="L34" s="123"/>
      <c r="M34" s="320"/>
      <c r="N34" s="320"/>
      <c r="O34" s="320"/>
      <c r="P34" s="320"/>
      <c r="Q34" s="320"/>
      <c r="R34" s="120"/>
      <c r="S34" s="325"/>
      <c r="T34" s="325"/>
      <c r="U34" s="325"/>
      <c r="V34" s="325"/>
      <c r="W34" s="326"/>
      <c r="X34" s="29"/>
      <c r="Y34" s="436"/>
      <c r="Z34" s="29"/>
      <c r="AA34" s="32" t="s">
        <v>383</v>
      </c>
      <c r="AB34" s="33" t="s">
        <v>1479</v>
      </c>
      <c r="AC34" s="332"/>
      <c r="AD34" s="325">
        <f>(k.w2M.w3M*M.w2M+k.w3A.w3M*M.w3A+k.w3T.w3M*M.w3T)*Molweight</f>
        <v>2.5441548700121747E-2</v>
      </c>
      <c r="AE34" s="325">
        <f>(k.w3M.w2M+k.w3M.w3A+k.w3M.w3T)*M.w3M*Molweight</f>
        <v>2.5321273723692022E-3</v>
      </c>
      <c r="AF34" s="330"/>
      <c r="AG34" s="326">
        <f>KDEG.w3M*M.w3M*Molweight</f>
        <v>2.2908833721328608E-2</v>
      </c>
      <c r="AH34" s="325"/>
      <c r="AI34" s="325"/>
      <c r="AJ34" s="325"/>
      <c r="AK34" s="325"/>
      <c r="AL34" s="325"/>
      <c r="AM34" s="325">
        <f>k.w3M.sdM*M.w3M*Molweight</f>
        <v>3.9541994190569332E-6</v>
      </c>
      <c r="AN34" s="326">
        <f>k.sdM.w3M*M.sdM*Molweight</f>
        <v>3.3665929951182261E-6</v>
      </c>
      <c r="AO34" s="329">
        <f>SUM(AC34,AD34,AH34,AL34,AN34)-SUM(AE34,AF34,AG34,AI34,AM34)</f>
        <v>0</v>
      </c>
      <c r="AP34" s="29"/>
      <c r="AQ34" s="437"/>
      <c r="AR34" s="2"/>
      <c r="AS34" s="2"/>
      <c r="AT34" s="75"/>
      <c r="AU34" s="2"/>
      <c r="AV34" s="2"/>
      <c r="AW34" s="2"/>
      <c r="AX34" s="75"/>
      <c r="AY34" s="291">
        <f>IF(output!AM16&lt;0,"",output!AM16)</f>
        <v>3.9017622967814406E-3</v>
      </c>
      <c r="AZ34" s="75"/>
      <c r="BA34" s="75"/>
      <c r="BB34" s="75"/>
      <c r="BC34" s="86"/>
      <c r="BD34" s="75"/>
      <c r="BE34" s="2"/>
      <c r="BF34" s="2"/>
      <c r="BG34" s="75"/>
      <c r="BH34" s="2"/>
      <c r="BI34" s="75"/>
      <c r="BJ34" s="315">
        <f>output!AC20</f>
        <v>0</v>
      </c>
      <c r="BK34" s="2"/>
      <c r="BL34"/>
      <c r="BM34" s="562"/>
      <c r="BN34" s="591">
        <v>21</v>
      </c>
      <c r="BO34" s="549" t="s">
        <v>1835</v>
      </c>
      <c r="BP34" s="549" t="s">
        <v>2408</v>
      </c>
      <c r="BQ34" s="550" t="s">
        <v>2408</v>
      </c>
      <c r="BR34" s="566">
        <v>290717.24567493354</v>
      </c>
      <c r="BS34" s="566"/>
      <c r="BT34" s="566">
        <v>7021795.4856417337</v>
      </c>
      <c r="BU34" s="566">
        <v>328279.00052599888</v>
      </c>
      <c r="BV34" s="566">
        <v>937945.72334979463</v>
      </c>
      <c r="BW34" s="566">
        <v>11918.40870694341</v>
      </c>
      <c r="BX34" s="566">
        <v>367516.68592757569</v>
      </c>
      <c r="BY34" s="566">
        <v>194029873.74263796</v>
      </c>
      <c r="BZ34" s="566">
        <v>136117.29108428728</v>
      </c>
      <c r="CA34" s="566">
        <v>441258.99457065604</v>
      </c>
      <c r="CB34" s="566">
        <v>1.3496529153568904E-29</v>
      </c>
      <c r="CC34" s="566">
        <v>101540.98913264029</v>
      </c>
      <c r="CD34" s="566">
        <v>44241940.019699223</v>
      </c>
      <c r="CE34" s="566">
        <v>13563.47343018119</v>
      </c>
      <c r="CF34" s="566">
        <v>80311.796109098243</v>
      </c>
      <c r="CG34" s="566">
        <v>198368.46717649486</v>
      </c>
      <c r="CH34" s="566">
        <v>1679493.8162030855</v>
      </c>
      <c r="CI34" s="566">
        <v>73469.802657961074</v>
      </c>
      <c r="CJ34" s="566">
        <v>181191.52617953578</v>
      </c>
      <c r="CK34" s="566">
        <v>595943780.84050596</v>
      </c>
      <c r="CL34" s="566"/>
      <c r="CM34" s="566">
        <v>218544.89385446132</v>
      </c>
      <c r="CN34" s="566">
        <v>292361.78503257676</v>
      </c>
      <c r="CO34" s="566">
        <v>25578.311200525943</v>
      </c>
      <c r="CP34" s="566">
        <v>374472908.08299774</v>
      </c>
      <c r="CQ34" s="566"/>
      <c r="CR34" s="566">
        <v>137627.46487620013</v>
      </c>
      <c r="CS34" s="566">
        <v>130126.18045166522</v>
      </c>
      <c r="CT34" s="566">
        <v>147595.27819598181</v>
      </c>
      <c r="CU34" s="566">
        <v>627574278.90228963</v>
      </c>
      <c r="CV34" s="566"/>
      <c r="CW34" s="566">
        <v>229208.93453198351</v>
      </c>
      <c r="CX34" s="566">
        <v>70490.895160733373</v>
      </c>
      <c r="CY34" s="552"/>
    </row>
    <row r="35" spans="1:103" ht="12.75" customHeight="1" x14ac:dyDescent="0.3">
      <c r="A35" s="29"/>
      <c r="B35" s="66" t="s">
        <v>449</v>
      </c>
      <c r="C35" s="318">
        <f>M.sd2R*Molweight</f>
        <v>445.20229218144362</v>
      </c>
      <c r="D35" s="122">
        <f>C35/$C$51</f>
        <v>1.2297969009406653E-4</v>
      </c>
      <c r="E35" s="318">
        <f>M.sd2C*Molweight</f>
        <v>609.20125196280469</v>
      </c>
      <c r="F35" s="122">
        <f>E35/$E$51</f>
        <v>8.2238401482303083E-4</v>
      </c>
      <c r="G35" s="318">
        <f>M.sdM*Molweight</f>
        <v>60.773538245557091</v>
      </c>
      <c r="H35" s="122">
        <f>G35/$G$51</f>
        <v>4.366042234298653E-5</v>
      </c>
      <c r="I35" s="318">
        <f>M.sdA*Molweight</f>
        <v>453.66276107734717</v>
      </c>
      <c r="J35" s="122">
        <f>I35/$I$51</f>
        <v>1.9324326455145353E-4</v>
      </c>
      <c r="K35" s="318">
        <f>M.sdT*Molweight</f>
        <v>8.9081023141304509</v>
      </c>
      <c r="L35" s="123">
        <f>K35/$K$51</f>
        <v>7.9027672610129127E-6</v>
      </c>
      <c r="M35" s="320">
        <f>C.sd2R*(Molweight*1000)/(FRACw.sdR*1000+FRACs.sdR*RHOsolid)</f>
        <v>1.1415443389267774E-5</v>
      </c>
      <c r="N35" s="320">
        <f>C.sd2C*(Molweight*1000)/(FRACw.sdC*1000+FRACs.sdC*RHOsolid)</f>
        <v>4.2053906063474952E-9</v>
      </c>
      <c r="O35" s="320">
        <f>C.sdM*(Molweight*1000)/(FRACw.sdM*1000+FRACs.sdM*RHOsolid)</f>
        <v>4.0296442043298091E-11</v>
      </c>
      <c r="P35" s="320">
        <f>C.sdA*(Molweight*1000)/(FRACw.sdA*1000+FRACs.sdA*RHOsolid)</f>
        <v>4.5617170545736267E-10</v>
      </c>
      <c r="Q35" s="320">
        <f>C.sdT*(Molweight*1000)/(FRACw.sdT*1000+FRACs.sdT*RHOsolid)</f>
        <v>2.5592479534957845E-12</v>
      </c>
      <c r="R35" s="120" t="s">
        <v>1495</v>
      </c>
      <c r="S35" s="325">
        <f>F.sd2R</f>
        <v>1.072630992148512E-3</v>
      </c>
      <c r="T35" s="325">
        <f>F.sd2C</f>
        <v>3.9515173827583463E-7</v>
      </c>
      <c r="U35" s="325">
        <f>F.sdM</f>
        <v>3.7863805316221119E-9</v>
      </c>
      <c r="V35" s="325">
        <f>F.sdA</f>
        <v>1.1677224059866935E-8</v>
      </c>
      <c r="W35" s="326">
        <f>F.sdT</f>
        <v>4.7379347179105812E-10</v>
      </c>
      <c r="X35" s="29"/>
      <c r="Y35" s="436"/>
      <c r="Z35" s="29"/>
      <c r="AA35" s="32" t="s">
        <v>384</v>
      </c>
      <c r="AB35" s="33" t="s">
        <v>521</v>
      </c>
      <c r="AC35" s="332"/>
      <c r="AD35" s="330"/>
      <c r="AE35" s="330"/>
      <c r="AF35" s="325">
        <f>(NETsedrate.wM*SYSTEMAREA.M*AREAFRAC.wM)*C.sdM*Molweight</f>
        <v>1.8134424619398621E-10</v>
      </c>
      <c r="AG35" s="326">
        <f>KDEG.sdM*M.sdM*Molweight</f>
        <v>5.8742507969251296E-7</v>
      </c>
      <c r="AH35" s="325"/>
      <c r="AI35" s="325"/>
      <c r="AJ35" s="325"/>
      <c r="AK35" s="325"/>
      <c r="AL35" s="325"/>
      <c r="AM35" s="325">
        <f>k.w3M.sdM*M.w3M*Molweight</f>
        <v>3.9541994190569332E-6</v>
      </c>
      <c r="AN35" s="326">
        <f>k.sdM.w3M*M.sdM*Molweight</f>
        <v>3.3665929951182261E-6</v>
      </c>
      <c r="AO35" s="329">
        <f>SUM(AC35,AD35,AM35)-SUM(AE35,AF35,AG35,AN35)</f>
        <v>0</v>
      </c>
      <c r="AP35" s="29"/>
      <c r="AQ35" s="437"/>
      <c r="AR35" s="2"/>
      <c r="AS35" s="2"/>
      <c r="AT35" s="75"/>
      <c r="AU35" s="2"/>
      <c r="AV35" s="2"/>
      <c r="AW35" s="75"/>
      <c r="AX35" s="290">
        <f>output!AG16</f>
        <v>4.4708481371566054E-4</v>
      </c>
      <c r="AY35" s="54"/>
      <c r="AZ35" s="75"/>
      <c r="BA35" s="75"/>
      <c r="BB35" s="75"/>
      <c r="BC35" s="75"/>
      <c r="BD35" s="2"/>
      <c r="BE35" s="75"/>
      <c r="BF35" s="75"/>
      <c r="BG35" s="75"/>
      <c r="BH35" s="75"/>
      <c r="BI35" s="75"/>
      <c r="BJ35" s="315">
        <f>output!AC19</f>
        <v>0.31709791983764585</v>
      </c>
      <c r="BK35" s="2"/>
      <c r="BL35"/>
      <c r="BM35" s="562"/>
      <c r="BN35" s="591">
        <v>22</v>
      </c>
      <c r="BO35" s="549" t="s">
        <v>1557</v>
      </c>
      <c r="BP35" s="549" t="s">
        <v>2408</v>
      </c>
      <c r="BQ35" s="550" t="s">
        <v>2408</v>
      </c>
      <c r="BR35" s="566">
        <v>626193.23990696738</v>
      </c>
      <c r="BS35" s="566"/>
      <c r="BT35" s="566">
        <v>1275924.8379191349</v>
      </c>
      <c r="BU35" s="566">
        <v>46051.423504771919</v>
      </c>
      <c r="BV35" s="566">
        <v>335856.67941481428</v>
      </c>
      <c r="BW35" s="566">
        <v>3222.1860353549778</v>
      </c>
      <c r="BX35" s="566">
        <v>5546.0613415123062</v>
      </c>
      <c r="BY35" s="566">
        <v>23022975.40368326</v>
      </c>
      <c r="BZ35" s="566">
        <v>2054.0967931527061</v>
      </c>
      <c r="CA35" s="566">
        <v>3530052.7025465607</v>
      </c>
      <c r="CB35" s="566">
        <v>6.2058870440933309E-30</v>
      </c>
      <c r="CC35" s="566">
        <v>6709.5747935752788</v>
      </c>
      <c r="CD35" s="566">
        <v>9090351.1139451563</v>
      </c>
      <c r="CE35" s="566">
        <v>1766.1349975211861</v>
      </c>
      <c r="CF35" s="566">
        <v>31802.276875102987</v>
      </c>
      <c r="CG35" s="566">
        <v>18253.27730552966</v>
      </c>
      <c r="CH35" s="566">
        <v>100621.3940649454</v>
      </c>
      <c r="CI35" s="566">
        <v>6760.4730761220962</v>
      </c>
      <c r="CJ35" s="566">
        <v>7318049.6667502858</v>
      </c>
      <c r="CK35" s="566">
        <v>171904048.54444462</v>
      </c>
      <c r="CL35" s="566"/>
      <c r="CM35" s="566">
        <v>121493.67578711588</v>
      </c>
      <c r="CN35" s="566">
        <v>135818.41889928462</v>
      </c>
      <c r="CO35" s="566">
        <v>2915752.5010966333</v>
      </c>
      <c r="CP35" s="566">
        <v>221270878.05354691</v>
      </c>
      <c r="CQ35" s="566"/>
      <c r="CR35" s="566">
        <v>156939.99791419093</v>
      </c>
      <c r="CS35" s="566">
        <v>171378.22100832014</v>
      </c>
      <c r="CT35" s="566">
        <v>7788303.7934173681</v>
      </c>
      <c r="CU35" s="566">
        <v>148945715.39529005</v>
      </c>
      <c r="CV35" s="566"/>
      <c r="CW35" s="566">
        <v>104575.09068965841</v>
      </c>
      <c r="CX35" s="566">
        <v>42083.282444780649</v>
      </c>
      <c r="CY35" s="552"/>
    </row>
    <row r="36" spans="1:103" ht="12.75" customHeight="1" x14ac:dyDescent="0.3">
      <c r="A36" s="29"/>
      <c r="B36" s="121" t="s">
        <v>717</v>
      </c>
      <c r="C36" s="318">
        <f>C35*FRACw.sdR</f>
        <v>356.16183374515492</v>
      </c>
      <c r="D36" s="122">
        <f>C36/$C$51</f>
        <v>9.838375207525324E-5</v>
      </c>
      <c r="E36" s="318">
        <f>E35*FRACw.sdC</f>
        <v>487.36100157024379</v>
      </c>
      <c r="F36" s="122">
        <f>E36/$E$51</f>
        <v>6.5790721185842469E-4</v>
      </c>
      <c r="G36" s="318">
        <f>G35*FRACw.sdM</f>
        <v>48.618830596445676</v>
      </c>
      <c r="H36" s="122">
        <f>G36/$G$51</f>
        <v>3.4928337874389228E-5</v>
      </c>
      <c r="I36" s="318">
        <f>I35*FRACw.sdA</f>
        <v>362.93020886187776</v>
      </c>
      <c r="J36" s="122">
        <f>I36/$I$51</f>
        <v>1.5459461164116282E-4</v>
      </c>
      <c r="K36" s="318">
        <f>K35*FRACw.sdT</f>
        <v>7.1264818513043613</v>
      </c>
      <c r="L36" s="123">
        <f>K36/$K$51</f>
        <v>6.3222138088103305E-6</v>
      </c>
      <c r="M36" s="320">
        <f>M37/Kp.sd2R</f>
        <v>7.4058012580494722E-7</v>
      </c>
      <c r="N36" s="320">
        <f>N37/Kp.sd2C</f>
        <v>2.7282590768535545E-10</v>
      </c>
      <c r="O36" s="320">
        <f>O37/Kp.sdM</f>
        <v>2.6142431003577239E-12</v>
      </c>
      <c r="P36" s="320">
        <f>P37/Kp.sdA</f>
        <v>2.9594268702158635E-11</v>
      </c>
      <c r="Q36" s="320">
        <f>Q37/Kp.sdT</f>
        <v>1.660319364509182E-13</v>
      </c>
      <c r="R36" s="120" t="s">
        <v>1489</v>
      </c>
      <c r="S36" s="325">
        <f>S35*FRACw.sdR</f>
        <v>8.5810479371880959E-4</v>
      </c>
      <c r="T36" s="325">
        <f>T35*FRACw.sdC</f>
        <v>3.1612139062066775E-7</v>
      </c>
      <c r="U36" s="325">
        <f>U35*FRACw.sdM</f>
        <v>3.0291044252976899E-9</v>
      </c>
      <c r="V36" s="325">
        <f>V35*FRACw.sdA</f>
        <v>9.3417792478935483E-9</v>
      </c>
      <c r="W36" s="326">
        <f>W35*FRACw.sdT</f>
        <v>3.790347774328465E-10</v>
      </c>
      <c r="X36" s="29"/>
      <c r="Y36" s="436"/>
      <c r="Z36" s="29"/>
      <c r="AA36" s="32" t="s">
        <v>385</v>
      </c>
      <c r="AB36" s="33" t="s">
        <v>526</v>
      </c>
      <c r="AC36" s="332">
        <f>E.sM*Molweight</f>
        <v>0</v>
      </c>
      <c r="AD36" s="330"/>
      <c r="AE36" s="330"/>
      <c r="AF36" s="325">
        <f>(FRACinf.sM*RAINrate.M/Kslw.M*SYSTEMAREA.M*AREAFRAC.sM*CORRleach.sM)*C.sM*Molweight</f>
        <v>1.8126082102685344E-7</v>
      </c>
      <c r="AG36" s="326">
        <f>KDEG.sM*M.sM*Molweight</f>
        <v>1.9316706775649017E-4</v>
      </c>
      <c r="AH36" s="325"/>
      <c r="AI36" s="325"/>
      <c r="AJ36" s="325">
        <f>k.aM.sM*M.aM*Molweight</f>
        <v>7.1076274045152321E-4</v>
      </c>
      <c r="AK36" s="325">
        <f>k.sM.aM*M.sM*Molweight</f>
        <v>4.9040544961464377E-4</v>
      </c>
      <c r="AL36" s="325">
        <f>k.sM.w2M*M.sM*Molweight</f>
        <v>2.7008962259362432E-5</v>
      </c>
      <c r="AM36" s="325"/>
      <c r="AN36" s="326"/>
      <c r="AO36" s="329">
        <f>SUM(AC36,AD36,AJ36)-SUM(AE36,AF36,AG36,AK36,AL36,AO35)</f>
        <v>0</v>
      </c>
      <c r="AP36" s="29"/>
      <c r="AQ36" s="437"/>
      <c r="AR36" s="2"/>
      <c r="AS36" s="2"/>
      <c r="AT36" s="75"/>
      <c r="AU36" s="2"/>
      <c r="AV36" s="60" t="s">
        <v>2158</v>
      </c>
      <c r="AW36" s="75"/>
      <c r="AX36" s="75"/>
      <c r="AY36" s="55" t="s">
        <v>2159</v>
      </c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315">
        <f>output!AC18</f>
        <v>0</v>
      </c>
      <c r="BK36" s="2"/>
      <c r="BL36"/>
      <c r="BM36" s="562"/>
      <c r="BN36" s="591">
        <v>23</v>
      </c>
      <c r="BO36" s="549" t="s">
        <v>1929</v>
      </c>
      <c r="BP36" s="549" t="s">
        <v>2408</v>
      </c>
      <c r="BQ36" s="550" t="s">
        <v>2408</v>
      </c>
      <c r="BR36" s="566">
        <v>407460.79167825519</v>
      </c>
      <c r="BS36" s="566"/>
      <c r="BT36" s="566">
        <v>990377.55446374847</v>
      </c>
      <c r="BU36" s="566">
        <v>35929.165211435167</v>
      </c>
      <c r="BV36" s="566">
        <v>310085.25339018286</v>
      </c>
      <c r="BW36" s="566">
        <v>2985.6677768834102</v>
      </c>
      <c r="BX36" s="566">
        <v>1487.0413905058472</v>
      </c>
      <c r="BY36" s="566">
        <v>5117603.2248552423</v>
      </c>
      <c r="BZ36" s="566">
        <v>550.75607055772116</v>
      </c>
      <c r="CA36" s="566">
        <v>1545975.4297887397</v>
      </c>
      <c r="CB36" s="566">
        <v>9.978630770925261E-31</v>
      </c>
      <c r="CC36" s="566">
        <v>1112.8974859295697</v>
      </c>
      <c r="CD36" s="566">
        <v>2072650.7983283305</v>
      </c>
      <c r="CE36" s="566">
        <v>348.44600159443496</v>
      </c>
      <c r="CF36" s="566">
        <v>8611.7318129771684</v>
      </c>
      <c r="CG36" s="566">
        <v>2352.6885743306216</v>
      </c>
      <c r="CH36" s="566">
        <v>8667.8435104707569</v>
      </c>
      <c r="CI36" s="566">
        <v>871.3661386409708</v>
      </c>
      <c r="CJ36" s="566">
        <v>1277859.89937554</v>
      </c>
      <c r="CK36" s="566">
        <v>15580365.244705755</v>
      </c>
      <c r="CL36" s="566"/>
      <c r="CM36" s="566">
        <v>13077.71688965768</v>
      </c>
      <c r="CN36" s="566">
        <v>6979.8928074811956</v>
      </c>
      <c r="CO36" s="566">
        <v>333341.07420520682</v>
      </c>
      <c r="CP36" s="566">
        <v>11332163.70931315</v>
      </c>
      <c r="CQ36" s="566"/>
      <c r="CR36" s="566">
        <v>9549.9159636806471</v>
      </c>
      <c r="CS36" s="566">
        <v>5999.8238668919721</v>
      </c>
      <c r="CT36" s="566">
        <v>616898.58954446891</v>
      </c>
      <c r="CU36" s="566">
        <v>8525058.3049991895</v>
      </c>
      <c r="CV36" s="566"/>
      <c r="CW36" s="566">
        <v>7102.8377570568482</v>
      </c>
      <c r="CX36" s="566">
        <v>950.37987877728165</v>
      </c>
      <c r="CY36" s="552"/>
    </row>
    <row r="37" spans="1:103" ht="12.75" customHeight="1" x14ac:dyDescent="0.3">
      <c r="A37" s="29"/>
      <c r="B37" s="121" t="s">
        <v>718</v>
      </c>
      <c r="C37" s="318">
        <f>C35*FRACs.sdR</f>
        <v>89.040458436288702</v>
      </c>
      <c r="D37" s="122">
        <f>C37/$C$51</f>
        <v>2.4595938018813303E-5</v>
      </c>
      <c r="E37" s="318">
        <f>E35*FRACs.sdC</f>
        <v>121.8402503925609</v>
      </c>
      <c r="F37" s="122">
        <f>E37/$E$51</f>
        <v>1.6447680296460612E-4</v>
      </c>
      <c r="G37" s="318">
        <f>G35*FRACs.sdM</f>
        <v>12.154707649111415</v>
      </c>
      <c r="H37" s="122">
        <f>G37/$G$51</f>
        <v>8.7320844685973037E-6</v>
      </c>
      <c r="I37" s="318">
        <f>I35*FRACs.sdA</f>
        <v>90.732552215469411</v>
      </c>
      <c r="J37" s="122">
        <f>I37/$I$51</f>
        <v>3.8648652910290693E-5</v>
      </c>
      <c r="K37" s="318">
        <f>K35*FRACs.sdT</f>
        <v>1.7816204628260899</v>
      </c>
      <c r="L37" s="123">
        <f>K37/$K$51</f>
        <v>1.5805534522025822E-6</v>
      </c>
      <c r="M37" s="320">
        <f>C.sd2R*FRACs.sdR/(FRACw.sdR/(Kp.sd2R*RHOsolid/1000)+FRACs.sdR)*(Molweight*1000)/(FRACs.sdR*RHOsolid)</f>
        <v>2.8495224610808303E-5</v>
      </c>
      <c r="N37" s="320">
        <f>C.sd2C*FRACs.sdC/(FRACw.sdC/(Kp.sd2C*RHOsolid/1000)+FRACs.sdC)*(Molweight*1000)/(FRACs.sdC*RHOsolid)</f>
        <v>1.0497494124206921E-8</v>
      </c>
      <c r="O37" s="320">
        <f>C.sdM*FRACs.sdM/(FRACw.sdM/(Kp.sdM*RHOsolid/1000)+FRACs.sdM)*(Molweight*1000)/(FRACs.sdM*RHOsolid)</f>
        <v>1.0058796035200271E-10</v>
      </c>
      <c r="P37" s="320">
        <f>C.sdA*FRACs.sdA/(FRACw.sdA/(Kp.sdA*RHOsolid/1000)+FRACs.sdA)*(Molweight*1000)/(FRACs.sdA*RHOsolid)</f>
        <v>1.1386956042656894E-9</v>
      </c>
      <c r="Q37" s="320">
        <f>C.sdT*FRACs.sdT/(FRACw.sdT/(Kp.sdT*RHOsolid/1000)+FRACs.sdT)*(Molweight*1000)/(FRACs.sdT*RHOsolid)</f>
        <v>6.388393580767571E-12</v>
      </c>
      <c r="R37" s="120" t="s">
        <v>1494</v>
      </c>
      <c r="S37" s="325">
        <f>S35*(1-FRACw.sdR)</f>
        <v>2.1452619842970234E-4</v>
      </c>
      <c r="T37" s="325">
        <f>T35*(1-FRACw.sdC)</f>
        <v>7.903034765516691E-8</v>
      </c>
      <c r="U37" s="325">
        <f>U35*(1-FRACw.sdM)</f>
        <v>7.5727610632442226E-10</v>
      </c>
      <c r="V37" s="325">
        <f>V35*(1-FRACw.sdA)</f>
        <v>2.3354448119733867E-9</v>
      </c>
      <c r="W37" s="326">
        <f>W35*(1-FRACw.sdT)</f>
        <v>9.4758694358211598E-11</v>
      </c>
      <c r="X37" s="29"/>
      <c r="Y37" s="436"/>
      <c r="Z37" s="29"/>
      <c r="AA37" s="31" t="s">
        <v>374</v>
      </c>
      <c r="AB37" s="34"/>
      <c r="AC37" s="329"/>
      <c r="AD37" s="330"/>
      <c r="AE37" s="330"/>
      <c r="AF37" s="330"/>
      <c r="AG37" s="331"/>
      <c r="AH37" s="325"/>
      <c r="AI37" s="325"/>
      <c r="AJ37" s="325"/>
      <c r="AK37" s="325"/>
      <c r="AL37" s="325"/>
      <c r="AM37" s="325"/>
      <c r="AN37" s="326"/>
      <c r="AO37" s="332"/>
      <c r="AP37" s="29"/>
      <c r="AQ37" s="437"/>
      <c r="AR37" s="2"/>
      <c r="AS37" s="2"/>
      <c r="AT37" s="77"/>
      <c r="AU37" s="2"/>
      <c r="AV37" s="277">
        <f>IF(ISERROR(output!D27),0,output!D27)</f>
        <v>1.7790509552991988E-3</v>
      </c>
      <c r="AW37" s="75"/>
      <c r="AX37" s="75"/>
      <c r="AY37" s="300">
        <f>IF(ISERROR(output!D23),0,output!D23)</f>
        <v>1.2776972445418677E-2</v>
      </c>
      <c r="AZ37" s="75"/>
      <c r="BA37" s="75"/>
      <c r="BB37" s="2"/>
      <c r="BC37" s="75"/>
      <c r="BD37" s="75"/>
      <c r="BE37" s="75"/>
      <c r="BF37" s="75"/>
      <c r="BG37" s="75"/>
      <c r="BH37" s="75"/>
      <c r="BI37" s="75"/>
      <c r="BJ37" s="2"/>
      <c r="BK37" s="2"/>
      <c r="BL37"/>
      <c r="BM37" s="562"/>
      <c r="BN37" s="591">
        <v>24</v>
      </c>
      <c r="BO37" s="549" t="s">
        <v>1773</v>
      </c>
      <c r="BP37" s="549" t="s">
        <v>2408</v>
      </c>
      <c r="BQ37" s="550" t="s">
        <v>2408</v>
      </c>
      <c r="BR37" s="566">
        <v>1072.9461083959711</v>
      </c>
      <c r="BS37" s="566"/>
      <c r="BT37" s="566">
        <v>20725285.889088202</v>
      </c>
      <c r="BU37" s="566">
        <v>1012326.6112237511</v>
      </c>
      <c r="BV37" s="566">
        <v>13918723.195335008</v>
      </c>
      <c r="BW37" s="566">
        <v>184821.03865262511</v>
      </c>
      <c r="BX37" s="566">
        <v>4434034.099402912</v>
      </c>
      <c r="BY37" s="566">
        <v>27745203.804096445</v>
      </c>
      <c r="BZ37" s="566">
        <v>1642234.8516307087</v>
      </c>
      <c r="CA37" s="566">
        <v>7.9834694012389482</v>
      </c>
      <c r="CB37" s="566">
        <v>8.5752458406753616E-32</v>
      </c>
      <c r="CC37" s="566">
        <v>3384.8406139720655</v>
      </c>
      <c r="CD37" s="566">
        <v>67434937.143202469</v>
      </c>
      <c r="CE37" s="566">
        <v>2273.1970896965836</v>
      </c>
      <c r="CF37" s="566">
        <v>615581.71967912558</v>
      </c>
      <c r="CG37" s="566">
        <v>17096.660025866175</v>
      </c>
      <c r="CH37" s="566">
        <v>39713.20510433735</v>
      </c>
      <c r="CI37" s="566">
        <v>6332.0963058763582</v>
      </c>
      <c r="CJ37" s="566">
        <v>1.6053706211944949E-2</v>
      </c>
      <c r="CK37" s="566">
        <v>1300495924.9410756</v>
      </c>
      <c r="CL37" s="566"/>
      <c r="CM37" s="566">
        <v>2398280.867370774</v>
      </c>
      <c r="CN37" s="566">
        <v>123.39528827747056</v>
      </c>
      <c r="CO37" s="566">
        <v>4.9059100134382413E-3</v>
      </c>
      <c r="CP37" s="566">
        <v>835281062.05515492</v>
      </c>
      <c r="CQ37" s="566"/>
      <c r="CR37" s="566">
        <v>1541365.3074641644</v>
      </c>
      <c r="CS37" s="566">
        <v>33.999732284080757</v>
      </c>
      <c r="CT37" s="566">
        <v>1.1156717754276927E-2</v>
      </c>
      <c r="CU37" s="566">
        <v>1994702394.396354</v>
      </c>
      <c r="CV37" s="566"/>
      <c r="CW37" s="566">
        <v>3674029.6724335542</v>
      </c>
      <c r="CX37" s="566">
        <v>42.692689681697267</v>
      </c>
      <c r="CY37" s="552"/>
    </row>
    <row r="38" spans="1:103" ht="12.75" customHeight="1" x14ac:dyDescent="0.3">
      <c r="A38" s="29"/>
      <c r="B38" s="121"/>
      <c r="C38" s="318"/>
      <c r="D38" s="122"/>
      <c r="E38" s="318"/>
      <c r="F38" s="122"/>
      <c r="G38" s="318"/>
      <c r="H38" s="122"/>
      <c r="I38" s="318"/>
      <c r="J38" s="122"/>
      <c r="K38" s="318"/>
      <c r="L38" s="123"/>
      <c r="M38" s="320"/>
      <c r="N38" s="320"/>
      <c r="O38" s="320"/>
      <c r="P38" s="320"/>
      <c r="Q38" s="320"/>
      <c r="R38" s="120"/>
      <c r="S38" s="325"/>
      <c r="T38" s="325"/>
      <c r="U38" s="325"/>
      <c r="V38" s="325"/>
      <c r="W38" s="326"/>
      <c r="X38" s="29"/>
      <c r="Y38" s="436"/>
      <c r="Z38" s="29"/>
      <c r="AA38" s="32" t="s">
        <v>371</v>
      </c>
      <c r="AB38" s="33" t="s">
        <v>522</v>
      </c>
      <c r="AC38" s="332">
        <f>E.aA*Molweight</f>
        <v>0</v>
      </c>
      <c r="AD38" s="325">
        <f>k.aM.aA*M.aM*Molweight</f>
        <v>0.39388330365275748</v>
      </c>
      <c r="AE38" s="325">
        <f>k.aA.aM*M.aA*Molweight</f>
        <v>0.28327487187172756</v>
      </c>
      <c r="AF38" s="325">
        <f>kesc.aA*M.aA*Molweight</f>
        <v>1.4988392930686569E-4</v>
      </c>
      <c r="AG38" s="326">
        <f>KDEG.aA*M.aA*Molweight</f>
        <v>7.3887662965583897E-2</v>
      </c>
      <c r="AH38" s="325">
        <f>AH39</f>
        <v>4.6093796336503998E-2</v>
      </c>
      <c r="AI38" s="325">
        <f>AI39</f>
        <v>9.583278359063422E-3</v>
      </c>
      <c r="AJ38" s="325">
        <f>AJ42</f>
        <v>1.8472298356328188E-4</v>
      </c>
      <c r="AK38" s="325">
        <f>AK42</f>
        <v>1.2435607486478443E-4</v>
      </c>
      <c r="AL38" s="325"/>
      <c r="AM38" s="325"/>
      <c r="AN38" s="326"/>
      <c r="AO38" s="329">
        <f>SUM(AC38,AD38,AI38,AK38)-SUM(AE38,AF38,AG38,AH38,AJ38)</f>
        <v>0</v>
      </c>
      <c r="AP38" s="29"/>
      <c r="AQ38" s="437"/>
      <c r="AR38" s="2"/>
      <c r="AS38" s="2"/>
      <c r="AT38" s="75"/>
      <c r="AU38" s="2"/>
      <c r="AV38" s="56"/>
      <c r="AW38" s="75"/>
      <c r="AX38" s="75"/>
      <c r="AY38" s="54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2"/>
      <c r="BK38" s="2"/>
      <c r="BL38"/>
      <c r="BM38" s="562"/>
      <c r="BN38" s="591">
        <v>25</v>
      </c>
      <c r="BO38" s="549" t="s">
        <v>1875</v>
      </c>
      <c r="BP38" s="549" t="s">
        <v>2408</v>
      </c>
      <c r="BQ38" s="550" t="s">
        <v>2408</v>
      </c>
      <c r="BR38" s="566">
        <v>50.844237302719392</v>
      </c>
      <c r="BS38" s="566"/>
      <c r="BT38" s="566">
        <v>23978069.280633524</v>
      </c>
      <c r="BU38" s="566">
        <v>1169774.6781165951</v>
      </c>
      <c r="BV38" s="566">
        <v>725537.14402075449</v>
      </c>
      <c r="BW38" s="566">
        <v>10370.783580593976</v>
      </c>
      <c r="BX38" s="566">
        <v>2668535.1383219245</v>
      </c>
      <c r="BY38" s="566">
        <v>36384803.670803539</v>
      </c>
      <c r="BZ38" s="566">
        <v>988346.34752663889</v>
      </c>
      <c r="CA38" s="566">
        <v>2.2742573233040964E-2</v>
      </c>
      <c r="CB38" s="566">
        <v>4.0855565741151951E-33</v>
      </c>
      <c r="CC38" s="566">
        <v>1091.7024900377462</v>
      </c>
      <c r="CD38" s="566">
        <v>77613204.786092669</v>
      </c>
      <c r="CE38" s="566">
        <v>33.033131127953986</v>
      </c>
      <c r="CF38" s="566">
        <v>34404.478267936123</v>
      </c>
      <c r="CG38" s="566">
        <v>618.54212408742228</v>
      </c>
      <c r="CH38" s="566">
        <v>3153.1155716836111</v>
      </c>
      <c r="CI38" s="566">
        <v>229.0896755879341</v>
      </c>
      <c r="CJ38" s="566">
        <v>1.0241019155933717E-5</v>
      </c>
      <c r="CK38" s="566">
        <v>1495408169.6133392</v>
      </c>
      <c r="CL38" s="566"/>
      <c r="CM38" s="566">
        <v>133914.93625298238</v>
      </c>
      <c r="CN38" s="566">
        <v>0.9997157020116344</v>
      </c>
      <c r="CO38" s="566">
        <v>6.2306756320738062E-6</v>
      </c>
      <c r="CP38" s="566">
        <v>960428073.2894063</v>
      </c>
      <c r="CQ38" s="566"/>
      <c r="CR38" s="566">
        <v>86561.717289523745</v>
      </c>
      <c r="CS38" s="566">
        <v>0.35903213359505237</v>
      </c>
      <c r="CT38" s="566">
        <v>1.2044729297386437E-5</v>
      </c>
      <c r="CU38" s="566">
        <v>2292200562.3893685</v>
      </c>
      <c r="CV38" s="566"/>
      <c r="CW38" s="566">
        <v>202838.93806823742</v>
      </c>
      <c r="CX38" s="566">
        <v>0.78170525375844535</v>
      </c>
      <c r="CY38" s="552"/>
    </row>
    <row r="39" spans="1:103" ht="12.75" customHeight="1" x14ac:dyDescent="0.3">
      <c r="A39" s="29"/>
      <c r="B39" s="66" t="s">
        <v>450</v>
      </c>
      <c r="C39" s="318">
        <f>M.s1R*Molweight</f>
        <v>226.55876338329728</v>
      </c>
      <c r="D39" s="122">
        <f>C39/$C$51</f>
        <v>6.2583070658624439E-5</v>
      </c>
      <c r="E39" s="318">
        <f>M.s1C*Molweight</f>
        <v>649.21788933377309</v>
      </c>
      <c r="F39" s="122">
        <f>E39/$E$51</f>
        <v>8.7640400049250155E-4</v>
      </c>
      <c r="G39" s="318"/>
      <c r="H39" s="122"/>
      <c r="I39" s="318"/>
      <c r="J39" s="122"/>
      <c r="K39" s="318"/>
      <c r="L39" s="123"/>
      <c r="M39" s="320">
        <f>C.s1R*(Molweight*1000)/(FRACw.s1R*1000+(1-FRACa.s1R-FRACw.s1R)*RHOsolid)</f>
        <v>4.3189576680036188E-8</v>
      </c>
      <c r="N39" s="320">
        <f>C.s1C*(Molweight*1000)/(FRACw.s1C*1000+(1-FRACa.s1C-FRACw.s1C)*RHOsolid)</f>
        <v>7.6158424059309755E-9</v>
      </c>
      <c r="O39" s="320"/>
      <c r="P39" s="320"/>
      <c r="Q39" s="320"/>
      <c r="R39" s="120" t="s">
        <v>1495</v>
      </c>
      <c r="S39" s="325">
        <f>F.s1R</f>
        <v>4.5632436740490936E-6</v>
      </c>
      <c r="T39" s="325">
        <f>F.s1C</f>
        <v>8.0466046099228018E-7</v>
      </c>
      <c r="U39" s="325"/>
      <c r="V39" s="325"/>
      <c r="W39" s="326"/>
      <c r="X39" s="29"/>
      <c r="Y39" s="436"/>
      <c r="Z39" s="29"/>
      <c r="AA39" s="32" t="s">
        <v>382</v>
      </c>
      <c r="AB39" s="33" t="s">
        <v>1480</v>
      </c>
      <c r="AC39" s="332">
        <f>E.w2A*Molweight</f>
        <v>0</v>
      </c>
      <c r="AD39" s="325">
        <f>(k.w2M.w2A*M.w2M+k.w3A.w2A*M.w3A)*Molweight</f>
        <v>1.9045860359203758E-2</v>
      </c>
      <c r="AE39" s="325">
        <f>(k.w2A.w2M+k.w2A.w3A)*M.w2A*Molweight</f>
        <v>5.1922448810533844E-2</v>
      </c>
      <c r="AF39" s="330"/>
      <c r="AG39" s="326">
        <f>KDEG.w2A*M.w2A*Molweight</f>
        <v>3.6452519059006522E-3</v>
      </c>
      <c r="AH39" s="325">
        <f>k.aA.w2A*M.aA*Molweight</f>
        <v>4.6093796336503998E-2</v>
      </c>
      <c r="AI39" s="325">
        <f>k.w2A.aA*M.w2A*Molweight</f>
        <v>9.583278359063422E-3</v>
      </c>
      <c r="AJ39" s="325"/>
      <c r="AK39" s="325"/>
      <c r="AL39" s="325">
        <f>AL42</f>
        <v>1.1322379790153221E-5</v>
      </c>
      <c r="AM39" s="325"/>
      <c r="AN39" s="326"/>
      <c r="AO39" s="329">
        <f>SUM(AC39,AD39,AH39,AL39)-SUM(AF39,AE39,AG39,AI39)</f>
        <v>0</v>
      </c>
      <c r="AP39" s="29"/>
      <c r="AQ39" s="437"/>
      <c r="AR39" s="2"/>
      <c r="AS39" s="75"/>
      <c r="AT39" s="75"/>
      <c r="AU39" s="2"/>
      <c r="AV39" s="2"/>
      <c r="AW39" s="75"/>
      <c r="AX39" s="75"/>
      <c r="AY39" s="54"/>
      <c r="AZ39" s="53"/>
      <c r="BA39" s="75"/>
      <c r="BB39" s="75"/>
      <c r="BC39" s="75"/>
      <c r="BD39" s="75"/>
      <c r="BE39" s="75"/>
      <c r="BF39" s="75"/>
      <c r="BG39" s="75"/>
      <c r="BH39" s="75"/>
      <c r="BI39" s="75"/>
      <c r="BJ39" s="2"/>
      <c r="BK39" s="2"/>
      <c r="BL39"/>
      <c r="BM39" s="562"/>
      <c r="BN39" s="591">
        <v>26</v>
      </c>
      <c r="BO39" s="549" t="s">
        <v>1889</v>
      </c>
      <c r="BP39" s="549" t="s">
        <v>2408</v>
      </c>
      <c r="BQ39" s="550" t="s">
        <v>2408</v>
      </c>
      <c r="BR39" s="566">
        <v>305964.56753797893</v>
      </c>
      <c r="BS39" s="566"/>
      <c r="BT39" s="566">
        <v>4401817.3313246612</v>
      </c>
      <c r="BU39" s="566">
        <v>193336.2816449934</v>
      </c>
      <c r="BV39" s="566">
        <v>37368.612823703581</v>
      </c>
      <c r="BW39" s="566">
        <v>499.82626482263663</v>
      </c>
      <c r="BX39" s="566">
        <v>2523.2727666840756</v>
      </c>
      <c r="BY39" s="566">
        <v>1665230.4882750716</v>
      </c>
      <c r="BZ39" s="566">
        <v>934.54546914225</v>
      </c>
      <c r="CA39" s="566">
        <v>262043.57572384641</v>
      </c>
      <c r="CB39" s="566">
        <v>7.5201050150701169E-30</v>
      </c>
      <c r="CC39" s="566">
        <v>24809.823215036296</v>
      </c>
      <c r="CD39" s="566">
        <v>11601426.439474657</v>
      </c>
      <c r="CE39" s="566">
        <v>210.61952556496141</v>
      </c>
      <c r="CF39" s="566">
        <v>1499.6403144094918</v>
      </c>
      <c r="CG39" s="566">
        <v>1100.6281331043342</v>
      </c>
      <c r="CH39" s="566">
        <v>4119.1010742457238</v>
      </c>
      <c r="CI39" s="566">
        <v>407.6400492979015</v>
      </c>
      <c r="CJ39" s="566">
        <v>35663.714207312158</v>
      </c>
      <c r="CK39" s="566">
        <v>15771558.481985645</v>
      </c>
      <c r="CL39" s="566"/>
      <c r="CM39" s="566">
        <v>411.43826665987473</v>
      </c>
      <c r="CN39" s="566">
        <v>537.64711396853215</v>
      </c>
      <c r="CO39" s="566">
        <v>1530.4476951038125</v>
      </c>
      <c r="CP39" s="566">
        <v>3406391.7062232983</v>
      </c>
      <c r="CQ39" s="566"/>
      <c r="CR39" s="566">
        <v>89.109417294891031</v>
      </c>
      <c r="CS39" s="566">
        <v>85.762959181146314</v>
      </c>
      <c r="CT39" s="566">
        <v>2260.1261961481937</v>
      </c>
      <c r="CU39" s="566">
        <v>754356.82866465743</v>
      </c>
      <c r="CV39" s="566"/>
      <c r="CW39" s="566">
        <v>19.57769766695764</v>
      </c>
      <c r="CX39" s="566">
        <v>8.9407931658025994</v>
      </c>
      <c r="CY39" s="552"/>
    </row>
    <row r="40" spans="1:103" ht="12.75" customHeight="1" x14ac:dyDescent="0.3">
      <c r="A40" s="29"/>
      <c r="B40" s="121" t="s">
        <v>435</v>
      </c>
      <c r="C40" s="318">
        <f>C39*FRw.s1R</f>
        <v>1.9443675520883119</v>
      </c>
      <c r="D40" s="122">
        <f>C40/$C$51</f>
        <v>5.3709902932693384E-7</v>
      </c>
      <c r="E40" s="318">
        <f>E39*FRw.s1C</f>
        <v>5.5717032499874231</v>
      </c>
      <c r="F40" s="122">
        <f>E40/$E$51</f>
        <v>7.521454812123316E-6</v>
      </c>
      <c r="G40" s="318"/>
      <c r="H40" s="122"/>
      <c r="I40" s="318"/>
      <c r="J40" s="122"/>
      <c r="K40" s="318"/>
      <c r="L40" s="123"/>
      <c r="M40" s="320">
        <f>M41/Kp.s1R</f>
        <v>3.1506152618588543E-9</v>
      </c>
      <c r="N40" s="320">
        <f>N41/Kp.s1C</f>
        <v>5.5556435511740439E-10</v>
      </c>
      <c r="O40" s="320"/>
      <c r="P40" s="320"/>
      <c r="Q40" s="320"/>
      <c r="R40" s="120" t="s">
        <v>1489</v>
      </c>
      <c r="S40" s="325">
        <f>S39*FRACw.s1R</f>
        <v>9.1264873480981879E-7</v>
      </c>
      <c r="T40" s="325">
        <f>T39*FRACw.s1C</f>
        <v>1.6093209219845605E-7</v>
      </c>
      <c r="U40" s="325"/>
      <c r="V40" s="325"/>
      <c r="W40" s="326"/>
      <c r="X40" s="29"/>
      <c r="Y40" s="436"/>
      <c r="Z40" s="29"/>
      <c r="AA40" s="32" t="s">
        <v>383</v>
      </c>
      <c r="AB40" s="33" t="s">
        <v>1481</v>
      </c>
      <c r="AC40" s="332"/>
      <c r="AD40" s="325">
        <f>(k.w2A.w3A*M.w2A+k.w3M.w3A*M.w3M)*Molweight</f>
        <v>5.1922448810533844E-2</v>
      </c>
      <c r="AE40" s="325">
        <f>(k.w3A.w2A+k.w3A.w3M)*M.w3A*Molweight</f>
        <v>1.9028984073523134E-2</v>
      </c>
      <c r="AF40" s="330"/>
      <c r="AG40" s="326">
        <f>KDEG.w3A*M.w3A*Molweight</f>
        <v>3.2892509433630097E-2</v>
      </c>
      <c r="AH40" s="325"/>
      <c r="AI40" s="325"/>
      <c r="AJ40" s="325"/>
      <c r="AK40" s="325"/>
      <c r="AL40" s="325"/>
      <c r="AM40" s="325">
        <f>k.w3A.sdA*M.w3A*Molweight</f>
        <v>2.6086666515832415E-5</v>
      </c>
      <c r="AN40" s="326">
        <f>k.sdA.w3A*M.sdA*Molweight</f>
        <v>2.5131363135226205E-5</v>
      </c>
      <c r="AO40" s="329">
        <f>SUM(AC40,AD40,AH40,AL40,AN40)-SUM(AE40,AF40,AG40,AI40,AM40)</f>
        <v>0</v>
      </c>
      <c r="AP40" s="29"/>
      <c r="AQ40" s="437"/>
      <c r="AR40" s="2"/>
      <c r="AS40" s="2"/>
      <c r="AT40" s="2"/>
      <c r="AU40" s="286">
        <f>IF(output!AN17&lt;0,"",output!AN17)</f>
        <v>2.4256577840715313E-5</v>
      </c>
      <c r="AV40" s="43"/>
      <c r="AW40" s="54"/>
      <c r="AX40" s="75"/>
      <c r="AY40" s="54"/>
      <c r="AZ40" s="75"/>
      <c r="BA40" s="2"/>
      <c r="BB40" s="75"/>
      <c r="BC40" s="75"/>
      <c r="BD40" s="75"/>
      <c r="BE40" s="75"/>
      <c r="BF40" s="75"/>
      <c r="BG40" s="75"/>
      <c r="BH40" s="75"/>
      <c r="BI40" s="75"/>
      <c r="BJ40" s="2"/>
      <c r="BK40" s="2"/>
      <c r="BL40"/>
      <c r="BM40" s="562"/>
      <c r="BN40" s="591">
        <v>27</v>
      </c>
      <c r="BO40" s="549" t="s">
        <v>1760</v>
      </c>
      <c r="BP40" s="549" t="s">
        <v>2408</v>
      </c>
      <c r="BQ40" s="550" t="s">
        <v>2408</v>
      </c>
      <c r="BR40" s="566">
        <v>170577.67981405352</v>
      </c>
      <c r="BS40" s="566"/>
      <c r="BT40" s="566">
        <v>1281531.5982389378</v>
      </c>
      <c r="BU40" s="566">
        <v>40455.35243189113</v>
      </c>
      <c r="BV40" s="566">
        <v>10068.311016510228</v>
      </c>
      <c r="BW40" s="566">
        <v>96.923653748409407</v>
      </c>
      <c r="BX40" s="566">
        <v>0.65782818812608701</v>
      </c>
      <c r="BY40" s="566">
        <v>73532847.478797212</v>
      </c>
      <c r="BZ40" s="566">
        <v>0.24364006967632851</v>
      </c>
      <c r="CA40" s="566">
        <v>69290.673942619775</v>
      </c>
      <c r="CB40" s="566">
        <v>8.4214647578026094E-35</v>
      </c>
      <c r="CC40" s="566">
        <v>7.6942914053772682E-2</v>
      </c>
      <c r="CD40" s="566">
        <v>204565.07723861086</v>
      </c>
      <c r="CE40" s="566">
        <v>6.0449948348878838E-4</v>
      </c>
      <c r="CF40" s="566">
        <v>24.505032737845934</v>
      </c>
      <c r="CG40" s="566">
        <v>0.11046284434185027</v>
      </c>
      <c r="CH40" s="566">
        <v>0.83088002640328484</v>
      </c>
      <c r="CI40" s="566">
        <v>4.0912164571055676E-2</v>
      </c>
      <c r="CJ40" s="566">
        <v>4218.2596437143147</v>
      </c>
      <c r="CK40" s="566">
        <v>28551.329199678999</v>
      </c>
      <c r="CL40" s="566"/>
      <c r="CM40" s="566">
        <v>0.68400881897528065</v>
      </c>
      <c r="CN40" s="566">
        <v>2.4136728192891952E-2</v>
      </c>
      <c r="CO40" s="566">
        <v>85.52688991142702</v>
      </c>
      <c r="CP40" s="566">
        <v>687.14563295752282</v>
      </c>
      <c r="CQ40" s="566"/>
      <c r="CR40" s="566">
        <v>1.6623049783017631E-2</v>
      </c>
      <c r="CS40" s="566">
        <v>7.0067091808028554E-4</v>
      </c>
      <c r="CT40" s="566">
        <v>113.61084458411787</v>
      </c>
      <c r="CU40" s="566">
        <v>129.69862931294011</v>
      </c>
      <c r="CV40" s="566"/>
      <c r="CW40" s="566">
        <v>3.0510765793509719E-3</v>
      </c>
      <c r="CX40" s="566">
        <v>3.4509421202467299E-4</v>
      </c>
      <c r="CY40" s="552"/>
    </row>
    <row r="41" spans="1:103" ht="12.75" customHeight="1" x14ac:dyDescent="0.3">
      <c r="A41" s="29"/>
      <c r="B41" s="121" t="s">
        <v>718</v>
      </c>
      <c r="C41" s="318">
        <f>C39*FRs.s1R</f>
        <v>224.43968529064938</v>
      </c>
      <c r="D41" s="122">
        <f>C41/$C$51</f>
        <v>6.1997710763368662E-5</v>
      </c>
      <c r="E41" s="318">
        <f>E39*FRs.s1C</f>
        <v>643.14554242431018</v>
      </c>
      <c r="F41" s="122">
        <f>E41/$E$51</f>
        <v>8.6820670770179783E-4</v>
      </c>
      <c r="G41" s="318"/>
      <c r="H41" s="122"/>
      <c r="I41" s="318"/>
      <c r="J41" s="122"/>
      <c r="K41" s="318"/>
      <c r="L41" s="123"/>
      <c r="M41" s="320">
        <f>C.s1R*FRs.s1R*(Molweight*1000)/(FRACs.s1R*RHOsolid)</f>
        <v>4.849035852876998E-8</v>
      </c>
      <c r="N41" s="320">
        <f>C.s1C*FRs.s1C*(Molweight*1000)/(FRACs.s1C*RHOsolid)</f>
        <v>8.5505568044362185E-9</v>
      </c>
      <c r="O41" s="320"/>
      <c r="P41" s="320"/>
      <c r="Q41" s="320"/>
      <c r="R41" s="120" t="s">
        <v>1494</v>
      </c>
      <c r="S41" s="325">
        <f>S39*(1-FRACw.s1R)</f>
        <v>3.6505949392392752E-6</v>
      </c>
      <c r="T41" s="325">
        <f>T39*(1-FRACw.s1C)</f>
        <v>6.4372836879382421E-7</v>
      </c>
      <c r="U41" s="325"/>
      <c r="V41" s="325"/>
      <c r="W41" s="326"/>
      <c r="X41" s="29"/>
      <c r="Y41" s="436"/>
      <c r="Z41" s="29"/>
      <c r="AA41" s="32" t="s">
        <v>384</v>
      </c>
      <c r="AB41" s="33" t="s">
        <v>523</v>
      </c>
      <c r="AC41" s="332"/>
      <c r="AD41" s="330"/>
      <c r="AE41" s="330"/>
      <c r="AF41" s="325">
        <f>(NETsedrate.wA*SYSTEMAREA.A*AREAFRAC.wA)*C.sdA*Molweight</f>
        <v>9.5903678563618779E-10</v>
      </c>
      <c r="AG41" s="326">
        <f>KDEG.sdA*M.sdA*Molweight</f>
        <v>9.5434434382057411E-7</v>
      </c>
      <c r="AH41" s="325"/>
      <c r="AI41" s="325"/>
      <c r="AJ41" s="325"/>
      <c r="AK41" s="325"/>
      <c r="AL41" s="325"/>
      <c r="AM41" s="325">
        <f>k.w3A.sdA*M.w3A*Molweight</f>
        <v>2.6086666515832415E-5</v>
      </c>
      <c r="AN41" s="326">
        <f>k.sdA.w3A*M.sdA*Molweight</f>
        <v>2.5131363135226205E-5</v>
      </c>
      <c r="AO41" s="329">
        <f>SUM(AC41,AD41,AM41)-SUM(AE41,AF41,AG41,AN41)</f>
        <v>0</v>
      </c>
      <c r="AP41" s="29"/>
      <c r="AQ41" s="437"/>
      <c r="AR41" s="2"/>
      <c r="AS41" s="2"/>
      <c r="AT41" s="75"/>
      <c r="AU41" s="86"/>
      <c r="AV41" s="43"/>
      <c r="AW41" s="54"/>
      <c r="AX41" s="54"/>
      <c r="AY41" s="54"/>
      <c r="AZ41" s="75"/>
      <c r="BA41" s="2"/>
      <c r="BB41" s="75"/>
      <c r="BC41" s="75"/>
      <c r="BD41" s="75"/>
      <c r="BE41" s="75"/>
      <c r="BF41" s="75"/>
      <c r="BG41" s="75"/>
      <c r="BH41" s="75"/>
      <c r="BI41" s="75"/>
      <c r="BJ41" s="2"/>
      <c r="BK41" s="2"/>
      <c r="BL41"/>
      <c r="BM41" s="562"/>
      <c r="BN41" s="591">
        <v>28</v>
      </c>
      <c r="BO41" s="549" t="s">
        <v>1886</v>
      </c>
      <c r="BP41" s="549" t="s">
        <v>2408</v>
      </c>
      <c r="BQ41" s="550" t="s">
        <v>2408</v>
      </c>
      <c r="BR41" s="566">
        <v>14405.996372121948</v>
      </c>
      <c r="BS41" s="566"/>
      <c r="BT41" s="566">
        <v>64015042.870667353</v>
      </c>
      <c r="BU41" s="566">
        <v>3115588.6654074918</v>
      </c>
      <c r="BV41" s="566">
        <v>527849.87004074361</v>
      </c>
      <c r="BW41" s="566">
        <v>7827.5832600044014</v>
      </c>
      <c r="BX41" s="566">
        <v>175542.62237937917</v>
      </c>
      <c r="BY41" s="566">
        <v>12084670.548055016</v>
      </c>
      <c r="BZ41" s="566">
        <v>65015.786066436733</v>
      </c>
      <c r="CA41" s="566">
        <v>665.66458589337287</v>
      </c>
      <c r="CB41" s="566">
        <v>2.6790779493462064E-31</v>
      </c>
      <c r="CC41" s="566">
        <v>95014.75430155269</v>
      </c>
      <c r="CD41" s="566">
        <v>207167616.47720185</v>
      </c>
      <c r="CE41" s="566">
        <v>783.46468987539879</v>
      </c>
      <c r="CF41" s="566">
        <v>26024.323826134205</v>
      </c>
      <c r="CG41" s="566">
        <v>4190.2447312757877</v>
      </c>
      <c r="CH41" s="566">
        <v>32298.967590089491</v>
      </c>
      <c r="CI41" s="566">
        <v>1551.9424930651057</v>
      </c>
      <c r="CJ41" s="566">
        <v>54.946475160556865</v>
      </c>
      <c r="CK41" s="566">
        <v>3976211857.3224797</v>
      </c>
      <c r="CL41" s="566"/>
      <c r="CM41" s="566">
        <v>100906.08560579861</v>
      </c>
      <c r="CN41" s="566">
        <v>1241.4448434700737</v>
      </c>
      <c r="CO41" s="566">
        <v>9.1214172070806612</v>
      </c>
      <c r="CP41" s="566">
        <v>2553123954.4311776</v>
      </c>
      <c r="CQ41" s="566"/>
      <c r="CR41" s="566">
        <v>64916.215087828808</v>
      </c>
      <c r="CS41" s="566">
        <v>640.34513004891892</v>
      </c>
      <c r="CT41" s="566">
        <v>142.79584307602346</v>
      </c>
      <c r="CU41" s="566">
        <v>6079739787.9813108</v>
      </c>
      <c r="CV41" s="566"/>
      <c r="CW41" s="566">
        <v>153737.28483097683</v>
      </c>
      <c r="CX41" s="566">
        <v>951.83704272475143</v>
      </c>
      <c r="CY41" s="552"/>
    </row>
    <row r="42" spans="1:103" ht="12.75" customHeight="1" x14ac:dyDescent="0.3">
      <c r="A42" s="29"/>
      <c r="B42" s="121"/>
      <c r="C42" s="318"/>
      <c r="D42" s="122"/>
      <c r="E42" s="318"/>
      <c r="F42" s="122"/>
      <c r="G42" s="318"/>
      <c r="H42" s="122"/>
      <c r="I42" s="318"/>
      <c r="J42" s="122"/>
      <c r="K42" s="318"/>
      <c r="L42" s="123"/>
      <c r="M42" s="320"/>
      <c r="N42" s="320"/>
      <c r="O42" s="320"/>
      <c r="P42" s="320"/>
      <c r="Q42" s="320"/>
      <c r="R42" s="120"/>
      <c r="S42" s="325"/>
      <c r="T42" s="325"/>
      <c r="U42" s="325"/>
      <c r="V42" s="325"/>
      <c r="W42" s="326"/>
      <c r="X42" s="29"/>
      <c r="Y42" s="436"/>
      <c r="Z42" s="29"/>
      <c r="AA42" s="32" t="s">
        <v>385</v>
      </c>
      <c r="AB42" s="33" t="s">
        <v>527</v>
      </c>
      <c r="AC42" s="332">
        <f>E.sA*Molweight</f>
        <v>0</v>
      </c>
      <c r="AD42" s="330"/>
      <c r="AE42" s="330"/>
      <c r="AF42" s="325">
        <f>(FRACinf.sA*RAINrate.A/Kslw.A*SYSTEMAREA.A*AREAFRAC.sA*CORRleach.sA)*C.sA*Molweight</f>
        <v>7.5446115456848087E-8</v>
      </c>
      <c r="AG42" s="326">
        <f>KDEG.sA*M.sA*Molweight</f>
        <v>4.8969082792887446E-5</v>
      </c>
      <c r="AH42" s="325"/>
      <c r="AI42" s="325"/>
      <c r="AJ42" s="325">
        <f>k.aA.sA*M.aA*Molweight</f>
        <v>1.8472298356328188E-4</v>
      </c>
      <c r="AK42" s="325">
        <f>k.sA.aA*M.sA*Molweight</f>
        <v>1.2435607486478443E-4</v>
      </c>
      <c r="AL42" s="325">
        <f>k.sA.w2A*M.sA*Molweight</f>
        <v>1.1322379790153221E-5</v>
      </c>
      <c r="AM42" s="325"/>
      <c r="AN42" s="326"/>
      <c r="AO42" s="329">
        <f>SUM(AC42,AD42,AJ42)-SUM(AE42,AF42,AG42,AK42,AL42,AO41)</f>
        <v>0</v>
      </c>
      <c r="AP42" s="29"/>
      <c r="AQ42" s="437"/>
      <c r="AR42" s="2"/>
      <c r="AS42" s="2"/>
      <c r="AT42" s="75"/>
      <c r="AU42" s="286">
        <f>IF(output!AM17&lt;0,"",output!AM17)</f>
        <v>2.8966861168978864E-5</v>
      </c>
      <c r="AV42" s="47" t="s">
        <v>2157</v>
      </c>
      <c r="AW42" s="75"/>
      <c r="AX42" s="75"/>
      <c r="AY42" s="54"/>
      <c r="AZ42" s="75"/>
      <c r="BA42" s="257"/>
      <c r="BB42" s="75"/>
      <c r="BC42" s="75"/>
      <c r="BD42" s="75"/>
      <c r="BE42" s="75"/>
      <c r="BF42" s="75"/>
      <c r="BG42" s="75"/>
      <c r="BH42" s="75"/>
      <c r="BI42" s="75"/>
      <c r="BJ42" s="2"/>
      <c r="BK42" s="2"/>
      <c r="BL42"/>
      <c r="BM42" s="562"/>
      <c r="BN42" s="591">
        <v>29</v>
      </c>
      <c r="BO42" s="549" t="s">
        <v>1968</v>
      </c>
      <c r="BP42" s="549" t="s">
        <v>2408</v>
      </c>
      <c r="BQ42" s="550" t="s">
        <v>2408</v>
      </c>
      <c r="BR42" s="566">
        <v>154788.79499362435</v>
      </c>
      <c r="BS42" s="566"/>
      <c r="BT42" s="566">
        <v>1181207.4351896991</v>
      </c>
      <c r="BU42" s="566">
        <v>37842.340440935062</v>
      </c>
      <c r="BV42" s="566">
        <v>29311.350611284604</v>
      </c>
      <c r="BW42" s="566">
        <v>277.43513845961354</v>
      </c>
      <c r="BX42" s="566">
        <v>132.47159178313402</v>
      </c>
      <c r="BY42" s="566">
        <v>6298995.4308517938</v>
      </c>
      <c r="BZ42" s="566">
        <v>49.063552512271862</v>
      </c>
      <c r="CA42" s="566">
        <v>60336.333487898264</v>
      </c>
      <c r="CB42" s="566">
        <v>9.0661269493666015E-32</v>
      </c>
      <c r="CC42" s="566">
        <v>85.502721019098729</v>
      </c>
      <c r="CD42" s="566">
        <v>211264.11927547251</v>
      </c>
      <c r="CE42" s="566">
        <v>2.1217274454483661</v>
      </c>
      <c r="CF42" s="566">
        <v>77.442475147938723</v>
      </c>
      <c r="CG42" s="566">
        <v>24.942745405541981</v>
      </c>
      <c r="CH42" s="566">
        <v>101.10539778754794</v>
      </c>
      <c r="CI42" s="566">
        <v>9.2380538539044341</v>
      </c>
      <c r="CJ42" s="566">
        <v>3520.9411143206826</v>
      </c>
      <c r="CK42" s="566">
        <v>30895.689869290054</v>
      </c>
      <c r="CL42" s="566"/>
      <c r="CM42" s="566">
        <v>2.2649721012409185</v>
      </c>
      <c r="CN42" s="566">
        <v>5.2242957612693042</v>
      </c>
      <c r="CO42" s="566">
        <v>67.512879946744803</v>
      </c>
      <c r="CP42" s="566">
        <v>1205.0725087348953</v>
      </c>
      <c r="CQ42" s="566"/>
      <c r="CR42" s="566">
        <v>8.9525250456938377E-2</v>
      </c>
      <c r="CS42" s="566">
        <v>0.3550495720681357</v>
      </c>
      <c r="CT42" s="566">
        <v>90.877456203297044</v>
      </c>
      <c r="CU42" s="566">
        <v>151.00127016202998</v>
      </c>
      <c r="CV42" s="566"/>
      <c r="CW42" s="566">
        <v>1.079884734598424E-2</v>
      </c>
      <c r="CX42" s="566">
        <v>3.6911831074575963E-2</v>
      </c>
      <c r="CY42" s="552"/>
    </row>
    <row r="43" spans="1:103" ht="12.75" customHeight="1" x14ac:dyDescent="0.3">
      <c r="A43" s="29"/>
      <c r="B43" s="66" t="s">
        <v>451</v>
      </c>
      <c r="C43" s="318">
        <f>M.s2R*Molweight</f>
        <v>3288798.5217120606</v>
      </c>
      <c r="D43" s="122">
        <f>C43/$C$51</f>
        <v>0.90847560779659298</v>
      </c>
      <c r="E43" s="318">
        <f>M.s2C*Molweight</f>
        <v>2391.9271531022155</v>
      </c>
      <c r="F43" s="122">
        <f>E43/$E$51</f>
        <v>3.2289537307985117E-3</v>
      </c>
      <c r="G43" s="318"/>
      <c r="H43" s="122"/>
      <c r="I43" s="318"/>
      <c r="J43" s="122"/>
      <c r="K43" s="318"/>
      <c r="L43" s="123"/>
      <c r="M43" s="320">
        <f>C.s2R*(Molweight*1000)/(FRACw.s2R*1000+(1-FRACa.s2R-FRACw.s2R)*RHOsolid)</f>
        <v>7.0532271868318109E-5</v>
      </c>
      <c r="N43" s="320">
        <f>C.s2C*(Molweight*1000)/(FRACw.s2C*1000+(1-FRACa.s2C-FRACw.s2C)*RHOsolid)</f>
        <v>3.156660978040182E-9</v>
      </c>
      <c r="O43" s="320"/>
      <c r="P43" s="320"/>
      <c r="Q43" s="320"/>
      <c r="R43" s="120" t="s">
        <v>1495</v>
      </c>
      <c r="S43" s="325">
        <f>F.s2R</f>
        <v>7.4521671236520174E-3</v>
      </c>
      <c r="T43" s="325">
        <f>F.s2C</f>
        <v>3.3352059331060377E-7</v>
      </c>
      <c r="U43" s="325"/>
      <c r="V43" s="325"/>
      <c r="W43" s="326"/>
      <c r="X43" s="29"/>
      <c r="Y43" s="436"/>
      <c r="Z43" s="29"/>
      <c r="AA43" s="31" t="s">
        <v>375</v>
      </c>
      <c r="AB43" s="34"/>
      <c r="AC43" s="329"/>
      <c r="AD43" s="330"/>
      <c r="AE43" s="330"/>
      <c r="AF43" s="330"/>
      <c r="AG43" s="331"/>
      <c r="AH43" s="325"/>
      <c r="AI43" s="325"/>
      <c r="AJ43" s="325"/>
      <c r="AK43" s="325"/>
      <c r="AL43" s="325"/>
      <c r="AM43" s="325"/>
      <c r="AN43" s="326"/>
      <c r="AO43" s="332"/>
      <c r="AP43" s="29"/>
      <c r="AQ43" s="437"/>
      <c r="AR43" s="2"/>
      <c r="AS43" s="75"/>
      <c r="AT43" s="2"/>
      <c r="AU43" s="2"/>
      <c r="AV43" s="277">
        <f>IF(ISERROR(output!D35),0,output!D35)</f>
        <v>1.2297969009406653E-4</v>
      </c>
      <c r="AW43" s="75"/>
      <c r="AX43" s="75"/>
      <c r="AY43" s="54"/>
      <c r="AZ43" s="75"/>
      <c r="BA43" s="2"/>
      <c r="BB43" s="75"/>
      <c r="BC43" s="2"/>
      <c r="BD43" s="75"/>
      <c r="BE43" s="2"/>
      <c r="BF43" s="2"/>
      <c r="BG43" s="75"/>
      <c r="BH43" s="2"/>
      <c r="BI43" s="2"/>
      <c r="BJ43" s="2"/>
      <c r="BK43" s="2"/>
      <c r="BL43"/>
      <c r="BM43" s="562"/>
      <c r="BN43" s="591">
        <v>30</v>
      </c>
      <c r="BO43" s="549" t="s">
        <v>1807</v>
      </c>
      <c r="BP43" s="549" t="s">
        <v>2408</v>
      </c>
      <c r="BQ43" s="550" t="s">
        <v>2408</v>
      </c>
      <c r="BR43" s="566">
        <v>68407.152215487687</v>
      </c>
      <c r="BS43" s="566"/>
      <c r="BT43" s="566">
        <v>1108359.3720898051</v>
      </c>
      <c r="BU43" s="566">
        <v>35130.278631158559</v>
      </c>
      <c r="BV43" s="566">
        <v>10081.593598474472</v>
      </c>
      <c r="BW43" s="566">
        <v>97.184469490345364</v>
      </c>
      <c r="BX43" s="566">
        <v>0.22680464023538427</v>
      </c>
      <c r="BY43" s="566">
        <v>3779159.6937597687</v>
      </c>
      <c r="BZ43" s="566">
        <v>8.4001718605697856E-2</v>
      </c>
      <c r="CA43" s="566">
        <v>10179.317878543225</v>
      </c>
      <c r="CB43" s="566">
        <v>2.5963551349427121E-35</v>
      </c>
      <c r="CC43" s="566">
        <v>2.3849028015086628E-2</v>
      </c>
      <c r="CD43" s="566">
        <v>177908.30214079254</v>
      </c>
      <c r="CE43" s="566">
        <v>2.1692982819588089E-4</v>
      </c>
      <c r="CF43" s="566">
        <v>24.608293237597348</v>
      </c>
      <c r="CG43" s="566">
        <v>1.9002708573989401E-2</v>
      </c>
      <c r="CH43" s="566">
        <v>6.2205357849621293E-2</v>
      </c>
      <c r="CI43" s="566">
        <v>7.038040212588666E-3</v>
      </c>
      <c r="CJ43" s="566">
        <v>224.49641982947708</v>
      </c>
      <c r="CK43" s="566">
        <v>24839.36876084072</v>
      </c>
      <c r="CL43" s="566"/>
      <c r="CM43" s="566">
        <v>0.68712761369139697</v>
      </c>
      <c r="CN43" s="566">
        <v>1.5042149690540655E-3</v>
      </c>
      <c r="CO43" s="566">
        <v>1.6786236257180915</v>
      </c>
      <c r="CP43" s="566">
        <v>598.34656246423413</v>
      </c>
      <c r="CQ43" s="566"/>
      <c r="CR43" s="566">
        <v>1.6718457209689473E-2</v>
      </c>
      <c r="CS43" s="566">
        <v>5.6522657102847143E-5</v>
      </c>
      <c r="CT43" s="566">
        <v>2.1338771033622894</v>
      </c>
      <c r="CU43" s="566">
        <v>112.84610764411408</v>
      </c>
      <c r="CV43" s="566"/>
      <c r="CW43" s="566">
        <v>3.0636753432692065E-3</v>
      </c>
      <c r="CX43" s="566">
        <v>4.2548383634128056E-6</v>
      </c>
      <c r="CY43" s="552"/>
    </row>
    <row r="44" spans="1:103" ht="12.75" customHeight="1" x14ac:dyDescent="0.3">
      <c r="A44" s="29"/>
      <c r="B44" s="121" t="s">
        <v>435</v>
      </c>
      <c r="C44" s="318">
        <f>C43*FRw.s2R</f>
        <v>28225.053118578122</v>
      </c>
      <c r="D44" s="122">
        <f>C44/$C$51</f>
        <v>7.7966990430423082E-3</v>
      </c>
      <c r="E44" s="318">
        <f>E43*FRw.s2C</f>
        <v>20.527943717553818</v>
      </c>
      <c r="F44" s="122">
        <f>E44/$E$51</f>
        <v>2.7711454492437347E-5</v>
      </c>
      <c r="G44" s="318"/>
      <c r="H44" s="122"/>
      <c r="I44" s="318"/>
      <c r="J44" s="122"/>
      <c r="K44" s="318"/>
      <c r="L44" s="123"/>
      <c r="M44" s="320">
        <f>M45/Kp.s2R</f>
        <v>5.1452241323916301E-6</v>
      </c>
      <c r="N44" s="320">
        <f>N45/Kp.s2C</f>
        <v>2.302737145956987E-10</v>
      </c>
      <c r="O44" s="320"/>
      <c r="P44" s="320"/>
      <c r="Q44" s="320"/>
      <c r="R44" s="120" t="s">
        <v>1489</v>
      </c>
      <c r="S44" s="325">
        <f>S43*FRACw.s2R</f>
        <v>1.4904334247304036E-3</v>
      </c>
      <c r="T44" s="325">
        <f>T43*FRACw.s2C</f>
        <v>6.6704118662120762E-8</v>
      </c>
      <c r="U44" s="325"/>
      <c r="V44" s="325"/>
      <c r="W44" s="326"/>
      <c r="X44" s="29"/>
      <c r="Y44" s="436"/>
      <c r="Z44" s="29"/>
      <c r="AA44" s="32" t="s">
        <v>371</v>
      </c>
      <c r="AB44" s="33" t="s">
        <v>524</v>
      </c>
      <c r="AC44" s="332">
        <f>E.aT*Molweight</f>
        <v>0</v>
      </c>
      <c r="AD44" s="325">
        <f>k.aM.aT*M.aM*Molweight</f>
        <v>0.68222589417965585</v>
      </c>
      <c r="AE44" s="325">
        <f>k.aT.aM*M.aT*Molweight</f>
        <v>0.41348340642026854</v>
      </c>
      <c r="AF44" s="325">
        <f>kesc.aT*M.aT*Molweight</f>
        <v>3.7893588177456851E-4</v>
      </c>
      <c r="AG44" s="326">
        <f>KDEG.aT*M.aT*Molweight</f>
        <v>0.24826148775149745</v>
      </c>
      <c r="AH44" s="325">
        <f>AH45</f>
        <v>2.2226080322131088E-2</v>
      </c>
      <c r="AI44" s="325">
        <f>AI45</f>
        <v>2.2855866565354675E-3</v>
      </c>
      <c r="AJ44" s="325">
        <f>AJ48</f>
        <v>5.3235755797143751E-4</v>
      </c>
      <c r="AK44" s="325">
        <f>AK48</f>
        <v>3.7078709745193191E-4</v>
      </c>
      <c r="AL44" s="325"/>
      <c r="AM44" s="325"/>
      <c r="AN44" s="326"/>
      <c r="AO44" s="329">
        <f>SUM(AC44,AD44,AI44,AK44)-SUM(AE44,AF44,AG44,AH44,AJ44)</f>
        <v>0</v>
      </c>
      <c r="AP44" s="29"/>
      <c r="AQ44" s="437"/>
      <c r="AR44" s="2"/>
      <c r="AS44" s="75"/>
      <c r="AT44" s="2"/>
      <c r="AU44" s="287">
        <f>output!AG17</f>
        <v>4.3032378813832318E-6</v>
      </c>
      <c r="AV44" s="54"/>
      <c r="AW44" s="56"/>
      <c r="AX44" s="75"/>
      <c r="AY44" s="54"/>
      <c r="AZ44" s="75"/>
      <c r="BA44" s="75"/>
      <c r="BB44" s="75"/>
      <c r="BC44" s="75"/>
      <c r="BD44" s="75"/>
      <c r="BE44" s="75"/>
      <c r="BF44" s="75"/>
      <c r="BG44" s="75"/>
      <c r="BH44" s="2"/>
      <c r="BI44" s="75"/>
      <c r="BJ44" s="2"/>
      <c r="BK44" s="2"/>
      <c r="BL44"/>
      <c r="BM44" s="562"/>
      <c r="BN44" s="591">
        <v>31</v>
      </c>
      <c r="BO44" s="549" t="s">
        <v>1755</v>
      </c>
      <c r="BP44" s="549" t="s">
        <v>2408</v>
      </c>
      <c r="BQ44" s="550" t="s">
        <v>2408</v>
      </c>
      <c r="BR44" s="566">
        <v>888263.31598992529</v>
      </c>
      <c r="BS44" s="566"/>
      <c r="BT44" s="566">
        <v>2069210.0352985421</v>
      </c>
      <c r="BU44" s="566">
        <v>69441.446326552876</v>
      </c>
      <c r="BV44" s="566">
        <v>544670.02351060393</v>
      </c>
      <c r="BW44" s="566">
        <v>4858.7696448750412</v>
      </c>
      <c r="BX44" s="566">
        <v>8.3626602013779276</v>
      </c>
      <c r="BY44" s="566">
        <v>11413768.926550165</v>
      </c>
      <c r="BZ44" s="566">
        <v>3.0972815560658993</v>
      </c>
      <c r="CA44" s="566">
        <v>1942217.3068413984</v>
      </c>
      <c r="CB44" s="566">
        <v>3.9625741880484056E-33</v>
      </c>
      <c r="CC44" s="566">
        <v>3.3995454017735929</v>
      </c>
      <c r="CD44" s="566">
        <v>1573920.7788938014</v>
      </c>
      <c r="CE44" s="566">
        <v>0.89484897246897377</v>
      </c>
      <c r="CF44" s="566">
        <v>5506.3070460581102</v>
      </c>
      <c r="CG44" s="566">
        <v>6.9365917400167323</v>
      </c>
      <c r="CH44" s="566">
        <v>24.13025984936036</v>
      </c>
      <c r="CI44" s="566">
        <v>2.5691080518580489</v>
      </c>
      <c r="CJ44" s="566">
        <v>734647.90395472245</v>
      </c>
      <c r="CK44" s="566">
        <v>4908523.4842775352</v>
      </c>
      <c r="CL44" s="566"/>
      <c r="CM44" s="566">
        <v>3469.1129490069889</v>
      </c>
      <c r="CN44" s="566">
        <v>9.4174042631018118</v>
      </c>
      <c r="CO44" s="566">
        <v>96107.579882078149</v>
      </c>
      <c r="CP44" s="566">
        <v>782923.51035714708</v>
      </c>
      <c r="CQ44" s="566"/>
      <c r="CR44" s="566">
        <v>555.30133546397838</v>
      </c>
      <c r="CS44" s="566">
        <v>3.5099280289567449</v>
      </c>
      <c r="CT44" s="566">
        <v>144784.32079965333</v>
      </c>
      <c r="CU44" s="566">
        <v>1536138.9000305242</v>
      </c>
      <c r="CV44" s="566"/>
      <c r="CW44" s="566">
        <v>1078.5262560676797</v>
      </c>
      <c r="CX44" s="566">
        <v>0.61824551705222153</v>
      </c>
      <c r="CY44" s="552"/>
    </row>
    <row r="45" spans="1:103" ht="12.75" customHeight="1" x14ac:dyDescent="0.3">
      <c r="A45" s="29"/>
      <c r="B45" s="121" t="s">
        <v>718</v>
      </c>
      <c r="C45" s="318">
        <f>C43*FRs.s2R</f>
        <v>3258037.3152399804</v>
      </c>
      <c r="D45" s="122">
        <f>C45/$C$51</f>
        <v>0.89997833879036282</v>
      </c>
      <c r="E45" s="318">
        <f>E43*FRs.s2C</f>
        <v>2369.5546773980941</v>
      </c>
      <c r="F45" s="122">
        <f>E45/$E$51</f>
        <v>3.1987522721970947E-3</v>
      </c>
      <c r="G45" s="318"/>
      <c r="H45" s="122"/>
      <c r="I45" s="318"/>
      <c r="J45" s="122"/>
      <c r="K45" s="318"/>
      <c r="L45" s="123"/>
      <c r="M45" s="320">
        <f>C.s2R*FRs.s2R*(Molweight*1000)/(FRACs.s2R*RHOsolid)</f>
        <v>7.9188901898275248E-5</v>
      </c>
      <c r="N45" s="320">
        <f>C.s2C*FRs.s2C*(Molweight*1000)/(FRACs.s2C*RHOsolid)</f>
        <v>3.5440871234493865E-9</v>
      </c>
      <c r="O45" s="320"/>
      <c r="P45" s="320"/>
      <c r="Q45" s="320"/>
      <c r="R45" s="120" t="s">
        <v>1494</v>
      </c>
      <c r="S45" s="325">
        <f>S43*(1-FRACw.s2R)</f>
        <v>5.9617336989216145E-3</v>
      </c>
      <c r="T45" s="325">
        <f>T43*(1-FRACw.s2C)</f>
        <v>2.6681647464848305E-7</v>
      </c>
      <c r="U45" s="325"/>
      <c r="V45" s="325"/>
      <c r="W45" s="326"/>
      <c r="X45" s="29"/>
      <c r="Y45" s="436"/>
      <c r="Z45" s="29"/>
      <c r="AA45" s="32" t="s">
        <v>382</v>
      </c>
      <c r="AB45" s="33" t="s">
        <v>1482</v>
      </c>
      <c r="AC45" s="332">
        <f>E.w2T*Molweight</f>
        <v>0</v>
      </c>
      <c r="AD45" s="325">
        <f>(k.w2M.w2T*M.w2M+k.w3T.w2T*M.w3T)*Molweight</f>
        <v>3.5645719757822095E-4</v>
      </c>
      <c r="AE45" s="325">
        <f>(k.w2T.w2M+k.w2T.w3T)*M.w2T*Molweight</f>
        <v>1.0825527170861077E-2</v>
      </c>
      <c r="AF45" s="330"/>
      <c r="AG45" s="326">
        <f>KDEG.w2T*M.w2T*Molweight</f>
        <v>9.4867922581891393E-3</v>
      </c>
      <c r="AH45" s="325">
        <f>k.aT.w2T*M.aT*Molweight</f>
        <v>2.2226080322131088E-2</v>
      </c>
      <c r="AI45" s="325">
        <f>k.w2T.aT*M.w2T*Molweight</f>
        <v>2.2855866565354675E-3</v>
      </c>
      <c r="AJ45" s="325"/>
      <c r="AK45" s="325"/>
      <c r="AL45" s="325">
        <f>AL48</f>
        <v>1.536856587637703E-5</v>
      </c>
      <c r="AM45" s="325"/>
      <c r="AN45" s="326"/>
      <c r="AO45" s="329">
        <f>SUM(AC45,AD45,AH45,AL45)-SUM(AF45,AE45,AG45,AI45)</f>
        <v>0</v>
      </c>
      <c r="AP45" s="29"/>
      <c r="AQ45" s="437"/>
      <c r="AR45" s="2"/>
      <c r="AS45" s="75"/>
      <c r="AT45" s="75"/>
      <c r="AU45" s="2"/>
      <c r="AV45" s="54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2"/>
      <c r="BK45" s="2"/>
      <c r="BL45"/>
      <c r="BM45" s="562"/>
      <c r="BN45" s="591">
        <v>32</v>
      </c>
      <c r="BO45" s="549" t="s">
        <v>1750</v>
      </c>
      <c r="BP45" s="549" t="s">
        <v>2408</v>
      </c>
      <c r="BQ45" s="550" t="s">
        <v>2408</v>
      </c>
      <c r="BR45" s="566">
        <v>15109.465009737773</v>
      </c>
      <c r="BS45" s="566"/>
      <c r="BT45" s="566">
        <v>5034520.0956999836</v>
      </c>
      <c r="BU45" s="566">
        <v>214745.86931049352</v>
      </c>
      <c r="BV45" s="566">
        <v>1274979.8700943417</v>
      </c>
      <c r="BW45" s="566">
        <v>14464.938574026957</v>
      </c>
      <c r="BX45" s="566">
        <v>203045.02508340671</v>
      </c>
      <c r="BY45" s="566">
        <v>1459104.5231098374</v>
      </c>
      <c r="BZ45" s="566">
        <v>75201.861142002468</v>
      </c>
      <c r="CA45" s="566">
        <v>1659.9648021952119</v>
      </c>
      <c r="CB45" s="566">
        <v>1.0236821219446377E-30</v>
      </c>
      <c r="CC45" s="566">
        <v>6974.2710963577756</v>
      </c>
      <c r="CD45" s="566">
        <v>1440385.651657653</v>
      </c>
      <c r="CE45" s="566">
        <v>1766.2170549347331</v>
      </c>
      <c r="CF45" s="566">
        <v>4851.1037816548233</v>
      </c>
      <c r="CG45" s="566">
        <v>11559.330995884522</v>
      </c>
      <c r="CH45" s="566">
        <v>25840.133537376441</v>
      </c>
      <c r="CI45" s="566">
        <v>4281.2337021794519</v>
      </c>
      <c r="CJ45" s="566">
        <v>26.915764596020676</v>
      </c>
      <c r="CK45" s="566">
        <v>210398.07071105641</v>
      </c>
      <c r="CL45" s="566"/>
      <c r="CM45" s="566">
        <v>141.71535030130875</v>
      </c>
      <c r="CN45" s="566">
        <v>672.73526949850157</v>
      </c>
      <c r="CO45" s="566">
        <v>0.10722271372896551</v>
      </c>
      <c r="CP45" s="566">
        <v>5725.3084775313646</v>
      </c>
      <c r="CQ45" s="566"/>
      <c r="CR45" s="566">
        <v>3.9003632418901582</v>
      </c>
      <c r="CS45" s="566">
        <v>11.74360698473679</v>
      </c>
      <c r="CT45" s="566">
        <v>0.21324638595318968</v>
      </c>
      <c r="CU45" s="566">
        <v>984.79877698204643</v>
      </c>
      <c r="CV45" s="566"/>
      <c r="CW45" s="566">
        <v>0.64937891167574002</v>
      </c>
      <c r="CX45" s="566">
        <v>1.2300395046842068</v>
      </c>
      <c r="CY45" s="552"/>
    </row>
    <row r="46" spans="1:103" ht="12.75" customHeight="1" x14ac:dyDescent="0.3">
      <c r="A46" s="29"/>
      <c r="B46" s="121"/>
      <c r="C46" s="318"/>
      <c r="D46" s="122"/>
      <c r="E46" s="318"/>
      <c r="F46" s="122"/>
      <c r="G46" s="318"/>
      <c r="H46" s="122"/>
      <c r="I46" s="318"/>
      <c r="J46" s="122"/>
      <c r="K46" s="318"/>
      <c r="L46" s="123"/>
      <c r="M46" s="320"/>
      <c r="N46" s="320"/>
      <c r="O46" s="320"/>
      <c r="P46" s="320"/>
      <c r="Q46" s="320"/>
      <c r="R46" s="120"/>
      <c r="S46" s="325"/>
      <c r="T46" s="325"/>
      <c r="U46" s="325"/>
      <c r="V46" s="325"/>
      <c r="W46" s="326"/>
      <c r="X46" s="29"/>
      <c r="Y46" s="436"/>
      <c r="Z46" s="29"/>
      <c r="AA46" s="32" t="s">
        <v>383</v>
      </c>
      <c r="AB46" s="33" t="s">
        <v>1483</v>
      </c>
      <c r="AC46" s="332"/>
      <c r="AD46" s="325">
        <f>(k.w2T.w3T*M.w2T+k.w3M.w3T*M.w3M)*Molweight</f>
        <v>1.0421039241697563E-2</v>
      </c>
      <c r="AE46" s="325">
        <f>(k.w3T.w2T+k.w3T.w3M)*M.w3T*Molweight</f>
        <v>3.5645719757822095E-4</v>
      </c>
      <c r="AF46" s="330"/>
      <c r="AG46" s="326">
        <f>KDEG.w3T*M.w3T*Molweight</f>
        <v>1.0064370012452658E-2</v>
      </c>
      <c r="AH46" s="325"/>
      <c r="AI46" s="325"/>
      <c r="AJ46" s="325"/>
      <c r="AK46" s="325"/>
      <c r="AL46" s="325"/>
      <c r="AM46" s="325">
        <f>k.w3T.sdT*M.w3T*Molweight</f>
        <v>7.0551002397561604E-7</v>
      </c>
      <c r="AN46" s="326">
        <f>k.sdT.w3T*M.sdT*Molweight</f>
        <v>4.9347835729455461E-7</v>
      </c>
      <c r="AO46" s="329">
        <f>SUM(AC46,AD46,AH46,AL46,AN46)-SUM(AE46,AF46,AG46,AI46,AM46)</f>
        <v>0</v>
      </c>
      <c r="AP46" s="96"/>
      <c r="AQ46" s="437"/>
      <c r="AR46" s="2"/>
      <c r="AS46" s="75"/>
      <c r="AT46" s="2"/>
      <c r="AU46" s="2"/>
      <c r="AV46" s="2"/>
      <c r="AW46" s="2"/>
      <c r="AX46" s="2"/>
      <c r="AY46" s="2"/>
      <c r="AZ46" s="2"/>
      <c r="BA46" s="75"/>
      <c r="BB46" s="75"/>
      <c r="BC46" s="75"/>
      <c r="BD46" s="75"/>
      <c r="BE46" s="75"/>
      <c r="BF46" s="75"/>
      <c r="BG46" s="75"/>
      <c r="BH46" s="75"/>
      <c r="BI46" s="75"/>
      <c r="BJ46" s="2"/>
      <c r="BK46" s="2"/>
      <c r="BL46"/>
      <c r="BM46" s="562"/>
      <c r="BN46" s="591">
        <v>33</v>
      </c>
      <c r="BO46" s="549" t="s">
        <v>900</v>
      </c>
      <c r="BP46" s="549" t="s">
        <v>2408</v>
      </c>
      <c r="BQ46" s="550" t="s">
        <v>2408</v>
      </c>
      <c r="BR46" s="566">
        <v>16250.372465472736</v>
      </c>
      <c r="BS46" s="566"/>
      <c r="BT46" s="566">
        <v>21238354.749994747</v>
      </c>
      <c r="BU46" s="566">
        <v>1028614.3840870283</v>
      </c>
      <c r="BV46" s="566">
        <v>7073011.622197588</v>
      </c>
      <c r="BW46" s="566">
        <v>90915.697019725572</v>
      </c>
      <c r="BX46" s="566">
        <v>95247.693059108147</v>
      </c>
      <c r="BY46" s="566">
        <v>19324094.054534748</v>
      </c>
      <c r="BZ46" s="566">
        <v>35276.923355225241</v>
      </c>
      <c r="CA46" s="566">
        <v>1234.1664106575124</v>
      </c>
      <c r="CB46" s="566">
        <v>5.9728267918835699E-32</v>
      </c>
      <c r="CC46" s="566">
        <v>1569.7388771173919</v>
      </c>
      <c r="CD46" s="566">
        <v>63943029.419276752</v>
      </c>
      <c r="CE46" s="566">
        <v>522.77031118285902</v>
      </c>
      <c r="CF46" s="566">
        <v>282585.25153555057</v>
      </c>
      <c r="CG46" s="566">
        <v>3761.2093301333102</v>
      </c>
      <c r="CH46" s="566">
        <v>9622.3678991306024</v>
      </c>
      <c r="CI46" s="566">
        <v>1393.0404926419667</v>
      </c>
      <c r="CJ46" s="566">
        <v>519.51101380840441</v>
      </c>
      <c r="CK46" s="566">
        <v>1105473296.5672629</v>
      </c>
      <c r="CL46" s="566"/>
      <c r="CM46" s="566">
        <v>986948.40492001234</v>
      </c>
      <c r="CN46" s="566">
        <v>5682.6668620741602</v>
      </c>
      <c r="CO46" s="566">
        <v>103.50566587825276</v>
      </c>
      <c r="CP46" s="566">
        <v>704356439.27851129</v>
      </c>
      <c r="CQ46" s="566"/>
      <c r="CR46" s="566">
        <v>631455.9624761641</v>
      </c>
      <c r="CS46" s="566">
        <v>4691.8110877887948</v>
      </c>
      <c r="CT46" s="566">
        <v>1279.439259852699</v>
      </c>
      <c r="CU46" s="566">
        <v>1574678454.8402448</v>
      </c>
      <c r="CV46" s="566"/>
      <c r="CW46" s="566">
        <v>1395035.7886108092</v>
      </c>
      <c r="CX46" s="566">
        <v>3399.3126487288955</v>
      </c>
      <c r="CY46" s="552"/>
    </row>
    <row r="47" spans="1:103" ht="12.75" customHeight="1" x14ac:dyDescent="0.3">
      <c r="A47" s="29"/>
      <c r="B47" s="66" t="s">
        <v>452</v>
      </c>
      <c r="C47" s="318">
        <f>M.s3R*Molweight</f>
        <v>83.91065310492489</v>
      </c>
      <c r="D47" s="122">
        <f>C47/$C$51</f>
        <v>2.3178915058749785E-5</v>
      </c>
      <c r="E47" s="318">
        <f>M.s3C*Molweight</f>
        <v>240.45107012361962</v>
      </c>
      <c r="F47" s="122">
        <f>E47/$E$51</f>
        <v>3.2459407425648197E-4</v>
      </c>
      <c r="G47" s="318">
        <f>M.sM*Molweight</f>
        <v>4445.1692768340517</v>
      </c>
      <c r="H47" s="122">
        <f>G47/$G$51</f>
        <v>3.1934617206005934E-3</v>
      </c>
      <c r="I47" s="318">
        <f>M.sA*Molweight</f>
        <v>5177.7750297325138</v>
      </c>
      <c r="J47" s="122">
        <f>I47/$I$51</f>
        <v>2.2055373191363138E-3</v>
      </c>
      <c r="K47" s="318">
        <f>M.sT*Molweight</f>
        <v>1365.4071447745646</v>
      </c>
      <c r="L47" s="123">
        <f>K47/$K$51</f>
        <v>1.2113124098901689E-3</v>
      </c>
      <c r="M47" s="320">
        <f>C.s3R*(Molweight*1000)/(FRACw.s3R*1000+(1-FRACa.s3R-FRACw.s3R)*RHOsolid)</f>
        <v>4.3189576680036175E-8</v>
      </c>
      <c r="N47" s="320">
        <f>C.s3C*(Molweight*1000)/(FRACw.s3C*1000+(1-FRACa.s3C-FRACw.s3C)*RHOsolid)</f>
        <v>7.6158424059309739E-9</v>
      </c>
      <c r="O47" s="320">
        <f>C.sM*(Molweight*1000)/(FRACw.sM*1000+(1-FRACa.sM-FRACw.sM)*RHOsolid)</f>
        <v>1.3523408457420044E-9</v>
      </c>
      <c r="P47" s="320">
        <f>C.sA*(Molweight*1000)/(FRACw.sA*1000+(1-FRACa.sA-FRACw.sA)*RHOsolid)</f>
        <v>3.5832353146937811E-9</v>
      </c>
      <c r="Q47" s="320">
        <f>C.sT*(Molweight*1000)/(FRACw.sT*1000+(1-FRACa.sT-FRACw.sT)*RHOsolid)</f>
        <v>4.1996375079571365E-10</v>
      </c>
      <c r="R47" s="120" t="s">
        <v>1495</v>
      </c>
      <c r="S47" s="325">
        <f>F.s3R</f>
        <v>4.5632436740490928E-6</v>
      </c>
      <c r="T47" s="325">
        <f>F.s3C</f>
        <v>8.0466046099228007E-7</v>
      </c>
      <c r="U47" s="325">
        <f>F.sM</f>
        <v>1.4288310476409217E-7</v>
      </c>
      <c r="V47" s="325">
        <f>F.sA</f>
        <v>1.0319528508932462E-7</v>
      </c>
      <c r="W47" s="326">
        <f>F.sT</f>
        <v>8.736341807722727E-8</v>
      </c>
      <c r="X47" s="29"/>
      <c r="Y47" s="436"/>
      <c r="Z47" s="29"/>
      <c r="AA47" s="32" t="s">
        <v>384</v>
      </c>
      <c r="AB47" s="33" t="s">
        <v>525</v>
      </c>
      <c r="AC47" s="332"/>
      <c r="AD47" s="330"/>
      <c r="AE47" s="330"/>
      <c r="AF47" s="325">
        <f>(NETsedrate.wT*SYSTEMAREA.T*AREAFRAC.wT)*C.sdT*Molweight</f>
        <v>1.8831604756744661E-11</v>
      </c>
      <c r="AG47" s="326">
        <f>KDEG.sdT*M.sdT*Molweight</f>
        <v>2.1201283507630477E-7</v>
      </c>
      <c r="AH47" s="325"/>
      <c r="AI47" s="325"/>
      <c r="AJ47" s="325"/>
      <c r="AK47" s="325"/>
      <c r="AL47" s="325"/>
      <c r="AM47" s="325">
        <f>k.w3T.sdT*M.w3T*Molweight</f>
        <v>7.0551002397561604E-7</v>
      </c>
      <c r="AN47" s="326">
        <f>k.sdT.w3T*M.sdT*Molweight</f>
        <v>4.9347835729455461E-7</v>
      </c>
      <c r="AO47" s="329">
        <f>SUM(AC47,AD47,AM47)-SUM(AE47,AF47,AG47,AN47)</f>
        <v>0</v>
      </c>
      <c r="AP47" s="96"/>
      <c r="AQ47" s="437"/>
      <c r="AR47" s="2"/>
      <c r="AS47" s="75"/>
      <c r="AT47" s="75"/>
      <c r="AU47" s="75"/>
      <c r="AV47" s="290">
        <f>output!AF17</f>
        <v>4.070454468803137E-7</v>
      </c>
      <c r="AW47" s="75"/>
      <c r="AX47" s="290">
        <f>output!AF16</f>
        <v>1.3392318344930236E-4</v>
      </c>
      <c r="AY47" s="75"/>
      <c r="AZ47" s="75"/>
      <c r="BA47" s="75"/>
      <c r="BB47" s="75"/>
      <c r="BC47" s="2"/>
      <c r="BD47" s="295">
        <f>output!AF18</f>
        <v>9.2383945141754799E-9</v>
      </c>
      <c r="BE47" s="75"/>
      <c r="BF47" s="295">
        <f>output!AF20</f>
        <v>3.4216275978427696E-9</v>
      </c>
      <c r="BG47" s="75"/>
      <c r="BH47" s="299">
        <f>output!AF19</f>
        <v>6.1026163302236982E-5</v>
      </c>
      <c r="BI47" s="75"/>
      <c r="BJ47" s="2"/>
      <c r="BK47" s="2"/>
      <c r="BL47"/>
      <c r="BM47" s="562"/>
      <c r="BN47" s="591">
        <v>34</v>
      </c>
      <c r="BO47" s="549" t="s">
        <v>1927</v>
      </c>
      <c r="BP47" s="549" t="s">
        <v>2408</v>
      </c>
      <c r="BQ47" s="550" t="s">
        <v>2408</v>
      </c>
      <c r="BR47" s="566">
        <v>517616.47519893112</v>
      </c>
      <c r="BS47" s="566"/>
      <c r="BT47" s="566">
        <v>12596042.1536784</v>
      </c>
      <c r="BU47" s="566">
        <v>528303.35298698489</v>
      </c>
      <c r="BV47" s="566">
        <v>111494.42002469076</v>
      </c>
      <c r="BW47" s="566">
        <v>1422.9693843181933</v>
      </c>
      <c r="BX47" s="566">
        <v>64499.842851528898</v>
      </c>
      <c r="BY47" s="566">
        <v>11657927.848633947</v>
      </c>
      <c r="BZ47" s="566">
        <v>23888.830685751451</v>
      </c>
      <c r="CA47" s="566">
        <v>888107.24170248886</v>
      </c>
      <c r="CB47" s="566">
        <v>4.1303215488137437E-29</v>
      </c>
      <c r="CC47" s="566">
        <v>355538.10137878696</v>
      </c>
      <c r="CD47" s="566">
        <v>12485494.649655977</v>
      </c>
      <c r="CE47" s="566">
        <v>3147.061110646679</v>
      </c>
      <c r="CF47" s="566">
        <v>1681.4654434879906</v>
      </c>
      <c r="CG47" s="566">
        <v>57006.36917863274</v>
      </c>
      <c r="CH47" s="566">
        <v>384658.00142069208</v>
      </c>
      <c r="CI47" s="566">
        <v>21113.470066160258</v>
      </c>
      <c r="CJ47" s="566">
        <v>247688.37753903773</v>
      </c>
      <c r="CK47" s="566">
        <v>4924166.9930361314</v>
      </c>
      <c r="CL47" s="566"/>
      <c r="CM47" s="566">
        <v>132.62534799380353</v>
      </c>
      <c r="CN47" s="566">
        <v>57064.662544864754</v>
      </c>
      <c r="CO47" s="566">
        <v>18142.589125912713</v>
      </c>
      <c r="CP47" s="566">
        <v>1437371.2989822128</v>
      </c>
      <c r="CQ47" s="566"/>
      <c r="CR47" s="566">
        <v>39.100807489445245</v>
      </c>
      <c r="CS47" s="566">
        <v>13602.69259778563</v>
      </c>
      <c r="CT47" s="566">
        <v>31101.514974409012</v>
      </c>
      <c r="CU47" s="566">
        <v>235631.57131612423</v>
      </c>
      <c r="CV47" s="566"/>
      <c r="CW47" s="566">
        <v>6.2291719953578832</v>
      </c>
      <c r="CX47" s="566">
        <v>2054.9411319766068</v>
      </c>
      <c r="CY47" s="552"/>
    </row>
    <row r="48" spans="1:103" ht="12.75" customHeight="1" x14ac:dyDescent="0.3">
      <c r="A48" s="29"/>
      <c r="B48" s="121" t="s">
        <v>435</v>
      </c>
      <c r="C48" s="318">
        <f>C47*FRw.s3R</f>
        <v>0.72013613040307822</v>
      </c>
      <c r="D48" s="122">
        <f>C48/$C$51</f>
        <v>1.9892556641738285E-7</v>
      </c>
      <c r="E48" s="318">
        <f>E47*FRw.s3C</f>
        <v>2.0635937962916375</v>
      </c>
      <c r="F48" s="122">
        <f>E48/$E$51</f>
        <v>2.7857240044901162E-6</v>
      </c>
      <c r="G48" s="318">
        <f>G47*FRw.sM</f>
        <v>38.149232350785297</v>
      </c>
      <c r="H48" s="122">
        <f>G48/$G$51</f>
        <v>2.7406855756300764E-5</v>
      </c>
      <c r="I48" s="318">
        <f>I47*FRw.sA</f>
        <v>44.460749114023898</v>
      </c>
      <c r="J48" s="122">
        <f>I48/$I$51</f>
        <v>1.8938606031479571E-5</v>
      </c>
      <c r="K48" s="318">
        <f>K47*FRw.sT</f>
        <v>11.710181262077828</v>
      </c>
      <c r="L48" s="123">
        <f>K48/$K$51</f>
        <v>1.0388614076836514E-5</v>
      </c>
      <c r="M48" s="320">
        <f>M49/Kp.s3R</f>
        <v>3.1506152618588539E-9</v>
      </c>
      <c r="N48" s="320">
        <f>N49/Kp.s3C</f>
        <v>5.5556435511740428E-10</v>
      </c>
      <c r="O48" s="320">
        <f>O49/Kp.sM</f>
        <v>9.8651249568725801E-11</v>
      </c>
      <c r="P48" s="320">
        <f>P49/Kp.sA</f>
        <v>2.6153381831778764E-10</v>
      </c>
      <c r="Q48" s="320">
        <f>Q49/Kp.sT</f>
        <v>3.0614852972752478E-11</v>
      </c>
      <c r="R48" s="120" t="s">
        <v>1489</v>
      </c>
      <c r="S48" s="325">
        <f>S47*FRACw.s3R</f>
        <v>9.1264873480981858E-7</v>
      </c>
      <c r="T48" s="325">
        <f>T47*FRACw.s3C</f>
        <v>1.6093209219845603E-7</v>
      </c>
      <c r="U48" s="325">
        <f>U47*FRACw.sM</f>
        <v>2.8576620952818435E-8</v>
      </c>
      <c r="V48" s="325">
        <f>V47*FRACw.sA</f>
        <v>2.0639057017864926E-8</v>
      </c>
      <c r="W48" s="326">
        <f>W47*FRACw.sT</f>
        <v>1.7472683615445456E-8</v>
      </c>
      <c r="X48" s="29"/>
      <c r="Y48" s="436"/>
      <c r="Z48" s="29"/>
      <c r="AA48" s="32" t="s">
        <v>385</v>
      </c>
      <c r="AB48" s="33" t="s">
        <v>528</v>
      </c>
      <c r="AC48" s="332">
        <f>E.sT*Molweight</f>
        <v>0</v>
      </c>
      <c r="AD48" s="330"/>
      <c r="AE48" s="330"/>
      <c r="AF48" s="325">
        <f>(FRACinf.sT*RAINrate.T/Kslw.T*SYSTEMAREA.T*AREAFRAC.sT*CORRleach.sT)*C.sT*Molweight</f>
        <v>1.0333015224998742E-7</v>
      </c>
      <c r="AG48" s="326">
        <f>KDEG.sT*M.sT*Molweight</f>
        <v>1.4609856449087841E-4</v>
      </c>
      <c r="AH48" s="325"/>
      <c r="AI48" s="325"/>
      <c r="AJ48" s="325">
        <f>k.aT.sT*M.aT*Molweight</f>
        <v>5.3235755797143751E-4</v>
      </c>
      <c r="AK48" s="325">
        <f>k.sT.aT*M.sT*Molweight</f>
        <v>3.7078709745193191E-4</v>
      </c>
      <c r="AL48" s="333">
        <f>k.sT.w2T*M.sT*Molweight</f>
        <v>1.536856587637703E-5</v>
      </c>
      <c r="AM48" s="325"/>
      <c r="AN48" s="326"/>
      <c r="AO48" s="329">
        <f>SUM(AC48,AD48,AJ48)-SUM(AE48,AF48,AG48,AK48,AL48,AO47)</f>
        <v>0</v>
      </c>
      <c r="AP48" s="96"/>
      <c r="AQ48" s="437"/>
      <c r="AR48" s="2"/>
      <c r="AS48" s="75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75"/>
      <c r="BF48" s="75"/>
      <c r="BG48" s="75"/>
      <c r="BH48" s="75"/>
      <c r="BI48" s="75"/>
      <c r="BJ48" s="2"/>
      <c r="BK48" s="2"/>
      <c r="BL48"/>
      <c r="BM48" s="562"/>
      <c r="BN48" s="591">
        <v>35</v>
      </c>
      <c r="BO48" s="549" t="s">
        <v>1879</v>
      </c>
      <c r="BP48" s="549" t="s">
        <v>2408</v>
      </c>
      <c r="BQ48" s="550" t="s">
        <v>2408</v>
      </c>
      <c r="BR48" s="566">
        <v>0.11407836255070121</v>
      </c>
      <c r="BS48" s="566"/>
      <c r="BT48" s="566">
        <v>14693617.335183093</v>
      </c>
      <c r="BU48" s="566">
        <v>627485.59025531157</v>
      </c>
      <c r="BV48" s="566">
        <v>114472.83239217887</v>
      </c>
      <c r="BW48" s="566">
        <v>1490.9612165920594</v>
      </c>
      <c r="BX48" s="566">
        <v>315817.05661577481</v>
      </c>
      <c r="BY48" s="566">
        <v>2616623.64458948</v>
      </c>
      <c r="BZ48" s="566">
        <v>116969.28022806464</v>
      </c>
      <c r="CA48" s="566">
        <v>3.5570139766126274E-8</v>
      </c>
      <c r="CB48" s="566">
        <v>9.1671061138597721E-36</v>
      </c>
      <c r="CC48" s="566">
        <v>0.27320790018820379</v>
      </c>
      <c r="CD48" s="566">
        <v>3514050.3346583266</v>
      </c>
      <c r="CE48" s="566">
        <v>2.1284671740822688E-3</v>
      </c>
      <c r="CF48" s="566">
        <v>417.48470749711868</v>
      </c>
      <c r="CG48" s="566">
        <v>5.1028918639136785E-2</v>
      </c>
      <c r="CH48" s="566">
        <v>0.15811286616744985</v>
      </c>
      <c r="CI48" s="566">
        <v>1.8899599495976582E-2</v>
      </c>
      <c r="CJ48" s="566">
        <v>6.553724462955448E-14</v>
      </c>
      <c r="CK48" s="566">
        <v>502319.50208738243</v>
      </c>
      <c r="CL48" s="566"/>
      <c r="CM48" s="566">
        <v>11.935049119211058</v>
      </c>
      <c r="CN48" s="566">
        <v>3.3746025270990109E-7</v>
      </c>
      <c r="CO48" s="566">
        <v>3.4202106520311733E-16</v>
      </c>
      <c r="CP48" s="566">
        <v>13394.808009175955</v>
      </c>
      <c r="CQ48" s="566"/>
      <c r="CR48" s="566">
        <v>0.32136664293424982</v>
      </c>
      <c r="CS48" s="566">
        <v>6.8581604898163685E-9</v>
      </c>
      <c r="CT48" s="566">
        <v>6.2763403865232794E-16</v>
      </c>
      <c r="CU48" s="566">
        <v>2304.5066262961423</v>
      </c>
      <c r="CV48" s="566"/>
      <c r="CW48" s="566">
        <v>5.3767074800361969E-2</v>
      </c>
      <c r="CX48" s="566">
        <v>8.0986217686177573E-10</v>
      </c>
      <c r="CY48" s="552"/>
    </row>
    <row r="49" spans="1:103" ht="12.75" customHeight="1" thickBot="1" x14ac:dyDescent="0.35">
      <c r="A49" s="29"/>
      <c r="B49" s="121" t="s">
        <v>718</v>
      </c>
      <c r="C49" s="318">
        <f>C47*FRs.s3R</f>
        <v>83.125809366907149</v>
      </c>
      <c r="D49" s="122">
        <f>C49/$C$51</f>
        <v>2.2962115097543937E-5</v>
      </c>
      <c r="E49" s="318">
        <f>E47*FRs.s3C</f>
        <v>238.20205274974447</v>
      </c>
      <c r="F49" s="122">
        <f>E49/$E$51</f>
        <v>3.2155803988955471E-4</v>
      </c>
      <c r="G49" s="318">
        <f>G47*FRs.sM</f>
        <v>4403.5921570970668</v>
      </c>
      <c r="H49" s="122">
        <f>G49/$G$51</f>
        <v>3.1635922303598404E-3</v>
      </c>
      <c r="I49" s="318">
        <f>I47*FRs.sA</f>
        <v>5132.1348827388847</v>
      </c>
      <c r="J49" s="122">
        <f>I49/$I$51</f>
        <v>2.1860963339897428E-3</v>
      </c>
      <c r="K49" s="318">
        <f>K47*FRs.sT</f>
        <v>1351.7142858789257</v>
      </c>
      <c r="L49" s="123">
        <f>K49/$K$51</f>
        <v>1.1991648757494267E-3</v>
      </c>
      <c r="M49" s="320">
        <f>C.s3R*FRs.s3R*(Molweight*1000)/(FRACs.s3R*RHOsolid)</f>
        <v>4.8490358528769973E-8</v>
      </c>
      <c r="N49" s="320">
        <f>C.s3C*FRs.s3C*(Molweight*1000)/(FRACs.s3C*RHOsolid)</f>
        <v>8.5505568044362169E-9</v>
      </c>
      <c r="O49" s="320">
        <f>C.sM*FRs.sM*(Molweight*1000)/(FRACs.sM*RHOsolid)</f>
        <v>1.5183175549261917E-9</v>
      </c>
      <c r="P49" s="320">
        <f>C.sA*FRs.sA*(Molweight*1000)/(FRACs.sA*RHOsolid)</f>
        <v>4.0252038295991255E-9</v>
      </c>
      <c r="Q49" s="320">
        <f>C.sT*FRs.sT*(Molweight*1000)/(FRACs.sT*RHOsolid)</f>
        <v>4.7118580771378647E-10</v>
      </c>
      <c r="R49" s="120" t="s">
        <v>1494</v>
      </c>
      <c r="S49" s="325">
        <f>S47*(1-FRACw.s3R)</f>
        <v>3.6505949392392743E-6</v>
      </c>
      <c r="T49" s="325">
        <f>T47*(1-FRACw.s3C)</f>
        <v>6.437283687938241E-7</v>
      </c>
      <c r="U49" s="325">
        <f>U47*(1-FRACw.sM)</f>
        <v>1.1430648381127374E-7</v>
      </c>
      <c r="V49" s="325">
        <f>V47*(1-FRACw.sA)</f>
        <v>8.2556228071459704E-8</v>
      </c>
      <c r="W49" s="326">
        <f>W47*(1-FRACw.sT)</f>
        <v>6.9890734461781824E-8</v>
      </c>
      <c r="X49" s="29"/>
      <c r="Y49" s="436"/>
      <c r="Z49" s="29"/>
      <c r="AA49" s="124"/>
      <c r="AB49" s="125"/>
      <c r="AC49" s="334">
        <f>SUM(AC11:AC48)</f>
        <v>0.9512937595129376</v>
      </c>
      <c r="AD49" s="335"/>
      <c r="AE49" s="335"/>
      <c r="AF49" s="335">
        <f>SUM(AF11:AF48)</f>
        <v>1.3451828972046958E-3</v>
      </c>
      <c r="AG49" s="336">
        <f>SUM(AG11:AG48)</f>
        <v>0.94994857661573229</v>
      </c>
      <c r="AH49" s="328"/>
      <c r="AI49" s="328"/>
      <c r="AJ49" s="328"/>
      <c r="AK49" s="328"/>
      <c r="AL49" s="328"/>
      <c r="AM49" s="328"/>
      <c r="AN49" s="337"/>
      <c r="AO49" s="334">
        <f>SUM(AO12:AO48)</f>
        <v>0</v>
      </c>
      <c r="AP49" s="96"/>
      <c r="AQ49" s="437"/>
      <c r="AR49" s="2"/>
      <c r="AS49" s="75"/>
      <c r="AT49" s="55" t="s">
        <v>2168</v>
      </c>
      <c r="AU49" s="75"/>
      <c r="AV49" s="75"/>
      <c r="AW49" s="75"/>
      <c r="AX49" s="5" t="s">
        <v>774</v>
      </c>
      <c r="AY49" s="29"/>
      <c r="AZ49" s="29"/>
      <c r="BA49" s="260"/>
      <c r="BB49" s="260"/>
      <c r="BC49" s="2"/>
      <c r="BD49" s="2"/>
      <c r="BE49" s="2"/>
      <c r="BF49" s="2"/>
      <c r="BG49" s="2"/>
      <c r="BH49" s="2"/>
      <c r="BI49" s="2"/>
      <c r="BJ49" s="2"/>
      <c r="BK49" s="2"/>
      <c r="BL49"/>
      <c r="BM49" s="562"/>
      <c r="BN49" s="591">
        <v>36</v>
      </c>
      <c r="BO49" s="549" t="s">
        <v>1880</v>
      </c>
      <c r="BP49" s="549" t="s">
        <v>2408</v>
      </c>
      <c r="BQ49" s="550" t="s">
        <v>2408</v>
      </c>
      <c r="BR49" s="566">
        <v>0.5380447904351624</v>
      </c>
      <c r="BS49" s="566"/>
      <c r="BT49" s="566">
        <v>25489817.57681876</v>
      </c>
      <c r="BU49" s="566">
        <v>1243323.9523009313</v>
      </c>
      <c r="BV49" s="566">
        <v>199784.7040704134</v>
      </c>
      <c r="BW49" s="566">
        <v>2971.8299682704669</v>
      </c>
      <c r="BX49" s="566">
        <v>219541.08453386938</v>
      </c>
      <c r="BY49" s="566">
        <v>3407870.658946096</v>
      </c>
      <c r="BZ49" s="566">
        <v>81311.512790322013</v>
      </c>
      <c r="CA49" s="566">
        <v>2.5619359413197132E-6</v>
      </c>
      <c r="CB49" s="566">
        <v>4.336405002431792E-35</v>
      </c>
      <c r="CC49" s="566">
        <v>13.353690710511259</v>
      </c>
      <c r="CD49" s="566">
        <v>82496903.90658769</v>
      </c>
      <c r="CE49" s="566">
        <v>0.1046638775976788</v>
      </c>
      <c r="CF49" s="566">
        <v>9859.3279275853056</v>
      </c>
      <c r="CG49" s="566">
        <v>0.54170660597682763</v>
      </c>
      <c r="CH49" s="566">
        <v>3.1446728670730288</v>
      </c>
      <c r="CI49" s="566">
        <v>0.20063207628771387</v>
      </c>
      <c r="CJ49" s="566">
        <v>3.0044473249977167E-8</v>
      </c>
      <c r="CK49" s="566">
        <v>1590077008.8128242</v>
      </c>
      <c r="CL49" s="566"/>
      <c r="CM49" s="566">
        <v>38389.997588013684</v>
      </c>
      <c r="CN49" s="566">
        <v>2.2801536584290853E-2</v>
      </c>
      <c r="CO49" s="566">
        <v>4.8049690042173058E-9</v>
      </c>
      <c r="CP49" s="566">
        <v>1021247278.056787</v>
      </c>
      <c r="CQ49" s="566"/>
      <c r="CR49" s="566">
        <v>24701.574208151906</v>
      </c>
      <c r="CS49" s="566">
        <v>9.3031104093803819E-3</v>
      </c>
      <c r="CT49" s="566">
        <v>9.5554402029609478E-8</v>
      </c>
      <c r="CU49" s="566">
        <v>2437914421.8028946</v>
      </c>
      <c r="CV49" s="566"/>
      <c r="CW49" s="566">
        <v>58659.516249459179</v>
      </c>
      <c r="CX49" s="566">
        <v>2.1327583105618324E-2</v>
      </c>
      <c r="CY49" s="552"/>
    </row>
    <row r="50" spans="1:103" ht="12.75" customHeight="1" x14ac:dyDescent="0.3">
      <c r="A50" s="29"/>
      <c r="B50" s="112"/>
      <c r="C50" s="319"/>
      <c r="D50" s="126"/>
      <c r="E50" s="319"/>
      <c r="F50" s="126"/>
      <c r="G50" s="319"/>
      <c r="H50" s="126"/>
      <c r="I50" s="319"/>
      <c r="J50" s="126"/>
      <c r="K50" s="319"/>
      <c r="L50" s="127"/>
      <c r="M50" s="320"/>
      <c r="N50" s="320"/>
      <c r="O50" s="320"/>
      <c r="P50" s="320"/>
      <c r="Q50" s="322"/>
      <c r="R50" s="116"/>
      <c r="S50" s="325"/>
      <c r="T50" s="325"/>
      <c r="U50" s="325"/>
      <c r="V50" s="325"/>
      <c r="W50" s="327"/>
      <c r="X50" s="29"/>
      <c r="Y50" s="436"/>
      <c r="Z50" s="29"/>
      <c r="AA50" s="29"/>
      <c r="AB50" s="29"/>
      <c r="AC50" s="29"/>
      <c r="AD50" s="96"/>
      <c r="AE50" s="96"/>
      <c r="AF50" s="96"/>
      <c r="AG50" s="96"/>
      <c r="AH50" s="96"/>
      <c r="AI50" s="128"/>
      <c r="AJ50" s="128"/>
      <c r="AK50" s="29"/>
      <c r="AL50" s="96"/>
      <c r="AM50" s="96"/>
      <c r="AN50" s="96"/>
      <c r="AO50" s="96"/>
      <c r="AP50" s="96"/>
      <c r="AQ50" s="437"/>
      <c r="AR50" s="2"/>
      <c r="AS50" s="75"/>
      <c r="AT50" s="75"/>
      <c r="AU50" s="75"/>
      <c r="AV50" s="75"/>
      <c r="AW50" s="75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/>
      <c r="BM50" s="562"/>
      <c r="BN50" s="591">
        <v>37</v>
      </c>
      <c r="BO50" s="549" t="s">
        <v>1756</v>
      </c>
      <c r="BP50" s="549" t="s">
        <v>2408</v>
      </c>
      <c r="BQ50" s="550" t="s">
        <v>2408</v>
      </c>
      <c r="BR50" s="566">
        <v>474427.9460868577</v>
      </c>
      <c r="BS50" s="566"/>
      <c r="BT50" s="566">
        <v>2833355.97445327</v>
      </c>
      <c r="BU50" s="566">
        <v>108223.04211031865</v>
      </c>
      <c r="BV50" s="566">
        <v>44457.075512985524</v>
      </c>
      <c r="BW50" s="566">
        <v>509.68130610296441</v>
      </c>
      <c r="BX50" s="566">
        <v>7823.9245535397331</v>
      </c>
      <c r="BY50" s="566">
        <v>3612734.5634269309</v>
      </c>
      <c r="BZ50" s="566">
        <v>2897.7498346443458</v>
      </c>
      <c r="CA50" s="566">
        <v>767542.7076101104</v>
      </c>
      <c r="CB50" s="566">
        <v>1.9229819045495903E-29</v>
      </c>
      <c r="CC50" s="566">
        <v>35687.748769570659</v>
      </c>
      <c r="CD50" s="566">
        <v>4825560.0354722636</v>
      </c>
      <c r="CE50" s="566">
        <v>559.96244603306764</v>
      </c>
      <c r="CF50" s="566">
        <v>1136.3096497743279</v>
      </c>
      <c r="CG50" s="566">
        <v>5458.6873569613435</v>
      </c>
      <c r="CH50" s="566">
        <v>18612.432968340938</v>
      </c>
      <c r="CI50" s="566">
        <v>2021.7360581338314</v>
      </c>
      <c r="CJ50" s="566">
        <v>199453.66037357066</v>
      </c>
      <c r="CK50" s="566">
        <v>1999958.0517780895</v>
      </c>
      <c r="CL50" s="566"/>
      <c r="CM50" s="566">
        <v>94.184923143446753</v>
      </c>
      <c r="CN50" s="566">
        <v>5091.3310583381062</v>
      </c>
      <c r="CO50" s="566">
        <v>13789.280504455364</v>
      </c>
      <c r="CP50" s="566">
        <v>737751.93598145281</v>
      </c>
      <c r="CQ50" s="566"/>
      <c r="CR50" s="566">
        <v>35.142680568603225</v>
      </c>
      <c r="CS50" s="566">
        <v>1324.7119783013904</v>
      </c>
      <c r="CT50" s="566">
        <v>26323.401411290826</v>
      </c>
      <c r="CU50" s="566">
        <v>81271.75700460776</v>
      </c>
      <c r="CV50" s="566"/>
      <c r="CW50" s="566">
        <v>3.7464039615919456</v>
      </c>
      <c r="CX50" s="566">
        <v>176.58684614899786</v>
      </c>
      <c r="CY50" s="552"/>
    </row>
    <row r="51" spans="1:103" ht="12.75" customHeight="1" thickBot="1" x14ac:dyDescent="0.35">
      <c r="A51" s="29"/>
      <c r="B51" s="129" t="s">
        <v>23</v>
      </c>
      <c r="C51" s="317">
        <f>SUM(C11,C15,C19,C23,C27,C31,C35,C39,C43,C47)</f>
        <v>3620128.5906714406</v>
      </c>
      <c r="D51" s="130">
        <f>C51/SUM($C$51,$E$51,$G$51,$I$51,$K$51)</f>
        <v>0.39231099852982776</v>
      </c>
      <c r="E51" s="317">
        <f>SUM(E11,E15,E19,E23,E27,E31,E35,E39,E43,E47)</f>
        <v>740774.67579899274</v>
      </c>
      <c r="F51" s="130">
        <f>E51/SUM($C$51,$E$51,$G$51,$I$51,$K$51)</f>
        <v>8.0277273436414276E-2</v>
      </c>
      <c r="G51" s="317">
        <f>SUM(G11,G15,G19,G23,G27,G31,G35,G39,G43,G47)</f>
        <v>1391959.4677333569</v>
      </c>
      <c r="H51" s="130">
        <f>G51/SUM($C$51,$E$51,$G$51,$I$51,$K$51)</f>
        <v>0.1508457489898824</v>
      </c>
      <c r="I51" s="317">
        <f>SUM(I11,I15,I19,I23,I27,I31,I35,I39,I43,I47)</f>
        <v>2347625.2180398949</v>
      </c>
      <c r="J51" s="130">
        <f>I51/SUM($C$51,$E$51,$G$51,$I$51,$K$51)</f>
        <v>0.25441062945562776</v>
      </c>
      <c r="K51" s="317">
        <f>SUM(K11,K15,K19,K23,K27,K31,K35,K39,K43,K47)</f>
        <v>1127213.0406873052</v>
      </c>
      <c r="L51" s="130">
        <f>K51/SUM($C$51,$E$51,$G$51,$I$51,$K$51)</f>
        <v>0.12215534958824764</v>
      </c>
      <c r="M51" s="199"/>
      <c r="N51" s="199"/>
      <c r="O51" s="199"/>
      <c r="P51" s="199"/>
      <c r="Q51" s="199"/>
      <c r="R51" s="199"/>
      <c r="S51" s="328">
        <f>SUM(S11,S15,S19,S23,S27,S35,S39,S43,S47)</f>
        <v>4.072532839482132E-2</v>
      </c>
      <c r="T51" s="328">
        <f>SUM(T11,T15,T19,T23,T27,T35,T39,T43,T47)</f>
        <v>7.0154775194161611E-6</v>
      </c>
      <c r="U51" s="328">
        <f>SUM(U11,U15,U19,U23,U27,U35,U39,U43,U47)</f>
        <v>3.9554803543160128E-7</v>
      </c>
      <c r="V51" s="328">
        <f>SUM(V11,V15,V19,V23,V27,V35,V39,V43,V47)</f>
        <v>2.8791204835749333E-7</v>
      </c>
      <c r="W51" s="328">
        <f>SUM(W11,W15,W19,W23,W27,W35,W39,W43,W47)</f>
        <v>2.3876027649928786E-7</v>
      </c>
      <c r="X51" s="131"/>
      <c r="Y51" s="436"/>
      <c r="Z51" s="29"/>
      <c r="AA51" s="282"/>
      <c r="AB51" s="282"/>
      <c r="AC51" s="282"/>
      <c r="AD51" s="282"/>
      <c r="AE51" s="282"/>
      <c r="AF51" s="282"/>
      <c r="AG51" s="282"/>
      <c r="AH51" s="282"/>
      <c r="AI51" s="282"/>
      <c r="AJ51" s="282"/>
      <c r="AK51" s="282"/>
      <c r="AL51" s="282"/>
      <c r="AM51" s="282"/>
      <c r="AN51" s="282"/>
      <c r="AO51" s="282"/>
      <c r="AP51" s="96"/>
      <c r="AQ51" s="437"/>
      <c r="AR51" s="2"/>
      <c r="AS51" s="75"/>
      <c r="AT51" s="75"/>
      <c r="AU51" s="75" t="s">
        <v>510</v>
      </c>
      <c r="AV51" s="75"/>
      <c r="AW51" s="75"/>
      <c r="AX51" s="260" t="s">
        <v>206</v>
      </c>
      <c r="AY51" s="29"/>
      <c r="AZ51" s="128">
        <f>output!M11</f>
        <v>4.2751538558777479E-7</v>
      </c>
      <c r="BA51" s="29" t="s">
        <v>1493</v>
      </c>
      <c r="BB51" s="2"/>
      <c r="BC51" s="2"/>
      <c r="BD51" s="2"/>
      <c r="BE51" s="2"/>
      <c r="BF51" s="2"/>
      <c r="BG51" s="2"/>
      <c r="BH51" s="2"/>
      <c r="BI51" s="2"/>
      <c r="BJ51" s="2"/>
      <c r="BK51" s="2"/>
      <c r="BL51"/>
      <c r="BM51" s="562"/>
      <c r="BN51" s="591">
        <v>38</v>
      </c>
      <c r="BO51" s="549" t="s">
        <v>1789</v>
      </c>
      <c r="BP51" s="549" t="s">
        <v>2408</v>
      </c>
      <c r="BQ51" s="550" t="s">
        <v>2408</v>
      </c>
      <c r="BR51" s="566">
        <v>32396.223372323919</v>
      </c>
      <c r="BS51" s="566"/>
      <c r="BT51" s="566">
        <v>11939951.167841509</v>
      </c>
      <c r="BU51" s="566">
        <v>556623.37224562652</v>
      </c>
      <c r="BV51" s="566">
        <v>178230.15887230207</v>
      </c>
      <c r="BW51" s="566">
        <v>2497.5058013957751</v>
      </c>
      <c r="BX51" s="566">
        <v>6031.1229381041576</v>
      </c>
      <c r="BY51" s="566">
        <v>11819100.687887559</v>
      </c>
      <c r="BZ51" s="566">
        <v>2233.7492363348733</v>
      </c>
      <c r="CA51" s="566">
        <v>2563.0752518490431</v>
      </c>
      <c r="CB51" s="566">
        <v>9.7289122920439305E-32</v>
      </c>
      <c r="CC51" s="566">
        <v>1137.0740532852381</v>
      </c>
      <c r="CD51" s="566">
        <v>14225529.390440304</v>
      </c>
      <c r="CE51" s="566">
        <v>16.973343217050797</v>
      </c>
      <c r="CF51" s="566">
        <v>3191.4166698764489</v>
      </c>
      <c r="CG51" s="566">
        <v>244.70335922834582</v>
      </c>
      <c r="CH51" s="566">
        <v>1387.6367621791035</v>
      </c>
      <c r="CI51" s="566">
        <v>90.630873788276247</v>
      </c>
      <c r="CJ51" s="566">
        <v>80.254294552127092</v>
      </c>
      <c r="CK51" s="566">
        <v>17308697.689277574</v>
      </c>
      <c r="CL51" s="566"/>
      <c r="CM51" s="566">
        <v>783.67090239131448</v>
      </c>
      <c r="CN51" s="566">
        <v>27.501128224489491</v>
      </c>
      <c r="CO51" s="566">
        <v>3.6504213364945768</v>
      </c>
      <c r="CP51" s="566">
        <v>3328227.8123595361</v>
      </c>
      <c r="CQ51" s="566"/>
      <c r="CR51" s="566">
        <v>151.31696481464792</v>
      </c>
      <c r="CS51" s="566">
        <v>4.24603735341808</v>
      </c>
      <c r="CT51" s="566">
        <v>4.3161362654045359</v>
      </c>
      <c r="CU51" s="566">
        <v>769782.91364461312</v>
      </c>
      <c r="CV51" s="566"/>
      <c r="CW51" s="566">
        <v>34.583401097298335</v>
      </c>
      <c r="CX51" s="566">
        <v>0.41508731065333865</v>
      </c>
      <c r="CY51" s="552"/>
    </row>
    <row r="52" spans="1:103" ht="12.75" customHeight="1" x14ac:dyDescent="0.3">
      <c r="A52" s="29"/>
      <c r="B52" s="6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131"/>
      <c r="Y52" s="436"/>
      <c r="Z52" s="29"/>
      <c r="AA52" s="282"/>
      <c r="AB52" s="282"/>
      <c r="AC52" s="282"/>
      <c r="AD52" s="282"/>
      <c r="AE52" s="282"/>
      <c r="AF52" s="282"/>
      <c r="AG52" s="282"/>
      <c r="AH52" s="282"/>
      <c r="AI52" s="282"/>
      <c r="AJ52" s="282"/>
      <c r="AK52" s="282"/>
      <c r="AL52" s="282"/>
      <c r="AM52" s="282"/>
      <c r="AN52" s="282"/>
      <c r="AO52" s="282"/>
      <c r="AP52" s="96"/>
      <c r="AQ52" s="437"/>
      <c r="AR52" s="2"/>
      <c r="AS52" s="75"/>
      <c r="AT52" s="75"/>
      <c r="AU52" s="75"/>
      <c r="AV52" s="75"/>
      <c r="AW52" s="75"/>
      <c r="AX52" s="29" t="s">
        <v>2066</v>
      </c>
      <c r="AY52" s="260"/>
      <c r="AZ52" s="128">
        <f>output!M15</f>
        <v>9.6133747014615277E-8</v>
      </c>
      <c r="BA52" s="29" t="s">
        <v>1489</v>
      </c>
      <c r="BB52" s="2"/>
      <c r="BC52" s="2"/>
      <c r="BD52" s="2"/>
      <c r="BE52" s="2"/>
      <c r="BF52" s="2"/>
      <c r="BG52" s="2"/>
      <c r="BH52" s="2"/>
      <c r="BI52" s="2"/>
      <c r="BJ52" s="2"/>
      <c r="BK52" s="2"/>
      <c r="BL52"/>
      <c r="BM52" s="562"/>
      <c r="BN52" s="591">
        <v>39</v>
      </c>
      <c r="BO52" s="549" t="s">
        <v>1863</v>
      </c>
      <c r="BP52" s="549" t="s">
        <v>2408</v>
      </c>
      <c r="BQ52" s="550" t="s">
        <v>2408</v>
      </c>
      <c r="BR52" s="566">
        <v>513332.24078257242</v>
      </c>
      <c r="BS52" s="566"/>
      <c r="BT52" s="566">
        <v>1873076.7015439384</v>
      </c>
      <c r="BU52" s="566">
        <v>59313.763671999557</v>
      </c>
      <c r="BV52" s="566">
        <v>14939.822855784827</v>
      </c>
      <c r="BW52" s="566">
        <v>144.23101992711304</v>
      </c>
      <c r="BX52" s="566">
        <v>93.033097433190335</v>
      </c>
      <c r="BY52" s="566">
        <v>9542302.4232219979</v>
      </c>
      <c r="BZ52" s="566">
        <v>34.456702753033454</v>
      </c>
      <c r="CA52" s="566">
        <v>995688.66616084985</v>
      </c>
      <c r="CB52" s="566">
        <v>1.3288033367008702E-30</v>
      </c>
      <c r="CC52" s="566">
        <v>1246.1344522367622</v>
      </c>
      <c r="CD52" s="566">
        <v>576284.7593414752</v>
      </c>
      <c r="CE52" s="566">
        <v>9.9392768889613805</v>
      </c>
      <c r="CF52" s="566">
        <v>70.066484962839823</v>
      </c>
      <c r="CG52" s="566">
        <v>86.785529285928789</v>
      </c>
      <c r="CH52" s="566">
        <v>723.90980082765748</v>
      </c>
      <c r="CI52" s="566">
        <v>32.142788624418074</v>
      </c>
      <c r="CJ52" s="566">
        <v>323241.75994789676</v>
      </c>
      <c r="CK52" s="566">
        <v>193826.53954062212</v>
      </c>
      <c r="CL52" s="566"/>
      <c r="CM52" s="566">
        <v>4.7130062390085525</v>
      </c>
      <c r="CN52" s="566">
        <v>101.1241469149299</v>
      </c>
      <c r="CO52" s="566">
        <v>33812.038012421726</v>
      </c>
      <c r="CP52" s="566">
        <v>207551.95789454877</v>
      </c>
      <c r="CQ52" s="566"/>
      <c r="CR52" s="566">
        <v>5.0962390939321107</v>
      </c>
      <c r="CS52" s="566">
        <v>34.279658794349032</v>
      </c>
      <c r="CT52" s="566">
        <v>53603.884392219734</v>
      </c>
      <c r="CU52" s="566">
        <v>6422.7260163207557</v>
      </c>
      <c r="CV52" s="566"/>
      <c r="CW52" s="566">
        <v>0.15334332414885274</v>
      </c>
      <c r="CX52" s="566">
        <v>4.9888323372286045</v>
      </c>
      <c r="CY52" s="552"/>
    </row>
    <row r="53" spans="1:103" ht="12.75" customHeight="1" x14ac:dyDescent="0.3">
      <c r="A53" s="29"/>
      <c r="B53" s="6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131"/>
      <c r="Y53" s="436"/>
      <c r="Z53" s="29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282"/>
      <c r="AL53" s="282"/>
      <c r="AM53" s="282"/>
      <c r="AN53" s="282"/>
      <c r="AO53" s="282"/>
      <c r="AP53" s="96"/>
      <c r="AQ53" s="437"/>
      <c r="AR53" s="2"/>
      <c r="AS53" s="75"/>
      <c r="AT53" s="75"/>
      <c r="AU53" s="75" t="s">
        <v>2155</v>
      </c>
      <c r="AV53" s="75"/>
      <c r="AW53" s="75"/>
      <c r="AX53" s="29" t="s">
        <v>207</v>
      </c>
      <c r="AY53" s="29"/>
      <c r="AZ53" s="128">
        <f>output!M19</f>
        <v>9.2401474285111661E-6</v>
      </c>
      <c r="BA53" s="29" t="s">
        <v>1489</v>
      </c>
      <c r="BB53" s="2"/>
      <c r="BC53" s="2"/>
      <c r="BD53" s="2"/>
      <c r="BE53" s="2"/>
      <c r="BF53" s="2"/>
      <c r="BG53" s="2"/>
      <c r="BH53" s="2"/>
      <c r="BI53" s="2"/>
      <c r="BJ53" s="2"/>
      <c r="BK53" s="2"/>
      <c r="BL53"/>
      <c r="BM53" s="562"/>
      <c r="BN53" s="591">
        <v>40</v>
      </c>
      <c r="BO53" s="549" t="s">
        <v>1953</v>
      </c>
      <c r="BP53" s="549" t="s">
        <v>2408</v>
      </c>
      <c r="BQ53" s="550" t="s">
        <v>2408</v>
      </c>
      <c r="BR53" s="566">
        <v>18569.641122953642</v>
      </c>
      <c r="BS53" s="566"/>
      <c r="BT53" s="566">
        <v>1287080.7106186126</v>
      </c>
      <c r="BU53" s="566">
        <v>45331.894376680495</v>
      </c>
      <c r="BV53" s="566">
        <v>7448573.0567888739</v>
      </c>
      <c r="BW53" s="566">
        <v>93779.924856440106</v>
      </c>
      <c r="BX53" s="566">
        <v>80.153986498571953</v>
      </c>
      <c r="BY53" s="566">
        <v>18223470.9032849</v>
      </c>
      <c r="BZ53" s="566">
        <v>29.686661666137752</v>
      </c>
      <c r="CA53" s="566">
        <v>727.68048320459025</v>
      </c>
      <c r="CB53" s="566">
        <v>5.0815489164544856E-35</v>
      </c>
      <c r="CC53" s="566">
        <v>5.1823701315562777E-2</v>
      </c>
      <c r="CD53" s="566">
        <v>1116827.6539640073</v>
      </c>
      <c r="CE53" s="566">
        <v>0.29991330158047724</v>
      </c>
      <c r="CF53" s="566">
        <v>115521.32875370962</v>
      </c>
      <c r="CG53" s="566">
        <v>1.7760245317693979</v>
      </c>
      <c r="CH53" s="566">
        <v>8.7012925201975424</v>
      </c>
      <c r="CI53" s="566">
        <v>0.65778686361829564</v>
      </c>
      <c r="CJ53" s="566">
        <v>77.002302089493753</v>
      </c>
      <c r="CK53" s="566">
        <v>3881813.5762822777</v>
      </c>
      <c r="CL53" s="566"/>
      <c r="CM53" s="566">
        <v>81114.755948762962</v>
      </c>
      <c r="CN53" s="566">
        <v>0.67455225396558538</v>
      </c>
      <c r="CO53" s="566">
        <v>15.836500429586287</v>
      </c>
      <c r="CP53" s="566">
        <v>698120.09324062592</v>
      </c>
      <c r="CQ53" s="566"/>
      <c r="CR53" s="566">
        <v>14611.279768057821</v>
      </c>
      <c r="CS53" s="566">
        <v>0.43467670973293732</v>
      </c>
      <c r="CT53" s="566">
        <v>23.788420644636748</v>
      </c>
      <c r="CU53" s="566">
        <v>1384586.5388467503</v>
      </c>
      <c r="CV53" s="566"/>
      <c r="CW53" s="566">
        <v>28846.497009374205</v>
      </c>
      <c r="CX53" s="566">
        <v>6.064502254198556E-2</v>
      </c>
      <c r="CY53" s="552"/>
    </row>
    <row r="54" spans="1:103" ht="12.75" customHeight="1" x14ac:dyDescent="0.3">
      <c r="A54" s="29"/>
      <c r="B54" s="6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131"/>
      <c r="Y54" s="436"/>
      <c r="Z54" s="29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282"/>
      <c r="AL54" s="282"/>
      <c r="AM54" s="282"/>
      <c r="AN54" s="282"/>
      <c r="AO54" s="282"/>
      <c r="AP54" s="29"/>
      <c r="AQ54" s="437"/>
      <c r="AR54" s="2"/>
      <c r="AS54" s="75"/>
      <c r="AT54" s="75"/>
      <c r="AU54" s="75"/>
      <c r="AV54" s="75"/>
      <c r="AW54" s="75"/>
      <c r="AX54" s="29" t="s">
        <v>1476</v>
      </c>
      <c r="AY54" s="29"/>
      <c r="AZ54" s="128">
        <f>output!M27</f>
        <v>6.4403932275399614E-7</v>
      </c>
      <c r="BA54" s="29" t="s">
        <v>1489</v>
      </c>
      <c r="BB54" s="2"/>
      <c r="BC54" s="2"/>
      <c r="BD54" s="2"/>
      <c r="BE54" s="2"/>
      <c r="BF54" s="2"/>
      <c r="BG54" s="2"/>
      <c r="BH54" s="2"/>
      <c r="BI54" s="2"/>
      <c r="BJ54" s="2"/>
      <c r="BK54" s="2"/>
      <c r="BL54"/>
      <c r="BM54" s="562"/>
      <c r="BN54" s="591">
        <v>41</v>
      </c>
      <c r="BO54" s="549" t="s">
        <v>1924</v>
      </c>
      <c r="BP54" s="549" t="s">
        <v>2408</v>
      </c>
      <c r="BQ54" s="550" t="s">
        <v>2408</v>
      </c>
      <c r="BR54" s="566">
        <v>45874.044976481804</v>
      </c>
      <c r="BS54" s="566"/>
      <c r="BT54" s="566">
        <v>3606189.3275474869</v>
      </c>
      <c r="BU54" s="566">
        <v>153387.56985360131</v>
      </c>
      <c r="BV54" s="566">
        <v>5956564.9680112228</v>
      </c>
      <c r="BW54" s="566">
        <v>75346.488289269226</v>
      </c>
      <c r="BX54" s="566">
        <v>85744.521833852355</v>
      </c>
      <c r="BY54" s="566">
        <v>746664.3563214168</v>
      </c>
      <c r="BZ54" s="566">
        <v>31757.230308834194</v>
      </c>
      <c r="CA54" s="566">
        <v>28593.400025208728</v>
      </c>
      <c r="CB54" s="566">
        <v>3.3312428386490417E-30</v>
      </c>
      <c r="CC54" s="566">
        <v>21263.686549544171</v>
      </c>
      <c r="CD54" s="566">
        <v>1634219.1992631762</v>
      </c>
      <c r="CE54" s="566">
        <v>35122.540412464892</v>
      </c>
      <c r="CF54" s="566">
        <v>40137.762752517745</v>
      </c>
      <c r="CG54" s="566">
        <v>27694.431389640671</v>
      </c>
      <c r="CH54" s="566">
        <v>61604.0629546532</v>
      </c>
      <c r="CI54" s="566">
        <v>10257.196810978026</v>
      </c>
      <c r="CJ54" s="566">
        <v>2714.5961351769092</v>
      </c>
      <c r="CK54" s="566">
        <v>318171.10569530504</v>
      </c>
      <c r="CL54" s="566"/>
      <c r="CM54" s="566">
        <v>1562.8813834805558</v>
      </c>
      <c r="CN54" s="566">
        <v>9437.03432060044</v>
      </c>
      <c r="CO54" s="566">
        <v>161.18369256178636</v>
      </c>
      <c r="CP54" s="566">
        <v>19788.827950458493</v>
      </c>
      <c r="CQ54" s="566"/>
      <c r="CR54" s="566">
        <v>98.074369709865138</v>
      </c>
      <c r="CS54" s="566">
        <v>889.75674626311206</v>
      </c>
      <c r="CT54" s="566">
        <v>92.282847087979107</v>
      </c>
      <c r="CU54" s="566">
        <v>3748.7926738868182</v>
      </c>
      <c r="CV54" s="566"/>
      <c r="CW54" s="566">
        <v>18.109330470473829</v>
      </c>
      <c r="CX54" s="566">
        <v>107.2129002926893</v>
      </c>
      <c r="CY54" s="552"/>
    </row>
    <row r="55" spans="1:103" ht="12.75" customHeight="1" x14ac:dyDescent="0.3">
      <c r="A55" s="29"/>
      <c r="B55" s="6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131"/>
      <c r="Y55" s="436"/>
      <c r="Z55" s="29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282"/>
      <c r="AL55" s="282"/>
      <c r="AM55" s="282"/>
      <c r="AN55" s="282"/>
      <c r="AO55" s="282"/>
      <c r="AP55" s="29"/>
      <c r="AQ55" s="437"/>
      <c r="AR55" s="2"/>
      <c r="AS55" s="75"/>
      <c r="AT55" s="75"/>
      <c r="AU55" s="75" t="s">
        <v>2156</v>
      </c>
      <c r="AV55" s="75"/>
      <c r="AW55" s="75"/>
      <c r="AX55" s="29" t="s">
        <v>208</v>
      </c>
      <c r="AY55" s="29"/>
      <c r="AZ55" s="128">
        <f>output!M23</f>
        <v>1.8868415291416635E-4</v>
      </c>
      <c r="BA55" s="29" t="s">
        <v>1495</v>
      </c>
      <c r="BB55" s="2"/>
      <c r="BC55" s="2"/>
      <c r="BD55" s="2"/>
      <c r="BE55" s="2"/>
      <c r="BF55" s="2"/>
      <c r="BG55" s="2"/>
      <c r="BH55" s="2"/>
      <c r="BI55" s="2"/>
      <c r="BJ55" s="2"/>
      <c r="BK55" s="2"/>
      <c r="BL55"/>
      <c r="BM55" s="562"/>
      <c r="BN55" s="591">
        <v>42</v>
      </c>
      <c r="BO55" s="549" t="s">
        <v>858</v>
      </c>
      <c r="BP55" s="549" t="s">
        <v>2408</v>
      </c>
      <c r="BQ55" s="550" t="s">
        <v>2408</v>
      </c>
      <c r="BR55" s="566">
        <v>230457.36816169208</v>
      </c>
      <c r="BS55" s="566"/>
      <c r="BT55" s="566">
        <v>1568161.4738815704</v>
      </c>
      <c r="BU55" s="566">
        <v>54372.648940667423</v>
      </c>
      <c r="BV55" s="566">
        <v>240718.80852772089</v>
      </c>
      <c r="BW55" s="566">
        <v>2254.5194603006917</v>
      </c>
      <c r="BX55" s="566">
        <v>293.42694060549331</v>
      </c>
      <c r="BY55" s="566">
        <v>12083345.508896437</v>
      </c>
      <c r="BZ55" s="566">
        <v>108.67664466870123</v>
      </c>
      <c r="CA55" s="566">
        <v>98614.917642351138</v>
      </c>
      <c r="CB55" s="566">
        <v>4.6244782311136689E-32</v>
      </c>
      <c r="CC55" s="566">
        <v>44.219901540039267</v>
      </c>
      <c r="CD55" s="566">
        <v>1345084.4430357774</v>
      </c>
      <c r="CE55" s="566">
        <v>6.7879247062380461</v>
      </c>
      <c r="CF55" s="566">
        <v>2788.6438417604272</v>
      </c>
      <c r="CG55" s="566">
        <v>58.851805222887663</v>
      </c>
      <c r="CH55" s="566">
        <v>238.33654150460961</v>
      </c>
      <c r="CI55" s="566">
        <v>21.796964897365797</v>
      </c>
      <c r="CJ55" s="566">
        <v>7410.4561364256897</v>
      </c>
      <c r="CK55" s="566">
        <v>4518713.5706655663</v>
      </c>
      <c r="CL55" s="566"/>
      <c r="CM55" s="566">
        <v>1892.5548808371202</v>
      </c>
      <c r="CN55" s="566">
        <v>15.873246805065689</v>
      </c>
      <c r="CO55" s="566">
        <v>395.54041105759967</v>
      </c>
      <c r="CP55" s="566">
        <v>798096.57456875255</v>
      </c>
      <c r="CQ55" s="566"/>
      <c r="CR55" s="566">
        <v>335.07467946810476</v>
      </c>
      <c r="CS55" s="566">
        <v>2.7824824696996404</v>
      </c>
      <c r="CT55" s="566">
        <v>578.07579115985004</v>
      </c>
      <c r="CU55" s="566">
        <v>1532524.6529133597</v>
      </c>
      <c r="CV55" s="566"/>
      <c r="CW55" s="566">
        <v>638.97022629978801</v>
      </c>
      <c r="CX55" s="566">
        <v>0.35110045024469128</v>
      </c>
      <c r="CY55" s="552"/>
    </row>
    <row r="56" spans="1:103" ht="12.75" customHeight="1" x14ac:dyDescent="0.3">
      <c r="A56" s="29"/>
      <c r="B56" s="6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131"/>
      <c r="Y56" s="436"/>
      <c r="Z56" s="29"/>
      <c r="AA56" s="282"/>
      <c r="AB56" s="282"/>
      <c r="AC56" s="282"/>
      <c r="AD56" s="282"/>
      <c r="AE56" s="282"/>
      <c r="AF56" s="282"/>
      <c r="AG56" s="282"/>
      <c r="AH56" s="282"/>
      <c r="AI56" s="282"/>
      <c r="AJ56" s="282"/>
      <c r="AK56" s="282"/>
      <c r="AL56" s="282"/>
      <c r="AM56" s="282"/>
      <c r="AN56" s="282"/>
      <c r="AO56" s="282"/>
      <c r="AP56" s="29"/>
      <c r="AQ56" s="437"/>
      <c r="AR56" s="2"/>
      <c r="AS56" s="75"/>
      <c r="AT56" s="75"/>
      <c r="AU56" s="75"/>
      <c r="AV56" s="75"/>
      <c r="AW56" s="75"/>
      <c r="AX56" s="29" t="s">
        <v>1475</v>
      </c>
      <c r="AY56" s="29"/>
      <c r="AZ56" s="128">
        <f>output!M35</f>
        <v>1.1415443389267774E-5</v>
      </c>
      <c r="BA56" s="29" t="s">
        <v>1495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/>
      <c r="BM56" s="562"/>
      <c r="BN56" s="591">
        <v>43</v>
      </c>
      <c r="BO56" s="549" t="s">
        <v>1960</v>
      </c>
      <c r="BP56" s="549" t="s">
        <v>2408</v>
      </c>
      <c r="BQ56" s="550" t="s">
        <v>2408</v>
      </c>
      <c r="BR56" s="566">
        <v>79.161414825076037</v>
      </c>
      <c r="BS56" s="566"/>
      <c r="BT56" s="566">
        <v>19428564.871456448</v>
      </c>
      <c r="BU56" s="566">
        <v>825122.42899585213</v>
      </c>
      <c r="BV56" s="566">
        <v>168145.85123035684</v>
      </c>
      <c r="BW56" s="566">
        <v>2173.9036509054031</v>
      </c>
      <c r="BX56" s="566">
        <v>1024401.7315143333</v>
      </c>
      <c r="BY56" s="566">
        <v>22016741.154088493</v>
      </c>
      <c r="BZ56" s="566">
        <v>379408.04870901239</v>
      </c>
      <c r="CA56" s="566">
        <v>2.0481422529681371E-2</v>
      </c>
      <c r="CB56" s="566">
        <v>6.3611110186615137E-33</v>
      </c>
      <c r="CC56" s="566">
        <v>640.17915401634332</v>
      </c>
      <c r="CD56" s="566">
        <v>4622498.2637421219</v>
      </c>
      <c r="CE56" s="566">
        <v>5.5404745283143635</v>
      </c>
      <c r="CF56" s="566">
        <v>608.93180810040712</v>
      </c>
      <c r="CG56" s="566">
        <v>137.34579171810586</v>
      </c>
      <c r="CH56" s="566">
        <v>1103.7678636285234</v>
      </c>
      <c r="CI56" s="566">
        <v>50.868811747446614</v>
      </c>
      <c r="CJ56" s="566">
        <v>8.3202905784831132E-7</v>
      </c>
      <c r="CK56" s="566">
        <v>660769.02399241738</v>
      </c>
      <c r="CL56" s="566"/>
      <c r="CM56" s="566">
        <v>17.408171269684026</v>
      </c>
      <c r="CN56" s="566">
        <v>2.0026146518669612E-2</v>
      </c>
      <c r="CO56" s="566">
        <v>2.9317688143114687E-10</v>
      </c>
      <c r="CP56" s="566">
        <v>17620.040686178487</v>
      </c>
      <c r="CQ56" s="566"/>
      <c r="CR56" s="566">
        <v>0.46882887739944573</v>
      </c>
      <c r="CS56" s="566">
        <v>2.1560209005939519E-5</v>
      </c>
      <c r="CT56" s="566">
        <v>5.5567639542023759E-10</v>
      </c>
      <c r="CU56" s="566">
        <v>3031.4360263532485</v>
      </c>
      <c r="CV56" s="566"/>
      <c r="CW56" s="566">
        <v>7.8395351152708376E-2</v>
      </c>
      <c r="CX56" s="566">
        <v>3.9747345692455673E-6</v>
      </c>
      <c r="CY56" s="552"/>
    </row>
    <row r="57" spans="1:103" ht="12.75" customHeight="1" x14ac:dyDescent="0.3">
      <c r="A57" s="29"/>
      <c r="B57" s="6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131"/>
      <c r="Y57" s="436"/>
      <c r="Z57" s="29"/>
      <c r="AA57" s="282"/>
      <c r="AB57" s="282"/>
      <c r="AC57" s="282"/>
      <c r="AD57" s="282"/>
      <c r="AE57" s="282"/>
      <c r="AF57" s="282"/>
      <c r="AG57" s="282"/>
      <c r="AH57" s="282"/>
      <c r="AI57" s="282"/>
      <c r="AJ57" s="282"/>
      <c r="AK57" s="282"/>
      <c r="AL57" s="282"/>
      <c r="AM57" s="282"/>
      <c r="AN57" s="282"/>
      <c r="AO57" s="282"/>
      <c r="AP57" s="29"/>
      <c r="AQ57" s="437"/>
      <c r="AR57" s="2"/>
      <c r="AS57" s="75"/>
      <c r="AT57" s="75"/>
      <c r="AU57" s="260" t="s">
        <v>2169</v>
      </c>
      <c r="AV57" s="75"/>
      <c r="AW57" s="75"/>
      <c r="AX57" s="29" t="s">
        <v>508</v>
      </c>
      <c r="AY57" s="29"/>
      <c r="AZ57" s="128">
        <f>output!M39</f>
        <v>4.3189576680036188E-8</v>
      </c>
      <c r="BA57" s="29" t="s">
        <v>1495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/>
      <c r="BM57" s="562"/>
      <c r="BN57" s="591">
        <v>44</v>
      </c>
      <c r="BO57" s="549" t="s">
        <v>1904</v>
      </c>
      <c r="BP57" s="549" t="s">
        <v>2408</v>
      </c>
      <c r="BQ57" s="550" t="s">
        <v>2408</v>
      </c>
      <c r="BR57" s="566">
        <v>16211.695073746647</v>
      </c>
      <c r="BS57" s="566"/>
      <c r="BT57" s="566">
        <v>1330501.5870950909</v>
      </c>
      <c r="BU57" s="566">
        <v>46800.309506208134</v>
      </c>
      <c r="BV57" s="566">
        <v>122007.91230533544</v>
      </c>
      <c r="BW57" s="566">
        <v>1188.965710586629</v>
      </c>
      <c r="BX57" s="566">
        <v>10.775162609513588</v>
      </c>
      <c r="BY57" s="566">
        <v>9377360.2440902703</v>
      </c>
      <c r="BZ57" s="566">
        <v>3.9908009664865154</v>
      </c>
      <c r="CA57" s="566">
        <v>547.09789766474876</v>
      </c>
      <c r="CB57" s="566">
        <v>1.9546894483609194E-34</v>
      </c>
      <c r="CC57" s="566">
        <v>0.19690146854536636</v>
      </c>
      <c r="CD57" s="566">
        <v>1148376.1133640409</v>
      </c>
      <c r="CE57" s="566">
        <v>1.805600033858348E-2</v>
      </c>
      <c r="CF57" s="566">
        <v>1458.7294785576876</v>
      </c>
      <c r="CG57" s="566">
        <v>0.17161596175163282</v>
      </c>
      <c r="CH57" s="566">
        <v>0.69830954535404599</v>
      </c>
      <c r="CI57" s="566">
        <v>6.3561467315419548E-2</v>
      </c>
      <c r="CJ57" s="566">
        <v>65.751481083664601</v>
      </c>
      <c r="CK57" s="566">
        <v>3970985.3416323802</v>
      </c>
      <c r="CL57" s="566"/>
      <c r="CM57" s="566">
        <v>1019.0116493914225</v>
      </c>
      <c r="CN57" s="566">
        <v>7.4028990630081545E-2</v>
      </c>
      <c r="CO57" s="566">
        <v>13.517528726951255</v>
      </c>
      <c r="CP57" s="566">
        <v>720133.81143959041</v>
      </c>
      <c r="CQ57" s="566"/>
      <c r="CR57" s="566">
        <v>185.09958007565055</v>
      </c>
      <c r="CS57" s="566">
        <v>5.0836315660321277E-2</v>
      </c>
      <c r="CT57" s="566">
        <v>20.4173704873151</v>
      </c>
      <c r="CU57" s="566">
        <v>1402597.1069875183</v>
      </c>
      <c r="CV57" s="566"/>
      <c r="CW57" s="566">
        <v>358.8287231584145</v>
      </c>
      <c r="CX57" s="566">
        <v>6.4836426878453948E-3</v>
      </c>
      <c r="CY57" s="552"/>
    </row>
    <row r="58" spans="1:103" ht="12.75" customHeight="1" x14ac:dyDescent="0.3">
      <c r="A58" s="29"/>
      <c r="B58" s="6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131"/>
      <c r="Y58" s="436"/>
      <c r="Z58" s="29"/>
      <c r="AA58" s="282"/>
      <c r="AB58" s="282"/>
      <c r="AC58" s="282"/>
      <c r="AD58" s="282"/>
      <c r="AE58" s="282"/>
      <c r="AF58" s="282"/>
      <c r="AG58" s="282"/>
      <c r="AH58" s="282"/>
      <c r="AI58" s="282"/>
      <c r="AJ58" s="282"/>
      <c r="AK58" s="282"/>
      <c r="AL58" s="282"/>
      <c r="AM58" s="282"/>
      <c r="AN58" s="282"/>
      <c r="AO58" s="282"/>
      <c r="AP58" s="29"/>
      <c r="AQ58" s="437"/>
      <c r="AR58" s="2"/>
      <c r="AS58" s="75"/>
      <c r="AT58" s="75"/>
      <c r="AU58" s="75"/>
      <c r="AV58" s="75"/>
      <c r="AW58" s="75"/>
      <c r="AX58" s="260" t="s">
        <v>1450</v>
      </c>
      <c r="AY58" s="29"/>
      <c r="AZ58" s="128">
        <f>output!M43</f>
        <v>7.0532271868318109E-5</v>
      </c>
      <c r="BA58" s="29" t="s">
        <v>1495</v>
      </c>
      <c r="BB58" s="2"/>
      <c r="BC58" s="2"/>
      <c r="BD58" s="2"/>
      <c r="BE58" s="2"/>
      <c r="BF58" s="2"/>
      <c r="BG58" s="2"/>
      <c r="BH58" s="2"/>
      <c r="BI58" s="2"/>
      <c r="BJ58" s="2"/>
      <c r="BK58" s="2"/>
      <c r="BL58"/>
      <c r="BM58" s="562"/>
      <c r="BN58" s="591">
        <v>45</v>
      </c>
      <c r="BO58" s="549" t="s">
        <v>1944</v>
      </c>
      <c r="BP58" s="549" t="s">
        <v>2408</v>
      </c>
      <c r="BQ58" s="550" t="s">
        <v>2408</v>
      </c>
      <c r="BR58" s="566">
        <v>2462.3906277473834</v>
      </c>
      <c r="BS58" s="566"/>
      <c r="BT58" s="566">
        <v>41513590.687840238</v>
      </c>
      <c r="BU58" s="566">
        <v>2024982.6302455964</v>
      </c>
      <c r="BV58" s="566">
        <v>323409.60391814349</v>
      </c>
      <c r="BW58" s="566">
        <v>4811.4169171198982</v>
      </c>
      <c r="BX58" s="566">
        <v>341348.31978662475</v>
      </c>
      <c r="BY58" s="566">
        <v>5119983.9396587349</v>
      </c>
      <c r="BZ58" s="566">
        <v>126425.3036246759</v>
      </c>
      <c r="CA58" s="566">
        <v>32.407922357321809</v>
      </c>
      <c r="CB58" s="566">
        <v>1.9711727419617469E-31</v>
      </c>
      <c r="CC58" s="566">
        <v>57987.847987753754</v>
      </c>
      <c r="CD58" s="566">
        <v>135085469.3477717</v>
      </c>
      <c r="CE58" s="566">
        <v>451.75150207563581</v>
      </c>
      <c r="CF58" s="566">
        <v>16048.347841831164</v>
      </c>
      <c r="CG58" s="566">
        <v>2328.040343425047</v>
      </c>
      <c r="CH58" s="566">
        <v>12939.953517888105</v>
      </c>
      <c r="CI58" s="566">
        <v>862.2371642314987</v>
      </c>
      <c r="CJ58" s="566">
        <v>7.3523867566778867E-2</v>
      </c>
      <c r="CK58" s="566">
        <v>2603706938.6184206</v>
      </c>
      <c r="CL58" s="566"/>
      <c r="CM58" s="566">
        <v>62489.069663548609</v>
      </c>
      <c r="CN58" s="566">
        <v>18.957074283407348</v>
      </c>
      <c r="CO58" s="566">
        <v>7.9230822930786218E-3</v>
      </c>
      <c r="CP58" s="566">
        <v>1672263981.7458687</v>
      </c>
      <c r="CQ58" s="566"/>
      <c r="CR58" s="566">
        <v>40207.398080990533</v>
      </c>
      <c r="CS58" s="566">
        <v>1.1803451500959758</v>
      </c>
      <c r="CT58" s="566">
        <v>1.4867754497232179E-2</v>
      </c>
      <c r="CU58" s="566">
        <v>3992016601.021986</v>
      </c>
      <c r="CV58" s="566"/>
      <c r="CW58" s="566">
        <v>95484.521482614859</v>
      </c>
      <c r="CX58" s="566">
        <v>2.6194145530297526</v>
      </c>
      <c r="CY58" s="552"/>
    </row>
    <row r="59" spans="1:103" ht="12.75" customHeight="1" x14ac:dyDescent="0.3">
      <c r="A59" s="29"/>
      <c r="B59" s="6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131"/>
      <c r="Y59" s="436"/>
      <c r="Z59" s="29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282"/>
      <c r="AL59" s="282"/>
      <c r="AM59" s="282"/>
      <c r="AN59" s="282"/>
      <c r="AO59" s="282"/>
      <c r="AP59" s="29"/>
      <c r="AQ59" s="437"/>
      <c r="AR59" s="2"/>
      <c r="AS59" s="75"/>
      <c r="AT59" s="301">
        <v>0.12130000000000001</v>
      </c>
      <c r="AU59" s="75" t="s">
        <v>2154</v>
      </c>
      <c r="AV59" s="75"/>
      <c r="AW59" s="75"/>
      <c r="AX59" s="260" t="s">
        <v>509</v>
      </c>
      <c r="AY59" s="29"/>
      <c r="AZ59" s="128">
        <f>output!M47</f>
        <v>4.3189576680036175E-8</v>
      </c>
      <c r="BA59" s="29" t="s">
        <v>1495</v>
      </c>
      <c r="BB59" s="29"/>
      <c r="BC59" s="2"/>
      <c r="BD59" s="2"/>
      <c r="BE59" s="2"/>
      <c r="BF59" s="2"/>
      <c r="BG59" s="2"/>
      <c r="BH59" s="2"/>
      <c r="BI59" s="2"/>
      <c r="BJ59" s="2"/>
      <c r="BK59" s="2"/>
      <c r="BL59"/>
      <c r="BM59" s="562"/>
      <c r="BN59" s="591">
        <v>46</v>
      </c>
      <c r="BO59" s="549" t="s">
        <v>1783</v>
      </c>
      <c r="BP59" s="549" t="s">
        <v>2408</v>
      </c>
      <c r="BQ59" s="550" t="s">
        <v>2408</v>
      </c>
      <c r="BR59" s="566">
        <v>1858.6067703238166</v>
      </c>
      <c r="BS59" s="566"/>
      <c r="BT59" s="566">
        <v>6686313.3725918075</v>
      </c>
      <c r="BU59" s="566">
        <v>324586.72599152179</v>
      </c>
      <c r="BV59" s="566">
        <v>230296350.14840665</v>
      </c>
      <c r="BW59" s="566">
        <v>5111711.5494547728</v>
      </c>
      <c r="BX59" s="566">
        <v>594690537.08748841</v>
      </c>
      <c r="BY59" s="566">
        <v>4857060336.0374928</v>
      </c>
      <c r="BZ59" s="566">
        <v>220255754.47684771</v>
      </c>
      <c r="CA59" s="566">
        <v>35.543319425655469</v>
      </c>
      <c r="CB59" s="566">
        <v>1.4883463188024416E-31</v>
      </c>
      <c r="CC59" s="566">
        <v>7753.3509648529443</v>
      </c>
      <c r="CD59" s="566">
        <v>22154268.039106183</v>
      </c>
      <c r="CE59" s="566">
        <v>267048.27146519488</v>
      </c>
      <c r="CF59" s="566">
        <v>17444679.454971589</v>
      </c>
      <c r="CG59" s="566">
        <v>5893319.5251113093</v>
      </c>
      <c r="CH59" s="566">
        <v>17787082.604092456</v>
      </c>
      <c r="CI59" s="566">
        <v>2182710.9352264102</v>
      </c>
      <c r="CJ59" s="566">
        <v>9.9810003786016677E-2</v>
      </c>
      <c r="CK59" s="566">
        <v>434352045.47817785</v>
      </c>
      <c r="CL59" s="566"/>
      <c r="CM59" s="566">
        <v>69092119.734865874</v>
      </c>
      <c r="CN59" s="566">
        <v>59399.081749111821</v>
      </c>
      <c r="CO59" s="566">
        <v>3.2789893322693987E-4</v>
      </c>
      <c r="CP59" s="566">
        <v>279153385.84158373</v>
      </c>
      <c r="CQ59" s="566"/>
      <c r="CR59" s="566">
        <v>44496232.864840969</v>
      </c>
      <c r="CS59" s="566">
        <v>123.39841938906451</v>
      </c>
      <c r="CT59" s="566">
        <v>5.8547134797733855E-5</v>
      </c>
      <c r="CU59" s="566">
        <v>673891534.55726075</v>
      </c>
      <c r="CV59" s="566"/>
      <c r="CW59" s="566">
        <v>106785348.76619332</v>
      </c>
      <c r="CX59" s="566">
        <v>22.015885011024857</v>
      </c>
      <c r="CY59" s="552"/>
    </row>
    <row r="60" spans="1:103" ht="12.75" customHeight="1" x14ac:dyDescent="0.3">
      <c r="A60" s="29"/>
      <c r="B60" s="6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131"/>
      <c r="Y60" s="436"/>
      <c r="Z60" s="29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282"/>
      <c r="AL60" s="282"/>
      <c r="AM60" s="282"/>
      <c r="AN60" s="282"/>
      <c r="AO60" s="282"/>
      <c r="AP60" s="29"/>
      <c r="AQ60" s="437"/>
      <c r="AR60" s="2"/>
      <c r="AS60" s="75"/>
      <c r="AT60" s="75"/>
      <c r="AU60" s="75"/>
      <c r="AV60" s="75"/>
      <c r="AW60" s="75"/>
      <c r="AX60" s="5"/>
      <c r="AY60" s="2"/>
      <c r="AZ60" s="2"/>
      <c r="BA60" s="57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/>
      <c r="BM60" s="562"/>
      <c r="BN60" s="591">
        <v>47</v>
      </c>
      <c r="BO60" s="549" t="s">
        <v>1963</v>
      </c>
      <c r="BP60" s="549" t="s">
        <v>2408</v>
      </c>
      <c r="BQ60" s="550" t="s">
        <v>2408</v>
      </c>
      <c r="BR60" s="566">
        <v>1465374.377498958</v>
      </c>
      <c r="BS60" s="566"/>
      <c r="BT60" s="566">
        <v>5742634.9257198256</v>
      </c>
      <c r="BU60" s="566">
        <v>233889.39577471977</v>
      </c>
      <c r="BV60" s="566">
        <v>46214.997714663376</v>
      </c>
      <c r="BW60" s="566">
        <v>573.7569291557819</v>
      </c>
      <c r="BX60" s="566">
        <v>5876.0992173579671</v>
      </c>
      <c r="BY60" s="566">
        <v>13581930.120384526</v>
      </c>
      <c r="BZ60" s="566">
        <v>2176.3330434659142</v>
      </c>
      <c r="CA60" s="566">
        <v>5093509.9873769209</v>
      </c>
      <c r="CB60" s="566">
        <v>1.2101232873724911E-28</v>
      </c>
      <c r="CC60" s="566">
        <v>187317.62437884812</v>
      </c>
      <c r="CD60" s="566">
        <v>176846012.66977009</v>
      </c>
      <c r="CE60" s="566">
        <v>1507.4758703208913</v>
      </c>
      <c r="CF60" s="566">
        <v>21691.155519633638</v>
      </c>
      <c r="CG60" s="566">
        <v>10551.607603820277</v>
      </c>
      <c r="CH60" s="566">
        <v>74806.348580851569</v>
      </c>
      <c r="CI60" s="566">
        <v>3908.0028162297313</v>
      </c>
      <c r="CJ60" s="566">
        <v>7010539.4915549019</v>
      </c>
      <c r="CK60" s="566">
        <v>2777976468.2052145</v>
      </c>
      <c r="CL60" s="566"/>
      <c r="CM60" s="566">
        <v>68834.512316635417</v>
      </c>
      <c r="CN60" s="566">
        <v>52126.259961021395</v>
      </c>
      <c r="CO60" s="566">
        <v>1599745.7419395174</v>
      </c>
      <c r="CP60" s="566">
        <v>2232377039.4934082</v>
      </c>
      <c r="CQ60" s="566"/>
      <c r="CR60" s="566">
        <v>55419.096432979852</v>
      </c>
      <c r="CS60" s="566">
        <v>38196.8125638118</v>
      </c>
      <c r="CT60" s="566">
        <v>7770185.2379059782</v>
      </c>
      <c r="CU60" s="566">
        <v>2662254724.0168028</v>
      </c>
      <c r="CV60" s="566"/>
      <c r="CW60" s="566">
        <v>65736.928018313556</v>
      </c>
      <c r="CX60" s="566">
        <v>16704.728865740555</v>
      </c>
      <c r="CY60" s="552"/>
    </row>
    <row r="61" spans="1:103" ht="12.75" customHeight="1" x14ac:dyDescent="0.3">
      <c r="A61" s="29"/>
      <c r="B61" s="6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131"/>
      <c r="Y61" s="436"/>
      <c r="Z61" s="29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282"/>
      <c r="AL61" s="282"/>
      <c r="AM61" s="282"/>
      <c r="AN61" s="282"/>
      <c r="AO61" s="282"/>
      <c r="AP61" s="29"/>
      <c r="AQ61" s="437"/>
      <c r="AR61" s="2"/>
      <c r="AS61" s="2"/>
      <c r="AT61" s="2"/>
      <c r="AU61" s="2"/>
      <c r="AV61" s="2"/>
      <c r="AW61" s="2"/>
      <c r="AX61" s="5"/>
      <c r="AY61" s="2"/>
      <c r="AZ61" s="2"/>
      <c r="BA61" s="57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/>
      <c r="BM61" s="562"/>
      <c r="BN61" s="591">
        <v>48</v>
      </c>
      <c r="BO61" s="549" t="s">
        <v>854</v>
      </c>
      <c r="BP61" s="549" t="s">
        <v>2408</v>
      </c>
      <c r="BQ61" s="550" t="s">
        <v>2408</v>
      </c>
      <c r="BR61" s="566">
        <v>425275.78559436026</v>
      </c>
      <c r="BS61" s="566"/>
      <c r="BT61" s="566">
        <v>1693152.4179470371</v>
      </c>
      <c r="BU61" s="566">
        <v>62862.725109593273</v>
      </c>
      <c r="BV61" s="566">
        <v>36091.075298465927</v>
      </c>
      <c r="BW61" s="566">
        <v>398.17449020739457</v>
      </c>
      <c r="BX61" s="566">
        <v>2052.4941406233338</v>
      </c>
      <c r="BY61" s="566">
        <v>30157741.83437917</v>
      </c>
      <c r="BZ61" s="566">
        <v>760.1830150456791</v>
      </c>
      <c r="CA61" s="566">
        <v>815357.59574539587</v>
      </c>
      <c r="CB61" s="566">
        <v>4.2972862478317326E-30</v>
      </c>
      <c r="CC61" s="566">
        <v>5226.4738034252023</v>
      </c>
      <c r="CD61" s="566">
        <v>6504375.0454409113</v>
      </c>
      <c r="CE61" s="566">
        <v>111.40701663090263</v>
      </c>
      <c r="CF61" s="566">
        <v>2059.9458688125665</v>
      </c>
      <c r="CG61" s="566">
        <v>1734.6825417666437</v>
      </c>
      <c r="CH61" s="566">
        <v>12739.290003811842</v>
      </c>
      <c r="CI61" s="566">
        <v>642.47501546912724</v>
      </c>
      <c r="CJ61" s="566">
        <v>292164.97376204055</v>
      </c>
      <c r="CK61" s="566">
        <v>38313294.830778621</v>
      </c>
      <c r="CL61" s="566"/>
      <c r="CM61" s="566">
        <v>2451.26228780265</v>
      </c>
      <c r="CN61" s="566">
        <v>2231.0211681388978</v>
      </c>
      <c r="CO61" s="566">
        <v>38094.933769645097</v>
      </c>
      <c r="CP61" s="566">
        <v>16745471.362383131</v>
      </c>
      <c r="CQ61" s="566"/>
      <c r="CR61" s="566">
        <v>1076.3971612814769</v>
      </c>
      <c r="CS61" s="566">
        <v>955.99076072738649</v>
      </c>
      <c r="CT61" s="566">
        <v>66280.70524075508</v>
      </c>
      <c r="CU61" s="566">
        <v>16991537.437778413</v>
      </c>
      <c r="CV61" s="566"/>
      <c r="CW61" s="566">
        <v>1077.6923680639561</v>
      </c>
      <c r="CX61" s="566">
        <v>145.96293174338507</v>
      </c>
      <c r="CY61" s="552"/>
    </row>
    <row r="62" spans="1:103" ht="12.75" customHeight="1" x14ac:dyDescent="0.3">
      <c r="A62" s="29"/>
      <c r="B62" s="6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131"/>
      <c r="Y62" s="436"/>
      <c r="Z62" s="29"/>
      <c r="AA62" s="282"/>
      <c r="AB62" s="282"/>
      <c r="AC62" s="282"/>
      <c r="AD62" s="282"/>
      <c r="AE62" s="282"/>
      <c r="AF62" s="282"/>
      <c r="AG62" s="282"/>
      <c r="AH62" s="282"/>
      <c r="AI62" s="282"/>
      <c r="AJ62" s="282"/>
      <c r="AK62" s="282"/>
      <c r="AL62" s="282"/>
      <c r="AM62" s="282"/>
      <c r="AN62" s="282"/>
      <c r="AO62" s="282"/>
      <c r="AP62" s="29"/>
      <c r="AQ62" s="437"/>
      <c r="AR62" s="2"/>
      <c r="AS62" s="2"/>
      <c r="AT62" s="2"/>
      <c r="AU62" s="2"/>
      <c r="AV62" s="2"/>
      <c r="AW62" s="2"/>
      <c r="AX62" s="2"/>
      <c r="AY62" s="5"/>
      <c r="AZ62" s="2"/>
      <c r="BA62" s="2"/>
      <c r="BB62" s="57"/>
      <c r="BC62" s="2"/>
      <c r="BD62" s="2"/>
      <c r="BE62" s="2"/>
      <c r="BF62" s="2"/>
      <c r="BG62" s="2"/>
      <c r="BH62" s="2"/>
      <c r="BI62" s="2"/>
      <c r="BJ62" s="2"/>
      <c r="BK62" s="2"/>
      <c r="BL62"/>
      <c r="BM62" s="562"/>
      <c r="BN62" s="591">
        <v>49</v>
      </c>
      <c r="BO62" s="549" t="s">
        <v>1822</v>
      </c>
      <c r="BP62" s="549" t="s">
        <v>2408</v>
      </c>
      <c r="BQ62" s="550" t="s">
        <v>2408</v>
      </c>
      <c r="BR62" s="566">
        <v>239561.1338878228</v>
      </c>
      <c r="BS62" s="566"/>
      <c r="BT62" s="566">
        <v>2029265.2791309147</v>
      </c>
      <c r="BU62" s="566">
        <v>70747.580998349134</v>
      </c>
      <c r="BV62" s="566">
        <v>26816.089567877716</v>
      </c>
      <c r="BW62" s="566">
        <v>281.95155573447107</v>
      </c>
      <c r="BX62" s="566">
        <v>138.62155782903548</v>
      </c>
      <c r="BY62" s="566">
        <v>22439240.207810696</v>
      </c>
      <c r="BZ62" s="566">
        <v>51.341317714457588</v>
      </c>
      <c r="CA62" s="566">
        <v>98803.545789905431</v>
      </c>
      <c r="CB62" s="566">
        <v>1.5470741412521938E-31</v>
      </c>
      <c r="CC62" s="566">
        <v>154.0296120692156</v>
      </c>
      <c r="CD62" s="566">
        <v>1858470.0327233104</v>
      </c>
      <c r="CE62" s="566">
        <v>2.0354519026327238</v>
      </c>
      <c r="CF62" s="566">
        <v>370.32963503335753</v>
      </c>
      <c r="CG62" s="566">
        <v>27.144577752903302</v>
      </c>
      <c r="CH62" s="566">
        <v>189.8640267028625</v>
      </c>
      <c r="CI62" s="566">
        <v>10.053547315890107</v>
      </c>
      <c r="CJ62" s="566">
        <v>7543.4085953228514</v>
      </c>
      <c r="CK62" s="566">
        <v>6365629.2503267685</v>
      </c>
      <c r="CL62" s="566"/>
      <c r="CM62" s="566">
        <v>256.25032371247602</v>
      </c>
      <c r="CN62" s="566">
        <v>7.4384397136363027</v>
      </c>
      <c r="CO62" s="566">
        <v>467.10899602988269</v>
      </c>
      <c r="CP62" s="566">
        <v>1208189.7461158608</v>
      </c>
      <c r="CQ62" s="566"/>
      <c r="CR62" s="566">
        <v>48.782435279472679</v>
      </c>
      <c r="CS62" s="566">
        <v>1.5124548232615709</v>
      </c>
      <c r="CT62" s="566">
        <v>702.36147183538139</v>
      </c>
      <c r="CU62" s="566">
        <v>2168504.8932864144</v>
      </c>
      <c r="CV62" s="566"/>
      <c r="CW62" s="566">
        <v>86.806890691528253</v>
      </c>
      <c r="CX62" s="566">
        <v>0.19938292748702621</v>
      </c>
      <c r="CY62" s="552"/>
    </row>
    <row r="63" spans="1:103" ht="12.75" customHeight="1" x14ac:dyDescent="0.3">
      <c r="A63" s="29"/>
      <c r="B63" s="6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131"/>
      <c r="Y63" s="436"/>
      <c r="Z63" s="29"/>
      <c r="AA63" s="282"/>
      <c r="AB63" s="282"/>
      <c r="AC63" s="282"/>
      <c r="AD63" s="282"/>
      <c r="AE63" s="282"/>
      <c r="AF63" s="282"/>
      <c r="AG63" s="282"/>
      <c r="AH63" s="282"/>
      <c r="AI63" s="282"/>
      <c r="AJ63" s="282"/>
      <c r="AK63" s="282"/>
      <c r="AL63" s="282"/>
      <c r="AM63" s="282"/>
      <c r="AN63" s="282"/>
      <c r="AO63" s="282"/>
      <c r="AP63" s="29"/>
      <c r="AQ63" s="437"/>
      <c r="AR63" s="2"/>
      <c r="AS63" s="2"/>
      <c r="AT63" s="2"/>
      <c r="AU63" s="2"/>
      <c r="AV63" s="2"/>
      <c r="AW63" s="2"/>
      <c r="AX63" s="2"/>
      <c r="AY63" s="5"/>
      <c r="AZ63" s="2"/>
      <c r="BA63" s="2"/>
      <c r="BB63" s="57"/>
      <c r="BC63" s="2"/>
      <c r="BD63" s="2"/>
      <c r="BE63" s="2"/>
      <c r="BF63" s="2"/>
      <c r="BG63" s="2"/>
      <c r="BH63" s="2"/>
      <c r="BI63" s="2"/>
      <c r="BJ63" s="2"/>
      <c r="BK63" s="2"/>
      <c r="BL63"/>
      <c r="BM63" s="562"/>
      <c r="BN63" s="591">
        <v>50</v>
      </c>
      <c r="BO63" s="549" t="s">
        <v>1823</v>
      </c>
      <c r="BP63" s="549" t="s">
        <v>2408</v>
      </c>
      <c r="BQ63" s="550" t="s">
        <v>2408</v>
      </c>
      <c r="BR63" s="566">
        <v>55.634779552241454</v>
      </c>
      <c r="BS63" s="566"/>
      <c r="BT63" s="566">
        <v>36675418.256533049</v>
      </c>
      <c r="BU63" s="566">
        <v>1765024.8374934387</v>
      </c>
      <c r="BV63" s="566">
        <v>346068.35670495796</v>
      </c>
      <c r="BW63" s="566">
        <v>5061.6376117782002</v>
      </c>
      <c r="BX63" s="566">
        <v>324446.01434986165</v>
      </c>
      <c r="BY63" s="566">
        <v>2339901.3694721125</v>
      </c>
      <c r="BZ63" s="566">
        <v>120165.19049994875</v>
      </c>
      <c r="CA63" s="566">
        <v>1.0125071554911096E-2</v>
      </c>
      <c r="CB63" s="566">
        <v>4.4707425213871705E-33</v>
      </c>
      <c r="CC63" s="566">
        <v>288.09145356639272</v>
      </c>
      <c r="CD63" s="566">
        <v>46465781.813247152</v>
      </c>
      <c r="CE63" s="566">
        <v>2.7184239650410706</v>
      </c>
      <c r="CF63" s="566">
        <v>6662.5960125472002</v>
      </c>
      <c r="CG63" s="566">
        <v>30.597973440505683</v>
      </c>
      <c r="CH63" s="566">
        <v>82.472942405520143</v>
      </c>
      <c r="CI63" s="566">
        <v>11.332582755742848</v>
      </c>
      <c r="CJ63" s="566">
        <v>2.6245586612904181E-6</v>
      </c>
      <c r="CK63" s="566">
        <v>57399190.909971908</v>
      </c>
      <c r="CL63" s="566"/>
      <c r="CM63" s="566">
        <v>1661.0027163284653</v>
      </c>
      <c r="CN63" s="566">
        <v>2.8467839044065611E-2</v>
      </c>
      <c r="CO63" s="566">
        <v>8.9958238787931521E-8</v>
      </c>
      <c r="CP63" s="566">
        <v>11212797.283349555</v>
      </c>
      <c r="CQ63" s="566"/>
      <c r="CR63" s="566">
        <v>325.43835810229291</v>
      </c>
      <c r="CS63" s="566">
        <v>4.2119141846881742E-3</v>
      </c>
      <c r="CT63" s="566">
        <v>2.2785034137933427E-7</v>
      </c>
      <c r="CU63" s="566">
        <v>2586343.2508713198</v>
      </c>
      <c r="CV63" s="566"/>
      <c r="CW63" s="566">
        <v>74.427924359457748</v>
      </c>
      <c r="CX63" s="566">
        <v>5.9425120430769724E-4</v>
      </c>
      <c r="CY63" s="552"/>
    </row>
    <row r="64" spans="1:103" ht="12.75" customHeight="1" x14ac:dyDescent="0.3">
      <c r="A64" s="29"/>
      <c r="B64" s="6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131"/>
      <c r="Y64" s="436"/>
      <c r="Z64" s="29"/>
      <c r="AA64" s="282"/>
      <c r="AB64" s="282"/>
      <c r="AC64" s="282"/>
      <c r="AD64" s="282"/>
      <c r="AE64" s="282"/>
      <c r="AF64" s="282"/>
      <c r="AG64" s="282"/>
      <c r="AH64" s="282"/>
      <c r="AI64" s="282"/>
      <c r="AJ64" s="282"/>
      <c r="AK64" s="282"/>
      <c r="AL64" s="282"/>
      <c r="AM64" s="282"/>
      <c r="AN64" s="282"/>
      <c r="AO64" s="282"/>
      <c r="AP64" s="29"/>
      <c r="AQ64" s="437"/>
      <c r="AR64" s="2"/>
      <c r="AS64" s="2"/>
      <c r="AT64" s="2"/>
      <c r="AU64" s="2"/>
      <c r="AV64" s="2"/>
      <c r="AW64" s="2"/>
      <c r="AX64" s="2"/>
      <c r="AY64" s="5"/>
      <c r="AZ64" s="2"/>
      <c r="BA64" s="2"/>
      <c r="BB64" s="5"/>
      <c r="BC64" s="2"/>
      <c r="BD64" s="2"/>
      <c r="BE64" s="2"/>
      <c r="BF64" s="2"/>
      <c r="BG64" s="2"/>
      <c r="BH64" s="2"/>
      <c r="BI64" s="2"/>
      <c r="BJ64" s="2"/>
      <c r="BK64" s="2"/>
      <c r="BL64"/>
      <c r="BM64" s="562"/>
      <c r="BN64" s="591">
        <v>51</v>
      </c>
      <c r="BO64" s="549" t="s">
        <v>1815</v>
      </c>
      <c r="BP64" s="549" t="s">
        <v>2408</v>
      </c>
      <c r="BQ64" s="550" t="s">
        <v>2408</v>
      </c>
      <c r="BR64" s="566">
        <v>420658.56260567036</v>
      </c>
      <c r="BS64" s="566"/>
      <c r="BT64" s="566">
        <v>42546981.955668867</v>
      </c>
      <c r="BU64" s="566">
        <v>2066155.6010329307</v>
      </c>
      <c r="BV64" s="566">
        <v>400728.57422662398</v>
      </c>
      <c r="BW64" s="566">
        <v>5914.4456304051737</v>
      </c>
      <c r="BX64" s="566">
        <v>138453.76621553861</v>
      </c>
      <c r="BY64" s="566">
        <v>5466432.0170665784</v>
      </c>
      <c r="BZ64" s="566">
        <v>51279.172672421708</v>
      </c>
      <c r="CA64" s="566">
        <v>522028.69181363593</v>
      </c>
      <c r="CB64" s="566">
        <v>2.9034263989547809E-29</v>
      </c>
      <c r="CC64" s="566">
        <v>1165987.4200720184</v>
      </c>
      <c r="CD64" s="566">
        <v>214335893.95501629</v>
      </c>
      <c r="CE64" s="566">
        <v>10981.847711277798</v>
      </c>
      <c r="CF64" s="566">
        <v>30677.214988248797</v>
      </c>
      <c r="CG64" s="566">
        <v>89993.924159476956</v>
      </c>
      <c r="CH64" s="566">
        <v>365723.71860609989</v>
      </c>
      <c r="CI64" s="566">
        <v>33331.083022028506</v>
      </c>
      <c r="CJ64" s="566">
        <v>158085.74162201447</v>
      </c>
      <c r="CK64" s="566">
        <v>4093012388.0348525</v>
      </c>
      <c r="CL64" s="566"/>
      <c r="CM64" s="566">
        <v>118346.20100478875</v>
      </c>
      <c r="CN64" s="566">
        <v>97817.187696526555</v>
      </c>
      <c r="CO64" s="566">
        <v>16380.706434963584</v>
      </c>
      <c r="CP64" s="566">
        <v>2633779080.8197484</v>
      </c>
      <c r="CQ64" s="566"/>
      <c r="CR64" s="566">
        <v>76319.802965747847</v>
      </c>
      <c r="CS64" s="566">
        <v>36745.853548353327</v>
      </c>
      <c r="CT64" s="566">
        <v>150776.87114859899</v>
      </c>
      <c r="CU64" s="566">
        <v>6040889763.9572258</v>
      </c>
      <c r="CV64" s="566"/>
      <c r="CW64" s="566">
        <v>173959.52877305189</v>
      </c>
      <c r="CX64" s="566">
        <v>24858.276894529299</v>
      </c>
      <c r="CY64" s="552"/>
    </row>
    <row r="65" spans="1:103" ht="12.75" customHeight="1" x14ac:dyDescent="0.3">
      <c r="A65" s="29"/>
      <c r="B65" s="6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131"/>
      <c r="Y65" s="436"/>
      <c r="Z65" s="29"/>
      <c r="AA65" s="282"/>
      <c r="AB65" s="282"/>
      <c r="AC65" s="282"/>
      <c r="AD65" s="282"/>
      <c r="AE65" s="282"/>
      <c r="AF65" s="282"/>
      <c r="AG65" s="282"/>
      <c r="AH65" s="282"/>
      <c r="AI65" s="282"/>
      <c r="AJ65" s="282"/>
      <c r="AK65" s="282"/>
      <c r="AL65" s="282"/>
      <c r="AM65" s="282"/>
      <c r="AN65" s="282"/>
      <c r="AO65" s="282"/>
      <c r="AP65" s="29"/>
      <c r="AQ65" s="437"/>
      <c r="AR65" s="2"/>
      <c r="AS65" s="2"/>
      <c r="AT65" s="2"/>
      <c r="AU65" s="2"/>
      <c r="AV65" s="2"/>
      <c r="AW65" s="2"/>
      <c r="AX65" s="2"/>
      <c r="AY65" s="5"/>
      <c r="AZ65" s="2"/>
      <c r="BA65" s="2"/>
      <c r="BB65" s="5"/>
      <c r="BC65" s="2"/>
      <c r="BD65" s="2"/>
      <c r="BE65" s="2"/>
      <c r="BF65" s="2"/>
      <c r="BG65" s="2"/>
      <c r="BH65" s="2"/>
      <c r="BI65" s="2"/>
      <c r="BJ65" s="2"/>
      <c r="BK65" s="2"/>
      <c r="BL65"/>
      <c r="BM65" s="562"/>
      <c r="BN65" s="591">
        <v>52</v>
      </c>
      <c r="BO65" s="549" t="s">
        <v>1762</v>
      </c>
      <c r="BP65" s="549" t="s">
        <v>2408</v>
      </c>
      <c r="BQ65" s="550" t="s">
        <v>2408</v>
      </c>
      <c r="BR65" s="566">
        <v>426837.95986377751</v>
      </c>
      <c r="BS65" s="566"/>
      <c r="BT65" s="566">
        <v>1795639.3164273603</v>
      </c>
      <c r="BU65" s="566">
        <v>65279.291356897003</v>
      </c>
      <c r="BV65" s="566">
        <v>19362.841258089829</v>
      </c>
      <c r="BW65" s="566">
        <v>213.33276049780929</v>
      </c>
      <c r="BX65" s="566">
        <v>619.08435456851259</v>
      </c>
      <c r="BY65" s="566">
        <v>15375572.443044372</v>
      </c>
      <c r="BZ65" s="566">
        <v>229.29050169204166</v>
      </c>
      <c r="CA65" s="566">
        <v>815201.59972994472</v>
      </c>
      <c r="CB65" s="566">
        <v>3.4923444885106228E-30</v>
      </c>
      <c r="CC65" s="566">
        <v>4128.88047646218</v>
      </c>
      <c r="CD65" s="566">
        <v>3834872.592637314</v>
      </c>
      <c r="CE65" s="566">
        <v>44.522781667772449</v>
      </c>
      <c r="CF65" s="566">
        <v>626.61828838792462</v>
      </c>
      <c r="CG65" s="566">
        <v>540.63621628458748</v>
      </c>
      <c r="CH65" s="566">
        <v>4279.9106230396837</v>
      </c>
      <c r="CI65" s="566">
        <v>200.23563566095825</v>
      </c>
      <c r="CJ65" s="566">
        <v>260421.1729715323</v>
      </c>
      <c r="CK65" s="566">
        <v>6294446.701295238</v>
      </c>
      <c r="CL65" s="566"/>
      <c r="CM65" s="566">
        <v>207.56972327032042</v>
      </c>
      <c r="CN65" s="566">
        <v>619.89774680154869</v>
      </c>
      <c r="CO65" s="566">
        <v>26058.988485910799</v>
      </c>
      <c r="CP65" s="566">
        <v>3006907.4324047728</v>
      </c>
      <c r="CQ65" s="566"/>
      <c r="CR65" s="566">
        <v>99.482176884554463</v>
      </c>
      <c r="CS65" s="566">
        <v>199.70267343399476</v>
      </c>
      <c r="CT65" s="566">
        <v>42263.687276900026</v>
      </c>
      <c r="CU65" s="566">
        <v>393236.37815889472</v>
      </c>
      <c r="CV65" s="566"/>
      <c r="CW65" s="566">
        <v>12.888624715881061</v>
      </c>
      <c r="CX65" s="566">
        <v>29.254464682333339</v>
      </c>
      <c r="CY65" s="552"/>
    </row>
    <row r="66" spans="1:103" ht="12.75" customHeight="1" x14ac:dyDescent="0.3">
      <c r="A66" s="29"/>
      <c r="B66" s="6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131"/>
      <c r="Y66" s="436"/>
      <c r="Z66" s="29"/>
      <c r="AA66" s="282"/>
      <c r="AB66" s="282"/>
      <c r="AC66" s="282"/>
      <c r="AD66" s="282"/>
      <c r="AE66" s="282"/>
      <c r="AF66" s="282"/>
      <c r="AG66" s="282"/>
      <c r="AH66" s="282"/>
      <c r="AI66" s="282"/>
      <c r="AJ66" s="282"/>
      <c r="AK66" s="282"/>
      <c r="AL66" s="282"/>
      <c r="AM66" s="282"/>
      <c r="AN66" s="282"/>
      <c r="AO66" s="282"/>
      <c r="AP66" s="29"/>
      <c r="AQ66" s="437"/>
      <c r="AR66" s="2"/>
      <c r="AS66" s="42" t="s">
        <v>2170</v>
      </c>
      <c r="AT66" s="2"/>
      <c r="AU66" s="2"/>
      <c r="AV66" s="2"/>
      <c r="AW66" s="2"/>
      <c r="AX66" s="5" t="s">
        <v>1250</v>
      </c>
      <c r="AY66" s="36" t="str">
        <f>CONCATENATE(version!$B$2,", ",version!$B$3)</f>
        <v>SimpleBox, vs4.04</v>
      </c>
      <c r="AZ66" s="2"/>
      <c r="BA66" s="75"/>
      <c r="BB66" s="75"/>
      <c r="BC66" s="2"/>
      <c r="BD66" s="2"/>
      <c r="BE66" s="2"/>
      <c r="BF66" s="2"/>
      <c r="BG66" s="2"/>
      <c r="BH66" s="2"/>
      <c r="BI66" s="2"/>
      <c r="BJ66" s="2"/>
      <c r="BK66" s="2"/>
      <c r="BL66"/>
      <c r="BM66" s="562"/>
      <c r="BN66" s="591">
        <v>53</v>
      </c>
      <c r="BO66" s="549" t="s">
        <v>1922</v>
      </c>
      <c r="BP66" s="549" t="s">
        <v>2408</v>
      </c>
      <c r="BQ66" s="550" t="s">
        <v>2408</v>
      </c>
      <c r="BR66" s="566">
        <v>60056.736762908011</v>
      </c>
      <c r="BS66" s="566"/>
      <c r="BT66" s="566">
        <v>7701241.3754849629</v>
      </c>
      <c r="BU66" s="566">
        <v>373147.57525125623</v>
      </c>
      <c r="BV66" s="566">
        <v>197806149.75667796</v>
      </c>
      <c r="BW66" s="566">
        <v>4206714.0766121577</v>
      </c>
      <c r="BX66" s="566">
        <v>239763202.81637561</v>
      </c>
      <c r="BY66" s="566">
        <v>3800163527.6941919</v>
      </c>
      <c r="BZ66" s="566">
        <v>88801186.22828728</v>
      </c>
      <c r="CA66" s="566">
        <v>61701.606952916358</v>
      </c>
      <c r="CB66" s="566">
        <v>3.8794987611746241E-30</v>
      </c>
      <c r="CC66" s="566">
        <v>253062.28537373993</v>
      </c>
      <c r="CD66" s="566">
        <v>37123210.339271218</v>
      </c>
      <c r="CE66" s="566">
        <v>6499897.0786385657</v>
      </c>
      <c r="CF66" s="566">
        <v>20925599.127649769</v>
      </c>
      <c r="CG66" s="566">
        <v>127535386.38949901</v>
      </c>
      <c r="CH66" s="566">
        <v>422733210.96222907</v>
      </c>
      <c r="CI66" s="566">
        <v>47235328.292407058</v>
      </c>
      <c r="CJ66" s="566">
        <v>10392.122157468702</v>
      </c>
      <c r="CK66" s="566">
        <v>753104657.65172017</v>
      </c>
      <c r="CL66" s="566"/>
      <c r="CM66" s="566">
        <v>85757363.865553409</v>
      </c>
      <c r="CN66" s="566">
        <v>77097824.908797756</v>
      </c>
      <c r="CO66" s="566">
        <v>1160.7599532133647</v>
      </c>
      <c r="CP66" s="566">
        <v>484989532.74821109</v>
      </c>
      <c r="CQ66" s="566"/>
      <c r="CR66" s="566">
        <v>55337786.421906509</v>
      </c>
      <c r="CS66" s="566">
        <v>10081564.268017162</v>
      </c>
      <c r="CT66" s="566">
        <v>1271.031289218738</v>
      </c>
      <c r="CU66" s="566">
        <v>1165828273.104938</v>
      </c>
      <c r="CV66" s="566"/>
      <c r="CW66" s="566">
        <v>132258432.62402157</v>
      </c>
      <c r="CX66" s="566">
        <v>4194800.0206095716</v>
      </c>
      <c r="CY66" s="552"/>
    </row>
    <row r="67" spans="1:103" ht="12.75" customHeight="1" x14ac:dyDescent="0.3">
      <c r="A67" s="29"/>
      <c r="B67" s="6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131"/>
      <c r="Y67" s="436"/>
      <c r="Z67" s="29"/>
      <c r="AA67" s="282"/>
      <c r="AB67" s="282"/>
      <c r="AC67" s="282"/>
      <c r="AD67" s="282"/>
      <c r="AE67" s="282"/>
      <c r="AF67" s="282"/>
      <c r="AG67" s="282"/>
      <c r="AH67" s="282"/>
      <c r="AI67" s="282"/>
      <c r="AJ67" s="282"/>
      <c r="AK67" s="282"/>
      <c r="AL67" s="282"/>
      <c r="AM67" s="282"/>
      <c r="AN67" s="282"/>
      <c r="AO67" s="282"/>
      <c r="AP67" s="29"/>
      <c r="AQ67" s="437"/>
      <c r="AR67" s="2"/>
      <c r="AS67" s="46" t="s">
        <v>1327</v>
      </c>
      <c r="AT67" s="2"/>
      <c r="AU67" s="2"/>
      <c r="AV67" s="2"/>
      <c r="AW67" s="2"/>
      <c r="AX67" s="5" t="s">
        <v>1360</v>
      </c>
      <c r="AY67" s="73" t="str">
        <f>ChemName</f>
        <v>default substance</v>
      </c>
      <c r="AZ67" s="2"/>
      <c r="BA67" s="5" t="s">
        <v>809</v>
      </c>
      <c r="BB67" s="227" t="str">
        <f>ScenarioName</f>
        <v>default scenario</v>
      </c>
      <c r="BC67" s="2"/>
      <c r="BD67" s="5" t="s">
        <v>1213</v>
      </c>
      <c r="BE67" s="227" t="str">
        <f>CaseName</f>
        <v>defaults only</v>
      </c>
      <c r="BF67" s="2"/>
      <c r="BG67" s="2"/>
      <c r="BH67" s="2"/>
      <c r="BI67" s="2"/>
      <c r="BJ67" s="2"/>
      <c r="BK67" s="2"/>
      <c r="BL67"/>
      <c r="BM67" s="562"/>
      <c r="BN67" s="591">
        <v>54</v>
      </c>
      <c r="BO67" s="549" t="s">
        <v>1910</v>
      </c>
      <c r="BP67" s="549" t="s">
        <v>2408</v>
      </c>
      <c r="BQ67" s="550" t="s">
        <v>2408</v>
      </c>
      <c r="BR67" s="566">
        <v>335804.94782712025</v>
      </c>
      <c r="BS67" s="566"/>
      <c r="BT67" s="566">
        <v>1595434.4877514264</v>
      </c>
      <c r="BU67" s="566">
        <v>62063.065384581285</v>
      </c>
      <c r="BV67" s="566">
        <v>6282460.9019893305</v>
      </c>
      <c r="BW67" s="566">
        <v>82452.327350223408</v>
      </c>
      <c r="BX67" s="566">
        <v>372092.62866967887</v>
      </c>
      <c r="BY67" s="566">
        <v>2613987448.2559743</v>
      </c>
      <c r="BZ67" s="566">
        <v>137812.0846924737</v>
      </c>
      <c r="CA67" s="566">
        <v>628693.18683801568</v>
      </c>
      <c r="CB67" s="566">
        <v>5.3966101881735842E-30</v>
      </c>
      <c r="CC67" s="566">
        <v>7892.3271305108792</v>
      </c>
      <c r="CD67" s="566">
        <v>8433833.3882420659</v>
      </c>
      <c r="CE67" s="566">
        <v>31078.202836787037</v>
      </c>
      <c r="CF67" s="566">
        <v>560227.88033068937</v>
      </c>
      <c r="CG67" s="566">
        <v>258467.93825500153</v>
      </c>
      <c r="CH67" s="566">
        <v>2284488.8591522868</v>
      </c>
      <c r="CI67" s="566">
        <v>95728.866020370901</v>
      </c>
      <c r="CJ67" s="566">
        <v>233769.56055892084</v>
      </c>
      <c r="CK67" s="566">
        <v>56666821.716065913</v>
      </c>
      <c r="CL67" s="566"/>
      <c r="CM67" s="566">
        <v>760428.12120854808</v>
      </c>
      <c r="CN67" s="566">
        <v>344952.69354876946</v>
      </c>
      <c r="CO67" s="566">
        <v>32005.899551416514</v>
      </c>
      <c r="CP67" s="566">
        <v>27621572.045059923</v>
      </c>
      <c r="CQ67" s="566"/>
      <c r="CR67" s="566">
        <v>371193.65805125539</v>
      </c>
      <c r="CS67" s="566">
        <v>143538.03182195954</v>
      </c>
      <c r="CT67" s="566">
        <v>63429.288520682545</v>
      </c>
      <c r="CU67" s="566">
        <v>28197071.159850731</v>
      </c>
      <c r="CV67" s="566"/>
      <c r="CW67" s="566">
        <v>377373.58849559928</v>
      </c>
      <c r="CX67" s="566">
        <v>28084.001822654413</v>
      </c>
      <c r="CY67" s="552"/>
    </row>
    <row r="68" spans="1:103" ht="12.75" customHeight="1" x14ac:dyDescent="0.3">
      <c r="A68" s="29"/>
      <c r="B68" s="6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131"/>
      <c r="Y68" s="436"/>
      <c r="Z68" s="29"/>
      <c r="AA68" s="282"/>
      <c r="AB68" s="282"/>
      <c r="AC68" s="282"/>
      <c r="AD68" s="282"/>
      <c r="AE68" s="282"/>
      <c r="AF68" s="282"/>
      <c r="AG68" s="282"/>
      <c r="AH68" s="282"/>
      <c r="AI68" s="282"/>
      <c r="AJ68" s="282"/>
      <c r="AK68" s="282"/>
      <c r="AL68" s="282"/>
      <c r="AM68" s="282"/>
      <c r="AN68" s="282"/>
      <c r="AO68" s="282"/>
      <c r="AP68" s="29"/>
      <c r="AQ68" s="437"/>
      <c r="AR68" s="2"/>
      <c r="AS68" s="46"/>
      <c r="AT68" s="2"/>
      <c r="AU68" s="2"/>
      <c r="AV68" s="2"/>
      <c r="AW68" s="2"/>
      <c r="AX68" s="2"/>
      <c r="AY68" s="75"/>
      <c r="AZ68" s="2"/>
      <c r="BA68" s="75"/>
      <c r="BB68" s="75"/>
      <c r="BC68" s="2"/>
      <c r="BD68" s="2"/>
      <c r="BE68" s="2"/>
      <c r="BF68" s="2"/>
      <c r="BG68" s="2"/>
      <c r="BH68" s="2"/>
      <c r="BI68" s="2"/>
      <c r="BJ68" s="2"/>
      <c r="BK68" s="2"/>
      <c r="BL68"/>
      <c r="BM68" s="562"/>
      <c r="BN68" s="591">
        <v>55</v>
      </c>
      <c r="BO68" s="549" t="s">
        <v>1926</v>
      </c>
      <c r="BP68" s="549" t="s">
        <v>2408</v>
      </c>
      <c r="BQ68" s="550" t="s">
        <v>2408</v>
      </c>
      <c r="BR68" s="566">
        <v>146.13024255491976</v>
      </c>
      <c r="BS68" s="566"/>
      <c r="BT68" s="566">
        <v>5433711.398862713</v>
      </c>
      <c r="BU68" s="566">
        <v>232479.61869379375</v>
      </c>
      <c r="BV68" s="566">
        <v>351089.32231245784</v>
      </c>
      <c r="BW68" s="566">
        <v>4241.5745925738865</v>
      </c>
      <c r="BX68" s="566">
        <v>1066235.8651110684</v>
      </c>
      <c r="BY68" s="566">
        <v>6859033.8711265856</v>
      </c>
      <c r="BZ68" s="566">
        <v>394902.17226335866</v>
      </c>
      <c r="CA68" s="566">
        <v>0.140295566929481</v>
      </c>
      <c r="CB68" s="566">
        <v>1.1738931120835349E-32</v>
      </c>
      <c r="CC68" s="566">
        <v>142.81223317302909</v>
      </c>
      <c r="CD68" s="566">
        <v>1304811.9207940123</v>
      </c>
      <c r="CE68" s="566">
        <v>9.2275512043466072</v>
      </c>
      <c r="CF68" s="566">
        <v>1190.3101705051024</v>
      </c>
      <c r="CG68" s="566">
        <v>530.46363920858425</v>
      </c>
      <c r="CH68" s="566">
        <v>1275.2400041714816</v>
      </c>
      <c r="CI68" s="566">
        <v>196.46801452169782</v>
      </c>
      <c r="CJ68" s="566">
        <v>1.9876201294908843E-5</v>
      </c>
      <c r="CK68" s="566">
        <v>186540.7787670914</v>
      </c>
      <c r="CL68" s="566"/>
      <c r="CM68" s="566">
        <v>34.032837496094352</v>
      </c>
      <c r="CN68" s="566">
        <v>0.26974208728753934</v>
      </c>
      <c r="CO68" s="566">
        <v>2.9021284842712559E-9</v>
      </c>
      <c r="CP68" s="566">
        <v>4974.8711392222122</v>
      </c>
      <c r="CQ68" s="566"/>
      <c r="CR68" s="566">
        <v>0.91595455950743299</v>
      </c>
      <c r="CS68" s="566">
        <v>7.5001923315118422E-5</v>
      </c>
      <c r="CT68" s="566">
        <v>2.1279415793360891E-9</v>
      </c>
      <c r="CU68" s="566">
        <v>855.90461943836692</v>
      </c>
      <c r="CV68" s="566"/>
      <c r="CW68" s="566">
        <v>0.15350189759348157</v>
      </c>
      <c r="CX68" s="566">
        <v>8.1869143777078115E-6</v>
      </c>
      <c r="CY68" s="552"/>
    </row>
    <row r="69" spans="1:103" ht="12.75" customHeight="1" x14ac:dyDescent="0.3">
      <c r="A69" s="29"/>
      <c r="B69" s="6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131"/>
      <c r="Y69" s="436"/>
      <c r="Z69" s="29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282"/>
      <c r="AL69" s="282"/>
      <c r="AM69" s="282"/>
      <c r="AN69" s="282"/>
      <c r="AO69" s="282"/>
      <c r="AP69" s="29"/>
      <c r="AQ69" s="437"/>
      <c r="AR69" s="2"/>
      <c r="AS69" s="46"/>
      <c r="AT69" s="2"/>
      <c r="AU69" s="2"/>
      <c r="AV69" s="2"/>
      <c r="AW69" s="2"/>
      <c r="AX69" s="5"/>
      <c r="AY69" s="75"/>
      <c r="AZ69" s="73"/>
      <c r="BA69" s="5"/>
      <c r="BB69" s="227"/>
      <c r="BC69" s="2"/>
      <c r="BD69" s="5"/>
      <c r="BE69" s="227"/>
      <c r="BF69" s="2"/>
      <c r="BG69" s="2"/>
      <c r="BH69" s="2"/>
      <c r="BI69" s="2"/>
      <c r="BJ69" s="2"/>
      <c r="BK69" s="2"/>
      <c r="BL69"/>
      <c r="BM69" s="562"/>
      <c r="BN69" s="591">
        <v>56</v>
      </c>
      <c r="BO69" s="549" t="s">
        <v>1767</v>
      </c>
      <c r="BP69" s="549" t="s">
        <v>2408</v>
      </c>
      <c r="BQ69" s="550" t="s">
        <v>2408</v>
      </c>
      <c r="BR69" s="566">
        <v>2.6384423047481058</v>
      </c>
      <c r="BS69" s="566"/>
      <c r="BT69" s="566">
        <v>9448845.8640332166</v>
      </c>
      <c r="BU69" s="566">
        <v>460884.40969990223</v>
      </c>
      <c r="BV69" s="566">
        <v>202496.04411687603</v>
      </c>
      <c r="BW69" s="566">
        <v>2934.4158358027066</v>
      </c>
      <c r="BX69" s="566">
        <v>701205.67972356244</v>
      </c>
      <c r="BY69" s="566">
        <v>10903373.753121192</v>
      </c>
      <c r="BZ69" s="566">
        <v>259705.80730502296</v>
      </c>
      <c r="CA69" s="566">
        <v>1.6565870673712803E-4</v>
      </c>
      <c r="CB69" s="566">
        <v>2.1200442160438861E-34</v>
      </c>
      <c r="CC69" s="566">
        <v>65.334651992216152</v>
      </c>
      <c r="CD69" s="566">
        <v>30576904.102965269</v>
      </c>
      <c r="CE69" s="566">
        <v>1.4001719112104716</v>
      </c>
      <c r="CF69" s="566">
        <v>9734.0406532719699</v>
      </c>
      <c r="CG69" s="566">
        <v>22.814480323089963</v>
      </c>
      <c r="CH69" s="566">
        <v>132.66438284795285</v>
      </c>
      <c r="CI69" s="566">
        <v>8.4498075270703517</v>
      </c>
      <c r="CJ69" s="566">
        <v>1.6131918348158929E-9</v>
      </c>
      <c r="CK69" s="566">
        <v>589220325.23317575</v>
      </c>
      <c r="CL69" s="566"/>
      <c r="CM69" s="566">
        <v>37893.734773686541</v>
      </c>
      <c r="CN69" s="566">
        <v>7.9741790806167655E-4</v>
      </c>
      <c r="CO69" s="566">
        <v>6.4089663559154734E-11</v>
      </c>
      <c r="CP69" s="566">
        <v>378430191.94241208</v>
      </c>
      <c r="CQ69" s="566"/>
      <c r="CR69" s="566">
        <v>24452.337460527491</v>
      </c>
      <c r="CS69" s="566">
        <v>1.7643051856869988E-5</v>
      </c>
      <c r="CT69" s="566">
        <v>1.1478871094264674E-10</v>
      </c>
      <c r="CU69" s="566">
        <v>903257942.81920457</v>
      </c>
      <c r="CV69" s="566"/>
      <c r="CW69" s="566">
        <v>57584.399030036293</v>
      </c>
      <c r="CX69" s="566">
        <v>4.0468095960291667E-5</v>
      </c>
      <c r="CY69" s="552"/>
    </row>
    <row r="70" spans="1:103" ht="12.75" customHeight="1" x14ac:dyDescent="0.3">
      <c r="A70" s="29"/>
      <c r="B70" s="6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131"/>
      <c r="Y70" s="436"/>
      <c r="Z70" s="29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282"/>
      <c r="AL70" s="282"/>
      <c r="AM70" s="282"/>
      <c r="AN70" s="282"/>
      <c r="AO70" s="282"/>
      <c r="AP70" s="29"/>
      <c r="AQ70" s="437"/>
      <c r="AR70" s="2"/>
      <c r="AS70" s="2"/>
      <c r="AT70" s="2"/>
      <c r="AU70" s="2"/>
      <c r="AV70" s="75"/>
      <c r="AW70" s="54"/>
      <c r="AX70" s="2"/>
      <c r="AY70" s="75"/>
      <c r="AZ70" s="2"/>
      <c r="BA70" s="75"/>
      <c r="BB70" s="75"/>
      <c r="BC70" s="2"/>
      <c r="BD70" s="2"/>
      <c r="BE70" s="2"/>
      <c r="BF70" s="2"/>
      <c r="BG70" s="75"/>
      <c r="BH70" s="75"/>
      <c r="BI70" s="75"/>
      <c r="BJ70" s="2"/>
      <c r="BK70" s="2"/>
      <c r="BL70"/>
      <c r="BM70" s="562"/>
      <c r="BN70" s="591">
        <v>57</v>
      </c>
      <c r="BO70" s="549" t="s">
        <v>1534</v>
      </c>
      <c r="BP70" s="549" t="s">
        <v>2408</v>
      </c>
      <c r="BQ70" s="550" t="s">
        <v>2408</v>
      </c>
      <c r="BR70" s="566">
        <v>313412.96685107338</v>
      </c>
      <c r="BS70" s="566"/>
      <c r="BT70" s="566">
        <v>15500726.5830938</v>
      </c>
      <c r="BU70" s="566">
        <v>653001.5362583159</v>
      </c>
      <c r="BV70" s="566">
        <v>147073.54414253068</v>
      </c>
      <c r="BW70" s="566">
        <v>1882.7914167161116</v>
      </c>
      <c r="BX70" s="566">
        <v>149329.38214527859</v>
      </c>
      <c r="BY70" s="566">
        <v>20446436.019684136</v>
      </c>
      <c r="BZ70" s="566">
        <v>55307.178572325385</v>
      </c>
      <c r="CA70" s="566">
        <v>354684.37644241739</v>
      </c>
      <c r="CB70" s="566">
        <v>1.8636209466753298E-29</v>
      </c>
      <c r="CC70" s="566">
        <v>341390.54887026217</v>
      </c>
      <c r="CD70" s="566">
        <v>8018666.0620637918</v>
      </c>
      <c r="CE70" s="566">
        <v>3239.1718988112052</v>
      </c>
      <c r="CF70" s="566">
        <v>1156.0061345088625</v>
      </c>
      <c r="CG70" s="566">
        <v>80381.715343210613</v>
      </c>
      <c r="CH70" s="566">
        <v>646758.65478754416</v>
      </c>
      <c r="CI70" s="566">
        <v>29771.005682670591</v>
      </c>
      <c r="CJ70" s="566">
        <v>62832.334151578827</v>
      </c>
      <c r="CK70" s="566">
        <v>2084080.4966939434</v>
      </c>
      <c r="CL70" s="566"/>
      <c r="CM70" s="566">
        <v>60.087490534279326</v>
      </c>
      <c r="CN70" s="566">
        <v>51109.550350327765</v>
      </c>
      <c r="CO70" s="566">
        <v>3050.377080477997</v>
      </c>
      <c r="CP70" s="566">
        <v>316183.73700437258</v>
      </c>
      <c r="CQ70" s="566"/>
      <c r="CR70" s="566">
        <v>9.2085945366000068</v>
      </c>
      <c r="CS70" s="566">
        <v>7885.6486733665115</v>
      </c>
      <c r="CT70" s="566">
        <v>4938.7702735366238</v>
      </c>
      <c r="CU70" s="566">
        <v>49299.596828199741</v>
      </c>
      <c r="CV70" s="566"/>
      <c r="CW70" s="566">
        <v>1.3947688277795125</v>
      </c>
      <c r="CX70" s="566">
        <v>1174.5815813029178</v>
      </c>
      <c r="CY70" s="552"/>
    </row>
    <row r="71" spans="1:103" ht="12.75" customHeight="1" x14ac:dyDescent="0.3">
      <c r="A71" s="29"/>
      <c r="B71" s="6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131"/>
      <c r="Y71" s="436"/>
      <c r="Z71" s="29"/>
      <c r="AA71" s="282"/>
      <c r="AB71" s="282"/>
      <c r="AC71" s="282"/>
      <c r="AD71" s="282"/>
      <c r="AE71" s="282"/>
      <c r="AF71" s="282"/>
      <c r="AG71" s="282"/>
      <c r="AH71" s="282"/>
      <c r="AI71" s="282"/>
      <c r="AJ71" s="282"/>
      <c r="AK71" s="282"/>
      <c r="AL71" s="282"/>
      <c r="AM71" s="282"/>
      <c r="AN71" s="282"/>
      <c r="AO71" s="282"/>
      <c r="AP71" s="29"/>
      <c r="AQ71" s="437"/>
      <c r="AR71" s="2"/>
      <c r="AS71" s="2"/>
      <c r="AT71" s="2"/>
      <c r="AU71" s="2"/>
      <c r="AV71" s="75"/>
      <c r="AW71" s="54"/>
      <c r="AX71" s="75"/>
      <c r="AY71" s="75"/>
      <c r="AZ71" s="75"/>
      <c r="BA71" s="75"/>
      <c r="BB71" s="75"/>
      <c r="BC71" s="2"/>
      <c r="BD71" s="2"/>
      <c r="BE71" s="2"/>
      <c r="BF71" s="2"/>
      <c r="BG71" s="75"/>
      <c r="BH71" s="75"/>
      <c r="BI71" s="75"/>
      <c r="BJ71" s="2"/>
      <c r="BK71" s="2"/>
      <c r="BL71"/>
      <c r="BM71" s="562"/>
      <c r="BN71" s="591">
        <v>58</v>
      </c>
      <c r="BO71" s="549" t="s">
        <v>1862</v>
      </c>
      <c r="BP71" s="549" t="s">
        <v>2408</v>
      </c>
      <c r="BQ71" s="550" t="s">
        <v>2408</v>
      </c>
      <c r="BR71" s="566">
        <v>311178.35912164784</v>
      </c>
      <c r="BS71" s="566"/>
      <c r="BT71" s="566">
        <v>32379164.970685154</v>
      </c>
      <c r="BU71" s="566">
        <v>1569906.3634858546</v>
      </c>
      <c r="BV71" s="566">
        <v>874771.29155622283</v>
      </c>
      <c r="BW71" s="566">
        <v>12487.535008836607</v>
      </c>
      <c r="BX71" s="566">
        <v>658556.62437175575</v>
      </c>
      <c r="BY71" s="566">
        <v>47307380.63783972</v>
      </c>
      <c r="BZ71" s="566">
        <v>243909.86087842807</v>
      </c>
      <c r="CA71" s="566">
        <v>372598.80996406742</v>
      </c>
      <c r="CB71" s="566">
        <v>1.8128727550992833E-29</v>
      </c>
      <c r="CC71" s="566">
        <v>846606.06966417679</v>
      </c>
      <c r="CD71" s="566">
        <v>149506039.55104455</v>
      </c>
      <c r="CE71" s="566">
        <v>22872.321928930778</v>
      </c>
      <c r="CF71" s="566">
        <v>59460.931758399121</v>
      </c>
      <c r="CG71" s="566">
        <v>375759.27546432038</v>
      </c>
      <c r="CH71" s="566">
        <v>2456179.3559535542</v>
      </c>
      <c r="CI71" s="566">
        <v>139170.10202382234</v>
      </c>
      <c r="CJ71" s="566">
        <v>111152.35009960894</v>
      </c>
      <c r="CK71" s="566">
        <v>2766547089.9538898</v>
      </c>
      <c r="CL71" s="566"/>
      <c r="CM71" s="566">
        <v>222280.31331639708</v>
      </c>
      <c r="CN71" s="566">
        <v>402337.5352840586</v>
      </c>
      <c r="CO71" s="566">
        <v>12047.877126477888</v>
      </c>
      <c r="CP71" s="566">
        <v>1776236704.8525031</v>
      </c>
      <c r="CQ71" s="566"/>
      <c r="CR71" s="566">
        <v>143544.47573319246</v>
      </c>
      <c r="CS71" s="566">
        <v>144565.65870402582</v>
      </c>
      <c r="CT71" s="566">
        <v>107865.05570832538</v>
      </c>
      <c r="CU71" s="566">
        <v>4013170943.9047818</v>
      </c>
      <c r="CV71" s="566"/>
      <c r="CW71" s="566">
        <v>318987.8914325909</v>
      </c>
      <c r="CX71" s="566">
        <v>111706.28021035636</v>
      </c>
      <c r="CY71" s="552"/>
    </row>
    <row r="72" spans="1:103" ht="12.75" customHeight="1" x14ac:dyDescent="0.3">
      <c r="A72" s="29"/>
      <c r="B72" s="6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131"/>
      <c r="Y72" s="436"/>
      <c r="Z72" s="29"/>
      <c r="AA72" s="282"/>
      <c r="AB72" s="282"/>
      <c r="AC72" s="282"/>
      <c r="AD72" s="282"/>
      <c r="AE72" s="282"/>
      <c r="AF72" s="282"/>
      <c r="AG72" s="282"/>
      <c r="AH72" s="282"/>
      <c r="AI72" s="282"/>
      <c r="AJ72" s="282"/>
      <c r="AK72" s="282"/>
      <c r="AL72" s="282"/>
      <c r="AM72" s="282"/>
      <c r="AN72" s="282"/>
      <c r="AO72" s="282"/>
      <c r="AP72" s="29"/>
      <c r="AQ72" s="437"/>
      <c r="AR72" s="2"/>
      <c r="AS72" s="2"/>
      <c r="AT72" s="2"/>
      <c r="AU72" s="2"/>
      <c r="AV72" s="75"/>
      <c r="AW72" s="54"/>
      <c r="AX72" s="295">
        <f>output!AG22</f>
        <v>0.12093154328226981</v>
      </c>
      <c r="AY72" s="75"/>
      <c r="AZ72" s="256">
        <f>output!AF22</f>
        <v>2.0515274925503283E-4</v>
      </c>
      <c r="BA72" s="75"/>
      <c r="BB72" s="75"/>
      <c r="BC72" s="2"/>
      <c r="BD72" s="2"/>
      <c r="BE72" s="2"/>
      <c r="BF72" s="2"/>
      <c r="BG72" s="75"/>
      <c r="BH72" s="75"/>
      <c r="BI72" s="75"/>
      <c r="BJ72" s="2"/>
      <c r="BK72" s="2"/>
      <c r="BL72"/>
      <c r="BM72" s="562"/>
      <c r="BN72" s="591">
        <v>59</v>
      </c>
      <c r="BO72" s="549" t="s">
        <v>905</v>
      </c>
      <c r="BP72" s="549" t="s">
        <v>2408</v>
      </c>
      <c r="BQ72" s="550" t="s">
        <v>2408</v>
      </c>
      <c r="BR72" s="566">
        <v>282.05887476635104</v>
      </c>
      <c r="BS72" s="566"/>
      <c r="BT72" s="566">
        <v>24237651.864181537</v>
      </c>
      <c r="BU72" s="566">
        <v>1183313.5039878695</v>
      </c>
      <c r="BV72" s="566">
        <v>1931632.9274467966</v>
      </c>
      <c r="BW72" s="566">
        <v>26325.994477160773</v>
      </c>
      <c r="BX72" s="566">
        <v>4651990.5924631413</v>
      </c>
      <c r="BY72" s="566">
        <v>38671755.192761943</v>
      </c>
      <c r="BZ72" s="566">
        <v>1722959.4786900519</v>
      </c>
      <c r="CA72" s="566">
        <v>0.55164370880596802</v>
      </c>
      <c r="CB72" s="566">
        <v>2.2658513563445874E-32</v>
      </c>
      <c r="CC72" s="566">
        <v>2833.3997904517119</v>
      </c>
      <c r="CD72" s="566">
        <v>78589418.912825257</v>
      </c>
      <c r="CE72" s="566">
        <v>225.80934665315183</v>
      </c>
      <c r="CF72" s="566">
        <v>87421.659656962816</v>
      </c>
      <c r="CG72" s="566">
        <v>4714.7234025685457</v>
      </c>
      <c r="CH72" s="566">
        <v>14638.667538197169</v>
      </c>
      <c r="CI72" s="566">
        <v>1746.1938528031651</v>
      </c>
      <c r="CJ72" s="566">
        <v>5.3342098798751835E-4</v>
      </c>
      <c r="CK72" s="566">
        <v>1514888242.5959582</v>
      </c>
      <c r="CL72" s="566"/>
      <c r="CM72" s="566">
        <v>340428.44243457518</v>
      </c>
      <c r="CN72" s="566">
        <v>16.363315510232066</v>
      </c>
      <c r="CO72" s="566">
        <v>2.5922424309182814E-4</v>
      </c>
      <c r="CP72" s="566">
        <v>972960013.84674072</v>
      </c>
      <c r="CQ72" s="566"/>
      <c r="CR72" s="566">
        <v>218966.04003109987</v>
      </c>
      <c r="CS72" s="566">
        <v>5.7685994520265629</v>
      </c>
      <c r="CT72" s="566">
        <v>5.4221619041731764E-4</v>
      </c>
      <c r="CU72" s="566">
        <v>2322768191.618084</v>
      </c>
      <c r="CV72" s="566"/>
      <c r="CW72" s="566">
        <v>520551.57809092058</v>
      </c>
      <c r="CX72" s="566">
        <v>9.4720232911381039</v>
      </c>
      <c r="CY72" s="552"/>
    </row>
    <row r="73" spans="1:103" ht="12.75" customHeight="1" x14ac:dyDescent="0.3">
      <c r="A73" s="29"/>
      <c r="B73" s="6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131"/>
      <c r="Y73" s="436"/>
      <c r="Z73" s="29"/>
      <c r="AA73" s="282"/>
      <c r="AB73" s="282"/>
      <c r="AC73" s="282"/>
      <c r="AD73" s="282"/>
      <c r="AE73" s="282"/>
      <c r="AF73" s="282"/>
      <c r="AG73" s="282"/>
      <c r="AH73" s="282"/>
      <c r="AI73" s="282"/>
      <c r="AJ73" s="282"/>
      <c r="AK73" s="282"/>
      <c r="AL73" s="282"/>
      <c r="AM73" s="282"/>
      <c r="AN73" s="282"/>
      <c r="AO73" s="282"/>
      <c r="AP73" s="29"/>
      <c r="AQ73" s="437"/>
      <c r="AR73" s="2"/>
      <c r="AS73" s="278">
        <f>output!AD22</f>
        <v>1.0602653720892681</v>
      </c>
      <c r="AT73" s="81"/>
      <c r="AU73" s="2"/>
      <c r="AV73" s="75"/>
      <c r="AW73" s="49"/>
      <c r="AX73" s="302"/>
      <c r="AY73" s="75"/>
      <c r="AZ73" s="75"/>
      <c r="BA73" s="75"/>
      <c r="BB73" s="75"/>
      <c r="BC73" s="2"/>
      <c r="BD73" s="2"/>
      <c r="BE73" s="2"/>
      <c r="BF73" s="2"/>
      <c r="BG73" s="75"/>
      <c r="BH73" s="75"/>
      <c r="BI73" s="75"/>
      <c r="BJ73" s="2"/>
      <c r="BK73" s="2"/>
      <c r="BL73"/>
      <c r="BM73" s="562"/>
      <c r="BN73" s="591">
        <v>60</v>
      </c>
      <c r="BO73" s="549" t="s">
        <v>1877</v>
      </c>
      <c r="BP73" s="549" t="s">
        <v>2408</v>
      </c>
      <c r="BQ73" s="550" t="s">
        <v>2408</v>
      </c>
      <c r="BR73" s="566">
        <v>0.17144048621636457</v>
      </c>
      <c r="BS73" s="566"/>
      <c r="BT73" s="566">
        <v>32289413.46550452</v>
      </c>
      <c r="BU73" s="566">
        <v>1574283.2812938322</v>
      </c>
      <c r="BV73" s="566">
        <v>257543.17316220951</v>
      </c>
      <c r="BW73" s="566">
        <v>3828.1246924548263</v>
      </c>
      <c r="BX73" s="566">
        <v>296719.31282698805</v>
      </c>
      <c r="BY73" s="566">
        <v>6539435.8934743069</v>
      </c>
      <c r="BZ73" s="566">
        <v>109896.0417877734</v>
      </c>
      <c r="CA73" s="566">
        <v>2.4535663024489573E-7</v>
      </c>
      <c r="CB73" s="566">
        <v>1.3775758015425127E-35</v>
      </c>
      <c r="CC73" s="566">
        <v>5.941396391272475</v>
      </c>
      <c r="CD73" s="566">
        <v>104456380.7958751</v>
      </c>
      <c r="CE73" s="566">
        <v>4.7389094919841855E-2</v>
      </c>
      <c r="CF73" s="566">
        <v>12700.130127803841</v>
      </c>
      <c r="CG73" s="566">
        <v>0.22005371960905587</v>
      </c>
      <c r="CH73" s="566">
        <v>1.8137112797648127</v>
      </c>
      <c r="CI73" s="566">
        <v>8.1501377632983638E-2</v>
      </c>
      <c r="CJ73" s="566">
        <v>2.6712481742860394E-13</v>
      </c>
      <c r="CK73" s="566">
        <v>2013327737.2690356</v>
      </c>
      <c r="CL73" s="566"/>
      <c r="CM73" s="566">
        <v>49451.325372394807</v>
      </c>
      <c r="CN73" s="566">
        <v>8.5990170342883716E-7</v>
      </c>
      <c r="CO73" s="566">
        <v>1.5789021705964165E-13</v>
      </c>
      <c r="CP73" s="566">
        <v>1293085322.3893926</v>
      </c>
      <c r="CQ73" s="566"/>
      <c r="CR73" s="566">
        <v>31819.832833335495</v>
      </c>
      <c r="CS73" s="566">
        <v>2.66341031044272E-7</v>
      </c>
      <c r="CT73" s="566">
        <v>2.8288200551013925E-13</v>
      </c>
      <c r="CU73" s="566">
        <v>3086839729.17663</v>
      </c>
      <c r="CV73" s="566"/>
      <c r="CW73" s="566">
        <v>75556.635097721533</v>
      </c>
      <c r="CX73" s="566">
        <v>6.8092524562846817E-7</v>
      </c>
      <c r="CY73" s="552"/>
    </row>
    <row r="74" spans="1:103" ht="12.75" customHeight="1" x14ac:dyDescent="0.3">
      <c r="A74" s="29"/>
      <c r="B74" s="6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131"/>
      <c r="Y74" s="436"/>
      <c r="Z74" s="29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282"/>
      <c r="AL74" s="282"/>
      <c r="AM74" s="282"/>
      <c r="AN74" s="282"/>
      <c r="AO74" s="282"/>
      <c r="AP74" s="29"/>
      <c r="AQ74" s="437"/>
      <c r="AR74" s="2"/>
      <c r="AS74" s="302"/>
      <c r="AT74" s="83"/>
      <c r="AU74" s="278">
        <f>output!AE22</f>
        <v>0.92739525707541226</v>
      </c>
      <c r="AV74" s="75"/>
      <c r="AW74" s="49"/>
      <c r="AX74" s="302"/>
      <c r="AY74" s="293" t="s">
        <v>446</v>
      </c>
      <c r="AZ74" s="2"/>
      <c r="BA74" s="75"/>
      <c r="BB74" s="75"/>
      <c r="BC74" s="2"/>
      <c r="BD74" s="29"/>
      <c r="BE74" s="2"/>
      <c r="BF74" s="2"/>
      <c r="BG74" s="75"/>
      <c r="BH74" s="75"/>
      <c r="BI74" s="75"/>
      <c r="BJ74" s="2"/>
      <c r="BK74" s="2"/>
      <c r="BL74"/>
      <c r="BM74" s="562"/>
      <c r="BN74" s="591">
        <v>61</v>
      </c>
      <c r="BO74" s="549" t="s">
        <v>1917</v>
      </c>
      <c r="BP74" s="549" t="s">
        <v>2408</v>
      </c>
      <c r="BQ74" s="550" t="s">
        <v>2408</v>
      </c>
      <c r="BR74" s="566">
        <v>310277.90990780346</v>
      </c>
      <c r="BS74" s="566"/>
      <c r="BT74" s="566">
        <v>23744599.083640736</v>
      </c>
      <c r="BU74" s="566">
        <v>1146930.1118666525</v>
      </c>
      <c r="BV74" s="566">
        <v>535949.93945381872</v>
      </c>
      <c r="BW74" s="566">
        <v>7676.3935523744985</v>
      </c>
      <c r="BX74" s="566">
        <v>315930.11953389266</v>
      </c>
      <c r="BY74" s="566">
        <v>35899380.559542343</v>
      </c>
      <c r="BZ74" s="566">
        <v>117011.15538292317</v>
      </c>
      <c r="CA74" s="566">
        <v>402300.17593512515</v>
      </c>
      <c r="CB74" s="566">
        <v>1.7188498664630171E-29</v>
      </c>
      <c r="CC74" s="566">
        <v>537544.25059232826</v>
      </c>
      <c r="CD74" s="566">
        <v>115295705.27747346</v>
      </c>
      <c r="CE74" s="566">
        <v>12133.151102862637</v>
      </c>
      <c r="CF74" s="566">
        <v>38583.659084860097</v>
      </c>
      <c r="CG74" s="566">
        <v>188948.75097039377</v>
      </c>
      <c r="CH74" s="566">
        <v>1315761.7449475594</v>
      </c>
      <c r="CI74" s="566">
        <v>69981.01887792362</v>
      </c>
      <c r="CJ74" s="566">
        <v>135547.46564904536</v>
      </c>
      <c r="CK74" s="566">
        <v>2046887476.9589443</v>
      </c>
      <c r="CL74" s="566"/>
      <c r="CM74" s="566">
        <v>138380.30373765706</v>
      </c>
      <c r="CN74" s="566">
        <v>228501.39732064732</v>
      </c>
      <c r="CO74" s="566">
        <v>16168.135485429604</v>
      </c>
      <c r="CP74" s="566">
        <v>1312266400.7406511</v>
      </c>
      <c r="CQ74" s="566"/>
      <c r="CR74" s="566">
        <v>89155.13153095961</v>
      </c>
      <c r="CS74" s="566">
        <v>89850.649057472794</v>
      </c>
      <c r="CT74" s="566">
        <v>134694.12601996181</v>
      </c>
      <c r="CU74" s="566">
        <v>2858348075.4038877</v>
      </c>
      <c r="CV74" s="566"/>
      <c r="CW74" s="566">
        <v>191476.75606079525</v>
      </c>
      <c r="CX74" s="566">
        <v>65279.990218641316</v>
      </c>
      <c r="CY74" s="552"/>
    </row>
    <row r="75" spans="1:103" ht="12.75" customHeight="1" x14ac:dyDescent="0.3">
      <c r="A75" s="29"/>
      <c r="B75" s="6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131"/>
      <c r="Y75" s="436"/>
      <c r="Z75" s="29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282"/>
      <c r="AL75" s="282"/>
      <c r="AM75" s="282"/>
      <c r="AN75" s="282"/>
      <c r="AO75" s="282"/>
      <c r="AP75" s="29"/>
      <c r="AQ75" s="437"/>
      <c r="AR75" s="2"/>
      <c r="AS75" s="303">
        <f>output!AC22</f>
        <v>0</v>
      </c>
      <c r="AT75" s="75"/>
      <c r="AU75" s="302"/>
      <c r="AV75" s="75"/>
      <c r="AW75" s="49"/>
      <c r="AX75" s="302"/>
      <c r="AY75" s="300">
        <f>IF(ISERROR(output!F11),0,output!F11)</f>
        <v>0.75600315949413854</v>
      </c>
      <c r="AZ75" s="75"/>
      <c r="BA75" s="75"/>
      <c r="BB75" s="75"/>
      <c r="BC75" s="2"/>
      <c r="BD75" s="29"/>
      <c r="BE75" s="2"/>
      <c r="BF75" s="2"/>
      <c r="BG75" s="75"/>
      <c r="BH75" s="75"/>
      <c r="BI75" s="75"/>
      <c r="BJ75" s="2"/>
      <c r="BK75" s="2"/>
      <c r="BL75"/>
      <c r="BM75" s="562"/>
      <c r="BN75" s="591">
        <v>62</v>
      </c>
      <c r="BO75" s="549" t="s">
        <v>902</v>
      </c>
      <c r="BP75" s="549" t="s">
        <v>2408</v>
      </c>
      <c r="BQ75" s="550" t="s">
        <v>2408</v>
      </c>
      <c r="BR75" s="566">
        <v>564308.15909464576</v>
      </c>
      <c r="BS75" s="566"/>
      <c r="BT75" s="566">
        <v>1199498.1464668461</v>
      </c>
      <c r="BU75" s="566">
        <v>42805.292399420228</v>
      </c>
      <c r="BV75" s="566">
        <v>126754.30487571693</v>
      </c>
      <c r="BW75" s="566">
        <v>1243.799984222715</v>
      </c>
      <c r="BX75" s="566">
        <v>213.35884530805987</v>
      </c>
      <c r="BY75" s="566">
        <v>62320370.224207237</v>
      </c>
      <c r="BZ75" s="566">
        <v>79.021794558540705</v>
      </c>
      <c r="CA75" s="566">
        <v>3267391.508961088</v>
      </c>
      <c r="CB75" s="566">
        <v>3.7240136816552981E-31</v>
      </c>
      <c r="CC75" s="566">
        <v>401.08792098616169</v>
      </c>
      <c r="CD75" s="566">
        <v>1550728.1799073247</v>
      </c>
      <c r="CE75" s="566">
        <v>42.384076014120481</v>
      </c>
      <c r="CF75" s="566">
        <v>2252.987396633896</v>
      </c>
      <c r="CG75" s="566">
        <v>603.63603074529419</v>
      </c>
      <c r="CH75" s="566">
        <v>4524.4260616856382</v>
      </c>
      <c r="CI75" s="566">
        <v>223.56890027603492</v>
      </c>
      <c r="CJ75" s="566">
        <v>6780744.1901764013</v>
      </c>
      <c r="CK75" s="566">
        <v>14049432.982098231</v>
      </c>
      <c r="CL75" s="566"/>
      <c r="CM75" s="566">
        <v>4123.5580821950043</v>
      </c>
      <c r="CN75" s="566">
        <v>4496.2970408843048</v>
      </c>
      <c r="CO75" s="566">
        <v>2931079.3618256762</v>
      </c>
      <c r="CP75" s="566">
        <v>15054778.056280406</v>
      </c>
      <c r="CQ75" s="566"/>
      <c r="CR75" s="566">
        <v>4426.7204312921685</v>
      </c>
      <c r="CS75" s="566">
        <v>6114.6968072241571</v>
      </c>
      <c r="CT75" s="566">
        <v>6988497.2757264748</v>
      </c>
      <c r="CU75" s="566">
        <v>10100497.804684803</v>
      </c>
      <c r="CV75" s="566"/>
      <c r="CW75" s="566">
        <v>2954.4390066901528</v>
      </c>
      <c r="CX75" s="566">
        <v>1373.6014228168715</v>
      </c>
      <c r="CY75" s="552"/>
    </row>
    <row r="76" spans="1:103" ht="12.75" customHeight="1" x14ac:dyDescent="0.3">
      <c r="A76" s="29"/>
      <c r="B76" s="6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131"/>
      <c r="Y76" s="436"/>
      <c r="Z76" s="29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282"/>
      <c r="AL76" s="282"/>
      <c r="AM76" s="282"/>
      <c r="AN76" s="282"/>
      <c r="AO76" s="282"/>
      <c r="AP76" s="29"/>
      <c r="AQ76" s="437"/>
      <c r="AR76" s="2"/>
      <c r="AS76" s="302"/>
      <c r="AT76" s="75"/>
      <c r="AU76" s="302"/>
      <c r="AV76" s="75"/>
      <c r="AW76" s="49"/>
      <c r="AX76" s="49"/>
      <c r="AY76" s="49"/>
      <c r="AZ76" s="75"/>
      <c r="BA76" s="75"/>
      <c r="BB76" s="75"/>
      <c r="BC76" s="29" t="s">
        <v>2063</v>
      </c>
      <c r="BD76" s="2"/>
      <c r="BE76" s="2"/>
      <c r="BF76" s="2"/>
      <c r="BG76" s="75"/>
      <c r="BH76" s="75"/>
      <c r="BI76" s="74"/>
      <c r="BJ76" s="2"/>
      <c r="BK76" s="2"/>
      <c r="BL76"/>
      <c r="BM76" s="562"/>
      <c r="BN76" s="591">
        <v>63</v>
      </c>
      <c r="BO76" s="549" t="s">
        <v>1814</v>
      </c>
      <c r="BP76" s="549" t="s">
        <v>2408</v>
      </c>
      <c r="BQ76" s="550" t="s">
        <v>2408</v>
      </c>
      <c r="BR76" s="566">
        <v>375372.65837391571</v>
      </c>
      <c r="BS76" s="566"/>
      <c r="BT76" s="566">
        <v>2862988.3005161467</v>
      </c>
      <c r="BU76" s="566">
        <v>104585.53298998548</v>
      </c>
      <c r="BV76" s="566">
        <v>26094.18307183071</v>
      </c>
      <c r="BW76" s="566">
        <v>289.89816462005257</v>
      </c>
      <c r="BX76" s="566">
        <v>502.90947840951952</v>
      </c>
      <c r="BY76" s="566">
        <v>4382392.8459461499</v>
      </c>
      <c r="BZ76" s="566">
        <v>186.2627697813034</v>
      </c>
      <c r="CA76" s="566">
        <v>179878.88883159493</v>
      </c>
      <c r="CB76" s="566">
        <v>1.9999166271776329E-30</v>
      </c>
      <c r="CC76" s="566">
        <v>2240.0345519150842</v>
      </c>
      <c r="CD76" s="566">
        <v>4825560.3730430976</v>
      </c>
      <c r="CE76" s="566">
        <v>20.416385101664805</v>
      </c>
      <c r="CF76" s="566">
        <v>668.79283176880836</v>
      </c>
      <c r="CG76" s="566">
        <v>126.50487891181405</v>
      </c>
      <c r="CH76" s="566">
        <v>509.75731651369995</v>
      </c>
      <c r="CI76" s="566">
        <v>46.853658856227419</v>
      </c>
      <c r="CJ76" s="566">
        <v>17381.734924880977</v>
      </c>
      <c r="CK76" s="566">
        <v>19460599.228697434</v>
      </c>
      <c r="CL76" s="566"/>
      <c r="CM76" s="566">
        <v>544.86675334793426</v>
      </c>
      <c r="CN76" s="566">
        <v>43.875679665550585</v>
      </c>
      <c r="CO76" s="566">
        <v>1316.0222336575202</v>
      </c>
      <c r="CP76" s="566">
        <v>5600221.413290632</v>
      </c>
      <c r="CQ76" s="566"/>
      <c r="CR76" s="566">
        <v>157.12912389057442</v>
      </c>
      <c r="CS76" s="566">
        <v>12.071754278014414</v>
      </c>
      <c r="CT76" s="566">
        <v>2359.5886507061982</v>
      </c>
      <c r="CU76" s="566">
        <v>6955039.0755791506</v>
      </c>
      <c r="CV76" s="566"/>
      <c r="CW76" s="566">
        <v>193.96530256243386</v>
      </c>
      <c r="CX76" s="566">
        <v>1.5876963411690881</v>
      </c>
      <c r="CY76" s="552"/>
    </row>
    <row r="77" spans="1:103" ht="12.75" customHeight="1" x14ac:dyDescent="0.3">
      <c r="A77" s="29"/>
      <c r="B77" s="6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131"/>
      <c r="Y77" s="436"/>
      <c r="Z77" s="29"/>
      <c r="AA77" s="282"/>
      <c r="AB77" s="282"/>
      <c r="AC77" s="282"/>
      <c r="AD77" s="282"/>
      <c r="AE77" s="282"/>
      <c r="AF77" s="282"/>
      <c r="AG77" s="282"/>
      <c r="AH77" s="282"/>
      <c r="AI77" s="282"/>
      <c r="AJ77" s="282"/>
      <c r="AK77" s="282"/>
      <c r="AL77" s="282"/>
      <c r="AM77" s="282"/>
      <c r="AN77" s="282"/>
      <c r="AO77" s="282"/>
      <c r="AP77" s="29"/>
      <c r="AQ77" s="437"/>
      <c r="AR77" s="2"/>
      <c r="AS77" s="302"/>
      <c r="AT77" s="2"/>
      <c r="AU77" s="302"/>
      <c r="AV77" s="75"/>
      <c r="AW77" s="49"/>
      <c r="AX77" s="75"/>
      <c r="AY77" s="75"/>
      <c r="AZ77" s="75"/>
      <c r="BA77" s="75"/>
      <c r="BB77" s="2"/>
      <c r="BC77" s="29" t="s">
        <v>2064</v>
      </c>
      <c r="BD77" s="2"/>
      <c r="BE77" s="2"/>
      <c r="BF77" s="2"/>
      <c r="BG77" s="75"/>
      <c r="BH77" s="75"/>
      <c r="BI77" s="75"/>
      <c r="BJ77" s="2"/>
      <c r="BK77" s="2"/>
      <c r="BL77"/>
      <c r="BM77" s="562"/>
      <c r="BN77" s="591">
        <v>64</v>
      </c>
      <c r="BO77" s="549" t="s">
        <v>1759</v>
      </c>
      <c r="BP77" s="549" t="s">
        <v>2408</v>
      </c>
      <c r="BQ77" s="550" t="s">
        <v>2408</v>
      </c>
      <c r="BR77" s="566">
        <v>624216.85087911179</v>
      </c>
      <c r="BS77" s="566"/>
      <c r="BT77" s="566">
        <v>2679245.7768358267</v>
      </c>
      <c r="BU77" s="566">
        <v>98141.943978728508</v>
      </c>
      <c r="BV77" s="566">
        <v>20932.985004143571</v>
      </c>
      <c r="BW77" s="566">
        <v>233.85191717404325</v>
      </c>
      <c r="BX77" s="566">
        <v>559.59923688793026</v>
      </c>
      <c r="BY77" s="566">
        <v>9889787.0995493755</v>
      </c>
      <c r="BZ77" s="566">
        <v>207.25897662515931</v>
      </c>
      <c r="CA77" s="566">
        <v>1187176.579491124</v>
      </c>
      <c r="CB77" s="566">
        <v>8.1827969548664659E-30</v>
      </c>
      <c r="CC77" s="566">
        <v>9555.6448366509612</v>
      </c>
      <c r="CD77" s="566">
        <v>11467582.456616266</v>
      </c>
      <c r="CE77" s="566">
        <v>74.658387744766245</v>
      </c>
      <c r="CF77" s="566">
        <v>1366.2436437026245</v>
      </c>
      <c r="CG77" s="566">
        <v>516.64348994581587</v>
      </c>
      <c r="CH77" s="566">
        <v>4333.2184098242997</v>
      </c>
      <c r="CI77" s="566">
        <v>191.34944072067245</v>
      </c>
      <c r="CJ77" s="566">
        <v>432581.63400324149</v>
      </c>
      <c r="CK77" s="566">
        <v>67076686.041056007</v>
      </c>
      <c r="CL77" s="566"/>
      <c r="CM77" s="566">
        <v>1614.4260106879424</v>
      </c>
      <c r="CN77" s="566">
        <v>675.68981587276153</v>
      </c>
      <c r="CO77" s="566">
        <v>57326.676888380644</v>
      </c>
      <c r="CP77" s="566">
        <v>29935005.575076092</v>
      </c>
      <c r="CQ77" s="566"/>
      <c r="CR77" s="566">
        <v>721.80064610745865</v>
      </c>
      <c r="CS77" s="566">
        <v>282.90907550463277</v>
      </c>
      <c r="CT77" s="566">
        <v>103153.3423268148</v>
      </c>
      <c r="CU77" s="566">
        <v>28808941.560790785</v>
      </c>
      <c r="CV77" s="566"/>
      <c r="CW77" s="566">
        <v>691.03244693421027</v>
      </c>
      <c r="CX77" s="566">
        <v>47.52737084288006</v>
      </c>
      <c r="CY77" s="552"/>
    </row>
    <row r="78" spans="1:103" ht="12.75" customHeight="1" x14ac:dyDescent="0.3">
      <c r="A78" s="29"/>
      <c r="B78" s="6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131"/>
      <c r="Y78" s="436"/>
      <c r="Z78" s="29"/>
      <c r="AA78" s="282"/>
      <c r="AB78" s="282"/>
      <c r="AC78" s="282"/>
      <c r="AD78" s="282"/>
      <c r="AE78" s="282"/>
      <c r="AF78" s="282"/>
      <c r="AG78" s="282"/>
      <c r="AH78" s="282"/>
      <c r="AI78" s="282"/>
      <c r="AJ78" s="282"/>
      <c r="AK78" s="282"/>
      <c r="AL78" s="282"/>
      <c r="AM78" s="282"/>
      <c r="AN78" s="282"/>
      <c r="AO78" s="282"/>
      <c r="AP78" s="29"/>
      <c r="AQ78" s="437"/>
      <c r="AR78" s="2"/>
      <c r="AS78" s="302"/>
      <c r="AT78" s="75"/>
      <c r="AU78" s="302"/>
      <c r="AV78" s="75"/>
      <c r="AW78" s="75"/>
      <c r="AX78" s="75"/>
      <c r="AY78" s="75"/>
      <c r="AZ78" s="75"/>
      <c r="BA78" s="75"/>
      <c r="BB78" s="2"/>
      <c r="BC78" s="2"/>
      <c r="BD78" s="75"/>
      <c r="BE78" s="2"/>
      <c r="BF78" s="75"/>
      <c r="BG78" s="75"/>
      <c r="BH78" s="89"/>
      <c r="BI78" s="75"/>
      <c r="BJ78" s="2"/>
      <c r="BK78" s="2"/>
      <c r="BL78"/>
      <c r="BM78" s="562"/>
      <c r="BN78" s="591">
        <v>65</v>
      </c>
      <c r="BO78" s="549" t="s">
        <v>455</v>
      </c>
      <c r="BP78" s="549" t="s">
        <v>2408</v>
      </c>
      <c r="BQ78" s="550" t="s">
        <v>2408</v>
      </c>
      <c r="BR78" s="566">
        <v>417471.16319551453</v>
      </c>
      <c r="BS78" s="566"/>
      <c r="BT78" s="566">
        <v>1374135.2831191092</v>
      </c>
      <c r="BU78" s="566">
        <v>48321.521479297044</v>
      </c>
      <c r="BV78" s="566">
        <v>44504.37079689814</v>
      </c>
      <c r="BW78" s="566">
        <v>457.14263436802122</v>
      </c>
      <c r="BX78" s="566">
        <v>81.53671056531924</v>
      </c>
      <c r="BY78" s="566">
        <v>12706365.282062175</v>
      </c>
      <c r="BZ78" s="566">
        <v>30.198781690858983</v>
      </c>
      <c r="CA78" s="566">
        <v>653562.2838124641</v>
      </c>
      <c r="CB78" s="566">
        <v>1.5890504379405094E-31</v>
      </c>
      <c r="CC78" s="566">
        <v>160.68463251280531</v>
      </c>
      <c r="CD78" s="566">
        <v>1346705.0692228901</v>
      </c>
      <c r="CE78" s="566">
        <v>5.2041225886296845</v>
      </c>
      <c r="CF78" s="566">
        <v>637.02081827564598</v>
      </c>
      <c r="CG78" s="566">
        <v>66.179955005363624</v>
      </c>
      <c r="CH78" s="566">
        <v>323.58342484394751</v>
      </c>
      <c r="CI78" s="566">
        <v>24.511094446430953</v>
      </c>
      <c r="CJ78" s="566">
        <v>169928.00335804472</v>
      </c>
      <c r="CK78" s="566">
        <v>4944081.5222226353</v>
      </c>
      <c r="CL78" s="566"/>
      <c r="CM78" s="566">
        <v>472.45084663674749</v>
      </c>
      <c r="CN78" s="566">
        <v>61.760114960993782</v>
      </c>
      <c r="CO78" s="566">
        <v>15722.158030702651</v>
      </c>
      <c r="CP78" s="566">
        <v>1026020.4116789462</v>
      </c>
      <c r="CQ78" s="566"/>
      <c r="CR78" s="566">
        <v>98.717090440024478</v>
      </c>
      <c r="CS78" s="566">
        <v>19.304177265472372</v>
      </c>
      <c r="CT78" s="566">
        <v>22821.31005226243</v>
      </c>
      <c r="CU78" s="566">
        <v>1776920.6498873513</v>
      </c>
      <c r="CV78" s="566"/>
      <c r="CW78" s="566">
        <v>167.66796835301827</v>
      </c>
      <c r="CX78" s="566">
        <v>2.3516663178400168</v>
      </c>
      <c r="CY78" s="552"/>
    </row>
    <row r="79" spans="1:103" ht="12.75" customHeight="1" x14ac:dyDescent="0.3">
      <c r="A79" s="29"/>
      <c r="B79" s="6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131"/>
      <c r="Y79" s="436"/>
      <c r="Z79" s="29"/>
      <c r="AA79" s="282"/>
      <c r="AB79" s="282"/>
      <c r="AC79" s="282"/>
      <c r="AD79" s="282"/>
      <c r="AE79" s="282"/>
      <c r="AF79" s="282"/>
      <c r="AG79" s="282"/>
      <c r="AH79" s="282"/>
      <c r="AI79" s="282"/>
      <c r="AJ79" s="282"/>
      <c r="AK79" s="282"/>
      <c r="AL79" s="282"/>
      <c r="AM79" s="282"/>
      <c r="AN79" s="282"/>
      <c r="AO79" s="282"/>
      <c r="AP79" s="29"/>
      <c r="AQ79" s="437"/>
      <c r="AR79" s="2"/>
      <c r="AS79" s="302"/>
      <c r="AT79" s="75"/>
      <c r="AU79" s="302"/>
      <c r="AV79" s="75"/>
      <c r="AW79" s="75"/>
      <c r="AX79" s="75"/>
      <c r="AY79" s="75"/>
      <c r="AZ79" s="75"/>
      <c r="BA79" s="75"/>
      <c r="BB79" s="2"/>
      <c r="BC79" s="2"/>
      <c r="BD79" s="75"/>
      <c r="BE79" s="2"/>
      <c r="BF79" s="75"/>
      <c r="BG79" s="75"/>
      <c r="BH79" s="87"/>
      <c r="BI79" s="75"/>
      <c r="BJ79" s="2"/>
      <c r="BK79" s="2"/>
      <c r="BL79"/>
      <c r="BM79" s="562"/>
      <c r="BN79" s="591">
        <v>66</v>
      </c>
      <c r="BO79" s="549" t="s">
        <v>1909</v>
      </c>
      <c r="BP79" s="549" t="s">
        <v>2408</v>
      </c>
      <c r="BQ79" s="550" t="s">
        <v>2408</v>
      </c>
      <c r="BR79" s="566">
        <v>1036.0137196229587</v>
      </c>
      <c r="BS79" s="566"/>
      <c r="BT79" s="566">
        <v>55012243.960814983</v>
      </c>
      <c r="BU79" s="566">
        <v>2683225.5072805136</v>
      </c>
      <c r="BV79" s="566">
        <v>1108960.0201699005</v>
      </c>
      <c r="BW79" s="566">
        <v>16104.687432029839</v>
      </c>
      <c r="BX79" s="566">
        <v>3752169.0561152427</v>
      </c>
      <c r="BY79" s="566">
        <v>59896242.272759363</v>
      </c>
      <c r="BZ79" s="566">
        <v>1389692.2430056452</v>
      </c>
      <c r="CA79" s="566">
        <v>4.4579001356558203</v>
      </c>
      <c r="CB79" s="566">
        <v>8.3508317035142686E-32</v>
      </c>
      <c r="CC79" s="566">
        <v>26303.077946234425</v>
      </c>
      <c r="CD79" s="566">
        <v>178322062.36933967</v>
      </c>
      <c r="CE79" s="566">
        <v>530.22854095105799</v>
      </c>
      <c r="CF79" s="566">
        <v>53514.344375843699</v>
      </c>
      <c r="CG79" s="566">
        <v>8366.531671726867</v>
      </c>
      <c r="CH79" s="566">
        <v>49813.851011644467</v>
      </c>
      <c r="CI79" s="566">
        <v>3098.7154339729113</v>
      </c>
      <c r="CJ79" s="566">
        <v>7.5314437419403524E-2</v>
      </c>
      <c r="CK79" s="566">
        <v>3436290327.7225323</v>
      </c>
      <c r="CL79" s="566"/>
      <c r="CM79" s="566">
        <v>208326.75424592005</v>
      </c>
      <c r="CN79" s="566">
        <v>507.33755994867784</v>
      </c>
      <c r="CO79" s="566">
        <v>9.1718248048850513E-3</v>
      </c>
      <c r="CP79" s="566">
        <v>2206976789.6516261</v>
      </c>
      <c r="CQ79" s="566"/>
      <c r="CR79" s="566">
        <v>134395.99955068849</v>
      </c>
      <c r="CS79" s="566">
        <v>198.48592556542138</v>
      </c>
      <c r="CT79" s="566">
        <v>0.23829833129664874</v>
      </c>
      <c r="CU79" s="566">
        <v>5267752902.4125185</v>
      </c>
      <c r="CV79" s="566"/>
      <c r="CW79" s="566">
        <v>316730.37066969753</v>
      </c>
      <c r="CX79" s="566">
        <v>458.15985115989315</v>
      </c>
      <c r="CY79" s="552"/>
    </row>
    <row r="80" spans="1:103" ht="12.75" customHeight="1" x14ac:dyDescent="0.3">
      <c r="A80" s="29"/>
      <c r="B80" s="6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131"/>
      <c r="Y80" s="436"/>
      <c r="Z80" s="29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282"/>
      <c r="AL80" s="282"/>
      <c r="AM80" s="282"/>
      <c r="AN80" s="282"/>
      <c r="AO80" s="282"/>
      <c r="AP80" s="29"/>
      <c r="AQ80" s="437"/>
      <c r="AR80" s="2"/>
      <c r="AS80" s="302"/>
      <c r="AT80" s="75"/>
      <c r="AU80" s="302"/>
      <c r="AV80" s="75"/>
      <c r="AW80" s="75"/>
      <c r="AX80" s="75"/>
      <c r="AY80" s="75"/>
      <c r="AZ80" s="75"/>
      <c r="BA80" s="75"/>
      <c r="BB80" s="2"/>
      <c r="BC80" s="2"/>
      <c r="BD80" s="75"/>
      <c r="BE80" s="2"/>
      <c r="BF80" s="75"/>
      <c r="BG80" s="75"/>
      <c r="BH80" s="87"/>
      <c r="BI80" s="75"/>
      <c r="BJ80" s="2"/>
      <c r="BK80" s="2"/>
      <c r="BL80"/>
      <c r="BM80" s="562"/>
      <c r="BN80" s="591">
        <v>67</v>
      </c>
      <c r="BO80" s="549" t="s">
        <v>1791</v>
      </c>
      <c r="BP80" s="549" t="s">
        <v>2408</v>
      </c>
      <c r="BQ80" s="550" t="s">
        <v>2408</v>
      </c>
      <c r="BR80" s="566">
        <v>58.593240745410817</v>
      </c>
      <c r="BS80" s="566"/>
      <c r="BT80" s="566">
        <v>32260342.200392336</v>
      </c>
      <c r="BU80" s="566">
        <v>1573768.733444782</v>
      </c>
      <c r="BV80" s="566">
        <v>906658.20372470759</v>
      </c>
      <c r="BW80" s="566">
        <v>13000.762205298153</v>
      </c>
      <c r="BX80" s="566">
        <v>3312787.2849417222</v>
      </c>
      <c r="BY80" s="566">
        <v>46451051.302362829</v>
      </c>
      <c r="BZ80" s="566">
        <v>1226958.2536821186</v>
      </c>
      <c r="CA80" s="566">
        <v>2.2769095348168397E-2</v>
      </c>
      <c r="CB80" s="566">
        <v>4.7116513520962973E-33</v>
      </c>
      <c r="CC80" s="566">
        <v>1299.1778115779218</v>
      </c>
      <c r="CD80" s="566">
        <v>104417280.12087366</v>
      </c>
      <c r="CE80" s="566">
        <v>36.512638757747276</v>
      </c>
      <c r="CF80" s="566">
        <v>43129.088795787626</v>
      </c>
      <c r="CG80" s="566">
        <v>667.09901266141537</v>
      </c>
      <c r="CH80" s="566">
        <v>3497.2828449396784</v>
      </c>
      <c r="CI80" s="566">
        <v>247.07370839311682</v>
      </c>
      <c r="CJ80" s="566">
        <v>7.4400028424970513E-5</v>
      </c>
      <c r="CK80" s="566">
        <v>2011920746.2785473</v>
      </c>
      <c r="CL80" s="566"/>
      <c r="CM80" s="566">
        <v>167879.90649332359</v>
      </c>
      <c r="CN80" s="566">
        <v>7.8238637537322937</v>
      </c>
      <c r="CO80" s="566">
        <v>4.2601781585944837E-5</v>
      </c>
      <c r="CP80" s="566">
        <v>1292161132.1929362</v>
      </c>
      <c r="CQ80" s="566"/>
      <c r="CR80" s="566">
        <v>108472.12960311228</v>
      </c>
      <c r="CS80" s="566">
        <v>3.209534170762403</v>
      </c>
      <c r="CT80" s="566">
        <v>1.3154216257276009E-4</v>
      </c>
      <c r="CU80" s="566">
        <v>3083994536.0708609</v>
      </c>
      <c r="CV80" s="566"/>
      <c r="CW80" s="566">
        <v>254482.50614264031</v>
      </c>
      <c r="CX80" s="566">
        <v>7.0704025310275433</v>
      </c>
      <c r="CY80" s="552"/>
    </row>
    <row r="81" spans="1:103" ht="12.75" customHeight="1" x14ac:dyDescent="0.3">
      <c r="A81" s="29"/>
      <c r="B81" s="6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131"/>
      <c r="Y81" s="436"/>
      <c r="Z81" s="29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282"/>
      <c r="AL81" s="282"/>
      <c r="AM81" s="282"/>
      <c r="AN81" s="282"/>
      <c r="AO81" s="282"/>
      <c r="AP81" s="29"/>
      <c r="AQ81" s="437"/>
      <c r="AR81" s="2"/>
      <c r="AS81" s="302"/>
      <c r="AT81" s="75"/>
      <c r="AU81" s="302"/>
      <c r="AV81" s="75"/>
      <c r="AW81" s="2"/>
      <c r="AX81" s="43"/>
      <c r="AY81" s="75"/>
      <c r="AZ81" s="87"/>
      <c r="BA81" s="75"/>
      <c r="BB81" s="57"/>
      <c r="BC81" s="2"/>
      <c r="BD81" s="75"/>
      <c r="BE81" s="2"/>
      <c r="BF81" s="86"/>
      <c r="BG81" s="75"/>
      <c r="BH81" s="89"/>
      <c r="BI81" s="75"/>
      <c r="BJ81" s="2"/>
      <c r="BK81" s="2"/>
      <c r="BL81"/>
      <c r="BM81" s="562"/>
      <c r="BN81" s="591">
        <v>68</v>
      </c>
      <c r="BO81" s="549" t="s">
        <v>1894</v>
      </c>
      <c r="BP81" s="549" t="s">
        <v>2408</v>
      </c>
      <c r="BQ81" s="550" t="s">
        <v>2408</v>
      </c>
      <c r="BR81" s="566">
        <v>92418.735941529478</v>
      </c>
      <c r="BS81" s="566"/>
      <c r="BT81" s="566">
        <v>10981318.549889354</v>
      </c>
      <c r="BU81" s="566">
        <v>525281.0323210425</v>
      </c>
      <c r="BV81" s="566">
        <v>42362563.893876888</v>
      </c>
      <c r="BW81" s="566">
        <v>681531.00428948761</v>
      </c>
      <c r="BX81" s="566">
        <v>38999404.656796075</v>
      </c>
      <c r="BY81" s="566">
        <v>1790303954.7318673</v>
      </c>
      <c r="BZ81" s="566">
        <v>14444223.946961503</v>
      </c>
      <c r="CA81" s="566">
        <v>114289.20594095511</v>
      </c>
      <c r="CB81" s="566">
        <v>5.0052297065415403E-30</v>
      </c>
      <c r="CC81" s="566">
        <v>366873.88052293635</v>
      </c>
      <c r="CD81" s="566">
        <v>19696332.008523405</v>
      </c>
      <c r="CE81" s="566">
        <v>1415287.0745019992</v>
      </c>
      <c r="CF81" s="566">
        <v>1277759.9140857463</v>
      </c>
      <c r="CG81" s="566">
        <v>19931294.415956602</v>
      </c>
      <c r="CH81" s="566">
        <v>135433432.50657839</v>
      </c>
      <c r="CI81" s="566">
        <v>7381960.8947987398</v>
      </c>
      <c r="CJ81" s="566">
        <v>22715.507411022016</v>
      </c>
      <c r="CK81" s="566">
        <v>27046785.489612661</v>
      </c>
      <c r="CL81" s="566"/>
      <c r="CM81" s="566">
        <v>354108.02480523125</v>
      </c>
      <c r="CN81" s="566">
        <v>14218585.269192206</v>
      </c>
      <c r="CO81" s="566">
        <v>1827.5706366422378</v>
      </c>
      <c r="CP81" s="566">
        <v>6007101.5234439597</v>
      </c>
      <c r="CQ81" s="566"/>
      <c r="CR81" s="566">
        <v>78821.359242300619</v>
      </c>
      <c r="CS81" s="566">
        <v>2688852.0347933024</v>
      </c>
      <c r="CT81" s="566">
        <v>1933.0449500946474</v>
      </c>
      <c r="CU81" s="566">
        <v>1361640.7553455506</v>
      </c>
      <c r="CV81" s="566"/>
      <c r="CW81" s="566">
        <v>17753.50504145402</v>
      </c>
      <c r="CX81" s="566">
        <v>359230.60252917226</v>
      </c>
      <c r="CY81" s="552"/>
    </row>
    <row r="82" spans="1:103" ht="12.75" customHeight="1" x14ac:dyDescent="0.3">
      <c r="A82" s="29"/>
      <c r="B82" s="6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131"/>
      <c r="Y82" s="436"/>
      <c r="Z82" s="29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282"/>
      <c r="AL82" s="282"/>
      <c r="AM82" s="282"/>
      <c r="AN82" s="282"/>
      <c r="AO82" s="282"/>
      <c r="AP82" s="29"/>
      <c r="AQ82" s="437"/>
      <c r="AR82" s="2"/>
      <c r="AS82" s="302"/>
      <c r="AT82" s="75"/>
      <c r="AU82" s="302"/>
      <c r="AV82" s="75"/>
      <c r="AW82" s="75"/>
      <c r="AX82" s="75"/>
      <c r="AY82" s="75"/>
      <c r="AZ82" s="87"/>
      <c r="BA82" s="75"/>
      <c r="BB82" s="5"/>
      <c r="BC82" s="2"/>
      <c r="BD82" s="57"/>
      <c r="BE82" s="2"/>
      <c r="BF82" s="89"/>
      <c r="BG82" s="75"/>
      <c r="BH82" s="48"/>
      <c r="BI82" s="74"/>
      <c r="BJ82" s="2"/>
      <c r="BK82" s="2"/>
      <c r="BL82"/>
      <c r="BM82" s="562"/>
      <c r="BN82" s="591">
        <v>69</v>
      </c>
      <c r="BO82" s="549" t="s">
        <v>1834</v>
      </c>
      <c r="BP82" s="549" t="s">
        <v>2408</v>
      </c>
      <c r="BQ82" s="550" t="s">
        <v>2408</v>
      </c>
      <c r="BR82" s="566">
        <v>52414.828688953035</v>
      </c>
      <c r="BS82" s="566"/>
      <c r="BT82" s="566">
        <v>17001264.650509916</v>
      </c>
      <c r="BU82" s="566">
        <v>823557.49339690141</v>
      </c>
      <c r="BV82" s="566">
        <v>3457326.7072777366</v>
      </c>
      <c r="BW82" s="566">
        <v>44777.604538672145</v>
      </c>
      <c r="BX82" s="566">
        <v>619483.79414078675</v>
      </c>
      <c r="BY82" s="566">
        <v>65836332.274474077</v>
      </c>
      <c r="BZ82" s="566">
        <v>229438.44227436552</v>
      </c>
      <c r="CA82" s="566">
        <v>15389.261501124256</v>
      </c>
      <c r="CB82" s="566">
        <v>6.6048203807935571E-31</v>
      </c>
      <c r="CC82" s="566">
        <v>29611.876789143618</v>
      </c>
      <c r="CD82" s="566">
        <v>52666012.384104677</v>
      </c>
      <c r="CE82" s="566">
        <v>6021.783354372601</v>
      </c>
      <c r="CF82" s="566">
        <v>143175.06027643665</v>
      </c>
      <c r="CG82" s="566">
        <v>94858.140217366832</v>
      </c>
      <c r="CH82" s="566">
        <v>425214.63643729017</v>
      </c>
      <c r="CI82" s="566">
        <v>35132.644524950672</v>
      </c>
      <c r="CJ82" s="566">
        <v>2717.1385194580416</v>
      </c>
      <c r="CK82" s="566">
        <v>907447828.45564449</v>
      </c>
      <c r="CL82" s="566"/>
      <c r="CM82" s="566">
        <v>498366.33757597598</v>
      </c>
      <c r="CN82" s="566">
        <v>60113.534069505324</v>
      </c>
      <c r="CO82" s="566">
        <v>454.09756673103681</v>
      </c>
      <c r="CP82" s="566">
        <v>578137429.75815368</v>
      </c>
      <c r="CQ82" s="566"/>
      <c r="CR82" s="566">
        <v>318454.35346024728</v>
      </c>
      <c r="CS82" s="566">
        <v>34486.743106336122</v>
      </c>
      <c r="CT82" s="566">
        <v>5110.2365838226233</v>
      </c>
      <c r="CU82" s="566">
        <v>1288810480.9356437</v>
      </c>
      <c r="CV82" s="566"/>
      <c r="CW82" s="566">
        <v>703909.44542875211</v>
      </c>
      <c r="CX82" s="566">
        <v>30809.295255360463</v>
      </c>
      <c r="CY82" s="552"/>
    </row>
    <row r="83" spans="1:103" ht="12.75" customHeight="1" x14ac:dyDescent="0.3">
      <c r="A83" s="29"/>
      <c r="B83" s="6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131"/>
      <c r="Y83" s="436"/>
      <c r="Z83" s="29"/>
      <c r="AA83" s="282"/>
      <c r="AB83" s="282"/>
      <c r="AC83" s="282"/>
      <c r="AD83" s="282"/>
      <c r="AE83" s="282"/>
      <c r="AF83" s="282"/>
      <c r="AG83" s="282"/>
      <c r="AH83" s="282"/>
      <c r="AI83" s="282"/>
      <c r="AJ83" s="282"/>
      <c r="AK83" s="282"/>
      <c r="AL83" s="282"/>
      <c r="AM83" s="282"/>
      <c r="AN83" s="282"/>
      <c r="AO83" s="282"/>
      <c r="AP83" s="29"/>
      <c r="AQ83" s="437"/>
      <c r="AR83" s="2"/>
      <c r="AS83" s="302"/>
      <c r="AT83" s="75"/>
      <c r="AU83" s="302"/>
      <c r="AV83" s="75"/>
      <c r="AW83" s="75"/>
      <c r="AX83" s="2"/>
      <c r="AY83" s="75"/>
      <c r="AZ83" s="87"/>
      <c r="BA83" s="75"/>
      <c r="BB83" s="75"/>
      <c r="BC83" s="2"/>
      <c r="BD83" s="75"/>
      <c r="BE83" s="2"/>
      <c r="BF83" s="87"/>
      <c r="BG83" s="75"/>
      <c r="BH83" s="2"/>
      <c r="BI83" s="49"/>
      <c r="BJ83" s="2"/>
      <c r="BK83" s="2"/>
      <c r="BL83"/>
      <c r="BM83" s="562"/>
      <c r="BN83" s="591">
        <v>70</v>
      </c>
      <c r="BO83" s="549" t="s">
        <v>1954</v>
      </c>
      <c r="BP83" s="549" t="s">
        <v>2408</v>
      </c>
      <c r="BQ83" s="550" t="s">
        <v>2408</v>
      </c>
      <c r="BR83" s="566">
        <v>8340.896788348291</v>
      </c>
      <c r="BS83" s="566"/>
      <c r="BT83" s="566">
        <v>58752434.081671134</v>
      </c>
      <c r="BU83" s="566">
        <v>2864423.1358027379</v>
      </c>
      <c r="BV83" s="566">
        <v>475880.3087651133</v>
      </c>
      <c r="BW83" s="566">
        <v>7071.4037212445</v>
      </c>
      <c r="BX83" s="566">
        <v>560310.43784064252</v>
      </c>
      <c r="BY83" s="566">
        <v>12565654.999285348</v>
      </c>
      <c r="BZ83" s="566">
        <v>207522.38438542318</v>
      </c>
      <c r="CA83" s="566">
        <v>319.33081813799294</v>
      </c>
      <c r="CB83" s="566">
        <v>6.6787713761693731E-31</v>
      </c>
      <c r="CC83" s="566">
        <v>280489.99589672108</v>
      </c>
      <c r="CD83" s="566">
        <v>192753074.30307215</v>
      </c>
      <c r="CE83" s="566">
        <v>2271.9001848895014</v>
      </c>
      <c r="CF83" s="566">
        <v>23792.483552296115</v>
      </c>
      <c r="CG83" s="566">
        <v>11111.768498091787</v>
      </c>
      <c r="CH83" s="566">
        <v>91212.074614169745</v>
      </c>
      <c r="CI83" s="566">
        <v>4115.469814108068</v>
      </c>
      <c r="CJ83" s="566">
        <v>7.991004620568531</v>
      </c>
      <c r="CK83" s="566">
        <v>3714788584.8587012</v>
      </c>
      <c r="CL83" s="566"/>
      <c r="CM83" s="566">
        <v>92632.38098130413</v>
      </c>
      <c r="CN83" s="566">
        <v>998.03871471365858</v>
      </c>
      <c r="CO83" s="566">
        <v>0.7898834346861876</v>
      </c>
      <c r="CP83" s="566">
        <v>2385844691.8845339</v>
      </c>
      <c r="CQ83" s="566"/>
      <c r="CR83" s="566">
        <v>59606.02624595102</v>
      </c>
      <c r="CS83" s="566">
        <v>301.94211362715873</v>
      </c>
      <c r="CT83" s="566">
        <v>20.235307340926241</v>
      </c>
      <c r="CU83" s="566">
        <v>5695032869.3754311</v>
      </c>
      <c r="CV83" s="566"/>
      <c r="CW83" s="566">
        <v>141513.43605346177</v>
      </c>
      <c r="CX83" s="566">
        <v>752.37048789990547</v>
      </c>
      <c r="CY83" s="552"/>
    </row>
    <row r="84" spans="1:103" ht="12.75" customHeight="1" x14ac:dyDescent="0.3">
      <c r="A84" s="29"/>
      <c r="B84" s="6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131"/>
      <c r="Y84" s="436"/>
      <c r="Z84" s="29"/>
      <c r="AA84" s="282"/>
      <c r="AB84" s="282"/>
      <c r="AC84" s="282"/>
      <c r="AD84" s="282"/>
      <c r="AE84" s="282"/>
      <c r="AF84" s="282"/>
      <c r="AG84" s="282"/>
      <c r="AH84" s="282"/>
      <c r="AI84" s="282"/>
      <c r="AJ84" s="282"/>
      <c r="AK84" s="282"/>
      <c r="AL84" s="282"/>
      <c r="AM84" s="282"/>
      <c r="AN84" s="282"/>
      <c r="AO84" s="282"/>
      <c r="AP84" s="29"/>
      <c r="AQ84" s="437"/>
      <c r="AR84" s="2"/>
      <c r="AS84" s="302"/>
      <c r="AT84" s="75"/>
      <c r="AU84" s="302"/>
      <c r="AV84" s="75"/>
      <c r="AW84" s="75"/>
      <c r="AX84" s="75"/>
      <c r="AY84" s="75"/>
      <c r="AZ84" s="87"/>
      <c r="BA84" s="75"/>
      <c r="BB84" s="76"/>
      <c r="BC84" s="2"/>
      <c r="BD84" s="311">
        <f>IF(output!AK28&lt;0,"",output!AK28)</f>
        <v>7.1623817022184664E-5</v>
      </c>
      <c r="BE84" s="2"/>
      <c r="BF84" s="304">
        <f>IF(output!AK30&lt;0,"",output!AK30)</f>
        <v>2.652733963784617E-5</v>
      </c>
      <c r="BG84" s="75"/>
      <c r="BH84" s="311">
        <f>IF(output!AK29&lt;0,"",output!AK29)</f>
        <v>1.2008204961445154E-4</v>
      </c>
      <c r="BI84" s="75"/>
      <c r="BJ84" s="2"/>
      <c r="BK84" s="2"/>
      <c r="BL84"/>
      <c r="BM84" s="562"/>
      <c r="BN84" s="591">
        <v>71</v>
      </c>
      <c r="BO84" s="549" t="s">
        <v>1912</v>
      </c>
      <c r="BP84" s="549" t="s">
        <v>2408</v>
      </c>
      <c r="BQ84" s="550" t="s">
        <v>2408</v>
      </c>
      <c r="BR84" s="566">
        <v>623410.38810013118</v>
      </c>
      <c r="BS84" s="566"/>
      <c r="BT84" s="566">
        <v>2115500.1465190672</v>
      </c>
      <c r="BU84" s="566">
        <v>72094.335797095526</v>
      </c>
      <c r="BV84" s="566">
        <v>16811.665500698444</v>
      </c>
      <c r="BW84" s="566">
        <v>174.67860791755356</v>
      </c>
      <c r="BX84" s="566">
        <v>4.8179159841178247</v>
      </c>
      <c r="BY84" s="566">
        <v>23285737.040418532</v>
      </c>
      <c r="BZ84" s="566">
        <v>1.7844133274510463</v>
      </c>
      <c r="CA84" s="566">
        <v>1231848.0748037016</v>
      </c>
      <c r="CB84" s="566">
        <v>3.2004363147408634E-32</v>
      </c>
      <c r="CC84" s="566">
        <v>30.635513036338367</v>
      </c>
      <c r="CD84" s="566">
        <v>1251929.1192437673</v>
      </c>
      <c r="CE84" s="566">
        <v>0.24345732069868478</v>
      </c>
      <c r="CF84" s="566">
        <v>151.66603127909013</v>
      </c>
      <c r="CG84" s="566">
        <v>4.3153155600641977</v>
      </c>
      <c r="CH84" s="566">
        <v>34.023639815137386</v>
      </c>
      <c r="CI84" s="566">
        <v>1.5982650222459989</v>
      </c>
      <c r="CJ84" s="566">
        <v>409472.98282639327</v>
      </c>
      <c r="CK84" s="566">
        <v>1277752.1049612339</v>
      </c>
      <c r="CL84" s="566"/>
      <c r="CM84" s="566">
        <v>31.239893861674663</v>
      </c>
      <c r="CN84" s="566">
        <v>5.1485426845278202</v>
      </c>
      <c r="CO84" s="566">
        <v>46808.561916919694</v>
      </c>
      <c r="CP84" s="566">
        <v>160712.54395026847</v>
      </c>
      <c r="CQ84" s="566"/>
      <c r="CR84" s="566">
        <v>3.9396625059054102</v>
      </c>
      <c r="CS84" s="566">
        <v>1.1327770886793971</v>
      </c>
      <c r="CT84" s="566">
        <v>68926.913712738417</v>
      </c>
      <c r="CU84" s="566">
        <v>53319.246337319564</v>
      </c>
      <c r="CV84" s="566"/>
      <c r="CW84" s="566">
        <v>1.2971778757439787</v>
      </c>
      <c r="CX84" s="566">
        <v>0.36881001194787327</v>
      </c>
      <c r="CY84" s="552"/>
    </row>
    <row r="85" spans="1:103" ht="12.75" customHeight="1" x14ac:dyDescent="0.3">
      <c r="A85" s="29"/>
      <c r="B85" s="6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131"/>
      <c r="Y85" s="436"/>
      <c r="Z85" s="29"/>
      <c r="AA85" s="282"/>
      <c r="AB85" s="282"/>
      <c r="AC85" s="282"/>
      <c r="AD85" s="282"/>
      <c r="AE85" s="282"/>
      <c r="AF85" s="282"/>
      <c r="AG85" s="282"/>
      <c r="AH85" s="282"/>
      <c r="AI85" s="282"/>
      <c r="AJ85" s="282"/>
      <c r="AK85" s="282"/>
      <c r="AL85" s="282"/>
      <c r="AM85" s="282"/>
      <c r="AN85" s="282"/>
      <c r="AO85" s="282"/>
      <c r="AP85" s="29"/>
      <c r="AQ85" s="437"/>
      <c r="AR85" s="2"/>
      <c r="AS85" s="302"/>
      <c r="AT85" s="75"/>
      <c r="AU85" s="304">
        <f>IF(output!AI25&lt;0,"",output!AI25)</f>
        <v>4.5136440948739661E-3</v>
      </c>
      <c r="AV85" s="87"/>
      <c r="AW85" s="75"/>
      <c r="AX85" s="304">
        <f>output!AL24</f>
        <v>1.101754626418929E-5</v>
      </c>
      <c r="AY85" s="87"/>
      <c r="AZ85" s="201"/>
      <c r="BA85" s="311">
        <f>IF(output!AI23&lt;0,"",output!AI23)</f>
        <v>1.4985427296827578E-5</v>
      </c>
      <c r="BB85" s="43"/>
      <c r="BC85" s="87"/>
      <c r="BD85" s="302"/>
      <c r="BE85" s="87"/>
      <c r="BF85" s="306"/>
      <c r="BG85" s="43"/>
      <c r="BH85" s="306"/>
      <c r="BI85" s="75"/>
      <c r="BJ85" s="2"/>
      <c r="BK85" s="2"/>
      <c r="BL85"/>
      <c r="BM85" s="562"/>
      <c r="BN85" s="591">
        <v>72</v>
      </c>
      <c r="BO85" s="549" t="s">
        <v>863</v>
      </c>
      <c r="BP85" s="549" t="s">
        <v>2408</v>
      </c>
      <c r="BQ85" s="550" t="s">
        <v>2408</v>
      </c>
      <c r="BR85" s="566">
        <v>588396.6652690242</v>
      </c>
      <c r="BS85" s="566"/>
      <c r="BT85" s="566">
        <v>1231976.8978802939</v>
      </c>
      <c r="BU85" s="566">
        <v>43743.741143292544</v>
      </c>
      <c r="BV85" s="566">
        <v>471595.50135914108</v>
      </c>
      <c r="BW85" s="566">
        <v>4448.6211162580275</v>
      </c>
      <c r="BX85" s="566">
        <v>1533.6856687727366</v>
      </c>
      <c r="BY85" s="566">
        <v>35397166.245847404</v>
      </c>
      <c r="BZ85" s="566">
        <v>568.03172917508743</v>
      </c>
      <c r="CA85" s="566">
        <v>2785859.7155084205</v>
      </c>
      <c r="CB85" s="566">
        <v>1.0770131398501916E-30</v>
      </c>
      <c r="CC85" s="566">
        <v>1126.4127468867196</v>
      </c>
      <c r="CD85" s="566">
        <v>2327824.13368979</v>
      </c>
      <c r="CE85" s="566">
        <v>431.18599465570952</v>
      </c>
      <c r="CF85" s="566">
        <v>11836.673459347374</v>
      </c>
      <c r="CG85" s="566">
        <v>4458.4069823188092</v>
      </c>
      <c r="CH85" s="566">
        <v>27737.736770557909</v>
      </c>
      <c r="CI85" s="566">
        <v>1651.2618453032619</v>
      </c>
      <c r="CJ85" s="566">
        <v>3514981.5629293453</v>
      </c>
      <c r="CK85" s="566">
        <v>21577553.021078836</v>
      </c>
      <c r="CL85" s="566"/>
      <c r="CM85" s="566">
        <v>22165.193592294214</v>
      </c>
      <c r="CN85" s="566">
        <v>20190.504629820454</v>
      </c>
      <c r="CO85" s="566">
        <v>1216073.3198326319</v>
      </c>
      <c r="CP85" s="566">
        <v>21135083.765519273</v>
      </c>
      <c r="CQ85" s="566"/>
      <c r="CR85" s="566">
        <v>21809.633277310135</v>
      </c>
      <c r="CS85" s="566">
        <v>21828.158926333381</v>
      </c>
      <c r="CT85" s="566">
        <v>2543135.775352234</v>
      </c>
      <c r="CU85" s="566">
        <v>13766957.673389131</v>
      </c>
      <c r="CV85" s="566"/>
      <c r="CW85" s="566">
        <v>14022.95463054649</v>
      </c>
      <c r="CX85" s="566">
        <v>4295.6556557543572</v>
      </c>
      <c r="CY85" s="552"/>
    </row>
    <row r="86" spans="1:103" ht="12.75" customHeight="1" x14ac:dyDescent="0.3">
      <c r="A86" s="29"/>
      <c r="B86" s="6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131"/>
      <c r="Y86" s="436"/>
      <c r="Z86" s="29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282"/>
      <c r="AL86" s="282"/>
      <c r="AM86" s="282"/>
      <c r="AN86" s="282"/>
      <c r="AO86" s="282"/>
      <c r="AP86" s="29"/>
      <c r="AQ86" s="437"/>
      <c r="AR86" s="2"/>
      <c r="AS86" s="302"/>
      <c r="AT86" s="75"/>
      <c r="AU86" s="305"/>
      <c r="AV86" s="87"/>
      <c r="AW86" s="75"/>
      <c r="AX86" s="265"/>
      <c r="AY86" s="75"/>
      <c r="AZ86" s="87"/>
      <c r="BA86" s="303"/>
      <c r="BB86" s="75"/>
      <c r="BC86" s="87"/>
      <c r="BD86" s="311">
        <f>IF(output!AJ28&lt;0,"",output!AJ28)</f>
        <v>1.0380704477955766E-4</v>
      </c>
      <c r="BE86" s="87"/>
      <c r="BF86" s="304">
        <f>IF(output!AJ30&lt;0,"",output!AJ30)</f>
        <v>3.8447053622058392E-5</v>
      </c>
      <c r="BG86" s="75"/>
      <c r="BH86" s="311">
        <f>IF(output!AJ29&lt;0,"",output!AJ29)</f>
        <v>2.306823217323503E-4</v>
      </c>
      <c r="BI86" s="75"/>
      <c r="BJ86" s="2"/>
      <c r="BK86" s="2"/>
      <c r="BL86"/>
      <c r="BM86" s="562"/>
      <c r="BN86" s="591">
        <v>73</v>
      </c>
      <c r="BO86" s="549" t="s">
        <v>1808</v>
      </c>
      <c r="BP86" s="549" t="s">
        <v>2408</v>
      </c>
      <c r="BQ86" s="550" t="s">
        <v>2408</v>
      </c>
      <c r="BR86" s="566">
        <v>5613.6186012961198</v>
      </c>
      <c r="BS86" s="566"/>
      <c r="BT86" s="566">
        <v>13535129.367095491</v>
      </c>
      <c r="BU86" s="566">
        <v>574768.04079089884</v>
      </c>
      <c r="BV86" s="566">
        <v>115190.22513002982</v>
      </c>
      <c r="BW86" s="566">
        <v>1489.5560275201567</v>
      </c>
      <c r="BX86" s="566">
        <v>658086.17920600309</v>
      </c>
      <c r="BY86" s="566">
        <v>14452326.247287679</v>
      </c>
      <c r="BZ86" s="566">
        <v>243735.6219281494</v>
      </c>
      <c r="CA86" s="566">
        <v>148.40472562303876</v>
      </c>
      <c r="CB86" s="566">
        <v>4.483158719355615E-31</v>
      </c>
      <c r="CC86" s="566">
        <v>44704.598253159093</v>
      </c>
      <c r="CD86" s="566">
        <v>3334029.5648426693</v>
      </c>
      <c r="CE86" s="566">
        <v>380.45685397345954</v>
      </c>
      <c r="CF86" s="566">
        <v>432.01983076582729</v>
      </c>
      <c r="CG86" s="566">
        <v>9013.9256402187857</v>
      </c>
      <c r="CH86" s="566">
        <v>72859.27383937742</v>
      </c>
      <c r="CI86" s="566">
        <v>3338.4909778588099</v>
      </c>
      <c r="CJ86" s="566">
        <v>0.57669126828908801</v>
      </c>
      <c r="CK86" s="566">
        <v>477266.33089263918</v>
      </c>
      <c r="CL86" s="566"/>
      <c r="CM86" s="566">
        <v>12.368203037501013</v>
      </c>
      <c r="CN86" s="566">
        <v>125.72257627907095</v>
      </c>
      <c r="CO86" s="566">
        <v>4.590224087558425E-4</v>
      </c>
      <c r="CP86" s="566">
        <v>12730.268991202</v>
      </c>
      <c r="CQ86" s="566"/>
      <c r="CR86" s="566">
        <v>0.3331757799079077</v>
      </c>
      <c r="CS86" s="566">
        <v>0.30734031981828697</v>
      </c>
      <c r="CT86" s="566">
        <v>1.1451569834697991E-3</v>
      </c>
      <c r="CU86" s="566">
        <v>2190.1625456257307</v>
      </c>
      <c r="CV86" s="566"/>
      <c r="CW86" s="566">
        <v>5.5716841059464443E-2</v>
      </c>
      <c r="CX86" s="566">
        <v>7.4179466968319632E-2</v>
      </c>
      <c r="CY86" s="552"/>
    </row>
    <row r="87" spans="1:103" ht="12.75" customHeight="1" x14ac:dyDescent="0.3">
      <c r="A87" s="29"/>
      <c r="B87" s="6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131"/>
      <c r="Y87" s="436"/>
      <c r="Z87" s="29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282"/>
      <c r="AL87" s="282"/>
      <c r="AM87" s="282"/>
      <c r="AN87" s="282"/>
      <c r="AO87" s="282"/>
      <c r="AP87" s="29"/>
      <c r="AQ87" s="437"/>
      <c r="AR87" s="2"/>
      <c r="AS87" s="302"/>
      <c r="AT87" s="83"/>
      <c r="AU87" s="304">
        <f>IF(output!AH25&lt;0,"",output!AH25)</f>
        <v>1.6039525049089908E-2</v>
      </c>
      <c r="AV87" s="200"/>
      <c r="AW87" s="84"/>
      <c r="AX87" s="304">
        <f>IF(output!AH24&lt;0,"",output!AH24)</f>
        <v>4.4108693884997252E-4</v>
      </c>
      <c r="AY87" s="291">
        <f>output!AL24</f>
        <v>1.101754626418929E-5</v>
      </c>
      <c r="AZ87" s="75"/>
      <c r="BA87" s="311">
        <f>IF(output!AH23&lt;0,"",output!AH23)</f>
        <v>4.0098812622724775E-5</v>
      </c>
      <c r="BB87" s="291">
        <f>output!AL23</f>
        <v>1.0015951149262991E-6</v>
      </c>
      <c r="BC87" s="87"/>
      <c r="BD87" s="302"/>
      <c r="BE87" s="2"/>
      <c r="BF87" s="302"/>
      <c r="BG87" s="2"/>
      <c r="BH87" s="306"/>
      <c r="BI87" s="75"/>
      <c r="BJ87" s="2"/>
      <c r="BK87" s="2"/>
      <c r="BL87"/>
      <c r="BM87" s="562"/>
      <c r="BN87" s="591">
        <v>74</v>
      </c>
      <c r="BO87" s="549" t="s">
        <v>1776</v>
      </c>
      <c r="BP87" s="549" t="s">
        <v>2408</v>
      </c>
      <c r="BQ87" s="550" t="s">
        <v>2408</v>
      </c>
      <c r="BR87" s="566">
        <v>50740.331577098346</v>
      </c>
      <c r="BS87" s="566"/>
      <c r="BT87" s="566">
        <v>876847.12757422286</v>
      </c>
      <c r="BU87" s="566">
        <v>36514.937827373185</v>
      </c>
      <c r="BV87" s="566">
        <v>271901509.94752806</v>
      </c>
      <c r="BW87" s="566">
        <v>9808634.4370342791</v>
      </c>
      <c r="BX87" s="566">
        <v>29147.167617173312</v>
      </c>
      <c r="BY87" s="566">
        <v>301237.29621529643</v>
      </c>
      <c r="BZ87" s="566">
        <v>10795.247265619744</v>
      </c>
      <c r="CA87" s="566">
        <v>50912.488386868536</v>
      </c>
      <c r="CB87" s="566">
        <v>3.3544159013277213E-30</v>
      </c>
      <c r="CC87" s="566">
        <v>6201.8816737113402</v>
      </c>
      <c r="CD87" s="566">
        <v>4538219.7721568961</v>
      </c>
      <c r="CE87" s="566">
        <v>1923141.376151996</v>
      </c>
      <c r="CF87" s="566">
        <v>60952779.038608417</v>
      </c>
      <c r="CG87" s="566">
        <v>15155.346574900896</v>
      </c>
      <c r="CH87" s="566">
        <v>33678.691888401496</v>
      </c>
      <c r="CI87" s="566">
        <v>5613.0913240373684</v>
      </c>
      <c r="CJ87" s="566">
        <v>7990.425732726796</v>
      </c>
      <c r="CK87" s="566">
        <v>6721047.2470265031</v>
      </c>
      <c r="CL87" s="566"/>
      <c r="CM87" s="566">
        <v>18210826.086296823</v>
      </c>
      <c r="CN87" s="566">
        <v>8537.1934590741585</v>
      </c>
      <c r="CO87" s="566">
        <v>796.02025833020616</v>
      </c>
      <c r="CP87" s="566">
        <v>1513205.9705249744</v>
      </c>
      <c r="CQ87" s="566"/>
      <c r="CR87" s="566">
        <v>4113399.3854392665</v>
      </c>
      <c r="CS87" s="566">
        <v>1260.6425589963753</v>
      </c>
      <c r="CT87" s="566">
        <v>350.44022868054986</v>
      </c>
      <c r="CU87" s="566">
        <v>361823.41662127106</v>
      </c>
      <c r="CV87" s="566"/>
      <c r="CW87" s="566">
        <v>974457.0709969711</v>
      </c>
      <c r="CX87" s="566">
        <v>172.16059548302769</v>
      </c>
      <c r="CY87" s="552"/>
    </row>
    <row r="88" spans="1:103" ht="12.75" customHeight="1" x14ac:dyDescent="0.3">
      <c r="A88" s="29"/>
      <c r="B88" s="6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131"/>
      <c r="Y88" s="436"/>
      <c r="Z88" s="29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282"/>
      <c r="AL88" s="282"/>
      <c r="AM88" s="282"/>
      <c r="AN88" s="282"/>
      <c r="AO88" s="282"/>
      <c r="AP88" s="29"/>
      <c r="AQ88" s="437"/>
      <c r="AR88" s="2"/>
      <c r="AS88" s="278">
        <f>output!AE23</f>
        <v>7.0116860190125087E-7</v>
      </c>
      <c r="AT88" s="81"/>
      <c r="AU88" s="302"/>
      <c r="AV88" s="81"/>
      <c r="AW88" s="83"/>
      <c r="AX88" s="265"/>
      <c r="AY88" s="308"/>
      <c r="AZ88" s="87"/>
      <c r="BA88" s="306"/>
      <c r="BB88" s="43"/>
      <c r="BC88" s="86"/>
      <c r="BD88" s="302"/>
      <c r="BE88" s="54"/>
      <c r="BF88" s="302"/>
      <c r="BG88" s="75"/>
      <c r="BH88" s="306"/>
      <c r="BI88" s="75"/>
      <c r="BJ88" s="2"/>
      <c r="BK88" s="2"/>
      <c r="BL88"/>
      <c r="BM88" s="562"/>
      <c r="BN88" s="591">
        <v>75</v>
      </c>
      <c r="BO88" s="549" t="s">
        <v>1766</v>
      </c>
      <c r="BP88" s="549" t="s">
        <v>2408</v>
      </c>
      <c r="BQ88" s="550" t="s">
        <v>2408</v>
      </c>
      <c r="BR88" s="566">
        <v>528.73334522055791</v>
      </c>
      <c r="BS88" s="566"/>
      <c r="BT88" s="566">
        <v>131682108.92907706</v>
      </c>
      <c r="BU88" s="566">
        <v>6420184.4154286375</v>
      </c>
      <c r="BV88" s="566">
        <v>1039075.8487354855</v>
      </c>
      <c r="BW88" s="566">
        <v>15447.633652247718</v>
      </c>
      <c r="BX88" s="566">
        <v>1152904.0086266452</v>
      </c>
      <c r="BY88" s="566">
        <v>25506762.635687176</v>
      </c>
      <c r="BZ88" s="566">
        <v>427001.48467653501</v>
      </c>
      <c r="CA88" s="566">
        <v>0.57674943653986255</v>
      </c>
      <c r="CB88" s="566">
        <v>4.2745248214025066E-32</v>
      </c>
      <c r="CC88" s="566">
        <v>18476.10155920426</v>
      </c>
      <c r="CD88" s="566">
        <v>426163630.57688117</v>
      </c>
      <c r="CE88" s="566">
        <v>145.79103467497708</v>
      </c>
      <c r="CF88" s="566">
        <v>51269.708275381156</v>
      </c>
      <c r="CG88" s="566">
        <v>651.69132455155261</v>
      </c>
      <c r="CH88" s="566">
        <v>5388.993206000835</v>
      </c>
      <c r="CI88" s="566">
        <v>241.36715724131574</v>
      </c>
      <c r="CJ88" s="566">
        <v>1.4098425303271466E-2</v>
      </c>
      <c r="CK88" s="566">
        <v>8213989725.3143854</v>
      </c>
      <c r="CL88" s="566"/>
      <c r="CM88" s="566">
        <v>199631.41354170803</v>
      </c>
      <c r="CN88" s="566">
        <v>57.178008350577024</v>
      </c>
      <c r="CO88" s="566">
        <v>1.7564888239395716E-3</v>
      </c>
      <c r="CP88" s="566">
        <v>5275537596.8758554</v>
      </c>
      <c r="CQ88" s="566"/>
      <c r="CR88" s="566">
        <v>128451.86090082319</v>
      </c>
      <c r="CS88" s="566">
        <v>21.795532222308161</v>
      </c>
      <c r="CT88" s="566">
        <v>4.6116691225688233E-2</v>
      </c>
      <c r="CU88" s="566">
        <v>12593688495.126448</v>
      </c>
      <c r="CV88" s="566"/>
      <c r="CW88" s="566">
        <v>305026.92438123422</v>
      </c>
      <c r="CX88" s="566">
        <v>55.731333109923341</v>
      </c>
      <c r="CY88" s="552"/>
    </row>
    <row r="89" spans="1:103" ht="12.75" customHeight="1" x14ac:dyDescent="0.3">
      <c r="A89" s="29"/>
      <c r="B89" s="6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131"/>
      <c r="Y89" s="436"/>
      <c r="Z89" s="29"/>
      <c r="AA89" s="282"/>
      <c r="AB89" s="282"/>
      <c r="AC89" s="282"/>
      <c r="AD89" s="282"/>
      <c r="AE89" s="282"/>
      <c r="AF89" s="282"/>
      <c r="AG89" s="282"/>
      <c r="AH89" s="282"/>
      <c r="AI89" s="282"/>
      <c r="AJ89" s="282"/>
      <c r="AK89" s="282"/>
      <c r="AL89" s="282"/>
      <c r="AM89" s="282"/>
      <c r="AN89" s="282"/>
      <c r="AO89" s="282"/>
      <c r="AP89" s="29"/>
      <c r="AQ89" s="437"/>
      <c r="AR89" s="2"/>
      <c r="AS89" s="278">
        <f>output!AE24</f>
        <v>1.76026918018632E-5</v>
      </c>
      <c r="AT89" s="83"/>
      <c r="AU89" s="302"/>
      <c r="AV89" s="75"/>
      <c r="AW89" s="81"/>
      <c r="AX89" s="265">
        <f>output!AD24</f>
        <v>7.0116860190125087E-7</v>
      </c>
      <c r="AY89" s="308"/>
      <c r="AZ89" s="89"/>
      <c r="BA89" s="306"/>
      <c r="BB89" s="75"/>
      <c r="BC89" s="2"/>
      <c r="BD89" s="302"/>
      <c r="BE89" s="2"/>
      <c r="BF89" s="302"/>
      <c r="BG89" s="75"/>
      <c r="BH89" s="302"/>
      <c r="BI89" s="2"/>
      <c r="BJ89" s="2"/>
      <c r="BK89" s="2"/>
      <c r="BL89"/>
      <c r="BM89" s="562"/>
      <c r="BN89" s="591">
        <v>76</v>
      </c>
      <c r="BO89" s="549" t="s">
        <v>1819</v>
      </c>
      <c r="BP89" s="549" t="s">
        <v>2408</v>
      </c>
      <c r="BQ89" s="550" t="s">
        <v>2408</v>
      </c>
      <c r="BR89" s="566">
        <v>71356.382621759432</v>
      </c>
      <c r="BS89" s="566"/>
      <c r="BT89" s="566">
        <v>4787193.8914282043</v>
      </c>
      <c r="BU89" s="566">
        <v>210116.14806041503</v>
      </c>
      <c r="BV89" s="566">
        <v>102593.25206315779</v>
      </c>
      <c r="BW89" s="566">
        <v>1337.793466756267</v>
      </c>
      <c r="BX89" s="566">
        <v>4248.8410416965598</v>
      </c>
      <c r="BY89" s="566">
        <v>17863601.372066133</v>
      </c>
      <c r="BZ89" s="566">
        <v>1573.6448302579852</v>
      </c>
      <c r="CA89" s="566">
        <v>10176.969109534439</v>
      </c>
      <c r="CB89" s="566">
        <v>2.9392453897917834E-31</v>
      </c>
      <c r="CC89" s="566">
        <v>1010.3889096594704</v>
      </c>
      <c r="CD89" s="566">
        <v>8659994.1216531433</v>
      </c>
      <c r="CE89" s="566">
        <v>21.653412508760475</v>
      </c>
      <c r="CF89" s="566">
        <v>2756.8760576088898</v>
      </c>
      <c r="CG89" s="566">
        <v>306.30214471660855</v>
      </c>
      <c r="CH89" s="566">
        <v>1786.1030315261041</v>
      </c>
      <c r="CI89" s="566">
        <v>113.4452387839291</v>
      </c>
      <c r="CJ89" s="566">
        <v>1554.3675387705046</v>
      </c>
      <c r="CK89" s="566">
        <v>62554443.727346554</v>
      </c>
      <c r="CL89" s="566"/>
      <c r="CM89" s="566">
        <v>4022.9798566122226</v>
      </c>
      <c r="CN89" s="566">
        <v>167.91479158122166</v>
      </c>
      <c r="CO89" s="566">
        <v>284.57136602802723</v>
      </c>
      <c r="CP89" s="566">
        <v>32313797.181952823</v>
      </c>
      <c r="CQ89" s="566"/>
      <c r="CR89" s="566">
        <v>2087.9620340768006</v>
      </c>
      <c r="CS89" s="566">
        <v>103.66179174434424</v>
      </c>
      <c r="CT89" s="566">
        <v>1197.1224469127853</v>
      </c>
      <c r="CU89" s="566">
        <v>38791864.432968825</v>
      </c>
      <c r="CV89" s="566"/>
      <c r="CW89" s="566">
        <v>2473.0545890967792</v>
      </c>
      <c r="CX89" s="566">
        <v>36.573264216478819</v>
      </c>
      <c r="CY89" s="552"/>
    </row>
    <row r="90" spans="1:103" ht="12.75" customHeight="1" x14ac:dyDescent="0.3">
      <c r="A90" s="29"/>
      <c r="B90" s="6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131"/>
      <c r="Y90" s="436"/>
      <c r="Z90" s="29"/>
      <c r="AA90" s="282"/>
      <c r="AB90" s="282"/>
      <c r="AC90" s="282"/>
      <c r="AD90" s="282"/>
      <c r="AE90" s="282"/>
      <c r="AF90" s="282"/>
      <c r="AG90" s="282"/>
      <c r="AH90" s="282"/>
      <c r="AI90" s="282"/>
      <c r="AJ90" s="282"/>
      <c r="AK90" s="282"/>
      <c r="AL90" s="282"/>
      <c r="AM90" s="282"/>
      <c r="AN90" s="282"/>
      <c r="AO90" s="282"/>
      <c r="AP90" s="29"/>
      <c r="AQ90" s="437"/>
      <c r="AR90" s="2"/>
      <c r="AS90" s="278">
        <f>output!AE25</f>
        <v>5.5887400958915135E-3</v>
      </c>
      <c r="AT90" s="81"/>
      <c r="AU90" s="278">
        <f>output!AD25</f>
        <v>9.3781410757734929E-3</v>
      </c>
      <c r="AV90" s="81"/>
      <c r="AW90" s="83"/>
      <c r="AX90" s="298"/>
      <c r="AY90" s="308"/>
      <c r="AZ90" s="75"/>
      <c r="BA90" s="306"/>
      <c r="BB90" s="60" t="s">
        <v>2164</v>
      </c>
      <c r="BC90" s="2"/>
      <c r="BD90" s="298"/>
      <c r="BE90" s="2"/>
      <c r="BF90" s="302"/>
      <c r="BG90" s="75"/>
      <c r="BH90" s="302"/>
      <c r="BI90" s="58"/>
      <c r="BJ90" s="2"/>
      <c r="BK90" s="2"/>
      <c r="BL90"/>
      <c r="BM90" s="562"/>
      <c r="BN90" s="591">
        <v>77</v>
      </c>
      <c r="BO90" s="549" t="s">
        <v>1780</v>
      </c>
      <c r="BP90" s="549" t="s">
        <v>2408</v>
      </c>
      <c r="BQ90" s="550" t="s">
        <v>2408</v>
      </c>
      <c r="BR90" s="566">
        <v>609979.97959717736</v>
      </c>
      <c r="BS90" s="566"/>
      <c r="BT90" s="566">
        <v>3719285.9275968112</v>
      </c>
      <c r="BU90" s="566">
        <v>148871.06977057026</v>
      </c>
      <c r="BV90" s="566">
        <v>29046.964658771762</v>
      </c>
      <c r="BW90" s="566">
        <v>354.58649927045684</v>
      </c>
      <c r="BX90" s="566">
        <v>1940.2083672150629</v>
      </c>
      <c r="BY90" s="566">
        <v>9754666.4509385712</v>
      </c>
      <c r="BZ90" s="566">
        <v>718.59569156113434</v>
      </c>
      <c r="CA90" s="566">
        <v>1077483.6564284868</v>
      </c>
      <c r="CB90" s="566">
        <v>1.8785984147921005E-29</v>
      </c>
      <c r="CC90" s="566">
        <v>31342.755157521809</v>
      </c>
      <c r="CD90" s="566">
        <v>28672465.547985908</v>
      </c>
      <c r="CE90" s="566">
        <v>244.78136908321221</v>
      </c>
      <c r="CF90" s="566">
        <v>3414.655782275755</v>
      </c>
      <c r="CG90" s="566">
        <v>1664.6419810106079</v>
      </c>
      <c r="CH90" s="566">
        <v>13965.504030091848</v>
      </c>
      <c r="CI90" s="566">
        <v>616.53406704096597</v>
      </c>
      <c r="CJ90" s="566">
        <v>434771.06030900968</v>
      </c>
      <c r="CK90" s="566">
        <v>214404335.56975585</v>
      </c>
      <c r="CL90" s="566"/>
      <c r="CM90" s="566">
        <v>5158.2895848088519</v>
      </c>
      <c r="CN90" s="566">
        <v>2410.8735673177134</v>
      </c>
      <c r="CO90" s="566">
        <v>63228.02688231253</v>
      </c>
      <c r="CP90" s="566">
        <v>115290513.73785183</v>
      </c>
      <c r="CQ90" s="566"/>
      <c r="CR90" s="566">
        <v>2778.7968304678889</v>
      </c>
      <c r="CS90" s="566">
        <v>1107.7975127809127</v>
      </c>
      <c r="CT90" s="566">
        <v>160955.86862129834</v>
      </c>
      <c r="CU90" s="566">
        <v>114735400.81664026</v>
      </c>
      <c r="CV90" s="566"/>
      <c r="CW90" s="566">
        <v>2751.026418591694</v>
      </c>
      <c r="CX90" s="566">
        <v>262.50535422238704</v>
      </c>
      <c r="CY90" s="552"/>
    </row>
    <row r="91" spans="1:103" ht="12.75" customHeight="1" x14ac:dyDescent="0.3">
      <c r="A91" s="29"/>
      <c r="B91" s="6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131"/>
      <c r="Y91" s="436"/>
      <c r="Z91" s="29"/>
      <c r="AA91" s="282"/>
      <c r="AB91" s="282"/>
      <c r="AC91" s="282"/>
      <c r="AD91" s="282"/>
      <c r="AE91" s="282"/>
      <c r="AF91" s="282"/>
      <c r="AG91" s="282"/>
      <c r="AH91" s="282"/>
      <c r="AI91" s="282"/>
      <c r="AJ91" s="282"/>
      <c r="AK91" s="282"/>
      <c r="AL91" s="282"/>
      <c r="AM91" s="282"/>
      <c r="AN91" s="282"/>
      <c r="AO91" s="282"/>
      <c r="AP91" s="29"/>
      <c r="AQ91" s="437"/>
      <c r="AR91" s="2"/>
      <c r="AS91" s="302"/>
      <c r="AT91" s="54"/>
      <c r="AU91" s="302"/>
      <c r="AV91" s="2"/>
      <c r="AW91" s="75"/>
      <c r="AX91" s="298"/>
      <c r="AY91" s="308"/>
      <c r="AZ91" s="75"/>
      <c r="BA91" s="297">
        <f>output!AG23</f>
        <v>2.5413811838922241E-5</v>
      </c>
      <c r="BB91" s="309">
        <f>IF(ISERROR(output!F15),0,output!F15)</f>
        <v>3.9484000127363439E-4</v>
      </c>
      <c r="BC91" s="2"/>
      <c r="BD91" s="295">
        <f>output!AG28</f>
        <v>2.821209007072516E-5</v>
      </c>
      <c r="BE91" s="2"/>
      <c r="BF91" s="312">
        <f>output!AG30</f>
        <v>1.0448922248416723E-5</v>
      </c>
      <c r="BG91" s="75"/>
      <c r="BH91" s="295">
        <f>output!AG29</f>
        <v>1.0394239806790003E-4</v>
      </c>
      <c r="BI91" s="2"/>
      <c r="BJ91" s="2"/>
      <c r="BK91" s="2"/>
      <c r="BL91"/>
      <c r="BM91" s="562"/>
      <c r="BN91" s="591">
        <v>78</v>
      </c>
      <c r="BO91" s="549" t="s">
        <v>1854</v>
      </c>
      <c r="BP91" s="549" t="s">
        <v>2408</v>
      </c>
      <c r="BQ91" s="550" t="s">
        <v>2408</v>
      </c>
      <c r="BR91" s="566">
        <v>4.5360429585643143</v>
      </c>
      <c r="BS91" s="566"/>
      <c r="BT91" s="566">
        <v>31197988.869564675</v>
      </c>
      <c r="BU91" s="566">
        <v>1521056.7884489927</v>
      </c>
      <c r="BV91" s="566">
        <v>242888.88400061178</v>
      </c>
      <c r="BW91" s="566">
        <v>3611.7720834290781</v>
      </c>
      <c r="BX91" s="566">
        <v>256853.57273459632</v>
      </c>
      <c r="BY91" s="566">
        <v>5702636.3578618094</v>
      </c>
      <c r="BZ91" s="566">
        <v>95130.952864665262</v>
      </c>
      <c r="CA91" s="566">
        <v>1.7851160027314048E-4</v>
      </c>
      <c r="CB91" s="566">
        <v>3.6452523045254942E-34</v>
      </c>
      <c r="CC91" s="566">
        <v>158.27065074610354</v>
      </c>
      <c r="CD91" s="566">
        <v>100926369.76974395</v>
      </c>
      <c r="CE91" s="566">
        <v>1.2322006360888891</v>
      </c>
      <c r="CF91" s="566">
        <v>11982.558691575956</v>
      </c>
      <c r="CG91" s="566">
        <v>5.2380951856788247</v>
      </c>
      <c r="CH91" s="566">
        <v>43.490876290158035</v>
      </c>
      <c r="CI91" s="566">
        <v>1.9400352539551198</v>
      </c>
      <c r="CJ91" s="566">
        <v>8.3298239882664317E-8</v>
      </c>
      <c r="CK91" s="566">
        <v>1945295358.9773364</v>
      </c>
      <c r="CL91" s="566"/>
      <c r="CM91" s="566">
        <v>46657.420946419901</v>
      </c>
      <c r="CN91" s="566">
        <v>8.7729655290338243E-3</v>
      </c>
      <c r="CO91" s="566">
        <v>5.871836849234223E-8</v>
      </c>
      <c r="CP91" s="566">
        <v>1249390857.2858343</v>
      </c>
      <c r="CQ91" s="566"/>
      <c r="CR91" s="566">
        <v>30020.794721792132</v>
      </c>
      <c r="CS91" s="566">
        <v>3.3213163514700683E-3</v>
      </c>
      <c r="CT91" s="566">
        <v>1.1290370121975996E-7</v>
      </c>
      <c r="CU91" s="566">
        <v>2982538901.8548818</v>
      </c>
      <c r="CV91" s="566"/>
      <c r="CW91" s="566">
        <v>71293.656548991916</v>
      </c>
      <c r="CX91" s="566">
        <v>8.5072752499082919E-3</v>
      </c>
      <c r="CY91" s="552"/>
    </row>
    <row r="92" spans="1:103" ht="12.75" customHeight="1" x14ac:dyDescent="0.3">
      <c r="A92" s="29"/>
      <c r="B92" s="6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131"/>
      <c r="Y92" s="436"/>
      <c r="Z92" s="29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29"/>
      <c r="AQ92" s="437"/>
      <c r="AR92" s="2"/>
      <c r="AS92" s="303">
        <f>output!AC23</f>
        <v>0</v>
      </c>
      <c r="AT92" s="2"/>
      <c r="AU92" s="302"/>
      <c r="AV92" s="2"/>
      <c r="AW92" s="2"/>
      <c r="AX92" s="298"/>
      <c r="AY92" s="308"/>
      <c r="AZ92" s="75"/>
      <c r="BA92" s="75"/>
      <c r="BB92" s="75"/>
      <c r="BC92" s="2"/>
      <c r="BD92" s="298"/>
      <c r="BE92" s="2"/>
      <c r="BF92" s="302"/>
      <c r="BG92" s="75"/>
      <c r="BH92" s="302"/>
      <c r="BI92" s="2"/>
      <c r="BJ92" s="2"/>
      <c r="BK92" s="2"/>
      <c r="BL92"/>
      <c r="BM92" s="562"/>
      <c r="BN92" s="591">
        <v>79</v>
      </c>
      <c r="BO92" s="549" t="s">
        <v>1965</v>
      </c>
      <c r="BP92" s="549" t="s">
        <v>2408</v>
      </c>
      <c r="BQ92" s="550" t="s">
        <v>2408</v>
      </c>
      <c r="BR92" s="566">
        <v>186820.73877249364</v>
      </c>
      <c r="BS92" s="566"/>
      <c r="BT92" s="566">
        <v>2392207.8635264966</v>
      </c>
      <c r="BU92" s="566">
        <v>96349.118968906652</v>
      </c>
      <c r="BV92" s="566">
        <v>796666345.1341964</v>
      </c>
      <c r="BW92" s="566">
        <v>28824816.329994783</v>
      </c>
      <c r="BX92" s="566">
        <v>183713096.13994315</v>
      </c>
      <c r="BY92" s="566">
        <v>9391611289.991827</v>
      </c>
      <c r="BZ92" s="566">
        <v>68041887.459238201</v>
      </c>
      <c r="CA92" s="566">
        <v>330297.94815207954</v>
      </c>
      <c r="CB92" s="566">
        <v>2.2544500509914524E-32</v>
      </c>
      <c r="CC92" s="566">
        <v>6098.4958431681953</v>
      </c>
      <c r="CD92" s="566">
        <v>9012258.8088985737</v>
      </c>
      <c r="CE92" s="566">
        <v>2030954.9467957763</v>
      </c>
      <c r="CF92" s="566">
        <v>134810109.14521858</v>
      </c>
      <c r="CG92" s="566">
        <v>168313673.18905434</v>
      </c>
      <c r="CH92" s="566">
        <v>393639842.3126992</v>
      </c>
      <c r="CI92" s="566">
        <v>62338397.477427527</v>
      </c>
      <c r="CJ92" s="566">
        <v>96781.988016586562</v>
      </c>
      <c r="CK92" s="566">
        <v>270291723.37048101</v>
      </c>
      <c r="CL92" s="566"/>
      <c r="CM92" s="566">
        <v>816459007.20741737</v>
      </c>
      <c r="CN92" s="566">
        <v>177015671.23664141</v>
      </c>
      <c r="CO92" s="566">
        <v>9742.7242490889494</v>
      </c>
      <c r="CP92" s="566">
        <v>176180869.87681562</v>
      </c>
      <c r="CQ92" s="566"/>
      <c r="CR92" s="566">
        <v>533500220.85471374</v>
      </c>
      <c r="CS92" s="566">
        <v>52878623.360850863</v>
      </c>
      <c r="CT92" s="566">
        <v>15055.052510367828</v>
      </c>
      <c r="CU92" s="566">
        <v>522311627.01226139</v>
      </c>
      <c r="CV92" s="566"/>
      <c r="CW92" s="566">
        <v>1570516082.5348136</v>
      </c>
      <c r="CX92" s="566">
        <v>6985311.763827119</v>
      </c>
      <c r="CY92" s="552"/>
    </row>
    <row r="93" spans="1:103" ht="12.75" customHeight="1" x14ac:dyDescent="0.3">
      <c r="A93" s="29"/>
      <c r="B93" s="6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131"/>
      <c r="Y93" s="436"/>
      <c r="Z93" s="29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29"/>
      <c r="AQ93" s="437"/>
      <c r="AR93" s="2"/>
      <c r="AS93" s="303">
        <f>output!AC24</f>
        <v>0</v>
      </c>
      <c r="AT93" s="75"/>
      <c r="AU93" s="302"/>
      <c r="AV93" s="56"/>
      <c r="AW93" s="2"/>
      <c r="AX93" s="298"/>
      <c r="AY93" s="273" t="s">
        <v>447</v>
      </c>
      <c r="AZ93" s="75"/>
      <c r="BA93" s="2"/>
      <c r="BB93" s="75"/>
      <c r="BC93" s="2"/>
      <c r="BD93" s="298"/>
      <c r="BE93" s="2"/>
      <c r="BF93" s="302"/>
      <c r="BG93" s="75"/>
      <c r="BH93" s="302"/>
      <c r="BI93" s="2"/>
      <c r="BJ93" s="2"/>
      <c r="BK93" s="2"/>
      <c r="BL93"/>
      <c r="BM93" s="562"/>
      <c r="BN93" s="591">
        <v>80</v>
      </c>
      <c r="BO93" s="549" t="s">
        <v>1825</v>
      </c>
      <c r="BP93" s="549" t="s">
        <v>2408</v>
      </c>
      <c r="BQ93" s="550" t="s">
        <v>2408</v>
      </c>
      <c r="BR93" s="566">
        <v>11155.437243022068</v>
      </c>
      <c r="BS93" s="566"/>
      <c r="BT93" s="566">
        <v>57182627.623621695</v>
      </c>
      <c r="BU93" s="566">
        <v>2746971.4649335463</v>
      </c>
      <c r="BV93" s="566">
        <v>455099.97692580841</v>
      </c>
      <c r="BW93" s="566">
        <v>6665.4056161602921</v>
      </c>
      <c r="BX93" s="566">
        <v>683423.29890695226</v>
      </c>
      <c r="BY93" s="566">
        <v>12664074.469681114</v>
      </c>
      <c r="BZ93" s="566">
        <v>253119.74033590814</v>
      </c>
      <c r="CA93" s="566">
        <v>404.62609762283552</v>
      </c>
      <c r="CB93" s="566">
        <v>8.9977288937615878E-31</v>
      </c>
      <c r="CC93" s="566">
        <v>241681.90742197604</v>
      </c>
      <c r="CD93" s="566">
        <v>73586854.34787035</v>
      </c>
      <c r="CE93" s="566">
        <v>1923.4763259758092</v>
      </c>
      <c r="CF93" s="566">
        <v>8927.7635116921447</v>
      </c>
      <c r="CG93" s="566">
        <v>12845.622733982931</v>
      </c>
      <c r="CH93" s="566">
        <v>87645.752747061022</v>
      </c>
      <c r="CI93" s="566">
        <v>4757.6380496233078</v>
      </c>
      <c r="CJ93" s="566">
        <v>2.3058684677466377</v>
      </c>
      <c r="CK93" s="566">
        <v>90916978.251903281</v>
      </c>
      <c r="CL93" s="566"/>
      <c r="CM93" s="566">
        <v>2226.0852662916318</v>
      </c>
      <c r="CN93" s="566">
        <v>262.74802381746218</v>
      </c>
      <c r="CO93" s="566">
        <v>8.3109588743702917E-3</v>
      </c>
      <c r="CP93" s="566">
        <v>17760422.42423933</v>
      </c>
      <c r="CQ93" s="566"/>
      <c r="CR93" s="566">
        <v>436.01109590403451</v>
      </c>
      <c r="CS93" s="566">
        <v>2.987215104134461</v>
      </c>
      <c r="CT93" s="566">
        <v>2.0885746477767936E-2</v>
      </c>
      <c r="CU93" s="566">
        <v>4096618.1764043458</v>
      </c>
      <c r="CV93" s="566"/>
      <c r="CW93" s="566">
        <v>99.809697489085423</v>
      </c>
      <c r="CX93" s="566">
        <v>0.69207261486685601</v>
      </c>
      <c r="CY93" s="552"/>
    </row>
    <row r="94" spans="1:103" ht="12.75" customHeight="1" x14ac:dyDescent="0.3">
      <c r="A94" s="29"/>
      <c r="B94" s="6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131"/>
      <c r="Y94" s="436"/>
      <c r="Z94" s="29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29"/>
      <c r="AQ94" s="437"/>
      <c r="AR94" s="2"/>
      <c r="AS94" s="303">
        <f>output!AC25</f>
        <v>0</v>
      </c>
      <c r="AT94" s="75"/>
      <c r="AU94" s="302"/>
      <c r="AV94" s="2"/>
      <c r="AW94" s="75"/>
      <c r="AX94" s="298"/>
      <c r="AY94" s="309">
        <f>IF(ISERROR(output!F19),0,output!F19)</f>
        <v>3.2710840950735364E-4</v>
      </c>
      <c r="AZ94" s="75"/>
      <c r="BA94" s="75"/>
      <c r="BB94" s="75"/>
      <c r="BC94" s="75"/>
      <c r="BD94" s="302"/>
      <c r="BE94" s="2"/>
      <c r="BF94" s="302"/>
      <c r="BG94" s="75"/>
      <c r="BH94" s="302"/>
      <c r="BI94" s="75"/>
      <c r="BJ94" s="2"/>
      <c r="BK94" s="2"/>
      <c r="BL94"/>
      <c r="BM94" s="562"/>
      <c r="BN94" s="591">
        <v>81</v>
      </c>
      <c r="BO94" s="549" t="s">
        <v>1828</v>
      </c>
      <c r="BP94" s="549" t="s">
        <v>2408</v>
      </c>
      <c r="BQ94" s="550" t="s">
        <v>2408</v>
      </c>
      <c r="BR94" s="566">
        <v>0.96942315892997588</v>
      </c>
      <c r="BS94" s="566"/>
      <c r="BT94" s="566">
        <v>52591261.50703568</v>
      </c>
      <c r="BU94" s="566">
        <v>2564092.3635607781</v>
      </c>
      <c r="BV94" s="566">
        <v>412601.67478949355</v>
      </c>
      <c r="BW94" s="566">
        <v>6134.6246383243715</v>
      </c>
      <c r="BX94" s="566">
        <v>448827.08279885125</v>
      </c>
      <c r="BY94" s="566">
        <v>9941494.2709007803</v>
      </c>
      <c r="BZ94" s="566">
        <v>166232.25288846344</v>
      </c>
      <c r="CA94" s="566">
        <v>4.8511195690654775E-6</v>
      </c>
      <c r="CB94" s="566">
        <v>7.8238293460932067E-35</v>
      </c>
      <c r="CC94" s="566">
        <v>33.897998305362542</v>
      </c>
      <c r="CD94" s="566">
        <v>170132370.01959181</v>
      </c>
      <c r="CE94" s="566">
        <v>0.26594476861774646</v>
      </c>
      <c r="CF94" s="566">
        <v>20352.196428862524</v>
      </c>
      <c r="CG94" s="566">
        <v>1.1638744495151407</v>
      </c>
      <c r="CH94" s="566">
        <v>9.6410191558962897</v>
      </c>
      <c r="CI94" s="566">
        <v>0.43106461093153337</v>
      </c>
      <c r="CJ94" s="566">
        <v>8.265031243407459E-8</v>
      </c>
      <c r="CK94" s="566">
        <v>3279196212.5085373</v>
      </c>
      <c r="CL94" s="566"/>
      <c r="CM94" s="566">
        <v>79246.848841710336</v>
      </c>
      <c r="CN94" s="566">
        <v>7.1172514588821081E-2</v>
      </c>
      <c r="CO94" s="566">
        <v>1.2721129739627211E-8</v>
      </c>
      <c r="CP94" s="566">
        <v>2106105657.9401875</v>
      </c>
      <c r="CQ94" s="566"/>
      <c r="CR94" s="566">
        <v>50990.502031128533</v>
      </c>
      <c r="CS94" s="566">
        <v>2.7290157970787782E-2</v>
      </c>
      <c r="CT94" s="566">
        <v>2.6449142086710797E-7</v>
      </c>
      <c r="CU94" s="566">
        <v>5027680408.4104586</v>
      </c>
      <c r="CV94" s="566"/>
      <c r="CW94" s="566">
        <v>121087.96365268662</v>
      </c>
      <c r="CX94" s="566">
        <v>6.9859570697397178E-2</v>
      </c>
      <c r="CY94" s="552"/>
    </row>
    <row r="95" spans="1:103" ht="12.75" customHeight="1" x14ac:dyDescent="0.3">
      <c r="A95" s="29"/>
      <c r="B95" s="6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131"/>
      <c r="Y95" s="436"/>
      <c r="Z95" s="29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29"/>
      <c r="AQ95" s="437"/>
      <c r="AR95" s="2"/>
      <c r="AS95" s="2"/>
      <c r="AT95" s="75"/>
      <c r="AU95" s="302"/>
      <c r="AV95" s="75"/>
      <c r="AW95" s="2"/>
      <c r="AX95" s="290">
        <f>output!AG24</f>
        <v>2.1030818304487553E-5</v>
      </c>
      <c r="AY95" s="308"/>
      <c r="AZ95" s="75"/>
      <c r="BA95" s="75"/>
      <c r="BB95" s="75"/>
      <c r="BC95" s="75"/>
      <c r="BD95" s="292" t="s">
        <v>124</v>
      </c>
      <c r="BE95" s="2"/>
      <c r="BF95" s="292" t="s">
        <v>205</v>
      </c>
      <c r="BG95" s="2"/>
      <c r="BH95" s="292" t="s">
        <v>2065</v>
      </c>
      <c r="BI95" s="2"/>
      <c r="BJ95" s="2"/>
      <c r="BK95" s="2"/>
      <c r="BL95"/>
      <c r="BM95" s="562"/>
      <c r="BN95" s="591">
        <v>82</v>
      </c>
      <c r="BO95" s="549" t="s">
        <v>30</v>
      </c>
      <c r="BP95" s="549" t="s">
        <v>2408</v>
      </c>
      <c r="BQ95" s="550" t="s">
        <v>2408</v>
      </c>
      <c r="BR95" s="566">
        <v>389390.74168799975</v>
      </c>
      <c r="BS95" s="566"/>
      <c r="BT95" s="566">
        <v>8850660.5478870105</v>
      </c>
      <c r="BU95" s="566">
        <v>367442.8084757434</v>
      </c>
      <c r="BV95" s="566">
        <v>82737.315804726721</v>
      </c>
      <c r="BW95" s="566">
        <v>1044.1181035152254</v>
      </c>
      <c r="BX95" s="566">
        <v>27728.946590750311</v>
      </c>
      <c r="BY95" s="566">
        <v>6967512.7987403907</v>
      </c>
      <c r="BZ95" s="566">
        <v>10269.980218796412</v>
      </c>
      <c r="CA95" s="566">
        <v>445734.57378363115</v>
      </c>
      <c r="CB95" s="566">
        <v>1.8804527600968372E-29</v>
      </c>
      <c r="CC95" s="566">
        <v>110329.63161490155</v>
      </c>
      <c r="CD95" s="566">
        <v>6355600.4863800034</v>
      </c>
      <c r="CE95" s="566">
        <v>1031.3781128709725</v>
      </c>
      <c r="CF95" s="566">
        <v>902.99733366228156</v>
      </c>
      <c r="CG95" s="566">
        <v>17154.335338085395</v>
      </c>
      <c r="CH95" s="566">
        <v>91380.715203459869</v>
      </c>
      <c r="CI95" s="566">
        <v>6353.4575326242184</v>
      </c>
      <c r="CJ95" s="566">
        <v>79786.539621007629</v>
      </c>
      <c r="CK95" s="566">
        <v>1811734.1251511446</v>
      </c>
      <c r="CL95" s="566"/>
      <c r="CM95" s="566">
        <v>51.479688465408188</v>
      </c>
      <c r="CN95" s="566">
        <v>11021.250132603047</v>
      </c>
      <c r="CO95" s="566">
        <v>4103.3054674313989</v>
      </c>
      <c r="CP95" s="566">
        <v>316685.29274260887</v>
      </c>
      <c r="CQ95" s="566"/>
      <c r="CR95" s="566">
        <v>9.0895031286087065</v>
      </c>
      <c r="CS95" s="566">
        <v>1929.103634031037</v>
      </c>
      <c r="CT95" s="566">
        <v>6414.5216143416965</v>
      </c>
      <c r="CU95" s="566">
        <v>46946.430262871807</v>
      </c>
      <c r="CV95" s="566"/>
      <c r="CW95" s="566">
        <v>1.3090561531708729</v>
      </c>
      <c r="CX95" s="566">
        <v>246.41170649012878</v>
      </c>
      <c r="CY95" s="552"/>
    </row>
    <row r="96" spans="1:103" ht="12.75" customHeight="1" x14ac:dyDescent="0.3">
      <c r="A96" s="29"/>
      <c r="B96" s="6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131"/>
      <c r="Y96" s="436"/>
      <c r="Z96" s="29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29"/>
      <c r="AQ96" s="437"/>
      <c r="AR96" s="2"/>
      <c r="AS96" s="2"/>
      <c r="AT96" s="75"/>
      <c r="AU96" s="302"/>
      <c r="AV96" s="75"/>
      <c r="AW96" s="75"/>
      <c r="AX96" s="302"/>
      <c r="AY96" s="304">
        <f>IF(output!AN26&lt;0,"",output!AN26)</f>
        <v>4.6194509877219488E-6</v>
      </c>
      <c r="AZ96" s="75"/>
      <c r="BA96" s="75"/>
      <c r="BB96" s="43"/>
      <c r="BC96" s="2"/>
      <c r="BD96" s="277">
        <f>IF(ISERROR(output!F39),0,output!F39)</f>
        <v>8.7640400049250155E-4</v>
      </c>
      <c r="BE96" s="43"/>
      <c r="BF96" s="277">
        <f>IF(ISERROR(output!F47),0,output!F47)</f>
        <v>3.2459407425648197E-4</v>
      </c>
      <c r="BG96" s="43"/>
      <c r="BH96" s="277">
        <f>IF(ISERROR(output!F43),0,output!F43)</f>
        <v>3.2289537307985117E-3</v>
      </c>
      <c r="BI96" s="75"/>
      <c r="BJ96" s="2"/>
      <c r="BK96" s="2"/>
      <c r="BL96"/>
      <c r="BM96" s="562"/>
      <c r="BN96" s="591">
        <v>83</v>
      </c>
      <c r="BO96" s="549" t="s">
        <v>1847</v>
      </c>
      <c r="BP96" s="549" t="s">
        <v>2408</v>
      </c>
      <c r="BQ96" s="550" t="s">
        <v>2408</v>
      </c>
      <c r="BR96" s="566">
        <v>555883.41002063395</v>
      </c>
      <c r="BS96" s="566"/>
      <c r="BT96" s="566">
        <v>2049748.9874315751</v>
      </c>
      <c r="BU96" s="566">
        <v>71440.575208325012</v>
      </c>
      <c r="BV96" s="566">
        <v>16602.464157892995</v>
      </c>
      <c r="BW96" s="566">
        <v>176.36540602595784</v>
      </c>
      <c r="BX96" s="566">
        <v>32.6061752933253</v>
      </c>
      <c r="BY96" s="566">
        <v>11193890.542829948</v>
      </c>
      <c r="BZ96" s="566">
        <v>12.076361219750106</v>
      </c>
      <c r="CA96" s="566">
        <v>1100338.7105470491</v>
      </c>
      <c r="CB96" s="566">
        <v>3.0301341410792294E-31</v>
      </c>
      <c r="CC96" s="566">
        <v>312.97333168860519</v>
      </c>
      <c r="CD96" s="566">
        <v>2030449.895016182</v>
      </c>
      <c r="CE96" s="566">
        <v>2.5350072392265943</v>
      </c>
      <c r="CF96" s="566">
        <v>250.62866522676205</v>
      </c>
      <c r="CG96" s="566">
        <v>29.965277985893657</v>
      </c>
      <c r="CH96" s="566">
        <v>247.82064234924718</v>
      </c>
      <c r="CI96" s="566">
        <v>11.09825110588654</v>
      </c>
      <c r="CJ96" s="566">
        <v>373591.02613018517</v>
      </c>
      <c r="CK96" s="566">
        <v>7611855.5218674652</v>
      </c>
      <c r="CL96" s="566"/>
      <c r="CM96" s="566">
        <v>189.81007520865148</v>
      </c>
      <c r="CN96" s="566">
        <v>36.516740902412565</v>
      </c>
      <c r="CO96" s="566">
        <v>44463.307097246507</v>
      </c>
      <c r="CP96" s="566">
        <v>1767078.0481080625</v>
      </c>
      <c r="CQ96" s="566"/>
      <c r="CR96" s="566">
        <v>44.147257729075427</v>
      </c>
      <c r="CS96" s="566">
        <v>16.778191090335682</v>
      </c>
      <c r="CT96" s="566">
        <v>66506.996526339062</v>
      </c>
      <c r="CU96" s="566">
        <v>2725625.6928760693</v>
      </c>
      <c r="CV96" s="566"/>
      <c r="CW96" s="566">
        <v>67.727907115098205</v>
      </c>
      <c r="CX96" s="566">
        <v>1.9250267323753985</v>
      </c>
      <c r="CY96" s="552"/>
    </row>
    <row r="97" spans="1:103" ht="12.75" customHeight="1" x14ac:dyDescent="0.3">
      <c r="A97" s="29"/>
      <c r="B97" s="6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131"/>
      <c r="Y97" s="436"/>
      <c r="Z97" s="29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29"/>
      <c r="AQ97" s="437"/>
      <c r="AR97" s="2"/>
      <c r="AS97" s="2"/>
      <c r="AT97" s="77"/>
      <c r="AU97" s="290">
        <f>output!AG25</f>
        <v>1.5309393514494361E-2</v>
      </c>
      <c r="AV97" s="75"/>
      <c r="AW97" s="2"/>
      <c r="AX97" s="302"/>
      <c r="AY97" s="304"/>
      <c r="AZ97" s="75"/>
      <c r="BA97" s="75"/>
      <c r="BB97" s="2"/>
      <c r="BC97" s="2"/>
      <c r="BD97" s="302"/>
      <c r="BE97" s="75"/>
      <c r="BF97" s="302"/>
      <c r="BG97" s="75"/>
      <c r="BH97" s="302"/>
      <c r="BI97" s="75"/>
      <c r="BJ97" s="2"/>
      <c r="BK97" s="2"/>
      <c r="BL97"/>
      <c r="BM97" s="562"/>
      <c r="BN97" s="591">
        <v>84</v>
      </c>
      <c r="BO97" s="549" t="s">
        <v>1812</v>
      </c>
      <c r="BP97" s="549" t="s">
        <v>2408</v>
      </c>
      <c r="BQ97" s="550" t="s">
        <v>2408</v>
      </c>
      <c r="BR97" s="566">
        <v>4353.8755467213014</v>
      </c>
      <c r="BS97" s="566"/>
      <c r="BT97" s="566">
        <v>8206789.6704166699</v>
      </c>
      <c r="BU97" s="566">
        <v>348894.65249912068</v>
      </c>
      <c r="BV97" s="566">
        <v>1096232.9064608316</v>
      </c>
      <c r="BW97" s="566">
        <v>12666.874998061881</v>
      </c>
      <c r="BX97" s="566">
        <v>16850991.02968026</v>
      </c>
      <c r="BY97" s="566">
        <v>296775715.57010233</v>
      </c>
      <c r="BZ97" s="566">
        <v>6241107.788770468</v>
      </c>
      <c r="CA97" s="566">
        <v>131.34756886108184</v>
      </c>
      <c r="CB97" s="566">
        <v>3.4692943747880364E-31</v>
      </c>
      <c r="CC97" s="566">
        <v>28007.455098325681</v>
      </c>
      <c r="CD97" s="566">
        <v>2041699.6563248632</v>
      </c>
      <c r="CE97" s="566">
        <v>3741.1332735483611</v>
      </c>
      <c r="CF97" s="566">
        <v>3706.2698073766142</v>
      </c>
      <c r="CG97" s="566">
        <v>263418.92642232345</v>
      </c>
      <c r="CH97" s="566">
        <v>1701376.4305240996</v>
      </c>
      <c r="CI97" s="566">
        <v>97562.56534160125</v>
      </c>
      <c r="CJ97" s="566">
        <v>0.58265387804264024</v>
      </c>
      <c r="CK97" s="566">
        <v>292508.39853051759</v>
      </c>
      <c r="CL97" s="566"/>
      <c r="CM97" s="566">
        <v>106.19306158608798</v>
      </c>
      <c r="CN97" s="566">
        <v>4194.1043679042532</v>
      </c>
      <c r="CO97" s="566">
        <v>6.2971530315018441E-4</v>
      </c>
      <c r="CP97" s="566">
        <v>7805.4135423637454</v>
      </c>
      <c r="CQ97" s="566"/>
      <c r="CR97" s="566">
        <v>2.8624184053642292</v>
      </c>
      <c r="CS97" s="566">
        <v>12.112759652243662</v>
      </c>
      <c r="CT97" s="566">
        <v>1.2884283688503614E-3</v>
      </c>
      <c r="CU97" s="566">
        <v>1342.8762316995958</v>
      </c>
      <c r="CV97" s="566"/>
      <c r="CW97" s="566">
        <v>0.47840100432809857</v>
      </c>
      <c r="CX97" s="566">
        <v>2.7421927567219702</v>
      </c>
      <c r="CY97" s="552"/>
    </row>
    <row r="98" spans="1:103" ht="12.75" customHeight="1" x14ac:dyDescent="0.3">
      <c r="A98" s="29"/>
      <c r="B98" s="6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131"/>
      <c r="Y98" s="436"/>
      <c r="Z98" s="29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29"/>
      <c r="AQ98" s="437"/>
      <c r="AR98" s="2"/>
      <c r="AS98" s="2"/>
      <c r="AT98" s="75"/>
      <c r="AU98" s="302"/>
      <c r="AV98" s="75"/>
      <c r="AW98" s="75"/>
      <c r="AX98" s="302"/>
      <c r="AY98" s="304">
        <f>IF(output!AM26&lt;0,"",output!AM26)</f>
        <v>5.4260846768070559E-6</v>
      </c>
      <c r="AZ98" s="75"/>
      <c r="BA98" s="75"/>
      <c r="BB98" s="75"/>
      <c r="BC98" s="75"/>
      <c r="BD98" s="302"/>
      <c r="BE98" s="75"/>
      <c r="BF98" s="302"/>
      <c r="BG98" s="75"/>
      <c r="BH98" s="302"/>
      <c r="BI98" s="75"/>
      <c r="BJ98" s="316">
        <f>output!AC29</f>
        <v>0</v>
      </c>
      <c r="BK98" s="2"/>
      <c r="BL98"/>
      <c r="BM98" s="562"/>
      <c r="BN98" s="591">
        <v>85</v>
      </c>
      <c r="BO98" s="549" t="s">
        <v>1858</v>
      </c>
      <c r="BP98" s="549" t="s">
        <v>2408</v>
      </c>
      <c r="BQ98" s="550" t="s">
        <v>2408</v>
      </c>
      <c r="BR98" s="566">
        <v>42587.933513238379</v>
      </c>
      <c r="BS98" s="566"/>
      <c r="BT98" s="566">
        <v>14671083.96575563</v>
      </c>
      <c r="BU98" s="566">
        <v>622791.16692135809</v>
      </c>
      <c r="BV98" s="566">
        <v>116188.15939701929</v>
      </c>
      <c r="BW98" s="566">
        <v>1503.8651361875557</v>
      </c>
      <c r="BX98" s="566">
        <v>316445.63275886484</v>
      </c>
      <c r="BY98" s="566">
        <v>5206721.7419594508</v>
      </c>
      <c r="BZ98" s="566">
        <v>117202.08620698692</v>
      </c>
      <c r="CA98" s="566">
        <v>5640.8754266138958</v>
      </c>
      <c r="CB98" s="566">
        <v>2.379971702959018E-30</v>
      </c>
      <c r="CC98" s="566">
        <v>112079.52881850052</v>
      </c>
      <c r="CD98" s="566">
        <v>4065177.2505976344</v>
      </c>
      <c r="CE98" s="566">
        <v>887.61772408246497</v>
      </c>
      <c r="CF98" s="566">
        <v>490.81286507460476</v>
      </c>
      <c r="CG98" s="566">
        <v>21738.658336790832</v>
      </c>
      <c r="CH98" s="566">
        <v>94586.581051777204</v>
      </c>
      <c r="CI98" s="566">
        <v>8051.3549395521568</v>
      </c>
      <c r="CJ98" s="566">
        <v>110.65647904595525</v>
      </c>
      <c r="CK98" s="566">
        <v>596988.75528734794</v>
      </c>
      <c r="CL98" s="566"/>
      <c r="CM98" s="566">
        <v>14.414984462248134</v>
      </c>
      <c r="CN98" s="566">
        <v>1530.6176984759541</v>
      </c>
      <c r="CO98" s="566">
        <v>0.509376773027857</v>
      </c>
      <c r="CP98" s="566">
        <v>16414.681407449905</v>
      </c>
      <c r="CQ98" s="566"/>
      <c r="CR98" s="566">
        <v>0.40023325517301628</v>
      </c>
      <c r="CS98" s="566">
        <v>24.766419123840784</v>
      </c>
      <c r="CT98" s="566">
        <v>1.0361140194949048</v>
      </c>
      <c r="CU98" s="566">
        <v>2808.3492013050959</v>
      </c>
      <c r="CV98" s="566"/>
      <c r="CW98" s="566">
        <v>6.6584029152396487E-2</v>
      </c>
      <c r="CX98" s="566">
        <v>3.866118935796294</v>
      </c>
      <c r="CY98" s="552"/>
    </row>
    <row r="99" spans="1:103" ht="12.75" customHeight="1" x14ac:dyDescent="0.3">
      <c r="A99" s="29"/>
      <c r="B99" s="6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9"/>
      <c r="Y99" s="436"/>
      <c r="Z99" s="29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29"/>
      <c r="AQ99" s="437"/>
      <c r="AR99" s="2"/>
      <c r="AS99" s="75"/>
      <c r="AT99" s="2"/>
      <c r="AU99" s="302"/>
      <c r="AV99" s="75"/>
      <c r="AW99" s="75"/>
      <c r="AX99" s="290">
        <f>output!AG26</f>
        <v>6.2174983312971711E-7</v>
      </c>
      <c r="AY99" s="308"/>
      <c r="AZ99" s="53"/>
      <c r="BA99" s="75"/>
      <c r="BB99" s="75"/>
      <c r="BC99" s="75"/>
      <c r="BD99" s="302"/>
      <c r="BE99" s="75"/>
      <c r="BF99" s="302"/>
      <c r="BG99" s="75"/>
      <c r="BH99" s="302"/>
      <c r="BI99" s="75"/>
      <c r="BJ99" s="316">
        <f>output!AC30</f>
        <v>0</v>
      </c>
      <c r="BK99" s="2"/>
      <c r="BL99"/>
      <c r="BM99" s="562"/>
      <c r="BN99" s="591">
        <v>86</v>
      </c>
      <c r="BO99" s="549" t="s">
        <v>1913</v>
      </c>
      <c r="BP99" s="549" t="s">
        <v>2408</v>
      </c>
      <c r="BQ99" s="550" t="s">
        <v>2408</v>
      </c>
      <c r="BR99" s="566">
        <v>289547.84157322277</v>
      </c>
      <c r="BS99" s="566"/>
      <c r="BT99" s="566">
        <v>2534803.7249340247</v>
      </c>
      <c r="BU99" s="566">
        <v>83387.565808876127</v>
      </c>
      <c r="BV99" s="566">
        <v>62900.48512977676</v>
      </c>
      <c r="BW99" s="566">
        <v>611.3427604221414</v>
      </c>
      <c r="BX99" s="566">
        <v>2.0215218801400217</v>
      </c>
      <c r="BY99" s="566">
        <v>9782559.354994528</v>
      </c>
      <c r="BZ99" s="566">
        <v>0.74871180745926746</v>
      </c>
      <c r="CA99" s="566">
        <v>74013.319602456715</v>
      </c>
      <c r="CB99" s="566">
        <v>9.6145039331947649E-34</v>
      </c>
      <c r="CC99" s="566">
        <v>0.77589285924986295</v>
      </c>
      <c r="CD99" s="566">
        <v>1823947.8258101163</v>
      </c>
      <c r="CE99" s="566">
        <v>1.92535764309784E-2</v>
      </c>
      <c r="CF99" s="566">
        <v>668.59926170073413</v>
      </c>
      <c r="CG99" s="566">
        <v>0.19899175926687365</v>
      </c>
      <c r="CH99" s="566">
        <v>0.66576710701470221</v>
      </c>
      <c r="CI99" s="566">
        <v>7.3700651580323601E-2</v>
      </c>
      <c r="CJ99" s="566">
        <v>3737.5597168131585</v>
      </c>
      <c r="CK99" s="566">
        <v>5442259.3425829606</v>
      </c>
      <c r="CL99" s="566"/>
      <c r="CM99" s="566">
        <v>403.01639082081272</v>
      </c>
      <c r="CN99" s="566">
        <v>3.6067580012793282E-2</v>
      </c>
      <c r="CO99" s="566">
        <v>223.87674631917005</v>
      </c>
      <c r="CP99" s="566">
        <v>821277.39387840987</v>
      </c>
      <c r="CQ99" s="566"/>
      <c r="CR99" s="566">
        <v>61.146267075928307</v>
      </c>
      <c r="CS99" s="566">
        <v>6.663424810498632E-3</v>
      </c>
      <c r="CT99" s="566">
        <v>327.95592653561425</v>
      </c>
      <c r="CU99" s="566">
        <v>1617465.6634281657</v>
      </c>
      <c r="CV99" s="566"/>
      <c r="CW99" s="566">
        <v>118.58902355266625</v>
      </c>
      <c r="CX99" s="566">
        <v>1.031260061753162E-3</v>
      </c>
      <c r="CY99" s="552"/>
    </row>
    <row r="100" spans="1:103" ht="12.75" customHeight="1" x14ac:dyDescent="0.3">
      <c r="A100" s="29"/>
      <c r="B100" s="6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9"/>
      <c r="Y100" s="436"/>
      <c r="Z100" s="29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29"/>
      <c r="AQ100" s="437"/>
      <c r="AR100" s="2"/>
      <c r="AS100" s="2"/>
      <c r="AT100" s="75"/>
      <c r="AU100" s="302"/>
      <c r="AV100" s="60" t="s">
        <v>2158</v>
      </c>
      <c r="AW100" s="54"/>
      <c r="AX100" s="302"/>
      <c r="AY100" s="309" t="s">
        <v>2159</v>
      </c>
      <c r="AZ100" s="75"/>
      <c r="BA100" s="2"/>
      <c r="BB100" s="75"/>
      <c r="BC100" s="75"/>
      <c r="BD100" s="302"/>
      <c r="BE100" s="75"/>
      <c r="BF100" s="302"/>
      <c r="BG100" s="75"/>
      <c r="BH100" s="302"/>
      <c r="BI100" s="75"/>
      <c r="BJ100" s="316">
        <f>output!AC28</f>
        <v>0</v>
      </c>
      <c r="BK100" s="2"/>
      <c r="BL100"/>
      <c r="BM100" s="562"/>
      <c r="BN100" s="591">
        <v>87</v>
      </c>
      <c r="BO100" s="549" t="s">
        <v>1945</v>
      </c>
      <c r="BP100" s="549" t="s">
        <v>2408</v>
      </c>
      <c r="BQ100" s="550" t="s">
        <v>2408</v>
      </c>
      <c r="BR100" s="566">
        <v>239870.59845876391</v>
      </c>
      <c r="BS100" s="566"/>
      <c r="BT100" s="566">
        <v>12625683.847348267</v>
      </c>
      <c r="BU100" s="566">
        <v>603020.69114948576</v>
      </c>
      <c r="BV100" s="566">
        <v>99584.937219166342</v>
      </c>
      <c r="BW100" s="566">
        <v>1450.334119890033</v>
      </c>
      <c r="BX100" s="566">
        <v>16032.467416217103</v>
      </c>
      <c r="BY100" s="566">
        <v>5191065.0953504946</v>
      </c>
      <c r="BZ100" s="566">
        <v>5937.9508948952234</v>
      </c>
      <c r="CA100" s="566">
        <v>347704.08465946576</v>
      </c>
      <c r="CB100" s="566">
        <v>1.1699359102039026E-29</v>
      </c>
      <c r="CC100" s="566">
        <v>233768.49602157273</v>
      </c>
      <c r="CD100" s="566">
        <v>61910321.756286584</v>
      </c>
      <c r="CE100" s="566">
        <v>1843.8463438173792</v>
      </c>
      <c r="CF100" s="566">
        <v>7445.0722283967207</v>
      </c>
      <c r="CG100" s="566">
        <v>11210.291761219925</v>
      </c>
      <c r="CH100" s="566">
        <v>93837.407571910531</v>
      </c>
      <c r="CI100" s="566">
        <v>4151.9599115629344</v>
      </c>
      <c r="CJ100" s="566">
        <v>136566.41396744162</v>
      </c>
      <c r="CK100" s="566">
        <v>982874160.65233719</v>
      </c>
      <c r="CL100" s="566"/>
      <c r="CM100" s="566">
        <v>23877.784929826947</v>
      </c>
      <c r="CN100" s="566">
        <v>15803.551068257493</v>
      </c>
      <c r="CO100" s="566">
        <v>18606.394627357848</v>
      </c>
      <c r="CP100" s="566">
        <v>626290416.06776476</v>
      </c>
      <c r="CQ100" s="566"/>
      <c r="CR100" s="566">
        <v>15243.002259959139</v>
      </c>
      <c r="CS100" s="566">
        <v>7250.4228225907973</v>
      </c>
      <c r="CT100" s="566">
        <v>131729.72800344412</v>
      </c>
      <c r="CU100" s="566">
        <v>1239921385.1602569</v>
      </c>
      <c r="CV100" s="566"/>
      <c r="CW100" s="566">
        <v>30019.355827094598</v>
      </c>
      <c r="CX100" s="566">
        <v>4386.1184652792926</v>
      </c>
      <c r="CY100" s="552"/>
    </row>
    <row r="101" spans="1:103" ht="12.75" customHeight="1" x14ac:dyDescent="0.3">
      <c r="A101" s="29"/>
      <c r="B101" s="6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9"/>
      <c r="Y101" s="436"/>
      <c r="Z101" s="29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29"/>
      <c r="AQ101" s="437"/>
      <c r="AR101" s="2"/>
      <c r="AS101" s="2"/>
      <c r="AT101" s="75"/>
      <c r="AU101" s="302"/>
      <c r="AV101" s="273">
        <f>IF(ISERROR(output!F27),0,output!F27)</f>
        <v>0.23793572191873527</v>
      </c>
      <c r="AW101" s="56"/>
      <c r="AX101" s="307"/>
      <c r="AY101" s="276">
        <f>IF(ISERROR(output!F23),0,output!F23)</f>
        <v>8.6834355974796395E-5</v>
      </c>
      <c r="AZ101" s="75"/>
      <c r="BA101" s="2"/>
      <c r="BB101" s="75"/>
      <c r="BC101" s="75"/>
      <c r="BD101" s="302"/>
      <c r="BE101" s="75"/>
      <c r="BF101" s="302"/>
      <c r="BG101" s="75"/>
      <c r="BH101" s="302"/>
      <c r="BI101" s="75"/>
      <c r="BJ101" s="2"/>
      <c r="BK101" s="2"/>
      <c r="BL101"/>
      <c r="BM101" s="562"/>
      <c r="BN101" s="591">
        <v>88</v>
      </c>
      <c r="BO101" s="549" t="s">
        <v>1866</v>
      </c>
      <c r="BP101" s="549" t="s">
        <v>2408</v>
      </c>
      <c r="BQ101" s="550" t="s">
        <v>2408</v>
      </c>
      <c r="BR101" s="566">
        <v>209657.47266401706</v>
      </c>
      <c r="BS101" s="566"/>
      <c r="BT101" s="566">
        <v>2821912.8059378732</v>
      </c>
      <c r="BU101" s="566">
        <v>114846.04649664286</v>
      </c>
      <c r="BV101" s="566">
        <v>22063.766175195975</v>
      </c>
      <c r="BW101" s="566">
        <v>273.85101757683179</v>
      </c>
      <c r="BX101" s="566">
        <v>660.15210469342901</v>
      </c>
      <c r="BY101" s="566">
        <v>3720756.1530470029</v>
      </c>
      <c r="BZ101" s="566">
        <v>244.50077951608466</v>
      </c>
      <c r="CA101" s="566">
        <v>104233.46356578892</v>
      </c>
      <c r="CB101" s="566">
        <v>1.8968474667989842E-30</v>
      </c>
      <c r="CC101" s="566">
        <v>3641.8342347222433</v>
      </c>
      <c r="CD101" s="566">
        <v>6193068.4955962198</v>
      </c>
      <c r="CE101" s="566">
        <v>28.474508083544389</v>
      </c>
      <c r="CF101" s="566">
        <v>738.37026226741739</v>
      </c>
      <c r="CG101" s="566">
        <v>180.04097112972701</v>
      </c>
      <c r="CH101" s="566">
        <v>1089.5353256582398</v>
      </c>
      <c r="CI101" s="566">
        <v>66.681841159158125</v>
      </c>
      <c r="CJ101" s="566">
        <v>12713.996414919959</v>
      </c>
      <c r="CK101" s="566">
        <v>34356926.525878988</v>
      </c>
      <c r="CL101" s="566"/>
      <c r="CM101" s="566">
        <v>827.50930353825265</v>
      </c>
      <c r="CN101" s="566">
        <v>78.822447818871709</v>
      </c>
      <c r="CO101" s="566">
        <v>1356.546413296235</v>
      </c>
      <c r="CP101" s="566">
        <v>14499991.175647326</v>
      </c>
      <c r="CQ101" s="566"/>
      <c r="CR101" s="566">
        <v>349.87929981015907</v>
      </c>
      <c r="CS101" s="566">
        <v>29.579525650652897</v>
      </c>
      <c r="CT101" s="566">
        <v>3432.320045118357</v>
      </c>
      <c r="CU101" s="566">
        <v>16384526.285641184</v>
      </c>
      <c r="CV101" s="566"/>
      <c r="CW101" s="566">
        <v>393.29282395053565</v>
      </c>
      <c r="CX101" s="566">
        <v>5.9317360347524186</v>
      </c>
      <c r="CY101" s="552"/>
    </row>
    <row r="102" spans="1:103" ht="12.75" customHeight="1" x14ac:dyDescent="0.3">
      <c r="A102" s="29"/>
      <c r="B102" s="6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9"/>
      <c r="Y102" s="436"/>
      <c r="Z102" s="29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29"/>
      <c r="AQ102" s="437"/>
      <c r="AR102" s="2"/>
      <c r="AS102" s="2"/>
      <c r="AT102" s="52"/>
      <c r="AU102" s="302"/>
      <c r="AV102" s="308"/>
      <c r="AW102" s="75"/>
      <c r="AX102" s="302"/>
      <c r="AY102" s="75"/>
      <c r="AZ102" s="75"/>
      <c r="BA102" s="75"/>
      <c r="BB102" s="75"/>
      <c r="BC102" s="75"/>
      <c r="BD102" s="302"/>
      <c r="BE102" s="75"/>
      <c r="BF102" s="302"/>
      <c r="BG102" s="75"/>
      <c r="BH102" s="302"/>
      <c r="BI102" s="75"/>
      <c r="BJ102" s="2"/>
      <c r="BK102" s="2"/>
      <c r="BL102"/>
      <c r="BM102" s="562"/>
      <c r="BN102" s="591">
        <v>89</v>
      </c>
      <c r="BO102" s="549" t="s">
        <v>1895</v>
      </c>
      <c r="BP102" s="549" t="s">
        <v>2408</v>
      </c>
      <c r="BQ102" s="550" t="s">
        <v>2408</v>
      </c>
      <c r="BR102" s="566">
        <v>305917.38365454203</v>
      </c>
      <c r="BS102" s="566"/>
      <c r="BT102" s="566">
        <v>1167032.1774658435</v>
      </c>
      <c r="BU102" s="566">
        <v>42184.476254350287</v>
      </c>
      <c r="BV102" s="566">
        <v>10028.931426244657</v>
      </c>
      <c r="BW102" s="566">
        <v>110.37174240545328</v>
      </c>
      <c r="BX102" s="566">
        <v>13.288079898274866</v>
      </c>
      <c r="BY102" s="566">
        <v>18680150.684347168</v>
      </c>
      <c r="BZ102" s="566">
        <v>4.9215110734351377</v>
      </c>
      <c r="CA102" s="566">
        <v>606520.90500282438</v>
      </c>
      <c r="CB102" s="566">
        <v>5.0661612544121197E-33</v>
      </c>
      <c r="CC102" s="566">
        <v>6.9447245401673028</v>
      </c>
      <c r="CD102" s="566">
        <v>1092533.2579672202</v>
      </c>
      <c r="CE102" s="566">
        <v>5.967973080119704E-2</v>
      </c>
      <c r="CF102" s="566">
        <v>142.92556175248629</v>
      </c>
      <c r="CG102" s="566">
        <v>8.4574134096799938</v>
      </c>
      <c r="CH102" s="566">
        <v>63.246277833873187</v>
      </c>
      <c r="CI102" s="566">
        <v>3.1323753369185159</v>
      </c>
      <c r="CJ102" s="566">
        <v>205813.12095545442</v>
      </c>
      <c r="CK102" s="566">
        <v>4042738.6547868866</v>
      </c>
      <c r="CL102" s="566"/>
      <c r="CM102" s="566">
        <v>106.84179137080683</v>
      </c>
      <c r="CN102" s="566">
        <v>10.300741757262474</v>
      </c>
      <c r="CO102" s="566">
        <v>24552.704974402463</v>
      </c>
      <c r="CP102" s="566">
        <v>782621.05166193109</v>
      </c>
      <c r="CQ102" s="566"/>
      <c r="CR102" s="566">
        <v>20.724504704100404</v>
      </c>
      <c r="CS102" s="566">
        <v>5.0985301113672215</v>
      </c>
      <c r="CT102" s="566">
        <v>36524.173792289868</v>
      </c>
      <c r="CU102" s="566">
        <v>1550430.5615639512</v>
      </c>
      <c r="CV102" s="566"/>
      <c r="CW102" s="566">
        <v>40.822684617182958</v>
      </c>
      <c r="CX102" s="566">
        <v>0.49306019915015853</v>
      </c>
      <c r="CY102" s="552"/>
    </row>
    <row r="103" spans="1:103" ht="12.75" customHeight="1" x14ac:dyDescent="0.3">
      <c r="A103" s="29"/>
      <c r="B103" s="6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9"/>
      <c r="Y103" s="436"/>
      <c r="Z103" s="29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29"/>
      <c r="AQ103" s="437"/>
      <c r="AR103" s="2"/>
      <c r="AS103" s="75"/>
      <c r="AT103" s="2"/>
      <c r="AU103" s="302"/>
      <c r="AV103" s="308"/>
      <c r="AW103" s="75"/>
      <c r="AX103" s="302"/>
      <c r="AY103" s="75"/>
      <c r="AZ103" s="75"/>
      <c r="BA103" s="2"/>
      <c r="BB103" s="75"/>
      <c r="BC103" s="2"/>
      <c r="BD103" s="302"/>
      <c r="BE103" s="2"/>
      <c r="BF103" s="302"/>
      <c r="BG103" s="75"/>
      <c r="BH103" s="302"/>
      <c r="BI103" s="75"/>
      <c r="BJ103" s="2"/>
      <c r="BK103" s="2"/>
      <c r="BL103"/>
      <c r="BM103" s="562"/>
      <c r="BN103" s="591">
        <v>90</v>
      </c>
      <c r="BO103" s="549" t="s">
        <v>1775</v>
      </c>
      <c r="BP103" s="549" t="s">
        <v>2408</v>
      </c>
      <c r="BQ103" s="550" t="s">
        <v>2408</v>
      </c>
      <c r="BR103" s="566">
        <v>215164.53971348199</v>
      </c>
      <c r="BS103" s="566"/>
      <c r="BT103" s="566">
        <v>839646.0443548857</v>
      </c>
      <c r="BU103" s="566">
        <v>27595.093672944371</v>
      </c>
      <c r="BV103" s="566">
        <v>6942.9766226830307</v>
      </c>
      <c r="BW103" s="566">
        <v>69.521433018399165</v>
      </c>
      <c r="BX103" s="566">
        <v>30.032610995531059</v>
      </c>
      <c r="BY103" s="566">
        <v>455628.41020873352</v>
      </c>
      <c r="BZ103" s="566">
        <v>11.123189257604093</v>
      </c>
      <c r="CA103" s="566">
        <v>271316.07040116767</v>
      </c>
      <c r="CB103" s="566">
        <v>3.4980823865009019E-31</v>
      </c>
      <c r="CC103" s="566">
        <v>366.20159429295433</v>
      </c>
      <c r="CD103" s="566">
        <v>215355.99622496316</v>
      </c>
      <c r="CE103" s="566">
        <v>3.0280963335195672</v>
      </c>
      <c r="CF103" s="566">
        <v>27.127752571000638</v>
      </c>
      <c r="CG103" s="566">
        <v>23.47303108944682</v>
      </c>
      <c r="CH103" s="566">
        <v>70.699898837995036</v>
      </c>
      <c r="CI103" s="566">
        <v>8.6937152183136384</v>
      </c>
      <c r="CJ103" s="566">
        <v>54248.216076659322</v>
      </c>
      <c r="CK103" s="566">
        <v>48497.047109470674</v>
      </c>
      <c r="CL103" s="566"/>
      <c r="CM103" s="566">
        <v>1.2217538528033509</v>
      </c>
      <c r="CN103" s="566">
        <v>16.845456021596895</v>
      </c>
      <c r="CO103" s="566">
        <v>3555.3144936199469</v>
      </c>
      <c r="CP103" s="566">
        <v>21753.950690732225</v>
      </c>
      <c r="CQ103" s="566"/>
      <c r="CR103" s="566">
        <v>0.55344337578782588</v>
      </c>
      <c r="CS103" s="566">
        <v>7.2376108006983024</v>
      </c>
      <c r="CT103" s="566">
        <v>5200.3234147933454</v>
      </c>
      <c r="CU103" s="566">
        <v>743.5480990946769</v>
      </c>
      <c r="CV103" s="566"/>
      <c r="CW103" s="566">
        <v>1.8390151834288816E-2</v>
      </c>
      <c r="CX103" s="566">
        <v>0.34144824895030418</v>
      </c>
      <c r="CY103" s="552"/>
    </row>
    <row r="104" spans="1:103" ht="12.75" customHeight="1" x14ac:dyDescent="0.3">
      <c r="A104" s="29"/>
      <c r="B104" s="6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9"/>
      <c r="Y104" s="436"/>
      <c r="Z104" s="29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29"/>
      <c r="AQ104" s="437"/>
      <c r="AR104" s="2"/>
      <c r="AS104" s="75"/>
      <c r="AT104" s="2"/>
      <c r="AU104" s="304">
        <f>IF(output!AN27&lt;0,"",output!AN27)</f>
        <v>3.3748950642461441E-5</v>
      </c>
      <c r="AV104" s="308"/>
      <c r="AW104" s="75"/>
      <c r="AX104" s="302"/>
      <c r="AY104" s="75"/>
      <c r="AZ104" s="75"/>
      <c r="BA104" s="75"/>
      <c r="BB104" s="75"/>
      <c r="BC104" s="75"/>
      <c r="BD104" s="302"/>
      <c r="BE104" s="75"/>
      <c r="BF104" s="302"/>
      <c r="BG104" s="75"/>
      <c r="BH104" s="302"/>
      <c r="BI104" s="75"/>
      <c r="BJ104" s="2"/>
      <c r="BK104" s="2"/>
      <c r="BL104"/>
      <c r="BM104" s="562"/>
      <c r="BN104" s="591">
        <v>91</v>
      </c>
      <c r="BO104" s="549" t="s">
        <v>1839</v>
      </c>
      <c r="BP104" s="549" t="s">
        <v>2408</v>
      </c>
      <c r="BQ104" s="550" t="s">
        <v>2408</v>
      </c>
      <c r="BR104" s="566">
        <v>517319.92775890057</v>
      </c>
      <c r="BS104" s="566"/>
      <c r="BT104" s="566">
        <v>5885522.183665676</v>
      </c>
      <c r="BU104" s="566">
        <v>272361.23552346375</v>
      </c>
      <c r="BV104" s="566">
        <v>190615.48365214549</v>
      </c>
      <c r="BW104" s="566">
        <v>2576.6558853133297</v>
      </c>
      <c r="BX104" s="566">
        <v>96940.624029064318</v>
      </c>
      <c r="BY104" s="566">
        <v>47306606.391695701</v>
      </c>
      <c r="BZ104" s="566">
        <v>35903.934825579374</v>
      </c>
      <c r="CA104" s="566">
        <v>1691773.5631604646</v>
      </c>
      <c r="CB104" s="566">
        <v>5.0509467235003427E-29</v>
      </c>
      <c r="CC104" s="566">
        <v>253363.82184900902</v>
      </c>
      <c r="CD104" s="566">
        <v>139827073.61262217</v>
      </c>
      <c r="CE104" s="566">
        <v>8205.7404482715428</v>
      </c>
      <c r="CF104" s="566">
        <v>66141.250141131924</v>
      </c>
      <c r="CG104" s="566">
        <v>133083.02785484854</v>
      </c>
      <c r="CH104" s="566">
        <v>1017207.4373101688</v>
      </c>
      <c r="CI104" s="566">
        <v>49290.010316610555</v>
      </c>
      <c r="CJ104" s="566">
        <v>2635034.3376309806</v>
      </c>
      <c r="CK104" s="566">
        <v>3401331092.1533709</v>
      </c>
      <c r="CL104" s="566"/>
      <c r="CM104" s="566">
        <v>325027.35785338283</v>
      </c>
      <c r="CN104" s="566">
        <v>743995.61083398713</v>
      </c>
      <c r="CO104" s="566">
        <v>553666.92429383926</v>
      </c>
      <c r="CP104" s="566">
        <v>2454683044.8604736</v>
      </c>
      <c r="CQ104" s="566"/>
      <c r="CR104" s="566">
        <v>236173.82791104802</v>
      </c>
      <c r="CS104" s="566">
        <v>509097.67683280632</v>
      </c>
      <c r="CT104" s="566">
        <v>4098517.5261612795</v>
      </c>
      <c r="CU104" s="566">
        <v>4915634868.813632</v>
      </c>
      <c r="CV104" s="566"/>
      <c r="CW104" s="566">
        <v>463833.04266934277</v>
      </c>
      <c r="CX104" s="566">
        <v>336070.18022538087</v>
      </c>
      <c r="CY104" s="552"/>
    </row>
    <row r="105" spans="1:103" ht="12.75" customHeight="1" x14ac:dyDescent="0.3">
      <c r="A105" s="29"/>
      <c r="B105" s="6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9"/>
      <c r="Y105" s="436"/>
      <c r="Z105" s="29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29"/>
      <c r="AQ105" s="437"/>
      <c r="AR105" s="2"/>
      <c r="AS105" s="75"/>
      <c r="AT105" s="75"/>
      <c r="AU105" s="306"/>
      <c r="AV105" s="308"/>
      <c r="AW105" s="75"/>
      <c r="AX105" s="302"/>
      <c r="AY105" s="75"/>
      <c r="AZ105" s="75"/>
      <c r="BA105" s="75"/>
      <c r="BB105" s="75"/>
      <c r="BC105" s="75"/>
      <c r="BD105" s="302"/>
      <c r="BE105" s="75"/>
      <c r="BF105" s="302"/>
      <c r="BG105" s="75"/>
      <c r="BH105" s="302"/>
      <c r="BI105" s="75"/>
      <c r="BJ105" s="2"/>
      <c r="BK105" s="2"/>
      <c r="BL105"/>
      <c r="BM105" s="562"/>
      <c r="BN105" s="591">
        <v>92</v>
      </c>
      <c r="BO105" s="549" t="s">
        <v>1949</v>
      </c>
      <c r="BP105" s="549" t="s">
        <v>2408</v>
      </c>
      <c r="BQ105" s="550" t="s">
        <v>2408</v>
      </c>
      <c r="BR105" s="566">
        <v>6740.0530455476164</v>
      </c>
      <c r="BS105" s="566"/>
      <c r="BT105" s="566">
        <v>22456446.663872391</v>
      </c>
      <c r="BU105" s="566">
        <v>1096769.888673753</v>
      </c>
      <c r="BV105" s="566">
        <v>703462.69407292223</v>
      </c>
      <c r="BW105" s="566">
        <v>10050.993260730371</v>
      </c>
      <c r="BX105" s="566">
        <v>212590.12828263326</v>
      </c>
      <c r="BY105" s="566">
        <v>1352322.8039036719</v>
      </c>
      <c r="BZ105" s="566">
        <v>78737.084549123407</v>
      </c>
      <c r="CA105" s="566">
        <v>303.4276633546051</v>
      </c>
      <c r="CB105" s="566">
        <v>5.3602330363912855E-31</v>
      </c>
      <c r="CC105" s="566">
        <v>19912.863592023081</v>
      </c>
      <c r="CD105" s="566">
        <v>74264891.138552368</v>
      </c>
      <c r="CE105" s="566">
        <v>623.78331170652064</v>
      </c>
      <c r="CF105" s="566">
        <v>34028.829932825603</v>
      </c>
      <c r="CG105" s="566">
        <v>4959.3910739421617</v>
      </c>
      <c r="CH105" s="566">
        <v>11406.49473708115</v>
      </c>
      <c r="CI105" s="566">
        <v>1836.8115088674672</v>
      </c>
      <c r="CJ105" s="566">
        <v>4.6122060666517948</v>
      </c>
      <c r="CK105" s="566">
        <v>1430615475.8177717</v>
      </c>
      <c r="CL105" s="566"/>
      <c r="CM105" s="566">
        <v>132426.92058638192</v>
      </c>
      <c r="CN105" s="566">
        <v>270.57367565150565</v>
      </c>
      <c r="CO105" s="566">
        <v>0.52697966390790663</v>
      </c>
      <c r="CP105" s="566">
        <v>918797143.06819713</v>
      </c>
      <c r="CQ105" s="566"/>
      <c r="CR105" s="566">
        <v>85615.435716576612</v>
      </c>
      <c r="CS105" s="566">
        <v>94.453382855620561</v>
      </c>
      <c r="CT105" s="566">
        <v>7.9153714121961309</v>
      </c>
      <c r="CU105" s="566">
        <v>2192548691.9064622</v>
      </c>
      <c r="CV105" s="566"/>
      <c r="CW105" s="566">
        <v>200480.36328574023</v>
      </c>
      <c r="CX105" s="566">
        <v>114.67131815572451</v>
      </c>
      <c r="CY105" s="552"/>
    </row>
    <row r="106" spans="1:103" ht="12.75" customHeight="1" x14ac:dyDescent="0.3">
      <c r="A106" s="29"/>
      <c r="B106" s="6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9"/>
      <c r="Y106" s="436"/>
      <c r="Z106" s="29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29"/>
      <c r="AQ106" s="437"/>
      <c r="AR106" s="2"/>
      <c r="AS106" s="75"/>
      <c r="AT106" s="2"/>
      <c r="AU106" s="304">
        <f>IF(output!AM27&lt;0,"",output!AM27)</f>
        <v>3.9637370246024513E-5</v>
      </c>
      <c r="AV106" s="309" t="s">
        <v>2157</v>
      </c>
      <c r="AW106" s="2"/>
      <c r="AX106" s="302"/>
      <c r="AY106" s="2"/>
      <c r="AZ106" s="2"/>
      <c r="BA106" s="75"/>
      <c r="BB106" s="75"/>
      <c r="BC106" s="75"/>
      <c r="BD106" s="302"/>
      <c r="BE106" s="75"/>
      <c r="BF106" s="302"/>
      <c r="BG106" s="75"/>
      <c r="BH106" s="302"/>
      <c r="BI106" s="75"/>
      <c r="BJ106" s="2"/>
      <c r="BK106" s="2"/>
      <c r="BL106"/>
      <c r="BM106" s="562"/>
      <c r="BN106" s="591">
        <v>93</v>
      </c>
      <c r="BO106" s="549" t="s">
        <v>1951</v>
      </c>
      <c r="BP106" s="549" t="s">
        <v>2408</v>
      </c>
      <c r="BQ106" s="550" t="s">
        <v>2408</v>
      </c>
      <c r="BR106" s="566">
        <v>1301289.5292990888</v>
      </c>
      <c r="BS106" s="566"/>
      <c r="BT106" s="566">
        <v>22871758.169304702</v>
      </c>
      <c r="BU106" s="566">
        <v>963125.16228743596</v>
      </c>
      <c r="BV106" s="566">
        <v>181895.17888626634</v>
      </c>
      <c r="BW106" s="566">
        <v>2335.2837474282014</v>
      </c>
      <c r="BX106" s="566">
        <v>85595.627557602551</v>
      </c>
      <c r="BY106" s="566">
        <v>10952237.040748328</v>
      </c>
      <c r="BZ106" s="566">
        <v>31702.084280593517</v>
      </c>
      <c r="CA106" s="566">
        <v>2369631.9946367061</v>
      </c>
      <c r="CB106" s="566">
        <v>1.3794007113884764E-28</v>
      </c>
      <c r="CC106" s="566">
        <v>891779.11752274237</v>
      </c>
      <c r="CD106" s="566">
        <v>37076885.6790049</v>
      </c>
      <c r="CE106" s="566">
        <v>7092.1667196766784</v>
      </c>
      <c r="CF106" s="566">
        <v>4495.0050067113207</v>
      </c>
      <c r="CG106" s="566">
        <v>85830.547326390544</v>
      </c>
      <c r="CH106" s="566">
        <v>463565.98148903414</v>
      </c>
      <c r="CI106" s="566">
        <v>31789.091602366869</v>
      </c>
      <c r="CJ106" s="566">
        <v>703020.94562980358</v>
      </c>
      <c r="CK106" s="566">
        <v>16344302.646653019</v>
      </c>
      <c r="CL106" s="566"/>
      <c r="CM106" s="566">
        <v>396.28250859522535</v>
      </c>
      <c r="CN106" s="566">
        <v>91397.201190223044</v>
      </c>
      <c r="CO106" s="566">
        <v>51076.885931403202</v>
      </c>
      <c r="CP106" s="566">
        <v>4995851.2517881133</v>
      </c>
      <c r="CQ106" s="566"/>
      <c r="CR106" s="566">
        <v>122.31618652263465</v>
      </c>
      <c r="CS106" s="566">
        <v>22368.53789954658</v>
      </c>
      <c r="CT106" s="566">
        <v>91726.873041002269</v>
      </c>
      <c r="CU106" s="566">
        <v>853609.73307853402</v>
      </c>
      <c r="CV106" s="566"/>
      <c r="CW106" s="566">
        <v>20.321828321122076</v>
      </c>
      <c r="CX106" s="566">
        <v>3327.7841534184213</v>
      </c>
      <c r="CY106" s="552"/>
    </row>
    <row r="107" spans="1:103" ht="12.75" customHeight="1" x14ac:dyDescent="0.3">
      <c r="A107" s="29"/>
      <c r="B107" s="6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9"/>
      <c r="Y107" s="436"/>
      <c r="Z107" s="29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29"/>
      <c r="AQ107" s="437"/>
      <c r="AR107" s="2"/>
      <c r="AS107" s="75"/>
      <c r="AT107" s="2"/>
      <c r="AU107" s="302"/>
      <c r="AV107" s="276">
        <f>IF(ISERROR(output!F35),0,output!F35)</f>
        <v>8.2238401482303083E-4</v>
      </c>
      <c r="AW107" s="2"/>
      <c r="AX107" s="302"/>
      <c r="AY107" s="2"/>
      <c r="AZ107" s="2"/>
      <c r="BA107" s="75"/>
      <c r="BB107" s="75"/>
      <c r="BC107" s="75"/>
      <c r="BD107" s="302"/>
      <c r="BE107" s="75"/>
      <c r="BF107" s="302"/>
      <c r="BG107" s="75"/>
      <c r="BH107" s="302"/>
      <c r="BI107" s="75"/>
      <c r="BJ107" s="2"/>
      <c r="BK107" s="2"/>
      <c r="BL107"/>
      <c r="BM107" s="562"/>
      <c r="BN107" s="591">
        <v>94</v>
      </c>
      <c r="BO107" s="549" t="s">
        <v>1532</v>
      </c>
      <c r="BP107" s="549" t="s">
        <v>2408</v>
      </c>
      <c r="BQ107" s="550" t="s">
        <v>2408</v>
      </c>
      <c r="BR107" s="566">
        <v>531835.13257733802</v>
      </c>
      <c r="BS107" s="566"/>
      <c r="BT107" s="566">
        <v>1309521.7987804445</v>
      </c>
      <c r="BU107" s="566">
        <v>46480.374647581855</v>
      </c>
      <c r="BV107" s="566">
        <v>91213.172253671801</v>
      </c>
      <c r="BW107" s="566">
        <v>910.4576903354</v>
      </c>
      <c r="BX107" s="566">
        <v>123.16831459037108</v>
      </c>
      <c r="BY107" s="566">
        <v>62947493.938460357</v>
      </c>
      <c r="BZ107" s="566">
        <v>45.617894292730028</v>
      </c>
      <c r="CA107" s="566">
        <v>2090016.6336866056</v>
      </c>
      <c r="CB107" s="566">
        <v>1.9632666463247927E-31</v>
      </c>
      <c r="CC107" s="566">
        <v>207.67795308985819</v>
      </c>
      <c r="CD107" s="566">
        <v>1375321.0955190021</v>
      </c>
      <c r="CE107" s="566">
        <v>14.465559050728878</v>
      </c>
      <c r="CF107" s="566">
        <v>1346.9896462645311</v>
      </c>
      <c r="CG107" s="566">
        <v>220.26702796434964</v>
      </c>
      <c r="CH107" s="566">
        <v>1666.7473038592723</v>
      </c>
      <c r="CI107" s="566">
        <v>81.580380727536863</v>
      </c>
      <c r="CJ107" s="566">
        <v>1804647.7253086013</v>
      </c>
      <c r="CK107" s="566">
        <v>6399737.5182645852</v>
      </c>
      <c r="CL107" s="566"/>
      <c r="CM107" s="566">
        <v>1266.2300122302925</v>
      </c>
      <c r="CN107" s="566">
        <v>682.64646125113836</v>
      </c>
      <c r="CO107" s="566">
        <v>493412.72547926521</v>
      </c>
      <c r="CP107" s="566">
        <v>2875497.0442760489</v>
      </c>
      <c r="CQ107" s="566"/>
      <c r="CR107" s="566">
        <v>569.68460313001913</v>
      </c>
      <c r="CS107" s="566">
        <v>590.06815865649389</v>
      </c>
      <c r="CT107" s="566">
        <v>899827.11924352474</v>
      </c>
      <c r="CU107" s="566">
        <v>2837375.8383430219</v>
      </c>
      <c r="CV107" s="566"/>
      <c r="CW107" s="566">
        <v>560.0176841400322</v>
      </c>
      <c r="CX107" s="566">
        <v>101.0788962248439</v>
      </c>
      <c r="CY107" s="552"/>
    </row>
    <row r="108" spans="1:103" ht="12.75" customHeight="1" x14ac:dyDescent="0.3">
      <c r="A108" s="29"/>
      <c r="B108" s="6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9"/>
      <c r="Y108" s="436"/>
      <c r="Z108" s="29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29"/>
      <c r="AQ108" s="437"/>
      <c r="AR108" s="2"/>
      <c r="AS108" s="75"/>
      <c r="AT108" s="2"/>
      <c r="AU108" s="290">
        <f>output!AG27</f>
        <v>5.8884196035630824E-6</v>
      </c>
      <c r="AV108" s="308"/>
      <c r="AW108" s="2"/>
      <c r="AX108" s="302"/>
      <c r="AY108" s="2"/>
      <c r="AZ108" s="2"/>
      <c r="BA108" s="75"/>
      <c r="BB108" s="75"/>
      <c r="BC108" s="75"/>
      <c r="BD108" s="302"/>
      <c r="BE108" s="75"/>
      <c r="BF108" s="302"/>
      <c r="BG108" s="75"/>
      <c r="BH108" s="302"/>
      <c r="BI108" s="75"/>
      <c r="BJ108" s="2"/>
      <c r="BK108" s="2"/>
      <c r="BL108"/>
      <c r="BM108" s="562"/>
      <c r="BN108" s="591">
        <v>95</v>
      </c>
      <c r="BO108" s="549" t="s">
        <v>28</v>
      </c>
      <c r="BP108" s="549" t="s">
        <v>2408</v>
      </c>
      <c r="BQ108" s="550" t="s">
        <v>2408</v>
      </c>
      <c r="BR108" s="566">
        <v>215461.71097086513</v>
      </c>
      <c r="BS108" s="566"/>
      <c r="BT108" s="566">
        <v>11601429.337429468</v>
      </c>
      <c r="BU108" s="566">
        <v>481561.67536507559</v>
      </c>
      <c r="BV108" s="566">
        <v>128619.45728239499</v>
      </c>
      <c r="BW108" s="566">
        <v>1616.9949908078559</v>
      </c>
      <c r="BX108" s="566">
        <v>48296.092001614001</v>
      </c>
      <c r="BY108" s="566">
        <v>27290606.614004437</v>
      </c>
      <c r="BZ108" s="566">
        <v>17887.441482079259</v>
      </c>
      <c r="CA108" s="566">
        <v>126973.55663592498</v>
      </c>
      <c r="CB108" s="566">
        <v>5.5521650682740689E-30</v>
      </c>
      <c r="CC108" s="566">
        <v>47127.698858318588</v>
      </c>
      <c r="CD108" s="566">
        <v>3961042.9754402833</v>
      </c>
      <c r="CE108" s="566">
        <v>522.48209025148799</v>
      </c>
      <c r="CF108" s="566">
        <v>665.0224651708329</v>
      </c>
      <c r="CG108" s="566">
        <v>12754.422268195985</v>
      </c>
      <c r="CH108" s="566">
        <v>104847.75788344986</v>
      </c>
      <c r="CI108" s="566">
        <v>4723.860099331845</v>
      </c>
      <c r="CJ108" s="566">
        <v>11311.007537930527</v>
      </c>
      <c r="CK108" s="566">
        <v>699639.06723716552</v>
      </c>
      <c r="CL108" s="566"/>
      <c r="CM108" s="566">
        <v>23.491587740191299</v>
      </c>
      <c r="CN108" s="566">
        <v>4078.0491318308705</v>
      </c>
      <c r="CO108" s="566">
        <v>308.88263534652208</v>
      </c>
      <c r="CP108" s="566">
        <v>39541.987316698163</v>
      </c>
      <c r="CQ108" s="566"/>
      <c r="CR108" s="566">
        <v>1.3416318231097966</v>
      </c>
      <c r="CS108" s="566">
        <v>357.05012545866691</v>
      </c>
      <c r="CT108" s="566">
        <v>440.59940408262497</v>
      </c>
      <c r="CU108" s="566">
        <v>6024.2965533344741</v>
      </c>
      <c r="CV108" s="566"/>
      <c r="CW108" s="566">
        <v>0.19835868418442401</v>
      </c>
      <c r="CX108" s="566">
        <v>46.298142214224718</v>
      </c>
      <c r="CY108" s="552"/>
    </row>
    <row r="109" spans="1:103" ht="12.75" customHeight="1" x14ac:dyDescent="0.3">
      <c r="A109" s="29"/>
      <c r="B109" s="6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9"/>
      <c r="Y109" s="436"/>
      <c r="Z109" s="29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29"/>
      <c r="AQ109" s="437"/>
      <c r="AR109" s="2"/>
      <c r="AS109" s="75"/>
      <c r="AT109" s="2"/>
      <c r="AU109" s="2"/>
      <c r="AV109" s="308"/>
      <c r="AW109" s="2"/>
      <c r="AX109" s="302"/>
      <c r="AY109" s="2"/>
      <c r="AZ109" s="2"/>
      <c r="BA109" s="75"/>
      <c r="BB109" s="75"/>
      <c r="BC109" s="75"/>
      <c r="BD109" s="302"/>
      <c r="BE109" s="75"/>
      <c r="BF109" s="302"/>
      <c r="BG109" s="75"/>
      <c r="BH109" s="302"/>
      <c r="BI109" s="75"/>
      <c r="BJ109" s="2"/>
      <c r="BK109" s="2"/>
      <c r="BL109"/>
      <c r="BM109" s="562"/>
      <c r="BN109" s="591">
        <v>96</v>
      </c>
      <c r="BO109" s="549" t="s">
        <v>1820</v>
      </c>
      <c r="BP109" s="549" t="s">
        <v>2408</v>
      </c>
      <c r="BQ109" s="550" t="s">
        <v>2408</v>
      </c>
      <c r="BR109" s="566">
        <v>26845.559652423271</v>
      </c>
      <c r="BS109" s="566"/>
      <c r="BT109" s="566">
        <v>49577201.616297163</v>
      </c>
      <c r="BU109" s="566">
        <v>2419831.8011048362</v>
      </c>
      <c r="BV109" s="566">
        <v>392318.37058358465</v>
      </c>
      <c r="BW109" s="566">
        <v>5838.6777893795152</v>
      </c>
      <c r="BX109" s="566">
        <v>287401.05459711468</v>
      </c>
      <c r="BY109" s="566">
        <v>2710499.1993966447</v>
      </c>
      <c r="BZ109" s="566">
        <v>106444.83503596837</v>
      </c>
      <c r="CA109" s="566">
        <v>2612.482666609691</v>
      </c>
      <c r="CB109" s="566">
        <v>2.1726468981221845E-30</v>
      </c>
      <c r="CC109" s="566">
        <v>300920.15825275949</v>
      </c>
      <c r="CD109" s="566">
        <v>167381246.27635249</v>
      </c>
      <c r="CE109" s="566">
        <v>2381.2660318179228</v>
      </c>
      <c r="CF109" s="566">
        <v>20193.245756713277</v>
      </c>
      <c r="CG109" s="566">
        <v>14491.771973924244</v>
      </c>
      <c r="CH109" s="566">
        <v>48460.324377860517</v>
      </c>
      <c r="CI109" s="566">
        <v>5367.3229533052772</v>
      </c>
      <c r="CJ109" s="566">
        <v>76.921433931973183</v>
      </c>
      <c r="CK109" s="566">
        <v>3225436082.7965155</v>
      </c>
      <c r="CL109" s="566"/>
      <c r="CM109" s="566">
        <v>78610.043622254263</v>
      </c>
      <c r="CN109" s="566">
        <v>1531.5074053674414</v>
      </c>
      <c r="CO109" s="566">
        <v>5.166939638709402</v>
      </c>
      <c r="CP109" s="566">
        <v>2071498753.8141165</v>
      </c>
      <c r="CQ109" s="566"/>
      <c r="CR109" s="566">
        <v>50579.602798977154</v>
      </c>
      <c r="CS109" s="566">
        <v>397.67448868252256</v>
      </c>
      <c r="CT109" s="566">
        <v>128.08116720986982</v>
      </c>
      <c r="CU109" s="566">
        <v>4943548156.6192923</v>
      </c>
      <c r="CV109" s="566"/>
      <c r="CW109" s="566">
        <v>120070.07925771164</v>
      </c>
      <c r="CX109" s="566">
        <v>649.27687576815902</v>
      </c>
      <c r="CY109" s="552"/>
    </row>
    <row r="110" spans="1:103" ht="12.75" customHeight="1" x14ac:dyDescent="0.3">
      <c r="A110" s="29"/>
      <c r="B110" s="6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9"/>
      <c r="Y110" s="436"/>
      <c r="Z110" s="29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29"/>
      <c r="AQ110" s="437"/>
      <c r="AR110" s="2"/>
      <c r="AS110" s="75"/>
      <c r="AT110" s="2"/>
      <c r="AU110" s="2"/>
      <c r="AV110" s="308"/>
      <c r="AW110" s="2"/>
      <c r="AX110" s="302"/>
      <c r="AY110" s="2"/>
      <c r="AZ110" s="2"/>
      <c r="BA110" s="75"/>
      <c r="BB110" s="75"/>
      <c r="BC110" s="75"/>
      <c r="BD110" s="302"/>
      <c r="BE110" s="75"/>
      <c r="BF110" s="302"/>
      <c r="BG110" s="75"/>
      <c r="BH110" s="302"/>
      <c r="BI110" s="75"/>
      <c r="BJ110" s="2"/>
      <c r="BK110" s="2"/>
      <c r="BL110"/>
      <c r="BM110" s="562"/>
      <c r="BN110" s="591">
        <v>97</v>
      </c>
      <c r="BO110" s="549" t="s">
        <v>1874</v>
      </c>
      <c r="BP110" s="549" t="s">
        <v>2408</v>
      </c>
      <c r="BQ110" s="550" t="s">
        <v>2408</v>
      </c>
      <c r="BR110" s="566">
        <v>631543.43696017191</v>
      </c>
      <c r="BS110" s="566"/>
      <c r="BT110" s="566">
        <v>3310863.9204720119</v>
      </c>
      <c r="BU110" s="566">
        <v>101637.1683944611</v>
      </c>
      <c r="BV110" s="566">
        <v>25804.878388438578</v>
      </c>
      <c r="BW110" s="566">
        <v>241.60101177186124</v>
      </c>
      <c r="BX110" s="566">
        <v>230.21288740288747</v>
      </c>
      <c r="BY110" s="566">
        <v>17505392.715519752</v>
      </c>
      <c r="BZ110" s="566">
        <v>85.264032371439797</v>
      </c>
      <c r="CA110" s="566">
        <v>507987.93791674485</v>
      </c>
      <c r="CB110" s="566">
        <v>1.7721634753036673E-30</v>
      </c>
      <c r="CC110" s="566">
        <v>1477.5306007555523</v>
      </c>
      <c r="CD110" s="566">
        <v>870780.7758825192</v>
      </c>
      <c r="CE110" s="566">
        <v>11.515875730180408</v>
      </c>
      <c r="CF110" s="566">
        <v>103.49634873149814</v>
      </c>
      <c r="CG110" s="566">
        <v>89.027275518299632</v>
      </c>
      <c r="CH110" s="566">
        <v>762.79073489157122</v>
      </c>
      <c r="CI110" s="566">
        <v>32.973065006777645</v>
      </c>
      <c r="CJ110" s="566">
        <v>62671.930832600898</v>
      </c>
      <c r="CK110" s="566">
        <v>177816.21114377462</v>
      </c>
      <c r="CL110" s="566"/>
      <c r="CM110" s="566">
        <v>4.2266776297338104</v>
      </c>
      <c r="CN110" s="566">
        <v>39.422704352307278</v>
      </c>
      <c r="CO110" s="566">
        <v>2459.0822771994694</v>
      </c>
      <c r="CP110" s="566">
        <v>39524.655139247552</v>
      </c>
      <c r="CQ110" s="566"/>
      <c r="CR110" s="566">
        <v>0.9486725206507296</v>
      </c>
      <c r="CS110" s="566">
        <v>4.846315956458227</v>
      </c>
      <c r="CT110" s="566">
        <v>3566.2097935621891</v>
      </c>
      <c r="CU110" s="566">
        <v>1785.6265237417863</v>
      </c>
      <c r="CV110" s="566"/>
      <c r="CW110" s="566">
        <v>4.16784990817207E-2</v>
      </c>
      <c r="CX110" s="566">
        <v>0.66821089912357123</v>
      </c>
      <c r="CY110" s="552"/>
    </row>
    <row r="111" spans="1:103" ht="12.75" customHeight="1" x14ac:dyDescent="0.3">
      <c r="A111" s="29"/>
      <c r="B111" s="6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9"/>
      <c r="Y111" s="436"/>
      <c r="Z111" s="29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29"/>
      <c r="AQ111" s="437"/>
      <c r="AR111" s="2"/>
      <c r="AS111" s="75"/>
      <c r="AT111" s="75"/>
      <c r="AU111" s="43"/>
      <c r="AV111" s="310">
        <f>output!AF27</f>
        <v>0</v>
      </c>
      <c r="AW111" s="75"/>
      <c r="AX111" s="290">
        <f>output!AF26</f>
        <v>1.8488385595538951E-7</v>
      </c>
      <c r="AY111" s="75"/>
      <c r="AZ111" s="75"/>
      <c r="BA111" s="75"/>
      <c r="BB111" s="76"/>
      <c r="BC111" s="2"/>
      <c r="BD111" s="295">
        <f>output!AF28</f>
        <v>2.6473180281173304E-8</v>
      </c>
      <c r="BE111" s="76"/>
      <c r="BF111" s="295">
        <f>output!AF30</f>
        <v>9.8048815856197424E-9</v>
      </c>
      <c r="BG111" s="43"/>
      <c r="BH111" s="294">
        <f>output!AF29</f>
        <v>4.4384031459696264E-8</v>
      </c>
      <c r="BI111" s="75"/>
      <c r="BJ111" s="2"/>
      <c r="BK111" s="2"/>
      <c r="BL111"/>
      <c r="BM111" s="562"/>
      <c r="BN111" s="591">
        <v>98</v>
      </c>
      <c r="BO111" s="549" t="s">
        <v>1769</v>
      </c>
      <c r="BP111" s="549" t="s">
        <v>2408</v>
      </c>
      <c r="BQ111" s="550" t="s">
        <v>2408</v>
      </c>
      <c r="BR111" s="566">
        <v>202822.22477099948</v>
      </c>
      <c r="BS111" s="566"/>
      <c r="BT111" s="566">
        <v>28309096.670953508</v>
      </c>
      <c r="BU111" s="566">
        <v>1372634.373829515</v>
      </c>
      <c r="BV111" s="566">
        <v>250579.21180655414</v>
      </c>
      <c r="BW111" s="566">
        <v>3697.1499021894178</v>
      </c>
      <c r="BX111" s="566">
        <v>83481.114468664804</v>
      </c>
      <c r="BY111" s="566">
        <v>9396536.4156685993</v>
      </c>
      <c r="BZ111" s="566">
        <v>30918.931284690661</v>
      </c>
      <c r="CA111" s="566">
        <v>250003.47371621191</v>
      </c>
      <c r="CB111" s="566">
        <v>1.1202588601650332E-29</v>
      </c>
      <c r="CC111" s="566">
        <v>814650.43875621376</v>
      </c>
      <c r="CD111" s="566">
        <v>119544793.53921883</v>
      </c>
      <c r="CE111" s="566">
        <v>7210.9141176110797</v>
      </c>
      <c r="CF111" s="566">
        <v>16099.517474114766</v>
      </c>
      <c r="CG111" s="566">
        <v>49394.086823800033</v>
      </c>
      <c r="CH111" s="566">
        <v>403059.43874591211</v>
      </c>
      <c r="CI111" s="566">
        <v>18294.106231037047</v>
      </c>
      <c r="CJ111" s="566">
        <v>76039.47024126102</v>
      </c>
      <c r="CK111" s="566">
        <v>2220705450.5160785</v>
      </c>
      <c r="CL111" s="566"/>
      <c r="CM111" s="566">
        <v>60417.590352752974</v>
      </c>
      <c r="CN111" s="566">
        <v>53922.703186988023</v>
      </c>
      <c r="CO111" s="566">
        <v>8294.525500224383</v>
      </c>
      <c r="CP111" s="566">
        <v>1425717908.8930142</v>
      </c>
      <c r="CQ111" s="566"/>
      <c r="CR111" s="566">
        <v>38868.529620284549</v>
      </c>
      <c r="CS111" s="566">
        <v>18590.098526082835</v>
      </c>
      <c r="CT111" s="566">
        <v>74951.451760513897</v>
      </c>
      <c r="CU111" s="566">
        <v>3246688688.571352</v>
      </c>
      <c r="CV111" s="566"/>
      <c r="CW111" s="566">
        <v>87993.485153280257</v>
      </c>
      <c r="CX111" s="566">
        <v>15583.595024186265</v>
      </c>
      <c r="CY111" s="552"/>
    </row>
    <row r="112" spans="1:103" ht="12.75" customHeight="1" x14ac:dyDescent="0.3">
      <c r="A112" s="29"/>
      <c r="B112" s="6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9"/>
      <c r="Y112" s="436"/>
      <c r="Z112" s="29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29"/>
      <c r="AQ112" s="437"/>
      <c r="AR112" s="2"/>
      <c r="AS112" s="2"/>
      <c r="AT112" s="75"/>
      <c r="AU112" s="43"/>
      <c r="AV112" s="75"/>
      <c r="AW112" s="75"/>
      <c r="AX112" s="21"/>
      <c r="AY112" s="75"/>
      <c r="AZ112" s="75"/>
      <c r="BA112" s="75"/>
      <c r="BB112" s="76"/>
      <c r="BC112" s="2"/>
      <c r="BD112" s="75"/>
      <c r="BE112" s="76"/>
      <c r="BF112" s="75"/>
      <c r="BG112" s="43"/>
      <c r="BH112" s="2"/>
      <c r="BI112" s="75"/>
      <c r="BJ112" s="2"/>
      <c r="BK112" s="2"/>
      <c r="BL112"/>
      <c r="BM112" s="562"/>
      <c r="BN112" s="591">
        <v>99</v>
      </c>
      <c r="BO112" s="549" t="s">
        <v>1860</v>
      </c>
      <c r="BP112" s="549" t="s">
        <v>2408</v>
      </c>
      <c r="BQ112" s="550" t="s">
        <v>2408</v>
      </c>
      <c r="BR112" s="566">
        <v>81315.732362843541</v>
      </c>
      <c r="BS112" s="566"/>
      <c r="BT112" s="566">
        <v>7758557.0846628398</v>
      </c>
      <c r="BU112" s="566">
        <v>325912.67945973354</v>
      </c>
      <c r="BV112" s="566">
        <v>318741.99010494701</v>
      </c>
      <c r="BW112" s="566">
        <v>3870.9262137168898</v>
      </c>
      <c r="BX112" s="566">
        <v>259522.6601721021</v>
      </c>
      <c r="BY112" s="566">
        <v>36900313.267583445</v>
      </c>
      <c r="BZ112" s="566">
        <v>96119.503767445189</v>
      </c>
      <c r="CA112" s="566">
        <v>27842.682469490454</v>
      </c>
      <c r="CB112" s="566">
        <v>1.3120590449715222E-30</v>
      </c>
      <c r="CC112" s="566">
        <v>19132.006044696365</v>
      </c>
      <c r="CD112" s="566">
        <v>2128614.5850964058</v>
      </c>
      <c r="CE112" s="566">
        <v>785.9932735999713</v>
      </c>
      <c r="CF112" s="566">
        <v>1264.0977960735931</v>
      </c>
      <c r="CG112" s="566">
        <v>44793.770397838351</v>
      </c>
      <c r="CH112" s="566">
        <v>244016.97128461703</v>
      </c>
      <c r="CI112" s="566">
        <v>16590.285332532727</v>
      </c>
      <c r="CJ112" s="566">
        <v>1429.3756668528463</v>
      </c>
      <c r="CK112" s="566">
        <v>323086.33689472952</v>
      </c>
      <c r="CL112" s="566"/>
      <c r="CM112" s="566">
        <v>38.371979050920118</v>
      </c>
      <c r="CN112" s="566">
        <v>8253.8502461036951</v>
      </c>
      <c r="CO112" s="566">
        <v>22.936347121634444</v>
      </c>
      <c r="CP112" s="566">
        <v>10377.402464205261</v>
      </c>
      <c r="CQ112" s="566"/>
      <c r="CR112" s="566">
        <v>1.2433187745476593</v>
      </c>
      <c r="CS112" s="566">
        <v>450.33848721693261</v>
      </c>
      <c r="CT112" s="566">
        <v>31.872131361464756</v>
      </c>
      <c r="CU112" s="566">
        <v>1710.5910581425082</v>
      </c>
      <c r="CV112" s="566"/>
      <c r="CW112" s="566">
        <v>0.19985805915467481</v>
      </c>
      <c r="CX112" s="566">
        <v>51.596155034406401</v>
      </c>
      <c r="CY112" s="552"/>
    </row>
    <row r="113" spans="1:103" ht="12.75" customHeight="1" x14ac:dyDescent="0.3">
      <c r="A113" s="29"/>
      <c r="B113" s="6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9"/>
      <c r="Y113" s="436"/>
      <c r="Z113" s="29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29"/>
      <c r="AQ113" s="437"/>
      <c r="AR113" s="2"/>
      <c r="AS113" s="75"/>
      <c r="AT113" s="2"/>
      <c r="AU113" s="2"/>
      <c r="AV113" s="2"/>
      <c r="AW113" s="2"/>
      <c r="AX113" s="75"/>
      <c r="AY113" s="75"/>
      <c r="AZ113" s="75"/>
      <c r="BA113" s="76"/>
      <c r="BB113" s="2"/>
      <c r="BC113" s="75"/>
      <c r="BD113" s="75"/>
      <c r="BE113" s="76"/>
      <c r="BF113" s="75"/>
      <c r="BG113" s="43"/>
      <c r="BH113" s="2"/>
      <c r="BI113" s="75"/>
      <c r="BJ113" s="2"/>
      <c r="BK113" s="2"/>
      <c r="BL113"/>
      <c r="BM113" s="562"/>
      <c r="BN113" s="591">
        <v>100</v>
      </c>
      <c r="BO113" s="549" t="s">
        <v>1540</v>
      </c>
      <c r="BP113" s="549" t="s">
        <v>2408</v>
      </c>
      <c r="BQ113" s="550" t="s">
        <v>2408</v>
      </c>
      <c r="BR113" s="566">
        <v>972137.95142600988</v>
      </c>
      <c r="BS113" s="566"/>
      <c r="BT113" s="566">
        <v>1879125.7164833928</v>
      </c>
      <c r="BU113" s="566">
        <v>64022.458887728761</v>
      </c>
      <c r="BV113" s="566">
        <v>20832.96142137581</v>
      </c>
      <c r="BW113" s="566">
        <v>214.97556931243938</v>
      </c>
      <c r="BX113" s="566">
        <v>145.98449466643217</v>
      </c>
      <c r="BY113" s="566">
        <v>1318270.79780133</v>
      </c>
      <c r="BZ113" s="566">
        <v>54.068331357937829</v>
      </c>
      <c r="CA113" s="566">
        <v>4042983.3511232166</v>
      </c>
      <c r="CB113" s="566">
        <v>4.9686803379609522E-30</v>
      </c>
      <c r="CC113" s="566">
        <v>4495.0310691477125</v>
      </c>
      <c r="CD113" s="566">
        <v>4615082.8570942329</v>
      </c>
      <c r="CE113" s="566">
        <v>49.834243675131795</v>
      </c>
      <c r="CF113" s="566">
        <v>774.8297096552742</v>
      </c>
      <c r="CG113" s="566">
        <v>167.27890234858546</v>
      </c>
      <c r="CH113" s="566">
        <v>456.15224509915197</v>
      </c>
      <c r="CI113" s="566">
        <v>61.955149017994621</v>
      </c>
      <c r="CJ113" s="566">
        <v>3794909.5504007991</v>
      </c>
      <c r="CK113" s="566">
        <v>14917176.228832029</v>
      </c>
      <c r="CL113" s="566"/>
      <c r="CM113" s="566">
        <v>505.43777606138826</v>
      </c>
      <c r="CN113" s="566">
        <v>563.56537387417325</v>
      </c>
      <c r="CO113" s="566">
        <v>1021445.7219947873</v>
      </c>
      <c r="CP113" s="566">
        <v>27110241.430416577</v>
      </c>
      <c r="CQ113" s="566"/>
      <c r="CR113" s="566">
        <v>921.64140053224469</v>
      </c>
      <c r="CS113" s="566">
        <v>626.61432578115466</v>
      </c>
      <c r="CT113" s="566">
        <v>2104242.4273951645</v>
      </c>
      <c r="CU113" s="566">
        <v>2391421.2415522626</v>
      </c>
      <c r="CV113" s="566"/>
      <c r="CW113" s="566">
        <v>80.524915286104118</v>
      </c>
      <c r="CX113" s="566">
        <v>78.028432282773892</v>
      </c>
      <c r="CY113" s="552"/>
    </row>
    <row r="114" spans="1:103" ht="12.75" customHeight="1" x14ac:dyDescent="0.3">
      <c r="A114" s="29"/>
      <c r="B114" s="6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9"/>
      <c r="Y114" s="436"/>
      <c r="Z114" s="29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29"/>
      <c r="AQ114" s="437"/>
      <c r="AR114" s="2"/>
      <c r="AS114" s="75"/>
      <c r="AT114" s="55" t="s">
        <v>2168</v>
      </c>
      <c r="AU114" s="75"/>
      <c r="AV114" s="75"/>
      <c r="AW114" s="75"/>
      <c r="AX114" s="5" t="s">
        <v>774</v>
      </c>
      <c r="AY114" s="2"/>
      <c r="AZ114" s="2"/>
      <c r="BA114" s="75"/>
      <c r="BB114" s="75"/>
      <c r="BC114" s="75"/>
      <c r="BD114" s="2"/>
      <c r="BE114" s="2"/>
      <c r="BF114" s="2"/>
      <c r="BG114" s="2"/>
      <c r="BH114" s="2"/>
      <c r="BI114" s="2"/>
      <c r="BJ114" s="2"/>
      <c r="BK114" s="2"/>
      <c r="BL114"/>
      <c r="BM114" s="562"/>
      <c r="BN114" s="591">
        <v>101</v>
      </c>
      <c r="BO114" s="549" t="s">
        <v>1805</v>
      </c>
      <c r="BP114" s="549" t="s">
        <v>2408</v>
      </c>
      <c r="BQ114" s="550" t="s">
        <v>2408</v>
      </c>
      <c r="BR114" s="566">
        <v>234221.68821167346</v>
      </c>
      <c r="BS114" s="566"/>
      <c r="BT114" s="566">
        <v>2987922.0162245259</v>
      </c>
      <c r="BU114" s="566">
        <v>133504.80516712944</v>
      </c>
      <c r="BV114" s="566">
        <v>1475587.7364187329</v>
      </c>
      <c r="BW114" s="566">
        <v>17653.361638344693</v>
      </c>
      <c r="BX114" s="566">
        <v>139983.78847059325</v>
      </c>
      <c r="BY114" s="566">
        <v>17750900.765637688</v>
      </c>
      <c r="BZ114" s="566">
        <v>51845.847581701208</v>
      </c>
      <c r="CA114" s="566">
        <v>268386.42029519781</v>
      </c>
      <c r="CB114" s="566">
        <v>6.5686859966579797E-30</v>
      </c>
      <c r="CC114" s="566">
        <v>22812.822149185016</v>
      </c>
      <c r="CD114" s="566">
        <v>16518021.167663343</v>
      </c>
      <c r="CE114" s="566">
        <v>11266.130914278023</v>
      </c>
      <c r="CF114" s="566">
        <v>109209.02841570116</v>
      </c>
      <c r="CG114" s="566">
        <v>91566.276396118803</v>
      </c>
      <c r="CH114" s="566">
        <v>404253.65409809863</v>
      </c>
      <c r="CI114" s="566">
        <v>33913.435702266237</v>
      </c>
      <c r="CJ114" s="566">
        <v>75613.364423707753</v>
      </c>
      <c r="CK114" s="566">
        <v>153888635.0468626</v>
      </c>
      <c r="CL114" s="566"/>
      <c r="CM114" s="566">
        <v>205540.49198783099</v>
      </c>
      <c r="CN114" s="566">
        <v>92592.803490559236</v>
      </c>
      <c r="CO114" s="566">
        <v>9576.3026015330306</v>
      </c>
      <c r="CP114" s="566">
        <v>87841423.356270343</v>
      </c>
      <c r="CQ114" s="566"/>
      <c r="CR114" s="566">
        <v>117388.4418407285</v>
      </c>
      <c r="CS114" s="566">
        <v>38099.001356112058</v>
      </c>
      <c r="CT114" s="566">
        <v>37601.983598039646</v>
      </c>
      <c r="CU114" s="566">
        <v>113203021.73783806</v>
      </c>
      <c r="CV114" s="566"/>
      <c r="CW114" s="566">
        <v>151046.13988014479</v>
      </c>
      <c r="CX114" s="566">
        <v>13003.032755040727</v>
      </c>
      <c r="CY114" s="552"/>
    </row>
    <row r="115" spans="1:103" ht="12.75" customHeight="1" x14ac:dyDescent="0.3">
      <c r="A115" s="29"/>
      <c r="B115" s="6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9"/>
      <c r="Y115" s="436"/>
      <c r="Z115" s="29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29"/>
      <c r="AQ115" s="437"/>
      <c r="AR115" s="2"/>
      <c r="AS115" s="75"/>
      <c r="AT115" s="75"/>
      <c r="AU115" s="75"/>
      <c r="AV115" s="75"/>
      <c r="AW115" s="75"/>
      <c r="AX115" s="2"/>
      <c r="AY115" s="2"/>
      <c r="AZ115" s="2"/>
      <c r="BA115" s="2"/>
      <c r="BB115" s="2"/>
      <c r="BC115" s="75"/>
      <c r="BD115" s="2"/>
      <c r="BE115" s="2"/>
      <c r="BF115" s="2"/>
      <c r="BG115" s="2"/>
      <c r="BH115" s="2"/>
      <c r="BI115" s="2"/>
      <c r="BJ115" s="2"/>
      <c r="BK115" s="2"/>
      <c r="BL115"/>
      <c r="BM115" s="562"/>
      <c r="BN115" s="591">
        <v>102</v>
      </c>
      <c r="BO115" s="549" t="s">
        <v>1857</v>
      </c>
      <c r="BP115" s="549" t="s">
        <v>2408</v>
      </c>
      <c r="BQ115" s="550" t="s">
        <v>2408</v>
      </c>
      <c r="BR115" s="566">
        <v>567677.96218937158</v>
      </c>
      <c r="BS115" s="566"/>
      <c r="BT115" s="566">
        <v>3539098.2356656417</v>
      </c>
      <c r="BU115" s="566">
        <v>132529.40431737091</v>
      </c>
      <c r="BV115" s="566">
        <v>27902.824609885916</v>
      </c>
      <c r="BW115" s="566">
        <v>318.61634628313823</v>
      </c>
      <c r="BX115" s="566">
        <v>2278.5282120402717</v>
      </c>
      <c r="BY115" s="566">
        <v>3184489.6310217129</v>
      </c>
      <c r="BZ115" s="566">
        <v>843.89933779269302</v>
      </c>
      <c r="CA115" s="566">
        <v>762968.26675931097</v>
      </c>
      <c r="CB115" s="566">
        <v>1.9566331896250663E-29</v>
      </c>
      <c r="CC115" s="566">
        <v>33480.349092124154</v>
      </c>
      <c r="CD115" s="566">
        <v>4994852.5721625667</v>
      </c>
      <c r="CE115" s="566">
        <v>263.9645034943731</v>
      </c>
      <c r="CF115" s="566">
        <v>600.41078618082122</v>
      </c>
      <c r="CG115" s="566">
        <v>1714.4661638520383</v>
      </c>
      <c r="CH115" s="566">
        <v>7916.7348510127031</v>
      </c>
      <c r="CI115" s="566">
        <v>634.98746809334739</v>
      </c>
      <c r="CJ115" s="566">
        <v>161465.79647498301</v>
      </c>
      <c r="CK115" s="566">
        <v>1795794.3926158794</v>
      </c>
      <c r="CL115" s="566"/>
      <c r="CM115" s="566">
        <v>43.17118793002588</v>
      </c>
      <c r="CN115" s="566">
        <v>1302.2867976495484</v>
      </c>
      <c r="CO115" s="566">
        <v>9279.6034269441079</v>
      </c>
      <c r="CP115" s="566">
        <v>535348.61575457663</v>
      </c>
      <c r="CQ115" s="566"/>
      <c r="CR115" s="566">
        <v>12.995808831064064</v>
      </c>
      <c r="CS115" s="566">
        <v>269.29241541774786</v>
      </c>
      <c r="CT115" s="566">
        <v>16918.059651809814</v>
      </c>
      <c r="CU115" s="566">
        <v>54469.035579738367</v>
      </c>
      <c r="CV115" s="566"/>
      <c r="CW115" s="566">
        <v>1.2857733248928813</v>
      </c>
      <c r="CX115" s="566">
        <v>36.876971277729389</v>
      </c>
      <c r="CY115" s="552"/>
    </row>
    <row r="116" spans="1:103" ht="12.75" customHeight="1" x14ac:dyDescent="0.3">
      <c r="A116" s="29"/>
      <c r="B116" s="6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9"/>
      <c r="Y116" s="436"/>
      <c r="Z116" s="29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29"/>
      <c r="AQ116" s="437"/>
      <c r="AR116" s="2"/>
      <c r="AS116" s="75"/>
      <c r="AT116" s="75"/>
      <c r="AU116" s="75" t="s">
        <v>510</v>
      </c>
      <c r="AV116" s="75"/>
      <c r="AW116" s="75"/>
      <c r="AX116" s="260" t="s">
        <v>206</v>
      </c>
      <c r="AY116" s="29"/>
      <c r="AZ116" s="128">
        <f>output!N11</f>
        <v>7.53858614661931E-8</v>
      </c>
      <c r="BA116" s="29" t="s">
        <v>1493</v>
      </c>
      <c r="BB116" s="2"/>
      <c r="BC116" s="75"/>
      <c r="BD116" s="2"/>
      <c r="BE116" s="2"/>
      <c r="BF116" s="2"/>
      <c r="BG116" s="2"/>
      <c r="BH116" s="2"/>
      <c r="BI116" s="2"/>
      <c r="BJ116" s="2"/>
      <c r="BK116" s="2"/>
      <c r="BL116"/>
      <c r="BM116" s="562"/>
      <c r="BN116" s="591">
        <v>103</v>
      </c>
      <c r="BO116" s="549" t="s">
        <v>1804</v>
      </c>
      <c r="BP116" s="549" t="s">
        <v>2408</v>
      </c>
      <c r="BQ116" s="550" t="s">
        <v>2408</v>
      </c>
      <c r="BR116" s="566">
        <v>517359.20256220334</v>
      </c>
      <c r="BS116" s="566"/>
      <c r="BT116" s="566">
        <v>1663611.9349925288</v>
      </c>
      <c r="BU116" s="566">
        <v>52047.246209340097</v>
      </c>
      <c r="BV116" s="566">
        <v>16624.30764742841</v>
      </c>
      <c r="BW116" s="566">
        <v>157.8825099216738</v>
      </c>
      <c r="BX116" s="566">
        <v>4.9836568893961299</v>
      </c>
      <c r="BY116" s="566">
        <v>28793802.849501271</v>
      </c>
      <c r="BZ116" s="566">
        <v>1.8457988479244922</v>
      </c>
      <c r="CA116" s="566">
        <v>1017730.0229425768</v>
      </c>
      <c r="CB116" s="566">
        <v>1.7508409995932349E-32</v>
      </c>
      <c r="CC116" s="566">
        <v>15.70874758605591</v>
      </c>
      <c r="CD116" s="566">
        <v>265861.31422620738</v>
      </c>
      <c r="CE116" s="566">
        <v>0.15697594320731098</v>
      </c>
      <c r="CF116" s="566">
        <v>40.323796779065567</v>
      </c>
      <c r="CG116" s="566">
        <v>4.1685122552016418</v>
      </c>
      <c r="CH116" s="566">
        <v>31.703559902964315</v>
      </c>
      <c r="CI116" s="566">
        <v>1.5438934278524599</v>
      </c>
      <c r="CJ116" s="566">
        <v>336902.47866550653</v>
      </c>
      <c r="CK116" s="566">
        <v>38598.855979687927</v>
      </c>
      <c r="CL116" s="566"/>
      <c r="CM116" s="566">
        <v>1.1708257521678869</v>
      </c>
      <c r="CN116" s="566">
        <v>4.9528634860033263</v>
      </c>
      <c r="CO116" s="566">
        <v>38319.270875126676</v>
      </c>
      <c r="CP116" s="566">
        <v>4114.9974470841216</v>
      </c>
      <c r="CQ116" s="566"/>
      <c r="CR116" s="566">
        <v>0.12610141728489935</v>
      </c>
      <c r="CS116" s="566">
        <v>1.4275637655202247</v>
      </c>
      <c r="CT116" s="566">
        <v>56652.195617136451</v>
      </c>
      <c r="CU116" s="566">
        <v>249.53412409290826</v>
      </c>
      <c r="CV116" s="566"/>
      <c r="CW116" s="566">
        <v>7.4258698268912749E-3</v>
      </c>
      <c r="CX116" s="566">
        <v>0.32202032353165599</v>
      </c>
      <c r="CY116" s="552"/>
    </row>
    <row r="117" spans="1:103" ht="12.75" customHeight="1" x14ac:dyDescent="0.3">
      <c r="A117" s="29"/>
      <c r="B117" s="6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9"/>
      <c r="Y117" s="436"/>
      <c r="Z117" s="29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29"/>
      <c r="AQ117" s="437"/>
      <c r="AR117" s="2"/>
      <c r="AS117" s="75"/>
      <c r="AT117" s="75"/>
      <c r="AU117" s="75"/>
      <c r="AV117" s="75"/>
      <c r="AW117" s="75"/>
      <c r="AX117" s="29" t="s">
        <v>2066</v>
      </c>
      <c r="AY117" s="260"/>
      <c r="AZ117" s="128">
        <f>output!N15</f>
        <v>3.1497597081200016E-10</v>
      </c>
      <c r="BA117" s="29" t="s">
        <v>1489</v>
      </c>
      <c r="BB117" s="2"/>
      <c r="BC117" s="75"/>
      <c r="BD117" s="2"/>
      <c r="BE117" s="2"/>
      <c r="BF117" s="2"/>
      <c r="BG117" s="2"/>
      <c r="BH117" s="2"/>
      <c r="BI117" s="2"/>
      <c r="BJ117" s="2"/>
      <c r="BK117" s="2"/>
      <c r="BL117"/>
      <c r="BM117" s="562"/>
      <c r="BN117" s="591">
        <v>104</v>
      </c>
      <c r="BO117" s="549" t="s">
        <v>1754</v>
      </c>
      <c r="BP117" s="549" t="s">
        <v>2408</v>
      </c>
      <c r="BQ117" s="550" t="s">
        <v>2408</v>
      </c>
      <c r="BR117" s="566">
        <v>338124.34752237983</v>
      </c>
      <c r="BS117" s="566"/>
      <c r="BT117" s="566">
        <v>18191292.020723462</v>
      </c>
      <c r="BU117" s="566">
        <v>878117.738690497</v>
      </c>
      <c r="BV117" s="566">
        <v>156699.65709566901</v>
      </c>
      <c r="BW117" s="566">
        <v>2302.8813532178701</v>
      </c>
      <c r="BX117" s="566">
        <v>47848.554853096022</v>
      </c>
      <c r="BY117" s="566">
        <v>7050402.2540613757</v>
      </c>
      <c r="BZ117" s="566">
        <v>17721.686982628155</v>
      </c>
      <c r="CA117" s="566">
        <v>854553.88168811495</v>
      </c>
      <c r="CB117" s="566">
        <v>3.2069996190864517E-29</v>
      </c>
      <c r="CC117" s="566">
        <v>974801.75414116727</v>
      </c>
      <c r="CD117" s="566">
        <v>157019182.36477706</v>
      </c>
      <c r="CE117" s="566">
        <v>8396.9352169248905</v>
      </c>
      <c r="CF117" s="566">
        <v>20589.297495834464</v>
      </c>
      <c r="CG117" s="566">
        <v>59366.022315617047</v>
      </c>
      <c r="CH117" s="566">
        <v>460708.36664131883</v>
      </c>
      <c r="CI117" s="566">
        <v>21987.415672450759</v>
      </c>
      <c r="CJ117" s="566">
        <v>639654.71823946433</v>
      </c>
      <c r="CK117" s="566">
        <v>3600124715.2275829</v>
      </c>
      <c r="CL117" s="566"/>
      <c r="CM117" s="566">
        <v>95366.669323114591</v>
      </c>
      <c r="CN117" s="566">
        <v>159495.25335999011</v>
      </c>
      <c r="CO117" s="566">
        <v>100733.4849355887</v>
      </c>
      <c r="CP117" s="566">
        <v>2390954767.3174434</v>
      </c>
      <c r="CQ117" s="566"/>
      <c r="CR117" s="566">
        <v>63462.846590871923</v>
      </c>
      <c r="CS117" s="566">
        <v>79968.540965967448</v>
      </c>
      <c r="CT117" s="566">
        <v>747664.75603497343</v>
      </c>
      <c r="CU117" s="566">
        <v>5566490906.2216702</v>
      </c>
      <c r="CV117" s="566"/>
      <c r="CW117" s="566">
        <v>146906.37544754398</v>
      </c>
      <c r="CX117" s="566">
        <v>54325.66933254691</v>
      </c>
      <c r="CY117" s="552"/>
    </row>
    <row r="118" spans="1:103" ht="12.75" customHeight="1" x14ac:dyDescent="0.3">
      <c r="A118" s="29"/>
      <c r="B118" s="6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9"/>
      <c r="Y118" s="436"/>
      <c r="Z118" s="29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29"/>
      <c r="AQ118" s="437"/>
      <c r="AR118" s="2"/>
      <c r="AS118" s="75"/>
      <c r="AT118" s="75"/>
      <c r="AU118" s="75" t="s">
        <v>2155</v>
      </c>
      <c r="AV118" s="75"/>
      <c r="AW118" s="75"/>
      <c r="AX118" s="29" t="s">
        <v>207</v>
      </c>
      <c r="AY118" s="29"/>
      <c r="AZ118" s="128">
        <f>output!N19</f>
        <v>7.9074061847069822E-10</v>
      </c>
      <c r="BA118" s="29" t="s">
        <v>1489</v>
      </c>
      <c r="BB118" s="2"/>
      <c r="BC118" s="75"/>
      <c r="BD118" s="2"/>
      <c r="BE118" s="2"/>
      <c r="BF118" s="2"/>
      <c r="BG118" s="2"/>
      <c r="BH118" s="2"/>
      <c r="BI118" s="2"/>
      <c r="BJ118" s="2"/>
      <c r="BK118" s="2"/>
      <c r="BL118"/>
      <c r="BM118" s="562"/>
      <c r="BN118" s="591">
        <v>105</v>
      </c>
      <c r="BO118" s="549" t="s">
        <v>1911</v>
      </c>
      <c r="BP118" s="549" t="s">
        <v>2408</v>
      </c>
      <c r="BQ118" s="550" t="s">
        <v>2408</v>
      </c>
      <c r="BR118" s="566">
        <v>200452.31804710245</v>
      </c>
      <c r="BS118" s="566"/>
      <c r="BT118" s="566">
        <v>10376037.851418367</v>
      </c>
      <c r="BU118" s="566">
        <v>482338.41553979856</v>
      </c>
      <c r="BV118" s="566">
        <v>1489371.0418278836</v>
      </c>
      <c r="BW118" s="566">
        <v>18756.101284336753</v>
      </c>
      <c r="BX118" s="566">
        <v>291694.27788930794</v>
      </c>
      <c r="BY118" s="566">
        <v>88208475.127119437</v>
      </c>
      <c r="BZ118" s="566">
        <v>108034.91773678071</v>
      </c>
      <c r="CA118" s="566">
        <v>105169.60027785308</v>
      </c>
      <c r="CB118" s="566">
        <v>3.9393968226003682E-30</v>
      </c>
      <c r="CC118" s="566">
        <v>35917.32707222466</v>
      </c>
      <c r="CD118" s="566">
        <v>16228938.168318434</v>
      </c>
      <c r="CE118" s="566">
        <v>5155.5543269264017</v>
      </c>
      <c r="CF118" s="566">
        <v>31553.738849679423</v>
      </c>
      <c r="CG118" s="566">
        <v>78815.617038906537</v>
      </c>
      <c r="CH118" s="566">
        <v>516005.92738519027</v>
      </c>
      <c r="CI118" s="566">
        <v>29190.969273669085</v>
      </c>
      <c r="CJ118" s="566">
        <v>8739.3566290647232</v>
      </c>
      <c r="CK118" s="566">
        <v>20406640.778553929</v>
      </c>
      <c r="CL118" s="566"/>
      <c r="CM118" s="566">
        <v>8007.3099979964118</v>
      </c>
      <c r="CN118" s="566">
        <v>23507.431220968141</v>
      </c>
      <c r="CO118" s="566">
        <v>248.21722757325242</v>
      </c>
      <c r="CP118" s="566">
        <v>4008023.6798051815</v>
      </c>
      <c r="CQ118" s="566"/>
      <c r="CR118" s="566">
        <v>1577.5706136503518</v>
      </c>
      <c r="CS118" s="566">
        <v>2153.6429547560583</v>
      </c>
      <c r="CT118" s="566">
        <v>342.27161440267537</v>
      </c>
      <c r="CU118" s="566">
        <v>921819.24001502898</v>
      </c>
      <c r="CV118" s="566"/>
      <c r="CW118" s="566">
        <v>359.62282829515493</v>
      </c>
      <c r="CX118" s="566">
        <v>266.97354701261145</v>
      </c>
      <c r="CY118" s="552"/>
    </row>
    <row r="119" spans="1:103" ht="12.75" customHeight="1" x14ac:dyDescent="0.3">
      <c r="A119" s="29"/>
      <c r="B119" s="6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9"/>
      <c r="Y119" s="436"/>
      <c r="Z119" s="29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29"/>
      <c r="AQ119" s="437"/>
      <c r="AR119" s="2"/>
      <c r="AS119" s="75"/>
      <c r="AT119" s="75"/>
      <c r="AU119" s="75"/>
      <c r="AV119" s="75"/>
      <c r="AW119" s="75"/>
      <c r="AX119" s="29" t="s">
        <v>1476</v>
      </c>
      <c r="AY119" s="29"/>
      <c r="AZ119" s="128">
        <f>output!N27</f>
        <v>2.3726077259288876E-10</v>
      </c>
      <c r="BA119" s="29" t="s">
        <v>1489</v>
      </c>
      <c r="BB119" s="2"/>
      <c r="BC119" s="75"/>
      <c r="BD119" s="2"/>
      <c r="BE119" s="2"/>
      <c r="BF119" s="2"/>
      <c r="BG119" s="2"/>
      <c r="BH119" s="2"/>
      <c r="BI119" s="2"/>
      <c r="BJ119" s="2"/>
      <c r="BK119" s="2"/>
      <c r="BL119"/>
      <c r="BM119" s="562"/>
      <c r="BN119" s="591">
        <v>106</v>
      </c>
      <c r="BO119" s="549" t="s">
        <v>1920</v>
      </c>
      <c r="BP119" s="549" t="s">
        <v>2408</v>
      </c>
      <c r="BQ119" s="550" t="s">
        <v>2408</v>
      </c>
      <c r="BR119" s="566">
        <v>1317.4459491623386</v>
      </c>
      <c r="BS119" s="566"/>
      <c r="BT119" s="566">
        <v>7935317.5892744446</v>
      </c>
      <c r="BU119" s="566">
        <v>387537.83524475846</v>
      </c>
      <c r="BV119" s="566">
        <v>25442884.512317024</v>
      </c>
      <c r="BW119" s="566">
        <v>406368.900900568</v>
      </c>
      <c r="BX119" s="566">
        <v>5098937.5552157592</v>
      </c>
      <c r="BY119" s="566">
        <v>31692887.565029081</v>
      </c>
      <c r="BZ119" s="566">
        <v>1888495.3908206508</v>
      </c>
      <c r="CA119" s="566">
        <v>28.548618017096512</v>
      </c>
      <c r="CB119" s="566">
        <v>1.0545111362567905E-31</v>
      </c>
      <c r="CC119" s="566">
        <v>3409.1321158041919</v>
      </c>
      <c r="CD119" s="566">
        <v>26036318.977269646</v>
      </c>
      <c r="CE119" s="566">
        <v>10930.646912843706</v>
      </c>
      <c r="CF119" s="566">
        <v>1365073.2088658388</v>
      </c>
      <c r="CG119" s="566">
        <v>57257.247608731916</v>
      </c>
      <c r="CH119" s="566">
        <v>131306.81299193963</v>
      </c>
      <c r="CI119" s="566">
        <v>21206.388003234049</v>
      </c>
      <c r="CJ119" s="566">
        <v>9.0853298263962809E-2</v>
      </c>
      <c r="CK119" s="566">
        <v>502734924.92249519</v>
      </c>
      <c r="CL119" s="566"/>
      <c r="CM119" s="566">
        <v>5324823.2321338179</v>
      </c>
      <c r="CN119" s="566">
        <v>654.01804516783875</v>
      </c>
      <c r="CO119" s="566">
        <v>3.369547253607266E-4</v>
      </c>
      <c r="CP119" s="566">
        <v>322912324.93015182</v>
      </c>
      <c r="CQ119" s="566"/>
      <c r="CR119" s="566">
        <v>3424785.5510357455</v>
      </c>
      <c r="CS119" s="566">
        <v>2.034114647001831</v>
      </c>
      <c r="CT119" s="566">
        <v>5.9276832118253276E-5</v>
      </c>
      <c r="CU119" s="566">
        <v>771749076.27724171</v>
      </c>
      <c r="CV119" s="566"/>
      <c r="CW119" s="566">
        <v>8153710.8752277456</v>
      </c>
      <c r="CX119" s="566">
        <v>0.24443447366023058</v>
      </c>
      <c r="CY119" s="552"/>
    </row>
    <row r="120" spans="1:103" ht="12.75" customHeight="1" x14ac:dyDescent="0.3">
      <c r="A120" s="29"/>
      <c r="B120" s="6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9"/>
      <c r="Y120" s="436"/>
      <c r="Z120" s="29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29"/>
      <c r="AQ120" s="437"/>
      <c r="AR120" s="2"/>
      <c r="AS120" s="75"/>
      <c r="AT120" s="75"/>
      <c r="AU120" s="75" t="s">
        <v>2156</v>
      </c>
      <c r="AV120" s="75"/>
      <c r="AW120" s="75"/>
      <c r="AX120" s="29" t="s">
        <v>208</v>
      </c>
      <c r="AY120" s="29"/>
      <c r="AZ120" s="128">
        <f>output!N23</f>
        <v>1.6146952732658704E-8</v>
      </c>
      <c r="BA120" s="29" t="s">
        <v>1495</v>
      </c>
      <c r="BB120" s="2"/>
      <c r="BC120" s="75"/>
      <c r="BD120" s="2"/>
      <c r="BE120" s="2"/>
      <c r="BF120" s="2"/>
      <c r="BG120" s="2"/>
      <c r="BH120" s="2"/>
      <c r="BI120" s="2"/>
      <c r="BJ120" s="2"/>
      <c r="BK120" s="2"/>
      <c r="BL120"/>
      <c r="BM120" s="562"/>
      <c r="BN120" s="591">
        <v>107</v>
      </c>
      <c r="BO120" s="549" t="s">
        <v>1941</v>
      </c>
      <c r="BP120" s="549" t="s">
        <v>2408</v>
      </c>
      <c r="BQ120" s="550" t="s">
        <v>2408</v>
      </c>
      <c r="BR120" s="566">
        <v>340121.95102853369</v>
      </c>
      <c r="BS120" s="566"/>
      <c r="BT120" s="566">
        <v>5017695.7051195148</v>
      </c>
      <c r="BU120" s="566">
        <v>228269.10021153255</v>
      </c>
      <c r="BV120" s="566">
        <v>870261.97652593395</v>
      </c>
      <c r="BW120" s="566">
        <v>10642.220251127312</v>
      </c>
      <c r="BX120" s="566">
        <v>287152.21565372963</v>
      </c>
      <c r="BY120" s="566">
        <v>241932258.45977175</v>
      </c>
      <c r="BZ120" s="566">
        <v>106352.67246434433</v>
      </c>
      <c r="CA120" s="566">
        <v>535793.65874375822</v>
      </c>
      <c r="CB120" s="566">
        <v>1.4991393139385425E-29</v>
      </c>
      <c r="CC120" s="566">
        <v>67763.667611162819</v>
      </c>
      <c r="CD120" s="566">
        <v>37519859.406660169</v>
      </c>
      <c r="CE120" s="566">
        <v>11752.83372639918</v>
      </c>
      <c r="CF120" s="566">
        <v>87461.379404174746</v>
      </c>
      <c r="CG120" s="566">
        <v>163199.87420712321</v>
      </c>
      <c r="CH120" s="566">
        <v>1387369.16833571</v>
      </c>
      <c r="CI120" s="566">
        <v>60444.39785449006</v>
      </c>
      <c r="CJ120" s="566">
        <v>224949.80913477231</v>
      </c>
      <c r="CK120" s="566">
        <v>433970579.40554011</v>
      </c>
      <c r="CL120" s="566"/>
      <c r="CM120" s="566">
        <v>204364.54253150686</v>
      </c>
      <c r="CN120" s="566">
        <v>245930.01412636501</v>
      </c>
      <c r="CO120" s="566">
        <v>32715.275832266769</v>
      </c>
      <c r="CP120" s="566">
        <v>267012277.36175585</v>
      </c>
      <c r="CQ120" s="566"/>
      <c r="CR120" s="566">
        <v>126074.41104258166</v>
      </c>
      <c r="CS120" s="566">
        <v>111948.70994032058</v>
      </c>
      <c r="CT120" s="566">
        <v>153751.64335900953</v>
      </c>
      <c r="CU120" s="566">
        <v>382563986.35546756</v>
      </c>
      <c r="CV120" s="566"/>
      <c r="CW120" s="566">
        <v>179269.76494487378</v>
      </c>
      <c r="CX120" s="566">
        <v>49880.630837041492</v>
      </c>
      <c r="CY120" s="552"/>
    </row>
    <row r="121" spans="1:103" ht="12.75" customHeight="1" x14ac:dyDescent="0.3">
      <c r="A121" s="29"/>
      <c r="B121" s="6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9"/>
      <c r="Y121" s="436"/>
      <c r="Z121" s="29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29"/>
      <c r="AQ121" s="437"/>
      <c r="AR121" s="2"/>
      <c r="AS121" s="75"/>
      <c r="AT121" s="75"/>
      <c r="AU121" s="75"/>
      <c r="AV121" s="75"/>
      <c r="AW121" s="75"/>
      <c r="AX121" s="29" t="s">
        <v>1475</v>
      </c>
      <c r="AY121" s="29"/>
      <c r="AZ121" s="128">
        <f>output!N35</f>
        <v>4.2053906063474952E-9</v>
      </c>
      <c r="BA121" s="29" t="s">
        <v>1495</v>
      </c>
      <c r="BB121" s="2"/>
      <c r="BC121" s="75"/>
      <c r="BD121" s="2"/>
      <c r="BE121" s="2"/>
      <c r="BF121" s="2"/>
      <c r="BG121" s="2"/>
      <c r="BH121" s="2"/>
      <c r="BI121" s="2"/>
      <c r="BJ121" s="2"/>
      <c r="BK121" s="2"/>
      <c r="BL121"/>
      <c r="BM121" s="562"/>
      <c r="BN121" s="591">
        <v>108</v>
      </c>
      <c r="BO121" s="549" t="s">
        <v>1957</v>
      </c>
      <c r="BP121" s="549" t="s">
        <v>2408</v>
      </c>
      <c r="BQ121" s="550" t="s">
        <v>2408</v>
      </c>
      <c r="BR121" s="566">
        <v>72670.382436655025</v>
      </c>
      <c r="BS121" s="566"/>
      <c r="BT121" s="566">
        <v>46750385.479746014</v>
      </c>
      <c r="BU121" s="566">
        <v>2244055.5301447879</v>
      </c>
      <c r="BV121" s="566">
        <v>386575.79067937162</v>
      </c>
      <c r="BW121" s="566">
        <v>5653.5396501113946</v>
      </c>
      <c r="BX121" s="566">
        <v>493499.51847658976</v>
      </c>
      <c r="BY121" s="566">
        <v>13653847.71379498</v>
      </c>
      <c r="BZ121" s="566">
        <v>182777.59943577394</v>
      </c>
      <c r="CA121" s="566">
        <v>23240.206137343095</v>
      </c>
      <c r="CB121" s="566">
        <v>5.4312973837833041E-30</v>
      </c>
      <c r="CC121" s="566">
        <v>1423035.2031504672</v>
      </c>
      <c r="CD121" s="566">
        <v>66739682.107827589</v>
      </c>
      <c r="CE121" s="566">
        <v>11766.982307788681</v>
      </c>
      <c r="CF121" s="566">
        <v>8406.9987120169153</v>
      </c>
      <c r="CG121" s="566">
        <v>80677.050198791636</v>
      </c>
      <c r="CH121" s="566">
        <v>661045.40870978846</v>
      </c>
      <c r="CI121" s="566">
        <v>29880.388962515408</v>
      </c>
      <c r="CJ121" s="566">
        <v>1118.426116437425</v>
      </c>
      <c r="CK121" s="566">
        <v>83263490.33330366</v>
      </c>
      <c r="CL121" s="566"/>
      <c r="CM121" s="566">
        <v>2116.7317179643665</v>
      </c>
      <c r="CN121" s="566">
        <v>13935.449760807733</v>
      </c>
      <c r="CO121" s="566">
        <v>12.111875828497199</v>
      </c>
      <c r="CP121" s="566">
        <v>16311288.436023695</v>
      </c>
      <c r="CQ121" s="566"/>
      <c r="CR121" s="566">
        <v>415.79288964583532</v>
      </c>
      <c r="CS121" s="566">
        <v>466.24844138431575</v>
      </c>
      <c r="CT121" s="566">
        <v>27.350377938955049</v>
      </c>
      <c r="CU121" s="566">
        <v>3761651.0272169593</v>
      </c>
      <c r="CV121" s="566"/>
      <c r="CW121" s="566">
        <v>95.144597223012511</v>
      </c>
      <c r="CX121" s="566">
        <v>101.14180997872029</v>
      </c>
      <c r="CY121" s="552"/>
    </row>
    <row r="122" spans="1:103" ht="12.75" customHeight="1" x14ac:dyDescent="0.3">
      <c r="A122" s="29"/>
      <c r="B122" s="6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9"/>
      <c r="Y122" s="436"/>
      <c r="Z122" s="29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29"/>
      <c r="AQ122" s="437"/>
      <c r="AR122" s="2"/>
      <c r="AS122" s="75"/>
      <c r="AT122" s="75"/>
      <c r="AU122" s="260" t="s">
        <v>2169</v>
      </c>
      <c r="AV122" s="75"/>
      <c r="AW122" s="75"/>
      <c r="AX122" s="29" t="s">
        <v>508</v>
      </c>
      <c r="AY122" s="29"/>
      <c r="AZ122" s="128">
        <f>output!N39</f>
        <v>7.6158424059309755E-9</v>
      </c>
      <c r="BA122" s="29" t="s">
        <v>1495</v>
      </c>
      <c r="BB122" s="2"/>
      <c r="BC122" s="75"/>
      <c r="BD122" s="2"/>
      <c r="BE122" s="2"/>
      <c r="BF122" s="2"/>
      <c r="BG122" s="2"/>
      <c r="BH122" s="2"/>
      <c r="BI122" s="2"/>
      <c r="BJ122" s="2"/>
      <c r="BK122" s="2"/>
      <c r="BL122"/>
      <c r="BM122" s="562"/>
      <c r="BN122" s="591">
        <v>109</v>
      </c>
      <c r="BO122" s="549" t="s">
        <v>1848</v>
      </c>
      <c r="BP122" s="549" t="s">
        <v>2408</v>
      </c>
      <c r="BQ122" s="550" t="s">
        <v>2408</v>
      </c>
      <c r="BR122" s="566">
        <v>41363.456777310254</v>
      </c>
      <c r="BS122" s="566"/>
      <c r="BT122" s="566">
        <v>8620358.1053731255</v>
      </c>
      <c r="BU122" s="566">
        <v>366033.96987491357</v>
      </c>
      <c r="BV122" s="566">
        <v>142791.15189449486</v>
      </c>
      <c r="BW122" s="566">
        <v>1816.8933459473612</v>
      </c>
      <c r="BX122" s="566">
        <v>1410972.2064358718</v>
      </c>
      <c r="BY122" s="566">
        <v>29976029.679684754</v>
      </c>
      <c r="BZ122" s="566">
        <v>522582.29867995234</v>
      </c>
      <c r="CA122" s="566">
        <v>11626.320921156341</v>
      </c>
      <c r="CB122" s="566">
        <v>3.0652886063203178E-30</v>
      </c>
      <c r="CC122" s="566">
        <v>215400.45151237369</v>
      </c>
      <c r="CD122" s="566">
        <v>2813081.9190948717</v>
      </c>
      <c r="CE122" s="566">
        <v>3567.9815402187187</v>
      </c>
      <c r="CF122" s="566">
        <v>698.1687822792702</v>
      </c>
      <c r="CG122" s="566">
        <v>204699.87506164695</v>
      </c>
      <c r="CH122" s="566">
        <v>1334653.7863857325</v>
      </c>
      <c r="CI122" s="566">
        <v>75814.768541350713</v>
      </c>
      <c r="CJ122" s="566">
        <v>488.70482984728477</v>
      </c>
      <c r="CK122" s="566">
        <v>448812.04304464982</v>
      </c>
      <c r="CL122" s="566"/>
      <c r="CM122" s="566">
        <v>22.276864997782834</v>
      </c>
      <c r="CN122" s="566">
        <v>30883.432077263355</v>
      </c>
      <c r="CO122" s="566">
        <v>4.4328722602848494</v>
      </c>
      <c r="CP122" s="566">
        <v>14734.443625686414</v>
      </c>
      <c r="CQ122" s="566"/>
      <c r="CR122" s="566">
        <v>0.739889211778471</v>
      </c>
      <c r="CS122" s="566">
        <v>897.28692624252915</v>
      </c>
      <c r="CT122" s="566">
        <v>10.180591767442619</v>
      </c>
      <c r="CU122" s="566">
        <v>2502.7429973093936</v>
      </c>
      <c r="CV122" s="566"/>
      <c r="CW122" s="566">
        <v>0.12155518326464067</v>
      </c>
      <c r="CX122" s="566">
        <v>185.5997851026828</v>
      </c>
      <c r="CY122" s="552"/>
    </row>
    <row r="123" spans="1:103" ht="12.75" customHeight="1" x14ac:dyDescent="0.3">
      <c r="A123" s="29"/>
      <c r="B123" s="6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9"/>
      <c r="Y123" s="436"/>
      <c r="Z123" s="29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29"/>
      <c r="AQ123" s="437"/>
      <c r="AR123" s="2"/>
      <c r="AS123" s="75"/>
      <c r="AT123" s="75"/>
      <c r="AU123" s="75"/>
      <c r="AV123" s="75"/>
      <c r="AW123" s="75"/>
      <c r="AX123" s="260" t="s">
        <v>1450</v>
      </c>
      <c r="AY123" s="29"/>
      <c r="AZ123" s="128">
        <f>output!N43</f>
        <v>3.156660978040182E-9</v>
      </c>
      <c r="BA123" s="29" t="s">
        <v>1495</v>
      </c>
      <c r="BB123" s="2"/>
      <c r="BC123" s="75"/>
      <c r="BD123" s="2"/>
      <c r="BE123" s="2"/>
      <c r="BF123" s="2"/>
      <c r="BG123" s="2"/>
      <c r="BH123" s="2"/>
      <c r="BI123" s="2"/>
      <c r="BJ123" s="2"/>
      <c r="BK123" s="2"/>
      <c r="BL123"/>
      <c r="BM123" s="562"/>
      <c r="BN123" s="591">
        <v>110</v>
      </c>
      <c r="BO123" s="549" t="s">
        <v>1948</v>
      </c>
      <c r="BP123" s="549" t="s">
        <v>2408</v>
      </c>
      <c r="BQ123" s="550" t="s">
        <v>2408</v>
      </c>
      <c r="BR123" s="566">
        <v>1.0389452056103847E-4</v>
      </c>
      <c r="BS123" s="566"/>
      <c r="BT123" s="566">
        <v>23791166.163883507</v>
      </c>
      <c r="BU123" s="566">
        <v>1159957.1521236517</v>
      </c>
      <c r="BV123" s="566">
        <v>193895.0019061506</v>
      </c>
      <c r="BW123" s="566">
        <v>2880.9929828279014</v>
      </c>
      <c r="BX123" s="566">
        <v>239367.80947261557</v>
      </c>
      <c r="BY123" s="566">
        <v>5240780.5902549382</v>
      </c>
      <c r="BZ123" s="566">
        <v>88654.744249116891</v>
      </c>
      <c r="CA123" s="566">
        <v>1.2185425489778062E-13</v>
      </c>
      <c r="CB123" s="566">
        <v>8.3483855214019624E-39</v>
      </c>
      <c r="CC123" s="566">
        <v>3.5790208866061687E-3</v>
      </c>
      <c r="CD123" s="566">
        <v>76964948.418208659</v>
      </c>
      <c r="CE123" s="566">
        <v>2.9168568570805169E-5</v>
      </c>
      <c r="CF123" s="566">
        <v>9557.9166829833703</v>
      </c>
      <c r="CG123" s="566">
        <v>1.4548301450368673E-4</v>
      </c>
      <c r="CH123" s="566">
        <v>1.1912087655179034E-3</v>
      </c>
      <c r="CI123" s="566">
        <v>5.3882597964328413E-5</v>
      </c>
      <c r="CJ123" s="566">
        <v>8.4389594967109E-18</v>
      </c>
      <c r="CK123" s="566">
        <v>1483444197.8255301</v>
      </c>
      <c r="CL123" s="566"/>
      <c r="CM123" s="566">
        <v>37216.174704039207</v>
      </c>
      <c r="CN123" s="566">
        <v>3.6162974965684412E-8</v>
      </c>
      <c r="CO123" s="566">
        <v>6.1539926640693506E-18</v>
      </c>
      <c r="CP123" s="566">
        <v>952760750.98648608</v>
      </c>
      <c r="CQ123" s="566"/>
      <c r="CR123" s="566">
        <v>23947.959737131539</v>
      </c>
      <c r="CS123" s="566">
        <v>1.3889549746913553E-8</v>
      </c>
      <c r="CT123" s="566">
        <v>1.1155044395402392E-17</v>
      </c>
      <c r="CU123" s="566">
        <v>2274416216.7494073</v>
      </c>
      <c r="CV123" s="566"/>
      <c r="CW123" s="566">
        <v>56858.333521355591</v>
      </c>
      <c r="CX123" s="566">
        <v>3.544940413646725E-8</v>
      </c>
      <c r="CY123" s="552"/>
    </row>
    <row r="124" spans="1:103" ht="12.75" customHeight="1" x14ac:dyDescent="0.3">
      <c r="A124" s="29"/>
      <c r="B124" s="6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9"/>
      <c r="Y124" s="436"/>
      <c r="Z124" s="29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29"/>
      <c r="AQ124" s="437"/>
      <c r="AR124" s="2"/>
      <c r="AS124" s="75"/>
      <c r="AT124" s="281">
        <v>0.12130000000000001</v>
      </c>
      <c r="AU124" s="75" t="s">
        <v>2154</v>
      </c>
      <c r="AV124" s="75"/>
      <c r="AW124" s="75"/>
      <c r="AX124" s="260" t="s">
        <v>509</v>
      </c>
      <c r="AY124" s="29"/>
      <c r="AZ124" s="128">
        <f>output!N47</f>
        <v>7.6158424059309739E-9</v>
      </c>
      <c r="BA124" s="29" t="s">
        <v>1495</v>
      </c>
      <c r="BB124" s="2"/>
      <c r="BC124" s="75"/>
      <c r="BD124" s="2"/>
      <c r="BE124" s="2"/>
      <c r="BF124" s="2"/>
      <c r="BG124" s="2"/>
      <c r="BH124" s="2"/>
      <c r="BI124" s="2"/>
      <c r="BJ124" s="2"/>
      <c r="BK124" s="2"/>
      <c r="BL124"/>
      <c r="BM124" s="562"/>
      <c r="BN124" s="591">
        <v>111</v>
      </c>
      <c r="BO124" s="549" t="s">
        <v>1919</v>
      </c>
      <c r="BP124" s="549" t="s">
        <v>2408</v>
      </c>
      <c r="BQ124" s="550" t="s">
        <v>2408</v>
      </c>
      <c r="BR124" s="566">
        <v>859689.01013401779</v>
      </c>
      <c r="BS124" s="566"/>
      <c r="BT124" s="566">
        <v>2293377.6351492079</v>
      </c>
      <c r="BU124" s="566">
        <v>76141.960919679492</v>
      </c>
      <c r="BV124" s="566">
        <v>19420.575864783706</v>
      </c>
      <c r="BW124" s="566">
        <v>196.36370604166854</v>
      </c>
      <c r="BX124" s="566">
        <v>4.5702696951348392</v>
      </c>
      <c r="BY124" s="566">
        <v>82733800.390272662</v>
      </c>
      <c r="BZ124" s="566">
        <v>1.6926924796795704</v>
      </c>
      <c r="CA124" s="566">
        <v>1697115.9557584343</v>
      </c>
      <c r="CB124" s="566">
        <v>4.5787878879999453E-33</v>
      </c>
      <c r="CC124" s="566">
        <v>3.9834759173007503</v>
      </c>
      <c r="CD124" s="566">
        <v>1260970.5576370028</v>
      </c>
      <c r="CE124" s="566">
        <v>3.3732515339735966E-2</v>
      </c>
      <c r="CF124" s="566">
        <v>162.59684470710471</v>
      </c>
      <c r="CG124" s="566">
        <v>3.4542233026996949</v>
      </c>
      <c r="CH124" s="566">
        <v>24.369078386875458</v>
      </c>
      <c r="CI124" s="566">
        <v>1.2793419639628492</v>
      </c>
      <c r="CJ124" s="566">
        <v>563763.80318686855</v>
      </c>
      <c r="CK124" s="566">
        <v>1247298.9471221624</v>
      </c>
      <c r="CL124" s="566"/>
      <c r="CM124" s="566">
        <v>32.45877145682573</v>
      </c>
      <c r="CN124" s="566">
        <v>4.1185063196847871</v>
      </c>
      <c r="CO124" s="566">
        <v>64429.139199303019</v>
      </c>
      <c r="CP124" s="566">
        <v>129744.59081709452</v>
      </c>
      <c r="CQ124" s="566"/>
      <c r="CR124" s="566">
        <v>3.3856937495991684</v>
      </c>
      <c r="CS124" s="566">
        <v>1.0180856670443716</v>
      </c>
      <c r="CT124" s="566">
        <v>94895.426232434635</v>
      </c>
      <c r="CU124" s="566">
        <v>50588.377363539541</v>
      </c>
      <c r="CV124" s="566"/>
      <c r="CW124" s="566">
        <v>1.3096969494509416</v>
      </c>
      <c r="CX124" s="566">
        <v>0.31626911403621055</v>
      </c>
      <c r="CY124" s="552"/>
    </row>
    <row r="125" spans="1:103" ht="12.75" customHeight="1" x14ac:dyDescent="0.3">
      <c r="A125" s="29"/>
      <c r="B125" s="6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9"/>
      <c r="Y125" s="436"/>
      <c r="Z125" s="29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29"/>
      <c r="AQ125" s="437"/>
      <c r="AR125" s="2"/>
      <c r="AS125" s="75"/>
      <c r="AT125" s="75"/>
      <c r="AU125" s="75"/>
      <c r="AV125" s="75"/>
      <c r="AW125" s="75"/>
      <c r="AX125" s="5"/>
      <c r="AY125" s="2"/>
      <c r="AZ125" s="2"/>
      <c r="BA125" s="57"/>
      <c r="BB125" s="2"/>
      <c r="BC125" s="75"/>
      <c r="BD125" s="2"/>
      <c r="BE125" s="2"/>
      <c r="BF125" s="2"/>
      <c r="BG125" s="2"/>
      <c r="BH125" s="2"/>
      <c r="BI125" s="2"/>
      <c r="BJ125" s="2"/>
      <c r="BK125" s="2"/>
      <c r="BL125"/>
      <c r="BM125" s="562"/>
      <c r="BN125" s="591">
        <v>112</v>
      </c>
      <c r="BO125" s="549" t="s">
        <v>1868</v>
      </c>
      <c r="BP125" s="549" t="s">
        <v>2408</v>
      </c>
      <c r="BQ125" s="550" t="s">
        <v>2408</v>
      </c>
      <c r="BR125" s="566">
        <v>5252.0048969270438</v>
      </c>
      <c r="BS125" s="566"/>
      <c r="BT125" s="566">
        <v>13110324.368509928</v>
      </c>
      <c r="BU125" s="566">
        <v>556394.23909639218</v>
      </c>
      <c r="BV125" s="566">
        <v>114770.36781878935</v>
      </c>
      <c r="BW125" s="566">
        <v>1482.4587736114856</v>
      </c>
      <c r="BX125" s="566">
        <v>664265.91172703181</v>
      </c>
      <c r="BY125" s="566">
        <v>15658425.971054088</v>
      </c>
      <c r="BZ125" s="566">
        <v>246024.41175075251</v>
      </c>
      <c r="CA125" s="566">
        <v>133.95808073937084</v>
      </c>
      <c r="CB125" s="566">
        <v>3.9229818897627636E-31</v>
      </c>
      <c r="CC125" s="566">
        <v>40122.264094478385</v>
      </c>
      <c r="CD125" s="566">
        <v>3217009.6767764492</v>
      </c>
      <c r="CE125" s="566">
        <v>351.23822099370807</v>
      </c>
      <c r="CF125" s="566">
        <v>428.5705966218747</v>
      </c>
      <c r="CG125" s="566">
        <v>8777.3115865840409</v>
      </c>
      <c r="CH125" s="566">
        <v>72977.961285607365</v>
      </c>
      <c r="CI125" s="566">
        <v>3250.8561431792714</v>
      </c>
      <c r="CJ125" s="566">
        <v>0.50220975963143744</v>
      </c>
      <c r="CK125" s="566">
        <v>460434.98990012443</v>
      </c>
      <c r="CL125" s="566"/>
      <c r="CM125" s="566">
        <v>12.267325666903579</v>
      </c>
      <c r="CN125" s="566">
        <v>118.10856765316593</v>
      </c>
      <c r="CO125" s="566">
        <v>3.9551202755389617E-4</v>
      </c>
      <c r="CP125" s="566">
        <v>12280.875721629423</v>
      </c>
      <c r="CQ125" s="566"/>
      <c r="CR125" s="566">
        <v>0.33046426912942695</v>
      </c>
      <c r="CS125" s="566">
        <v>0.28457856573679891</v>
      </c>
      <c r="CT125" s="566">
        <v>9.5065385211983084E-4</v>
      </c>
      <c r="CU125" s="566">
        <v>2112.8314300907823</v>
      </c>
      <c r="CV125" s="566"/>
      <c r="CW125" s="566">
        <v>5.525441230250297E-2</v>
      </c>
      <c r="CX125" s="566">
        <v>6.6647652171785685E-2</v>
      </c>
      <c r="CY125" s="552"/>
    </row>
    <row r="126" spans="1:103" ht="12.75" customHeight="1" x14ac:dyDescent="0.3">
      <c r="A126" s="29"/>
      <c r="B126" s="6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9"/>
      <c r="Y126" s="436"/>
      <c r="Z126" s="29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29"/>
      <c r="AQ126" s="437"/>
      <c r="AR126" s="2"/>
      <c r="AS126" s="2"/>
      <c r="AT126" s="2"/>
      <c r="AU126" s="2"/>
      <c r="AV126" s="2"/>
      <c r="AW126" s="2"/>
      <c r="AX126" s="5"/>
      <c r="AY126" s="2"/>
      <c r="AZ126" s="2"/>
      <c r="BA126" s="57"/>
      <c r="BB126" s="2"/>
      <c r="BC126" s="75"/>
      <c r="BD126" s="2"/>
      <c r="BE126" s="2"/>
      <c r="BF126" s="2"/>
      <c r="BG126" s="2"/>
      <c r="BH126" s="2"/>
      <c r="BI126" s="2"/>
      <c r="BJ126" s="2"/>
      <c r="BK126" s="2"/>
      <c r="BL126"/>
      <c r="BM126" s="562"/>
      <c r="BN126" s="591">
        <v>113</v>
      </c>
      <c r="BO126" s="549" t="s">
        <v>1938</v>
      </c>
      <c r="BP126" s="549" t="s">
        <v>2408</v>
      </c>
      <c r="BQ126" s="550" t="s">
        <v>2408</v>
      </c>
      <c r="BR126" s="566">
        <v>143017.40889327633</v>
      </c>
      <c r="BS126" s="566"/>
      <c r="BT126" s="566">
        <v>1102250.8025247394</v>
      </c>
      <c r="BU126" s="566">
        <v>37721.930235825392</v>
      </c>
      <c r="BV126" s="566">
        <v>14697882.183147743</v>
      </c>
      <c r="BW126" s="566">
        <v>202254.64303487915</v>
      </c>
      <c r="BX126" s="566">
        <v>78426.112547631608</v>
      </c>
      <c r="BY126" s="566">
        <v>5277035.2261235602</v>
      </c>
      <c r="BZ126" s="566">
        <v>29046.708350974677</v>
      </c>
      <c r="CA126" s="566">
        <v>90397.217754120284</v>
      </c>
      <c r="CB126" s="566">
        <v>6.6607900362386096E-31</v>
      </c>
      <c r="CC126" s="566">
        <v>784.79283730444058</v>
      </c>
      <c r="CD126" s="566">
        <v>344136.27572203072</v>
      </c>
      <c r="CE126" s="566">
        <v>10464.762315852347</v>
      </c>
      <c r="CF126" s="566">
        <v>92258.21579963628</v>
      </c>
      <c r="CG126" s="566">
        <v>20977.699571934136</v>
      </c>
      <c r="CH126" s="566">
        <v>55789.570650424073</v>
      </c>
      <c r="CI126" s="566">
        <v>7769.5183599756047</v>
      </c>
      <c r="CJ126" s="566">
        <v>8684.8301544306378</v>
      </c>
      <c r="CK126" s="566">
        <v>66328.721792115946</v>
      </c>
      <c r="CL126" s="566"/>
      <c r="CM126" s="566">
        <v>3556.9012647087102</v>
      </c>
      <c r="CN126" s="566">
        <v>7233.8214066869559</v>
      </c>
      <c r="CO126" s="566">
        <v>261.84593456056353</v>
      </c>
      <c r="CP126" s="566">
        <v>8099.8980256976747</v>
      </c>
      <c r="CQ126" s="566"/>
      <c r="CR126" s="566">
        <v>438.55544512327879</v>
      </c>
      <c r="CS126" s="566">
        <v>750.81882844457209</v>
      </c>
      <c r="CT126" s="566">
        <v>382.984670041985</v>
      </c>
      <c r="CU126" s="566">
        <v>553.2191628429066</v>
      </c>
      <c r="CV126" s="566"/>
      <c r="CW126" s="566">
        <v>29.137077682762051</v>
      </c>
      <c r="CX126" s="566">
        <v>83.45523851207605</v>
      </c>
      <c r="CY126" s="552"/>
    </row>
    <row r="127" spans="1:103" ht="12.75" customHeight="1" x14ac:dyDescent="0.3">
      <c r="A127" s="29"/>
      <c r="B127" s="6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9"/>
      <c r="Y127" s="436"/>
      <c r="Z127" s="29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29"/>
      <c r="AQ127" s="437"/>
      <c r="AR127" s="2"/>
      <c r="AS127" s="2"/>
      <c r="AT127" s="75"/>
      <c r="AU127" s="43"/>
      <c r="AV127" s="75"/>
      <c r="AW127" s="75"/>
      <c r="AX127" s="21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/>
      <c r="BM127" s="562"/>
      <c r="BN127" s="591">
        <v>114</v>
      </c>
      <c r="BO127" s="549" t="s">
        <v>1559</v>
      </c>
      <c r="BP127" s="549" t="s">
        <v>2408</v>
      </c>
      <c r="BQ127" s="550" t="s">
        <v>2408</v>
      </c>
      <c r="BR127" s="566">
        <v>102062.83753442192</v>
      </c>
      <c r="BS127" s="566"/>
      <c r="BT127" s="566">
        <v>9568919.9283933509</v>
      </c>
      <c r="BU127" s="566">
        <v>405590.91793536517</v>
      </c>
      <c r="BV127" s="566">
        <v>15805574.264159795</v>
      </c>
      <c r="BW127" s="566">
        <v>199232.90640576932</v>
      </c>
      <c r="BX127" s="566">
        <v>83356896.281906664</v>
      </c>
      <c r="BY127" s="566">
        <v>2669666763.774282</v>
      </c>
      <c r="BZ127" s="566">
        <v>30872924.548854318</v>
      </c>
      <c r="CA127" s="566">
        <v>66788.358038298495</v>
      </c>
      <c r="CB127" s="566">
        <v>6.8225204217043486E-30</v>
      </c>
      <c r="CC127" s="566">
        <v>369402.20919464348</v>
      </c>
      <c r="CD127" s="566">
        <v>3948524.1132722916</v>
      </c>
      <c r="CE127" s="566">
        <v>610164.37533833052</v>
      </c>
      <c r="CF127" s="566">
        <v>96978.987979443133</v>
      </c>
      <c r="CG127" s="566">
        <v>27104918.79009252</v>
      </c>
      <c r="CH127" s="566">
        <v>190825547.5755468</v>
      </c>
      <c r="CI127" s="566">
        <v>10038858.811145375</v>
      </c>
      <c r="CJ127" s="566">
        <v>6701.3948279485685</v>
      </c>
      <c r="CK127" s="566">
        <v>796841.35102574225</v>
      </c>
      <c r="CL127" s="566"/>
      <c r="CM127" s="566">
        <v>3914.1471076831476</v>
      </c>
      <c r="CN127" s="566">
        <v>9761492.0577395931</v>
      </c>
      <c r="CO127" s="566">
        <v>180.86873838562636</v>
      </c>
      <c r="CP127" s="566">
        <v>55744.540122902668</v>
      </c>
      <c r="CQ127" s="566"/>
      <c r="CR127" s="566">
        <v>276.27258425849806</v>
      </c>
      <c r="CS127" s="566">
        <v>730152.48732722772</v>
      </c>
      <c r="CT127" s="566">
        <v>313.80559911510755</v>
      </c>
      <c r="CU127" s="566">
        <v>8951.6229866588455</v>
      </c>
      <c r="CV127" s="566"/>
      <c r="CW127" s="566">
        <v>43.242695186026069</v>
      </c>
      <c r="CX127" s="566">
        <v>135264.89471559992</v>
      </c>
      <c r="CY127" s="552"/>
    </row>
    <row r="128" spans="1:103" ht="12.75" customHeight="1" x14ac:dyDescent="0.3">
      <c r="A128" s="29"/>
      <c r="B128" s="6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9"/>
      <c r="Y128" s="436"/>
      <c r="Z128" s="29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29"/>
      <c r="AQ128" s="437"/>
      <c r="AR128" s="2"/>
      <c r="AS128" s="2"/>
      <c r="AT128" s="75"/>
      <c r="AU128" s="43"/>
      <c r="AV128" s="75"/>
      <c r="AW128" s="75"/>
      <c r="AX128" s="21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/>
      <c r="BM128" s="562"/>
      <c r="BN128" s="591">
        <v>115</v>
      </c>
      <c r="BO128" s="549" t="s">
        <v>1937</v>
      </c>
      <c r="BP128" s="549" t="s">
        <v>2408</v>
      </c>
      <c r="BQ128" s="550" t="s">
        <v>2408</v>
      </c>
      <c r="BR128" s="566">
        <v>373277.38649739302</v>
      </c>
      <c r="BS128" s="566"/>
      <c r="BT128" s="566">
        <v>27163324.492118921</v>
      </c>
      <c r="BU128" s="566">
        <v>1306626.8133883001</v>
      </c>
      <c r="BV128" s="566">
        <v>213601.44963612396</v>
      </c>
      <c r="BW128" s="566">
        <v>3133.2321234663368</v>
      </c>
      <c r="BX128" s="566">
        <v>42517.014703157605</v>
      </c>
      <c r="BY128" s="566">
        <v>8876710.7204039805</v>
      </c>
      <c r="BZ128" s="566">
        <v>15747.042482650973</v>
      </c>
      <c r="CA128" s="566">
        <v>495309.79695720488</v>
      </c>
      <c r="CB128" s="566">
        <v>2.1113333490384444E-29</v>
      </c>
      <c r="CC128" s="566">
        <v>622892.31366567884</v>
      </c>
      <c r="CD128" s="566">
        <v>131183497.44163299</v>
      </c>
      <c r="CE128" s="566">
        <v>4898.1744191433972</v>
      </c>
      <c r="CF128" s="566">
        <v>15728.605292697303</v>
      </c>
      <c r="CG128" s="566">
        <v>27370.452502739972</v>
      </c>
      <c r="CH128" s="566">
        <v>229210.68291290404</v>
      </c>
      <c r="CI128" s="566">
        <v>10137.204630644432</v>
      </c>
      <c r="CJ128" s="566">
        <v>183139.47528825328</v>
      </c>
      <c r="CK128" s="566">
        <v>2239783010.6837778</v>
      </c>
      <c r="CL128" s="566"/>
      <c r="CM128" s="566">
        <v>54250.933959820846</v>
      </c>
      <c r="CN128" s="566">
        <v>36323.750187766462</v>
      </c>
      <c r="CO128" s="566">
        <v>23730.942257600022</v>
      </c>
      <c r="CP128" s="566">
        <v>1433158674.2856104</v>
      </c>
      <c r="CQ128" s="566"/>
      <c r="CR128" s="566">
        <v>34776.978987933391</v>
      </c>
      <c r="CS128" s="566">
        <v>15163.296118705721</v>
      </c>
      <c r="CT128" s="566">
        <v>194718.68276965653</v>
      </c>
      <c r="CU128" s="566">
        <v>3028378495.31214</v>
      </c>
      <c r="CV128" s="566"/>
      <c r="CW128" s="566">
        <v>73101.594922312928</v>
      </c>
      <c r="CX128" s="566">
        <v>11258.975604925246</v>
      </c>
      <c r="CY128" s="552"/>
    </row>
    <row r="129" spans="1:103" ht="12.75" customHeight="1" x14ac:dyDescent="0.3">
      <c r="A129" s="29"/>
      <c r="B129" s="6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9"/>
      <c r="Y129" s="436"/>
      <c r="Z129" s="29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29"/>
      <c r="AQ129" s="437"/>
      <c r="AR129" s="2"/>
      <c r="AS129" s="2"/>
      <c r="AT129" s="75"/>
      <c r="AU129" s="43"/>
      <c r="AV129" s="75"/>
      <c r="AW129" s="75"/>
      <c r="AX129" s="21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/>
      <c r="BM129" s="562"/>
      <c r="BN129" s="591">
        <v>116</v>
      </c>
      <c r="BO129" s="549" t="s">
        <v>1939</v>
      </c>
      <c r="BP129" s="549" t="s">
        <v>2408</v>
      </c>
      <c r="BQ129" s="550" t="s">
        <v>2408</v>
      </c>
      <c r="BR129" s="566">
        <v>647.40599675232704</v>
      </c>
      <c r="BS129" s="566"/>
      <c r="BT129" s="566">
        <v>27102008.4360145</v>
      </c>
      <c r="BU129" s="566">
        <v>1321856.7479227337</v>
      </c>
      <c r="BV129" s="566">
        <v>452276.22789783753</v>
      </c>
      <c r="BW129" s="566">
        <v>6608.7554808609775</v>
      </c>
      <c r="BX129" s="566">
        <v>1402974.5110079539</v>
      </c>
      <c r="BY129" s="566">
        <v>22942218.462079547</v>
      </c>
      <c r="BZ129" s="566">
        <v>519620.18926220515</v>
      </c>
      <c r="CA129" s="566">
        <v>3.5688820525503795</v>
      </c>
      <c r="CB129" s="566">
        <v>5.1968210072504883E-32</v>
      </c>
      <c r="CC129" s="566">
        <v>16736.251364952765</v>
      </c>
      <c r="CD129" s="566">
        <v>87892987.970269203</v>
      </c>
      <c r="CE129" s="566">
        <v>279.29327283480069</v>
      </c>
      <c r="CF129" s="566">
        <v>21971.490741737984</v>
      </c>
      <c r="CG129" s="566">
        <v>4007.7750313310844</v>
      </c>
      <c r="CH129" s="566">
        <v>24384.935300847159</v>
      </c>
      <c r="CI129" s="566">
        <v>1484.3611227152162</v>
      </c>
      <c r="CJ129" s="566">
        <v>4.7620308818632835E-2</v>
      </c>
      <c r="CK129" s="566">
        <v>1693805710.2663348</v>
      </c>
      <c r="CL129" s="566"/>
      <c r="CM129" s="566">
        <v>85537.983952215174</v>
      </c>
      <c r="CN129" s="566">
        <v>191.94066841583532</v>
      </c>
      <c r="CO129" s="566">
        <v>6.6215449428301326E-3</v>
      </c>
      <c r="CP129" s="566">
        <v>1087859246.2487099</v>
      </c>
      <c r="CQ129" s="566"/>
      <c r="CR129" s="566">
        <v>55143.180892054632</v>
      </c>
      <c r="CS129" s="566">
        <v>73.059078781656765</v>
      </c>
      <c r="CT129" s="566">
        <v>0.14385226446071506</v>
      </c>
      <c r="CU129" s="566">
        <v>2596664534.8804121</v>
      </c>
      <c r="CV129" s="566"/>
      <c r="CW129" s="566">
        <v>130224.43669610319</v>
      </c>
      <c r="CX129" s="566">
        <v>169.61353460237902</v>
      </c>
      <c r="CY129" s="552"/>
    </row>
    <row r="130" spans="1:103" ht="12.75" customHeight="1" x14ac:dyDescent="0.3">
      <c r="A130" s="29"/>
      <c r="B130" s="6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9"/>
      <c r="Y130" s="436"/>
      <c r="Z130" s="29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29"/>
      <c r="AQ130" s="437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/>
      <c r="BM130" s="562"/>
      <c r="BN130" s="591">
        <v>117</v>
      </c>
      <c r="BO130" s="549" t="s">
        <v>1795</v>
      </c>
      <c r="BP130" s="549" t="s">
        <v>2408</v>
      </c>
      <c r="BQ130" s="550" t="s">
        <v>2408</v>
      </c>
      <c r="BR130" s="566">
        <v>110135.89700403035</v>
      </c>
      <c r="BS130" s="566"/>
      <c r="BT130" s="566">
        <v>30238626.27001819</v>
      </c>
      <c r="BU130" s="566">
        <v>1450006.303960684</v>
      </c>
      <c r="BV130" s="566">
        <v>275049.36458982428</v>
      </c>
      <c r="BW130" s="566">
        <v>4011.3001917123756</v>
      </c>
      <c r="BX130" s="566">
        <v>274948.69104585762</v>
      </c>
      <c r="BY130" s="566">
        <v>11479600.057264213</v>
      </c>
      <c r="BZ130" s="566">
        <v>101832.84853550284</v>
      </c>
      <c r="CA130" s="566">
        <v>81019.760105406633</v>
      </c>
      <c r="CB130" s="566">
        <v>7.1722058743908387E-30</v>
      </c>
      <c r="CC130" s="566">
        <v>1265559.5378821287</v>
      </c>
      <c r="CD130" s="566">
        <v>47495130.177484967</v>
      </c>
      <c r="CE130" s="566">
        <v>11511.480172305521</v>
      </c>
      <c r="CF130" s="566">
        <v>6569.5309139675101</v>
      </c>
      <c r="CG130" s="566">
        <v>100527.60265587189</v>
      </c>
      <c r="CH130" s="566">
        <v>808071.70180477528</v>
      </c>
      <c r="CI130" s="566">
        <v>37232.445428100691</v>
      </c>
      <c r="CJ130" s="566">
        <v>9134.469444385335</v>
      </c>
      <c r="CK130" s="566">
        <v>61004121.336441241</v>
      </c>
      <c r="CL130" s="566"/>
      <c r="CM130" s="566">
        <v>1702.9378561232033</v>
      </c>
      <c r="CN130" s="566">
        <v>40680.038531327831</v>
      </c>
      <c r="CO130" s="566">
        <v>249.98325776208176</v>
      </c>
      <c r="CP130" s="566">
        <v>12247466.448532257</v>
      </c>
      <c r="CQ130" s="566"/>
      <c r="CR130" s="566">
        <v>342.88097713523166</v>
      </c>
      <c r="CS130" s="566">
        <v>3487.8499055146731</v>
      </c>
      <c r="CT130" s="566">
        <v>488.46266423700524</v>
      </c>
      <c r="CU130" s="566">
        <v>2816187.8169785566</v>
      </c>
      <c r="CV130" s="566"/>
      <c r="CW130" s="566">
        <v>78.189265980148292</v>
      </c>
      <c r="CX130" s="566">
        <v>641.0804536441517</v>
      </c>
      <c r="CY130" s="552"/>
    </row>
    <row r="131" spans="1:103" ht="12.75" customHeight="1" x14ac:dyDescent="0.3">
      <c r="A131" s="29"/>
      <c r="B131" s="6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9"/>
      <c r="Y131" s="436"/>
      <c r="Z131" s="29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29"/>
      <c r="AQ131" s="437"/>
      <c r="AR131" s="2"/>
      <c r="AS131" s="42" t="s">
        <v>2170</v>
      </c>
      <c r="AT131" s="5"/>
      <c r="AU131" s="5"/>
      <c r="AV131" s="2"/>
      <c r="AW131" s="2"/>
      <c r="AX131" s="5" t="s">
        <v>1250</v>
      </c>
      <c r="AY131" s="36" t="str">
        <f>CONCATENATE(version!$B$2,", ",version!$B$3)</f>
        <v>SimpleBox, vs4.04</v>
      </c>
      <c r="AZ131" s="2"/>
      <c r="BA131" s="75"/>
      <c r="BB131" s="75"/>
      <c r="BC131" s="2"/>
      <c r="BD131" s="2"/>
      <c r="BE131" s="2"/>
      <c r="BF131" s="2"/>
      <c r="BG131" s="2"/>
      <c r="BH131" s="2"/>
      <c r="BI131" s="2"/>
      <c r="BJ131" s="2"/>
      <c r="BK131" s="2"/>
      <c r="BL131"/>
      <c r="BM131" s="562"/>
      <c r="BN131" s="591">
        <v>118</v>
      </c>
      <c r="BO131" s="549" t="s">
        <v>1537</v>
      </c>
      <c r="BP131" s="549" t="s">
        <v>2408</v>
      </c>
      <c r="BQ131" s="550" t="s">
        <v>2408</v>
      </c>
      <c r="BR131" s="566">
        <v>1274.4697378411736</v>
      </c>
      <c r="BS131" s="566"/>
      <c r="BT131" s="566">
        <v>12365853.493413795</v>
      </c>
      <c r="BU131" s="566">
        <v>526405.99399240164</v>
      </c>
      <c r="BV131" s="566">
        <v>360895.19531898288</v>
      </c>
      <c r="BW131" s="566">
        <v>4508.4582778677586</v>
      </c>
      <c r="BX131" s="566">
        <v>5506959.089769992</v>
      </c>
      <c r="BY131" s="566">
        <v>76404774.170578852</v>
      </c>
      <c r="BZ131" s="566">
        <v>2039614.4776925889</v>
      </c>
      <c r="CA131" s="566">
        <v>6.6759253790611597</v>
      </c>
      <c r="CB131" s="566">
        <v>1.0227374676394493E-31</v>
      </c>
      <c r="CC131" s="566">
        <v>6621.4454231143209</v>
      </c>
      <c r="CD131" s="566">
        <v>2973407.0429713228</v>
      </c>
      <c r="CE131" s="566">
        <v>193.24568583491498</v>
      </c>
      <c r="CF131" s="566">
        <v>1273.302522135401</v>
      </c>
      <c r="CG131" s="566">
        <v>14948.310197195484</v>
      </c>
      <c r="CH131" s="566">
        <v>77279.783435614852</v>
      </c>
      <c r="CI131" s="566">
        <v>5536.4111841464764</v>
      </c>
      <c r="CJ131" s="566">
        <v>5.1445833685421138E-3</v>
      </c>
      <c r="CK131" s="566">
        <v>425085.37778493168</v>
      </c>
      <c r="CL131" s="566"/>
      <c r="CM131" s="566">
        <v>36.405320130408633</v>
      </c>
      <c r="CN131" s="566">
        <v>41.346094467310046</v>
      </c>
      <c r="CO131" s="566">
        <v>8.8706747729591723E-7</v>
      </c>
      <c r="CP131" s="566">
        <v>11335.842018306736</v>
      </c>
      <c r="CQ131" s="566"/>
      <c r="CR131" s="566">
        <v>0.98463787044925632</v>
      </c>
      <c r="CS131" s="566">
        <v>2.3458214716167509E-2</v>
      </c>
      <c r="CT131" s="566">
        <v>2.1486655485733208E-6</v>
      </c>
      <c r="CU131" s="566">
        <v>1950.2759046998481</v>
      </c>
      <c r="CV131" s="566"/>
      <c r="CW131" s="566">
        <v>0.16268312947138228</v>
      </c>
      <c r="CX131" s="566">
        <v>4.8211846017381359E-3</v>
      </c>
      <c r="CY131" s="552"/>
    </row>
    <row r="132" spans="1:103" ht="12.75" customHeight="1" x14ac:dyDescent="0.3">
      <c r="A132" s="29"/>
      <c r="B132" s="6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9"/>
      <c r="Y132" s="436"/>
      <c r="Z132" s="29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29"/>
      <c r="AQ132" s="437"/>
      <c r="AR132" s="2"/>
      <c r="AS132" s="46" t="s">
        <v>2167</v>
      </c>
      <c r="AT132" s="5"/>
      <c r="AU132" s="2"/>
      <c r="AV132" s="75"/>
      <c r="AW132" s="75"/>
      <c r="AX132" s="5" t="s">
        <v>1360</v>
      </c>
      <c r="AY132" s="73" t="str">
        <f>ChemName</f>
        <v>default substance</v>
      </c>
      <c r="AZ132" s="2"/>
      <c r="BA132" s="5" t="s">
        <v>809</v>
      </c>
      <c r="BB132" s="227" t="str">
        <f>ScenarioName</f>
        <v>default scenario</v>
      </c>
      <c r="BC132" s="2"/>
      <c r="BD132" s="5" t="s">
        <v>1213</v>
      </c>
      <c r="BE132" s="227" t="str">
        <f>CaseName</f>
        <v>defaults only</v>
      </c>
      <c r="BF132" s="2"/>
      <c r="BG132" s="2"/>
      <c r="BH132" s="2"/>
      <c r="BI132" s="2"/>
      <c r="BJ132" s="2"/>
      <c r="BK132" s="2"/>
      <c r="BL132"/>
      <c r="BM132" s="562"/>
      <c r="BN132" s="591">
        <v>119</v>
      </c>
      <c r="BO132" s="549" t="s">
        <v>1778</v>
      </c>
      <c r="BP132" s="549" t="s">
        <v>2408</v>
      </c>
      <c r="BQ132" s="550" t="s">
        <v>2408</v>
      </c>
      <c r="BR132" s="566">
        <v>1002061.6270562704</v>
      </c>
      <c r="BS132" s="566"/>
      <c r="BT132" s="566">
        <v>3606254.016993118</v>
      </c>
      <c r="BU132" s="566">
        <v>115510.49974053106</v>
      </c>
      <c r="BV132" s="566">
        <v>28164.205447317348</v>
      </c>
      <c r="BW132" s="566">
        <v>275.1270867811877</v>
      </c>
      <c r="BX132" s="566">
        <v>980.92175305439275</v>
      </c>
      <c r="BY132" s="566">
        <v>17233012.937179893</v>
      </c>
      <c r="BZ132" s="566">
        <v>363.3043529831084</v>
      </c>
      <c r="CA132" s="566">
        <v>1908829.4685408452</v>
      </c>
      <c r="CB132" s="566">
        <v>1.6001723012132519E-29</v>
      </c>
      <c r="CC132" s="566">
        <v>14810.960388915788</v>
      </c>
      <c r="CD132" s="566">
        <v>3906434.8127599671</v>
      </c>
      <c r="CE132" s="566">
        <v>115.67097861101649</v>
      </c>
      <c r="CF132" s="566">
        <v>465.22438745806193</v>
      </c>
      <c r="CG132" s="566">
        <v>898.50563300872977</v>
      </c>
      <c r="CH132" s="566">
        <v>7698.3842953469157</v>
      </c>
      <c r="CI132" s="566">
        <v>332.7798640773072</v>
      </c>
      <c r="CJ132" s="566">
        <v>599958.08138071839</v>
      </c>
      <c r="CK132" s="566">
        <v>1858551.2615000871</v>
      </c>
      <c r="CL132" s="566"/>
      <c r="CM132" s="566">
        <v>44.265768897660102</v>
      </c>
      <c r="CN132" s="566">
        <v>1013.6271535764113</v>
      </c>
      <c r="CO132" s="566">
        <v>50352.36912215381</v>
      </c>
      <c r="CP132" s="566">
        <v>1497537.6658578976</v>
      </c>
      <c r="CQ132" s="566"/>
      <c r="CR132" s="566">
        <v>36.015813063278792</v>
      </c>
      <c r="CS132" s="566">
        <v>267.68412336645514</v>
      </c>
      <c r="CT132" s="566">
        <v>99217.811846240627</v>
      </c>
      <c r="CU132" s="566">
        <v>77393.214368961781</v>
      </c>
      <c r="CV132" s="566"/>
      <c r="CW132" s="566">
        <v>1.8100357583902671</v>
      </c>
      <c r="CX132" s="566">
        <v>49.556181941702853</v>
      </c>
      <c r="CY132" s="552"/>
    </row>
    <row r="133" spans="1:103" ht="12.75" customHeight="1" x14ac:dyDescent="0.3">
      <c r="A133" s="29"/>
      <c r="B133" s="6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9"/>
      <c r="Y133" s="436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437"/>
      <c r="AR133" s="2"/>
      <c r="AS133" s="42"/>
      <c r="AT133" s="5"/>
      <c r="AU133" s="5"/>
      <c r="AV133" s="2"/>
      <c r="AW133" s="2"/>
      <c r="AX133" s="2"/>
      <c r="AY133" s="2"/>
      <c r="AZ133" s="2"/>
      <c r="BA133" s="2"/>
      <c r="BB133" s="5"/>
      <c r="BC133" s="2"/>
      <c r="BD133" s="2"/>
      <c r="BE133" s="2"/>
      <c r="BF133" s="2"/>
      <c r="BG133" s="2"/>
      <c r="BH133" s="2"/>
      <c r="BI133" s="2"/>
      <c r="BJ133" s="2"/>
      <c r="BK133" s="2"/>
      <c r="BL133"/>
      <c r="BM133" s="562"/>
      <c r="BN133" s="591">
        <v>120</v>
      </c>
      <c r="BO133" s="549" t="s">
        <v>1753</v>
      </c>
      <c r="BP133" s="549" t="s">
        <v>2408</v>
      </c>
      <c r="BQ133" s="550" t="s">
        <v>2408</v>
      </c>
      <c r="BR133" s="566">
        <v>91216.555127428102</v>
      </c>
      <c r="BS133" s="566"/>
      <c r="BT133" s="566">
        <v>1887933.7329123323</v>
      </c>
      <c r="BU133" s="566">
        <v>58600.159684715909</v>
      </c>
      <c r="BV133" s="566">
        <v>14909.619830398076</v>
      </c>
      <c r="BW133" s="566">
        <v>141.11280381256063</v>
      </c>
      <c r="BX133" s="566">
        <v>11.676817245004528</v>
      </c>
      <c r="BY133" s="566">
        <v>4351155.5654914975</v>
      </c>
      <c r="BZ133" s="566">
        <v>4.3247471277794549</v>
      </c>
      <c r="CA133" s="566">
        <v>10840.802231278121</v>
      </c>
      <c r="CB133" s="566">
        <v>1.6445648655922984E-32</v>
      </c>
      <c r="CC133" s="566">
        <v>14.186798692498547</v>
      </c>
      <c r="CD133" s="566">
        <v>297667.48348506575</v>
      </c>
      <c r="CE133" s="566">
        <v>0.11203771161461837</v>
      </c>
      <c r="CF133" s="566">
        <v>35.840084245847521</v>
      </c>
      <c r="CG133" s="566">
        <v>0.78488592809799496</v>
      </c>
      <c r="CH133" s="566">
        <v>4.1016455594122085</v>
      </c>
      <c r="CI133" s="566">
        <v>0.29069849188814639</v>
      </c>
      <c r="CJ133" s="566">
        <v>191.36909548832151</v>
      </c>
      <c r="CK133" s="566">
        <v>41549.679278150768</v>
      </c>
      <c r="CL133" s="566"/>
      <c r="CM133" s="566">
        <v>1.0004995053470231</v>
      </c>
      <c r="CN133" s="566">
        <v>4.97302429293177E-2</v>
      </c>
      <c r="CO133" s="566">
        <v>1.1709646916219174</v>
      </c>
      <c r="CP133" s="566">
        <v>1009.2302205276301</v>
      </c>
      <c r="CQ133" s="566"/>
      <c r="CR133" s="566">
        <v>2.4539740865296065E-2</v>
      </c>
      <c r="CS133" s="566">
        <v>1.1109234878537706E-3</v>
      </c>
      <c r="CT133" s="566">
        <v>1.4501315885048887</v>
      </c>
      <c r="CU133" s="566">
        <v>188.73471407965607</v>
      </c>
      <c r="CV133" s="566"/>
      <c r="CW133" s="566">
        <v>4.4624765356428321E-3</v>
      </c>
      <c r="CX133" s="566">
        <v>1.0411143846528632E-4</v>
      </c>
      <c r="CY133" s="552"/>
    </row>
    <row r="134" spans="1:103" ht="12.75" customHeight="1" x14ac:dyDescent="0.3">
      <c r="A134" s="29"/>
      <c r="B134" s="6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9"/>
      <c r="Y134" s="436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437"/>
      <c r="AR134" s="2"/>
      <c r="AS134" s="46"/>
      <c r="AT134" s="5" t="s">
        <v>2171</v>
      </c>
      <c r="AU134" s="5"/>
      <c r="AV134" s="75"/>
      <c r="AW134" s="75"/>
      <c r="AX134" s="2"/>
      <c r="AY134" s="46"/>
      <c r="AZ134" s="5" t="s">
        <v>2172</v>
      </c>
      <c r="BA134" s="2"/>
      <c r="BB134" s="75"/>
      <c r="BC134" s="75"/>
      <c r="BD134" s="75"/>
      <c r="BE134" s="46"/>
      <c r="BF134" s="5" t="s">
        <v>2173</v>
      </c>
      <c r="BG134" s="2"/>
      <c r="BH134" s="75"/>
      <c r="BI134" s="75"/>
      <c r="BJ134" s="2"/>
      <c r="BK134" s="2"/>
      <c r="BL134"/>
      <c r="BM134" s="562"/>
      <c r="BN134" s="591">
        <v>121</v>
      </c>
      <c r="BO134" s="549" t="s">
        <v>1818</v>
      </c>
      <c r="BP134" s="549" t="s">
        <v>2408</v>
      </c>
      <c r="BQ134" s="550" t="s">
        <v>2408</v>
      </c>
      <c r="BR134" s="566">
        <v>104607.46662674726</v>
      </c>
      <c r="BS134" s="566"/>
      <c r="BT134" s="566">
        <v>30362966.383762401</v>
      </c>
      <c r="BU134" s="566">
        <v>1478123.6498537583</v>
      </c>
      <c r="BV134" s="566">
        <v>322733.22515373246</v>
      </c>
      <c r="BW134" s="566">
        <v>4762.9986763227853</v>
      </c>
      <c r="BX134" s="566">
        <v>286818.18153310684</v>
      </c>
      <c r="BY134" s="566">
        <v>12712889.655491363</v>
      </c>
      <c r="BZ134" s="566">
        <v>106228.9561233729</v>
      </c>
      <c r="CA134" s="566">
        <v>89206.987070604591</v>
      </c>
      <c r="CB134" s="566">
        <v>6.5188287751843108E-30</v>
      </c>
      <c r="CC134" s="566">
        <v>1272952.6832697638</v>
      </c>
      <c r="CD134" s="566">
        <v>119566167.82789075</v>
      </c>
      <c r="CE134" s="566">
        <v>13530.434403123752</v>
      </c>
      <c r="CF134" s="566">
        <v>19264.068305570239</v>
      </c>
      <c r="CG134" s="566">
        <v>120391.62014544742</v>
      </c>
      <c r="CH134" s="566">
        <v>931962.78988583852</v>
      </c>
      <c r="CI134" s="566">
        <v>44589.488942758311</v>
      </c>
      <c r="CJ134" s="566">
        <v>16097.411543755834</v>
      </c>
      <c r="CK134" s="566">
        <v>2310518281.0521345</v>
      </c>
      <c r="CL134" s="566"/>
      <c r="CM134" s="566">
        <v>75203.720688627203</v>
      </c>
      <c r="CN134" s="566">
        <v>77975.306420936526</v>
      </c>
      <c r="CO134" s="566">
        <v>1142.8174351155435</v>
      </c>
      <c r="CP134" s="566">
        <v>1484401797.8811009</v>
      </c>
      <c r="CQ134" s="566"/>
      <c r="CR134" s="566">
        <v>48433.254442382764</v>
      </c>
      <c r="CS134" s="566">
        <v>17521.013221945519</v>
      </c>
      <c r="CT134" s="566">
        <v>13079.500155270294</v>
      </c>
      <c r="CU134" s="566">
        <v>3511953322.9893589</v>
      </c>
      <c r="CV134" s="566"/>
      <c r="CW134" s="566">
        <v>113788.92875107029</v>
      </c>
      <c r="CX134" s="566">
        <v>18561.067470302914</v>
      </c>
      <c r="CY134" s="552"/>
    </row>
    <row r="135" spans="1:103" ht="12.75" customHeight="1" x14ac:dyDescent="0.3">
      <c r="A135" s="29"/>
      <c r="B135" s="6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9"/>
      <c r="Y135" s="436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437"/>
      <c r="AR135" s="2"/>
      <c r="AS135" s="2"/>
      <c r="AT135" s="75"/>
      <c r="AU135" s="75"/>
      <c r="AV135" s="75"/>
      <c r="AW135" s="77"/>
      <c r="AX135" s="75"/>
      <c r="AY135" s="2"/>
      <c r="AZ135" s="75"/>
      <c r="BA135" s="75"/>
      <c r="BB135" s="75"/>
      <c r="BC135" s="77"/>
      <c r="BD135" s="75"/>
      <c r="BE135" s="2"/>
      <c r="BF135" s="75"/>
      <c r="BG135" s="75"/>
      <c r="BH135" s="75"/>
      <c r="BI135" s="77"/>
      <c r="BJ135" s="75"/>
      <c r="BK135" s="2"/>
      <c r="BL135"/>
      <c r="BM135" s="562"/>
      <c r="BN135" s="591">
        <v>122</v>
      </c>
      <c r="BO135" s="549" t="s">
        <v>1800</v>
      </c>
      <c r="BP135" s="549" t="s">
        <v>2408</v>
      </c>
      <c r="BQ135" s="550" t="s">
        <v>2408</v>
      </c>
      <c r="BR135" s="566">
        <v>1122.3343394471694</v>
      </c>
      <c r="BS135" s="566"/>
      <c r="BT135" s="566">
        <v>65847465.814286031</v>
      </c>
      <c r="BU135" s="566">
        <v>3162253.2921219105</v>
      </c>
      <c r="BV135" s="566">
        <v>512994.57074873988</v>
      </c>
      <c r="BW135" s="566">
        <v>7513.7932867525597</v>
      </c>
      <c r="BX135" s="566">
        <v>713825.62643211475</v>
      </c>
      <c r="BY135" s="566">
        <v>15875566.46792832</v>
      </c>
      <c r="BZ135" s="566">
        <v>264379.86164152389</v>
      </c>
      <c r="CA135" s="566">
        <v>3.9390579090119302</v>
      </c>
      <c r="CB135" s="566">
        <v>9.0269518279731345E-32</v>
      </c>
      <c r="CC135" s="566">
        <v>29714.227065228268</v>
      </c>
      <c r="CD135" s="566">
        <v>83374917.830713779</v>
      </c>
      <c r="CE135" s="566">
        <v>231.49314814102138</v>
      </c>
      <c r="CF135" s="566">
        <v>9905.3086519138396</v>
      </c>
      <c r="CG135" s="566">
        <v>1298.2513545710885</v>
      </c>
      <c r="CH135" s="566">
        <v>10777.474570566961</v>
      </c>
      <c r="CI135" s="566">
        <v>480.8338350263291</v>
      </c>
      <c r="CJ135" s="566">
        <v>3.6193786110002139E-3</v>
      </c>
      <c r="CK135" s="566">
        <v>102992901.96907096</v>
      </c>
      <c r="CL135" s="566"/>
      <c r="CM135" s="566">
        <v>2469.4159821904468</v>
      </c>
      <c r="CN135" s="566">
        <v>4.2815802634695945</v>
      </c>
      <c r="CO135" s="566">
        <v>6.1688950943633445E-5</v>
      </c>
      <c r="CP135" s="566">
        <v>20119372.682949577</v>
      </c>
      <c r="CQ135" s="566"/>
      <c r="CR135" s="566">
        <v>483.65142991590471</v>
      </c>
      <c r="CS135" s="566">
        <v>0.22145522368237258</v>
      </c>
      <c r="CT135" s="566">
        <v>1.5504878417224339E-4</v>
      </c>
      <c r="CU135" s="566">
        <v>4640729.9071320323</v>
      </c>
      <c r="CV135" s="566"/>
      <c r="CW135" s="566">
        <v>110.72715290181269</v>
      </c>
      <c r="CX135" s="566">
        <v>5.4730074104738916E-2</v>
      </c>
      <c r="CY135" s="552"/>
    </row>
    <row r="136" spans="1:103" ht="12.75" customHeight="1" x14ac:dyDescent="0.3">
      <c r="A136" s="29"/>
      <c r="B136" s="6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9"/>
      <c r="Y136" s="436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437"/>
      <c r="AR136" s="2"/>
      <c r="AS136" s="279">
        <f>output!AE32</f>
        <v>1.2118374201870186</v>
      </c>
      <c r="AT136" s="81">
        <f>output!AD32</f>
        <v>1.4611254155854208</v>
      </c>
      <c r="AU136" s="268">
        <f>output!AF32</f>
        <v>3.792615960330874E-4</v>
      </c>
      <c r="AV136" s="221"/>
      <c r="AW136" s="221"/>
      <c r="AX136" s="221"/>
      <c r="AY136" s="279">
        <f>output!AE38</f>
        <v>0.28327487187172756</v>
      </c>
      <c r="AZ136" s="266">
        <f>output!AD38</f>
        <v>0.39388330365275748</v>
      </c>
      <c r="BA136" s="268">
        <f>output!AF38</f>
        <v>1.4988392930686569E-4</v>
      </c>
      <c r="BB136" s="75"/>
      <c r="BC136" s="75"/>
      <c r="BD136" s="75"/>
      <c r="BE136" s="279">
        <f>output!AE44</f>
        <v>0.41348340642026854</v>
      </c>
      <c r="BF136" s="266">
        <f>output!AD44</f>
        <v>0.68222589417965585</v>
      </c>
      <c r="BG136" s="268">
        <f>output!AF44</f>
        <v>3.7893588177456851E-4</v>
      </c>
      <c r="BH136" s="75"/>
      <c r="BI136" s="75"/>
      <c r="BJ136" s="75"/>
      <c r="BK136" s="2"/>
      <c r="BL136"/>
      <c r="BM136" s="562"/>
      <c r="BN136" s="591">
        <v>123</v>
      </c>
      <c r="BO136" s="549" t="s">
        <v>1558</v>
      </c>
      <c r="BP136" s="549" t="s">
        <v>2408</v>
      </c>
      <c r="BQ136" s="550" t="s">
        <v>2408</v>
      </c>
      <c r="BR136" s="566">
        <v>1459684.5722869823</v>
      </c>
      <c r="BS136" s="566"/>
      <c r="BT136" s="566">
        <v>2373884.244376007</v>
      </c>
      <c r="BU136" s="566">
        <v>79250.05227870075</v>
      </c>
      <c r="BV136" s="566">
        <v>31370.118621565365</v>
      </c>
      <c r="BW136" s="566">
        <v>315.8366012901451</v>
      </c>
      <c r="BX136" s="566">
        <v>73.271156315706079</v>
      </c>
      <c r="BY136" s="566">
        <v>9392341.7893480007</v>
      </c>
      <c r="BZ136" s="566">
        <v>27.137465302113348</v>
      </c>
      <c r="CA136" s="566">
        <v>8799143.5304175671</v>
      </c>
      <c r="CB136" s="566">
        <v>2.1071414583124056E-30</v>
      </c>
      <c r="CC136" s="566">
        <v>1785.2434799384071</v>
      </c>
      <c r="CD136" s="566">
        <v>4117169.9849030497</v>
      </c>
      <c r="CE136" s="566">
        <v>23.591419786673235</v>
      </c>
      <c r="CF136" s="566">
        <v>820.4114303878257</v>
      </c>
      <c r="CG136" s="566">
        <v>223.44631630446287</v>
      </c>
      <c r="CH136" s="566">
        <v>917.28370993185865</v>
      </c>
      <c r="CI136" s="566">
        <v>82.757894927578818</v>
      </c>
      <c r="CJ136" s="566">
        <v>20489519.592016093</v>
      </c>
      <c r="CK136" s="566">
        <v>56667478.708593056</v>
      </c>
      <c r="CL136" s="566"/>
      <c r="CM136" s="566">
        <v>2281.1664317869922</v>
      </c>
      <c r="CN136" s="566">
        <v>1867.532758930799</v>
      </c>
      <c r="CO136" s="566">
        <v>9117461.6348586008</v>
      </c>
      <c r="CP136" s="566">
        <v>77419132.401690915</v>
      </c>
      <c r="CQ136" s="566"/>
      <c r="CR136" s="566">
        <v>3125.9111641361706</v>
      </c>
      <c r="CS136" s="566">
        <v>2925.5561391422575</v>
      </c>
      <c r="CT136" s="566">
        <v>22543398.298888233</v>
      </c>
      <c r="CU136" s="566">
        <v>45206776.168697484</v>
      </c>
      <c r="CV136" s="566"/>
      <c r="CW136" s="566">
        <v>1809.6614351859748</v>
      </c>
      <c r="CX136" s="566">
        <v>570.66502889765002</v>
      </c>
      <c r="CY136" s="552"/>
    </row>
    <row r="137" spans="1:103" ht="12.75" customHeight="1" x14ac:dyDescent="0.3">
      <c r="A137" s="29"/>
      <c r="B137" s="29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9"/>
      <c r="Y137" s="436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437"/>
      <c r="AR137" s="2"/>
      <c r="AS137" s="221"/>
      <c r="AT137" s="222"/>
      <c r="AU137" s="221"/>
      <c r="AV137" s="221"/>
      <c r="AW137" s="221"/>
      <c r="AX137" s="221"/>
      <c r="AY137" s="2"/>
      <c r="AZ137" s="75"/>
      <c r="BA137" s="75"/>
      <c r="BB137" s="75"/>
      <c r="BC137" s="75"/>
      <c r="BD137" s="75"/>
      <c r="BE137" s="2"/>
      <c r="BF137" s="75"/>
      <c r="BG137" s="75"/>
      <c r="BH137" s="75"/>
      <c r="BI137" s="75"/>
      <c r="BJ137" s="75"/>
      <c r="BK137" s="2"/>
      <c r="BL137"/>
      <c r="BM137" s="562"/>
      <c r="BN137" s="591">
        <v>124</v>
      </c>
      <c r="BO137" s="549" t="s">
        <v>1840</v>
      </c>
      <c r="BP137" s="549" t="s">
        <v>2408</v>
      </c>
      <c r="BQ137" s="550" t="s">
        <v>2408</v>
      </c>
      <c r="BR137" s="566">
        <v>124923.44428860358</v>
      </c>
      <c r="BS137" s="566"/>
      <c r="BT137" s="566">
        <v>1576901.5154694363</v>
      </c>
      <c r="BU137" s="566">
        <v>57337.233765799996</v>
      </c>
      <c r="BV137" s="566">
        <v>367874.81482308178</v>
      </c>
      <c r="BW137" s="566">
        <v>3563.5462220778763</v>
      </c>
      <c r="BX137" s="566">
        <v>3937.6904104504792</v>
      </c>
      <c r="BY137" s="566">
        <v>23454228.434032146</v>
      </c>
      <c r="BZ137" s="566">
        <v>1458.4038557223998</v>
      </c>
      <c r="CA137" s="566">
        <v>31654.300663636815</v>
      </c>
      <c r="CB137" s="566">
        <v>2.0145885036412986E-31</v>
      </c>
      <c r="CC137" s="566">
        <v>234.83771433714568</v>
      </c>
      <c r="CD137" s="566">
        <v>1206386.8815151956</v>
      </c>
      <c r="CE137" s="566">
        <v>54.785210000597331</v>
      </c>
      <c r="CF137" s="566">
        <v>3748.8863096775549</v>
      </c>
      <c r="CG137" s="566">
        <v>570.8909923129288</v>
      </c>
      <c r="CH137" s="566">
        <v>3010.439475834366</v>
      </c>
      <c r="CI137" s="566">
        <v>211.44110826404767</v>
      </c>
      <c r="CJ137" s="566">
        <v>1321.4673412626994</v>
      </c>
      <c r="CK137" s="566">
        <v>1276776.3570197639</v>
      </c>
      <c r="CL137" s="566"/>
      <c r="CM137" s="566">
        <v>800.72767252514393</v>
      </c>
      <c r="CN137" s="566">
        <v>85.542227958909876</v>
      </c>
      <c r="CO137" s="566">
        <v>32.850158050472913</v>
      </c>
      <c r="CP137" s="566">
        <v>173665.58691108073</v>
      </c>
      <c r="CQ137" s="566"/>
      <c r="CR137" s="566">
        <v>109.35650694810184</v>
      </c>
      <c r="CS137" s="566">
        <v>6.7763401958236269</v>
      </c>
      <c r="CT137" s="566">
        <v>27.781152976432047</v>
      </c>
      <c r="CU137" s="566">
        <v>52895.896037719911</v>
      </c>
      <c r="CV137" s="566"/>
      <c r="CW137" s="566">
        <v>32.923370181672929</v>
      </c>
      <c r="CX137" s="566">
        <v>0.52115918701623332</v>
      </c>
      <c r="CY137" s="552"/>
    </row>
    <row r="138" spans="1:103" ht="12.75" customHeight="1" x14ac:dyDescent="0.3">
      <c r="A138" s="29"/>
      <c r="B138" s="29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9"/>
      <c r="Y138" s="436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437"/>
      <c r="AR138" s="2"/>
      <c r="AS138" s="221"/>
      <c r="AT138" s="267">
        <f>output!AC32</f>
        <v>0</v>
      </c>
      <c r="AU138" s="221"/>
      <c r="AV138" s="221"/>
      <c r="AW138" s="221"/>
      <c r="AX138" s="221"/>
      <c r="AY138" s="2"/>
      <c r="AZ138" s="267">
        <f>output!AC38</f>
        <v>0</v>
      </c>
      <c r="BA138" s="75"/>
      <c r="BB138" s="75"/>
      <c r="BC138" s="75"/>
      <c r="BD138" s="75"/>
      <c r="BE138" s="2"/>
      <c r="BF138" s="267">
        <f>output!AC44</f>
        <v>0</v>
      </c>
      <c r="BG138" s="75"/>
      <c r="BH138" s="75"/>
      <c r="BI138" s="75"/>
      <c r="BJ138" s="75"/>
      <c r="BK138" s="2"/>
      <c r="BL138"/>
      <c r="BM138" s="562"/>
      <c r="BN138" s="591">
        <v>125</v>
      </c>
      <c r="BO138" s="549" t="s">
        <v>1785</v>
      </c>
      <c r="BP138" s="549" t="s">
        <v>2408</v>
      </c>
      <c r="BQ138" s="550" t="s">
        <v>2408</v>
      </c>
      <c r="BR138" s="566">
        <v>37062.292931003038</v>
      </c>
      <c r="BS138" s="566"/>
      <c r="BT138" s="566">
        <v>964098.80088031094</v>
      </c>
      <c r="BU138" s="566">
        <v>36995.547832723045</v>
      </c>
      <c r="BV138" s="566">
        <v>213018163.09320831</v>
      </c>
      <c r="BW138" s="566">
        <v>5919552.0267152777</v>
      </c>
      <c r="BX138" s="566">
        <v>8358.1707701641317</v>
      </c>
      <c r="BY138" s="566">
        <v>1684330.5069391732</v>
      </c>
      <c r="BZ138" s="566">
        <v>3095.618803764492</v>
      </c>
      <c r="CA138" s="566">
        <v>8713.5179364272808</v>
      </c>
      <c r="CB138" s="566">
        <v>1.2186459144761955E-32</v>
      </c>
      <c r="CC138" s="566">
        <v>18.247279826285713</v>
      </c>
      <c r="CD138" s="566">
        <v>1014097.5199154818</v>
      </c>
      <c r="CE138" s="566">
        <v>4031.7465663207417</v>
      </c>
      <c r="CF138" s="566">
        <v>8113142.500883433</v>
      </c>
      <c r="CG138" s="566">
        <v>694.74401073822582</v>
      </c>
      <c r="CH138" s="566">
        <v>1837.6899292120556</v>
      </c>
      <c r="CI138" s="566">
        <v>257.31259656971315</v>
      </c>
      <c r="CJ138" s="566">
        <v>398.82952152699863</v>
      </c>
      <c r="CK138" s="566">
        <v>2006060.7929535694</v>
      </c>
      <c r="CL138" s="566"/>
      <c r="CM138" s="566">
        <v>3240014.9525486613</v>
      </c>
      <c r="CN138" s="566">
        <v>114.13589135606033</v>
      </c>
      <c r="CO138" s="566">
        <v>34.21465013776433</v>
      </c>
      <c r="CP138" s="566">
        <v>421642.09973820695</v>
      </c>
      <c r="CQ138" s="566"/>
      <c r="CR138" s="566">
        <v>682833.01220457582</v>
      </c>
      <c r="CS138" s="566">
        <v>48.867436163120068</v>
      </c>
      <c r="CT138" s="566">
        <v>13.956609849817223</v>
      </c>
      <c r="CU138" s="566">
        <v>175960.59889275694</v>
      </c>
      <c r="CV138" s="566"/>
      <c r="CW138" s="566">
        <v>282777.19189280854</v>
      </c>
      <c r="CX138" s="566">
        <v>0.949626354738485</v>
      </c>
      <c r="CY138" s="552"/>
    </row>
    <row r="139" spans="1:103" ht="12.75" customHeight="1" x14ac:dyDescent="0.3">
      <c r="A139" s="29"/>
      <c r="B139" s="29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9"/>
      <c r="Y139" s="436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437"/>
      <c r="AR139" s="2"/>
      <c r="AS139" s="221"/>
      <c r="AT139" s="222"/>
      <c r="AU139" s="221"/>
      <c r="AV139" s="221"/>
      <c r="AW139" s="221"/>
      <c r="AX139" s="221"/>
      <c r="AY139" s="2"/>
      <c r="AZ139" s="68"/>
      <c r="BA139" s="75"/>
      <c r="BB139" s="75"/>
      <c r="BC139" s="75"/>
      <c r="BD139" s="75"/>
      <c r="BE139" s="2"/>
      <c r="BF139" s="75"/>
      <c r="BG139" s="75"/>
      <c r="BH139" s="75"/>
      <c r="BI139" s="75"/>
      <c r="BJ139" s="75"/>
      <c r="BK139" s="2"/>
      <c r="BL139"/>
      <c r="BM139" s="562"/>
      <c r="BN139" s="591">
        <v>126</v>
      </c>
      <c r="BO139" s="549" t="s">
        <v>898</v>
      </c>
      <c r="BP139" s="549" t="s">
        <v>2408</v>
      </c>
      <c r="BQ139" s="550" t="s">
        <v>2408</v>
      </c>
      <c r="BR139" s="566">
        <v>120918.44600104913</v>
      </c>
      <c r="BS139" s="566"/>
      <c r="BT139" s="566">
        <v>1916394.7011638503</v>
      </c>
      <c r="BU139" s="566">
        <v>78984.891000937147</v>
      </c>
      <c r="BV139" s="566">
        <v>43255.799790109653</v>
      </c>
      <c r="BW139" s="566">
        <v>528.64520840576699</v>
      </c>
      <c r="BX139" s="566">
        <v>1856.6716223229569</v>
      </c>
      <c r="BY139" s="566">
        <v>3550387.2141159866</v>
      </c>
      <c r="BZ139" s="566">
        <v>687.65615641591</v>
      </c>
      <c r="CA139" s="566">
        <v>45606.14561702434</v>
      </c>
      <c r="CB139" s="566">
        <v>7.6147053264301222E-31</v>
      </c>
      <c r="CC139" s="566">
        <v>1514.5942597491667</v>
      </c>
      <c r="CD139" s="566">
        <v>3652339.1764981179</v>
      </c>
      <c r="CE139" s="566">
        <v>34.18658276563341</v>
      </c>
      <c r="CF139" s="566">
        <v>1222.2537631314117</v>
      </c>
      <c r="CG139" s="566">
        <v>314.17898848785552</v>
      </c>
      <c r="CH139" s="566">
        <v>1148.4844770219672</v>
      </c>
      <c r="CI139" s="566">
        <v>116.36258832883536</v>
      </c>
      <c r="CJ139" s="566">
        <v>4640.7721693342037</v>
      </c>
      <c r="CK139" s="566">
        <v>20654707.070889626</v>
      </c>
      <c r="CL139" s="566"/>
      <c r="CM139" s="566">
        <v>1396.3662733080305</v>
      </c>
      <c r="CN139" s="566">
        <v>114.74867274706877</v>
      </c>
      <c r="CO139" s="566">
        <v>535.46271461382139</v>
      </c>
      <c r="CP139" s="566">
        <v>8826254.2794225402</v>
      </c>
      <c r="CQ139" s="566"/>
      <c r="CR139" s="566">
        <v>599.65404948528533</v>
      </c>
      <c r="CS139" s="566">
        <v>48.104542291022497</v>
      </c>
      <c r="CT139" s="566">
        <v>1413.6836410303347</v>
      </c>
      <c r="CU139" s="566">
        <v>10303810.887831297</v>
      </c>
      <c r="CV139" s="566"/>
      <c r="CW139" s="566">
        <v>690.23793877415062</v>
      </c>
      <c r="CX139" s="566">
        <v>9.3976681427358724</v>
      </c>
      <c r="CY139" s="552"/>
    </row>
    <row r="140" spans="1:103" ht="12.75" customHeight="1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436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437"/>
      <c r="AR140" s="2"/>
      <c r="AS140" s="221"/>
      <c r="AT140" s="222"/>
      <c r="AU140" s="221"/>
      <c r="AV140" s="221"/>
      <c r="AW140" s="221"/>
      <c r="AX140" s="221"/>
      <c r="AY140" s="2"/>
      <c r="AZ140" s="68"/>
      <c r="BA140" s="75"/>
      <c r="BB140" s="75"/>
      <c r="BC140" s="75"/>
      <c r="BD140" s="75"/>
      <c r="BE140" s="2"/>
      <c r="BF140" s="68"/>
      <c r="BG140" s="75"/>
      <c r="BH140" s="47"/>
      <c r="BI140" s="75"/>
      <c r="BJ140" s="75"/>
      <c r="BK140" s="2"/>
      <c r="BL140"/>
      <c r="BM140" s="562"/>
      <c r="BN140" s="591">
        <v>127</v>
      </c>
      <c r="BO140" s="549" t="s">
        <v>1790</v>
      </c>
      <c r="BP140" s="549" t="s">
        <v>2408</v>
      </c>
      <c r="BQ140" s="550" t="s">
        <v>2408</v>
      </c>
      <c r="BR140" s="566">
        <v>269838.25707260479</v>
      </c>
      <c r="BS140" s="566"/>
      <c r="BT140" s="566">
        <v>15617561.420784302</v>
      </c>
      <c r="BU140" s="566">
        <v>658927.41092563735</v>
      </c>
      <c r="BV140" s="566">
        <v>122407.69779343023</v>
      </c>
      <c r="BW140" s="566">
        <v>1574.9879370374381</v>
      </c>
      <c r="BX140" s="566">
        <v>42219.238821663181</v>
      </c>
      <c r="BY140" s="566">
        <v>2051908.2606396719</v>
      </c>
      <c r="BZ140" s="566">
        <v>15636.75511913451</v>
      </c>
      <c r="CA140" s="566">
        <v>173344.85945132855</v>
      </c>
      <c r="CB140" s="566">
        <v>1.0582109854119459E-29</v>
      </c>
      <c r="CC140" s="566">
        <v>111793.69322612521</v>
      </c>
      <c r="CD140" s="566">
        <v>6143696.3319379957</v>
      </c>
      <c r="CE140" s="566">
        <v>876.21929230407102</v>
      </c>
      <c r="CF140" s="566">
        <v>734.24230432534728</v>
      </c>
      <c r="CG140" s="566">
        <v>13154.565681760207</v>
      </c>
      <c r="CH140" s="566">
        <v>42247.6579702944</v>
      </c>
      <c r="CI140" s="566">
        <v>4872.061363614891</v>
      </c>
      <c r="CJ140" s="566">
        <v>16952.314725965563</v>
      </c>
      <c r="CK140" s="566">
        <v>1163084.4628828515</v>
      </c>
      <c r="CL140" s="566"/>
      <c r="CM140" s="566">
        <v>27.799212480433663</v>
      </c>
      <c r="CN140" s="566">
        <v>4617.4075483728793</v>
      </c>
      <c r="CO140" s="566">
        <v>479.71961531906857</v>
      </c>
      <c r="CP140" s="566">
        <v>78251.238028482374</v>
      </c>
      <c r="CQ140" s="566"/>
      <c r="CR140" s="566">
        <v>1.8885878233939795</v>
      </c>
      <c r="CS140" s="566">
        <v>514.09464930373565</v>
      </c>
      <c r="CT140" s="566">
        <v>726.55751886951236</v>
      </c>
      <c r="CU140" s="566">
        <v>12042.098219658052</v>
      </c>
      <c r="CV140" s="566"/>
      <c r="CW140" s="566">
        <v>0.28262406118768912</v>
      </c>
      <c r="CX140" s="566">
        <v>50.132911842401192</v>
      </c>
      <c r="CY140" s="552"/>
    </row>
    <row r="141" spans="1:103" ht="12.75" customHeight="1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436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437"/>
      <c r="AR141" s="2"/>
      <c r="AS141" s="221"/>
      <c r="AT141" s="221"/>
      <c r="AU141" s="269">
        <f>output!AG32</f>
        <v>0.22356361434358341</v>
      </c>
      <c r="AV141" s="223" t="s">
        <v>446</v>
      </c>
      <c r="AW141" s="221"/>
      <c r="AX141" s="221"/>
      <c r="AY141" s="2"/>
      <c r="AZ141" s="202"/>
      <c r="BA141" s="269">
        <f>output!AG38</f>
        <v>7.3887662965583897E-2</v>
      </c>
      <c r="BB141" s="47" t="s">
        <v>446</v>
      </c>
      <c r="BC141" s="75"/>
      <c r="BD141" s="75"/>
      <c r="BE141" s="2"/>
      <c r="BF141" s="202"/>
      <c r="BG141" s="269">
        <f>output!AG44</f>
        <v>0.24826148775149745</v>
      </c>
      <c r="BH141" s="47" t="s">
        <v>446</v>
      </c>
      <c r="BI141" s="75"/>
      <c r="BJ141" s="75"/>
      <c r="BK141" s="2"/>
      <c r="BL141"/>
      <c r="BM141" s="562"/>
      <c r="BN141" s="591">
        <v>128</v>
      </c>
      <c r="BO141" s="549" t="s">
        <v>1956</v>
      </c>
      <c r="BP141" s="549" t="s">
        <v>2408</v>
      </c>
      <c r="BQ141" s="550" t="s">
        <v>2408</v>
      </c>
      <c r="BR141" s="566">
        <v>402174.41170088539</v>
      </c>
      <c r="BS141" s="566"/>
      <c r="BT141" s="566">
        <v>1420724.9143950613</v>
      </c>
      <c r="BU141" s="566">
        <v>49624.93500515401</v>
      </c>
      <c r="BV141" s="566">
        <v>515583.89889314736</v>
      </c>
      <c r="BW141" s="566">
        <v>4781.7324358263349</v>
      </c>
      <c r="BX141" s="566">
        <v>546.97524564193384</v>
      </c>
      <c r="BY141" s="566">
        <v>22459055.815211724</v>
      </c>
      <c r="BZ141" s="566">
        <v>202.5834243118274</v>
      </c>
      <c r="CA141" s="566">
        <v>490987.21709468984</v>
      </c>
      <c r="CB141" s="566">
        <v>1.1488642221775418E-31</v>
      </c>
      <c r="CC141" s="566">
        <v>113.25344567164728</v>
      </c>
      <c r="CD141" s="566">
        <v>1317385.7674314494</v>
      </c>
      <c r="CE141" s="566">
        <v>41.099900825864005</v>
      </c>
      <c r="CF141" s="566">
        <v>6346.9969824330065</v>
      </c>
      <c r="CG141" s="566">
        <v>379.64154665257939</v>
      </c>
      <c r="CH141" s="566">
        <v>1942.6279375009815</v>
      </c>
      <c r="CI141" s="566">
        <v>140.60798024169605</v>
      </c>
      <c r="CJ141" s="566">
        <v>97685.21815354313</v>
      </c>
      <c r="CK141" s="566">
        <v>4634509.8668608256</v>
      </c>
      <c r="CL141" s="566"/>
      <c r="CM141" s="566">
        <v>4510.7525277100713</v>
      </c>
      <c r="CN141" s="566">
        <v>271.10408073814648</v>
      </c>
      <c r="CO141" s="566">
        <v>7118.1146510837825</v>
      </c>
      <c r="CP141" s="566">
        <v>877436.66276448336</v>
      </c>
      <c r="CQ141" s="566"/>
      <c r="CR141" s="566">
        <v>857.76684647391812</v>
      </c>
      <c r="CS141" s="566">
        <v>62.559031233301965</v>
      </c>
      <c r="CT141" s="566">
        <v>10136.257389681268</v>
      </c>
      <c r="CU141" s="566">
        <v>1619351.4628705836</v>
      </c>
      <c r="CV141" s="566"/>
      <c r="CW141" s="566">
        <v>1563.2978449436455</v>
      </c>
      <c r="CX141" s="566">
        <v>8.1743262173833351</v>
      </c>
      <c r="CY141" s="552"/>
    </row>
    <row r="142" spans="1:103" ht="12.75" customHeight="1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436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437"/>
      <c r="AR142" s="2"/>
      <c r="AS142" s="221"/>
      <c r="AT142" s="221"/>
      <c r="AU142" s="221"/>
      <c r="AV142" s="277">
        <f>IF(ISERROR(output!H11),0,output!H11)</f>
        <v>0.7437803068510318</v>
      </c>
      <c r="AW142" s="221"/>
      <c r="AX142" s="221"/>
      <c r="AY142" s="203"/>
      <c r="AZ142" s="202"/>
      <c r="BA142" s="75"/>
      <c r="BB142" s="277">
        <f>IF(ISERROR(output!J11),0,output!J11)</f>
        <v>0.17428447403782654</v>
      </c>
      <c r="BC142" s="75"/>
      <c r="BD142" s="75"/>
      <c r="BE142" s="203"/>
      <c r="BF142" s="75"/>
      <c r="BG142" s="75"/>
      <c r="BH142" s="277">
        <f>IF(ISERROR(output!L11),0,output!L11)</f>
        <v>0.91768180876745675</v>
      </c>
      <c r="BI142" s="75"/>
      <c r="BJ142" s="75"/>
      <c r="BK142" s="2"/>
      <c r="BL142"/>
      <c r="BM142" s="562"/>
      <c r="BN142" s="591">
        <v>129</v>
      </c>
      <c r="BO142" s="549" t="s">
        <v>1950</v>
      </c>
      <c r="BP142" s="549" t="s">
        <v>2408</v>
      </c>
      <c r="BQ142" s="550" t="s">
        <v>2408</v>
      </c>
      <c r="BR142" s="566">
        <v>651386.14871822682</v>
      </c>
      <c r="BS142" s="566"/>
      <c r="BT142" s="566">
        <v>60167578.810030535</v>
      </c>
      <c r="BU142" s="566">
        <v>2867727.2101094369</v>
      </c>
      <c r="BV142" s="566">
        <v>501624.36686500872</v>
      </c>
      <c r="BW142" s="566">
        <v>7283.2848460668674</v>
      </c>
      <c r="BX142" s="566">
        <v>194833.45192961511</v>
      </c>
      <c r="BY142" s="566">
        <v>24298797.965985805</v>
      </c>
      <c r="BZ142" s="566">
        <v>72160.537751709286</v>
      </c>
      <c r="CA142" s="566">
        <v>793308.2111824305</v>
      </c>
      <c r="CB142" s="566">
        <v>4.6358332213730065E-29</v>
      </c>
      <c r="CC142" s="566">
        <v>1859509.3036345562</v>
      </c>
      <c r="CD142" s="566">
        <v>126550776.5046332</v>
      </c>
      <c r="CE142" s="566">
        <v>15502.953510234554</v>
      </c>
      <c r="CF142" s="566">
        <v>16070.310828815132</v>
      </c>
      <c r="CG142" s="566">
        <v>113377.25164010937</v>
      </c>
      <c r="CH142" s="566">
        <v>962190.72693504777</v>
      </c>
      <c r="CI142" s="566">
        <v>41991.574681521997</v>
      </c>
      <c r="CJ142" s="566">
        <v>151689.22440406511</v>
      </c>
      <c r="CK142" s="566">
        <v>177342784.38452259</v>
      </c>
      <c r="CL142" s="566"/>
      <c r="CM142" s="566">
        <v>4544.9315052163147</v>
      </c>
      <c r="CN142" s="566">
        <v>77811.24456282286</v>
      </c>
      <c r="CO142" s="566">
        <v>7785.0847373601273</v>
      </c>
      <c r="CP142" s="566">
        <v>39756361.745782197</v>
      </c>
      <c r="CQ142" s="566"/>
      <c r="CR142" s="566">
        <v>1021.6559089925429</v>
      </c>
      <c r="CS142" s="566">
        <v>12520.224872680181</v>
      </c>
      <c r="CT142" s="566">
        <v>12754.225930499915</v>
      </c>
      <c r="CU142" s="566">
        <v>9063136.4000607468</v>
      </c>
      <c r="CV142" s="566"/>
      <c r="CW142" s="566">
        <v>231.08644327321565</v>
      </c>
      <c r="CX142" s="566">
        <v>1927.8035457573085</v>
      </c>
      <c r="CY142" s="552"/>
    </row>
    <row r="143" spans="1:103" ht="12.75" customHeight="1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436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437"/>
      <c r="AR143" s="2"/>
      <c r="AS143" s="221"/>
      <c r="AT143" s="221"/>
      <c r="AU143" s="221"/>
      <c r="AV143" s="221"/>
      <c r="AW143" s="221"/>
      <c r="AX143" s="221"/>
      <c r="AY143" s="203"/>
      <c r="AZ143" s="80"/>
      <c r="BA143" s="75"/>
      <c r="BB143" s="75"/>
      <c r="BC143" s="75"/>
      <c r="BD143" s="75"/>
      <c r="BE143" s="203"/>
      <c r="BF143" s="80"/>
      <c r="BG143" s="75"/>
      <c r="BH143" s="75"/>
      <c r="BI143" s="75"/>
      <c r="BJ143" s="75"/>
      <c r="BK143" s="2"/>
      <c r="BL143"/>
      <c r="BM143" s="562"/>
      <c r="BN143" s="591">
        <v>130</v>
      </c>
      <c r="BO143" s="549" t="s">
        <v>1792</v>
      </c>
      <c r="BP143" s="549" t="s">
        <v>2408</v>
      </c>
      <c r="BQ143" s="550" t="s">
        <v>2408</v>
      </c>
      <c r="BR143" s="566">
        <v>17549.702580772093</v>
      </c>
      <c r="BS143" s="566"/>
      <c r="BT143" s="566">
        <v>33977840.279276736</v>
      </c>
      <c r="BU143" s="566">
        <v>1657130.9982592692</v>
      </c>
      <c r="BV143" s="566">
        <v>8943853.3295548689</v>
      </c>
      <c r="BW143" s="566">
        <v>115948.30202787484</v>
      </c>
      <c r="BX143" s="566">
        <v>27625235.658298984</v>
      </c>
      <c r="BY143" s="566">
        <v>440013655.63988727</v>
      </c>
      <c r="BZ143" s="566">
        <v>10231568.762332954</v>
      </c>
      <c r="CA143" s="566">
        <v>2017.4437796947461</v>
      </c>
      <c r="CB143" s="566">
        <v>1.3721800941616978E-30</v>
      </c>
      <c r="CC143" s="566">
        <v>377466.2539063539</v>
      </c>
      <c r="CD143" s="566">
        <v>114880139.49341698</v>
      </c>
      <c r="CE143" s="566">
        <v>99358.95819293696</v>
      </c>
      <c r="CF143" s="566">
        <v>401904.16825764661</v>
      </c>
      <c r="CG143" s="566">
        <v>1645205.751215982</v>
      </c>
      <c r="CH143" s="566">
        <v>9099925.7698589303</v>
      </c>
      <c r="CI143" s="566">
        <v>609335.46341332654</v>
      </c>
      <c r="CJ143" s="566">
        <v>60.571604607650244</v>
      </c>
      <c r="CK143" s="566">
        <v>2214281608.3261285</v>
      </c>
      <c r="CL143" s="566"/>
      <c r="CM143" s="566">
        <v>1564949.8316137362</v>
      </c>
      <c r="CN143" s="566">
        <v>177292.96867511031</v>
      </c>
      <c r="CO143" s="566">
        <v>6.6075260739411448</v>
      </c>
      <c r="CP143" s="566">
        <v>1422111847.1289468</v>
      </c>
      <c r="CQ143" s="566"/>
      <c r="CR143" s="566">
        <v>1008656.142577211</v>
      </c>
      <c r="CS143" s="566">
        <v>33901.837539957938</v>
      </c>
      <c r="CT143" s="566">
        <v>76.064032449823515</v>
      </c>
      <c r="CU143" s="566">
        <v>3393992182.7674813</v>
      </c>
      <c r="CV143" s="566"/>
      <c r="CW143" s="566">
        <v>2382928.836663431</v>
      </c>
      <c r="CX143" s="566">
        <v>70422.564503361689</v>
      </c>
      <c r="CY143" s="552"/>
    </row>
    <row r="144" spans="1:103" ht="12.75" customHeight="1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436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437"/>
      <c r="AR144" s="2"/>
      <c r="AS144" s="221"/>
      <c r="AT144" s="221"/>
      <c r="AU144" s="221"/>
      <c r="AV144" s="221"/>
      <c r="AW144" s="221"/>
      <c r="AX144" s="270">
        <f>k.sM.aM*M.sM*Molweight</f>
        <v>4.9040544961464377E-4</v>
      </c>
      <c r="AY144" s="2"/>
      <c r="AZ144" s="75"/>
      <c r="BA144" s="75"/>
      <c r="BB144" s="75"/>
      <c r="BC144" s="75"/>
      <c r="BD144" s="270">
        <f>k.sA.aA*M.sA*Molweight</f>
        <v>1.2435607486478443E-4</v>
      </c>
      <c r="BE144" s="2"/>
      <c r="BF144" s="75"/>
      <c r="BG144" s="75"/>
      <c r="BH144" s="75"/>
      <c r="BI144" s="75"/>
      <c r="BJ144" s="270">
        <f>k.sT.aT*M.sT*Molweight</f>
        <v>3.7078709745193191E-4</v>
      </c>
      <c r="BK144" s="2"/>
      <c r="BL144"/>
      <c r="BM144" s="562"/>
      <c r="BN144" s="591">
        <v>131</v>
      </c>
      <c r="BO144" s="549" t="s">
        <v>1899</v>
      </c>
      <c r="BP144" s="549" t="s">
        <v>2408</v>
      </c>
      <c r="BQ144" s="550" t="s">
        <v>2408</v>
      </c>
      <c r="BR144" s="566">
        <v>607436.72174113244</v>
      </c>
      <c r="BS144" s="566"/>
      <c r="BT144" s="566">
        <v>1907554.9465376332</v>
      </c>
      <c r="BU144" s="566">
        <v>59351.117261834261</v>
      </c>
      <c r="BV144" s="566">
        <v>15013.561661500027</v>
      </c>
      <c r="BW144" s="566">
        <v>142.44548629868405</v>
      </c>
      <c r="BX144" s="566">
        <v>68.103981893450808</v>
      </c>
      <c r="BY144" s="566">
        <v>219261.40517593859</v>
      </c>
      <c r="BZ144" s="566">
        <v>25.223696997574372</v>
      </c>
      <c r="CA144" s="566">
        <v>723791.8019163881</v>
      </c>
      <c r="CB144" s="566">
        <v>1.9893991201030063E-30</v>
      </c>
      <c r="CC144" s="566">
        <v>1641.6880185591699</v>
      </c>
      <c r="CD144" s="566">
        <v>707668.43842200772</v>
      </c>
      <c r="CE144" s="566">
        <v>12.921035035096251</v>
      </c>
      <c r="CF144" s="566">
        <v>84.921884793292151</v>
      </c>
      <c r="CG144" s="566">
        <v>10.212592880750416</v>
      </c>
      <c r="CH144" s="566">
        <v>24.365911716700381</v>
      </c>
      <c r="CI144" s="566">
        <v>3.7824418076853394</v>
      </c>
      <c r="CJ144" s="566">
        <v>135895.90616646828</v>
      </c>
      <c r="CK144" s="566">
        <v>195647.43692722992</v>
      </c>
      <c r="CL144" s="566"/>
      <c r="CM144" s="566">
        <v>4.6954318036426432</v>
      </c>
      <c r="CN144" s="566">
        <v>6.882280813406517</v>
      </c>
      <c r="CO144" s="566">
        <v>8082.0947047719264</v>
      </c>
      <c r="CP144" s="566">
        <v>98342.635935061146</v>
      </c>
      <c r="CQ144" s="566"/>
      <c r="CR144" s="566">
        <v>2.383258434254838</v>
      </c>
      <c r="CS144" s="566">
        <v>1.9208249999576308</v>
      </c>
      <c r="CT144" s="566">
        <v>12205.033718122902</v>
      </c>
      <c r="CU144" s="566">
        <v>3513.187357450292</v>
      </c>
      <c r="CV144" s="566"/>
      <c r="CW144" s="566">
        <v>8.2790876897689228E-2</v>
      </c>
      <c r="CX144" s="566">
        <v>0.14506438809670463</v>
      </c>
      <c r="CY144" s="552"/>
    </row>
    <row r="145" spans="1:103" ht="12.75" customHeight="1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436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437"/>
      <c r="AR145" s="2"/>
      <c r="AS145" s="221"/>
      <c r="AT145" s="221"/>
      <c r="AU145" s="270">
        <f>k.w2M.aM*M.w2M*Molweight</f>
        <v>4.527172368133491E-3</v>
      </c>
      <c r="AV145" s="221"/>
      <c r="AW145" s="221"/>
      <c r="AX145" s="221"/>
      <c r="AY145" s="2"/>
      <c r="AZ145" s="75"/>
      <c r="BA145" s="270">
        <f>k.w2A.aA*M.w2A*Molweight</f>
        <v>9.583278359063422E-3</v>
      </c>
      <c r="BB145" s="75"/>
      <c r="BC145" s="75"/>
      <c r="BD145" s="221"/>
      <c r="BE145" s="2"/>
      <c r="BF145" s="75"/>
      <c r="BG145" s="270">
        <f>k.w2T.aT*M.w2T*Molweight</f>
        <v>2.2855866565354675E-3</v>
      </c>
      <c r="BH145" s="75"/>
      <c r="BI145" s="75"/>
      <c r="BJ145" s="221"/>
      <c r="BK145" s="2"/>
      <c r="BL145"/>
      <c r="BM145" s="562"/>
      <c r="BN145" s="591">
        <v>132</v>
      </c>
      <c r="BO145" s="549" t="s">
        <v>1851</v>
      </c>
      <c r="BP145" s="549" t="s">
        <v>2408</v>
      </c>
      <c r="BQ145" s="550" t="s">
        <v>2408</v>
      </c>
      <c r="BR145" s="566">
        <v>531210.02820828208</v>
      </c>
      <c r="BS145" s="566"/>
      <c r="BT145" s="566">
        <v>1755883.9617494494</v>
      </c>
      <c r="BU145" s="566">
        <v>61781.878479449333</v>
      </c>
      <c r="BV145" s="566">
        <v>427151.43780213461</v>
      </c>
      <c r="BW145" s="566">
        <v>4000.5150021064833</v>
      </c>
      <c r="BX145" s="566">
        <v>5167.61684634006</v>
      </c>
      <c r="BY145" s="566">
        <v>397247925.94884634</v>
      </c>
      <c r="BZ145" s="566">
        <v>1913.9321653111338</v>
      </c>
      <c r="CA145" s="566">
        <v>1045002.3832748862</v>
      </c>
      <c r="CB145" s="566">
        <v>1.1877169783160556E-30</v>
      </c>
      <c r="CC145" s="566">
        <v>1208.7966858017448</v>
      </c>
      <c r="CD145" s="566">
        <v>2732225.6539101549</v>
      </c>
      <c r="CE145" s="566">
        <v>294.0622806510649</v>
      </c>
      <c r="CF145" s="566">
        <v>8845.8865177137195</v>
      </c>
      <c r="CG145" s="566">
        <v>3782.4286545189689</v>
      </c>
      <c r="CH145" s="566">
        <v>32541.965923580115</v>
      </c>
      <c r="CI145" s="566">
        <v>1400.8995016736924</v>
      </c>
      <c r="CJ145" s="566">
        <v>357233.63650135597</v>
      </c>
      <c r="CK145" s="566">
        <v>12416885.452509519</v>
      </c>
      <c r="CL145" s="566"/>
      <c r="CM145" s="566">
        <v>8121.3366402927068</v>
      </c>
      <c r="CN145" s="566">
        <v>4640.9775112762291</v>
      </c>
      <c r="CO145" s="566">
        <v>43101.806649020349</v>
      </c>
      <c r="CP145" s="566">
        <v>4033400.4019858059</v>
      </c>
      <c r="CQ145" s="566"/>
      <c r="CR145" s="566">
        <v>2646.9574366272068</v>
      </c>
      <c r="CS145" s="566">
        <v>1731.7920719889812</v>
      </c>
      <c r="CT145" s="566">
        <v>65942.024767315423</v>
      </c>
      <c r="CU145" s="566">
        <v>4768484.5765781552</v>
      </c>
      <c r="CV145" s="566"/>
      <c r="CW145" s="566">
        <v>3099.4016559322254</v>
      </c>
      <c r="CX145" s="566">
        <v>255.34741017101322</v>
      </c>
      <c r="CY145" s="552"/>
    </row>
    <row r="146" spans="1:103" ht="12.75" customHeight="1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436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437"/>
      <c r="AR146" s="2"/>
      <c r="AS146" s="221"/>
      <c r="AT146" s="221"/>
      <c r="AU146" s="221"/>
      <c r="AV146" s="221"/>
      <c r="AW146" s="221"/>
      <c r="AX146" s="270">
        <f>IF(output!AJ36&lt;0,"",output!AJ36)</f>
        <v>7.1076274045152321E-4</v>
      </c>
      <c r="AY146" s="2"/>
      <c r="AZ146" s="75"/>
      <c r="BA146" s="221"/>
      <c r="BB146" s="75"/>
      <c r="BC146" s="75"/>
      <c r="BD146" s="270">
        <f>IF(output!AJ42&lt;0,"",output!AJ42)</f>
        <v>1.8472298356328188E-4</v>
      </c>
      <c r="BE146" s="2"/>
      <c r="BF146" s="75"/>
      <c r="BG146" s="221"/>
      <c r="BH146" s="75"/>
      <c r="BI146" s="75"/>
      <c r="BJ146" s="270">
        <f>IF(output!AJ48&lt;0,"",output!AJ48)</f>
        <v>5.3235755797143751E-4</v>
      </c>
      <c r="BK146" s="2"/>
      <c r="BL146"/>
      <c r="BM146" s="562"/>
      <c r="BN146" s="591">
        <v>133</v>
      </c>
      <c r="BO146" s="549" t="s">
        <v>1830</v>
      </c>
      <c r="BP146" s="549" t="s">
        <v>2408</v>
      </c>
      <c r="BQ146" s="550" t="s">
        <v>2408</v>
      </c>
      <c r="BR146" s="566">
        <v>435832.39753359422</v>
      </c>
      <c r="BS146" s="566"/>
      <c r="BT146" s="566">
        <v>1573871.1597449316</v>
      </c>
      <c r="BU146" s="566">
        <v>51159.851942962669</v>
      </c>
      <c r="BV146" s="566">
        <v>3024142.1845886088</v>
      </c>
      <c r="BW146" s="566">
        <v>29834.941009819311</v>
      </c>
      <c r="BX146" s="566">
        <v>90709.23140683875</v>
      </c>
      <c r="BY146" s="566">
        <v>2629708759.7142425</v>
      </c>
      <c r="BZ146" s="566">
        <v>33596.011632162503</v>
      </c>
      <c r="CA146" s="566">
        <v>828149.28635231289</v>
      </c>
      <c r="CB146" s="566">
        <v>2.6798331535820216E-30</v>
      </c>
      <c r="CC146" s="566">
        <v>2663.8535038583382</v>
      </c>
      <c r="CD146" s="566">
        <v>824944.92105891567</v>
      </c>
      <c r="CE146" s="566">
        <v>5118.5077664729197</v>
      </c>
      <c r="CF146" s="566">
        <v>24054.196915564313</v>
      </c>
      <c r="CG146" s="566">
        <v>52218.621963199585</v>
      </c>
      <c r="CH146" s="566">
        <v>462408.08481861185</v>
      </c>
      <c r="CI146" s="566">
        <v>19340.230356740583</v>
      </c>
      <c r="CJ146" s="566">
        <v>261707.75902645037</v>
      </c>
      <c r="CK146" s="566">
        <v>338609.8950646958</v>
      </c>
      <c r="CL146" s="566"/>
      <c r="CM146" s="566">
        <v>1974.6476096294075</v>
      </c>
      <c r="CN146" s="566">
        <v>59229.358481590847</v>
      </c>
      <c r="CO146" s="566">
        <v>24965.279523535752</v>
      </c>
      <c r="CP146" s="566">
        <v>336744.90663097124</v>
      </c>
      <c r="CQ146" s="566"/>
      <c r="CR146" s="566">
        <v>1981.4838863497616</v>
      </c>
      <c r="CS146" s="566">
        <v>17241.993586146742</v>
      </c>
      <c r="CT146" s="566">
        <v>42514.38524848262</v>
      </c>
      <c r="CU146" s="566">
        <v>12514.148990451058</v>
      </c>
      <c r="CV146" s="566"/>
      <c r="CW146" s="566">
        <v>71.759965308437373</v>
      </c>
      <c r="CX146" s="566">
        <v>2884.399885462949</v>
      </c>
      <c r="CY146" s="552"/>
    </row>
    <row r="147" spans="1:103" ht="12.75" customHeight="1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436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437"/>
      <c r="AR147" s="2"/>
      <c r="AS147" s="279">
        <f>output!AE33</f>
        <v>2.5996562034044837E-2</v>
      </c>
      <c r="AT147" s="81">
        <f>output!AD33</f>
        <v>8.5224302828935221E-3</v>
      </c>
      <c r="AU147" s="270">
        <f>IF(output!AH33&lt;0,"",output!AH33)</f>
        <v>2.9651934536082E-2</v>
      </c>
      <c r="AV147" s="272">
        <f>output!AL33</f>
        <v>2.7008962259362432E-5</v>
      </c>
      <c r="AW147" s="221"/>
      <c r="AX147" s="221"/>
      <c r="AY147" s="279">
        <f>output!AE39</f>
        <v>5.1922448810533844E-2</v>
      </c>
      <c r="AZ147" s="266">
        <f>output!AD39</f>
        <v>1.9045860359203758E-2</v>
      </c>
      <c r="BA147" s="270">
        <f>IF(output!AH39&lt;0,"",output!AH39)</f>
        <v>4.6093796336503998E-2</v>
      </c>
      <c r="BB147" s="272">
        <f>output!AL39</f>
        <v>1.1322379790153221E-5</v>
      </c>
      <c r="BC147" s="75"/>
      <c r="BD147" s="75"/>
      <c r="BE147" s="279">
        <f>output!AE45</f>
        <v>1.0825527170861077E-2</v>
      </c>
      <c r="BF147" s="266">
        <f>output!AD45</f>
        <v>3.5645719757822095E-4</v>
      </c>
      <c r="BG147" s="270">
        <f>IF(output!AH45&lt;0,"",output!AH45)</f>
        <v>2.2226080322131088E-2</v>
      </c>
      <c r="BH147" s="272">
        <f>output!AL45</f>
        <v>1.536856587637703E-5</v>
      </c>
      <c r="BI147" s="75"/>
      <c r="BJ147" s="75"/>
      <c r="BK147" s="2"/>
      <c r="BL147"/>
      <c r="BM147" s="562"/>
      <c r="BN147" s="591">
        <v>134</v>
      </c>
      <c r="BO147" s="549" t="s">
        <v>1872</v>
      </c>
      <c r="BP147" s="549" t="s">
        <v>2408</v>
      </c>
      <c r="BQ147" s="550" t="s">
        <v>2408</v>
      </c>
      <c r="BR147" s="566">
        <v>69.49539546437947</v>
      </c>
      <c r="BS147" s="566"/>
      <c r="BT147" s="566">
        <v>13103583.71168494</v>
      </c>
      <c r="BU147" s="566">
        <v>556410.44603440864</v>
      </c>
      <c r="BV147" s="566">
        <v>102066.63610857377</v>
      </c>
      <c r="BW147" s="566">
        <v>1321.8410560311654</v>
      </c>
      <c r="BX147" s="566">
        <v>452668.90265471512</v>
      </c>
      <c r="BY147" s="566">
        <v>10050409.353376362</v>
      </c>
      <c r="BZ147" s="566">
        <v>167655.14913137598</v>
      </c>
      <c r="CA147" s="566">
        <v>2.3821598649712759E-2</v>
      </c>
      <c r="CB147" s="566">
        <v>5.5841736251541151E-33</v>
      </c>
      <c r="CC147" s="566">
        <v>578.84605216927935</v>
      </c>
      <c r="CD147" s="566">
        <v>3117453.7279796917</v>
      </c>
      <c r="CE147" s="566">
        <v>4.5087565867161814</v>
      </c>
      <c r="CF147" s="566">
        <v>370.30023045848236</v>
      </c>
      <c r="CG147" s="566">
        <v>80.407027033480773</v>
      </c>
      <c r="CH147" s="566">
        <v>667.5083838785614</v>
      </c>
      <c r="CI147" s="566">
        <v>29.780380382770652</v>
      </c>
      <c r="CJ147" s="566">
        <v>1.2542367371735989E-6</v>
      </c>
      <c r="CK147" s="566">
        <v>445627.70384138403</v>
      </c>
      <c r="CL147" s="566"/>
      <c r="CM147" s="566">
        <v>10.58614225918593</v>
      </c>
      <c r="CN147" s="566">
        <v>1.5195194875670963E-2</v>
      </c>
      <c r="CO147" s="566">
        <v>3.0760925299646007E-10</v>
      </c>
      <c r="CP147" s="566">
        <v>11883.06939352472</v>
      </c>
      <c r="CQ147" s="566"/>
      <c r="CR147" s="566">
        <v>0.28504548656477996</v>
      </c>
      <c r="CS147" s="566">
        <v>1.1379726549975321E-5</v>
      </c>
      <c r="CT147" s="566">
        <v>5.8945961564811606E-10</v>
      </c>
      <c r="CU147" s="566">
        <v>2044.4199113950792</v>
      </c>
      <c r="CV147" s="566"/>
      <c r="CW147" s="566">
        <v>4.7690314089324302E-2</v>
      </c>
      <c r="CX147" s="566">
        <v>2.1293062693489139E-6</v>
      </c>
      <c r="CY147" s="552"/>
    </row>
    <row r="148" spans="1:103" ht="12.75" customHeight="1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436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437"/>
      <c r="AR148" s="2"/>
      <c r="AS148" s="221"/>
      <c r="AT148" s="221"/>
      <c r="AU148" s="221"/>
      <c r="AV148" s="221"/>
      <c r="AW148" s="221"/>
      <c r="AX148" s="221"/>
      <c r="AY148" s="2"/>
      <c r="AZ148" s="75"/>
      <c r="BA148" s="75"/>
      <c r="BB148" s="2"/>
      <c r="BC148" s="75"/>
      <c r="BD148" s="75"/>
      <c r="BE148" s="2"/>
      <c r="BF148" s="75"/>
      <c r="BG148" s="75"/>
      <c r="BH148" s="2"/>
      <c r="BI148" s="75"/>
      <c r="BJ148" s="75"/>
      <c r="BK148" s="2"/>
      <c r="BL148"/>
      <c r="BM148" s="562"/>
      <c r="BN148" s="591">
        <v>135</v>
      </c>
      <c r="BO148" s="549" t="s">
        <v>1901</v>
      </c>
      <c r="BP148" s="549" t="s">
        <v>2408</v>
      </c>
      <c r="BQ148" s="550" t="s">
        <v>2408</v>
      </c>
      <c r="BR148" s="566">
        <v>6197.3627270857287</v>
      </c>
      <c r="BS148" s="566"/>
      <c r="BT148" s="566">
        <v>2517900.7402235786</v>
      </c>
      <c r="BU148" s="566">
        <v>121584.58947116816</v>
      </c>
      <c r="BV148" s="566">
        <v>140304580.50064763</v>
      </c>
      <c r="BW148" s="566">
        <v>3338580.0997026991</v>
      </c>
      <c r="BX148" s="566">
        <v>331078763.69916725</v>
      </c>
      <c r="BY148" s="566">
        <v>2644184195.4855027</v>
      </c>
      <c r="BZ148" s="566">
        <v>122621764.3330249</v>
      </c>
      <c r="CA148" s="566">
        <v>794.12521664513861</v>
      </c>
      <c r="CB148" s="566">
        <v>4.8659593318869642E-31</v>
      </c>
      <c r="CC148" s="566">
        <v>15038.604009193796</v>
      </c>
      <c r="CD148" s="566">
        <v>9590387.9713481925</v>
      </c>
      <c r="CE148" s="566">
        <v>837993.72751998762</v>
      </c>
      <c r="CF148" s="566">
        <v>13167079.21983972</v>
      </c>
      <c r="CG148" s="566">
        <v>21984261.765729267</v>
      </c>
      <c r="CH148" s="566">
        <v>60699611.332775079</v>
      </c>
      <c r="CI148" s="566">
        <v>8142319.1724923216</v>
      </c>
      <c r="CJ148" s="566">
        <v>15.034931758405124</v>
      </c>
      <c r="CK148" s="566">
        <v>190695444.79901654</v>
      </c>
      <c r="CL148" s="566"/>
      <c r="CM148" s="566">
        <v>52889285.265634</v>
      </c>
      <c r="CN148" s="566">
        <v>1493922.3214202286</v>
      </c>
      <c r="CO148" s="566">
        <v>0.30452090592581604</v>
      </c>
      <c r="CP148" s="566">
        <v>122614957.31554402</v>
      </c>
      <c r="CQ148" s="566"/>
      <c r="CR148" s="566">
        <v>34079393.564614646</v>
      </c>
      <c r="CS148" s="566">
        <v>21118.99534230724</v>
      </c>
      <c r="CT148" s="566">
        <v>6.0008648011199511E-2</v>
      </c>
      <c r="CU148" s="566">
        <v>298319149.56108171</v>
      </c>
      <c r="CV148" s="566"/>
      <c r="CW148" s="566">
        <v>82412525.765860856</v>
      </c>
      <c r="CX148" s="566">
        <v>3619.1291377733769</v>
      </c>
      <c r="CY148" s="552"/>
    </row>
    <row r="149" spans="1:103" ht="12.75" customHeight="1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436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437"/>
      <c r="AR149" s="2"/>
      <c r="AS149" s="221"/>
      <c r="AT149" s="267">
        <f>output!AC33</f>
        <v>0</v>
      </c>
      <c r="AU149" s="221"/>
      <c r="AV149" s="223" t="s">
        <v>2158</v>
      </c>
      <c r="AW149" s="221"/>
      <c r="AX149" s="221"/>
      <c r="AY149" s="2"/>
      <c r="AZ149" s="267">
        <f>output!AC39</f>
        <v>0</v>
      </c>
      <c r="BA149" s="75"/>
      <c r="BB149" s="223" t="s">
        <v>2158</v>
      </c>
      <c r="BC149" s="75"/>
      <c r="BD149" s="75"/>
      <c r="BE149" s="2"/>
      <c r="BF149" s="267">
        <f>output!AC45</f>
        <v>0</v>
      </c>
      <c r="BG149" s="75"/>
      <c r="BH149" s="223" t="s">
        <v>2158</v>
      </c>
      <c r="BI149" s="75"/>
      <c r="BJ149" s="75"/>
      <c r="BK149" s="2"/>
      <c r="BL149"/>
      <c r="BM149" s="562"/>
      <c r="BN149" s="591">
        <v>136</v>
      </c>
      <c r="BO149" s="549" t="s">
        <v>1833</v>
      </c>
      <c r="BP149" s="549" t="s">
        <v>2408</v>
      </c>
      <c r="BQ149" s="550" t="s">
        <v>2408</v>
      </c>
      <c r="BR149" s="566">
        <v>8625.2990591576981</v>
      </c>
      <c r="BS149" s="566"/>
      <c r="BT149" s="566">
        <v>8205425.6628302243</v>
      </c>
      <c r="BU149" s="566">
        <v>350137.45017616107</v>
      </c>
      <c r="BV149" s="566">
        <v>480343.68553586758</v>
      </c>
      <c r="BW149" s="566">
        <v>5818.671440792762</v>
      </c>
      <c r="BX149" s="566">
        <v>991653.98595775117</v>
      </c>
      <c r="BY149" s="566">
        <v>7170223.359697897</v>
      </c>
      <c r="BZ149" s="566">
        <v>367279.2540584263</v>
      </c>
      <c r="CA149" s="566">
        <v>325.78172662661183</v>
      </c>
      <c r="CB149" s="566">
        <v>5.8867738883238277E-31</v>
      </c>
      <c r="CC149" s="566">
        <v>6485.8839637766314</v>
      </c>
      <c r="CD149" s="566">
        <v>2098111.3255511648</v>
      </c>
      <c r="CE149" s="566">
        <v>379.68211950674856</v>
      </c>
      <c r="CF149" s="566">
        <v>1743.3468547060893</v>
      </c>
      <c r="CG149" s="566">
        <v>19409.253712665181</v>
      </c>
      <c r="CH149" s="566">
        <v>46004.418351860179</v>
      </c>
      <c r="CI149" s="566">
        <v>7188.6124861722865</v>
      </c>
      <c r="CJ149" s="566">
        <v>1.8094237517258036</v>
      </c>
      <c r="CK149" s="566">
        <v>300848.51650526724</v>
      </c>
      <c r="CL149" s="566"/>
      <c r="CM149" s="566">
        <v>49.993696474011884</v>
      </c>
      <c r="CN149" s="566">
        <v>386.92434722547364</v>
      </c>
      <c r="CO149" s="566">
        <v>2.2117182322702244E-3</v>
      </c>
      <c r="CP149" s="566">
        <v>8031.1064727237472</v>
      </c>
      <c r="CQ149" s="566"/>
      <c r="CR149" s="566">
        <v>1.3466930306636975</v>
      </c>
      <c r="CS149" s="566">
        <v>2.1954351849361688</v>
      </c>
      <c r="CT149" s="566">
        <v>4.9808392224030803E-3</v>
      </c>
      <c r="CU149" s="566">
        <v>1381.6653043543884</v>
      </c>
      <c r="CV149" s="566"/>
      <c r="CW149" s="566">
        <v>0.22574191950152103</v>
      </c>
      <c r="CX149" s="566">
        <v>0.24692710938995679</v>
      </c>
      <c r="CY149" s="552"/>
    </row>
    <row r="150" spans="1:103" ht="12.75" customHeight="1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436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437"/>
      <c r="AR150" s="2"/>
      <c r="AS150" s="221"/>
      <c r="AT150" s="221"/>
      <c r="AU150" s="221"/>
      <c r="AV150" s="273">
        <f>IF(ISERROR(output!H27),0,output!H27)</f>
        <v>6.3502220180670907E-2</v>
      </c>
      <c r="AW150" s="221"/>
      <c r="AX150" s="221"/>
      <c r="AY150" s="2"/>
      <c r="AZ150" s="75"/>
      <c r="BA150" s="59"/>
      <c r="BB150" s="273">
        <f>IF(ISERROR(output!J27),0,output!J27)</f>
        <v>8.2139595454738701E-2</v>
      </c>
      <c r="BC150" s="78"/>
      <c r="BD150" s="75"/>
      <c r="BE150" s="2"/>
      <c r="BF150" s="75"/>
      <c r="BG150" s="59"/>
      <c r="BH150" s="273">
        <f>IF(ISERROR(output!L27),0,output!L27)</f>
        <v>3.9351580613938869E-2</v>
      </c>
      <c r="BI150" s="78"/>
      <c r="BJ150" s="75"/>
      <c r="BK150" s="2"/>
      <c r="BL150"/>
      <c r="BM150" s="562"/>
      <c r="BN150" s="591">
        <v>137</v>
      </c>
      <c r="BO150" s="549" t="s">
        <v>1873</v>
      </c>
      <c r="BP150" s="549" t="s">
        <v>2408</v>
      </c>
      <c r="BQ150" s="550" t="s">
        <v>2408</v>
      </c>
      <c r="BR150" s="566">
        <v>314.10695739493406</v>
      </c>
      <c r="BS150" s="566"/>
      <c r="BT150" s="566">
        <v>23122065.366548888</v>
      </c>
      <c r="BU150" s="566">
        <v>1127823.3538874811</v>
      </c>
      <c r="BV150" s="566">
        <v>5163414.7449115943</v>
      </c>
      <c r="BW150" s="566">
        <v>67165.734514596115</v>
      </c>
      <c r="BX150" s="566">
        <v>18160764.658435062</v>
      </c>
      <c r="BY150" s="566">
        <v>278654409.47447526</v>
      </c>
      <c r="BZ150" s="566">
        <v>6726209.1327537252</v>
      </c>
      <c r="CA150" s="566">
        <v>0.9473167099669848</v>
      </c>
      <c r="CB150" s="566">
        <v>2.526851325413503E-32</v>
      </c>
      <c r="CC150" s="566">
        <v>7602.8996810174267</v>
      </c>
      <c r="CD150" s="566">
        <v>74923815.562472194</v>
      </c>
      <c r="CE150" s="566">
        <v>1697.8121847991451</v>
      </c>
      <c r="CF150" s="566">
        <v>223098.46163159111</v>
      </c>
      <c r="CG150" s="566">
        <v>28382.471511263695</v>
      </c>
      <c r="CH150" s="566">
        <v>162553.21270795123</v>
      </c>
      <c r="CI150" s="566">
        <v>10512.026485653218</v>
      </c>
      <c r="CJ150" s="566">
        <v>7.5604168102056616E-3</v>
      </c>
      <c r="CK150" s="566">
        <v>1444079439.5736432</v>
      </c>
      <c r="CL150" s="566"/>
      <c r="CM150" s="566">
        <v>868676.03872603225</v>
      </c>
      <c r="CN150" s="566">
        <v>813.02594906058903</v>
      </c>
      <c r="CO150" s="566">
        <v>2.5014460178757955E-3</v>
      </c>
      <c r="CP150" s="566">
        <v>927476848.09302294</v>
      </c>
      <c r="CQ150" s="566"/>
      <c r="CR150" s="566">
        <v>559688.61361052969</v>
      </c>
      <c r="CS150" s="566">
        <v>313.68814550460354</v>
      </c>
      <c r="CT150" s="566">
        <v>1.8273067629481346E-2</v>
      </c>
      <c r="CU150" s="566">
        <v>2214041748.8684015</v>
      </c>
      <c r="CV150" s="566"/>
      <c r="CW150" s="566">
        <v>1324009.2493177443</v>
      </c>
      <c r="CX150" s="566">
        <v>717.00395277425787</v>
      </c>
      <c r="CY150" s="552"/>
    </row>
    <row r="151" spans="1:103" ht="12.75" customHeight="1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436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437"/>
      <c r="AR151" s="2"/>
      <c r="AS151" s="221"/>
      <c r="AT151" s="221"/>
      <c r="AU151" s="224"/>
      <c r="AV151" s="221"/>
      <c r="AW151" s="221"/>
      <c r="AX151" s="274">
        <f>output!AG36</f>
        <v>1.9316706775649017E-4</v>
      </c>
      <c r="AY151" s="2"/>
      <c r="AZ151" s="75"/>
      <c r="BA151" s="59"/>
      <c r="BB151" s="49"/>
      <c r="BC151" s="75"/>
      <c r="BD151" s="274">
        <f>output!AJ42</f>
        <v>1.8472298356328188E-4</v>
      </c>
      <c r="BE151" s="2"/>
      <c r="BF151" s="75"/>
      <c r="BG151" s="59"/>
      <c r="BH151" s="59"/>
      <c r="BI151" s="75"/>
      <c r="BJ151" s="274">
        <f>output!AG48</f>
        <v>1.4609856449087841E-4</v>
      </c>
      <c r="BK151" s="2"/>
      <c r="BL151"/>
      <c r="BM151" s="562"/>
      <c r="BN151" s="591">
        <v>138</v>
      </c>
      <c r="BO151" s="549" t="s">
        <v>1916</v>
      </c>
      <c r="BP151" s="549" t="s">
        <v>2408</v>
      </c>
      <c r="BQ151" s="550" t="s">
        <v>2408</v>
      </c>
      <c r="BR151" s="566">
        <v>1952.2656797313743</v>
      </c>
      <c r="BS151" s="566"/>
      <c r="BT151" s="566">
        <v>72990528.302503139</v>
      </c>
      <c r="BU151" s="566">
        <v>3560193.9222226334</v>
      </c>
      <c r="BV151" s="566">
        <v>596648.83401310816</v>
      </c>
      <c r="BW151" s="566">
        <v>8868.5432131049056</v>
      </c>
      <c r="BX151" s="566">
        <v>747988.69136099366</v>
      </c>
      <c r="BY151" s="566">
        <v>11787967.790825535</v>
      </c>
      <c r="BZ151" s="566">
        <v>277032.84865221981</v>
      </c>
      <c r="CA151" s="566">
        <v>11.854798286252953</v>
      </c>
      <c r="CB151" s="566">
        <v>1.5714844689581396E-31</v>
      </c>
      <c r="CC151" s="566">
        <v>48725.450206451787</v>
      </c>
      <c r="CD151" s="566">
        <v>236801637.41910481</v>
      </c>
      <c r="CE151" s="566">
        <v>398.29802206605234</v>
      </c>
      <c r="CF151" s="566">
        <v>29493.977017328365</v>
      </c>
      <c r="CG151" s="566">
        <v>2353.689459580437</v>
      </c>
      <c r="CH151" s="566">
        <v>13806.904423193118</v>
      </c>
      <c r="CI151" s="566">
        <v>871.73683688164351</v>
      </c>
      <c r="CJ151" s="566">
        <v>0.22275908779832734</v>
      </c>
      <c r="CK151" s="566">
        <v>4564044238.7281151</v>
      </c>
      <c r="CL151" s="566"/>
      <c r="CM151" s="566">
        <v>114838.82520992927</v>
      </c>
      <c r="CN151" s="566">
        <v>158.74281591195933</v>
      </c>
      <c r="CO151" s="566">
        <v>2.6669834231125771E-2</v>
      </c>
      <c r="CP151" s="566">
        <v>2931308836.3929729</v>
      </c>
      <c r="CQ151" s="566"/>
      <c r="CR151" s="566">
        <v>73897.031299092443</v>
      </c>
      <c r="CS151" s="566">
        <v>61.738925927797311</v>
      </c>
      <c r="CT151" s="566">
        <v>0.69770708027000516</v>
      </c>
      <c r="CU151" s="566">
        <v>6997472426.6540079</v>
      </c>
      <c r="CV151" s="566"/>
      <c r="CW151" s="566">
        <v>175444.33209832158</v>
      </c>
      <c r="CX151" s="566">
        <v>141.43794121568263</v>
      </c>
      <c r="CY151" s="552"/>
    </row>
    <row r="152" spans="1:103" ht="12.75" customHeight="1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436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437"/>
      <c r="AR152" s="2"/>
      <c r="AS152" s="221"/>
      <c r="AT152" s="221"/>
      <c r="AU152" s="224"/>
      <c r="AV152" s="257">
        <f>output!AG33</f>
        <v>7.6776393790565604E-3</v>
      </c>
      <c r="AW152" s="221"/>
      <c r="AX152" s="221"/>
      <c r="AY152" s="2"/>
      <c r="AZ152" s="75"/>
      <c r="BA152" s="59"/>
      <c r="BB152" s="257">
        <f>output!AG39</f>
        <v>3.6452519059006522E-3</v>
      </c>
      <c r="BC152" s="2"/>
      <c r="BD152" s="75"/>
      <c r="BE152" s="2"/>
      <c r="BF152" s="75"/>
      <c r="BG152" s="59"/>
      <c r="BH152" s="257">
        <f>output!AG45</f>
        <v>9.4867922581891393E-3</v>
      </c>
      <c r="BI152" s="2"/>
      <c r="BJ152" s="75"/>
      <c r="BK152" s="2"/>
      <c r="BL152"/>
      <c r="BM152" s="562"/>
      <c r="BN152" s="591">
        <v>139</v>
      </c>
      <c r="BO152" s="549" t="s">
        <v>1934</v>
      </c>
      <c r="BP152" s="549" t="s">
        <v>2408</v>
      </c>
      <c r="BQ152" s="550" t="s">
        <v>2408</v>
      </c>
      <c r="BR152" s="566">
        <v>614683.40319536976</v>
      </c>
      <c r="BS152" s="566"/>
      <c r="BT152" s="566">
        <v>1606813.735366049</v>
      </c>
      <c r="BU152" s="566">
        <v>54627.922689216321</v>
      </c>
      <c r="BV152" s="566">
        <v>17326.686381045161</v>
      </c>
      <c r="BW152" s="566">
        <v>178.52408176180577</v>
      </c>
      <c r="BX152" s="566">
        <v>1.9816569275528764</v>
      </c>
      <c r="BY152" s="566">
        <v>79416848.920210153</v>
      </c>
      <c r="BZ152" s="566">
        <v>0.73394701020476882</v>
      </c>
      <c r="CA152" s="566">
        <v>1213203.593175851</v>
      </c>
      <c r="CB152" s="566">
        <v>5.0393947782926428E-35</v>
      </c>
      <c r="CC152" s="566">
        <v>4.6980490499594491E-2</v>
      </c>
      <c r="CD152" s="566">
        <v>928905.21860701637</v>
      </c>
      <c r="CE152" s="566">
        <v>5.0660272998519272E-4</v>
      </c>
      <c r="CF152" s="566">
        <v>151.78313857823366</v>
      </c>
      <c r="CG152" s="566">
        <v>1.7988108465624062</v>
      </c>
      <c r="CH152" s="566">
        <v>12.185519758374351</v>
      </c>
      <c r="CI152" s="566">
        <v>0.66622623946755799</v>
      </c>
      <c r="CJ152" s="566">
        <v>402981.07125395979</v>
      </c>
      <c r="CK152" s="566">
        <v>930782.24813170335</v>
      </c>
      <c r="CL152" s="566"/>
      <c r="CM152" s="566">
        <v>30.694074132023122</v>
      </c>
      <c r="CN152" s="566">
        <v>2.1445694355826337</v>
      </c>
      <c r="CO152" s="566">
        <v>46059.489240391202</v>
      </c>
      <c r="CP152" s="566">
        <v>97806.406559728886</v>
      </c>
      <c r="CQ152" s="566"/>
      <c r="CR152" s="566">
        <v>3.2358808698131556</v>
      </c>
      <c r="CS152" s="566">
        <v>0.51264339605248066</v>
      </c>
      <c r="CT152" s="566">
        <v>67831.780364191596</v>
      </c>
      <c r="CU152" s="566">
        <v>37922.257868296241</v>
      </c>
      <c r="CV152" s="566"/>
      <c r="CW152" s="566">
        <v>1.2429311660627815</v>
      </c>
      <c r="CX152" s="566">
        <v>0.19066180966878959</v>
      </c>
      <c r="CY152" s="552"/>
    </row>
    <row r="153" spans="1:103" ht="12.75" customHeight="1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436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437"/>
      <c r="AR153" s="2"/>
      <c r="AS153" s="221"/>
      <c r="AT153" s="275">
        <f>k.w3M.w2M*M.w3M*Molweight</f>
        <v>2.1911091697732273E-3</v>
      </c>
      <c r="AU153" s="224"/>
      <c r="AV153" s="225"/>
      <c r="AW153" s="221"/>
      <c r="AX153" s="221"/>
      <c r="AY153" s="2"/>
      <c r="AZ153" s="275">
        <f>k.w3A.w2A*M.w3A*Molweight</f>
        <v>1.5617207273138967E-2</v>
      </c>
      <c r="BA153" s="59"/>
      <c r="BB153" s="49"/>
      <c r="BC153" s="2"/>
      <c r="BD153" s="75"/>
      <c r="BE153" s="2"/>
      <c r="BF153" s="275">
        <f>k.w3T.w2T*M.w3T*Molweight</f>
        <v>3.5645719757822095E-4</v>
      </c>
      <c r="BG153" s="59"/>
      <c r="BH153" s="49"/>
      <c r="BI153" s="2"/>
      <c r="BJ153" s="75"/>
      <c r="BK153" s="2"/>
      <c r="BL153"/>
      <c r="BM153" s="562"/>
      <c r="BN153" s="591">
        <v>140</v>
      </c>
      <c r="BO153" s="549" t="s">
        <v>1928</v>
      </c>
      <c r="BP153" s="549" t="s">
        <v>2408</v>
      </c>
      <c r="BQ153" s="550" t="s">
        <v>2408</v>
      </c>
      <c r="BR153" s="566">
        <v>58334.366317096406</v>
      </c>
      <c r="BS153" s="566"/>
      <c r="BT153" s="566">
        <v>32897068.983470529</v>
      </c>
      <c r="BU153" s="566">
        <v>1604258.0999812384</v>
      </c>
      <c r="BV153" s="566">
        <v>816332.08048954012</v>
      </c>
      <c r="BW153" s="566">
        <v>11761.364728165679</v>
      </c>
      <c r="BX153" s="566">
        <v>2244134.2478112727</v>
      </c>
      <c r="BY153" s="566">
        <v>39538594.036004439</v>
      </c>
      <c r="BZ153" s="566">
        <v>831160.83252269391</v>
      </c>
      <c r="CA153" s="566">
        <v>24067.505658957867</v>
      </c>
      <c r="CB153" s="566">
        <v>4.8053348164077447E-30</v>
      </c>
      <c r="CC153" s="566">
        <v>1109496.6796177155</v>
      </c>
      <c r="CD153" s="566">
        <v>123238436.10464677</v>
      </c>
      <c r="CE153" s="566">
        <v>27531.867146694854</v>
      </c>
      <c r="CF153" s="566">
        <v>45175.155904540647</v>
      </c>
      <c r="CG153" s="566">
        <v>478341.46154906531</v>
      </c>
      <c r="CH153" s="566">
        <v>2636374.7506651739</v>
      </c>
      <c r="CI153" s="566">
        <v>177163.50427743152</v>
      </c>
      <c r="CJ153" s="566">
        <v>2011.9239081108485</v>
      </c>
      <c r="CK153" s="566">
        <v>2384965220.7493086</v>
      </c>
      <c r="CL153" s="566"/>
      <c r="CM153" s="566">
        <v>176614.16242676938</v>
      </c>
      <c r="CN153" s="566">
        <v>143523.21372982959</v>
      </c>
      <c r="CO153" s="566">
        <v>91.580381663942703</v>
      </c>
      <c r="CP153" s="566">
        <v>1531836587.5149598</v>
      </c>
      <c r="CQ153" s="566"/>
      <c r="CR153" s="566">
        <v>114049.27226176103</v>
      </c>
      <c r="CS153" s="566">
        <v>21336.243315333115</v>
      </c>
      <c r="CT153" s="566">
        <v>1644.6502006012392</v>
      </c>
      <c r="CU153" s="566">
        <v>3652891561.3160839</v>
      </c>
      <c r="CV153" s="566"/>
      <c r="CW153" s="566">
        <v>267821.97186313692</v>
      </c>
      <c r="CX153" s="566">
        <v>33055.430299051957</v>
      </c>
      <c r="CY153" s="552"/>
    </row>
    <row r="154" spans="1:103" ht="12.75" customHeight="1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436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437"/>
      <c r="AR154" s="2"/>
      <c r="AS154" s="221"/>
      <c r="AT154" s="221"/>
      <c r="AU154" s="221"/>
      <c r="AV154" s="221"/>
      <c r="AW154" s="221"/>
      <c r="AX154" s="261" t="s">
        <v>2166</v>
      </c>
      <c r="AY154" s="2"/>
      <c r="AZ154" s="221"/>
      <c r="BA154" s="75"/>
      <c r="BB154" s="75"/>
      <c r="BC154" s="75"/>
      <c r="BD154" s="261" t="s">
        <v>2166</v>
      </c>
      <c r="BE154" s="2"/>
      <c r="BF154" s="221"/>
      <c r="BG154" s="59"/>
      <c r="BH154" s="75"/>
      <c r="BI154" s="75"/>
      <c r="BJ154" s="261" t="s">
        <v>2166</v>
      </c>
      <c r="BK154" s="2"/>
      <c r="BL154"/>
      <c r="BM154" s="562"/>
      <c r="BN154" s="591">
        <v>141</v>
      </c>
      <c r="BO154" s="549" t="s">
        <v>1902</v>
      </c>
      <c r="BP154" s="549" t="s">
        <v>2408</v>
      </c>
      <c r="BQ154" s="550" t="s">
        <v>2408</v>
      </c>
      <c r="BR154" s="566">
        <v>925543.86680179299</v>
      </c>
      <c r="BS154" s="566"/>
      <c r="BT154" s="566">
        <v>1327071.8713505124</v>
      </c>
      <c r="BU154" s="566">
        <v>47016.000457837763</v>
      </c>
      <c r="BV154" s="566">
        <v>57282.527100707623</v>
      </c>
      <c r="BW154" s="566">
        <v>585.28807008201488</v>
      </c>
      <c r="BX154" s="566">
        <v>456.25867698318478</v>
      </c>
      <c r="BY154" s="566">
        <v>3491195.9569170689</v>
      </c>
      <c r="BZ154" s="566">
        <v>168.98469517895731</v>
      </c>
      <c r="CA154" s="566">
        <v>10765808.003137678</v>
      </c>
      <c r="CB154" s="566">
        <v>6.0929583286416216E-30</v>
      </c>
      <c r="CC154" s="566">
        <v>6145.9207277968671</v>
      </c>
      <c r="CD154" s="566">
        <v>12358546.627344461</v>
      </c>
      <c r="CE154" s="566">
        <v>265.28621263786755</v>
      </c>
      <c r="CF154" s="566">
        <v>7692.3917752463931</v>
      </c>
      <c r="CG154" s="566">
        <v>1774.271929137883</v>
      </c>
      <c r="CH154" s="566">
        <v>5565.1260974443512</v>
      </c>
      <c r="CI154" s="566">
        <v>657.13775153254915</v>
      </c>
      <c r="CJ154" s="566">
        <v>75123776.901140004</v>
      </c>
      <c r="CK154" s="566">
        <v>534603836.56078762</v>
      </c>
      <c r="CL154" s="566"/>
      <c r="CM154" s="566">
        <v>67222.768237092052</v>
      </c>
      <c r="CN154" s="566">
        <v>44438.01189545144</v>
      </c>
      <c r="CO154" s="566">
        <v>38614691.072987273</v>
      </c>
      <c r="CP154" s="566">
        <v>880305549.18743992</v>
      </c>
      <c r="CQ154" s="566"/>
      <c r="CR154" s="566">
        <v>110790.15549910217</v>
      </c>
      <c r="CS154" s="566">
        <v>82007.025385354704</v>
      </c>
      <c r="CT154" s="566">
        <v>117762647.43945155</v>
      </c>
      <c r="CU154" s="566">
        <v>588341889.0469538</v>
      </c>
      <c r="CV154" s="566"/>
      <c r="CW154" s="566">
        <v>73858.12266444866</v>
      </c>
      <c r="CX154" s="566">
        <v>18805.167601731569</v>
      </c>
      <c r="CY154" s="552"/>
    </row>
    <row r="155" spans="1:103" ht="12.75" customHeight="1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436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437"/>
      <c r="AR155" s="2"/>
      <c r="AS155" s="221"/>
      <c r="AT155" s="275">
        <f>k.w2M.w3M*M.w2M*Molweight</f>
        <v>2.202977189973758E-2</v>
      </c>
      <c r="AU155" s="221"/>
      <c r="AV155" s="223" t="s">
        <v>2165</v>
      </c>
      <c r="AW155" s="221"/>
      <c r="AX155" s="271">
        <f>IF(ISERROR(output!H47),0,output!H47)</f>
        <v>3.1934617206005934E-3</v>
      </c>
      <c r="AY155" s="2"/>
      <c r="AZ155" s="275">
        <f>k.w2A.w3A*M.w2A*Molweight</f>
        <v>5.1922448810533844E-2</v>
      </c>
      <c r="BA155" s="75"/>
      <c r="BB155" s="223" t="s">
        <v>2165</v>
      </c>
      <c r="BC155" s="47"/>
      <c r="BD155" s="271">
        <f>IF(ISERROR(output!J47),0,output!J47)</f>
        <v>2.2055373191363138E-3</v>
      </c>
      <c r="BE155" s="2"/>
      <c r="BF155" s="275">
        <f>k.w2T.w3T*M.w2T*Molweight</f>
        <v>1.0080021039101586E-2</v>
      </c>
      <c r="BG155" s="75"/>
      <c r="BH155" s="223" t="s">
        <v>2165</v>
      </c>
      <c r="BI155" s="47"/>
      <c r="BJ155" s="271">
        <f>IF(ISERROR(output!L47),0,output!L47)</f>
        <v>1.2113124098901689E-3</v>
      </c>
      <c r="BK155" s="2"/>
      <c r="BL155"/>
      <c r="BM155" s="562"/>
      <c r="BN155" s="591">
        <v>142</v>
      </c>
      <c r="BO155" s="549" t="s">
        <v>1885</v>
      </c>
      <c r="BP155" s="549" t="s">
        <v>2408</v>
      </c>
      <c r="BQ155" s="550" t="s">
        <v>2408</v>
      </c>
      <c r="BR155" s="566">
        <v>159802.70705850856</v>
      </c>
      <c r="BS155" s="566"/>
      <c r="BT155" s="566">
        <v>842132.31560415868</v>
      </c>
      <c r="BU155" s="566">
        <v>29812.959335746127</v>
      </c>
      <c r="BV155" s="566">
        <v>1081080.5273702189</v>
      </c>
      <c r="BW155" s="566">
        <v>11032.78001126136</v>
      </c>
      <c r="BX155" s="566">
        <v>27504.333469101268</v>
      </c>
      <c r="BY155" s="566">
        <v>2628055.4319964028</v>
      </c>
      <c r="BZ155" s="566">
        <v>10186.79017374121</v>
      </c>
      <c r="CA155" s="566">
        <v>208622.03678571107</v>
      </c>
      <c r="CB155" s="566">
        <v>1.7242418047125151E-30</v>
      </c>
      <c r="CC155" s="566">
        <v>2325.0539570288811</v>
      </c>
      <c r="CD155" s="566">
        <v>530318.14976383327</v>
      </c>
      <c r="CE155" s="566">
        <v>2984.7691526072376</v>
      </c>
      <c r="CF155" s="566">
        <v>9812.6512977667444</v>
      </c>
      <c r="CG155" s="566">
        <v>12221.36313250734</v>
      </c>
      <c r="CH155" s="566">
        <v>36550.554445271817</v>
      </c>
      <c r="CI155" s="566">
        <v>4526.4307898175339</v>
      </c>
      <c r="CJ155" s="566">
        <v>43242.051812988888</v>
      </c>
      <c r="CK155" s="566">
        <v>168807.72558250572</v>
      </c>
      <c r="CL155" s="566"/>
      <c r="CM155" s="566">
        <v>624.68690088668075</v>
      </c>
      <c r="CN155" s="566">
        <v>9092.2091119275356</v>
      </c>
      <c r="CO155" s="566">
        <v>2659.0631273529712</v>
      </c>
      <c r="CP155" s="566">
        <v>69833.762157788951</v>
      </c>
      <c r="CQ155" s="566"/>
      <c r="CR155" s="566">
        <v>260.7099024437274</v>
      </c>
      <c r="CS155" s="566">
        <v>1865.6714709853688</v>
      </c>
      <c r="CT155" s="566">
        <v>4411.176128683056</v>
      </c>
      <c r="CU155" s="566">
        <v>3992.7429119371227</v>
      </c>
      <c r="CV155" s="566"/>
      <c r="CW155" s="566">
        <v>14.533723872827936</v>
      </c>
      <c r="CX155" s="566">
        <v>254.11030436005359</v>
      </c>
      <c r="CY155" s="552"/>
    </row>
    <row r="156" spans="1:103" ht="12.75" customHeight="1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436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437"/>
      <c r="AR156" s="2"/>
      <c r="AS156" s="221"/>
      <c r="AT156" s="221"/>
      <c r="AU156" s="221"/>
      <c r="AV156" s="273">
        <f>IF(ISERROR(output!H31),0,output!H31)</f>
        <v>0.18948035082535367</v>
      </c>
      <c r="AW156" s="221"/>
      <c r="AX156" s="221"/>
      <c r="AY156" s="203"/>
      <c r="AZ156" s="2"/>
      <c r="BA156" s="75"/>
      <c r="BB156" s="273">
        <f>IF(ISERROR(output!J31),0,output!J31)</f>
        <v>0.74117714992374706</v>
      </c>
      <c r="BC156" s="75"/>
      <c r="BD156" s="75"/>
      <c r="BE156" s="203"/>
      <c r="BF156" s="2"/>
      <c r="BG156" s="75"/>
      <c r="BH156" s="273">
        <f>IF(ISERROR(output!L31),0,output!L31)</f>
        <v>4.1747395441453297E-2</v>
      </c>
      <c r="BI156" s="75"/>
      <c r="BJ156" s="75"/>
      <c r="BK156" s="2"/>
      <c r="BL156"/>
      <c r="BM156" s="562"/>
      <c r="BN156" s="591">
        <v>143</v>
      </c>
      <c r="BO156" s="549" t="s">
        <v>1787</v>
      </c>
      <c r="BP156" s="549" t="s">
        <v>2408</v>
      </c>
      <c r="BQ156" s="550" t="s">
        <v>2408</v>
      </c>
      <c r="BR156" s="566">
        <v>304716.94589496858</v>
      </c>
      <c r="BS156" s="566"/>
      <c r="BT156" s="566">
        <v>2636728.985329655</v>
      </c>
      <c r="BU156" s="566">
        <v>111891.67832514405</v>
      </c>
      <c r="BV156" s="566">
        <v>105568.43063061291</v>
      </c>
      <c r="BW156" s="566">
        <v>1296.7806338659434</v>
      </c>
      <c r="BX156" s="566">
        <v>26074.042801766322</v>
      </c>
      <c r="BY156" s="566">
        <v>82364876.044762313</v>
      </c>
      <c r="BZ156" s="566">
        <v>9657.0528895430798</v>
      </c>
      <c r="CA156" s="566">
        <v>529866.49271507119</v>
      </c>
      <c r="CB156" s="566">
        <v>9.5001213658140408E-30</v>
      </c>
      <c r="CC156" s="566">
        <v>22685.658890403771</v>
      </c>
      <c r="CD156" s="566">
        <v>18142136.819106575</v>
      </c>
      <c r="CE156" s="566">
        <v>908.2804566590371</v>
      </c>
      <c r="CF156" s="566">
        <v>10513.012243680363</v>
      </c>
      <c r="CG156" s="566">
        <v>15122.812374405252</v>
      </c>
      <c r="CH156" s="566">
        <v>130725.59110024685</v>
      </c>
      <c r="CI156" s="566">
        <v>5601.0416201500902</v>
      </c>
      <c r="CJ156" s="566">
        <v>215511.33266630428</v>
      </c>
      <c r="CK156" s="566">
        <v>158841394.86675173</v>
      </c>
      <c r="CL156" s="566"/>
      <c r="CM156" s="566">
        <v>18594.853302533389</v>
      </c>
      <c r="CN156" s="566">
        <v>22076.990716902572</v>
      </c>
      <c r="CO156" s="566">
        <v>31614.225811055814</v>
      </c>
      <c r="CP156" s="566">
        <v>90474174.272001639</v>
      </c>
      <c r="CQ156" s="566"/>
      <c r="CR156" s="566">
        <v>10600.178966029791</v>
      </c>
      <c r="CS156" s="566">
        <v>10516.72106807111</v>
      </c>
      <c r="CT156" s="566">
        <v>94119.7921949187</v>
      </c>
      <c r="CU156" s="566">
        <v>102556692.21014394</v>
      </c>
      <c r="CV156" s="566"/>
      <c r="CW156" s="566">
        <v>11987.312145384516</v>
      </c>
      <c r="CX156" s="566">
        <v>2820.8317308445294</v>
      </c>
      <c r="CY156" s="552"/>
    </row>
    <row r="157" spans="1:103" ht="12.75" customHeight="1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436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437"/>
      <c r="AR157" s="2"/>
      <c r="AS157" s="279">
        <f>output!AE34</f>
        <v>2.5321273723692022E-3</v>
      </c>
      <c r="AT157" s="266">
        <f>output!AD34</f>
        <v>2.5441548700121747E-2</v>
      </c>
      <c r="AU157" s="221"/>
      <c r="AV157" s="225"/>
      <c r="AW157" s="226"/>
      <c r="AX157" s="221"/>
      <c r="AY157" s="279">
        <f>output!AE40</f>
        <v>1.9028984073523134E-2</v>
      </c>
      <c r="AZ157" s="266">
        <f>output!AD40</f>
        <v>5.1922448810533844E-2</v>
      </c>
      <c r="BA157" s="75"/>
      <c r="BB157" s="2"/>
      <c r="BC157" s="76"/>
      <c r="BD157" s="75"/>
      <c r="BE157" s="279">
        <f>output!AE46</f>
        <v>3.5645719757822095E-4</v>
      </c>
      <c r="BF157" s="266">
        <f>output!AD46</f>
        <v>1.0421039241697563E-2</v>
      </c>
      <c r="BG157" s="75"/>
      <c r="BH157" s="2"/>
      <c r="BI157" s="76"/>
      <c r="BJ157" s="75"/>
      <c r="BK157" s="2"/>
      <c r="BL157"/>
      <c r="BM157" s="562"/>
      <c r="BN157" s="591">
        <v>144</v>
      </c>
      <c r="BO157" s="549" t="s">
        <v>1813</v>
      </c>
      <c r="BP157" s="549" t="s">
        <v>2408</v>
      </c>
      <c r="BQ157" s="550" t="s">
        <v>2408</v>
      </c>
      <c r="BR157" s="566">
        <v>618429.52583402733</v>
      </c>
      <c r="BS157" s="566"/>
      <c r="BT157" s="566">
        <v>2855616.4695078358</v>
      </c>
      <c r="BU157" s="566">
        <v>108846.44791677449</v>
      </c>
      <c r="BV157" s="566">
        <v>25548.949504252472</v>
      </c>
      <c r="BW157" s="566">
        <v>296.27301454143617</v>
      </c>
      <c r="BX157" s="566">
        <v>1380.0520739210363</v>
      </c>
      <c r="BY157" s="566">
        <v>7847738.2927329428</v>
      </c>
      <c r="BZ157" s="566">
        <v>511.13039774853183</v>
      </c>
      <c r="CA157" s="566">
        <v>909707.60304485122</v>
      </c>
      <c r="CB157" s="566">
        <v>1.1628110080980284E-29</v>
      </c>
      <c r="CC157" s="566">
        <v>15057.435292928098</v>
      </c>
      <c r="CD157" s="566">
        <v>16381153.774176722</v>
      </c>
      <c r="CE157" s="566">
        <v>134.71754980768554</v>
      </c>
      <c r="CF157" s="566">
        <v>2229.4222288508031</v>
      </c>
      <c r="CG157" s="566">
        <v>1092.7584981066675</v>
      </c>
      <c r="CH157" s="566">
        <v>6333.9486321932454</v>
      </c>
      <c r="CI157" s="566">
        <v>404.72536966913594</v>
      </c>
      <c r="CJ157" s="566">
        <v>271427.49715119426</v>
      </c>
      <c r="CK157" s="566">
        <v>96917948.724076271</v>
      </c>
      <c r="CL157" s="566"/>
      <c r="CM157" s="566">
        <v>2664.6630528285955</v>
      </c>
      <c r="CN157" s="566">
        <v>1170.2532760422409</v>
      </c>
      <c r="CO157" s="566">
        <v>32556.994656716466</v>
      </c>
      <c r="CP157" s="566">
        <v>42856213.727457866</v>
      </c>
      <c r="CQ157" s="566"/>
      <c r="CR157" s="566">
        <v>1180.7369363661655</v>
      </c>
      <c r="CS157" s="566">
        <v>469.13765444828209</v>
      </c>
      <c r="CT157" s="566">
        <v>65731.903406788959</v>
      </c>
      <c r="CU157" s="566">
        <v>42568845.000582807</v>
      </c>
      <c r="CV157" s="566"/>
      <c r="CW157" s="566">
        <v>1165.8704404498662</v>
      </c>
      <c r="CX157" s="566">
        <v>79.799039041380126</v>
      </c>
      <c r="CY157" s="552"/>
    </row>
    <row r="158" spans="1:103" ht="12.75" customHeight="1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436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437"/>
      <c r="AR158" s="2"/>
      <c r="AS158" s="221"/>
      <c r="AT158" s="221"/>
      <c r="AU158" s="221"/>
      <c r="AV158" s="274">
        <f>output!AG34</f>
        <v>2.2908833721328608E-2</v>
      </c>
      <c r="AW158" s="226"/>
      <c r="AX158" s="221"/>
      <c r="AY158" s="2"/>
      <c r="AZ158" s="75"/>
      <c r="BA158" s="75"/>
      <c r="BB158" s="274">
        <f>output!AG40</f>
        <v>3.2892509433630097E-2</v>
      </c>
      <c r="BC158" s="2"/>
      <c r="BD158" s="75"/>
      <c r="BE158" s="2"/>
      <c r="BF158" s="75"/>
      <c r="BG158" s="75"/>
      <c r="BH158" s="274">
        <f>output!AG46</f>
        <v>1.0064370012452658E-2</v>
      </c>
      <c r="BI158" s="76"/>
      <c r="BJ158" s="75"/>
      <c r="BK158" s="2"/>
      <c r="BL158"/>
      <c r="BM158" s="562"/>
      <c r="BN158" s="591">
        <v>145</v>
      </c>
      <c r="BO158" s="549" t="s">
        <v>1841</v>
      </c>
      <c r="BP158" s="549" t="s">
        <v>2408</v>
      </c>
      <c r="BQ158" s="550" t="s">
        <v>2408</v>
      </c>
      <c r="BR158" s="566">
        <v>3276.1221306135467</v>
      </c>
      <c r="BS158" s="566"/>
      <c r="BT158" s="566">
        <v>20673822.348199211</v>
      </c>
      <c r="BU158" s="566">
        <v>1009718.8022073653</v>
      </c>
      <c r="BV158" s="566">
        <v>20686563.739823122</v>
      </c>
      <c r="BW158" s="566">
        <v>283616.95212996157</v>
      </c>
      <c r="BX158" s="566">
        <v>2279462.7724709017</v>
      </c>
      <c r="BY158" s="566">
        <v>14190407.076922383</v>
      </c>
      <c r="BZ158" s="566">
        <v>844245.47128551896</v>
      </c>
      <c r="CA158" s="566">
        <v>73.374264443821076</v>
      </c>
      <c r="CB158" s="566">
        <v>2.5561917553039949E-31</v>
      </c>
      <c r="CC158" s="566">
        <v>7835.2139529594042</v>
      </c>
      <c r="CD158" s="566">
        <v>67745263.218295097</v>
      </c>
      <c r="CE158" s="566">
        <v>7840.0428388688624</v>
      </c>
      <c r="CF158" s="566">
        <v>951438.41202181263</v>
      </c>
      <c r="CG158" s="566">
        <v>26455.420664314581</v>
      </c>
      <c r="CH158" s="566">
        <v>59752.83800107149</v>
      </c>
      <c r="CI158" s="566">
        <v>9798.3039497461396</v>
      </c>
      <c r="CJ158" s="566">
        <v>0.2908521556433632</v>
      </c>
      <c r="CK158" s="566">
        <v>1306720729.6545606</v>
      </c>
      <c r="CL158" s="566"/>
      <c r="CM158" s="566">
        <v>3707445.3602252235</v>
      </c>
      <c r="CN158" s="566">
        <v>376.39760664209348</v>
      </c>
      <c r="CO158" s="566">
        <v>3.479459970228458E-2</v>
      </c>
      <c r="CP158" s="566">
        <v>839284858.30506063</v>
      </c>
      <c r="CQ158" s="566"/>
      <c r="CR158" s="566">
        <v>2383154.2803390445</v>
      </c>
      <c r="CS158" s="566">
        <v>40.788221485571</v>
      </c>
      <c r="CT158" s="566">
        <v>7.2384160454905394E-2</v>
      </c>
      <c r="CU158" s="566">
        <v>2004480724.3351254</v>
      </c>
      <c r="CV158" s="566"/>
      <c r="CW158" s="566">
        <v>5678568.4783019805</v>
      </c>
      <c r="CX158" s="566">
        <v>48.009309892373146</v>
      </c>
      <c r="CY158" s="552"/>
    </row>
    <row r="159" spans="1:103" ht="12.75" customHeight="1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436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437"/>
      <c r="AR159" s="2"/>
      <c r="AS159" s="221"/>
      <c r="AT159" s="272">
        <f>k.sdM.w3M*M.sdM*Molweight</f>
        <v>3.3665929951182261E-6</v>
      </c>
      <c r="AU159" s="221"/>
      <c r="AV159" s="221"/>
      <c r="AW159" s="226"/>
      <c r="AX159" s="221"/>
      <c r="AY159" s="2"/>
      <c r="AZ159" s="272">
        <f>k.sdA.w3A*M.sdA*Molweight</f>
        <v>2.5131363135226205E-5</v>
      </c>
      <c r="BA159" s="2"/>
      <c r="BB159" s="75"/>
      <c r="BC159" s="2"/>
      <c r="BD159" s="75"/>
      <c r="BE159" s="2"/>
      <c r="BF159" s="275">
        <f>k.sdT.w3T*M.sdT*Molweight</f>
        <v>4.9347835729455461E-7</v>
      </c>
      <c r="BG159" s="2"/>
      <c r="BH159" s="75"/>
      <c r="BI159" s="2"/>
      <c r="BJ159" s="75"/>
      <c r="BK159" s="2"/>
      <c r="BL159"/>
      <c r="BM159" s="562"/>
      <c r="BN159" s="591">
        <v>146</v>
      </c>
      <c r="BO159" s="549" t="s">
        <v>1888</v>
      </c>
      <c r="BP159" s="549" t="s">
        <v>2408</v>
      </c>
      <c r="BQ159" s="550" t="s">
        <v>2408</v>
      </c>
      <c r="BR159" s="566">
        <v>706498.34131325479</v>
      </c>
      <c r="BS159" s="566"/>
      <c r="BT159" s="566">
        <v>1993659.3822978407</v>
      </c>
      <c r="BU159" s="566">
        <v>67929.071515890799</v>
      </c>
      <c r="BV159" s="566">
        <v>18279.95980467763</v>
      </c>
      <c r="BW159" s="566">
        <v>189.39962962146362</v>
      </c>
      <c r="BX159" s="566">
        <v>11.417342157081256</v>
      </c>
      <c r="BY159" s="566">
        <v>67259120.899994075</v>
      </c>
      <c r="BZ159" s="566">
        <v>4.2286452433634283</v>
      </c>
      <c r="CA159" s="566">
        <v>1397884.7124636376</v>
      </c>
      <c r="CB159" s="566">
        <v>3.8341618662799956E-33</v>
      </c>
      <c r="CC159" s="566">
        <v>3.6801019358328362</v>
      </c>
      <c r="CD159" s="566">
        <v>1580010.9556427924</v>
      </c>
      <c r="CE159" s="566">
        <v>3.3743033570059741E-2</v>
      </c>
      <c r="CF159" s="566">
        <v>220.26908591455913</v>
      </c>
      <c r="CG159" s="566">
        <v>6.2760536715943713</v>
      </c>
      <c r="CH159" s="566">
        <v>44.317074032543715</v>
      </c>
      <c r="CI159" s="566">
        <v>2.3244643228127297</v>
      </c>
      <c r="CJ159" s="566">
        <v>470541.77842956979</v>
      </c>
      <c r="CK159" s="566">
        <v>5090616.7526270822</v>
      </c>
      <c r="CL159" s="566"/>
      <c r="CM159" s="566">
        <v>143.36861726198629</v>
      </c>
      <c r="CN159" s="566">
        <v>7.5825824001770421</v>
      </c>
      <c r="CO159" s="566">
        <v>55076.240749513818</v>
      </c>
      <c r="CP159" s="566">
        <v>841047.78073942405</v>
      </c>
      <c r="CQ159" s="566"/>
      <c r="CR159" s="566">
        <v>23.737065169730414</v>
      </c>
      <c r="CS159" s="566">
        <v>3.6351919025738186</v>
      </c>
      <c r="CT159" s="566">
        <v>81664.023956289253</v>
      </c>
      <c r="CU159" s="566">
        <v>1656649.7623139371</v>
      </c>
      <c r="CV159" s="566"/>
      <c r="CW159" s="566">
        <v>46.472387463171053</v>
      </c>
      <c r="CX159" s="566">
        <v>0.41848622620931142</v>
      </c>
      <c r="CY159" s="552"/>
    </row>
    <row r="160" spans="1:103" ht="12.75" customHeight="1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436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437"/>
      <c r="AR160" s="2"/>
      <c r="AS160" s="221"/>
      <c r="AT160" s="222"/>
      <c r="AU160" s="221"/>
      <c r="AV160" s="221"/>
      <c r="AW160" s="225"/>
      <c r="AX160" s="221"/>
      <c r="AY160" s="2"/>
      <c r="AZ160" s="222"/>
      <c r="BA160" s="75"/>
      <c r="BB160" s="75"/>
      <c r="BC160" s="49"/>
      <c r="BD160" s="75"/>
      <c r="BE160" s="2"/>
      <c r="BF160" s="222"/>
      <c r="BG160" s="75"/>
      <c r="BH160" s="75"/>
      <c r="BI160" s="49"/>
      <c r="BJ160" s="75"/>
      <c r="BK160" s="2"/>
      <c r="BL160"/>
      <c r="BM160" s="562"/>
      <c r="BN160" s="591">
        <v>147</v>
      </c>
      <c r="BO160" s="549" t="s">
        <v>1852</v>
      </c>
      <c r="BP160" s="549" t="s">
        <v>2408</v>
      </c>
      <c r="BQ160" s="550" t="s">
        <v>2408</v>
      </c>
      <c r="BR160" s="566">
        <v>83185.924928926615</v>
      </c>
      <c r="BS160" s="566"/>
      <c r="BT160" s="566">
        <v>399263.99197395775</v>
      </c>
      <c r="BU160" s="566">
        <v>15455.105171157855</v>
      </c>
      <c r="BV160" s="566">
        <v>15018541.869330494</v>
      </c>
      <c r="BW160" s="566">
        <v>269239.81412615586</v>
      </c>
      <c r="BX160" s="566">
        <v>90.350874395954207</v>
      </c>
      <c r="BY160" s="566">
        <v>6235831.8319904832</v>
      </c>
      <c r="BZ160" s="566">
        <v>33.463286813316365</v>
      </c>
      <c r="CA160" s="566">
        <v>136779.89019145694</v>
      </c>
      <c r="CB160" s="566">
        <v>2.706645601339527E-34</v>
      </c>
      <c r="CC160" s="566">
        <v>0.41323554639640431</v>
      </c>
      <c r="CD160" s="566">
        <v>463014.7196730203</v>
      </c>
      <c r="CE160" s="566">
        <v>15.544089825798428</v>
      </c>
      <c r="CF160" s="566">
        <v>403303.61936029076</v>
      </c>
      <c r="CG160" s="566">
        <v>93.065212014311072</v>
      </c>
      <c r="CH160" s="566">
        <v>529.7274487857477</v>
      </c>
      <c r="CI160" s="566">
        <v>34.468597042337429</v>
      </c>
      <c r="CJ160" s="566">
        <v>37924.115105912409</v>
      </c>
      <c r="CK160" s="566">
        <v>2109806.7902783249</v>
      </c>
      <c r="CL160" s="566"/>
      <c r="CM160" s="566">
        <v>371244.53803055309</v>
      </c>
      <c r="CN160" s="566">
        <v>92.615618585000703</v>
      </c>
      <c r="CO160" s="566">
        <v>3880.1283757943875</v>
      </c>
      <c r="CP160" s="566">
        <v>509295.12690216908</v>
      </c>
      <c r="CQ160" s="566"/>
      <c r="CR160" s="566">
        <v>89802.015666950727</v>
      </c>
      <c r="CS160" s="566">
        <v>29.666868708762497</v>
      </c>
      <c r="CT160" s="566">
        <v>5691.7242245039133</v>
      </c>
      <c r="CU160" s="566">
        <v>1040210.2895208901</v>
      </c>
      <c r="CV160" s="566"/>
      <c r="CW160" s="566">
        <v>182332.22987648554</v>
      </c>
      <c r="CX160" s="566">
        <v>4.0827348321636796</v>
      </c>
      <c r="CY160" s="552"/>
    </row>
    <row r="161" spans="1:103" ht="12.75" customHeight="1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436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437"/>
      <c r="AR161" s="2"/>
      <c r="AS161" s="221"/>
      <c r="AT161" s="272">
        <f>IF(output!AM35&lt;0,"",output!AM35)</f>
        <v>3.9541994190569332E-6</v>
      </c>
      <c r="AU161" s="221"/>
      <c r="AV161" s="262" t="s">
        <v>2157</v>
      </c>
      <c r="AW161" s="225"/>
      <c r="AX161" s="280">
        <f>output!AC36</f>
        <v>0</v>
      </c>
      <c r="AY161" s="2"/>
      <c r="AZ161" s="272">
        <f>IF(output!AM41&lt;0,"",output!AM41)</f>
        <v>2.6086666515832415E-5</v>
      </c>
      <c r="BA161" s="75"/>
      <c r="BB161" s="262" t="s">
        <v>2157</v>
      </c>
      <c r="BC161" s="75"/>
      <c r="BD161" s="280">
        <f>output!AC42</f>
        <v>0</v>
      </c>
      <c r="BE161" s="2"/>
      <c r="BF161" s="275">
        <f>IF(output!AM47&lt;0,"",output!AM47)</f>
        <v>7.0551002397561604E-7</v>
      </c>
      <c r="BG161" s="75"/>
      <c r="BH161" s="262" t="s">
        <v>2157</v>
      </c>
      <c r="BI161" s="49"/>
      <c r="BJ161" s="280">
        <f>output!AC48</f>
        <v>0</v>
      </c>
      <c r="BK161" s="2"/>
      <c r="BL161"/>
      <c r="BM161" s="562"/>
      <c r="BN161" s="591">
        <v>148</v>
      </c>
      <c r="BO161" s="549" t="s">
        <v>1952</v>
      </c>
      <c r="BP161" s="549" t="s">
        <v>2408</v>
      </c>
      <c r="BQ161" s="550" t="s">
        <v>2408</v>
      </c>
      <c r="BR161" s="566">
        <v>2446762.5375511171</v>
      </c>
      <c r="BS161" s="566"/>
      <c r="BT161" s="566">
        <v>1549001.191150768</v>
      </c>
      <c r="BU161" s="566">
        <v>55568.013410987616</v>
      </c>
      <c r="BV161" s="566">
        <v>43533.779921252921</v>
      </c>
      <c r="BW161" s="566">
        <v>459.04236958359684</v>
      </c>
      <c r="BX161" s="566">
        <v>1407.0508940526513</v>
      </c>
      <c r="BY161" s="566">
        <v>21937452.654532216</v>
      </c>
      <c r="BZ161" s="566">
        <v>521.12996076024115</v>
      </c>
      <c r="CA161" s="566">
        <v>56367179.696654856</v>
      </c>
      <c r="CB161" s="566">
        <v>4.0564214759749452E-29</v>
      </c>
      <c r="CC161" s="566">
        <v>40859.970883892005</v>
      </c>
      <c r="CD161" s="566">
        <v>88718805.1318167</v>
      </c>
      <c r="CE161" s="566">
        <v>1148.3457793384116</v>
      </c>
      <c r="CF161" s="566">
        <v>36644.904176367156</v>
      </c>
      <c r="CG161" s="566">
        <v>16464.995936885934</v>
      </c>
      <c r="CH161" s="566">
        <v>96939.115360888449</v>
      </c>
      <c r="CI161" s="566">
        <v>6098.1466432910884</v>
      </c>
      <c r="CJ161" s="566">
        <v>559542421.33699811</v>
      </c>
      <c r="CK161" s="566">
        <v>4912185612.1335707</v>
      </c>
      <c r="CL161" s="566"/>
      <c r="CM161" s="566">
        <v>409885.5597409606</v>
      </c>
      <c r="CN161" s="566">
        <v>586640.43692362239</v>
      </c>
      <c r="CO161" s="566">
        <v>291089379.44244891</v>
      </c>
      <c r="CP161" s="566">
        <v>8266680070.6492386</v>
      </c>
      <c r="CQ161" s="566"/>
      <c r="CR161" s="566">
        <v>693957.09998576285</v>
      </c>
      <c r="CS161" s="566">
        <v>1018450.8903464328</v>
      </c>
      <c r="CT161" s="566">
        <v>925120979.11547196</v>
      </c>
      <c r="CU161" s="566">
        <v>5636895338.73242</v>
      </c>
      <c r="CV161" s="566"/>
      <c r="CW161" s="566">
        <v>465140.65958495374</v>
      </c>
      <c r="CX161" s="566">
        <v>277023.4685482498</v>
      </c>
      <c r="CY161" s="552"/>
    </row>
    <row r="162" spans="1:103" ht="12.75" customHeight="1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436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437"/>
      <c r="AR162" s="2"/>
      <c r="AS162" s="221"/>
      <c r="AT162" s="221"/>
      <c r="AU162" s="221"/>
      <c r="AV162" s="276">
        <f>IF(ISERROR(output!H35),0,output!H35)</f>
        <v>4.366042234298653E-5</v>
      </c>
      <c r="AW162" s="221"/>
      <c r="AX162" s="221"/>
      <c r="AY162" s="2"/>
      <c r="AZ162" s="75"/>
      <c r="BA162" s="47"/>
      <c r="BB162" s="276">
        <f>IF(ISERROR(output!J35),0,output!J35)</f>
        <v>1.9324326455145353E-4</v>
      </c>
      <c r="BC162" s="75"/>
      <c r="BD162" s="75"/>
      <c r="BE162" s="2"/>
      <c r="BF162" s="75"/>
      <c r="BG162" s="47"/>
      <c r="BH162" s="276">
        <f>IF(ISERROR(output!L35),0,output!L35)</f>
        <v>7.9027672610129127E-6</v>
      </c>
      <c r="BI162" s="75"/>
      <c r="BJ162" s="75"/>
      <c r="BK162" s="2"/>
      <c r="BL162"/>
      <c r="BM162" s="562"/>
      <c r="BN162" s="591">
        <v>149</v>
      </c>
      <c r="BO162" s="549" t="s">
        <v>1816</v>
      </c>
      <c r="BP162" s="549" t="s">
        <v>2408</v>
      </c>
      <c r="BQ162" s="550" t="s">
        <v>2408</v>
      </c>
      <c r="BR162" s="566">
        <v>112034.92052668573</v>
      </c>
      <c r="BS162" s="566"/>
      <c r="BT162" s="566">
        <v>3312381.0037824251</v>
      </c>
      <c r="BU162" s="566">
        <v>138906.15087467313</v>
      </c>
      <c r="BV162" s="566">
        <v>11166128.768157868</v>
      </c>
      <c r="BW162" s="566">
        <v>154303.61249453775</v>
      </c>
      <c r="BX162" s="566">
        <v>1736201.9380800943</v>
      </c>
      <c r="BY162" s="566">
        <v>67451295.229148626</v>
      </c>
      <c r="BZ162" s="566">
        <v>643037.75484447926</v>
      </c>
      <c r="CA162" s="566">
        <v>157876.38886340131</v>
      </c>
      <c r="CB162" s="566">
        <v>5.2019731346195722E-30</v>
      </c>
      <c r="CC162" s="566">
        <v>31673.98435437863</v>
      </c>
      <c r="CD162" s="566">
        <v>1984141.4019535708</v>
      </c>
      <c r="CE162" s="566">
        <v>106773.88485737152</v>
      </c>
      <c r="CF162" s="566">
        <v>110203.9701242758</v>
      </c>
      <c r="CG162" s="566">
        <v>1349908.4342926294</v>
      </c>
      <c r="CH162" s="566">
        <v>3861484.7874545418</v>
      </c>
      <c r="CI162" s="566">
        <v>499966.08677504776</v>
      </c>
      <c r="CJ162" s="566">
        <v>36037.037017872513</v>
      </c>
      <c r="CK162" s="566">
        <v>604226.7574795098</v>
      </c>
      <c r="CL162" s="566"/>
      <c r="CM162" s="566">
        <v>6712.0834729497838</v>
      </c>
      <c r="CN162" s="566">
        <v>1105961.1157054959</v>
      </c>
      <c r="CO162" s="566">
        <v>2435.1912553244083</v>
      </c>
      <c r="CP162" s="566">
        <v>137901.20525668972</v>
      </c>
      <c r="CQ162" s="566"/>
      <c r="CR162" s="566">
        <v>1546.0799828269148</v>
      </c>
      <c r="CS162" s="566">
        <v>279425.28198058071</v>
      </c>
      <c r="CT162" s="566">
        <v>3871.6477128311012</v>
      </c>
      <c r="CU162" s="566">
        <v>21618.238664986973</v>
      </c>
      <c r="CV162" s="566"/>
      <c r="CW162" s="566">
        <v>236.03120290348303</v>
      </c>
      <c r="CX162" s="566">
        <v>30088.194668677166</v>
      </c>
      <c r="CY162" s="552"/>
    </row>
    <row r="163" spans="1:103" ht="12.75" customHeight="1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436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437"/>
      <c r="AR163" s="2"/>
      <c r="AS163" s="221"/>
      <c r="AT163" s="221"/>
      <c r="AU163" s="221"/>
      <c r="AV163" s="221"/>
      <c r="AW163" s="221"/>
      <c r="AX163" s="221"/>
      <c r="AY163" s="2"/>
      <c r="AZ163" s="2"/>
      <c r="BA163" s="47"/>
      <c r="BB163" s="2"/>
      <c r="BC163" s="75"/>
      <c r="BD163" s="75"/>
      <c r="BE163" s="2"/>
      <c r="BF163" s="2"/>
      <c r="BG163" s="47"/>
      <c r="BH163" s="2"/>
      <c r="BI163" s="75"/>
      <c r="BJ163" s="75"/>
      <c r="BK163" s="2"/>
      <c r="BL163"/>
      <c r="BM163" s="562"/>
      <c r="BN163" s="591">
        <v>150</v>
      </c>
      <c r="BO163" s="549" t="s">
        <v>1781</v>
      </c>
      <c r="BP163" s="549" t="s">
        <v>2408</v>
      </c>
      <c r="BQ163" s="550" t="s">
        <v>2408</v>
      </c>
      <c r="BR163" s="566">
        <v>150011.90408235285</v>
      </c>
      <c r="BS163" s="566"/>
      <c r="BT163" s="566">
        <v>3476214.4765169718</v>
      </c>
      <c r="BU163" s="566">
        <v>139910.28621662129</v>
      </c>
      <c r="BV163" s="566">
        <v>5106654.3145113783</v>
      </c>
      <c r="BW163" s="566">
        <v>60215.477239161119</v>
      </c>
      <c r="BX163" s="566">
        <v>142784.6858010118</v>
      </c>
      <c r="BY163" s="566">
        <v>8430242.050093675</v>
      </c>
      <c r="BZ163" s="566">
        <v>52883.216963337683</v>
      </c>
      <c r="CA163" s="566">
        <v>96630.67433652468</v>
      </c>
      <c r="CB163" s="566">
        <v>3.0265044255317225E-30</v>
      </c>
      <c r="CC163" s="566">
        <v>9609.161011195205</v>
      </c>
      <c r="CD163" s="566">
        <v>1458473.7024534019</v>
      </c>
      <c r="CE163" s="566">
        <v>14116.120817096808</v>
      </c>
      <c r="CF163" s="566">
        <v>31385.358578290343</v>
      </c>
      <c r="CG163" s="566">
        <v>43997.93114445806</v>
      </c>
      <c r="CH163" s="566">
        <v>112084.74306130313</v>
      </c>
      <c r="CI163" s="566">
        <v>16295.530053502986</v>
      </c>
      <c r="CJ163" s="566">
        <v>9457.4540869624198</v>
      </c>
      <c r="CK163" s="566">
        <v>286498.88719658367</v>
      </c>
      <c r="CL163" s="566"/>
      <c r="CM163" s="566">
        <v>1233.0274854790503</v>
      </c>
      <c r="CN163" s="566">
        <v>15455.930009545662</v>
      </c>
      <c r="CO163" s="566">
        <v>286.14537920986788</v>
      </c>
      <c r="CP163" s="566">
        <v>22316.445698045794</v>
      </c>
      <c r="CQ163" s="566"/>
      <c r="CR163" s="566">
        <v>96.899701132369941</v>
      </c>
      <c r="CS163" s="566">
        <v>1691.5050167907518</v>
      </c>
      <c r="CT163" s="566">
        <v>419.20814911976288</v>
      </c>
      <c r="CU163" s="566">
        <v>3026.5768968495131</v>
      </c>
      <c r="CV163" s="566"/>
      <c r="CW163" s="566">
        <v>12.811185165131695</v>
      </c>
      <c r="CX163" s="566">
        <v>173.9287812875159</v>
      </c>
      <c r="CY163" s="552"/>
    </row>
    <row r="164" spans="1:103" ht="12.75" customHeight="1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436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437"/>
      <c r="AR164" s="2"/>
      <c r="AS164" s="221"/>
      <c r="AT164" s="221"/>
      <c r="AU164" s="269">
        <f>output!AG35</f>
        <v>5.8742507969251296E-7</v>
      </c>
      <c r="AV164" s="269">
        <f>output!AF35</f>
        <v>1.8134424619398621E-10</v>
      </c>
      <c r="AW164" s="221"/>
      <c r="AX164" s="274">
        <f>output!AF36</f>
        <v>1.8126082102685344E-7</v>
      </c>
      <c r="AY164" s="2"/>
      <c r="AZ164" s="2"/>
      <c r="BA164" s="269">
        <f>output!AG41</f>
        <v>9.5434434382057411E-7</v>
      </c>
      <c r="BB164" s="269">
        <f>output!AF41</f>
        <v>9.5903678563618779E-10</v>
      </c>
      <c r="BC164" s="75"/>
      <c r="BD164" s="274">
        <f>output!AF42</f>
        <v>7.5446115456848087E-8</v>
      </c>
      <c r="BE164" s="2"/>
      <c r="BF164" s="2"/>
      <c r="BG164" s="269">
        <f>output!AG47</f>
        <v>2.1201283507630477E-7</v>
      </c>
      <c r="BH164" s="269">
        <f>output!AF47</f>
        <v>1.8831604756744661E-11</v>
      </c>
      <c r="BI164" s="75"/>
      <c r="BJ164" s="274">
        <f>output!AF48</f>
        <v>1.0333015224998742E-7</v>
      </c>
      <c r="BK164" s="2"/>
      <c r="BL164"/>
      <c r="BM164" s="562"/>
      <c r="BN164" s="591">
        <v>151</v>
      </c>
      <c r="BO164" s="549" t="s">
        <v>1763</v>
      </c>
      <c r="BP164" s="549" t="s">
        <v>2408</v>
      </c>
      <c r="BQ164" s="550" t="s">
        <v>2408</v>
      </c>
      <c r="BR164" s="566">
        <v>150526.6647696312</v>
      </c>
      <c r="BS164" s="566"/>
      <c r="BT164" s="566">
        <v>908008.42341082171</v>
      </c>
      <c r="BU164" s="566">
        <v>33142.457738153651</v>
      </c>
      <c r="BV164" s="566">
        <v>10383956.860015424</v>
      </c>
      <c r="BW164" s="566">
        <v>149263.74178302565</v>
      </c>
      <c r="BX164" s="566">
        <v>8424.3277004925512</v>
      </c>
      <c r="BY164" s="566">
        <v>57701934.629603699</v>
      </c>
      <c r="BZ164" s="566">
        <v>3120.1213705527957</v>
      </c>
      <c r="CA164" s="566">
        <v>100667.16673650396</v>
      </c>
      <c r="CB164" s="566">
        <v>4.1603527414976294E-32</v>
      </c>
      <c r="CC164" s="566">
        <v>49.125645101417838</v>
      </c>
      <c r="CD164" s="566">
        <v>917775.50601861521</v>
      </c>
      <c r="CE164" s="566">
        <v>561.79939117453705</v>
      </c>
      <c r="CF164" s="566">
        <v>206669.35329217376</v>
      </c>
      <c r="CG164" s="566">
        <v>3993.8409110522271</v>
      </c>
      <c r="CH164" s="566">
        <v>29211.82361932315</v>
      </c>
      <c r="CI164" s="566">
        <v>1479.2003374267497</v>
      </c>
      <c r="CJ164" s="566">
        <v>11325.871084926803</v>
      </c>
      <c r="CK164" s="566">
        <v>3522733.4803972645</v>
      </c>
      <c r="CL164" s="566"/>
      <c r="CM164" s="566">
        <v>160253.35683956961</v>
      </c>
      <c r="CN164" s="566">
        <v>1612.7913487317371</v>
      </c>
      <c r="CO164" s="566">
        <v>663.27531701588828</v>
      </c>
      <c r="CP164" s="566">
        <v>723976.31332924811</v>
      </c>
      <c r="CQ164" s="566"/>
      <c r="CR164" s="566">
        <v>32994.794546346275</v>
      </c>
      <c r="CS164" s="566">
        <v>289.51994083748872</v>
      </c>
      <c r="CT164" s="566">
        <v>963.78108414152177</v>
      </c>
      <c r="CU164" s="566">
        <v>1393931.2495451088</v>
      </c>
      <c r="CV164" s="566"/>
      <c r="CW164" s="566">
        <v>63195.929961258262</v>
      </c>
      <c r="CX164" s="566">
        <v>40.834396715779761</v>
      </c>
      <c r="CY164" s="552"/>
    </row>
    <row r="165" spans="1:103" ht="12.75" customHeight="1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436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437"/>
      <c r="AR165" s="2"/>
      <c r="AS165" s="221"/>
      <c r="AT165" s="221"/>
      <c r="AU165" s="221"/>
      <c r="AV165" s="221"/>
      <c r="AW165" s="221"/>
      <c r="AX165" s="221"/>
      <c r="AY165" s="2"/>
      <c r="AZ165" s="2"/>
      <c r="BA165" s="75"/>
      <c r="BB165" s="75"/>
      <c r="BC165" s="75"/>
      <c r="BD165" s="75"/>
      <c r="BE165" s="2"/>
      <c r="BF165" s="2"/>
      <c r="BG165" s="75"/>
      <c r="BH165" s="75"/>
      <c r="BI165" s="75"/>
      <c r="BJ165" s="75"/>
      <c r="BK165" s="2"/>
      <c r="BL165"/>
      <c r="BM165" s="562"/>
      <c r="BN165" s="591">
        <v>152</v>
      </c>
      <c r="BO165" s="549" t="s">
        <v>1955</v>
      </c>
      <c r="BP165" s="549" t="s">
        <v>2408</v>
      </c>
      <c r="BQ165" s="550" t="s">
        <v>2408</v>
      </c>
      <c r="BR165" s="566">
        <v>1.3473503529104962</v>
      </c>
      <c r="BS165" s="566"/>
      <c r="BT165" s="566">
        <v>48553062.195902355</v>
      </c>
      <c r="BU165" s="566">
        <v>2367220.4325999534</v>
      </c>
      <c r="BV165" s="566">
        <v>385701.3841783125</v>
      </c>
      <c r="BW165" s="566">
        <v>5733.4626908967039</v>
      </c>
      <c r="BX165" s="566">
        <v>438336.32494917396</v>
      </c>
      <c r="BY165" s="566">
        <v>9672473.5063346252</v>
      </c>
      <c r="BZ165" s="566">
        <v>162346.78701821258</v>
      </c>
      <c r="CA165" s="566">
        <v>1.0128099396062617E-5</v>
      </c>
      <c r="CB165" s="566">
        <v>1.0872816785141386E-34</v>
      </c>
      <c r="CC165" s="566">
        <v>46.946159793998362</v>
      </c>
      <c r="CD165" s="566">
        <v>157069525.69504946</v>
      </c>
      <c r="CE165" s="566">
        <v>0.37293628857727468</v>
      </c>
      <c r="CF165" s="566">
        <v>19021.301376237217</v>
      </c>
      <c r="CG165" s="566">
        <v>1.7074711217196994</v>
      </c>
      <c r="CH165" s="566">
        <v>14.090521469643718</v>
      </c>
      <c r="CI165" s="566">
        <v>0.63239671174803658</v>
      </c>
      <c r="CJ165" s="566">
        <v>1.6856498693787231E-7</v>
      </c>
      <c r="CK165" s="566">
        <v>3027412913.0109005</v>
      </c>
      <c r="CL165" s="566"/>
      <c r="CM165" s="566">
        <v>74064.520661770846</v>
      </c>
      <c r="CN165" s="566">
        <v>0.10199912332272772</v>
      </c>
      <c r="CO165" s="566">
        <v>2.5493393200247891E-8</v>
      </c>
      <c r="CP165" s="566">
        <v>1944394459.865037</v>
      </c>
      <c r="CQ165" s="566"/>
      <c r="CR165" s="566">
        <v>47657.038917059588</v>
      </c>
      <c r="CS165" s="566">
        <v>3.9130190882381864E-2</v>
      </c>
      <c r="CT165" s="566">
        <v>5.4088742509433173E-7</v>
      </c>
      <c r="CU165" s="566">
        <v>4641639633.7675304</v>
      </c>
      <c r="CV165" s="566"/>
      <c r="CW165" s="566">
        <v>113164.67099173396</v>
      </c>
      <c r="CX165" s="566">
        <v>0.10007120580803812</v>
      </c>
      <c r="CY165" s="552"/>
    </row>
    <row r="166" spans="1:103" ht="12.75" customHeight="1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436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437"/>
      <c r="AR166" s="2"/>
      <c r="AS166" s="221"/>
      <c r="AT166" s="221"/>
      <c r="AU166" s="221"/>
      <c r="AV166" s="221"/>
      <c r="AW166" s="221"/>
      <c r="AX166" s="221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/>
      <c r="BM166" s="562"/>
      <c r="BN166" s="591">
        <v>153</v>
      </c>
      <c r="BO166" s="549" t="s">
        <v>1859</v>
      </c>
      <c r="BP166" s="549" t="s">
        <v>2408</v>
      </c>
      <c r="BQ166" s="550" t="s">
        <v>2408</v>
      </c>
      <c r="BR166" s="566">
        <v>18341.407658390053</v>
      </c>
      <c r="BS166" s="566"/>
      <c r="BT166" s="566">
        <v>57203425.27245535</v>
      </c>
      <c r="BU166" s="566">
        <v>2789485.0524412105</v>
      </c>
      <c r="BV166" s="566">
        <v>861224.29590676085</v>
      </c>
      <c r="BW166" s="566">
        <v>12620.562291865846</v>
      </c>
      <c r="BX166" s="566">
        <v>2382408.3183824066</v>
      </c>
      <c r="BY166" s="566">
        <v>44519090.761618607</v>
      </c>
      <c r="BZ166" s="566">
        <v>882373.45125274325</v>
      </c>
      <c r="CA166" s="566">
        <v>1421.8773685703113</v>
      </c>
      <c r="CB166" s="566">
        <v>1.454167988380782E-30</v>
      </c>
      <c r="CC166" s="566">
        <v>489992.5145337971</v>
      </c>
      <c r="CD166" s="566">
        <v>190557672.77534655</v>
      </c>
      <c r="CE166" s="566">
        <v>7377.0662564178892</v>
      </c>
      <c r="CF166" s="566">
        <v>43107.328668952156</v>
      </c>
      <c r="CG166" s="566">
        <v>95674.074793286825</v>
      </c>
      <c r="CH166" s="566">
        <v>638005.15020935959</v>
      </c>
      <c r="CI166" s="566">
        <v>35434.842516032171</v>
      </c>
      <c r="CJ166" s="566">
        <v>43.160846871408211</v>
      </c>
      <c r="CK166" s="566">
        <v>3671871906.4801331</v>
      </c>
      <c r="CL166" s="566"/>
      <c r="CM166" s="566">
        <v>167804.0123038633</v>
      </c>
      <c r="CN166" s="566">
        <v>10423.792131542965</v>
      </c>
      <c r="CO166" s="566">
        <v>3.5119328128626393</v>
      </c>
      <c r="CP166" s="566">
        <v>2358238392.771626</v>
      </c>
      <c r="CQ166" s="566"/>
      <c r="CR166" s="566">
        <v>108137.82852979536</v>
      </c>
      <c r="CS166" s="566">
        <v>2684.0244225719061</v>
      </c>
      <c r="CT166" s="566">
        <v>87.232230742343418</v>
      </c>
      <c r="CU166" s="566">
        <v>5628082236.093401</v>
      </c>
      <c r="CV166" s="566"/>
      <c r="CW166" s="566">
        <v>255582.63945751364</v>
      </c>
      <c r="CX166" s="566">
        <v>6107.0940527273069</v>
      </c>
      <c r="CY166" s="552"/>
    </row>
    <row r="167" spans="1:103" ht="12.75" customHeight="1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436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437"/>
      <c r="AR167" s="2"/>
      <c r="AS167" s="221"/>
      <c r="AT167" s="221"/>
      <c r="AU167" s="221"/>
      <c r="AV167" s="221"/>
      <c r="AW167" s="221"/>
      <c r="AX167" s="221"/>
      <c r="AY167" s="75"/>
      <c r="AZ167" s="75"/>
      <c r="BA167" s="2"/>
      <c r="BB167" s="75"/>
      <c r="BC167" s="2"/>
      <c r="BD167" s="75"/>
      <c r="BE167" s="75"/>
      <c r="BF167" s="75"/>
      <c r="BG167" s="2"/>
      <c r="BH167" s="75"/>
      <c r="BI167" s="2"/>
      <c r="BJ167" s="75"/>
      <c r="BK167" s="2"/>
      <c r="BL167"/>
      <c r="BM167" s="562"/>
      <c r="BN167" s="591">
        <v>154</v>
      </c>
      <c r="BO167" s="549" t="s">
        <v>1827</v>
      </c>
      <c r="BP167" s="549" t="s">
        <v>2408</v>
      </c>
      <c r="BQ167" s="550" t="s">
        <v>2408</v>
      </c>
      <c r="BR167" s="566">
        <v>31369.558924002366</v>
      </c>
      <c r="BS167" s="566"/>
      <c r="BT167" s="566">
        <v>3830669.1132253371</v>
      </c>
      <c r="BU167" s="566">
        <v>162037.04670109999</v>
      </c>
      <c r="BV167" s="566">
        <v>29891.151419728878</v>
      </c>
      <c r="BW167" s="566">
        <v>385.6198520396436</v>
      </c>
      <c r="BX167" s="566">
        <v>193.26080567881041</v>
      </c>
      <c r="BY167" s="566">
        <v>5485208.3502519252</v>
      </c>
      <c r="BZ167" s="566">
        <v>71.578076177337181</v>
      </c>
      <c r="CA167" s="566">
        <v>2286.9629228101539</v>
      </c>
      <c r="CB167" s="566">
        <v>5.2638612897963046E-32</v>
      </c>
      <c r="CC167" s="566">
        <v>141.77261322507525</v>
      </c>
      <c r="CD167" s="566">
        <v>5845467.4871664625</v>
      </c>
      <c r="CE167" s="566">
        <v>1.1062679975283203</v>
      </c>
      <c r="CF167" s="566">
        <v>695.55955054578806</v>
      </c>
      <c r="CG167" s="566">
        <v>7.1504540107361212</v>
      </c>
      <c r="CH167" s="566">
        <v>54.177808153095171</v>
      </c>
      <c r="CI167" s="566">
        <v>2.6483163002726364</v>
      </c>
      <c r="CJ167" s="566">
        <v>509.48675163321877</v>
      </c>
      <c r="CK167" s="566">
        <v>35930365.722655222</v>
      </c>
      <c r="CL167" s="566"/>
      <c r="CM167" s="566">
        <v>863.70805934300279</v>
      </c>
      <c r="CN167" s="566">
        <v>5.7175641340766736</v>
      </c>
      <c r="CO167" s="566">
        <v>102.61660155063581</v>
      </c>
      <c r="CP167" s="566">
        <v>16727441.953255758</v>
      </c>
      <c r="CQ167" s="566"/>
      <c r="CR167" s="566">
        <v>402.83321819568158</v>
      </c>
      <c r="CS167" s="566">
        <v>3.6879009525540134</v>
      </c>
      <c r="CT167" s="566">
        <v>339.40433621774486</v>
      </c>
      <c r="CU167" s="566">
        <v>19256752.254134052</v>
      </c>
      <c r="CV167" s="566"/>
      <c r="CW167" s="566">
        <v>461.33325380975117</v>
      </c>
      <c r="CX167" s="566">
        <v>1.1077578046113512</v>
      </c>
      <c r="CY167" s="552"/>
    </row>
    <row r="168" spans="1:103" ht="12.75" customHeight="1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436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437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/>
      <c r="BM168" s="562"/>
      <c r="BN168" s="591">
        <v>155</v>
      </c>
      <c r="BO168" s="549" t="s">
        <v>1810</v>
      </c>
      <c r="BP168" s="549" t="s">
        <v>2408</v>
      </c>
      <c r="BQ168" s="550" t="s">
        <v>2408</v>
      </c>
      <c r="BR168" s="566">
        <v>690.72680515157845</v>
      </c>
      <c r="BS168" s="566"/>
      <c r="BT168" s="566">
        <v>11441001.387310617</v>
      </c>
      <c r="BU168" s="566">
        <v>486057.05564742174</v>
      </c>
      <c r="BV168" s="566">
        <v>121608.38404411341</v>
      </c>
      <c r="BW168" s="566">
        <v>1566.2350797885342</v>
      </c>
      <c r="BX168" s="566">
        <v>1075010.3907875675</v>
      </c>
      <c r="BY168" s="566">
        <v>21651631.191517387</v>
      </c>
      <c r="BZ168" s="566">
        <v>398151.99658798799</v>
      </c>
      <c r="CA168" s="566">
        <v>2.5550744834973171</v>
      </c>
      <c r="CB168" s="566">
        <v>5.5454736071749751E-32</v>
      </c>
      <c r="CC168" s="566">
        <v>5237.006972669823</v>
      </c>
      <c r="CD168" s="566">
        <v>2736204.2642541863</v>
      </c>
      <c r="CE168" s="566">
        <v>55.665053574810941</v>
      </c>
      <c r="CF168" s="566">
        <v>440.84732999437676</v>
      </c>
      <c r="CG168" s="566">
        <v>2060.6662358708136</v>
      </c>
      <c r="CH168" s="566">
        <v>15486.645157934587</v>
      </c>
      <c r="CI168" s="566">
        <v>763.20971698919004</v>
      </c>
      <c r="CJ168" s="566">
        <v>1.392215005086311E-3</v>
      </c>
      <c r="CK168" s="566">
        <v>391143.58370528306</v>
      </c>
      <c r="CL168" s="566"/>
      <c r="CM168" s="566">
        <v>12.603392722856626</v>
      </c>
      <c r="CN168" s="566">
        <v>4.0300836064920373</v>
      </c>
      <c r="CO168" s="566">
        <v>1.8672223124217629E-7</v>
      </c>
      <c r="CP168" s="566">
        <v>10430.271592794597</v>
      </c>
      <c r="CQ168" s="566"/>
      <c r="CR168" s="566">
        <v>0.33957839568461889</v>
      </c>
      <c r="CS168" s="566">
        <v>1.6415399465146544E-3</v>
      </c>
      <c r="CT168" s="566">
        <v>4.403104385225791E-7</v>
      </c>
      <c r="CU168" s="566">
        <v>1794.4740939708602</v>
      </c>
      <c r="CV168" s="566"/>
      <c r="CW168" s="566">
        <v>5.671206793519764E-2</v>
      </c>
      <c r="CX168" s="566">
        <v>3.7645754758404296E-4</v>
      </c>
      <c r="CY168" s="552"/>
    </row>
    <row r="169" spans="1:103" ht="12.75" customHeight="1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436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437"/>
      <c r="AR169" s="2"/>
      <c r="AS169" s="75"/>
      <c r="AT169" s="2"/>
      <c r="AU169" s="2"/>
      <c r="AV169" s="2"/>
      <c r="AW169" s="2"/>
      <c r="AX169" s="2"/>
      <c r="AY169" s="73"/>
      <c r="AZ169" s="2"/>
      <c r="BA169" s="2"/>
      <c r="BB169" s="2"/>
      <c r="BC169" s="204"/>
      <c r="BD169" s="2"/>
      <c r="BE169" s="2"/>
      <c r="BF169" s="2"/>
      <c r="BG169" s="2"/>
      <c r="BH169" s="2"/>
      <c r="BI169" s="2"/>
      <c r="BJ169" s="2"/>
      <c r="BK169" s="2"/>
      <c r="BL169"/>
      <c r="BM169" s="562"/>
      <c r="BN169" s="591">
        <v>156</v>
      </c>
      <c r="BO169" s="549" t="s">
        <v>1845</v>
      </c>
      <c r="BP169" s="549" t="s">
        <v>2408</v>
      </c>
      <c r="BQ169" s="550" t="s">
        <v>2408</v>
      </c>
      <c r="BR169" s="566">
        <v>651978.3730591801</v>
      </c>
      <c r="BS169" s="566"/>
      <c r="BT169" s="566">
        <v>3183090.8235985134</v>
      </c>
      <c r="BU169" s="566">
        <v>109838.17200064202</v>
      </c>
      <c r="BV169" s="566">
        <v>24972.753404063416</v>
      </c>
      <c r="BW169" s="566">
        <v>262.78926834285886</v>
      </c>
      <c r="BX169" s="566">
        <v>1534.8817868872861</v>
      </c>
      <c r="BY169" s="566">
        <v>11478619.541764049</v>
      </c>
      <c r="BZ169" s="566">
        <v>568.47473588418006</v>
      </c>
      <c r="CA169" s="566">
        <v>1102160.2453561269</v>
      </c>
      <c r="CB169" s="566">
        <v>1.6216302362285392E-29</v>
      </c>
      <c r="CC169" s="566">
        <v>19853.147007992022</v>
      </c>
      <c r="CD169" s="566">
        <v>4028437.6553983348</v>
      </c>
      <c r="CE169" s="566">
        <v>155.75670692447028</v>
      </c>
      <c r="CF169" s="566">
        <v>481.90449856574554</v>
      </c>
      <c r="CG169" s="566">
        <v>1258.0408186395041</v>
      </c>
      <c r="CH169" s="566">
        <v>10543.982555783112</v>
      </c>
      <c r="CI169" s="566">
        <v>465.94104394055688</v>
      </c>
      <c r="CJ169" s="566">
        <v>301137.3932682079</v>
      </c>
      <c r="CK169" s="566">
        <v>1727263.2153998599</v>
      </c>
      <c r="CL169" s="566"/>
      <c r="CM169" s="566">
        <v>41.323246571604322</v>
      </c>
      <c r="CN169" s="566">
        <v>1233.7249069386605</v>
      </c>
      <c r="CO169" s="566">
        <v>21570.514275752659</v>
      </c>
      <c r="CP169" s="566">
        <v>904403.5120893342</v>
      </c>
      <c r="CQ169" s="566"/>
      <c r="CR169" s="566">
        <v>21.848600406379006</v>
      </c>
      <c r="CS169" s="566">
        <v>281.73357345908829</v>
      </c>
      <c r="CT169" s="566">
        <v>42767.046430625385</v>
      </c>
      <c r="CU169" s="566">
        <v>65225.560190926772</v>
      </c>
      <c r="CV169" s="566"/>
      <c r="CW169" s="566">
        <v>1.5322798030371401</v>
      </c>
      <c r="CX169" s="566">
        <v>51.425139604625706</v>
      </c>
      <c r="CY169" s="552"/>
    </row>
    <row r="170" spans="1:103" ht="12.75" customHeight="1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436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437"/>
      <c r="AR170" s="2"/>
      <c r="AS170" s="75"/>
      <c r="AT170" s="55" t="s">
        <v>2168</v>
      </c>
      <c r="AU170" s="75"/>
      <c r="AV170" s="75"/>
      <c r="AW170" s="75"/>
      <c r="AX170" s="5" t="s">
        <v>774</v>
      </c>
      <c r="AY170" s="190"/>
      <c r="AZ170" s="52"/>
      <c r="BA170" s="52"/>
      <c r="BB170" s="52"/>
      <c r="BC170" s="52"/>
      <c r="BD170" s="2"/>
      <c r="BE170" s="2"/>
      <c r="BF170" s="2"/>
      <c r="BG170" s="2"/>
      <c r="BH170" s="2"/>
      <c r="BI170" s="2"/>
      <c r="BJ170" s="2"/>
      <c r="BK170" s="2"/>
      <c r="BL170"/>
      <c r="BM170" s="562"/>
      <c r="BN170" s="591">
        <v>157</v>
      </c>
      <c r="BO170" s="549" t="s">
        <v>1869</v>
      </c>
      <c r="BP170" s="549" t="s">
        <v>2408</v>
      </c>
      <c r="BQ170" s="550" t="s">
        <v>2408</v>
      </c>
      <c r="BR170" s="566">
        <v>79964.863585037165</v>
      </c>
      <c r="BS170" s="566"/>
      <c r="BT170" s="566">
        <v>1555706.9136660884</v>
      </c>
      <c r="BU170" s="566">
        <v>68545.181466217007</v>
      </c>
      <c r="BV170" s="566">
        <v>343734302.70628005</v>
      </c>
      <c r="BW170" s="566">
        <v>10967718.864566028</v>
      </c>
      <c r="BX170" s="566">
        <v>3365368.911886475</v>
      </c>
      <c r="BY170" s="566">
        <v>43478303.702234738</v>
      </c>
      <c r="BZ170" s="566">
        <v>1246432.9303283235</v>
      </c>
      <c r="CA170" s="566">
        <v>93239.407597899088</v>
      </c>
      <c r="CB170" s="566">
        <v>4.2021676811069541E-30</v>
      </c>
      <c r="CC170" s="566">
        <v>10210.909829698587</v>
      </c>
      <c r="CD170" s="566">
        <v>15670424.058626525</v>
      </c>
      <c r="CE170" s="566">
        <v>2256106.172361901</v>
      </c>
      <c r="CF170" s="566">
        <v>125368991.58130775</v>
      </c>
      <c r="CG170" s="566">
        <v>2033471.9378263156</v>
      </c>
      <c r="CH170" s="566">
        <v>4533256.192321945</v>
      </c>
      <c r="CI170" s="566">
        <v>753137.75475048693</v>
      </c>
      <c r="CJ170" s="566">
        <v>26184.428670601406</v>
      </c>
      <c r="CK170" s="566">
        <v>320273691.90944743</v>
      </c>
      <c r="CL170" s="566"/>
      <c r="CM170" s="566">
        <v>517518736.45515788</v>
      </c>
      <c r="CN170" s="566">
        <v>2049677.0366637206</v>
      </c>
      <c r="CO170" s="566">
        <v>6172.1031098147723</v>
      </c>
      <c r="CP170" s="566">
        <v>206002359.82627347</v>
      </c>
      <c r="CQ170" s="566"/>
      <c r="CR170" s="566">
        <v>333646272.71288455</v>
      </c>
      <c r="CS170" s="566">
        <v>889697.25188484648</v>
      </c>
      <c r="CT170" s="566">
        <v>16338.249901648322</v>
      </c>
      <c r="CU170" s="566">
        <v>492718943.52173495</v>
      </c>
      <c r="CV170" s="566"/>
      <c r="CW170" s="566">
        <v>792738888.27070725</v>
      </c>
      <c r="CX170" s="566">
        <v>478140.5441378234</v>
      </c>
      <c r="CY170" s="552"/>
    </row>
    <row r="171" spans="1:103" ht="12.75" customHeight="1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436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437"/>
      <c r="AR171" s="2"/>
      <c r="AS171" s="75"/>
      <c r="AT171" s="75"/>
      <c r="AU171" s="75"/>
      <c r="AV171" s="75"/>
      <c r="AW171" s="75"/>
      <c r="AX171" s="2"/>
      <c r="AY171" s="36"/>
      <c r="AZ171" s="283" t="s">
        <v>2174</v>
      </c>
      <c r="BA171" s="283" t="s">
        <v>2175</v>
      </c>
      <c r="BB171" s="283" t="s">
        <v>2176</v>
      </c>
      <c r="BC171" s="4"/>
      <c r="BD171" s="2"/>
      <c r="BE171" s="2"/>
      <c r="BF171" s="2"/>
      <c r="BG171" s="2"/>
      <c r="BH171" s="2"/>
      <c r="BI171" s="2"/>
      <c r="BJ171" s="2"/>
      <c r="BK171" s="2"/>
      <c r="BL171"/>
      <c r="BM171" s="562"/>
      <c r="BN171" s="591">
        <v>158</v>
      </c>
      <c r="BO171" s="549" t="s">
        <v>1806</v>
      </c>
      <c r="BP171" s="549" t="s">
        <v>2408</v>
      </c>
      <c r="BQ171" s="550" t="s">
        <v>2408</v>
      </c>
      <c r="BR171" s="566">
        <v>495179.04269928305</v>
      </c>
      <c r="BS171" s="566"/>
      <c r="BT171" s="566">
        <v>2215870.4671125938</v>
      </c>
      <c r="BU171" s="566">
        <v>81532.042447181462</v>
      </c>
      <c r="BV171" s="566">
        <v>81730.745580160466</v>
      </c>
      <c r="BW171" s="566">
        <v>873.91675901634596</v>
      </c>
      <c r="BX171" s="566">
        <v>7551.3370710416875</v>
      </c>
      <c r="BY171" s="566">
        <v>121972396.28659692</v>
      </c>
      <c r="BZ171" s="566">
        <v>2796.7915077932171</v>
      </c>
      <c r="CA171" s="566">
        <v>926372.561569007</v>
      </c>
      <c r="CB171" s="566">
        <v>6.3571397082425917E-30</v>
      </c>
      <c r="CC171" s="566">
        <v>7686.5232184384613</v>
      </c>
      <c r="CD171" s="566">
        <v>6360831.5308763171</v>
      </c>
      <c r="CE171" s="566">
        <v>283.51173179396341</v>
      </c>
      <c r="CF171" s="566">
        <v>3408.9893428792552</v>
      </c>
      <c r="CG171" s="566">
        <v>4784.0269243761186</v>
      </c>
      <c r="CH171" s="566">
        <v>41401.674230536046</v>
      </c>
      <c r="CI171" s="566">
        <v>1771.8618238430067</v>
      </c>
      <c r="CJ171" s="566">
        <v>289112.82213497942</v>
      </c>
      <c r="CK171" s="566">
        <v>10741547.145748448</v>
      </c>
      <c r="CL171" s="566"/>
      <c r="CM171" s="566">
        <v>1161.8045000569198</v>
      </c>
      <c r="CN171" s="566">
        <v>5358.9405659939075</v>
      </c>
      <c r="CO171" s="566">
        <v>27274.087605666249</v>
      </c>
      <c r="CP171" s="566">
        <v>4890580.8540383596</v>
      </c>
      <c r="CQ171" s="566"/>
      <c r="CR171" s="566">
        <v>529.78966035769804</v>
      </c>
      <c r="CS171" s="566">
        <v>1625.2056991634076</v>
      </c>
      <c r="CT171" s="566">
        <v>45844.378639437098</v>
      </c>
      <c r="CU171" s="566">
        <v>682643.58366707398</v>
      </c>
      <c r="CV171" s="566"/>
      <c r="CW171" s="566">
        <v>73.618511855857918</v>
      </c>
      <c r="CX171" s="566">
        <v>249.07511982374538</v>
      </c>
      <c r="CY171" s="552"/>
    </row>
    <row r="172" spans="1:103" ht="12.75" customHeight="1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436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437"/>
      <c r="AR172" s="2"/>
      <c r="AS172" s="75"/>
      <c r="AT172" s="75"/>
      <c r="AU172" s="75" t="s">
        <v>510</v>
      </c>
      <c r="AV172" s="75"/>
      <c r="AW172" s="75"/>
      <c r="AX172" s="284" t="s">
        <v>206</v>
      </c>
      <c r="AY172" s="263"/>
      <c r="AZ172" s="282">
        <f>output!G11</f>
        <v>1035312.0400349151</v>
      </c>
      <c r="BA172" s="128">
        <f>output!I11</f>
        <v>409154.62636402092</v>
      </c>
      <c r="BB172" s="128">
        <f>output!K11</f>
        <v>1034422.902044191</v>
      </c>
      <c r="BC172" s="2" t="s">
        <v>1493</v>
      </c>
      <c r="BD172" s="2"/>
      <c r="BE172" s="2"/>
      <c r="BF172" s="2"/>
      <c r="BG172" s="2"/>
      <c r="BH172" s="2"/>
      <c r="BI172" s="2"/>
      <c r="BJ172" s="2"/>
      <c r="BK172" s="2"/>
      <c r="BL172"/>
      <c r="BM172" s="562"/>
      <c r="BN172" s="591">
        <v>159</v>
      </c>
      <c r="BO172" s="549" t="s">
        <v>1794</v>
      </c>
      <c r="BP172" s="549" t="s">
        <v>2408</v>
      </c>
      <c r="BQ172" s="550" t="s">
        <v>2408</v>
      </c>
      <c r="BR172" s="566">
        <v>123138.81584759829</v>
      </c>
      <c r="BS172" s="566"/>
      <c r="BT172" s="566">
        <v>12081802.704312831</v>
      </c>
      <c r="BU172" s="566">
        <v>506506.61429697776</v>
      </c>
      <c r="BV172" s="566">
        <v>103576.78076316541</v>
      </c>
      <c r="BW172" s="566">
        <v>1322.1124925987319</v>
      </c>
      <c r="BX172" s="566">
        <v>27456.76698443541</v>
      </c>
      <c r="BY172" s="566">
        <v>5811377.6096028816</v>
      </c>
      <c r="BZ172" s="566">
        <v>10169.172957198301</v>
      </c>
      <c r="CA172" s="566">
        <v>38340.659147686121</v>
      </c>
      <c r="CB172" s="566">
        <v>1.9563439833265252E-30</v>
      </c>
      <c r="CC172" s="566">
        <v>25557.098692283071</v>
      </c>
      <c r="CD172" s="566">
        <v>3285435.2199419788</v>
      </c>
      <c r="CE172" s="566">
        <v>219.09992018395096</v>
      </c>
      <c r="CF172" s="566">
        <v>428.79153255857818</v>
      </c>
      <c r="CG172" s="566">
        <v>4624.1681334232699</v>
      </c>
      <c r="CH172" s="566">
        <v>24241.469983319999</v>
      </c>
      <c r="CI172" s="566">
        <v>1712.654864230841</v>
      </c>
      <c r="CJ172" s="566">
        <v>1780.8722190871463</v>
      </c>
      <c r="CK172" s="566">
        <v>494733.1305165661</v>
      </c>
      <c r="CL172" s="566"/>
      <c r="CM172" s="566">
        <v>12.913258910591891</v>
      </c>
      <c r="CN172" s="566">
        <v>770.92202958652513</v>
      </c>
      <c r="CO172" s="566">
        <v>25.9153904157101</v>
      </c>
      <c r="CP172" s="566">
        <v>15302.465779378996</v>
      </c>
      <c r="CQ172" s="566"/>
      <c r="CR172" s="566">
        <v>0.40338743102089331</v>
      </c>
      <c r="CS172" s="566">
        <v>38.118582876749443</v>
      </c>
      <c r="CT172" s="566">
        <v>35.772720430182616</v>
      </c>
      <c r="CU172" s="566">
        <v>2545.7371277114235</v>
      </c>
      <c r="CV172" s="566"/>
      <c r="CW172" s="566">
        <v>6.522761703205536E-2</v>
      </c>
      <c r="CX172" s="566">
        <v>4.3012137781089388</v>
      </c>
      <c r="CY172" s="552"/>
    </row>
    <row r="173" spans="1:103" ht="12.75" customHeight="1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436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437"/>
      <c r="AR173" s="2"/>
      <c r="AS173" s="75"/>
      <c r="AT173" s="75"/>
      <c r="AU173" s="75"/>
      <c r="AV173" s="75"/>
      <c r="AW173" s="75"/>
      <c r="AX173" s="32" t="s">
        <v>2067</v>
      </c>
      <c r="AY173" s="190"/>
      <c r="AZ173" s="282">
        <f>output!G27</f>
        <v>88392.516602573101</v>
      </c>
      <c r="BA173" s="128">
        <f>output!I27</f>
        <v>192832.98568913969</v>
      </c>
      <c r="BB173" s="128">
        <f>output!K27</f>
        <v>44357.614839689646</v>
      </c>
      <c r="BC173" s="2" t="s">
        <v>1489</v>
      </c>
      <c r="BD173" s="2"/>
      <c r="BE173" s="2"/>
      <c r="BF173" s="2"/>
      <c r="BG173" s="2"/>
      <c r="BH173" s="2"/>
      <c r="BI173" s="2"/>
      <c r="BJ173" s="2"/>
      <c r="BK173" s="2"/>
      <c r="BL173"/>
      <c r="BM173" s="562"/>
      <c r="BN173" s="591">
        <v>160</v>
      </c>
      <c r="BO173" s="549" t="s">
        <v>1844</v>
      </c>
      <c r="BP173" s="549" t="s">
        <v>2408</v>
      </c>
      <c r="BQ173" s="550" t="s">
        <v>2408</v>
      </c>
      <c r="BR173" s="566">
        <v>537141.14106117131</v>
      </c>
      <c r="BS173" s="566"/>
      <c r="BT173" s="566">
        <v>1991147.5979198832</v>
      </c>
      <c r="BU173" s="566">
        <v>67101.543302689781</v>
      </c>
      <c r="BV173" s="566">
        <v>15643.385869832329</v>
      </c>
      <c r="BW173" s="566">
        <v>160.76307232777648</v>
      </c>
      <c r="BX173" s="566">
        <v>1.3405294186144963</v>
      </c>
      <c r="BY173" s="566">
        <v>728056.71465407126</v>
      </c>
      <c r="BZ173" s="566">
        <v>0.49649237726462814</v>
      </c>
      <c r="CA173" s="566">
        <v>487195.77179181739</v>
      </c>
      <c r="CB173" s="566">
        <v>8.0041477098060604E-33</v>
      </c>
      <c r="CC173" s="566">
        <v>6.9123063242065585</v>
      </c>
      <c r="CD173" s="566">
        <v>1535474.7330968857</v>
      </c>
      <c r="CE173" s="566">
        <v>5.4306308177760915E-2</v>
      </c>
      <c r="CF173" s="566">
        <v>183.93588539448169</v>
      </c>
      <c r="CG173" s="566">
        <v>0.16595307040940177</v>
      </c>
      <c r="CH173" s="566">
        <v>0.4036509720819636</v>
      </c>
      <c r="CI173" s="566">
        <v>6.1464100151630258E-2</v>
      </c>
      <c r="CJ173" s="566">
        <v>70914.104165699522</v>
      </c>
      <c r="CK173" s="566">
        <v>4828667.7015314149</v>
      </c>
      <c r="CL173" s="566"/>
      <c r="CM173" s="566">
        <v>116.85340627919803</v>
      </c>
      <c r="CN173" s="566">
        <v>8.6699792442275228E-2</v>
      </c>
      <c r="CO173" s="566">
        <v>3925.3172942708852</v>
      </c>
      <c r="CP173" s="566">
        <v>774296.96410691249</v>
      </c>
      <c r="CQ173" s="566"/>
      <c r="CR173" s="566">
        <v>18.772288611224276</v>
      </c>
      <c r="CS173" s="566">
        <v>1.7132655180907248E-2</v>
      </c>
      <c r="CT173" s="566">
        <v>5492.3476110758211</v>
      </c>
      <c r="CU173" s="566">
        <v>1526023.250329128</v>
      </c>
      <c r="CV173" s="566"/>
      <c r="CW173" s="566">
        <v>36.803737542203081</v>
      </c>
      <c r="CX173" s="566">
        <v>2.0677625667284293E-3</v>
      </c>
      <c r="CY173" s="552"/>
    </row>
    <row r="174" spans="1:103" ht="12.75" customHeight="1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436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437"/>
      <c r="AR174" s="2"/>
      <c r="AS174" s="75"/>
      <c r="AT174" s="75"/>
      <c r="AU174" s="75" t="s">
        <v>2155</v>
      </c>
      <c r="AV174" s="75"/>
      <c r="AW174" s="75"/>
      <c r="AX174" s="32" t="s">
        <v>2068</v>
      </c>
      <c r="AY174" s="2"/>
      <c r="AZ174" s="282">
        <f>output!G31</f>
        <v>263748.96828078903</v>
      </c>
      <c r="BA174" s="128">
        <f>output!I31</f>
        <v>1740006.1681959245</v>
      </c>
      <c r="BB174" s="128">
        <f>output!K31</f>
        <v>47058.208556335914</v>
      </c>
      <c r="BC174" s="29" t="s">
        <v>1489</v>
      </c>
      <c r="BD174" s="2"/>
      <c r="BE174" s="2"/>
      <c r="BF174" s="2"/>
      <c r="BG174" s="2"/>
      <c r="BH174" s="2"/>
      <c r="BI174" s="2"/>
      <c r="BJ174" s="2"/>
      <c r="BK174" s="2"/>
      <c r="BL174"/>
      <c r="BM174" s="562"/>
      <c r="BN174" s="591">
        <v>161</v>
      </c>
      <c r="BO174" s="549" t="s">
        <v>1764</v>
      </c>
      <c r="BP174" s="549" t="s">
        <v>2408</v>
      </c>
      <c r="BQ174" s="550" t="s">
        <v>2408</v>
      </c>
      <c r="BR174" s="566">
        <v>27827.041643436856</v>
      </c>
      <c r="BS174" s="566"/>
      <c r="BT174" s="566">
        <v>667088.54026317259</v>
      </c>
      <c r="BU174" s="566">
        <v>26537.780560359544</v>
      </c>
      <c r="BV174" s="566">
        <v>212759123.1438162</v>
      </c>
      <c r="BW174" s="566">
        <v>7446994.65878898</v>
      </c>
      <c r="BX174" s="566">
        <v>19109.221618417698</v>
      </c>
      <c r="BY174" s="566">
        <v>2263011.2573853391</v>
      </c>
      <c r="BZ174" s="566">
        <v>7077.489488302851</v>
      </c>
      <c r="CA174" s="566">
        <v>13130.164778480126</v>
      </c>
      <c r="CB174" s="566">
        <v>5.9116994453791519E-34</v>
      </c>
      <c r="CC174" s="566">
        <v>1.1660747550388222</v>
      </c>
      <c r="CD174" s="566">
        <v>805124.01679968927</v>
      </c>
      <c r="CE174" s="566">
        <v>371.9042187478218</v>
      </c>
      <c r="CF174" s="566">
        <v>11296638.464420218</v>
      </c>
      <c r="CG174" s="566">
        <v>4091.2910441604863</v>
      </c>
      <c r="CH174" s="566">
        <v>10246.75814352825</v>
      </c>
      <c r="CI174" s="566">
        <v>1515.2929793186981</v>
      </c>
      <c r="CJ174" s="566">
        <v>950.18431918140948</v>
      </c>
      <c r="CK174" s="566">
        <v>1459235.0648570524</v>
      </c>
      <c r="CL174" s="566"/>
      <c r="CM174" s="566">
        <v>4132041.4772084011</v>
      </c>
      <c r="CN174" s="566">
        <v>1062.678057548058</v>
      </c>
      <c r="CO174" s="566">
        <v>28.131546932184175</v>
      </c>
      <c r="CP174" s="566">
        <v>370512.73459101154</v>
      </c>
      <c r="CQ174" s="566"/>
      <c r="CR174" s="566">
        <v>1052254.1824075137</v>
      </c>
      <c r="CS174" s="566">
        <v>110.31090177783786</v>
      </c>
      <c r="CT174" s="566">
        <v>31.514849176147752</v>
      </c>
      <c r="CU174" s="566">
        <v>104131.40108810413</v>
      </c>
      <c r="CV174" s="566"/>
      <c r="CW174" s="566">
        <v>293254.67382578173</v>
      </c>
      <c r="CX174" s="566">
        <v>9.0151076718609051</v>
      </c>
      <c r="CY174" s="552"/>
    </row>
    <row r="175" spans="1:103" ht="12.75" customHeight="1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436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437"/>
      <c r="AR175" s="2"/>
      <c r="AS175" s="75"/>
      <c r="AT175" s="75"/>
      <c r="AU175" s="75"/>
      <c r="AV175" s="75"/>
      <c r="AW175" s="75"/>
      <c r="AX175" s="32" t="s">
        <v>1475</v>
      </c>
      <c r="AY175" s="2"/>
      <c r="AZ175" s="282">
        <f>output!G35</f>
        <v>60.773538245557091</v>
      </c>
      <c r="BA175" s="128">
        <f>output!I35</f>
        <v>453.66276107734717</v>
      </c>
      <c r="BB175" s="128">
        <f>output!K35</f>
        <v>8.9081023141304509</v>
      </c>
      <c r="BC175" s="2" t="s">
        <v>1489</v>
      </c>
      <c r="BD175" s="2"/>
      <c r="BE175" s="2"/>
      <c r="BF175" s="2"/>
      <c r="BG175" s="2"/>
      <c r="BH175" s="2"/>
      <c r="BI175" s="2"/>
      <c r="BJ175" s="2"/>
      <c r="BK175" s="2"/>
      <c r="BL175"/>
      <c r="BM175" s="562"/>
      <c r="BN175" s="591">
        <v>162</v>
      </c>
      <c r="BO175" s="549" t="s">
        <v>1798</v>
      </c>
      <c r="BP175" s="549" t="s">
        <v>2408</v>
      </c>
      <c r="BQ175" s="550" t="s">
        <v>2408</v>
      </c>
      <c r="BR175" s="566">
        <v>49326.503111662954</v>
      </c>
      <c r="BS175" s="566"/>
      <c r="BT175" s="566">
        <v>2465639.0421361183</v>
      </c>
      <c r="BU175" s="566">
        <v>89029.473873720897</v>
      </c>
      <c r="BV175" s="566">
        <v>19630.515187231264</v>
      </c>
      <c r="BW175" s="566">
        <v>216.10408288488918</v>
      </c>
      <c r="BX175" s="566">
        <v>43.643377779628388</v>
      </c>
      <c r="BY175" s="566">
        <v>9464272.0602523237</v>
      </c>
      <c r="BZ175" s="566">
        <v>16.164213992454954</v>
      </c>
      <c r="CA175" s="566">
        <v>3797.9847748121701</v>
      </c>
      <c r="CB175" s="566">
        <v>2.2947187506858622E-32</v>
      </c>
      <c r="CC175" s="566">
        <v>26.600428007044886</v>
      </c>
      <c r="CD175" s="566">
        <v>2311047.0786063829</v>
      </c>
      <c r="CE175" s="566">
        <v>0.21178286726298479</v>
      </c>
      <c r="CF175" s="566">
        <v>280.48391599753802</v>
      </c>
      <c r="CG175" s="566">
        <v>1.6387542461472562</v>
      </c>
      <c r="CH175" s="566">
        <v>13.289007919410118</v>
      </c>
      <c r="CI175" s="566">
        <v>0.60694601709157603</v>
      </c>
      <c r="CJ175" s="566">
        <v>344.04553634886923</v>
      </c>
      <c r="CK175" s="566">
        <v>8571468.7356506567</v>
      </c>
      <c r="CL175" s="566"/>
      <c r="CM175" s="566">
        <v>210.15739561411169</v>
      </c>
      <c r="CN175" s="566">
        <v>0.53281960177429033</v>
      </c>
      <c r="CO175" s="566">
        <v>63.380637789972205</v>
      </c>
      <c r="CP175" s="566">
        <v>2054940.0767055927</v>
      </c>
      <c r="CQ175" s="566"/>
      <c r="CR175" s="566">
        <v>50.477105228745074</v>
      </c>
      <c r="CS175" s="566">
        <v>0.334059724588114</v>
      </c>
      <c r="CT175" s="566">
        <v>108.74666654058848</v>
      </c>
      <c r="CU175" s="566">
        <v>3090715.5620735963</v>
      </c>
      <c r="CV175" s="566"/>
      <c r="CW175" s="566">
        <v>75.517247762366793</v>
      </c>
      <c r="CX175" s="566">
        <v>4.8567851124068216E-2</v>
      </c>
      <c r="CY175" s="552"/>
    </row>
    <row r="176" spans="1:103" ht="12.75" customHeight="1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436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437"/>
      <c r="AR176" s="2"/>
      <c r="AS176" s="75"/>
      <c r="AT176" s="75"/>
      <c r="AU176" s="75" t="s">
        <v>2156</v>
      </c>
      <c r="AV176" s="75"/>
      <c r="AW176" s="75"/>
      <c r="AX176" s="260" t="s">
        <v>1477</v>
      </c>
      <c r="AY176" s="2"/>
      <c r="AZ176" s="282">
        <f>output!G47</f>
        <v>4445.1692768340517</v>
      </c>
      <c r="BA176" s="128">
        <f>output!I47</f>
        <v>5177.7750297325138</v>
      </c>
      <c r="BB176" s="128">
        <f>output!K47</f>
        <v>1365.4071447745646</v>
      </c>
      <c r="BC176" s="2" t="s">
        <v>1495</v>
      </c>
      <c r="BD176" s="2"/>
      <c r="BE176" s="2"/>
      <c r="BF176" s="2"/>
      <c r="BG176" s="2"/>
      <c r="BH176" s="2"/>
      <c r="BI176" s="2"/>
      <c r="BJ176" s="2"/>
      <c r="BK176" s="2"/>
      <c r="BL176"/>
      <c r="BM176" s="562"/>
      <c r="BN176" s="591">
        <v>163</v>
      </c>
      <c r="BO176" s="549" t="s">
        <v>1770</v>
      </c>
      <c r="BP176" s="549" t="s">
        <v>2408</v>
      </c>
      <c r="BQ176" s="550" t="s">
        <v>2408</v>
      </c>
      <c r="BR176" s="566">
        <v>337898.13072547654</v>
      </c>
      <c r="BS176" s="566"/>
      <c r="BT176" s="566">
        <v>2188028.4280446521</v>
      </c>
      <c r="BU176" s="566">
        <v>65358.508645217502</v>
      </c>
      <c r="BV176" s="566">
        <v>18142.901382138552</v>
      </c>
      <c r="BW176" s="566">
        <v>165.10937468593647</v>
      </c>
      <c r="BX176" s="566">
        <v>0.60657320812493354</v>
      </c>
      <c r="BY176" s="566">
        <v>10377874.809536787</v>
      </c>
      <c r="BZ176" s="566">
        <v>0.2246567437499753</v>
      </c>
      <c r="CA176" s="566">
        <v>115007.38275270235</v>
      </c>
      <c r="CB176" s="566">
        <v>1.6294556175855717E-36</v>
      </c>
      <c r="CC176" s="566">
        <v>1.2126676513592397E-3</v>
      </c>
      <c r="CD176" s="566">
        <v>323311.04936488823</v>
      </c>
      <c r="CE176" s="566">
        <v>1.005531250230688E-5</v>
      </c>
      <c r="CF176" s="566">
        <v>40.837594290484738</v>
      </c>
      <c r="CG176" s="566">
        <v>6.4257264390721519E-2</v>
      </c>
      <c r="CH176" s="566">
        <v>0.20388631954022157</v>
      </c>
      <c r="CI176" s="566">
        <v>2.3798986811378337E-2</v>
      </c>
      <c r="CJ176" s="566">
        <v>5845.4346833044383</v>
      </c>
      <c r="CK176" s="566">
        <v>44881.087389534929</v>
      </c>
      <c r="CL176" s="566"/>
      <c r="CM176" s="566">
        <v>1.1337428142851751</v>
      </c>
      <c r="CN176" s="566">
        <v>1.1722411960437691E-2</v>
      </c>
      <c r="CO176" s="566">
        <v>98.796674446023417</v>
      </c>
      <c r="CP176" s="566">
        <v>1055.7728451345354</v>
      </c>
      <c r="CQ176" s="566"/>
      <c r="CR176" s="566">
        <v>2.6933359269144627E-2</v>
      </c>
      <c r="CS176" s="566">
        <v>1.7540561553893065E-4</v>
      </c>
      <c r="CT176" s="566">
        <v>130.67405888624603</v>
      </c>
      <c r="CU176" s="566">
        <v>203.40402169999123</v>
      </c>
      <c r="CV176" s="566"/>
      <c r="CW176" s="566">
        <v>5.0444567041728547E-3</v>
      </c>
      <c r="CX176" s="566">
        <v>1.4657025720701824E-4</v>
      </c>
      <c r="CY176" s="552"/>
    </row>
    <row r="177" spans="1:103" ht="12.75" customHeight="1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436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437"/>
      <c r="AR177" s="2"/>
      <c r="AS177" s="75"/>
      <c r="AT177" s="75"/>
      <c r="AU177" s="75"/>
      <c r="AV177" s="75"/>
      <c r="AW177" s="75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/>
      <c r="BM177" s="562"/>
      <c r="BN177" s="591">
        <v>164</v>
      </c>
      <c r="BO177" s="549" t="s">
        <v>26</v>
      </c>
      <c r="BP177" s="549" t="s">
        <v>2408</v>
      </c>
      <c r="BQ177" s="550" t="s">
        <v>2408</v>
      </c>
      <c r="BR177" s="566">
        <v>688291.43917704409</v>
      </c>
      <c r="BS177" s="566"/>
      <c r="BT177" s="566">
        <v>1538141.8933218864</v>
      </c>
      <c r="BU177" s="566">
        <v>53835.695120918303</v>
      </c>
      <c r="BV177" s="566">
        <v>69580.907812776553</v>
      </c>
      <c r="BW177" s="566">
        <v>700.71235150678717</v>
      </c>
      <c r="BX177" s="566">
        <v>550.76784508544222</v>
      </c>
      <c r="BY177" s="566">
        <v>12751760.708542719</v>
      </c>
      <c r="BZ177" s="566">
        <v>203.9880907723859</v>
      </c>
      <c r="CA177" s="566">
        <v>2422495.6505959476</v>
      </c>
      <c r="CB177" s="566">
        <v>1.9351811687228882E-30</v>
      </c>
      <c r="CC177" s="566">
        <v>1901.9308233578777</v>
      </c>
      <c r="CD177" s="566">
        <v>3344744.6155177075</v>
      </c>
      <c r="CE177" s="566">
        <v>86.037623616463222</v>
      </c>
      <c r="CF177" s="566">
        <v>2176.7192375476661</v>
      </c>
      <c r="CG177" s="566">
        <v>979.27288988241639</v>
      </c>
      <c r="CH177" s="566">
        <v>4379.5947439440806</v>
      </c>
      <c r="CI177" s="566">
        <v>362.69366291941367</v>
      </c>
      <c r="CJ177" s="566">
        <v>1774500.721137801</v>
      </c>
      <c r="CK177" s="566">
        <v>23177528.671199545</v>
      </c>
      <c r="CL177" s="566"/>
      <c r="CM177" s="566">
        <v>3047.1715394596868</v>
      </c>
      <c r="CN177" s="566">
        <v>2574.6640040636507</v>
      </c>
      <c r="CO177" s="566">
        <v>420526.9633743756</v>
      </c>
      <c r="CP177" s="566">
        <v>15871796.674587902</v>
      </c>
      <c r="CQ177" s="566"/>
      <c r="CR177" s="566">
        <v>2088.5981661815827</v>
      </c>
      <c r="CS177" s="566">
        <v>2068.6771185468497</v>
      </c>
      <c r="CT177" s="566">
        <v>752674.47571961395</v>
      </c>
      <c r="CU177" s="566">
        <v>11478051.032696273</v>
      </c>
      <c r="CV177" s="566"/>
      <c r="CW177" s="566">
        <v>1506.4439968948391</v>
      </c>
      <c r="CX177" s="566">
        <v>306.82359610340967</v>
      </c>
      <c r="CY177" s="552"/>
    </row>
    <row r="178" spans="1:103" ht="12.75" customHeight="1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436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437"/>
      <c r="AR178" s="2"/>
      <c r="AS178" s="75"/>
      <c r="AT178" s="75"/>
      <c r="AU178" s="260" t="s">
        <v>2169</v>
      </c>
      <c r="AV178" s="75"/>
      <c r="AW178" s="75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/>
      <c r="BM178" s="562"/>
      <c r="BN178" s="591">
        <v>165</v>
      </c>
      <c r="BO178" s="549" t="s">
        <v>1843</v>
      </c>
      <c r="BP178" s="549" t="s">
        <v>2408</v>
      </c>
      <c r="BQ178" s="550" t="s">
        <v>2408</v>
      </c>
      <c r="BR178" s="566">
        <v>597583.89763715281</v>
      </c>
      <c r="BS178" s="566"/>
      <c r="BT178" s="566">
        <v>1427185.0921058937</v>
      </c>
      <c r="BU178" s="566">
        <v>50330.5577094209</v>
      </c>
      <c r="BV178" s="566">
        <v>318706.32798048662</v>
      </c>
      <c r="BW178" s="566">
        <v>2997.3566919237442</v>
      </c>
      <c r="BX178" s="566">
        <v>2163.7670698426909</v>
      </c>
      <c r="BY178" s="566">
        <v>74732672.558883384</v>
      </c>
      <c r="BZ178" s="566">
        <v>801.39521105284837</v>
      </c>
      <c r="CA178" s="566">
        <v>1966607.4275965777</v>
      </c>
      <c r="CB178" s="566">
        <v>1.4456485488273358E-30</v>
      </c>
      <c r="CC178" s="566">
        <v>1476.4366694376943</v>
      </c>
      <c r="CD178" s="566">
        <v>2773780.6862209067</v>
      </c>
      <c r="CE178" s="566">
        <v>329.7047537946911</v>
      </c>
      <c r="CF178" s="566">
        <v>8259.4058958906062</v>
      </c>
      <c r="CG178" s="566">
        <v>4038.9914075650095</v>
      </c>
      <c r="CH178" s="566">
        <v>29103.234409518489</v>
      </c>
      <c r="CI178" s="566">
        <v>1495.9227435425953</v>
      </c>
      <c r="CJ178" s="566">
        <v>1297810.6361163503</v>
      </c>
      <c r="CK178" s="566">
        <v>17569254.508566964</v>
      </c>
      <c r="CL178" s="566"/>
      <c r="CM178" s="566">
        <v>10568.664016418272</v>
      </c>
      <c r="CN178" s="566">
        <v>9566.8780632819453</v>
      </c>
      <c r="CO178" s="566">
        <v>282688.6402842197</v>
      </c>
      <c r="CP178" s="566">
        <v>10618303.837779665</v>
      </c>
      <c r="CQ178" s="566"/>
      <c r="CR178" s="566">
        <v>6407.6464723421423</v>
      </c>
      <c r="CS178" s="566">
        <v>6505.757586379942</v>
      </c>
      <c r="CT178" s="566">
        <v>490233.58912902395</v>
      </c>
      <c r="CU178" s="566">
        <v>8329843.3569752816</v>
      </c>
      <c r="CV178" s="566"/>
      <c r="CW178" s="566">
        <v>4981.292541407618</v>
      </c>
      <c r="CX178" s="566">
        <v>1068.0770878356877</v>
      </c>
      <c r="CY178" s="552"/>
    </row>
    <row r="179" spans="1:103" ht="12.75" customHeight="1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436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437"/>
      <c r="AR179" s="2"/>
      <c r="AS179" s="75"/>
      <c r="AT179" s="75"/>
      <c r="AU179" s="75"/>
      <c r="AV179" s="75"/>
      <c r="AW179" s="75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/>
      <c r="BM179" s="562"/>
      <c r="BN179" s="591">
        <v>166</v>
      </c>
      <c r="BO179" s="549" t="s">
        <v>1752</v>
      </c>
      <c r="BP179" s="549" t="s">
        <v>2408</v>
      </c>
      <c r="BQ179" s="550" t="s">
        <v>2408</v>
      </c>
      <c r="BR179" s="566">
        <v>171341.11382324094</v>
      </c>
      <c r="BS179" s="566"/>
      <c r="BT179" s="566">
        <v>2631247.0029807789</v>
      </c>
      <c r="BU179" s="566">
        <v>86312.148588622847</v>
      </c>
      <c r="BV179" s="566">
        <v>47435.277506962666</v>
      </c>
      <c r="BW179" s="566">
        <v>465.0338664804753</v>
      </c>
      <c r="BX179" s="566">
        <v>1.5392184435653922</v>
      </c>
      <c r="BY179" s="566">
        <v>9939913.3113191538</v>
      </c>
      <c r="BZ179" s="566">
        <v>0.57008090502421926</v>
      </c>
      <c r="CA179" s="566">
        <v>23332.717091767761</v>
      </c>
      <c r="CB179" s="566">
        <v>6.0982183835075884E-34</v>
      </c>
      <c r="CC179" s="566">
        <v>0.48871183529944828</v>
      </c>
      <c r="CD179" s="566">
        <v>1878539.1497314842</v>
      </c>
      <c r="CE179" s="566">
        <v>8.8103403071261195E-3</v>
      </c>
      <c r="CF179" s="566">
        <v>506.06104610963575</v>
      </c>
      <c r="CG179" s="566">
        <v>8.881743584781232E-2</v>
      </c>
      <c r="CH179" s="566">
        <v>0.30989601939906897</v>
      </c>
      <c r="CI179" s="566">
        <v>3.2895346610300857E-2</v>
      </c>
      <c r="CJ179" s="566">
        <v>979.43110169682427</v>
      </c>
      <c r="CK179" s="566">
        <v>5571682.0681771515</v>
      </c>
      <c r="CL179" s="566"/>
      <c r="CM179" s="566">
        <v>303.22086750137788</v>
      </c>
      <c r="CN179" s="566">
        <v>1.3381674505268839E-2</v>
      </c>
      <c r="CO179" s="566">
        <v>100.8371494035128</v>
      </c>
      <c r="CP179" s="566">
        <v>835544.96456039813</v>
      </c>
      <c r="CQ179" s="566"/>
      <c r="CR179" s="566">
        <v>45.654837263144373</v>
      </c>
      <c r="CS179" s="566">
        <v>4.4819498679871776E-3</v>
      </c>
      <c r="CT179" s="566">
        <v>149.40530684162667</v>
      </c>
      <c r="CU179" s="566">
        <v>1643990.4373343331</v>
      </c>
      <c r="CV179" s="566"/>
      <c r="CW179" s="566">
        <v>88.803581174191933</v>
      </c>
      <c r="CX179" s="566">
        <v>6.3026584068773533E-4</v>
      </c>
      <c r="CY179" s="552"/>
    </row>
    <row r="180" spans="1:103" ht="12.75" customHeight="1" x14ac:dyDescent="0.3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436"/>
      <c r="Z180" s="101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101"/>
      <c r="AQ180" s="437"/>
      <c r="AR180" s="2"/>
      <c r="AS180" s="75"/>
      <c r="AT180" s="281">
        <v>0.12130000000000001</v>
      </c>
      <c r="AU180" s="75" t="s">
        <v>2154</v>
      </c>
      <c r="AV180" s="75"/>
      <c r="AW180" s="75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/>
      <c r="BM180" s="562"/>
      <c r="BN180" s="591">
        <v>167</v>
      </c>
      <c r="BO180" s="549" t="s">
        <v>869</v>
      </c>
      <c r="BP180" s="549" t="s">
        <v>2408</v>
      </c>
      <c r="BQ180" s="550" t="s">
        <v>2408</v>
      </c>
      <c r="BR180" s="566">
        <v>220842.26215873612</v>
      </c>
      <c r="BS180" s="566"/>
      <c r="BT180" s="566">
        <v>1568974.8153603177</v>
      </c>
      <c r="BU180" s="566">
        <v>48528.670914866911</v>
      </c>
      <c r="BV180" s="566">
        <v>1069077.8485422097</v>
      </c>
      <c r="BW180" s="566">
        <v>8997.5659332443665</v>
      </c>
      <c r="BX180" s="566">
        <v>978.56269571202665</v>
      </c>
      <c r="BY180" s="566">
        <v>13774896.762324333</v>
      </c>
      <c r="BZ180" s="566">
        <v>362.43062804149139</v>
      </c>
      <c r="CA180" s="566">
        <v>77609.093118253601</v>
      </c>
      <c r="CB180" s="566">
        <v>3.9120546606865016E-32</v>
      </c>
      <c r="CC180" s="566">
        <v>32.628108044820728</v>
      </c>
      <c r="CD180" s="566">
        <v>251640.9234774936</v>
      </c>
      <c r="CE180" s="566">
        <v>22.232343826722939</v>
      </c>
      <c r="CF180" s="566">
        <v>2332.8021948748838</v>
      </c>
      <c r="CG180" s="566">
        <v>156.45481711385534</v>
      </c>
      <c r="CH180" s="566">
        <v>617.85061264805177</v>
      </c>
      <c r="CI180" s="566">
        <v>57.946228560687146</v>
      </c>
      <c r="CJ180" s="566">
        <v>4074.9999412022698</v>
      </c>
      <c r="CK180" s="566">
        <v>35618.986239318569</v>
      </c>
      <c r="CL180" s="566"/>
      <c r="CM180" s="566">
        <v>66.038120047475289</v>
      </c>
      <c r="CN180" s="566">
        <v>29.485438630825399</v>
      </c>
      <c r="CO180" s="566">
        <v>70.871215521219511</v>
      </c>
      <c r="CP180" s="566">
        <v>1020.7654596281576</v>
      </c>
      <c r="CQ180" s="566"/>
      <c r="CR180" s="566">
        <v>1.9087561833189934</v>
      </c>
      <c r="CS180" s="566">
        <v>1.6472998209359544</v>
      </c>
      <c r="CT180" s="566">
        <v>94.232810510624674</v>
      </c>
      <c r="CU180" s="566">
        <v>165.46270534103695</v>
      </c>
      <c r="CV180" s="566"/>
      <c r="CW180" s="566">
        <v>0.30189445823738109</v>
      </c>
      <c r="CX180" s="566">
        <v>0.19455135088072978</v>
      </c>
      <c r="CY180" s="552"/>
    </row>
    <row r="181" spans="1:103" ht="12.75" customHeight="1" x14ac:dyDescent="0.3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436"/>
      <c r="Z181" s="101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101"/>
      <c r="AQ181" s="437"/>
      <c r="AR181" s="2"/>
      <c r="AS181" s="75"/>
      <c r="AT181" s="75"/>
      <c r="AU181" s="75"/>
      <c r="AV181" s="75"/>
      <c r="AW181" s="75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/>
      <c r="BM181" s="562"/>
      <c r="BN181" s="591">
        <v>168</v>
      </c>
      <c r="BO181" s="549" t="s">
        <v>1799</v>
      </c>
      <c r="BP181" s="549" t="s">
        <v>2408</v>
      </c>
      <c r="BQ181" s="550" t="s">
        <v>2408</v>
      </c>
      <c r="BR181" s="566">
        <v>15163.209329680223</v>
      </c>
      <c r="BS181" s="566"/>
      <c r="BT181" s="566">
        <v>11869035.624992643</v>
      </c>
      <c r="BU181" s="566">
        <v>499002.0815979623</v>
      </c>
      <c r="BV181" s="566">
        <v>153612.67695930734</v>
      </c>
      <c r="BW181" s="566">
        <v>1948.738462152389</v>
      </c>
      <c r="BX181" s="566">
        <v>11359.266847928373</v>
      </c>
      <c r="BY181" s="566">
        <v>1783100.5082088851</v>
      </c>
      <c r="BZ181" s="566">
        <v>4207.1358696031002</v>
      </c>
      <c r="CA181" s="566">
        <v>634.46677440301255</v>
      </c>
      <c r="CB181" s="566">
        <v>5.5715960953651564E-32</v>
      </c>
      <c r="CC181" s="566">
        <v>573.2604336389046</v>
      </c>
      <c r="CD181" s="566">
        <v>2806239.4800864165</v>
      </c>
      <c r="CE181" s="566">
        <v>7.4193112724927142</v>
      </c>
      <c r="CF181" s="566">
        <v>547.95631226052728</v>
      </c>
      <c r="CG181" s="566">
        <v>237.39508433570407</v>
      </c>
      <c r="CH181" s="566">
        <v>599.6730373814861</v>
      </c>
      <c r="CI181" s="566">
        <v>87.924105309520016</v>
      </c>
      <c r="CJ181" s="566">
        <v>3.9352761979875628</v>
      </c>
      <c r="CK181" s="566">
        <v>401199.26412284229</v>
      </c>
      <c r="CL181" s="566"/>
      <c r="CM181" s="566">
        <v>15.667253737396551</v>
      </c>
      <c r="CN181" s="566">
        <v>5.2849600905312544</v>
      </c>
      <c r="CO181" s="566">
        <v>8.1276839225629914E-3</v>
      </c>
      <c r="CP181" s="566">
        <v>10698.418823040742</v>
      </c>
      <c r="CQ181" s="566"/>
      <c r="CR181" s="566">
        <v>0.42234089754932685</v>
      </c>
      <c r="CS181" s="566">
        <v>4.8248721333369535E-2</v>
      </c>
      <c r="CT181" s="566">
        <v>1.0716530817133045E-2</v>
      </c>
      <c r="CU181" s="566">
        <v>1840.6022210811134</v>
      </c>
      <c r="CV181" s="566"/>
      <c r="CW181" s="566">
        <v>7.043298585294272E-2</v>
      </c>
      <c r="CX181" s="566">
        <v>3.4293733953942047E-3</v>
      </c>
      <c r="CY181" s="552"/>
    </row>
    <row r="182" spans="1:103" ht="12.75" customHeight="1" x14ac:dyDescent="0.3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436"/>
      <c r="Z182" s="101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101"/>
      <c r="AQ182" s="437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/>
      <c r="BM182" s="562"/>
      <c r="BN182" s="591">
        <v>169</v>
      </c>
      <c r="BO182" s="549" t="s">
        <v>1539</v>
      </c>
      <c r="BP182" s="549" t="s">
        <v>2408</v>
      </c>
      <c r="BQ182" s="550" t="s">
        <v>2408</v>
      </c>
      <c r="BR182" s="566">
        <v>921638.19733387348</v>
      </c>
      <c r="BS182" s="566"/>
      <c r="BT182" s="566">
        <v>1854323.0485842302</v>
      </c>
      <c r="BU182" s="566">
        <v>56817.991367673327</v>
      </c>
      <c r="BV182" s="566">
        <v>39739.571081623515</v>
      </c>
      <c r="BW182" s="566">
        <v>361.75581147638343</v>
      </c>
      <c r="BX182" s="566">
        <v>221.06732078795775</v>
      </c>
      <c r="BY182" s="566">
        <v>10928131.71386851</v>
      </c>
      <c r="BZ182" s="566">
        <v>81.876785477021372</v>
      </c>
      <c r="CA182" s="566">
        <v>2912029.3891821411</v>
      </c>
      <c r="CB182" s="566">
        <v>1.7101614815662435E-30</v>
      </c>
      <c r="CC182" s="566">
        <v>1380.4436574239069</v>
      </c>
      <c r="CD182" s="566">
        <v>635073.83510138874</v>
      </c>
      <c r="CE182" s="566">
        <v>29.583970759710823</v>
      </c>
      <c r="CF182" s="566">
        <v>202.17333016741739</v>
      </c>
      <c r="CG182" s="566">
        <v>341.22508716767004</v>
      </c>
      <c r="CH182" s="566">
        <v>1394.3794170682263</v>
      </c>
      <c r="CI182" s="566">
        <v>126.37966191395185</v>
      </c>
      <c r="CJ182" s="566">
        <v>1767039.054183302</v>
      </c>
      <c r="CK182" s="566">
        <v>364000.91321937041</v>
      </c>
      <c r="CL182" s="566"/>
      <c r="CM182" s="566">
        <v>23.17467299597093</v>
      </c>
      <c r="CN182" s="566">
        <v>743.18169331321724</v>
      </c>
      <c r="CO182" s="566">
        <v>342643.55593455024</v>
      </c>
      <c r="CP182" s="566">
        <v>945707.02807105798</v>
      </c>
      <c r="CQ182" s="566"/>
      <c r="CR182" s="566">
        <v>60.973833072849267</v>
      </c>
      <c r="CS182" s="566">
        <v>510.29483644781197</v>
      </c>
      <c r="CT182" s="566">
        <v>603330.67923409445</v>
      </c>
      <c r="CU182" s="566">
        <v>28758.353517967946</v>
      </c>
      <c r="CV182" s="566"/>
      <c r="CW182" s="566">
        <v>1.78831640422301</v>
      </c>
      <c r="CX182" s="566">
        <v>69.626349876265522</v>
      </c>
      <c r="CY182" s="552"/>
    </row>
    <row r="183" spans="1:103" ht="12.75" customHeight="1" x14ac:dyDescent="0.3"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BL183"/>
      <c r="BM183" s="562"/>
      <c r="BN183" s="591">
        <v>170</v>
      </c>
      <c r="BO183" s="549" t="s">
        <v>1832</v>
      </c>
      <c r="BP183" s="549" t="s">
        <v>2408</v>
      </c>
      <c r="BQ183" s="550" t="s">
        <v>2408</v>
      </c>
      <c r="BR183" s="566">
        <v>170192.02184720541</v>
      </c>
      <c r="BS183" s="566"/>
      <c r="BT183" s="566">
        <v>3203729.0278669037</v>
      </c>
      <c r="BU183" s="566">
        <v>132600.63991709071</v>
      </c>
      <c r="BV183" s="566">
        <v>68658.380494370649</v>
      </c>
      <c r="BW183" s="566">
        <v>844.2581467740323</v>
      </c>
      <c r="BX183" s="566">
        <v>2419.9093454410195</v>
      </c>
      <c r="BY183" s="566">
        <v>627473.46472925355</v>
      </c>
      <c r="BZ183" s="566">
        <v>896.26272053371099</v>
      </c>
      <c r="CA183" s="566">
        <v>54450.340949419857</v>
      </c>
      <c r="CB183" s="566">
        <v>1.253385951022124E-30</v>
      </c>
      <c r="CC183" s="566">
        <v>2472.9790165903087</v>
      </c>
      <c r="CD183" s="566">
        <v>6138295.667169028</v>
      </c>
      <c r="CE183" s="566">
        <v>52.997844948422973</v>
      </c>
      <c r="CF183" s="566">
        <v>1954.1029845540199</v>
      </c>
      <c r="CG183" s="566">
        <v>84.006959738983952</v>
      </c>
      <c r="CH183" s="566">
        <v>199.91300512342875</v>
      </c>
      <c r="CI183" s="566">
        <v>31.113688792216283</v>
      </c>
      <c r="CJ183" s="566">
        <v>5507.9447294111978</v>
      </c>
      <c r="CK183" s="566">
        <v>35098990.168154448</v>
      </c>
      <c r="CL183" s="566"/>
      <c r="CM183" s="566">
        <v>2257.2741762259011</v>
      </c>
      <c r="CN183" s="566">
        <v>30.500565609416306</v>
      </c>
      <c r="CO183" s="566">
        <v>684.91598983931726</v>
      </c>
      <c r="CP183" s="566">
        <v>15522817.880008332</v>
      </c>
      <c r="CQ183" s="566"/>
      <c r="CR183" s="566">
        <v>1003.0097735913076</v>
      </c>
      <c r="CS183" s="566">
        <v>15.617247074304665</v>
      </c>
      <c r="CT183" s="566">
        <v>1984.0935707228407</v>
      </c>
      <c r="CU183" s="566">
        <v>17227463.261989258</v>
      </c>
      <c r="CV183" s="566"/>
      <c r="CW183" s="566">
        <v>1098.2833050517056</v>
      </c>
      <c r="CX183" s="566">
        <v>2.7461777331157351</v>
      </c>
      <c r="CY183" s="552"/>
    </row>
    <row r="184" spans="1:103" ht="12.75" customHeight="1" x14ac:dyDescent="0.3"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BL184"/>
      <c r="BM184" s="562"/>
      <c r="BN184" s="591">
        <v>171</v>
      </c>
      <c r="BO184" s="549" t="s">
        <v>1876</v>
      </c>
      <c r="BP184" s="549" t="s">
        <v>2408</v>
      </c>
      <c r="BQ184" s="550" t="s">
        <v>2408</v>
      </c>
      <c r="BR184" s="566">
        <v>9115.8933690154099</v>
      </c>
      <c r="BS184" s="566"/>
      <c r="BT184" s="566">
        <v>54801786.139808685</v>
      </c>
      <c r="BU184" s="566">
        <v>2672560.8414757992</v>
      </c>
      <c r="BV184" s="566">
        <v>7320221.8787017222</v>
      </c>
      <c r="BW184" s="566">
        <v>97029.271905433779</v>
      </c>
      <c r="BX184" s="566">
        <v>26865551.811849084</v>
      </c>
      <c r="BY184" s="566">
        <v>475459419.61246181</v>
      </c>
      <c r="BZ184" s="566">
        <v>9950204.3747589197</v>
      </c>
      <c r="CA184" s="566">
        <v>359.52419206476986</v>
      </c>
      <c r="CB184" s="566">
        <v>7.2885764282473096E-31</v>
      </c>
      <c r="CC184" s="566">
        <v>243059.75995235948</v>
      </c>
      <c r="CD184" s="566">
        <v>180071607.94370902</v>
      </c>
      <c r="CE184" s="566">
        <v>32467.032517810218</v>
      </c>
      <c r="CF184" s="566">
        <v>326881.55753959517</v>
      </c>
      <c r="CG184" s="566">
        <v>549010.84333097446</v>
      </c>
      <c r="CH184" s="566">
        <v>3547971.6078022681</v>
      </c>
      <c r="CI184" s="566">
        <v>203337.34938184248</v>
      </c>
      <c r="CJ184" s="566">
        <v>8.3678235557337874</v>
      </c>
      <c r="CK184" s="566">
        <v>3470514826.1486526</v>
      </c>
      <c r="CL184" s="566"/>
      <c r="CM184" s="566">
        <v>1272709.4714056277</v>
      </c>
      <c r="CN184" s="566">
        <v>45863.687811206662</v>
      </c>
      <c r="CO184" s="566">
        <v>0.80619253902464338</v>
      </c>
      <c r="CP184" s="566">
        <v>2228960683.23387</v>
      </c>
      <c r="CQ184" s="566"/>
      <c r="CR184" s="566">
        <v>819194.66407489555</v>
      </c>
      <c r="CS184" s="566">
        <v>13969.346765610597</v>
      </c>
      <c r="CT184" s="566">
        <v>20.506679953479043</v>
      </c>
      <c r="CU184" s="566">
        <v>5320664725.2706251</v>
      </c>
      <c r="CV184" s="566"/>
      <c r="CW184" s="566">
        <v>1943266.2135458009</v>
      </c>
      <c r="CX184" s="566">
        <v>32474.219191354106</v>
      </c>
      <c r="CY184" s="552"/>
    </row>
    <row r="185" spans="1:103" ht="12.75" customHeight="1" x14ac:dyDescent="0.3"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BL185"/>
      <c r="BM185" s="562"/>
      <c r="BN185" s="591">
        <v>172</v>
      </c>
      <c r="BO185" s="549" t="s">
        <v>1921</v>
      </c>
      <c r="BP185" s="549" t="s">
        <v>2408</v>
      </c>
      <c r="BQ185" s="550" t="s">
        <v>2408</v>
      </c>
      <c r="BR185" s="566">
        <v>72.071896808958414</v>
      </c>
      <c r="BS185" s="566"/>
      <c r="BT185" s="566">
        <v>5485128.5291777244</v>
      </c>
      <c r="BU185" s="566">
        <v>234519.17686294991</v>
      </c>
      <c r="BV185" s="566">
        <v>393096.55330792774</v>
      </c>
      <c r="BW185" s="566">
        <v>4719.1187867548779</v>
      </c>
      <c r="BX185" s="566">
        <v>2290700.2236730237</v>
      </c>
      <c r="BY185" s="566">
        <v>16064268.885092663</v>
      </c>
      <c r="BZ185" s="566">
        <v>848407.49024926836</v>
      </c>
      <c r="CA185" s="566">
        <v>3.5196152629021787E-2</v>
      </c>
      <c r="CB185" s="566">
        <v>5.7824273731815847E-33</v>
      </c>
      <c r="CC185" s="566">
        <v>105.56927850982723</v>
      </c>
      <c r="CD185" s="566">
        <v>1314871.9555142573</v>
      </c>
      <c r="CE185" s="566">
        <v>7.5657150596685954</v>
      </c>
      <c r="CF185" s="566">
        <v>1322.9274105525708</v>
      </c>
      <c r="CG185" s="566">
        <v>579.69024110685461</v>
      </c>
      <c r="CH185" s="566">
        <v>1518.441522205271</v>
      </c>
      <c r="CI185" s="566">
        <v>214.70008929883497</v>
      </c>
      <c r="CJ185" s="566">
        <v>2.5444639613994298E-6</v>
      </c>
      <c r="CK185" s="566">
        <v>187981.28857233078</v>
      </c>
      <c r="CL185" s="566"/>
      <c r="CM185" s="566">
        <v>37.825037963892022</v>
      </c>
      <c r="CN185" s="566">
        <v>0.15041832780883291</v>
      </c>
      <c r="CO185" s="566">
        <v>5.1548718407859319E-10</v>
      </c>
      <c r="CP185" s="566">
        <v>5013.3567815411752</v>
      </c>
      <c r="CQ185" s="566"/>
      <c r="CR185" s="566">
        <v>1.0181418145146313</v>
      </c>
      <c r="CS185" s="566">
        <v>4.1120279002687902E-5</v>
      </c>
      <c r="CT185" s="566">
        <v>2.3168613930127668E-10</v>
      </c>
      <c r="CU185" s="566">
        <v>862.52637399037189</v>
      </c>
      <c r="CV185" s="566"/>
      <c r="CW185" s="566">
        <v>0.17057416548514107</v>
      </c>
      <c r="CX185" s="566">
        <v>4.5418835354971242E-6</v>
      </c>
      <c r="CY185" s="552"/>
    </row>
    <row r="186" spans="1:103" ht="12.75" customHeight="1" x14ac:dyDescent="0.3"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BL186"/>
      <c r="BM186" s="562"/>
      <c r="BN186" s="591">
        <v>173</v>
      </c>
      <c r="BO186" s="549" t="s">
        <v>1817</v>
      </c>
      <c r="BP186" s="549" t="s">
        <v>2408</v>
      </c>
      <c r="BQ186" s="550" t="s">
        <v>2408</v>
      </c>
      <c r="BR186" s="566">
        <v>14376.567551990403</v>
      </c>
      <c r="BS186" s="566"/>
      <c r="BT186" s="566">
        <v>40982322.372431934</v>
      </c>
      <c r="BU186" s="566">
        <v>1998420.1198454369</v>
      </c>
      <c r="BV186" s="566">
        <v>4657567.2084416943</v>
      </c>
      <c r="BW186" s="566">
        <v>62218.335487228193</v>
      </c>
      <c r="BX186" s="566">
        <v>16725558.728937358</v>
      </c>
      <c r="BY186" s="566">
        <v>315334875.31825829</v>
      </c>
      <c r="BZ186" s="566">
        <v>6194651.3810879095</v>
      </c>
      <c r="CA186" s="566">
        <v>1223.904438306572</v>
      </c>
      <c r="CB186" s="566">
        <v>1.1349572379501916E-30</v>
      </c>
      <c r="CC186" s="566">
        <v>383874.48598592117</v>
      </c>
      <c r="CD186" s="566">
        <v>136900100.8535994</v>
      </c>
      <c r="CE186" s="566">
        <v>43626.64472348542</v>
      </c>
      <c r="CF186" s="566">
        <v>213110.75480473548</v>
      </c>
      <c r="CG186" s="566">
        <v>737505.37081995385</v>
      </c>
      <c r="CH186" s="566">
        <v>4937781.4777935809</v>
      </c>
      <c r="CI186" s="566">
        <v>273150.13734072348</v>
      </c>
      <c r="CJ186" s="566">
        <v>34.809368270348997</v>
      </c>
      <c r="CK186" s="566">
        <v>2638622551.7078342</v>
      </c>
      <c r="CL186" s="566"/>
      <c r="CM186" s="566">
        <v>829791.71363489004</v>
      </c>
      <c r="CN186" s="566">
        <v>75286.563630433797</v>
      </c>
      <c r="CO186" s="566">
        <v>3.4560992242396962</v>
      </c>
      <c r="CP186" s="566">
        <v>1694658425.6138027</v>
      </c>
      <c r="CQ186" s="566"/>
      <c r="CR186" s="566">
        <v>533966.5910708406</v>
      </c>
      <c r="CS186" s="566">
        <v>17415.897585277893</v>
      </c>
      <c r="CT186" s="566">
        <v>60.344082362763089</v>
      </c>
      <c r="CU186" s="566">
        <v>4044942375.0745559</v>
      </c>
      <c r="CV186" s="566"/>
      <c r="CW186" s="566">
        <v>1267471.4746355545</v>
      </c>
      <c r="CX186" s="566">
        <v>39608.984096500048</v>
      </c>
      <c r="CY186" s="552"/>
    </row>
    <row r="187" spans="1:103" ht="12.75" customHeight="1" x14ac:dyDescent="0.3"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BL187"/>
      <c r="BM187" s="562"/>
      <c r="BN187" s="591">
        <v>174</v>
      </c>
      <c r="BO187" s="549" t="s">
        <v>1903</v>
      </c>
      <c r="BP187" s="549" t="s">
        <v>2408</v>
      </c>
      <c r="BQ187" s="550" t="s">
        <v>2408</v>
      </c>
      <c r="BR187" s="566">
        <v>2092993.4733100552</v>
      </c>
      <c r="BS187" s="566"/>
      <c r="BT187" s="566">
        <v>2065972.5229432324</v>
      </c>
      <c r="BU187" s="566">
        <v>70471.909144993784</v>
      </c>
      <c r="BV187" s="566">
        <v>21311.316248038769</v>
      </c>
      <c r="BW187" s="566">
        <v>220.52327224946549</v>
      </c>
      <c r="BX187" s="566">
        <v>38.490044455638824</v>
      </c>
      <c r="BY187" s="566">
        <v>12539241.804888319</v>
      </c>
      <c r="BZ187" s="566">
        <v>14.255572020606968</v>
      </c>
      <c r="CA187" s="566">
        <v>37078349.236559115</v>
      </c>
      <c r="CB187" s="566">
        <v>3.2001816620057566E-30</v>
      </c>
      <c r="CC187" s="566">
        <v>2939.4573042452516</v>
      </c>
      <c r="CD187" s="566">
        <v>7618438.8501355955</v>
      </c>
      <c r="CE187" s="566">
        <v>30.321654093992688</v>
      </c>
      <c r="CF187" s="566">
        <v>1191.994856565982</v>
      </c>
      <c r="CG187" s="566">
        <v>357.65799566131403</v>
      </c>
      <c r="CH187" s="566">
        <v>2042.0045815333187</v>
      </c>
      <c r="CI187" s="566">
        <v>132.46592431900513</v>
      </c>
      <c r="CJ187" s="566">
        <v>334451282.31570619</v>
      </c>
      <c r="CK187" s="566">
        <v>328573092.18442667</v>
      </c>
      <c r="CL187" s="566"/>
      <c r="CM187" s="566">
        <v>10385.576634386211</v>
      </c>
      <c r="CN187" s="566">
        <v>11579.346994609594</v>
      </c>
      <c r="CO187" s="566">
        <v>180529476.99673605</v>
      </c>
      <c r="CP187" s="566">
        <v>570339455.2387476</v>
      </c>
      <c r="CQ187" s="566"/>
      <c r="CR187" s="566">
        <v>18070.261854573717</v>
      </c>
      <c r="CS187" s="566">
        <v>18790.237335299818</v>
      </c>
      <c r="CT187" s="566">
        <v>539139015.1453774</v>
      </c>
      <c r="CU187" s="566">
        <v>360259455.86352402</v>
      </c>
      <c r="CV187" s="566"/>
      <c r="CW187" s="566">
        <v>11336.807614758522</v>
      </c>
      <c r="CX187" s="566">
        <v>5922.7076417440867</v>
      </c>
      <c r="CY187" s="552"/>
    </row>
    <row r="188" spans="1:103" ht="12.75" customHeight="1" x14ac:dyDescent="0.3"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BL188"/>
      <c r="BM188" s="562"/>
      <c r="BN188" s="591">
        <v>175</v>
      </c>
      <c r="BO188" s="549" t="s">
        <v>1826</v>
      </c>
      <c r="BP188" s="549" t="s">
        <v>2408</v>
      </c>
      <c r="BQ188" s="550" t="s">
        <v>2408</v>
      </c>
      <c r="BR188" s="566">
        <v>252765.75946790917</v>
      </c>
      <c r="BS188" s="566"/>
      <c r="BT188" s="566">
        <v>1998023.4296373765</v>
      </c>
      <c r="BU188" s="566">
        <v>69838.212847120391</v>
      </c>
      <c r="BV188" s="566">
        <v>15711.651977699134</v>
      </c>
      <c r="BW188" s="566">
        <v>167.46888223626931</v>
      </c>
      <c r="BX188" s="566">
        <v>12.950537808397231</v>
      </c>
      <c r="BY188" s="566">
        <v>9248141.7743866574</v>
      </c>
      <c r="BZ188" s="566">
        <v>4.7964954845915662</v>
      </c>
      <c r="CA188" s="566">
        <v>135755.35079440795</v>
      </c>
      <c r="CB188" s="566">
        <v>5.0910822074146144E-32</v>
      </c>
      <c r="CC188" s="566">
        <v>52.285060200219085</v>
      </c>
      <c r="CD188" s="566">
        <v>1744358.8517248286</v>
      </c>
      <c r="CE188" s="566">
        <v>0.41114866688424312</v>
      </c>
      <c r="CF188" s="566">
        <v>209.14468971075942</v>
      </c>
      <c r="CG188" s="566">
        <v>3.3579344021731479</v>
      </c>
      <c r="CH188" s="566">
        <v>27.622915821894367</v>
      </c>
      <c r="CI188" s="566">
        <v>1.2436794082122762</v>
      </c>
      <c r="CJ188" s="566">
        <v>12723.598944691652</v>
      </c>
      <c r="CK188" s="566">
        <v>5972073.1934630703</v>
      </c>
      <c r="CL188" s="566"/>
      <c r="CM188" s="566">
        <v>144.65265022385842</v>
      </c>
      <c r="CN188" s="566">
        <v>1.1296109103526832</v>
      </c>
      <c r="CO188" s="566">
        <v>736.16824121260242</v>
      </c>
      <c r="CP188" s="566">
        <v>1074339.5197702446</v>
      </c>
      <c r="CQ188" s="566"/>
      <c r="CR188" s="566">
        <v>26.069885753285696</v>
      </c>
      <c r="CS188" s="566">
        <v>0.20470688372581097</v>
      </c>
      <c r="CT188" s="566">
        <v>1072.0730959444982</v>
      </c>
      <c r="CU188" s="566">
        <v>2073067.1876934569</v>
      </c>
      <c r="CV188" s="566"/>
      <c r="CW188" s="566">
        <v>50.041472040596346</v>
      </c>
      <c r="CX188" s="566">
        <v>2.9911269176879921E-2</v>
      </c>
      <c r="CY188" s="552"/>
    </row>
    <row r="189" spans="1:103" ht="12.75" customHeight="1" x14ac:dyDescent="0.3"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BL189"/>
      <c r="BM189" s="562"/>
      <c r="BN189" s="591">
        <v>176</v>
      </c>
      <c r="BO189" s="549" t="s">
        <v>1801</v>
      </c>
      <c r="BP189" s="549" t="s">
        <v>2408</v>
      </c>
      <c r="BQ189" s="550" t="s">
        <v>2408</v>
      </c>
      <c r="BR189" s="566">
        <v>515745.92761213565</v>
      </c>
      <c r="BS189" s="566"/>
      <c r="BT189" s="566">
        <v>1591632.2510953669</v>
      </c>
      <c r="BU189" s="566">
        <v>54794.837743437995</v>
      </c>
      <c r="BV189" s="566">
        <v>14680.098679289948</v>
      </c>
      <c r="BW189" s="566">
        <v>153.66501771299593</v>
      </c>
      <c r="BX189" s="566">
        <v>8.9317619098926464</v>
      </c>
      <c r="BY189" s="566">
        <v>78489394.282562807</v>
      </c>
      <c r="BZ189" s="566">
        <v>3.3080599666269066</v>
      </c>
      <c r="CA189" s="566">
        <v>982607.5418182658</v>
      </c>
      <c r="CB189" s="566">
        <v>1.6788781055979976E-33</v>
      </c>
      <c r="CC189" s="566">
        <v>1.7065739985726631</v>
      </c>
      <c r="CD189" s="566">
        <v>947288.95506983949</v>
      </c>
      <c r="CE189" s="566">
        <v>1.574024067765388E-2</v>
      </c>
      <c r="CF189" s="566">
        <v>132.82745241595734</v>
      </c>
      <c r="CG189" s="566">
        <v>3.7209800458230249</v>
      </c>
      <c r="CH189" s="566">
        <v>28.114096805686952</v>
      </c>
      <c r="CI189" s="566">
        <v>1.3781407577122311</v>
      </c>
      <c r="CJ189" s="566">
        <v>313053.93671085121</v>
      </c>
      <c r="CK189" s="566">
        <v>957911.95031398162</v>
      </c>
      <c r="CL189" s="566"/>
      <c r="CM189" s="566">
        <v>27.107240204949548</v>
      </c>
      <c r="CN189" s="566">
        <v>4.2550049806015426</v>
      </c>
      <c r="CO189" s="566">
        <v>34316.313031807884</v>
      </c>
      <c r="CP189" s="566">
        <v>103926.39133346922</v>
      </c>
      <c r="CQ189" s="566"/>
      <c r="CR189" s="566">
        <v>2.9495470141938136</v>
      </c>
      <c r="CS189" s="566">
        <v>1.8985259120515698</v>
      </c>
      <c r="CT189" s="566">
        <v>50216.554738953993</v>
      </c>
      <c r="CU189" s="566">
        <v>39246.129025538401</v>
      </c>
      <c r="CV189" s="566"/>
      <c r="CW189" s="566">
        <v>1.1045354854626857</v>
      </c>
      <c r="CX189" s="566">
        <v>0.23222766426893643</v>
      </c>
      <c r="CY189" s="552"/>
    </row>
    <row r="190" spans="1:103" ht="12.75" customHeight="1" x14ac:dyDescent="0.3"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BL190"/>
      <c r="BM190" s="562"/>
      <c r="BN190" s="591">
        <v>177</v>
      </c>
      <c r="BO190" s="549" t="s">
        <v>867</v>
      </c>
      <c r="BP190" s="549" t="s">
        <v>2408</v>
      </c>
      <c r="BQ190" s="550" t="s">
        <v>2408</v>
      </c>
      <c r="BR190" s="566">
        <v>62469.929093921804</v>
      </c>
      <c r="BS190" s="566"/>
      <c r="BT190" s="566">
        <v>17557996.422281649</v>
      </c>
      <c r="BU190" s="566">
        <v>744248.23858229537</v>
      </c>
      <c r="BV190" s="566">
        <v>150160.49118931851</v>
      </c>
      <c r="BW190" s="566">
        <v>1938.074618110132</v>
      </c>
      <c r="BX190" s="566">
        <v>470604.0468728327</v>
      </c>
      <c r="BY190" s="566">
        <v>10394275.866376877</v>
      </c>
      <c r="BZ190" s="566">
        <v>174297.79513808613</v>
      </c>
      <c r="CA190" s="566">
        <v>10547.685710469748</v>
      </c>
      <c r="CB190" s="566">
        <v>3.0907448932079552E-30</v>
      </c>
      <c r="CC190" s="566">
        <v>166246.72107585135</v>
      </c>
      <c r="CD190" s="566">
        <v>4923326.0274004275</v>
      </c>
      <c r="CE190" s="566">
        <v>1421.784621375351</v>
      </c>
      <c r="CF190" s="566">
        <v>641.03431595361917</v>
      </c>
      <c r="CG190" s="566">
        <v>41241.618528748731</v>
      </c>
      <c r="CH190" s="566">
        <v>211577.52822878587</v>
      </c>
      <c r="CI190" s="566">
        <v>15274.673529166188</v>
      </c>
      <c r="CJ190" s="566">
        <v>264.37775814875647</v>
      </c>
      <c r="CK190" s="566">
        <v>730612.3281218136</v>
      </c>
      <c r="CL190" s="566"/>
      <c r="CM190" s="566">
        <v>19.024850424837584</v>
      </c>
      <c r="CN190" s="566">
        <v>3710.2834670680659</v>
      </c>
      <c r="CO190" s="566">
        <v>1.6246815713865246</v>
      </c>
      <c r="CP190" s="566">
        <v>20574.433391735987</v>
      </c>
      <c r="CQ190" s="566"/>
      <c r="CR190" s="566">
        <v>0.54107344142533387</v>
      </c>
      <c r="CS190" s="566">
        <v>76.726830139759045</v>
      </c>
      <c r="CT190" s="566">
        <v>3.101035329069906</v>
      </c>
      <c r="CU190" s="566">
        <v>3498.5167352504322</v>
      </c>
      <c r="CV190" s="566"/>
      <c r="CW190" s="566">
        <v>8.9428310133212785E-2</v>
      </c>
      <c r="CX190" s="566">
        <v>12.098274580337469</v>
      </c>
      <c r="CY190" s="552"/>
    </row>
    <row r="191" spans="1:103" ht="12.75" customHeight="1" x14ac:dyDescent="0.3"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BL191"/>
      <c r="BM191" s="562"/>
      <c r="BN191" s="591">
        <v>178</v>
      </c>
      <c r="BO191" s="549" t="s">
        <v>1864</v>
      </c>
      <c r="BP191" s="549" t="s">
        <v>2408</v>
      </c>
      <c r="BQ191" s="550" t="s">
        <v>2408</v>
      </c>
      <c r="BR191" s="566">
        <v>187.61086415440664</v>
      </c>
      <c r="BS191" s="566"/>
      <c r="BT191" s="566">
        <v>68150826.542936906</v>
      </c>
      <c r="BU191" s="566">
        <v>3322953.578424382</v>
      </c>
      <c r="BV191" s="566">
        <v>652502.25905936409</v>
      </c>
      <c r="BW191" s="566">
        <v>9666.3306157156712</v>
      </c>
      <c r="BX191" s="566">
        <v>1172852.8846334924</v>
      </c>
      <c r="BY191" s="566">
        <v>24409968.584196664</v>
      </c>
      <c r="BZ191" s="566">
        <v>434389.95727166388</v>
      </c>
      <c r="CA191" s="566">
        <v>0.13557746236950088</v>
      </c>
      <c r="CB191" s="566">
        <v>1.5146950351586042E-32</v>
      </c>
      <c r="CC191" s="566">
        <v>6193.4985993226137</v>
      </c>
      <c r="CD191" s="566">
        <v>220540167.2652688</v>
      </c>
      <c r="CE191" s="566">
        <v>59.298940783834801</v>
      </c>
      <c r="CF191" s="566">
        <v>32077.098287995763</v>
      </c>
      <c r="CG191" s="566">
        <v>439.20928184099711</v>
      </c>
      <c r="CH191" s="566">
        <v>3417.1979871853373</v>
      </c>
      <c r="CI191" s="566">
        <v>162.67010438555454</v>
      </c>
      <c r="CJ191" s="566">
        <v>2.5986508260906647E-3</v>
      </c>
      <c r="CK191" s="566">
        <v>4250639487.1904955</v>
      </c>
      <c r="CL191" s="566"/>
      <c r="CM191" s="566">
        <v>124896.96468971265</v>
      </c>
      <c r="CN191" s="566">
        <v>30.215904028510923</v>
      </c>
      <c r="CO191" s="566">
        <v>3.2483535302032439E-4</v>
      </c>
      <c r="CP191" s="566">
        <v>2730023102.2853222</v>
      </c>
      <c r="CQ191" s="566"/>
      <c r="CR191" s="566">
        <v>80394.349384119327</v>
      </c>
      <c r="CS191" s="566">
        <v>11.631035486946018</v>
      </c>
      <c r="CT191" s="566">
        <v>8.5072505624694678E-3</v>
      </c>
      <c r="CU191" s="566">
        <v>6516961861.8085461</v>
      </c>
      <c r="CV191" s="566"/>
      <c r="CW191" s="566">
        <v>190700.16128317537</v>
      </c>
      <c r="CX191" s="566">
        <v>29.271585345963462</v>
      </c>
      <c r="CY191" s="552"/>
    </row>
    <row r="192" spans="1:103" ht="12.75" customHeight="1" x14ac:dyDescent="0.3"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BL192"/>
      <c r="BM192" s="562"/>
      <c r="BN192" s="591">
        <v>179</v>
      </c>
      <c r="BO192" s="549" t="s">
        <v>1786</v>
      </c>
      <c r="BP192" s="549" t="s">
        <v>2408</v>
      </c>
      <c r="BQ192" s="550" t="s">
        <v>2408</v>
      </c>
      <c r="BR192" s="566">
        <v>57036.042185564474</v>
      </c>
      <c r="BS192" s="566"/>
      <c r="BT192" s="566">
        <v>19488126.504298799</v>
      </c>
      <c r="BU192" s="566">
        <v>935279.80408560997</v>
      </c>
      <c r="BV192" s="566">
        <v>353668.70949144423</v>
      </c>
      <c r="BW192" s="566">
        <v>5071.6239696163721</v>
      </c>
      <c r="BX192" s="566">
        <v>493217.63893878419</v>
      </c>
      <c r="BY192" s="566">
        <v>8351970.8452463858</v>
      </c>
      <c r="BZ192" s="566">
        <v>182673.19960695703</v>
      </c>
      <c r="CA192" s="566">
        <v>23744.352671446039</v>
      </c>
      <c r="CB192" s="566">
        <v>3.0217729634539174E-30</v>
      </c>
      <c r="CC192" s="566">
        <v>266772.28651280189</v>
      </c>
      <c r="CD192" s="566">
        <v>28209811.868283611</v>
      </c>
      <c r="CE192" s="566">
        <v>4841.3586743832193</v>
      </c>
      <c r="CF192" s="566">
        <v>7648.489651149348</v>
      </c>
      <c r="CG192" s="566">
        <v>106374.66274337667</v>
      </c>
      <c r="CH192" s="566">
        <v>376529.20918557217</v>
      </c>
      <c r="CI192" s="566">
        <v>39398.023238287657</v>
      </c>
      <c r="CJ192" s="566">
        <v>1503.161495192418</v>
      </c>
      <c r="CK192" s="566">
        <v>35352239.189868242</v>
      </c>
      <c r="CL192" s="566"/>
      <c r="CM192" s="566">
        <v>1934.4015420144431</v>
      </c>
      <c r="CN192" s="566">
        <v>24170.584890713973</v>
      </c>
      <c r="CO192" s="566">
        <v>25.638913317587562</v>
      </c>
      <c r="CP192" s="566">
        <v>6950021.0180715825</v>
      </c>
      <c r="CQ192" s="566"/>
      <c r="CR192" s="566">
        <v>382.13134903428193</v>
      </c>
      <c r="CS192" s="566">
        <v>1455.8415426209349</v>
      </c>
      <c r="CT192" s="566">
        <v>45.280615082533089</v>
      </c>
      <c r="CU192" s="566">
        <v>1601276.3434181672</v>
      </c>
      <c r="CV192" s="566"/>
      <c r="CW192" s="566">
        <v>86.833399923596801</v>
      </c>
      <c r="CX192" s="566">
        <v>189.64714840151811</v>
      </c>
      <c r="CY192" s="552"/>
    </row>
    <row r="193" spans="3:103" ht="12.75" customHeight="1" x14ac:dyDescent="0.3"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BL193"/>
      <c r="BM193" s="562"/>
      <c r="BN193" s="591">
        <v>180</v>
      </c>
      <c r="BO193" s="549" t="s">
        <v>1891</v>
      </c>
      <c r="BP193" s="549" t="s">
        <v>2408</v>
      </c>
      <c r="BQ193" s="550" t="s">
        <v>2408</v>
      </c>
      <c r="BR193" s="566">
        <v>146187.74112788303</v>
      </c>
      <c r="BS193" s="566"/>
      <c r="BT193" s="566">
        <v>1722517.5348507375</v>
      </c>
      <c r="BU193" s="566">
        <v>60499.794245265461</v>
      </c>
      <c r="BV193" s="566">
        <v>13688.672469556486</v>
      </c>
      <c r="BW193" s="566">
        <v>146.58599349336322</v>
      </c>
      <c r="BX193" s="566">
        <v>1.1536005436821999</v>
      </c>
      <c r="BY193" s="566">
        <v>38168374.149678372</v>
      </c>
      <c r="BZ193" s="566">
        <v>0.42725946062303688</v>
      </c>
      <c r="CA193" s="566">
        <v>45157.98627006801</v>
      </c>
      <c r="CB193" s="566">
        <v>3.7246912315044828E-34</v>
      </c>
      <c r="CC193" s="566">
        <v>0.38794926955431208</v>
      </c>
      <c r="CD193" s="566">
        <v>1480767.7699265778</v>
      </c>
      <c r="CE193" s="566">
        <v>3.0829935709147005E-3</v>
      </c>
      <c r="CF193" s="566">
        <v>179.38888668586335</v>
      </c>
      <c r="CG193" s="566">
        <v>0.13072403505671296</v>
      </c>
      <c r="CH193" s="566">
        <v>1.0583013732138808</v>
      </c>
      <c r="CI193" s="566">
        <v>4.8416309280264067E-2</v>
      </c>
      <c r="CJ193" s="566">
        <v>2918.7267467070606</v>
      </c>
      <c r="CK193" s="566">
        <v>5100138.2748754043</v>
      </c>
      <c r="CL193" s="566"/>
      <c r="CM193" s="566">
        <v>124.8190277406629</v>
      </c>
      <c r="CN193" s="566">
        <v>3.0326198328425917E-2</v>
      </c>
      <c r="CO193" s="566">
        <v>233.54373554677809</v>
      </c>
      <c r="CP193" s="566">
        <v>905252.03297822096</v>
      </c>
      <c r="CQ193" s="566"/>
      <c r="CR193" s="566">
        <v>22.195900335029499</v>
      </c>
      <c r="CS193" s="566">
        <v>4.9359286564613324E-3</v>
      </c>
      <c r="CT193" s="566">
        <v>346.61702757919772</v>
      </c>
      <c r="CU193" s="566">
        <v>1800164.2498031552</v>
      </c>
      <c r="CV193" s="566"/>
      <c r="CW193" s="566">
        <v>43.904731457912987</v>
      </c>
      <c r="CX193" s="566">
        <v>1.5387312661709885E-3</v>
      </c>
      <c r="CY193" s="552"/>
    </row>
    <row r="194" spans="3:103" ht="12.75" customHeight="1" x14ac:dyDescent="0.3"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BL194"/>
      <c r="BM194" s="562"/>
      <c r="BN194" s="591">
        <v>181</v>
      </c>
      <c r="BO194" s="549" t="s">
        <v>1940</v>
      </c>
      <c r="BP194" s="549" t="s">
        <v>2408</v>
      </c>
      <c r="BQ194" s="550" t="s">
        <v>2408</v>
      </c>
      <c r="BR194" s="566">
        <v>39931.659386267995</v>
      </c>
      <c r="BS194" s="566"/>
      <c r="BT194" s="566">
        <v>12650985.98559559</v>
      </c>
      <c r="BU194" s="566">
        <v>537125.89513363061</v>
      </c>
      <c r="BV194" s="566">
        <v>830190.78853442322</v>
      </c>
      <c r="BW194" s="566">
        <v>9944.5504639248938</v>
      </c>
      <c r="BX194" s="566">
        <v>11456257.203108508</v>
      </c>
      <c r="BY194" s="566">
        <v>258947054.82977915</v>
      </c>
      <c r="BZ194" s="566">
        <v>4243058.2233735183</v>
      </c>
      <c r="CA194" s="566">
        <v>7767.2938340096152</v>
      </c>
      <c r="CB194" s="566">
        <v>3.0586132404644185E-30</v>
      </c>
      <c r="CC194" s="566">
        <v>254223.67343785209</v>
      </c>
      <c r="CD194" s="566">
        <v>3780614.444477641</v>
      </c>
      <c r="CE194" s="566">
        <v>16682.822363078605</v>
      </c>
      <c r="CF194" s="566">
        <v>3499.7857549204296</v>
      </c>
      <c r="CG194" s="566">
        <v>1149117.140844061</v>
      </c>
      <c r="CH194" s="566">
        <v>8519421.3612096049</v>
      </c>
      <c r="CI194" s="566">
        <v>425598.94105335587</v>
      </c>
      <c r="CJ194" s="566">
        <v>224.36705232660032</v>
      </c>
      <c r="CK194" s="566">
        <v>573507.50463177112</v>
      </c>
      <c r="CL194" s="566"/>
      <c r="CM194" s="566">
        <v>106.17697019918388</v>
      </c>
      <c r="CN194" s="566">
        <v>119139.92048125414</v>
      </c>
      <c r="CO194" s="566">
        <v>1.4123752607050761</v>
      </c>
      <c r="CP194" s="566">
        <v>16606.16819221454</v>
      </c>
      <c r="CQ194" s="566"/>
      <c r="CR194" s="566">
        <v>3.1026673763699675</v>
      </c>
      <c r="CS194" s="566">
        <v>2273.7348236231351</v>
      </c>
      <c r="CT194" s="566">
        <v>3.223909427824823</v>
      </c>
      <c r="CU194" s="566">
        <v>2845.3713711670962</v>
      </c>
      <c r="CV194" s="566"/>
      <c r="CW194" s="566">
        <v>0.51782311773267475</v>
      </c>
      <c r="CX194" s="566">
        <v>504.63580317444905</v>
      </c>
      <c r="CY194" s="552"/>
    </row>
    <row r="195" spans="3:103" ht="12.75" customHeight="1" x14ac:dyDescent="0.3"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BL195"/>
      <c r="BM195" s="562"/>
      <c r="BN195" s="591">
        <v>182</v>
      </c>
      <c r="BO195" s="549" t="s">
        <v>1560</v>
      </c>
      <c r="BP195" s="549" t="s">
        <v>2408</v>
      </c>
      <c r="BQ195" s="550" t="s">
        <v>2408</v>
      </c>
      <c r="BR195" s="566">
        <v>566856.78216702037</v>
      </c>
      <c r="BS195" s="566"/>
      <c r="BT195" s="566">
        <v>1249103.0612503728</v>
      </c>
      <c r="BU195" s="566">
        <v>44559.028847825684</v>
      </c>
      <c r="BV195" s="566">
        <v>403542.24173252343</v>
      </c>
      <c r="BW195" s="566">
        <v>3820.4928873043254</v>
      </c>
      <c r="BX195" s="566">
        <v>2776.6550666615285</v>
      </c>
      <c r="BY195" s="566">
        <v>35960603.926283613</v>
      </c>
      <c r="BZ195" s="566">
        <v>1028.3907654301959</v>
      </c>
      <c r="CA195" s="566">
        <v>2415229.8179144412</v>
      </c>
      <c r="CB195" s="566">
        <v>1.9660930674858199E-30</v>
      </c>
      <c r="CC195" s="566">
        <v>2079.789268558814</v>
      </c>
      <c r="CD195" s="566">
        <v>3334750.0793963321</v>
      </c>
      <c r="CE195" s="566">
        <v>671.90838754756794</v>
      </c>
      <c r="CF195" s="566">
        <v>14296.080153341252</v>
      </c>
      <c r="CG195" s="566">
        <v>7194.8232180699306</v>
      </c>
      <c r="CH195" s="566">
        <v>45030.747667969874</v>
      </c>
      <c r="CI195" s="566">
        <v>2664.7493400258995</v>
      </c>
      <c r="CJ195" s="566">
        <v>2477659.5214631045</v>
      </c>
      <c r="CK195" s="566">
        <v>30952848.729908645</v>
      </c>
      <c r="CL195" s="566"/>
      <c r="CM195" s="566">
        <v>26806.754190405547</v>
      </c>
      <c r="CN195" s="566">
        <v>26491.524225642112</v>
      </c>
      <c r="CO195" s="566">
        <v>747540.62819443527</v>
      </c>
      <c r="CP195" s="566">
        <v>28070198.875117242</v>
      </c>
      <c r="CQ195" s="566"/>
      <c r="CR195" s="566">
        <v>24409.43790492625</v>
      </c>
      <c r="CS195" s="566">
        <v>25030.891345242082</v>
      </c>
      <c r="CT195" s="566">
        <v>1494090.4184485984</v>
      </c>
      <c r="CU195" s="566">
        <v>18690328.732699469</v>
      </c>
      <c r="CV195" s="566"/>
      <c r="CW195" s="566">
        <v>16064.742609712979</v>
      </c>
      <c r="CX195" s="566">
        <v>4693.6316686288392</v>
      </c>
      <c r="CY195" s="552"/>
    </row>
    <row r="196" spans="3:103" ht="12.75" customHeight="1" x14ac:dyDescent="0.3"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BL196"/>
      <c r="BM196" s="562"/>
      <c r="BN196" s="591">
        <v>183</v>
      </c>
      <c r="BO196" s="549" t="s">
        <v>1946</v>
      </c>
      <c r="BP196" s="549" t="s">
        <v>2408</v>
      </c>
      <c r="BQ196" s="550" t="s">
        <v>2408</v>
      </c>
      <c r="BR196" s="566">
        <v>124339.94663720921</v>
      </c>
      <c r="BS196" s="566"/>
      <c r="BT196" s="566">
        <v>1488901.8805306382</v>
      </c>
      <c r="BU196" s="566">
        <v>51666.283565936435</v>
      </c>
      <c r="BV196" s="566">
        <v>2323731.9478271878</v>
      </c>
      <c r="BW196" s="566">
        <v>23805.010023232437</v>
      </c>
      <c r="BX196" s="566">
        <v>53.567000630225749</v>
      </c>
      <c r="BY196" s="566">
        <v>57415848.714632347</v>
      </c>
      <c r="BZ196" s="566">
        <v>19.839629863046572</v>
      </c>
      <c r="CA196" s="566">
        <v>26871.944563855483</v>
      </c>
      <c r="CB196" s="566">
        <v>6.0719181351156115E-34</v>
      </c>
      <c r="CC196" s="566">
        <v>0.58993101439883922</v>
      </c>
      <c r="CD196" s="566">
        <v>1238655.1055328406</v>
      </c>
      <c r="CE196" s="566">
        <v>0.92070643680302267</v>
      </c>
      <c r="CF196" s="566">
        <v>28535.241135456425</v>
      </c>
      <c r="CG196" s="566">
        <v>7.6190514322045457</v>
      </c>
      <c r="CH196" s="566">
        <v>49.466281050246963</v>
      </c>
      <c r="CI196" s="566">
        <v>2.8218709008164975</v>
      </c>
      <c r="CJ196" s="566">
        <v>1364.5977336577471</v>
      </c>
      <c r="CK196" s="566">
        <v>4152217.9797899709</v>
      </c>
      <c r="CL196" s="566"/>
      <c r="CM196" s="566">
        <v>19324.195411277116</v>
      </c>
      <c r="CN196" s="566">
        <v>1.3887053588958331</v>
      </c>
      <c r="CO196" s="566">
        <v>122.62143001109351</v>
      </c>
      <c r="CP196" s="566">
        <v>715290.61118886946</v>
      </c>
      <c r="CQ196" s="566"/>
      <c r="CR196" s="566">
        <v>3332.2705675626662</v>
      </c>
      <c r="CS196" s="566">
        <v>0.38391742234529913</v>
      </c>
      <c r="CT196" s="566">
        <v>182.59316806619699</v>
      </c>
      <c r="CU196" s="566">
        <v>1418670.8705231487</v>
      </c>
      <c r="CV196" s="566"/>
      <c r="CW196" s="566">
        <v>6590.0428407486816</v>
      </c>
      <c r="CX196" s="566">
        <v>5.5174990214948948E-2</v>
      </c>
      <c r="CY196" s="552"/>
    </row>
    <row r="197" spans="3:103" ht="12.75" customHeight="1" x14ac:dyDescent="0.3"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BL197"/>
      <c r="BM197" s="562"/>
      <c r="BN197" s="591">
        <v>184</v>
      </c>
      <c r="BO197" s="549" t="s">
        <v>1897</v>
      </c>
      <c r="BP197" s="549" t="s">
        <v>2408</v>
      </c>
      <c r="BQ197" s="550" t="s">
        <v>2408</v>
      </c>
      <c r="BR197" s="566">
        <v>647887.10243992053</v>
      </c>
      <c r="BS197" s="566"/>
      <c r="BT197" s="566">
        <v>1637321.6618556078</v>
      </c>
      <c r="BU197" s="566">
        <v>57460.208591029739</v>
      </c>
      <c r="BV197" s="566">
        <v>29713.96142379953</v>
      </c>
      <c r="BW197" s="566">
        <v>311.58223444622615</v>
      </c>
      <c r="BX197" s="566">
        <v>590.6311805420155</v>
      </c>
      <c r="BY197" s="566">
        <v>7763376.4188464666</v>
      </c>
      <c r="BZ197" s="566">
        <v>218.75228908963527</v>
      </c>
      <c r="CA197" s="566">
        <v>1844013.4320184328</v>
      </c>
      <c r="CB197" s="566">
        <v>4.3195529876044262E-30</v>
      </c>
      <c r="CC197" s="566">
        <v>4345.0096114669923</v>
      </c>
      <c r="CD197" s="566">
        <v>4150123.3937806375</v>
      </c>
      <c r="CE197" s="566">
        <v>78.852830808363279</v>
      </c>
      <c r="CF197" s="566">
        <v>1125.2175653114457</v>
      </c>
      <c r="CG197" s="566">
        <v>846.3801373721135</v>
      </c>
      <c r="CH197" s="566">
        <v>3606.4774218478151</v>
      </c>
      <c r="CI197" s="566">
        <v>313.47412495263467</v>
      </c>
      <c r="CJ197" s="566">
        <v>963134.27137039287</v>
      </c>
      <c r="CK197" s="566">
        <v>8971486.3490476049</v>
      </c>
      <c r="CL197" s="566"/>
      <c r="CM197" s="566">
        <v>490.90121094034987</v>
      </c>
      <c r="CN197" s="566">
        <v>1586.689233347593</v>
      </c>
      <c r="CO197" s="566">
        <v>156316.39742625717</v>
      </c>
      <c r="CP197" s="566">
        <v>8477608.8011561465</v>
      </c>
      <c r="CQ197" s="566"/>
      <c r="CR197" s="566">
        <v>466.12234399682109</v>
      </c>
      <c r="CS197" s="566">
        <v>914.0296327880767</v>
      </c>
      <c r="CT197" s="566">
        <v>277109.75667292852</v>
      </c>
      <c r="CU197" s="566">
        <v>826096.24581335741</v>
      </c>
      <c r="CV197" s="566"/>
      <c r="CW197" s="566">
        <v>44.797230648501554</v>
      </c>
      <c r="CX197" s="566">
        <v>124.6980619147381</v>
      </c>
      <c r="CY197" s="552"/>
    </row>
    <row r="198" spans="3:103" ht="12.75" customHeight="1" x14ac:dyDescent="0.3"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BL198"/>
      <c r="BM198" s="562"/>
      <c r="BN198" s="591">
        <v>185</v>
      </c>
      <c r="BO198" s="549" t="s">
        <v>1853</v>
      </c>
      <c r="BP198" s="549" t="s">
        <v>2408</v>
      </c>
      <c r="BQ198" s="550" t="s">
        <v>2408</v>
      </c>
      <c r="BR198" s="566">
        <v>81514.82325033599</v>
      </c>
      <c r="BS198" s="566"/>
      <c r="BT198" s="566">
        <v>1059299.6538253699</v>
      </c>
      <c r="BU198" s="566">
        <v>40912.629760738426</v>
      </c>
      <c r="BV198" s="566">
        <v>143392804.87393174</v>
      </c>
      <c r="BW198" s="566">
        <v>3333555.6636553318</v>
      </c>
      <c r="BX198" s="566">
        <v>35022.224291560422</v>
      </c>
      <c r="BY198" s="566">
        <v>2083208.3368281221</v>
      </c>
      <c r="BZ198" s="566">
        <v>12971.194182059409</v>
      </c>
      <c r="CA198" s="566">
        <v>42624.654008464087</v>
      </c>
      <c r="CB198" s="566">
        <v>2.0820726038499286E-31</v>
      </c>
      <c r="CC198" s="566">
        <v>306.24801938849436</v>
      </c>
      <c r="CD198" s="566">
        <v>1583257.2662739337</v>
      </c>
      <c r="CE198" s="566">
        <v>41455.467608829982</v>
      </c>
      <c r="CF198" s="566">
        <v>6450179.6363085583</v>
      </c>
      <c r="CG198" s="566">
        <v>8996.5387664892914</v>
      </c>
      <c r="CH198" s="566">
        <v>20345.695253439178</v>
      </c>
      <c r="CI198" s="566">
        <v>3332.0513949960332</v>
      </c>
      <c r="CJ198" s="566">
        <v>4635.7429026579266</v>
      </c>
      <c r="CK198" s="566">
        <v>8355451.3705594288</v>
      </c>
      <c r="CL198" s="566"/>
      <c r="CM198" s="566">
        <v>6875943.132693137</v>
      </c>
      <c r="CN198" s="566">
        <v>3511.8631690185111</v>
      </c>
      <c r="CO198" s="566">
        <v>497.41566539979266</v>
      </c>
      <c r="CP198" s="566">
        <v>2792143.3020620891</v>
      </c>
      <c r="CQ198" s="566"/>
      <c r="CR198" s="566">
        <v>2302862.7188749625</v>
      </c>
      <c r="CS198" s="566">
        <v>1411.6403192874934</v>
      </c>
      <c r="CT198" s="566">
        <v>900.19450137113131</v>
      </c>
      <c r="CU198" s="566">
        <v>4502427.3949491121</v>
      </c>
      <c r="CV198" s="566"/>
      <c r="CW198" s="566">
        <v>3689850.0378956646</v>
      </c>
      <c r="CX198" s="566">
        <v>166.71639832345434</v>
      </c>
      <c r="CY198" s="552"/>
    </row>
    <row r="199" spans="3:103" ht="12.75" customHeight="1" x14ac:dyDescent="0.3"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BL199"/>
      <c r="BM199" s="562"/>
      <c r="BN199" s="591">
        <v>186</v>
      </c>
      <c r="BO199" s="549" t="s">
        <v>865</v>
      </c>
      <c r="BP199" s="549" t="s">
        <v>2408</v>
      </c>
      <c r="BQ199" s="550" t="s">
        <v>2408</v>
      </c>
      <c r="BR199" s="566">
        <v>992553.42757693888</v>
      </c>
      <c r="BS199" s="566"/>
      <c r="BT199" s="566">
        <v>2111277.4067958021</v>
      </c>
      <c r="BU199" s="566">
        <v>74500.501601145661</v>
      </c>
      <c r="BV199" s="566">
        <v>27034.989438579116</v>
      </c>
      <c r="BW199" s="566">
        <v>287.93715173712212</v>
      </c>
      <c r="BX199" s="566">
        <v>807.07460666312284</v>
      </c>
      <c r="BY199" s="566">
        <v>21543559.213051897</v>
      </c>
      <c r="BZ199" s="566">
        <v>298.91652098634177</v>
      </c>
      <c r="CA199" s="566">
        <v>6208653.8006857121</v>
      </c>
      <c r="CB199" s="566">
        <v>1.4419549070907438E-29</v>
      </c>
      <c r="CC199" s="566">
        <v>14506.129127178516</v>
      </c>
      <c r="CD199" s="566">
        <v>20263752.205540989</v>
      </c>
      <c r="CE199" s="566">
        <v>185.75154855804624</v>
      </c>
      <c r="CF199" s="566">
        <v>3915.8710130621266</v>
      </c>
      <c r="CG199" s="566">
        <v>2419.426456028983</v>
      </c>
      <c r="CH199" s="566">
        <v>16765.504356497055</v>
      </c>
      <c r="CI199" s="566">
        <v>896.08387260332665</v>
      </c>
      <c r="CJ199" s="566">
        <v>17201858.529355768</v>
      </c>
      <c r="CK199" s="566">
        <v>476812819.42984372</v>
      </c>
      <c r="CL199" s="566"/>
      <c r="CM199" s="566">
        <v>18614.296147779121</v>
      </c>
      <c r="CN199" s="566">
        <v>24059.910548624353</v>
      </c>
      <c r="CO199" s="566">
        <v>7199028.2879219446</v>
      </c>
      <c r="CP199" s="566">
        <v>659656945.97347915</v>
      </c>
      <c r="CQ199" s="566"/>
      <c r="CR199" s="566">
        <v>25827.593063723703</v>
      </c>
      <c r="CS199" s="566">
        <v>33117.731219509158</v>
      </c>
      <c r="CT199" s="566">
        <v>21350998.235965494</v>
      </c>
      <c r="CU199" s="566">
        <v>452749022.93730527</v>
      </c>
      <c r="CV199" s="566"/>
      <c r="CW199" s="566">
        <v>17579.14040954904</v>
      </c>
      <c r="CX199" s="566">
        <v>8576.4242615811781</v>
      </c>
      <c r="CY199" s="552"/>
    </row>
    <row r="200" spans="3:103" ht="12.75" customHeight="1" x14ac:dyDescent="0.3"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BL200"/>
      <c r="BM200" s="562"/>
      <c r="BN200" s="591">
        <v>187</v>
      </c>
      <c r="BO200" s="549" t="s">
        <v>1936</v>
      </c>
      <c r="BP200" s="549" t="s">
        <v>2408</v>
      </c>
      <c r="BQ200" s="550" t="s">
        <v>2408</v>
      </c>
      <c r="BR200" s="566">
        <v>184458.81185912309</v>
      </c>
      <c r="BS200" s="566"/>
      <c r="BT200" s="566">
        <v>1484431.6700979364</v>
      </c>
      <c r="BU200" s="566">
        <v>45990.129471783745</v>
      </c>
      <c r="BV200" s="566">
        <v>11865.213936994696</v>
      </c>
      <c r="BW200" s="566">
        <v>112.06686527389898</v>
      </c>
      <c r="BX200" s="566">
        <v>0.43518539301177184</v>
      </c>
      <c r="BY200" s="566">
        <v>7621746.8310536994</v>
      </c>
      <c r="BZ200" s="566">
        <v>0.1611797751895451</v>
      </c>
      <c r="CA200" s="566">
        <v>57246.654606376003</v>
      </c>
      <c r="CB200" s="566">
        <v>2.2065959140692779E-34</v>
      </c>
      <c r="CC200" s="566">
        <v>0.18561587575612504</v>
      </c>
      <c r="CD200" s="566">
        <v>230876.74567996935</v>
      </c>
      <c r="CE200" s="566">
        <v>1.4836466509797295E-3</v>
      </c>
      <c r="CF200" s="566">
        <v>28.12955024280544</v>
      </c>
      <c r="CG200" s="566">
        <v>6.1231979428365252E-2</v>
      </c>
      <c r="CH200" s="566">
        <v>0.22863809743668703</v>
      </c>
      <c r="CI200" s="566">
        <v>2.267851089939454E-2</v>
      </c>
      <c r="CJ200" s="566">
        <v>2648.4010768386852</v>
      </c>
      <c r="CK200" s="566">
        <v>32167.112234311411</v>
      </c>
      <c r="CL200" s="566"/>
      <c r="CM200" s="566">
        <v>0.78380178175090198</v>
      </c>
      <c r="CN200" s="566">
        <v>1.0167533167403653E-2</v>
      </c>
      <c r="CO200" s="566">
        <v>40.73310993609897</v>
      </c>
      <c r="CP200" s="566">
        <v>768.65332153571285</v>
      </c>
      <c r="CQ200" s="566"/>
      <c r="CR200" s="566">
        <v>1.8913178579192058E-2</v>
      </c>
      <c r="CS200" s="566">
        <v>2.8690633602434167E-4</v>
      </c>
      <c r="CT200" s="566">
        <v>53.729835248587463</v>
      </c>
      <c r="CU200" s="566">
        <v>146.01804171935626</v>
      </c>
      <c r="CV200" s="566"/>
      <c r="CW200" s="566">
        <v>3.4934804722127782E-3</v>
      </c>
      <c r="CX200" s="566">
        <v>9.1691017684154935E-5</v>
      </c>
      <c r="CY200" s="552"/>
    </row>
    <row r="201" spans="3:103" ht="12.75" customHeight="1" x14ac:dyDescent="0.3"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BL201"/>
      <c r="BM201" s="562"/>
      <c r="BN201" s="591">
        <v>188</v>
      </c>
      <c r="BO201" s="549" t="s">
        <v>1933</v>
      </c>
      <c r="BP201" s="549" t="s">
        <v>2408</v>
      </c>
      <c r="BQ201" s="550" t="s">
        <v>2408</v>
      </c>
      <c r="BR201" s="566">
        <v>420040.98502047686</v>
      </c>
      <c r="BS201" s="566"/>
      <c r="BT201" s="566">
        <v>1608528.7003530834</v>
      </c>
      <c r="BU201" s="566">
        <v>52385.944174403281</v>
      </c>
      <c r="BV201" s="566">
        <v>99053.690229807806</v>
      </c>
      <c r="BW201" s="566">
        <v>913.28854964784887</v>
      </c>
      <c r="BX201" s="566">
        <v>4601.7987677876608</v>
      </c>
      <c r="BY201" s="566">
        <v>164767954.92970729</v>
      </c>
      <c r="BZ201" s="566">
        <v>1704.3699139954294</v>
      </c>
      <c r="CA201" s="566">
        <v>798012.47975894075</v>
      </c>
      <c r="CB201" s="566">
        <v>2.5971065271221875E-30</v>
      </c>
      <c r="CC201" s="566">
        <v>2610.0783216189006</v>
      </c>
      <c r="CD201" s="566">
        <v>812734.2021340864</v>
      </c>
      <c r="CE201" s="566">
        <v>160.72942278768434</v>
      </c>
      <c r="CF201" s="566">
        <v>708.45419741324793</v>
      </c>
      <c r="CG201" s="566">
        <v>2898.9882284051168</v>
      </c>
      <c r="CH201" s="566">
        <v>25022.739956442616</v>
      </c>
      <c r="CI201" s="566">
        <v>1073.6993438537465</v>
      </c>
      <c r="CJ201" s="566">
        <v>252110.55808667222</v>
      </c>
      <c r="CK201" s="566">
        <v>329150.86509035545</v>
      </c>
      <c r="CL201" s="566"/>
      <c r="CM201" s="566">
        <v>57.381297647406178</v>
      </c>
      <c r="CN201" s="566">
        <v>3287.2403405219602</v>
      </c>
      <c r="CO201" s="566">
        <v>24034.050225182182</v>
      </c>
      <c r="CP201" s="566">
        <v>324434.16854287358</v>
      </c>
      <c r="CQ201" s="566"/>
      <c r="CR201" s="566">
        <v>57.075393185076152</v>
      </c>
      <c r="CS201" s="566">
        <v>995.35478049649282</v>
      </c>
      <c r="CT201" s="566">
        <v>40945.550721402309</v>
      </c>
      <c r="CU201" s="566">
        <v>12103.621680702789</v>
      </c>
      <c r="CV201" s="566"/>
      <c r="CW201" s="566">
        <v>2.07440414980117</v>
      </c>
      <c r="CX201" s="566">
        <v>157.42629142799379</v>
      </c>
      <c r="CY201" s="552"/>
    </row>
    <row r="202" spans="3:103" ht="12.75" customHeight="1" x14ac:dyDescent="0.3"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BL202"/>
      <c r="BM202" s="562"/>
      <c r="BN202" s="591">
        <v>189</v>
      </c>
      <c r="BO202" s="549" t="s">
        <v>1793</v>
      </c>
      <c r="BP202" s="549" t="s">
        <v>2408</v>
      </c>
      <c r="BQ202" s="550" t="s">
        <v>2408</v>
      </c>
      <c r="BR202" s="566">
        <v>133334.53587354609</v>
      </c>
      <c r="BS202" s="566"/>
      <c r="BT202" s="566">
        <v>13324238.755656773</v>
      </c>
      <c r="BU202" s="566">
        <v>637650.49138538097</v>
      </c>
      <c r="BV202" s="566">
        <v>847461.51741842425</v>
      </c>
      <c r="BW202" s="566">
        <v>11461.792909306338</v>
      </c>
      <c r="BX202" s="566">
        <v>145071.90262784704</v>
      </c>
      <c r="BY202" s="566">
        <v>23647119.278461229</v>
      </c>
      <c r="BZ202" s="566">
        <v>53730.334306610013</v>
      </c>
      <c r="CA202" s="566">
        <v>61883.991430419715</v>
      </c>
      <c r="CB202" s="566">
        <v>2.3344781540905743E-30</v>
      </c>
      <c r="CC202" s="566">
        <v>37974.509334064918</v>
      </c>
      <c r="CD202" s="566">
        <v>40359735.559862092</v>
      </c>
      <c r="CE202" s="566">
        <v>2415.2926027240378</v>
      </c>
      <c r="CF202" s="566">
        <v>36273.392486255027</v>
      </c>
      <c r="CG202" s="566">
        <v>35747.834850795363</v>
      </c>
      <c r="CH202" s="566">
        <v>174712.78720284544</v>
      </c>
      <c r="CI202" s="566">
        <v>13239.938833627912</v>
      </c>
      <c r="CJ202" s="566">
        <v>11901.665750354041</v>
      </c>
      <c r="CK202" s="566">
        <v>566320482.54372787</v>
      </c>
      <c r="CL202" s="566"/>
      <c r="CM202" s="566">
        <v>102823.51102657647</v>
      </c>
      <c r="CN202" s="566">
        <v>24676.458452681502</v>
      </c>
      <c r="CO202" s="566">
        <v>1707.3468431081358</v>
      </c>
      <c r="CP202" s="566">
        <v>353323965.04861039</v>
      </c>
      <c r="CQ202" s="566"/>
      <c r="CR202" s="566">
        <v>64229.356325898509</v>
      </c>
      <c r="CS202" s="566">
        <v>12036.69811801875</v>
      </c>
      <c r="CT202" s="566">
        <v>15870.516684022197</v>
      </c>
      <c r="CU202" s="566">
        <v>680339420.92722106</v>
      </c>
      <c r="CV202" s="566"/>
      <c r="CW202" s="566">
        <v>123244.12202482973</v>
      </c>
      <c r="CX202" s="566">
        <v>9190.6978467008903</v>
      </c>
      <c r="CY202" s="552"/>
    </row>
    <row r="203" spans="3:103" ht="12.75" customHeight="1" x14ac:dyDescent="0.3"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BL203"/>
      <c r="BM203" s="562"/>
      <c r="BN203" s="591">
        <v>190</v>
      </c>
      <c r="BO203" s="549" t="s">
        <v>882</v>
      </c>
      <c r="BP203" s="549" t="s">
        <v>2408</v>
      </c>
      <c r="BQ203" s="550" t="s">
        <v>2408</v>
      </c>
      <c r="BR203" s="566">
        <v>590347.35459224775</v>
      </c>
      <c r="BS203" s="566"/>
      <c r="BT203" s="566">
        <v>3994911.1944770399</v>
      </c>
      <c r="BU203" s="566">
        <v>175848.01307831294</v>
      </c>
      <c r="BV203" s="566">
        <v>129383.91967938037</v>
      </c>
      <c r="BW203" s="566">
        <v>1663.5987751636426</v>
      </c>
      <c r="BX203" s="566">
        <v>50917.313176342883</v>
      </c>
      <c r="BY203" s="566">
        <v>54092442.426837258</v>
      </c>
      <c r="BZ203" s="566">
        <v>18858.264139386247</v>
      </c>
      <c r="CA203" s="566">
        <v>1857162.3411566254</v>
      </c>
      <c r="CB203" s="566">
        <v>4.6000621510737823E-29</v>
      </c>
      <c r="CC203" s="566">
        <v>127441.94047801786</v>
      </c>
      <c r="CD203" s="566">
        <v>90293072.46602717</v>
      </c>
      <c r="CE203" s="566">
        <v>4127.4854403242252</v>
      </c>
      <c r="CF203" s="566">
        <v>42710.589141928191</v>
      </c>
      <c r="CG203" s="566">
        <v>66893.924624281964</v>
      </c>
      <c r="CH203" s="566">
        <v>513864.67807633471</v>
      </c>
      <c r="CI203" s="566">
        <v>24775.527638622945</v>
      </c>
      <c r="CJ203" s="566">
        <v>2234776.3498536577</v>
      </c>
      <c r="CK203" s="566">
        <v>1571115951.9096606</v>
      </c>
      <c r="CL203" s="566"/>
      <c r="CM203" s="566">
        <v>150134.06601566833</v>
      </c>
      <c r="CN203" s="566">
        <v>288917.95346586592</v>
      </c>
      <c r="CO203" s="566">
        <v>474867.82835990761</v>
      </c>
      <c r="CP203" s="566">
        <v>1159534529.2689829</v>
      </c>
      <c r="CQ203" s="566"/>
      <c r="CR203" s="566">
        <v>111562.9608253789</v>
      </c>
      <c r="CS203" s="566">
        <v>199760.72756789232</v>
      </c>
      <c r="CT203" s="566">
        <v>2603429.4451414091</v>
      </c>
      <c r="CU203" s="566">
        <v>1726609142.6509931</v>
      </c>
      <c r="CV203" s="566"/>
      <c r="CW203" s="566">
        <v>162920.63863762919</v>
      </c>
      <c r="CX203" s="566">
        <v>97789.440803031001</v>
      </c>
      <c r="CY203" s="552"/>
    </row>
    <row r="204" spans="3:103" ht="12.75" customHeight="1" x14ac:dyDescent="0.3"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BL204"/>
      <c r="BM204" s="562"/>
      <c r="BN204" s="591">
        <v>191</v>
      </c>
      <c r="BO204" s="549" t="s">
        <v>1870</v>
      </c>
      <c r="BP204" s="549" t="s">
        <v>2408</v>
      </c>
      <c r="BQ204" s="550" t="s">
        <v>2408</v>
      </c>
      <c r="BR204" s="566">
        <v>18667.97587883746</v>
      </c>
      <c r="BS204" s="566"/>
      <c r="BT204" s="566">
        <v>371574.76184861059</v>
      </c>
      <c r="BU204" s="566">
        <v>15870.175724426623</v>
      </c>
      <c r="BV204" s="566">
        <v>110363202.41348243</v>
      </c>
      <c r="BW204" s="566">
        <v>3984796.3430361771</v>
      </c>
      <c r="BX204" s="566">
        <v>148840588.54150403</v>
      </c>
      <c r="BY204" s="566">
        <v>1562421579.3522339</v>
      </c>
      <c r="BZ204" s="566">
        <v>55126143.904260725</v>
      </c>
      <c r="CA204" s="566">
        <v>17185.726630496738</v>
      </c>
      <c r="CB204" s="566">
        <v>1.2560706833064982E-30</v>
      </c>
      <c r="CC204" s="566">
        <v>5486.3806199420505</v>
      </c>
      <c r="CD204" s="566">
        <v>5965662.7822212391</v>
      </c>
      <c r="CE204" s="566">
        <v>1629536.2253983389</v>
      </c>
      <c r="CF204" s="566">
        <v>74895047.323872909</v>
      </c>
      <c r="CG204" s="566">
        <v>71005262.547156319</v>
      </c>
      <c r="CH204" s="566">
        <v>167108271.28306374</v>
      </c>
      <c r="CI204" s="566">
        <v>26298245.387835674</v>
      </c>
      <c r="CJ204" s="566">
        <v>2460.2507626456395</v>
      </c>
      <c r="CK204" s="566">
        <v>170955948.74730986</v>
      </c>
      <c r="CL204" s="566"/>
      <c r="CM204" s="566">
        <v>433431016.1239863</v>
      </c>
      <c r="CN204" s="566">
        <v>36484270.650630198</v>
      </c>
      <c r="CO204" s="566">
        <v>233.15003587111229</v>
      </c>
      <c r="CP204" s="566">
        <v>111126404.10939229</v>
      </c>
      <c r="CQ204" s="566"/>
      <c r="CR204" s="566">
        <v>282426292.18210346</v>
      </c>
      <c r="CS204" s="566">
        <v>3952355.5423947158</v>
      </c>
      <c r="CT204" s="566">
        <v>95.368133301758007</v>
      </c>
      <c r="CU204" s="566">
        <v>317978516.86249459</v>
      </c>
      <c r="CV204" s="566"/>
      <c r="CW204" s="566">
        <v>802571541.09808755</v>
      </c>
      <c r="CX204" s="566">
        <v>694197.25156796083</v>
      </c>
      <c r="CY204" s="552"/>
    </row>
    <row r="205" spans="3:103" ht="12.75" customHeight="1" x14ac:dyDescent="0.3"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BL205"/>
      <c r="BM205" s="562"/>
      <c r="BN205" s="591">
        <v>192</v>
      </c>
      <c r="BO205" s="549" t="s">
        <v>1837</v>
      </c>
      <c r="BP205" s="549" t="s">
        <v>2408</v>
      </c>
      <c r="BQ205" s="550" t="s">
        <v>2408</v>
      </c>
      <c r="BR205" s="566">
        <v>3525.3591909769093</v>
      </c>
      <c r="BS205" s="566"/>
      <c r="BT205" s="566">
        <v>13641995.256839391</v>
      </c>
      <c r="BU205" s="566">
        <v>656690.39429475681</v>
      </c>
      <c r="BV205" s="566">
        <v>8357042.2537430534</v>
      </c>
      <c r="BW205" s="566">
        <v>108770.40481273897</v>
      </c>
      <c r="BX205" s="566">
        <v>3393756.9341881801</v>
      </c>
      <c r="BY205" s="566">
        <v>21442759.815772682</v>
      </c>
      <c r="BZ205" s="566">
        <v>1256947.0126622887</v>
      </c>
      <c r="CA205" s="566">
        <v>102.05214354716148</v>
      </c>
      <c r="CB205" s="566">
        <v>2.8179103801612897E-31</v>
      </c>
      <c r="CC205" s="566">
        <v>8466.1449177040013</v>
      </c>
      <c r="CD205" s="566">
        <v>17608926.029726423</v>
      </c>
      <c r="CE205" s="566">
        <v>5186.3330452407954</v>
      </c>
      <c r="CF205" s="566">
        <v>145832.04118798333</v>
      </c>
      <c r="CG205" s="566">
        <v>50909.400560875431</v>
      </c>
      <c r="CH205" s="566">
        <v>118137.52065306195</v>
      </c>
      <c r="CI205" s="566">
        <v>18855.333541064974</v>
      </c>
      <c r="CJ205" s="566">
        <v>0.43410501633295057</v>
      </c>
      <c r="CK205" s="566">
        <v>21774237.012957357</v>
      </c>
      <c r="CL205" s="566"/>
      <c r="CM205" s="566">
        <v>36393.001589433174</v>
      </c>
      <c r="CN205" s="566">
        <v>777.27430643937066</v>
      </c>
      <c r="CO205" s="566">
        <v>2.1480951860466473E-3</v>
      </c>
      <c r="CP205" s="566">
        <v>4256612.5270866212</v>
      </c>
      <c r="CQ205" s="566"/>
      <c r="CR205" s="566">
        <v>7124.3934278019078</v>
      </c>
      <c r="CS205" s="566">
        <v>3.2247518797219863</v>
      </c>
      <c r="CT205" s="566">
        <v>3.8443101365095197E-4</v>
      </c>
      <c r="CU205" s="566">
        <v>982109.05684328696</v>
      </c>
      <c r="CV205" s="566"/>
      <c r="CW205" s="566">
        <v>1637.1492317548675</v>
      </c>
      <c r="CX205" s="566">
        <v>0.39264942232477984</v>
      </c>
      <c r="CY205" s="552"/>
    </row>
    <row r="206" spans="3:103" ht="12.75" customHeight="1" x14ac:dyDescent="0.3"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BL206"/>
      <c r="BM206" s="562"/>
      <c r="BN206" s="591">
        <v>193</v>
      </c>
      <c r="BO206" s="549" t="s">
        <v>1930</v>
      </c>
      <c r="BP206" s="549" t="s">
        <v>2408</v>
      </c>
      <c r="BQ206" s="550" t="s">
        <v>2408</v>
      </c>
      <c r="BR206" s="566">
        <v>45538.43136230416</v>
      </c>
      <c r="BS206" s="566"/>
      <c r="BT206" s="566">
        <v>37963079.569107801</v>
      </c>
      <c r="BU206" s="566">
        <v>1851072.2552579665</v>
      </c>
      <c r="BV206" s="566">
        <v>9992872.201809898</v>
      </c>
      <c r="BW206" s="566">
        <v>129518.23673175296</v>
      </c>
      <c r="BX206" s="566">
        <v>26632636.152533509</v>
      </c>
      <c r="BY206" s="566">
        <v>478005256.86358941</v>
      </c>
      <c r="BZ206" s="566">
        <v>9863939.3157531433</v>
      </c>
      <c r="CA206" s="566">
        <v>12150.317155479463</v>
      </c>
      <c r="CB206" s="566">
        <v>3.4123301861086245E-30</v>
      </c>
      <c r="CC206" s="566">
        <v>848240.08842987078</v>
      </c>
      <c r="CD206" s="566">
        <v>134795057.34388882</v>
      </c>
      <c r="CE206" s="566">
        <v>223278.90403889166</v>
      </c>
      <c r="CF206" s="566">
        <v>471575.81498359697</v>
      </c>
      <c r="CG206" s="566">
        <v>3673732.1585736088</v>
      </c>
      <c r="CH206" s="566">
        <v>20611630.118942805</v>
      </c>
      <c r="CI206" s="566">
        <v>1360641.5402124482</v>
      </c>
      <c r="CJ206" s="566">
        <v>733.54316232387225</v>
      </c>
      <c r="CK206" s="566">
        <v>2599947206.8304543</v>
      </c>
      <c r="CL206" s="566"/>
      <c r="CM206" s="566">
        <v>1837520.0914980723</v>
      </c>
      <c r="CN206" s="566">
        <v>796066.23573186516</v>
      </c>
      <c r="CO206" s="566">
        <v>38.803001421402996</v>
      </c>
      <c r="CP206" s="566">
        <v>1669755307.8829191</v>
      </c>
      <c r="CQ206" s="566"/>
      <c r="CR206" s="566">
        <v>1184301.3271404782</v>
      </c>
      <c r="CS206" s="566">
        <v>137496.86938371992</v>
      </c>
      <c r="CT206" s="566">
        <v>786.49457659952054</v>
      </c>
      <c r="CU206" s="566">
        <v>3982095159.517498</v>
      </c>
      <c r="CV206" s="566"/>
      <c r="CW206" s="566">
        <v>2795837.1366119897</v>
      </c>
      <c r="CX206" s="566">
        <v>241177.71268971759</v>
      </c>
      <c r="CY206" s="552"/>
    </row>
    <row r="207" spans="3:103" ht="12.75" customHeight="1" x14ac:dyDescent="0.3"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BL207"/>
      <c r="BM207" s="562"/>
      <c r="BN207" s="591">
        <v>194</v>
      </c>
      <c r="BO207" s="549" t="s">
        <v>1849</v>
      </c>
      <c r="BP207" s="549" t="s">
        <v>2408</v>
      </c>
      <c r="BQ207" s="550" t="s">
        <v>2408</v>
      </c>
      <c r="BR207" s="566">
        <v>974.14628801640083</v>
      </c>
      <c r="BS207" s="566"/>
      <c r="BT207" s="566">
        <v>52952702.621662527</v>
      </c>
      <c r="BU207" s="566">
        <v>2581852.8149919915</v>
      </c>
      <c r="BV207" s="566">
        <v>2064611.9076618659</v>
      </c>
      <c r="BW207" s="566">
        <v>29176.788604520116</v>
      </c>
      <c r="BX207" s="566">
        <v>7925870.1412971532</v>
      </c>
      <c r="BY207" s="566">
        <v>167885322.80528903</v>
      </c>
      <c r="BZ207" s="566">
        <v>2935507.4597396855</v>
      </c>
      <c r="CA207" s="566">
        <v>4.7361182031519782</v>
      </c>
      <c r="CB207" s="566">
        <v>7.8539325980873917E-32</v>
      </c>
      <c r="CC207" s="566">
        <v>32470.289990209894</v>
      </c>
      <c r="CD207" s="566">
        <v>171636982.42912346</v>
      </c>
      <c r="CE207" s="566">
        <v>1266.0080418935279</v>
      </c>
      <c r="CF207" s="566">
        <v>96981.050274699723</v>
      </c>
      <c r="CG207" s="566">
        <v>19968.310306771778</v>
      </c>
      <c r="CH207" s="566">
        <v>157760.50228043643</v>
      </c>
      <c r="CI207" s="566">
        <v>7395.6704839895465</v>
      </c>
      <c r="CJ207" s="566">
        <v>8.5859684304248451E-2</v>
      </c>
      <c r="CK207" s="566">
        <v>3308499264.5316453</v>
      </c>
      <c r="CL207" s="566"/>
      <c r="CM207" s="566">
        <v>377656.8692503823</v>
      </c>
      <c r="CN207" s="566">
        <v>1299.3068460379143</v>
      </c>
      <c r="CO207" s="566">
        <v>1.1203802587758304E-2</v>
      </c>
      <c r="CP207" s="566">
        <v>2124934153.1228113</v>
      </c>
      <c r="CQ207" s="566"/>
      <c r="CR207" s="566">
        <v>242752.22559533428</v>
      </c>
      <c r="CS207" s="566">
        <v>482.5138827234739</v>
      </c>
      <c r="CT207" s="566">
        <v>0.26864397788907224</v>
      </c>
      <c r="CU207" s="566">
        <v>5072940832.7709455</v>
      </c>
      <c r="CV207" s="566"/>
      <c r="CW207" s="566">
        <v>578189.24241531547</v>
      </c>
      <c r="CX207" s="566">
        <v>1217.3586558575039</v>
      </c>
      <c r="CY207" s="552"/>
    </row>
    <row r="208" spans="3:103" ht="12.75" customHeight="1" x14ac:dyDescent="0.3"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BL208"/>
      <c r="BM208" s="562"/>
      <c r="BN208" s="591">
        <v>195</v>
      </c>
      <c r="BO208" s="549" t="s">
        <v>1867</v>
      </c>
      <c r="BP208" s="549" t="s">
        <v>2408</v>
      </c>
      <c r="BQ208" s="550" t="s">
        <v>2408</v>
      </c>
      <c r="BR208" s="566">
        <v>46510.361794987053</v>
      </c>
      <c r="BS208" s="566"/>
      <c r="BT208" s="566">
        <v>2483036.156011587</v>
      </c>
      <c r="BU208" s="566">
        <v>107882.62176314552</v>
      </c>
      <c r="BV208" s="566">
        <v>50537503.394240655</v>
      </c>
      <c r="BW208" s="566">
        <v>934102.92847199715</v>
      </c>
      <c r="BX208" s="566">
        <v>101146.77771473586</v>
      </c>
      <c r="BY208" s="566">
        <v>11463952.476135993</v>
      </c>
      <c r="BZ208" s="566">
        <v>37461.76952397624</v>
      </c>
      <c r="CA208" s="566">
        <v>9093.092356338364</v>
      </c>
      <c r="CB208" s="566">
        <v>2.187887790556623E-31</v>
      </c>
      <c r="CC208" s="566">
        <v>664.95055851477014</v>
      </c>
      <c r="CD208" s="566">
        <v>2742658.820779433</v>
      </c>
      <c r="CE208" s="566">
        <v>13533.810623974503</v>
      </c>
      <c r="CF208" s="566">
        <v>1187367.1562757748</v>
      </c>
      <c r="CG208" s="566">
        <v>10204.343101866325</v>
      </c>
      <c r="CH208" s="566">
        <v>24032.523704562707</v>
      </c>
      <c r="CI208" s="566">
        <v>3779.3863340245634</v>
      </c>
      <c r="CJ208" s="566">
        <v>347.00577829463521</v>
      </c>
      <c r="CK208" s="566">
        <v>3308535.602981572</v>
      </c>
      <c r="CL208" s="566"/>
      <c r="CM208" s="566">
        <v>289075.99211235909</v>
      </c>
      <c r="CN208" s="566">
        <v>1397.6995084076746</v>
      </c>
      <c r="CO208" s="566">
        <v>11.144769763195931</v>
      </c>
      <c r="CP208" s="566">
        <v>618654.13455889875</v>
      </c>
      <c r="CQ208" s="566"/>
      <c r="CR208" s="566">
        <v>54201.301020110463</v>
      </c>
      <c r="CS208" s="566">
        <v>174.85357359065299</v>
      </c>
      <c r="CT208" s="566">
        <v>10.033859677716801</v>
      </c>
      <c r="CU208" s="566">
        <v>147975.52626682905</v>
      </c>
      <c r="CV208" s="566"/>
      <c r="CW208" s="566">
        <v>12863.122154929566</v>
      </c>
      <c r="CX208" s="566">
        <v>9.8042953264640023</v>
      </c>
      <c r="CY208" s="552"/>
    </row>
    <row r="209" spans="3:103" ht="12.75" customHeight="1" x14ac:dyDescent="0.3"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BL209"/>
      <c r="BM209" s="562"/>
      <c r="BN209" s="591">
        <v>196</v>
      </c>
      <c r="BO209" s="549" t="s">
        <v>1765</v>
      </c>
      <c r="BP209" s="549" t="s">
        <v>2408</v>
      </c>
      <c r="BQ209" s="550" t="s">
        <v>2408</v>
      </c>
      <c r="BR209" s="566">
        <v>49426.838063618976</v>
      </c>
      <c r="BS209" s="566"/>
      <c r="BT209" s="566">
        <v>789511.98852324288</v>
      </c>
      <c r="BU209" s="566">
        <v>33228.708737447865</v>
      </c>
      <c r="BV209" s="566">
        <v>243565966.0113208</v>
      </c>
      <c r="BW209" s="566">
        <v>8854543.7028935608</v>
      </c>
      <c r="BX209" s="566">
        <v>157255.78893971621</v>
      </c>
      <c r="BY209" s="566">
        <v>1782878.6578505198</v>
      </c>
      <c r="BZ209" s="566">
        <v>58242.884792487457</v>
      </c>
      <c r="CA209" s="566">
        <v>58884.512985450601</v>
      </c>
      <c r="CB209" s="566">
        <v>3.1386518005810194E-30</v>
      </c>
      <c r="CC209" s="566">
        <v>5913.4958013480536</v>
      </c>
      <c r="CD209" s="566">
        <v>7340842.2181793218</v>
      </c>
      <c r="CE209" s="566">
        <v>1824324.8212776515</v>
      </c>
      <c r="CF209" s="566">
        <v>97806701.955381528</v>
      </c>
      <c r="CG209" s="566">
        <v>97083.045422669151</v>
      </c>
      <c r="CH209" s="566">
        <v>215746.44583789809</v>
      </c>
      <c r="CI209" s="566">
        <v>35956.683489877476</v>
      </c>
      <c r="CJ209" s="566">
        <v>11122.829192871262</v>
      </c>
      <c r="CK209" s="566">
        <v>50108817.840253048</v>
      </c>
      <c r="CL209" s="566"/>
      <c r="CM209" s="566">
        <v>134809892.85255724</v>
      </c>
      <c r="CN209" s="566">
        <v>65820.507613973736</v>
      </c>
      <c r="CO209" s="566">
        <v>1217.4283841305264</v>
      </c>
      <c r="CP209" s="566">
        <v>26786985.989226483</v>
      </c>
      <c r="CQ209" s="566"/>
      <c r="CR209" s="566">
        <v>72248322.801727369</v>
      </c>
      <c r="CS209" s="566">
        <v>11749.700513262809</v>
      </c>
      <c r="CT209" s="566">
        <v>633.5742814314882</v>
      </c>
      <c r="CU209" s="566">
        <v>18144525.275028203</v>
      </c>
      <c r="CV209" s="566"/>
      <c r="CW209" s="566">
        <v>48587047.356841497</v>
      </c>
      <c r="CX209" s="566">
        <v>1627.8812866863932</v>
      </c>
      <c r="CY209" s="552"/>
    </row>
    <row r="210" spans="3:103" ht="12.75" customHeight="1" x14ac:dyDescent="0.3"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BL210"/>
      <c r="BM210" s="562"/>
      <c r="BN210" s="591">
        <v>197</v>
      </c>
      <c r="BO210" s="549" t="s">
        <v>1898</v>
      </c>
      <c r="BP210" s="549" t="s">
        <v>2408</v>
      </c>
      <c r="BQ210" s="550" t="s">
        <v>2408</v>
      </c>
      <c r="BR210" s="566">
        <v>4.2134870393040087</v>
      </c>
      <c r="BS210" s="566"/>
      <c r="BT210" s="566">
        <v>151779004.51861885</v>
      </c>
      <c r="BU210" s="566">
        <v>7399985.735616656</v>
      </c>
      <c r="BV210" s="566">
        <v>1184119.7121357517</v>
      </c>
      <c r="BW210" s="566">
        <v>17607.321185782021</v>
      </c>
      <c r="BX210" s="566">
        <v>1261960.4903334321</v>
      </c>
      <c r="BY210" s="566">
        <v>27999763.409190007</v>
      </c>
      <c r="BZ210" s="566">
        <v>467392.77419756731</v>
      </c>
      <c r="CA210" s="566">
        <v>3.185212175767437E-5</v>
      </c>
      <c r="CB210" s="566">
        <v>3.407866369218715E-34</v>
      </c>
      <c r="CC210" s="566">
        <v>147.87855922972182</v>
      </c>
      <c r="CD210" s="566">
        <v>491003723.1681211</v>
      </c>
      <c r="CE210" s="566">
        <v>1.1536899819676154</v>
      </c>
      <c r="CF210" s="566">
        <v>58414.033257021423</v>
      </c>
      <c r="CG210" s="566">
        <v>4.9435730238478053</v>
      </c>
      <c r="CH210" s="566">
        <v>41.019773289901934</v>
      </c>
      <c r="CI210" s="566">
        <v>1.8309529717954836</v>
      </c>
      <c r="CJ210" s="566">
        <v>8.0820889114791102E-7</v>
      </c>
      <c r="CK210" s="566">
        <v>9463799899.348259</v>
      </c>
      <c r="CL210" s="566"/>
      <c r="CM210" s="566">
        <v>227451.1949527832</v>
      </c>
      <c r="CN210" s="566">
        <v>0.45022526846932553</v>
      </c>
      <c r="CO210" s="566">
        <v>1.0298761617681832E-7</v>
      </c>
      <c r="CP210" s="566">
        <v>6078246590.1693392</v>
      </c>
      <c r="CQ210" s="566"/>
      <c r="CR210" s="566">
        <v>146349.5029209315</v>
      </c>
      <c r="CS210" s="566">
        <v>0.17259193910660164</v>
      </c>
      <c r="CT210" s="566">
        <v>2.6562643190585733E-6</v>
      </c>
      <c r="CU210" s="566">
        <v>14509953655.041357</v>
      </c>
      <c r="CV210" s="566"/>
      <c r="CW210" s="566">
        <v>347548.45004478027</v>
      </c>
      <c r="CX210" s="566">
        <v>0.44200572531832816</v>
      </c>
      <c r="CY210" s="552"/>
    </row>
    <row r="211" spans="3:103" ht="12.75" customHeight="1" x14ac:dyDescent="0.3"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BL211"/>
      <c r="BM211" s="562"/>
      <c r="BN211" s="591">
        <v>198</v>
      </c>
      <c r="BO211" s="549" t="s">
        <v>1761</v>
      </c>
      <c r="BP211" s="549" t="s">
        <v>2408</v>
      </c>
      <c r="BQ211" s="550" t="s">
        <v>2408</v>
      </c>
      <c r="BR211" s="566">
        <v>426432.40299970139</v>
      </c>
      <c r="BS211" s="566"/>
      <c r="BT211" s="566">
        <v>1069724.8099858474</v>
      </c>
      <c r="BU211" s="566">
        <v>34149.625219446782</v>
      </c>
      <c r="BV211" s="566">
        <v>8770.0743361784462</v>
      </c>
      <c r="BW211" s="566">
        <v>85.31409844846759</v>
      </c>
      <c r="BX211" s="566">
        <v>3.0269794919962667</v>
      </c>
      <c r="BY211" s="566">
        <v>2353156.0364275291</v>
      </c>
      <c r="BZ211" s="566">
        <v>1.1211035155541724</v>
      </c>
      <c r="CA211" s="566">
        <v>1208834.1810602685</v>
      </c>
      <c r="CB211" s="566">
        <v>4.230074176110872E-32</v>
      </c>
      <c r="CC211" s="566">
        <v>40.226285223788544</v>
      </c>
      <c r="CD211" s="566">
        <v>182249.54422726348</v>
      </c>
      <c r="CE211" s="566">
        <v>0.32979277323259382</v>
      </c>
      <c r="CF211" s="566">
        <v>22.765192089925058</v>
      </c>
      <c r="CG211" s="566">
        <v>5.1377306607479243</v>
      </c>
      <c r="CH211" s="566">
        <v>20.218629648275687</v>
      </c>
      <c r="CI211" s="566">
        <v>1.9028632076844159</v>
      </c>
      <c r="CJ211" s="566">
        <v>632973.63109538995</v>
      </c>
      <c r="CK211" s="566">
        <v>31367.244721922376</v>
      </c>
      <c r="CL211" s="566"/>
      <c r="CM211" s="566">
        <v>0.78359709086870244</v>
      </c>
      <c r="CN211" s="566">
        <v>9.6559248063579091</v>
      </c>
      <c r="CO211" s="566">
        <v>112686.12327585685</v>
      </c>
      <c r="CP211" s="566">
        <v>19954.045107399124</v>
      </c>
      <c r="CQ211" s="566"/>
      <c r="CR211" s="566">
        <v>0.50339301524047242</v>
      </c>
      <c r="CS211" s="566">
        <v>6.8697933544209446</v>
      </c>
      <c r="CT211" s="566">
        <v>180692.42283250284</v>
      </c>
      <c r="CU211" s="566">
        <v>625.31430007555559</v>
      </c>
      <c r="CV211" s="566"/>
      <c r="CW211" s="566">
        <v>1.5336820821603182E-2</v>
      </c>
      <c r="CX211" s="566">
        <v>0.79197617165308454</v>
      </c>
      <c r="CY211" s="552"/>
    </row>
    <row r="212" spans="3:103" ht="12.75" customHeight="1" x14ac:dyDescent="0.3"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BL212"/>
      <c r="BM212" s="562"/>
      <c r="BN212" s="591">
        <v>199</v>
      </c>
      <c r="BO212" s="549" t="s">
        <v>1842</v>
      </c>
      <c r="BP212" s="549" t="s">
        <v>2408</v>
      </c>
      <c r="BQ212" s="550" t="s">
        <v>2408</v>
      </c>
      <c r="BR212" s="566">
        <v>33700.892604304267</v>
      </c>
      <c r="BS212" s="566"/>
      <c r="BT212" s="566">
        <v>36863091.557694808</v>
      </c>
      <c r="BU212" s="566">
        <v>1769974.1050136776</v>
      </c>
      <c r="BV212" s="566">
        <v>337328.98042954324</v>
      </c>
      <c r="BW212" s="566">
        <v>4925.437079920197</v>
      </c>
      <c r="BX212" s="566">
        <v>626810.48648656334</v>
      </c>
      <c r="BY212" s="566">
        <v>14981104.812667903</v>
      </c>
      <c r="BZ212" s="566">
        <v>232152.03203206044</v>
      </c>
      <c r="CA212" s="566">
        <v>6209.3103305271006</v>
      </c>
      <c r="CB212" s="566">
        <v>2.5914241461468624E-30</v>
      </c>
      <c r="CC212" s="566">
        <v>733840.47934580967</v>
      </c>
      <c r="CD212" s="566">
        <v>50322279.008755252</v>
      </c>
      <c r="CE212" s="566">
        <v>6715.271298073656</v>
      </c>
      <c r="CF212" s="566">
        <v>7001.7752879468671</v>
      </c>
      <c r="CG212" s="566">
        <v>59556.993367812902</v>
      </c>
      <c r="CH212" s="566">
        <v>472235.38133261167</v>
      </c>
      <c r="CI212" s="566">
        <v>22058.145691782549</v>
      </c>
      <c r="CJ212" s="566">
        <v>171.78719300306764</v>
      </c>
      <c r="CK212" s="566">
        <v>62392770.420857146</v>
      </c>
      <c r="CL212" s="566"/>
      <c r="CM212" s="566">
        <v>1752.0096013264488</v>
      </c>
      <c r="CN212" s="566">
        <v>5914.0342878338834</v>
      </c>
      <c r="CO212" s="566">
        <v>1.0906792947766546</v>
      </c>
      <c r="CP212" s="566">
        <v>12195434.673208773</v>
      </c>
      <c r="CQ212" s="566"/>
      <c r="CR212" s="566">
        <v>343.44902654069131</v>
      </c>
      <c r="CS212" s="566">
        <v>116.17641380579276</v>
      </c>
      <c r="CT212" s="566">
        <v>2.5891703626346523</v>
      </c>
      <c r="CU212" s="566">
        <v>2812922.8576939218</v>
      </c>
      <c r="CV212" s="566"/>
      <c r="CW212" s="566">
        <v>78.559030166547942</v>
      </c>
      <c r="CX212" s="566">
        <v>26.389032282601161</v>
      </c>
      <c r="CY212" s="552"/>
    </row>
    <row r="213" spans="3:103" ht="12.75" customHeight="1" x14ac:dyDescent="0.3"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BL213"/>
      <c r="BM213" s="562"/>
      <c r="BN213" s="591">
        <v>200</v>
      </c>
      <c r="BO213" s="549" t="s">
        <v>1831</v>
      </c>
      <c r="BP213" s="549" t="s">
        <v>2408</v>
      </c>
      <c r="BQ213" s="550" t="s">
        <v>2408</v>
      </c>
      <c r="BR213" s="566">
        <v>122385.31434018571</v>
      </c>
      <c r="BS213" s="566"/>
      <c r="BT213" s="566">
        <v>7920322.8280175598</v>
      </c>
      <c r="BU213" s="566">
        <v>334932.2701625973</v>
      </c>
      <c r="BV213" s="566">
        <v>105735.07231045257</v>
      </c>
      <c r="BW213" s="566">
        <v>1348.1062553155175</v>
      </c>
      <c r="BX213" s="566">
        <v>330841.88245645887</v>
      </c>
      <c r="BY213" s="566">
        <v>18427721.0093944</v>
      </c>
      <c r="BZ213" s="566">
        <v>122534.03053942919</v>
      </c>
      <c r="CA213" s="566">
        <v>118579.95735118439</v>
      </c>
      <c r="CB213" s="566">
        <v>7.1580906204697532E-30</v>
      </c>
      <c r="CC213" s="566">
        <v>265484.92616811284</v>
      </c>
      <c r="CD213" s="566">
        <v>3592055.0999396201</v>
      </c>
      <c r="CE213" s="566">
        <v>3544.1822859064819</v>
      </c>
      <c r="CF213" s="566">
        <v>722.90316297616891</v>
      </c>
      <c r="CG213" s="566">
        <v>155534.4911360172</v>
      </c>
      <c r="CH213" s="566">
        <v>1144561.3650903411</v>
      </c>
      <c r="CI213" s="566">
        <v>57605.367087413768</v>
      </c>
      <c r="CJ213" s="566">
        <v>17914.982345852641</v>
      </c>
      <c r="CK213" s="566">
        <v>849320.76902169816</v>
      </c>
      <c r="CL213" s="566"/>
      <c r="CM213" s="566">
        <v>34.18380657185854</v>
      </c>
      <c r="CN213" s="566">
        <v>84340.362389776332</v>
      </c>
      <c r="CO213" s="566">
        <v>699.4527197253675</v>
      </c>
      <c r="CP213" s="566">
        <v>102045.8316121875</v>
      </c>
      <c r="CQ213" s="566"/>
      <c r="CR213" s="566">
        <v>4.1523375379425911</v>
      </c>
      <c r="CS213" s="566">
        <v>10585.392718710849</v>
      </c>
      <c r="CT213" s="566">
        <v>1246.7699092323253</v>
      </c>
      <c r="CU213" s="566">
        <v>15789.032611774461</v>
      </c>
      <c r="CV213" s="566"/>
      <c r="CW213" s="566">
        <v>0.62261181368759089</v>
      </c>
      <c r="CX213" s="566">
        <v>1705.5687527154184</v>
      </c>
      <c r="CY213" s="552"/>
    </row>
    <row r="214" spans="3:103" ht="12.75" customHeight="1" x14ac:dyDescent="0.3"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BL214"/>
      <c r="BM214" s="562"/>
      <c r="BN214" s="591">
        <v>201</v>
      </c>
      <c r="BO214" s="549" t="s">
        <v>1811</v>
      </c>
      <c r="BP214" s="549" t="s">
        <v>2408</v>
      </c>
      <c r="BQ214" s="550" t="s">
        <v>2408</v>
      </c>
      <c r="BR214" s="566">
        <v>158.53405756656201</v>
      </c>
      <c r="BS214" s="566"/>
      <c r="BT214" s="566">
        <v>40645928.999151289</v>
      </c>
      <c r="BU214" s="566">
        <v>1982374.290293955</v>
      </c>
      <c r="BV214" s="566">
        <v>327643.6768653912</v>
      </c>
      <c r="BW214" s="566">
        <v>4870.8370530141874</v>
      </c>
      <c r="BX214" s="566">
        <v>397767.17737714219</v>
      </c>
      <c r="BY214" s="566">
        <v>6718593.1304338984</v>
      </c>
      <c r="BZ214" s="566">
        <v>147321.1768063489</v>
      </c>
      <c r="CA214" s="566">
        <v>0.14545792478801728</v>
      </c>
      <c r="CB214" s="566">
        <v>1.2771868095206369E-32</v>
      </c>
      <c r="CC214" s="566">
        <v>4276.9971495789068</v>
      </c>
      <c r="CD214" s="566">
        <v>131581771.07510635</v>
      </c>
      <c r="CE214" s="566">
        <v>34.476541846542403</v>
      </c>
      <c r="CF214" s="566">
        <v>16165.296563617687</v>
      </c>
      <c r="CG214" s="566">
        <v>189.12208743692426</v>
      </c>
      <c r="CH214" s="566">
        <v>1193.2217673358496</v>
      </c>
      <c r="CI214" s="566">
        <v>70.04521756923117</v>
      </c>
      <c r="CJ214" s="566">
        <v>2.1948762777570679E-3</v>
      </c>
      <c r="CK214" s="566">
        <v>2536138872.9366941</v>
      </c>
      <c r="CL214" s="566"/>
      <c r="CM214" s="566">
        <v>62943.551074035357</v>
      </c>
      <c r="CN214" s="566">
        <v>10.242796997199362</v>
      </c>
      <c r="CO214" s="566">
        <v>2.7347948354531352E-4</v>
      </c>
      <c r="CP214" s="566">
        <v>1628866900.1982226</v>
      </c>
      <c r="CQ214" s="566"/>
      <c r="CR214" s="566">
        <v>40502.264907312361</v>
      </c>
      <c r="CS214" s="566">
        <v>4.0752527177036475</v>
      </c>
      <c r="CT214" s="566">
        <v>7.1596825954472311E-3</v>
      </c>
      <c r="CU214" s="566">
        <v>3888403819.4598188</v>
      </c>
      <c r="CV214" s="566"/>
      <c r="CW214" s="566">
        <v>96167.716281273548</v>
      </c>
      <c r="CX214" s="566">
        <v>9.6128697110127526</v>
      </c>
      <c r="CY214" s="552"/>
    </row>
    <row r="215" spans="3:103" ht="12.75" customHeight="1" x14ac:dyDescent="0.3"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BL215"/>
      <c r="BM215" s="562"/>
      <c r="BN215" s="591">
        <v>202</v>
      </c>
      <c r="BO215" s="549" t="s">
        <v>1961</v>
      </c>
      <c r="BP215" s="549" t="s">
        <v>2408</v>
      </c>
      <c r="BQ215" s="550" t="s">
        <v>2408</v>
      </c>
      <c r="BR215" s="566">
        <v>100915.62188718733</v>
      </c>
      <c r="BS215" s="566"/>
      <c r="BT215" s="566">
        <v>3051450.119411312</v>
      </c>
      <c r="BU215" s="566">
        <v>136280.6279439441</v>
      </c>
      <c r="BV215" s="566">
        <v>5863262.0422215657</v>
      </c>
      <c r="BW215" s="566">
        <v>79474.907394605863</v>
      </c>
      <c r="BX215" s="566">
        <v>202397.77973765534</v>
      </c>
      <c r="BY215" s="566">
        <v>44195066.835912518</v>
      </c>
      <c r="BZ215" s="566">
        <v>74962.140643576044</v>
      </c>
      <c r="CA215" s="566">
        <v>38700.715205985842</v>
      </c>
      <c r="CB215" s="566">
        <v>9.6502947525677302E-31</v>
      </c>
      <c r="CC215" s="566">
        <v>3666.2152034177793</v>
      </c>
      <c r="CD215" s="566">
        <v>7180328.7138664797</v>
      </c>
      <c r="CE215" s="566">
        <v>7044.5131329763008</v>
      </c>
      <c r="CF215" s="566">
        <v>209367.96674876424</v>
      </c>
      <c r="CG215" s="566">
        <v>48915.716369151043</v>
      </c>
      <c r="CH215" s="566">
        <v>229636.03055140335</v>
      </c>
      <c r="CI215" s="566">
        <v>18116.931988574459</v>
      </c>
      <c r="CJ215" s="566">
        <v>5228.7687614644601</v>
      </c>
      <c r="CK215" s="566">
        <v>57625589.814363807</v>
      </c>
      <c r="CL215" s="566"/>
      <c r="CM215" s="566">
        <v>339446.50874750374</v>
      </c>
      <c r="CN215" s="566">
        <v>23720.974046894371</v>
      </c>
      <c r="CO215" s="566">
        <v>721.15247173343278</v>
      </c>
      <c r="CP215" s="566">
        <v>31083579.849874549</v>
      </c>
      <c r="CQ215" s="566"/>
      <c r="CR215" s="566">
        <v>183301.29571681604</v>
      </c>
      <c r="CS215" s="566">
        <v>10546.680196264482</v>
      </c>
      <c r="CT215" s="566">
        <v>3191.4963966793366</v>
      </c>
      <c r="CU215" s="566">
        <v>39838115.112216301</v>
      </c>
      <c r="CV215" s="566"/>
      <c r="CW215" s="566">
        <v>234186.38096837007</v>
      </c>
      <c r="CX215" s="566">
        <v>4087.8729183877413</v>
      </c>
      <c r="CY215" s="552"/>
    </row>
    <row r="216" spans="3:103" ht="12.75" customHeight="1" x14ac:dyDescent="0.3"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BL216"/>
      <c r="BM216" s="562"/>
      <c r="BN216" s="591">
        <v>203</v>
      </c>
      <c r="BO216" s="549" t="s">
        <v>1883</v>
      </c>
      <c r="BP216" s="549" t="s">
        <v>2408</v>
      </c>
      <c r="BQ216" s="550" t="s">
        <v>2408</v>
      </c>
      <c r="BR216" s="566">
        <v>753065.4519264875</v>
      </c>
      <c r="BS216" s="566"/>
      <c r="BT216" s="566">
        <v>2514109.913943382</v>
      </c>
      <c r="BU216" s="566">
        <v>84570.266908450372</v>
      </c>
      <c r="BV216" s="566">
        <v>19769.948347768172</v>
      </c>
      <c r="BW216" s="566">
        <v>202.79568293914483</v>
      </c>
      <c r="BX216" s="566">
        <v>9.6438092005903666</v>
      </c>
      <c r="BY216" s="566">
        <v>19493742.77142258</v>
      </c>
      <c r="BZ216" s="566">
        <v>3.5717811854038399</v>
      </c>
      <c r="CA216" s="566">
        <v>1487603.6360907478</v>
      </c>
      <c r="CB216" s="566">
        <v>9.6216429078773866E-32</v>
      </c>
      <c r="CC216" s="566">
        <v>88.727272917607849</v>
      </c>
      <c r="CD216" s="566">
        <v>1486019.0987181626</v>
      </c>
      <c r="CE216" s="566">
        <v>0.69771555845308186</v>
      </c>
      <c r="CF216" s="566">
        <v>178.17033633782361</v>
      </c>
      <c r="CG216" s="566">
        <v>8.8418215103429603</v>
      </c>
      <c r="CH216" s="566">
        <v>71.896155203383287</v>
      </c>
      <c r="CI216" s="566">
        <v>3.274748707534429</v>
      </c>
      <c r="CJ216" s="566">
        <v>494298.09615298646</v>
      </c>
      <c r="CK216" s="566">
        <v>1542528.9254610105</v>
      </c>
      <c r="CL216" s="566"/>
      <c r="CM216" s="566">
        <v>37.324903171773727</v>
      </c>
      <c r="CN216" s="566">
        <v>10.545012659242731</v>
      </c>
      <c r="CO216" s="566">
        <v>56421.305612553952</v>
      </c>
      <c r="CP216" s="566">
        <v>235588.81165005302</v>
      </c>
      <c r="CQ216" s="566"/>
      <c r="CR216" s="566">
        <v>5.7155525772061111</v>
      </c>
      <c r="CS216" s="566">
        <v>3.012778892387709</v>
      </c>
      <c r="CT216" s="566">
        <v>83178.843470468739</v>
      </c>
      <c r="CU216" s="566">
        <v>66279.761760770532</v>
      </c>
      <c r="CV216" s="566"/>
      <c r="CW216" s="566">
        <v>1.5959305036417581</v>
      </c>
      <c r="CX216" s="566">
        <v>0.67608555628574041</v>
      </c>
      <c r="CY216" s="552"/>
    </row>
    <row r="217" spans="3:103" ht="12.75" customHeight="1" x14ac:dyDescent="0.3"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BL217"/>
      <c r="BM217" s="562"/>
      <c r="BN217" s="591">
        <v>204</v>
      </c>
      <c r="BO217" s="549" t="s">
        <v>1900</v>
      </c>
      <c r="BP217" s="549" t="s">
        <v>2408</v>
      </c>
      <c r="BQ217" s="550" t="s">
        <v>2408</v>
      </c>
      <c r="BR217" s="566">
        <v>377898.08129919978</v>
      </c>
      <c r="BS217" s="566"/>
      <c r="BT217" s="566">
        <v>1230540.5856200187</v>
      </c>
      <c r="BU217" s="566">
        <v>43435.043276211705</v>
      </c>
      <c r="BV217" s="566">
        <v>10175.257272588811</v>
      </c>
      <c r="BW217" s="566">
        <v>109.42765723383118</v>
      </c>
      <c r="BX217" s="566">
        <v>1.2287095278516416</v>
      </c>
      <c r="BY217" s="566">
        <v>1313337.9009490611</v>
      </c>
      <c r="BZ217" s="566">
        <v>0.45507760290801547</v>
      </c>
      <c r="CA217" s="566">
        <v>583507.18299763266</v>
      </c>
      <c r="CB217" s="566">
        <v>3.5833459956865442E-33</v>
      </c>
      <c r="CC217" s="566">
        <v>3.6733582643923963</v>
      </c>
      <c r="CD217" s="566">
        <v>1075928.25649389</v>
      </c>
      <c r="CE217" s="566">
        <v>3.0374752227899912E-2</v>
      </c>
      <c r="CF217" s="566">
        <v>135.53147364341208</v>
      </c>
      <c r="CG217" s="566">
        <v>1.0218912340676956</v>
      </c>
      <c r="CH217" s="566">
        <v>2.7836304466031829</v>
      </c>
      <c r="CI217" s="566">
        <v>0.37847823483988735</v>
      </c>
      <c r="CJ217" s="566">
        <v>148863.19776699613</v>
      </c>
      <c r="CK217" s="566">
        <v>3755159.7863379545</v>
      </c>
      <c r="CL217" s="566"/>
      <c r="CM217" s="566">
        <v>95.55986475015068</v>
      </c>
      <c r="CN217" s="566">
        <v>0.93572765801687563</v>
      </c>
      <c r="CO217" s="566">
        <v>13472.243008332976</v>
      </c>
      <c r="CP217" s="566">
        <v>678084.95833522861</v>
      </c>
      <c r="CQ217" s="566"/>
      <c r="CR217" s="566">
        <v>17.288882197137752</v>
      </c>
      <c r="CS217" s="566">
        <v>0.5162686899616703</v>
      </c>
      <c r="CT217" s="566">
        <v>19422.917329378062</v>
      </c>
      <c r="CU217" s="566">
        <v>1344563.3787773016</v>
      </c>
      <c r="CV217" s="566"/>
      <c r="CW217" s="566">
        <v>34.09341996771807</v>
      </c>
      <c r="CX217" s="566">
        <v>2.9372180839431741E-2</v>
      </c>
      <c r="CY217" s="552"/>
    </row>
    <row r="218" spans="3:103" ht="12.75" customHeight="1" x14ac:dyDescent="0.3"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BL218"/>
      <c r="BM218" s="562"/>
      <c r="BN218" s="591">
        <v>205</v>
      </c>
      <c r="BO218" s="549" t="s">
        <v>1757</v>
      </c>
      <c r="BP218" s="549" t="s">
        <v>2408</v>
      </c>
      <c r="BQ218" s="550" t="s">
        <v>2408</v>
      </c>
      <c r="BR218" s="566">
        <v>111586.34894148563</v>
      </c>
      <c r="BS218" s="566"/>
      <c r="BT218" s="566">
        <v>757664.6006745483</v>
      </c>
      <c r="BU218" s="566">
        <v>25805.950381283801</v>
      </c>
      <c r="BV218" s="566">
        <v>71549358.173608616</v>
      </c>
      <c r="BW218" s="566">
        <v>1333171.076679843</v>
      </c>
      <c r="BX218" s="566">
        <v>28458.361662301351</v>
      </c>
      <c r="BY218" s="566">
        <v>2742799.3392583015</v>
      </c>
      <c r="BZ218" s="566">
        <v>10540.133949000496</v>
      </c>
      <c r="CA218" s="566">
        <v>89979.434993983086</v>
      </c>
      <c r="CB218" s="566">
        <v>2.8262644679397904E-32</v>
      </c>
      <c r="CC218" s="566">
        <v>33.543666297448794</v>
      </c>
      <c r="CD218" s="566">
        <v>163960.0950278661</v>
      </c>
      <c r="CE218" s="566">
        <v>3167.6652073165674</v>
      </c>
      <c r="CF218" s="566">
        <v>423520.26023301086</v>
      </c>
      <c r="CG218" s="566">
        <v>7994.3743569402513</v>
      </c>
      <c r="CH218" s="566">
        <v>22870.511785347644</v>
      </c>
      <c r="CI218" s="566">
        <v>2960.8793914593516</v>
      </c>
      <c r="CJ218" s="566">
        <v>11169.088474039456</v>
      </c>
      <c r="CK218" s="566">
        <v>28857.073155547718</v>
      </c>
      <c r="CL218" s="566"/>
      <c r="CM218" s="566">
        <v>14932.570402193056</v>
      </c>
      <c r="CN218" s="566">
        <v>3561.7432184096397</v>
      </c>
      <c r="CO218" s="566">
        <v>465.72896110498664</v>
      </c>
      <c r="CP218" s="566">
        <v>1681.2512346483254</v>
      </c>
      <c r="CQ218" s="566"/>
      <c r="CR218" s="566">
        <v>877.59537677826017</v>
      </c>
      <c r="CS218" s="566">
        <v>502.26355510044698</v>
      </c>
      <c r="CT218" s="566">
        <v>638.73639383243756</v>
      </c>
      <c r="CU218" s="566">
        <v>178.29665978859367</v>
      </c>
      <c r="CV218" s="566"/>
      <c r="CW218" s="566">
        <v>90.769776750114573</v>
      </c>
      <c r="CX218" s="566">
        <v>55.090237875464553</v>
      </c>
      <c r="CY218" s="552"/>
    </row>
    <row r="219" spans="3:103" ht="12.75" customHeight="1" x14ac:dyDescent="0.3"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BL219"/>
      <c r="BM219" s="562"/>
      <c r="BN219" s="591">
        <v>206</v>
      </c>
      <c r="BO219" s="549" t="s">
        <v>1890</v>
      </c>
      <c r="BP219" s="549" t="s">
        <v>2408</v>
      </c>
      <c r="BQ219" s="550" t="s">
        <v>2408</v>
      </c>
      <c r="BR219" s="566">
        <v>266779.03926925804</v>
      </c>
      <c r="BS219" s="566"/>
      <c r="BT219" s="566">
        <v>4987751.1387009416</v>
      </c>
      <c r="BU219" s="566">
        <v>206388.97884707461</v>
      </c>
      <c r="BV219" s="566">
        <v>39453.753443356436</v>
      </c>
      <c r="BW219" s="566">
        <v>497.78949762430705</v>
      </c>
      <c r="BX219" s="566">
        <v>1840.0984051006201</v>
      </c>
      <c r="BY219" s="566">
        <v>10614349.784690546</v>
      </c>
      <c r="BZ219" s="566">
        <v>681.51792781504435</v>
      </c>
      <c r="CA219" s="566">
        <v>128765.72601749914</v>
      </c>
      <c r="CB219" s="566">
        <v>3.1906594945501053E-30</v>
      </c>
      <c r="CC219" s="566">
        <v>7462.6812899383767</v>
      </c>
      <c r="CD219" s="566">
        <v>7250496.7153514177</v>
      </c>
      <c r="CE219" s="566">
        <v>59.030769469437118</v>
      </c>
      <c r="CF219" s="566">
        <v>874.37351006415633</v>
      </c>
      <c r="CG219" s="566">
        <v>425.49954210790031</v>
      </c>
      <c r="CH219" s="566">
        <v>3643.1297413081047</v>
      </c>
      <c r="CI219" s="566">
        <v>157.59242300292595</v>
      </c>
      <c r="CJ219" s="566">
        <v>10096.617101735308</v>
      </c>
      <c r="CK219" s="566">
        <v>8708921.5896132588</v>
      </c>
      <c r="CL219" s="566"/>
      <c r="CM219" s="566">
        <v>211.95710336429136</v>
      </c>
      <c r="CN219" s="566">
        <v>119.75078201951918</v>
      </c>
      <c r="CO219" s="566">
        <v>302.10538343258793</v>
      </c>
      <c r="CP219" s="566">
        <v>1597448.1312869198</v>
      </c>
      <c r="CQ219" s="566"/>
      <c r="CR219" s="566">
        <v>38.981009439335821</v>
      </c>
      <c r="CS219" s="566">
        <v>11.341942983548677</v>
      </c>
      <c r="CT219" s="566">
        <v>379.531881027282</v>
      </c>
      <c r="CU219" s="566">
        <v>379034.08684904443</v>
      </c>
      <c r="CV219" s="566"/>
      <c r="CW219" s="566">
        <v>9.1795439049257723</v>
      </c>
      <c r="CX219" s="566">
        <v>1.3239374860994357</v>
      </c>
      <c r="CY219" s="552"/>
    </row>
    <row r="220" spans="3:103" ht="12.75" customHeight="1" x14ac:dyDescent="0.3"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BL220"/>
      <c r="BM220" s="562"/>
      <c r="BN220" s="591">
        <v>207</v>
      </c>
      <c r="BO220" s="549" t="s">
        <v>1782</v>
      </c>
      <c r="BP220" s="549" t="s">
        <v>2408</v>
      </c>
      <c r="BQ220" s="550" t="s">
        <v>2408</v>
      </c>
      <c r="BR220" s="566">
        <v>385133.75065357256</v>
      </c>
      <c r="BS220" s="566"/>
      <c r="BT220" s="566">
        <v>3141265.3861634368</v>
      </c>
      <c r="BU220" s="566">
        <v>99916.077068412065</v>
      </c>
      <c r="BV220" s="566">
        <v>98402.166844302439</v>
      </c>
      <c r="BW220" s="566">
        <v>915.64860379929064</v>
      </c>
      <c r="BX220" s="566">
        <v>12.650250339139319</v>
      </c>
      <c r="BY220" s="566">
        <v>16979031.525870856</v>
      </c>
      <c r="BZ220" s="566">
        <v>4.6852779033849323</v>
      </c>
      <c r="CA220" s="566">
        <v>97787.652132638352</v>
      </c>
      <c r="CB220" s="566">
        <v>6.1767441447063869E-33</v>
      </c>
      <c r="CC220" s="566">
        <v>4.6162767417705206</v>
      </c>
      <c r="CD220" s="566">
        <v>1571193.272336921</v>
      </c>
      <c r="CE220" s="566">
        <v>0.14460785011799748</v>
      </c>
      <c r="CF220" s="566">
        <v>719.93465332365713</v>
      </c>
      <c r="CG220" s="566">
        <v>1.3798480207298027</v>
      </c>
      <c r="CH220" s="566">
        <v>4.9984544209614414</v>
      </c>
      <c r="CI220" s="566">
        <v>0.51105482249251943</v>
      </c>
      <c r="CJ220" s="566">
        <v>3929.4652087434206</v>
      </c>
      <c r="CK220" s="566">
        <v>1508193.2198688211</v>
      </c>
      <c r="CL220" s="566"/>
      <c r="CM220" s="566">
        <v>139.46796664111449</v>
      </c>
      <c r="CN220" s="566">
        <v>0.1990143256358505</v>
      </c>
      <c r="CO220" s="566">
        <v>81.549074713291404</v>
      </c>
      <c r="CP220" s="566">
        <v>143056.88010124932</v>
      </c>
      <c r="CQ220" s="566"/>
      <c r="CR220" s="566">
        <v>13.327453497914778</v>
      </c>
      <c r="CS220" s="566">
        <v>1.4216344647383947E-2</v>
      </c>
      <c r="CT220" s="566">
        <v>74.557191071470385</v>
      </c>
      <c r="CU220" s="566">
        <v>60077.058453665704</v>
      </c>
      <c r="CV220" s="566"/>
      <c r="CW220" s="566">
        <v>5.4795847981516834</v>
      </c>
      <c r="CX220" s="566">
        <v>1.0755947448308439E-3</v>
      </c>
      <c r="CY220" s="552"/>
    </row>
    <row r="221" spans="3:103" ht="12.75" customHeight="1" x14ac:dyDescent="0.3"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BL221"/>
      <c r="BM221" s="562"/>
      <c r="BN221" s="591">
        <v>208</v>
      </c>
      <c r="BO221" s="549" t="s">
        <v>1803</v>
      </c>
      <c r="BP221" s="549" t="s">
        <v>2408</v>
      </c>
      <c r="BQ221" s="550" t="s">
        <v>2408</v>
      </c>
      <c r="BR221" s="566">
        <v>83027.070514380277</v>
      </c>
      <c r="BS221" s="566"/>
      <c r="BT221" s="566">
        <v>39902887.439656645</v>
      </c>
      <c r="BU221" s="566">
        <v>1943791.942034828</v>
      </c>
      <c r="BV221" s="566">
        <v>318496.73135135474</v>
      </c>
      <c r="BW221" s="566">
        <v>4729.9695506792796</v>
      </c>
      <c r="BX221" s="566">
        <v>216456.21764402953</v>
      </c>
      <c r="BY221" s="566">
        <v>7665669.6854360923</v>
      </c>
      <c r="BZ221" s="566">
        <v>80168.969497788712</v>
      </c>
      <c r="CA221" s="566">
        <v>47629.437293519186</v>
      </c>
      <c r="CB221" s="566">
        <v>5.7363939372133677E-30</v>
      </c>
      <c r="CC221" s="566">
        <v>1665639.7615536021</v>
      </c>
      <c r="CD221" s="566">
        <v>149867110.95443487</v>
      </c>
      <c r="CE221" s="566">
        <v>13294.797787902564</v>
      </c>
      <c r="CF221" s="566">
        <v>18234.124139867661</v>
      </c>
      <c r="CG221" s="566">
        <v>62543.423847767859</v>
      </c>
      <c r="CH221" s="566">
        <v>519015.22853731381</v>
      </c>
      <c r="CI221" s="566">
        <v>23164.231054728825</v>
      </c>
      <c r="CJ221" s="566">
        <v>5842.3060178178803</v>
      </c>
      <c r="CK221" s="566">
        <v>2896542086.099606</v>
      </c>
      <c r="CL221" s="566"/>
      <c r="CM221" s="566">
        <v>71194.866078392239</v>
      </c>
      <c r="CN221" s="566">
        <v>27535.575545158841</v>
      </c>
      <c r="CO221" s="566">
        <v>365.30320516153932</v>
      </c>
      <c r="CP221" s="566">
        <v>1860406908.4021311</v>
      </c>
      <c r="CQ221" s="566"/>
      <c r="CR221" s="566">
        <v>45812.562641593431</v>
      </c>
      <c r="CS221" s="566">
        <v>5073.8848513468893</v>
      </c>
      <c r="CT221" s="566">
        <v>5219.5029274136268</v>
      </c>
      <c r="CU221" s="566">
        <v>4426214166.7862291</v>
      </c>
      <c r="CV221" s="566"/>
      <c r="CW221" s="566">
        <v>108416.47775957434</v>
      </c>
      <c r="CX221" s="566">
        <v>7334.5294362775494</v>
      </c>
      <c r="CY221" s="552"/>
    </row>
    <row r="222" spans="3:103" ht="12.75" customHeight="1" x14ac:dyDescent="0.3"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BL222"/>
      <c r="BM222" s="562"/>
      <c r="BN222" s="591">
        <v>209</v>
      </c>
      <c r="BO222" s="549" t="s">
        <v>1915</v>
      </c>
      <c r="BP222" s="549" t="s">
        <v>2408</v>
      </c>
      <c r="BQ222" s="550" t="s">
        <v>2408</v>
      </c>
      <c r="BR222" s="566">
        <v>460171.53447612887</v>
      </c>
      <c r="BS222" s="566"/>
      <c r="BT222" s="566">
        <v>1749005.9436720512</v>
      </c>
      <c r="BU222" s="566">
        <v>57937.180245700656</v>
      </c>
      <c r="BV222" s="566">
        <v>233625.8081476501</v>
      </c>
      <c r="BW222" s="566">
        <v>2103.4516139920474</v>
      </c>
      <c r="BX222" s="566">
        <v>18315.316474748313</v>
      </c>
      <c r="BY222" s="566">
        <v>286789968.30724543</v>
      </c>
      <c r="BZ222" s="566">
        <v>6783.4505462030775</v>
      </c>
      <c r="CA222" s="566">
        <v>848811.74805018643</v>
      </c>
      <c r="CB222" s="566">
        <v>5.1321083260307107E-30</v>
      </c>
      <c r="CC222" s="566">
        <v>5378.8871118679936</v>
      </c>
      <c r="CD222" s="566">
        <v>1379473.9236382986</v>
      </c>
      <c r="CE222" s="566">
        <v>718.49204000233431</v>
      </c>
      <c r="CF222" s="566">
        <v>2504.1403800042922</v>
      </c>
      <c r="CG222" s="566">
        <v>11672.000088273378</v>
      </c>
      <c r="CH222" s="566">
        <v>100474.61512351141</v>
      </c>
      <c r="CI222" s="566">
        <v>4322.962995656806</v>
      </c>
      <c r="CJ222" s="566">
        <v>258244.60054124927</v>
      </c>
      <c r="CK222" s="566">
        <v>602624.48346961662</v>
      </c>
      <c r="CL222" s="566"/>
      <c r="CM222" s="566">
        <v>218.77846655981364</v>
      </c>
      <c r="CN222" s="566">
        <v>12745.850072570414</v>
      </c>
      <c r="CO222" s="566">
        <v>22310.239043116246</v>
      </c>
      <c r="CP222" s="566">
        <v>495297.88582929195</v>
      </c>
      <c r="CQ222" s="566"/>
      <c r="CR222" s="566">
        <v>181.63672902671246</v>
      </c>
      <c r="CS222" s="566">
        <v>3438.3738205354648</v>
      </c>
      <c r="CT222" s="566">
        <v>40650.283135579572</v>
      </c>
      <c r="CU222" s="566">
        <v>23014.19936003855</v>
      </c>
      <c r="CV222" s="566"/>
      <c r="CW222" s="566">
        <v>8.1988316032027999</v>
      </c>
      <c r="CX222" s="566">
        <v>595.66953202639195</v>
      </c>
      <c r="CY222" s="552"/>
    </row>
    <row r="223" spans="3:103" ht="12.75" customHeight="1" x14ac:dyDescent="0.3"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BL223"/>
      <c r="BM223" s="562"/>
      <c r="BN223" s="591">
        <v>210</v>
      </c>
      <c r="BO223" s="549" t="s">
        <v>1966</v>
      </c>
      <c r="BP223" s="549" t="s">
        <v>2408</v>
      </c>
      <c r="BQ223" s="550" t="s">
        <v>2408</v>
      </c>
      <c r="BR223" s="566">
        <v>578.5428752873712</v>
      </c>
      <c r="BS223" s="566"/>
      <c r="BT223" s="566">
        <v>44564232.806477301</v>
      </c>
      <c r="BU223" s="566">
        <v>2173161.7691832054</v>
      </c>
      <c r="BV223" s="566">
        <v>570646.73708130093</v>
      </c>
      <c r="BW223" s="566">
        <v>8399.0576792706452</v>
      </c>
      <c r="BX223" s="566">
        <v>1483149.7207439586</v>
      </c>
      <c r="BY223" s="566">
        <v>27990381.124875903</v>
      </c>
      <c r="BZ223" s="566">
        <v>549314.71138665127</v>
      </c>
      <c r="CA223" s="566">
        <v>1.8691905326578964</v>
      </c>
      <c r="CB223" s="566">
        <v>4.6641067276569581E-32</v>
      </c>
      <c r="CC223" s="566">
        <v>17352.749537442614</v>
      </c>
      <c r="CD223" s="566">
        <v>144366435.14823827</v>
      </c>
      <c r="CE223" s="566">
        <v>222.20263380123555</v>
      </c>
      <c r="CF223" s="566">
        <v>27898.107562799578</v>
      </c>
      <c r="CG223" s="566">
        <v>2483.1396496987809</v>
      </c>
      <c r="CH223" s="566">
        <v>17492.705495262468</v>
      </c>
      <c r="CI223" s="566">
        <v>919.68135174028885</v>
      </c>
      <c r="CJ223" s="566">
        <v>3.0709352135418561E-2</v>
      </c>
      <c r="CK223" s="566">
        <v>2782311110.8685446</v>
      </c>
      <c r="CL223" s="566"/>
      <c r="CM223" s="566">
        <v>108618.64631679367</v>
      </c>
      <c r="CN223" s="566">
        <v>146.42724175623692</v>
      </c>
      <c r="CO223" s="566">
        <v>3.8396632523443651E-3</v>
      </c>
      <c r="CP223" s="566">
        <v>1786966181.1025128</v>
      </c>
      <c r="CQ223" s="566"/>
      <c r="CR223" s="566">
        <v>69965.207864282289</v>
      </c>
      <c r="CS223" s="566">
        <v>55.975719221138874</v>
      </c>
      <c r="CT223" s="566">
        <v>9.7837294976879915E-2</v>
      </c>
      <c r="CU223" s="566">
        <v>4265583646.2995329</v>
      </c>
      <c r="CV223" s="566"/>
      <c r="CW223" s="566">
        <v>165622.2102048783</v>
      </c>
      <c r="CX223" s="566">
        <v>136.704780077328</v>
      </c>
      <c r="CY223" s="552"/>
    </row>
    <row r="224" spans="3:103" ht="12.75" customHeight="1" x14ac:dyDescent="0.3"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BL224"/>
      <c r="BM224" s="562"/>
      <c r="BN224" s="591">
        <v>211</v>
      </c>
      <c r="BO224" s="549" t="s">
        <v>1846</v>
      </c>
      <c r="BP224" s="549" t="s">
        <v>2408</v>
      </c>
      <c r="BQ224" s="550" t="s">
        <v>2408</v>
      </c>
      <c r="BR224" s="566">
        <v>3276.9072648036122</v>
      </c>
      <c r="BS224" s="566"/>
      <c r="BT224" s="566">
        <v>68080026.677264482</v>
      </c>
      <c r="BU224" s="566">
        <v>3319218.158693064</v>
      </c>
      <c r="BV224" s="566">
        <v>534868.499177819</v>
      </c>
      <c r="BW224" s="566">
        <v>7952.2419702119196</v>
      </c>
      <c r="BX224" s="566">
        <v>579367.94653962704</v>
      </c>
      <c r="BY224" s="566">
        <v>12920179.080422688</v>
      </c>
      <c r="BZ224" s="566">
        <v>214580.72094060259</v>
      </c>
      <c r="CA224" s="566">
        <v>42.791869240168353</v>
      </c>
      <c r="CB224" s="566">
        <v>2.6393818384331414E-31</v>
      </c>
      <c r="CC224" s="566">
        <v>113415.95757267612</v>
      </c>
      <c r="CD224" s="566">
        <v>221307453.43751502</v>
      </c>
      <c r="CE224" s="566">
        <v>891.0487549789832</v>
      </c>
      <c r="CF224" s="566">
        <v>26510.616889362303</v>
      </c>
      <c r="CG224" s="566">
        <v>3920.3529950482975</v>
      </c>
      <c r="CH224" s="566">
        <v>32466.886478035904</v>
      </c>
      <c r="CI224" s="566">
        <v>1451.9825907586285</v>
      </c>
      <c r="CJ224" s="566">
        <v>0.92912757434708326</v>
      </c>
      <c r="CK224" s="566">
        <v>4265360868.3578701</v>
      </c>
      <c r="CL224" s="566"/>
      <c r="CM224" s="566">
        <v>103221.42199173095</v>
      </c>
      <c r="CN224" s="566">
        <v>305.5223037038736</v>
      </c>
      <c r="CO224" s="566">
        <v>0.1066940327091209</v>
      </c>
      <c r="CP224" s="566">
        <v>2739472214.9395638</v>
      </c>
      <c r="CQ224" s="566"/>
      <c r="CR224" s="566">
        <v>66416.588783337342</v>
      </c>
      <c r="CS224" s="566">
        <v>107.34870734169658</v>
      </c>
      <c r="CT224" s="566">
        <v>2.7819822686381581</v>
      </c>
      <c r="CU224" s="566">
        <v>6539486865.1104002</v>
      </c>
      <c r="CV224" s="566"/>
      <c r="CW224" s="566">
        <v>157715.52510245086</v>
      </c>
      <c r="CX224" s="566">
        <v>272.61034717190785</v>
      </c>
      <c r="CY224" s="552"/>
    </row>
    <row r="225" spans="3:103" ht="12.75" customHeight="1" x14ac:dyDescent="0.3"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BL225"/>
      <c r="BM225" s="562"/>
      <c r="BN225" s="591">
        <v>212</v>
      </c>
      <c r="BO225" s="549" t="s">
        <v>1788</v>
      </c>
      <c r="BP225" s="549" t="s">
        <v>2408</v>
      </c>
      <c r="BQ225" s="550" t="s">
        <v>2408</v>
      </c>
      <c r="BR225" s="566">
        <v>444012.07346950722</v>
      </c>
      <c r="BS225" s="566"/>
      <c r="BT225" s="566">
        <v>28161903.840932734</v>
      </c>
      <c r="BU225" s="566">
        <v>1364616.584071724</v>
      </c>
      <c r="BV225" s="566">
        <v>229515.96240825689</v>
      </c>
      <c r="BW225" s="566">
        <v>3389.3069203146947</v>
      </c>
      <c r="BX225" s="566">
        <v>69220.708494771185</v>
      </c>
      <c r="BY225" s="566">
        <v>5569476.5518416995</v>
      </c>
      <c r="BZ225" s="566">
        <v>25637.299442507847</v>
      </c>
      <c r="CA225" s="566">
        <v>943259.19109054632</v>
      </c>
      <c r="CB225" s="566">
        <v>4.2327685361341157E-29</v>
      </c>
      <c r="CC225" s="566">
        <v>1566745.2855585485</v>
      </c>
      <c r="CD225" s="566">
        <v>218684276.87369969</v>
      </c>
      <c r="CE225" s="566">
        <v>12768.776361664468</v>
      </c>
      <c r="CF225" s="566">
        <v>27157.376717513522</v>
      </c>
      <c r="CG225" s="566">
        <v>78399.655938330892</v>
      </c>
      <c r="CH225" s="566">
        <v>490694.97270419635</v>
      </c>
      <c r="CI225" s="566">
        <v>29036.909606789217</v>
      </c>
      <c r="CJ225" s="566">
        <v>539813.55190827255</v>
      </c>
      <c r="CK225" s="566">
        <v>4773890031.03123</v>
      </c>
      <c r="CL225" s="566"/>
      <c r="CM225" s="566">
        <v>119765.82986617</v>
      </c>
      <c r="CN225" s="566">
        <v>161038.80890624612</v>
      </c>
      <c r="CO225" s="566">
        <v>73010.61920963868</v>
      </c>
      <c r="CP225" s="566">
        <v>3131119578.8251286</v>
      </c>
      <c r="CQ225" s="566"/>
      <c r="CR225" s="566">
        <v>78701.736535861986</v>
      </c>
      <c r="CS225" s="566">
        <v>71373.203496827497</v>
      </c>
      <c r="CT225" s="566">
        <v>572400.25509678572</v>
      </c>
      <c r="CU225" s="566">
        <v>7315574682.5063906</v>
      </c>
      <c r="CV225" s="566"/>
      <c r="CW225" s="566">
        <v>182882.7028822414</v>
      </c>
      <c r="CX225" s="566">
        <v>48623.065114608071</v>
      </c>
      <c r="CY225" s="552"/>
    </row>
    <row r="226" spans="3:103" ht="12.75" customHeight="1" x14ac:dyDescent="0.3"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BL226"/>
      <c r="BM226" s="562"/>
      <c r="BN226" s="591">
        <v>213</v>
      </c>
      <c r="BO226" s="549" t="s">
        <v>1935</v>
      </c>
      <c r="BP226" s="549" t="s">
        <v>2408</v>
      </c>
      <c r="BQ226" s="550" t="s">
        <v>2408</v>
      </c>
      <c r="BR226" s="566">
        <v>630143.83422973123</v>
      </c>
      <c r="BS226" s="566"/>
      <c r="BT226" s="566">
        <v>1537742.7774146709</v>
      </c>
      <c r="BU226" s="566">
        <v>47411.82789639807</v>
      </c>
      <c r="BV226" s="566">
        <v>15616.305383403798</v>
      </c>
      <c r="BW226" s="566">
        <v>146.10957504547829</v>
      </c>
      <c r="BX226" s="566">
        <v>1.8217605932008087</v>
      </c>
      <c r="BY226" s="566">
        <v>84596271.825991854</v>
      </c>
      <c r="BZ226" s="566">
        <v>0.67472614562992894</v>
      </c>
      <c r="CA226" s="566">
        <v>1239434.2728120771</v>
      </c>
      <c r="CB226" s="566">
        <v>4.5221004415515642E-35</v>
      </c>
      <c r="CC226" s="566">
        <v>3.7879044373457779E-2</v>
      </c>
      <c r="CD226" s="566">
        <v>237523.82357051506</v>
      </c>
      <c r="CE226" s="566">
        <v>3.8467468893720356E-4</v>
      </c>
      <c r="CF226" s="566">
        <v>36.598994876236006</v>
      </c>
      <c r="CG226" s="566">
        <v>1.769590171201703</v>
      </c>
      <c r="CH226" s="566">
        <v>11.986392519660606</v>
      </c>
      <c r="CI226" s="566">
        <v>0.65540376711174186</v>
      </c>
      <c r="CJ226" s="566">
        <v>410387.72738277918</v>
      </c>
      <c r="CK226" s="566">
        <v>33079.136708893493</v>
      </c>
      <c r="CL226" s="566"/>
      <c r="CM226" s="566">
        <v>1.019360291004707</v>
      </c>
      <c r="CN226" s="566">
        <v>2.1030384668519884</v>
      </c>
      <c r="CO226" s="566">
        <v>46734.385593622246</v>
      </c>
      <c r="CP226" s="566">
        <v>796.18324253757294</v>
      </c>
      <c r="CQ226" s="566"/>
      <c r="CR226" s="566">
        <v>2.478760962804569E-2</v>
      </c>
      <c r="CS226" s="566">
        <v>0.43823913310923329</v>
      </c>
      <c r="CT226" s="566">
        <v>69021.511512229627</v>
      </c>
      <c r="CU226" s="566">
        <v>150.30978988297821</v>
      </c>
      <c r="CV226" s="566"/>
      <c r="CW226" s="566">
        <v>4.5439294160315655E-3</v>
      </c>
      <c r="CX226" s="566">
        <v>0.19149357570236653</v>
      </c>
      <c r="CY226" s="552"/>
    </row>
    <row r="227" spans="3:103" ht="12.75" customHeight="1" x14ac:dyDescent="0.3"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BL227"/>
      <c r="BM227" s="562"/>
      <c r="BN227" s="591">
        <v>214</v>
      </c>
      <c r="BO227" s="549" t="s">
        <v>1774</v>
      </c>
      <c r="BP227" s="549" t="s">
        <v>2408</v>
      </c>
      <c r="BQ227" s="550" t="s">
        <v>2408</v>
      </c>
      <c r="BR227" s="566">
        <v>893462.04286222288</v>
      </c>
      <c r="BS227" s="566"/>
      <c r="BT227" s="566">
        <v>2016255.0952872604</v>
      </c>
      <c r="BU227" s="566">
        <v>68603.292754166279</v>
      </c>
      <c r="BV227" s="566">
        <v>15916.45315135143</v>
      </c>
      <c r="BW227" s="566">
        <v>165.13405939805938</v>
      </c>
      <c r="BX227" s="566">
        <v>7.0380645300645241</v>
      </c>
      <c r="BY227" s="566">
        <v>7973067.5857732138</v>
      </c>
      <c r="BZ227" s="566">
        <v>2.6066905666905646</v>
      </c>
      <c r="CA227" s="566">
        <v>2960206.9409588799</v>
      </c>
      <c r="CB227" s="566">
        <v>1.0202768835712961E-31</v>
      </c>
      <c r="CC227" s="566">
        <v>94.29984537948198</v>
      </c>
      <c r="CD227" s="566">
        <v>1689701.58927364</v>
      </c>
      <c r="CE227" s="566">
        <v>0.74440931341992145</v>
      </c>
      <c r="CF227" s="566">
        <v>203.36289367915452</v>
      </c>
      <c r="CG227" s="566">
        <v>13.420553173870571</v>
      </c>
      <c r="CH227" s="566">
        <v>66.871751393147562</v>
      </c>
      <c r="CI227" s="566">
        <v>4.9705752495816924</v>
      </c>
      <c r="CJ227" s="566">
        <v>1938820.5054457751</v>
      </c>
      <c r="CK227" s="566">
        <v>5925859.7696041893</v>
      </c>
      <c r="CL227" s="566"/>
      <c r="CM227" s="566">
        <v>144.07987874196891</v>
      </c>
      <c r="CN227" s="566">
        <v>31.549291020761881</v>
      </c>
      <c r="CO227" s="566">
        <v>423941.53704085457</v>
      </c>
      <c r="CP227" s="566">
        <v>1453887.8308236892</v>
      </c>
      <c r="CQ227" s="566"/>
      <c r="CR227" s="566">
        <v>35.414583296837201</v>
      </c>
      <c r="CS227" s="566">
        <v>22.868889740276593</v>
      </c>
      <c r="CT227" s="566">
        <v>713909.49821491248</v>
      </c>
      <c r="CU227" s="566">
        <v>2052622.6038583708</v>
      </c>
      <c r="CV227" s="566"/>
      <c r="CW227" s="566">
        <v>49.736014427109012</v>
      </c>
      <c r="CX227" s="566">
        <v>3.7327641318118658</v>
      </c>
      <c r="CY227" s="552"/>
    </row>
    <row r="228" spans="3:103" ht="12.75" customHeight="1" x14ac:dyDescent="0.3"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BL228"/>
      <c r="BM228" s="562"/>
      <c r="BN228" s="591">
        <v>215</v>
      </c>
      <c r="BO228" s="549" t="s">
        <v>1908</v>
      </c>
      <c r="BP228" s="549" t="s">
        <v>2408</v>
      </c>
      <c r="BQ228" s="550" t="s">
        <v>2408</v>
      </c>
      <c r="BR228" s="566">
        <v>2.5059226642859795</v>
      </c>
      <c r="BS228" s="566"/>
      <c r="BT228" s="566">
        <v>32899220.778520081</v>
      </c>
      <c r="BU228" s="566">
        <v>1605344.967113506</v>
      </c>
      <c r="BV228" s="566">
        <v>2423879.8805886395</v>
      </c>
      <c r="BW228" s="566">
        <v>33159.474949153795</v>
      </c>
      <c r="BX228" s="566">
        <v>8705346.9848088082</v>
      </c>
      <c r="BY228" s="566">
        <v>102160089.17053819</v>
      </c>
      <c r="BZ228" s="566">
        <v>3224202.586966224</v>
      </c>
      <c r="CA228" s="566">
        <v>3.7613455989586707E-5</v>
      </c>
      <c r="CB228" s="566">
        <v>2.0198259191877798E-34</v>
      </c>
      <c r="CC228" s="566">
        <v>45.03542277024625</v>
      </c>
      <c r="CD228" s="566">
        <v>106523453.72669198</v>
      </c>
      <c r="CE228" s="566">
        <v>3.3180255514706367</v>
      </c>
      <c r="CF228" s="566">
        <v>110015.66229402943</v>
      </c>
      <c r="CG228" s="566">
        <v>67.7111440880213</v>
      </c>
      <c r="CH228" s="566">
        <v>297.16467319973503</v>
      </c>
      <c r="CI228" s="566">
        <v>25.07820151408195</v>
      </c>
      <c r="CJ228" s="566">
        <v>4.5283079967928929E-7</v>
      </c>
      <c r="CK228" s="566">
        <v>2053352919.4728405</v>
      </c>
      <c r="CL228" s="566"/>
      <c r="CM228" s="566">
        <v>428413.51304498885</v>
      </c>
      <c r="CN228" s="566">
        <v>2.925880108722275</v>
      </c>
      <c r="CO228" s="566">
        <v>6.4447763435906061E-8</v>
      </c>
      <c r="CP228" s="566">
        <v>1318797457.8180027</v>
      </c>
      <c r="CQ228" s="566"/>
      <c r="CR228" s="566">
        <v>275534.07069667691</v>
      </c>
      <c r="CS228" s="566">
        <v>1.2812652306388177</v>
      </c>
      <c r="CT228" s="566">
        <v>1.4661099522320956E-6</v>
      </c>
      <c r="CU228" s="566">
        <v>3148401751.439497</v>
      </c>
      <c r="CV228" s="566"/>
      <c r="CW228" s="566">
        <v>655201.28734351473</v>
      </c>
      <c r="CX228" s="566">
        <v>2.604805133511884</v>
      </c>
      <c r="CY228" s="552"/>
    </row>
    <row r="229" spans="3:103" ht="12.75" customHeight="1" x14ac:dyDescent="0.3"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BL229"/>
      <c r="BM229" s="562"/>
      <c r="BN229" s="591">
        <v>216</v>
      </c>
      <c r="BO229" s="549" t="s">
        <v>1882</v>
      </c>
      <c r="BP229" s="549" t="s">
        <v>2408</v>
      </c>
      <c r="BQ229" s="550" t="s">
        <v>2408</v>
      </c>
      <c r="BR229" s="566">
        <v>1373819.5037540372</v>
      </c>
      <c r="BS229" s="566"/>
      <c r="BT229" s="566">
        <v>2421983.8176349662</v>
      </c>
      <c r="BU229" s="566">
        <v>79071.216097728335</v>
      </c>
      <c r="BV229" s="566">
        <v>217257.34442964275</v>
      </c>
      <c r="BW229" s="566">
        <v>1967.363177512522</v>
      </c>
      <c r="BX229" s="566">
        <v>11.926926650821677</v>
      </c>
      <c r="BY229" s="566">
        <v>12847393.373139573</v>
      </c>
      <c r="BZ229" s="566">
        <v>4.4173802410450662</v>
      </c>
      <c r="CA229" s="566">
        <v>5239860.1939315517</v>
      </c>
      <c r="CB229" s="566">
        <v>2.5478579843201256E-32</v>
      </c>
      <c r="CC229" s="566">
        <v>20.533220038506407</v>
      </c>
      <c r="CD229" s="566">
        <v>1297190.4347522222</v>
      </c>
      <c r="CE229" s="566">
        <v>1.8418755838391718</v>
      </c>
      <c r="CF229" s="566">
        <v>1613.7634031066209</v>
      </c>
      <c r="CG229" s="566">
        <v>17.239200431195428</v>
      </c>
      <c r="CH229" s="566">
        <v>59.283726231879676</v>
      </c>
      <c r="CI229" s="566">
        <v>6.3848890485908996</v>
      </c>
      <c r="CJ229" s="566">
        <v>4275061.7762625841</v>
      </c>
      <c r="CK229" s="566">
        <v>1310757.8389590147</v>
      </c>
      <c r="CL229" s="566"/>
      <c r="CM229" s="566">
        <v>329.08874001373312</v>
      </c>
      <c r="CN229" s="566">
        <v>50.482804043852269</v>
      </c>
      <c r="CO229" s="566">
        <v>1122200.7730841411</v>
      </c>
      <c r="CP229" s="566">
        <v>237879.43253915154</v>
      </c>
      <c r="CQ229" s="566"/>
      <c r="CR229" s="566">
        <v>59.86712796152392</v>
      </c>
      <c r="CS229" s="566">
        <v>38.728407037086356</v>
      </c>
      <c r="CT229" s="566">
        <v>2006105.3646691558</v>
      </c>
      <c r="CU229" s="566">
        <v>59256.504092828618</v>
      </c>
      <c r="CV229" s="566"/>
      <c r="CW229" s="566">
        <v>14.810682453516423</v>
      </c>
      <c r="CX229" s="566">
        <v>7.8556391849332048</v>
      </c>
      <c r="CY229" s="552"/>
    </row>
    <row r="230" spans="3:103" ht="12.75" customHeight="1" x14ac:dyDescent="0.3"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BL230"/>
      <c r="BM230" s="562"/>
      <c r="BN230" s="591">
        <v>217</v>
      </c>
      <c r="BO230" s="549" t="s">
        <v>1749</v>
      </c>
      <c r="BP230" s="549" t="s">
        <v>2408</v>
      </c>
      <c r="BQ230" s="550" t="s">
        <v>2408</v>
      </c>
      <c r="BR230" s="566">
        <v>966.97805039028162</v>
      </c>
      <c r="BS230" s="566"/>
      <c r="BT230" s="566">
        <v>63507044.50153283</v>
      </c>
      <c r="BU230" s="566">
        <v>3095402.7945893239</v>
      </c>
      <c r="BV230" s="566">
        <v>494614.40053850698</v>
      </c>
      <c r="BW230" s="566">
        <v>7352.8059488810341</v>
      </c>
      <c r="BX230" s="566">
        <v>461157.27671686886</v>
      </c>
      <c r="BY230" s="566">
        <v>11646685.694180222</v>
      </c>
      <c r="BZ230" s="566">
        <v>170798.99137661807</v>
      </c>
      <c r="CA230" s="566">
        <v>3.9143086972180967</v>
      </c>
      <c r="CB230" s="566">
        <v>6.6765488987787659E-32</v>
      </c>
      <c r="CC230" s="566">
        <v>29588.878064170447</v>
      </c>
      <c r="CD230" s="566">
        <v>205656977.81092003</v>
      </c>
      <c r="CE230" s="566">
        <v>230.44821722042829</v>
      </c>
      <c r="CF230" s="566">
        <v>24425.833247295515</v>
      </c>
      <c r="CG230" s="566">
        <v>967.34075144550627</v>
      </c>
      <c r="CH230" s="566">
        <v>8241.6254836690259</v>
      </c>
      <c r="CI230" s="566">
        <v>358.27435238722438</v>
      </c>
      <c r="CJ230" s="566">
        <v>8.8539897048172098E-2</v>
      </c>
      <c r="CK230" s="566">
        <v>3963792770.3689427</v>
      </c>
      <c r="CL230" s="566"/>
      <c r="CM230" s="566">
        <v>95105.831151360209</v>
      </c>
      <c r="CN230" s="566">
        <v>78.535692772572702</v>
      </c>
      <c r="CO230" s="566">
        <v>1.1454883011064071E-2</v>
      </c>
      <c r="CP230" s="566">
        <v>2545792032.5992122</v>
      </c>
      <c r="CQ230" s="566"/>
      <c r="CR230" s="566">
        <v>61193.89494732934</v>
      </c>
      <c r="CS230" s="566">
        <v>30.96676844685285</v>
      </c>
      <c r="CT230" s="566">
        <v>0.27590754787892879</v>
      </c>
      <c r="CU230" s="566">
        <v>6077197351.7559509</v>
      </c>
      <c r="CV230" s="566"/>
      <c r="CW230" s="566">
        <v>145321.07632210455</v>
      </c>
      <c r="CX230" s="566">
        <v>73.170320826449412</v>
      </c>
      <c r="CY230" s="552"/>
    </row>
    <row r="231" spans="3:103" ht="12.75" customHeight="1" x14ac:dyDescent="0.3"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BL231"/>
      <c r="BM231" s="562"/>
      <c r="BN231" s="591">
        <v>218</v>
      </c>
      <c r="BO231" s="549" t="s">
        <v>1751</v>
      </c>
      <c r="BP231" s="549" t="s">
        <v>2408</v>
      </c>
      <c r="BQ231" s="550" t="s">
        <v>2408</v>
      </c>
      <c r="BR231" s="566">
        <v>52327.320796668704</v>
      </c>
      <c r="BS231" s="566"/>
      <c r="BT231" s="566">
        <v>39889190.128525436</v>
      </c>
      <c r="BU231" s="566">
        <v>1946279.7506924043</v>
      </c>
      <c r="BV231" s="566">
        <v>327977.92748729954</v>
      </c>
      <c r="BW231" s="566">
        <v>4876.1375535388543</v>
      </c>
      <c r="BX231" s="566">
        <v>270817.85927024542</v>
      </c>
      <c r="BY231" s="566">
        <v>3081872.6811433844</v>
      </c>
      <c r="BZ231" s="566">
        <v>100302.91084083162</v>
      </c>
      <c r="CA231" s="566">
        <v>13379.884385322723</v>
      </c>
      <c r="CB231" s="566">
        <v>4.2299063123237195E-30</v>
      </c>
      <c r="CC231" s="566">
        <v>640829.29591307393</v>
      </c>
      <c r="CD231" s="566">
        <v>142700711.19689012</v>
      </c>
      <c r="CE231" s="566">
        <v>5269.043158547699</v>
      </c>
      <c r="CF231" s="566">
        <v>17875.85511631388</v>
      </c>
      <c r="CG231" s="566">
        <v>35890.961686594659</v>
      </c>
      <c r="CH231" s="566">
        <v>132758.43985173333</v>
      </c>
      <c r="CI231" s="566">
        <v>13292.948772812842</v>
      </c>
      <c r="CJ231" s="566">
        <v>749.39119011927517</v>
      </c>
      <c r="CK231" s="566">
        <v>2753316733.8019195</v>
      </c>
      <c r="CL231" s="566"/>
      <c r="CM231" s="566">
        <v>69676.627432473615</v>
      </c>
      <c r="CN231" s="566">
        <v>7215.1435003143852</v>
      </c>
      <c r="CO231" s="566">
        <v>35.985857503617268</v>
      </c>
      <c r="CP231" s="566">
        <v>1768263257.109647</v>
      </c>
      <c r="CQ231" s="566"/>
      <c r="CR231" s="566">
        <v>44834.16001239144</v>
      </c>
      <c r="CS231" s="566">
        <v>1286.812989473447</v>
      </c>
      <c r="CT231" s="566">
        <v>767.26447825763182</v>
      </c>
      <c r="CU231" s="566">
        <v>4217900884.7516975</v>
      </c>
      <c r="CV231" s="566"/>
      <c r="CW231" s="566">
        <v>106359.90139086208</v>
      </c>
      <c r="CX231" s="566">
        <v>1926.1238555158552</v>
      </c>
      <c r="CY231" s="552"/>
    </row>
    <row r="232" spans="3:103" ht="12.75" customHeight="1" x14ac:dyDescent="0.3"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BL232"/>
      <c r="BM232" s="562"/>
      <c r="BN232" s="591">
        <v>219</v>
      </c>
      <c r="BO232" s="549" t="s">
        <v>1821</v>
      </c>
      <c r="BP232" s="549" t="s">
        <v>2408</v>
      </c>
      <c r="BQ232" s="550" t="s">
        <v>2408</v>
      </c>
      <c r="BR232" s="566">
        <v>220965.26838874334</v>
      </c>
      <c r="BS232" s="566"/>
      <c r="BT232" s="566">
        <v>7600914.5300768586</v>
      </c>
      <c r="BU232" s="566">
        <v>317319.14648180909</v>
      </c>
      <c r="BV232" s="566">
        <v>73551.337270665594</v>
      </c>
      <c r="BW232" s="566">
        <v>932.72564816676595</v>
      </c>
      <c r="BX232" s="566">
        <v>36704.33793026206</v>
      </c>
      <c r="BY232" s="566">
        <v>11937821.176641056</v>
      </c>
      <c r="BZ232" s="566">
        <v>13594.199233430389</v>
      </c>
      <c r="CA232" s="566">
        <v>291332.9500905975</v>
      </c>
      <c r="CB232" s="566">
        <v>1.1088169833559489E-29</v>
      </c>
      <c r="CC232" s="566">
        <v>108772.42131461238</v>
      </c>
      <c r="CD232" s="566">
        <v>4334287.1380537087</v>
      </c>
      <c r="CE232" s="566">
        <v>1052.551902037648</v>
      </c>
      <c r="CF232" s="566">
        <v>637.00864334919311</v>
      </c>
      <c r="CG232" s="566">
        <v>22682.911431191846</v>
      </c>
      <c r="CH232" s="566">
        <v>182401.99419034834</v>
      </c>
      <c r="CI232" s="566">
        <v>8401.0783078488312</v>
      </c>
      <c r="CJ232" s="566">
        <v>60816.551617551318</v>
      </c>
      <c r="CK232" s="566">
        <v>1252193.4042934689</v>
      </c>
      <c r="CL232" s="566"/>
      <c r="CM232" s="566">
        <v>36.805322118361296</v>
      </c>
      <c r="CN232" s="566">
        <v>16995.527054244718</v>
      </c>
      <c r="CO232" s="566">
        <v>3635.786889196585</v>
      </c>
      <c r="CP232" s="566">
        <v>249085.5116765844</v>
      </c>
      <c r="CQ232" s="566"/>
      <c r="CR232" s="566">
        <v>7.3958823068168194</v>
      </c>
      <c r="CS232" s="566">
        <v>3244.1075327749204</v>
      </c>
      <c r="CT232" s="566">
        <v>5745.3874127899689</v>
      </c>
      <c r="CU232" s="566">
        <v>37920.790068313428</v>
      </c>
      <c r="CV232" s="566"/>
      <c r="CW232" s="566">
        <v>1.0936347940879092</v>
      </c>
      <c r="CX232" s="566">
        <v>468.11274800416891</v>
      </c>
      <c r="CY232" s="552"/>
    </row>
    <row r="233" spans="3:103" ht="12.75" customHeight="1" x14ac:dyDescent="0.3"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BL233"/>
      <c r="BM233" s="562"/>
      <c r="BN233" s="591">
        <v>220</v>
      </c>
      <c r="BO233" s="549" t="s">
        <v>1556</v>
      </c>
      <c r="BP233" s="549" t="s">
        <v>2408</v>
      </c>
      <c r="BQ233" s="550" t="s">
        <v>2408</v>
      </c>
      <c r="BR233" s="566">
        <v>300188.33592900424</v>
      </c>
      <c r="BS233" s="566"/>
      <c r="BT233" s="566">
        <v>1852207.3989067432</v>
      </c>
      <c r="BU233" s="566">
        <v>62903.120916347412</v>
      </c>
      <c r="BV233" s="566">
        <v>542983.75430147548</v>
      </c>
      <c r="BW233" s="566">
        <v>4895.8543054372185</v>
      </c>
      <c r="BX233" s="566">
        <v>22.533672971359255</v>
      </c>
      <c r="BY233" s="566">
        <v>27693654.007250398</v>
      </c>
      <c r="BZ233" s="566">
        <v>8.3458048042071304</v>
      </c>
      <c r="CA233" s="566">
        <v>133741.44919266386</v>
      </c>
      <c r="CB233" s="566">
        <v>2.2144804487950217E-33</v>
      </c>
      <c r="CC233" s="566">
        <v>1.9872169451667174</v>
      </c>
      <c r="CD233" s="566">
        <v>1453613.7719863618</v>
      </c>
      <c r="CE233" s="566">
        <v>0.58256247012889817</v>
      </c>
      <c r="CF233" s="566">
        <v>5656.8586266860157</v>
      </c>
      <c r="CG233" s="566">
        <v>5.5292560048650419</v>
      </c>
      <c r="CH233" s="566">
        <v>27.042055711394312</v>
      </c>
      <c r="CI233" s="566">
        <v>2.0478725943944593</v>
      </c>
      <c r="CJ233" s="566">
        <v>10181.124426879443</v>
      </c>
      <c r="CK233" s="566">
        <v>4643228.3835136052</v>
      </c>
      <c r="CL233" s="566"/>
      <c r="CM233" s="566">
        <v>3650.3651469904598</v>
      </c>
      <c r="CN233" s="566">
        <v>1.5107759892027661</v>
      </c>
      <c r="CO233" s="566">
        <v>488.09246558421245</v>
      </c>
      <c r="CP233" s="566">
        <v>757194.86005389469</v>
      </c>
      <c r="CQ233" s="566"/>
      <c r="CR233" s="566">
        <v>597.56068378424322</v>
      </c>
      <c r="CS233" s="566">
        <v>0.2268917271992032</v>
      </c>
      <c r="CT233" s="566">
        <v>701.36780848219087</v>
      </c>
      <c r="CU233" s="566">
        <v>1496998.0060471944</v>
      </c>
      <c r="CV233" s="566"/>
      <c r="CW233" s="566">
        <v>1168.5709712661983</v>
      </c>
      <c r="CX233" s="566">
        <v>3.0811213348770527E-2</v>
      </c>
      <c r="CY233" s="552"/>
    </row>
    <row r="234" spans="3:103" ht="12.75" customHeight="1" x14ac:dyDescent="0.3"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BL234"/>
      <c r="BM234" s="562"/>
      <c r="BN234" s="591">
        <v>221</v>
      </c>
      <c r="BO234" s="549" t="s">
        <v>1947</v>
      </c>
      <c r="BP234" s="549" t="s">
        <v>2408</v>
      </c>
      <c r="BQ234" s="550" t="s">
        <v>2408</v>
      </c>
      <c r="BR234" s="566">
        <v>481114.39840403979</v>
      </c>
      <c r="BS234" s="566"/>
      <c r="BT234" s="566">
        <v>12419411.42353119</v>
      </c>
      <c r="BU234" s="566">
        <v>580566.3619066719</v>
      </c>
      <c r="BV234" s="566">
        <v>115878.76727210249</v>
      </c>
      <c r="BW234" s="566">
        <v>1646.6645401822148</v>
      </c>
      <c r="BX234" s="566">
        <v>26150.327849666966</v>
      </c>
      <c r="BY234" s="566">
        <v>14921443.48318916</v>
      </c>
      <c r="BZ234" s="566">
        <v>9685.3066109877636</v>
      </c>
      <c r="CA234" s="566">
        <v>698604.24098622554</v>
      </c>
      <c r="CB234" s="566">
        <v>2.560163076554826E-29</v>
      </c>
      <c r="CC234" s="566">
        <v>205744.65582878434</v>
      </c>
      <c r="CD234" s="566">
        <v>81761732.464813963</v>
      </c>
      <c r="CE234" s="566">
        <v>1919.6913828854965</v>
      </c>
      <c r="CF234" s="566">
        <v>11595.069438015171</v>
      </c>
      <c r="CG234" s="566">
        <v>17825.109233170606</v>
      </c>
      <c r="CH234" s="566">
        <v>144439.37986653415</v>
      </c>
      <c r="CI234" s="566">
        <v>6601.8923085817041</v>
      </c>
      <c r="CJ234" s="566">
        <v>293980.17694733647</v>
      </c>
      <c r="CK234" s="566">
        <v>1110897521.9590409</v>
      </c>
      <c r="CL234" s="566"/>
      <c r="CM234" s="566">
        <v>31826.399281958671</v>
      </c>
      <c r="CN234" s="566">
        <v>26922.952469429154</v>
      </c>
      <c r="CO234" s="566">
        <v>41839.959351330966</v>
      </c>
      <c r="CP234" s="566">
        <v>699235472.93157578</v>
      </c>
      <c r="CQ234" s="566"/>
      <c r="CR234" s="566">
        <v>20075.905360268964</v>
      </c>
      <c r="CS234" s="566">
        <v>12213.110038067463</v>
      </c>
      <c r="CT234" s="566">
        <v>262257.68119237508</v>
      </c>
      <c r="CU234" s="566">
        <v>1182524933.3111477</v>
      </c>
      <c r="CV234" s="566"/>
      <c r="CW234" s="566">
        <v>33742.369155728651</v>
      </c>
      <c r="CX234" s="566">
        <v>7007.2544890465906</v>
      </c>
      <c r="CY234" s="552"/>
    </row>
    <row r="235" spans="3:103" ht="12.75" customHeight="1" x14ac:dyDescent="0.3"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BL235"/>
      <c r="BM235" s="562"/>
      <c r="BN235" s="591">
        <v>222</v>
      </c>
      <c r="BO235" s="549" t="s">
        <v>1796</v>
      </c>
      <c r="BP235" s="549" t="s">
        <v>2408</v>
      </c>
      <c r="BQ235" s="550" t="s">
        <v>2408</v>
      </c>
      <c r="BR235" s="566">
        <v>76.208718064309366</v>
      </c>
      <c r="BS235" s="566"/>
      <c r="BT235" s="566">
        <v>15552667.376699848</v>
      </c>
      <c r="BU235" s="566">
        <v>661870.0585823796</v>
      </c>
      <c r="BV235" s="566">
        <v>127132.6714836703</v>
      </c>
      <c r="BW235" s="566">
        <v>1648.7369351873872</v>
      </c>
      <c r="BX235" s="566">
        <v>664027.71874396841</v>
      </c>
      <c r="BY235" s="566">
        <v>9732134.1521104164</v>
      </c>
      <c r="BZ235" s="566">
        <v>245936.19212739568</v>
      </c>
      <c r="CA235" s="566">
        <v>1.9499968872859017E-2</v>
      </c>
      <c r="CB235" s="566">
        <v>6.1207687198427775E-33</v>
      </c>
      <c r="CC235" s="566">
        <v>423.43633242188429</v>
      </c>
      <c r="CD235" s="566">
        <v>3708132.7191993669</v>
      </c>
      <c r="CE235" s="566">
        <v>3.4613092944230686</v>
      </c>
      <c r="CF235" s="566">
        <v>461.85314590415874</v>
      </c>
      <c r="CG235" s="566">
        <v>88.046878179222773</v>
      </c>
      <c r="CH235" s="566">
        <v>482.36510393031023</v>
      </c>
      <c r="CI235" s="566">
        <v>32.609954881193588</v>
      </c>
      <c r="CJ235" s="566">
        <v>7.7451370468062349E-7</v>
      </c>
      <c r="CK235" s="566">
        <v>530063.31457285059</v>
      </c>
      <c r="CL235" s="566"/>
      <c r="CM235" s="566">
        <v>13.203466229764796</v>
      </c>
      <c r="CN235" s="566">
        <v>1.2551996403711498E-2</v>
      </c>
      <c r="CO235" s="566">
        <v>2.2816649177172492E-10</v>
      </c>
      <c r="CP235" s="566">
        <v>14134.633148348548</v>
      </c>
      <c r="CQ235" s="566"/>
      <c r="CR235" s="566">
        <v>0.35555124606529143</v>
      </c>
      <c r="CS235" s="566">
        <v>1.2182985994632866E-5</v>
      </c>
      <c r="CT235" s="566">
        <v>4.3523027763994309E-10</v>
      </c>
      <c r="CU235" s="566">
        <v>2431.7897521843743</v>
      </c>
      <c r="CV235" s="566"/>
      <c r="CW235" s="566">
        <v>5.9471805816313991E-2</v>
      </c>
      <c r="CX235" s="566">
        <v>1.9848619988578223E-6</v>
      </c>
      <c r="CY235" s="552"/>
    </row>
    <row r="236" spans="3:103" ht="12.75" customHeight="1" x14ac:dyDescent="0.3"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BL236"/>
      <c r="BM236" s="562"/>
      <c r="BN236" s="591">
        <v>223</v>
      </c>
      <c r="BO236" s="549" t="s">
        <v>856</v>
      </c>
      <c r="BP236" s="549" t="s">
        <v>2408</v>
      </c>
      <c r="BQ236" s="550" t="s">
        <v>2408</v>
      </c>
      <c r="BR236" s="566">
        <v>190556.9674700633</v>
      </c>
      <c r="BS236" s="566"/>
      <c r="BT236" s="566">
        <v>8740738.3473457173</v>
      </c>
      <c r="BU236" s="566">
        <v>399590.14579567901</v>
      </c>
      <c r="BV236" s="566">
        <v>158626.10757510419</v>
      </c>
      <c r="BW236" s="566">
        <v>2166.8071443295767</v>
      </c>
      <c r="BX236" s="566">
        <v>24460.924563939996</v>
      </c>
      <c r="BY236" s="566">
        <v>40632811.105042957</v>
      </c>
      <c r="BZ236" s="566">
        <v>9059.6016903481468</v>
      </c>
      <c r="CA236" s="566">
        <v>78276.608959230027</v>
      </c>
      <c r="CB236" s="566">
        <v>2.6544591005666257E-30</v>
      </c>
      <c r="CC236" s="566">
        <v>15217.687011907245</v>
      </c>
      <c r="CD236" s="566">
        <v>22402799.61835508</v>
      </c>
      <c r="CE236" s="566">
        <v>276.16917027702766</v>
      </c>
      <c r="CF236" s="566">
        <v>6074.0419623431826</v>
      </c>
      <c r="CG236" s="566">
        <v>4208.1329373086455</v>
      </c>
      <c r="CH236" s="566">
        <v>33249.980924154479</v>
      </c>
      <c r="CI236" s="566">
        <v>1558.5677545587571</v>
      </c>
      <c r="CJ236" s="566">
        <v>13239.52724495686</v>
      </c>
      <c r="CK236" s="566">
        <v>207353436.42393926</v>
      </c>
      <c r="CL236" s="566"/>
      <c r="CM236" s="566">
        <v>11357.345290501407</v>
      </c>
      <c r="CN236" s="566">
        <v>2554.6627810065243</v>
      </c>
      <c r="CO236" s="566">
        <v>1932.5930499992062</v>
      </c>
      <c r="CP236" s="566">
        <v>118620817.71332456</v>
      </c>
      <c r="CQ236" s="566"/>
      <c r="CR236" s="566">
        <v>6523.5121337856854</v>
      </c>
      <c r="CS236" s="566">
        <v>1217.1757696404052</v>
      </c>
      <c r="CT236" s="566">
        <v>10890.86361724251</v>
      </c>
      <c r="CU236" s="566">
        <v>164434914.33859029</v>
      </c>
      <c r="CV236" s="566"/>
      <c r="CW236" s="566">
        <v>8939.1904526236995</v>
      </c>
      <c r="CX236" s="566">
        <v>608.46557140887842</v>
      </c>
      <c r="CY236" s="552"/>
    </row>
    <row r="237" spans="3:103" ht="12.75" customHeight="1" x14ac:dyDescent="0.3"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BL237"/>
      <c r="BM237" s="562"/>
      <c r="BN237" s="591">
        <v>224</v>
      </c>
      <c r="BO237" s="549" t="s">
        <v>1871</v>
      </c>
      <c r="BP237" s="549" t="s">
        <v>2408</v>
      </c>
      <c r="BQ237" s="550" t="s">
        <v>2408</v>
      </c>
      <c r="BR237" s="566">
        <v>476.99275160594004</v>
      </c>
      <c r="BS237" s="566"/>
      <c r="BT237" s="566">
        <v>19112151.544003509</v>
      </c>
      <c r="BU237" s="566">
        <v>931901.0902683282</v>
      </c>
      <c r="BV237" s="566">
        <v>35015828.017450809</v>
      </c>
      <c r="BW237" s="566">
        <v>514819.81006078544</v>
      </c>
      <c r="BX237" s="566">
        <v>94352090.177797496</v>
      </c>
      <c r="BY237" s="566">
        <v>1666961628.0138018</v>
      </c>
      <c r="BZ237" s="566">
        <v>34945218.584369421</v>
      </c>
      <c r="CA237" s="566">
        <v>2.6617020880205295</v>
      </c>
      <c r="CB237" s="566">
        <v>3.8289603253472813E-32</v>
      </c>
      <c r="CC237" s="566">
        <v>12516.293068051644</v>
      </c>
      <c r="CD237" s="566">
        <v>62015404.564794391</v>
      </c>
      <c r="CE237" s="566">
        <v>22931.398617149203</v>
      </c>
      <c r="CF237" s="566">
        <v>1712990.7418445742</v>
      </c>
      <c r="CG237" s="566">
        <v>272833.49225821666</v>
      </c>
      <c r="CH237" s="566">
        <v>1796392.9214460712</v>
      </c>
      <c r="CI237" s="566">
        <v>101049.44157711724</v>
      </c>
      <c r="CJ237" s="566">
        <v>2.1793339087859505E-3</v>
      </c>
      <c r="CK237" s="566">
        <v>1196668648.6465354</v>
      </c>
      <c r="CL237" s="566"/>
      <c r="CM237" s="566">
        <v>6677584.9191569779</v>
      </c>
      <c r="CN237" s="566">
        <v>801.79929173385301</v>
      </c>
      <c r="CO237" s="566">
        <v>2.1061408088137368E-6</v>
      </c>
      <c r="CP237" s="566">
        <v>768613839.04869986</v>
      </c>
      <c r="CQ237" s="566"/>
      <c r="CR237" s="566">
        <v>4293609.5605477747</v>
      </c>
      <c r="CS237" s="566">
        <v>0.41600197557777863</v>
      </c>
      <c r="CT237" s="566">
        <v>3.6402080881497245E-7</v>
      </c>
      <c r="CU237" s="566">
        <v>1836192045.0044906</v>
      </c>
      <c r="CV237" s="566"/>
      <c r="CW237" s="566">
        <v>10225594.562542671</v>
      </c>
      <c r="CX237" s="566">
        <v>9.7581456354656967E-2</v>
      </c>
      <c r="CY237" s="552"/>
    </row>
    <row r="238" spans="3:103" ht="12.75" customHeight="1" x14ac:dyDescent="0.3"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BL238"/>
      <c r="BM238" s="562"/>
      <c r="BN238" s="591">
        <v>225</v>
      </c>
      <c r="BO238" s="549" t="s">
        <v>1772</v>
      </c>
      <c r="BP238" s="549" t="s">
        <v>2408</v>
      </c>
      <c r="BQ238" s="550" t="s">
        <v>2408</v>
      </c>
      <c r="BR238" s="566">
        <v>37328.876019332194</v>
      </c>
      <c r="BS238" s="566"/>
      <c r="BT238" s="566">
        <v>33031622.906540215</v>
      </c>
      <c r="BU238" s="566">
        <v>1581182.900651437</v>
      </c>
      <c r="BV238" s="566">
        <v>351098.83724637097</v>
      </c>
      <c r="BW238" s="566">
        <v>5095.0893476145466</v>
      </c>
      <c r="BX238" s="566">
        <v>111413.48511587358</v>
      </c>
      <c r="BY238" s="566">
        <v>9375324.4915083032</v>
      </c>
      <c r="BZ238" s="566">
        <v>41264.253746619834</v>
      </c>
      <c r="CA238" s="566">
        <v>4818.960750333832</v>
      </c>
      <c r="CB238" s="566">
        <v>4.6907631670982722E-31</v>
      </c>
      <c r="CC238" s="566">
        <v>52282.255315290713</v>
      </c>
      <c r="CD238" s="566">
        <v>42132348.934709303</v>
      </c>
      <c r="CE238" s="566">
        <v>555.71714116965074</v>
      </c>
      <c r="CF238" s="566">
        <v>6788.2116028061864</v>
      </c>
      <c r="CG238" s="566">
        <v>7484.6285907576184</v>
      </c>
      <c r="CH238" s="566">
        <v>37890.628236851844</v>
      </c>
      <c r="CI238" s="566">
        <v>2772.0846632435632</v>
      </c>
      <c r="CJ238" s="566">
        <v>102.38186149152332</v>
      </c>
      <c r="CK238" s="566">
        <v>52041148.948504329</v>
      </c>
      <c r="CL238" s="566"/>
      <c r="CM238" s="566">
        <v>1692.1579460833136</v>
      </c>
      <c r="CN238" s="566">
        <v>570.74687478614294</v>
      </c>
      <c r="CO238" s="566">
        <v>1.2481156753926161</v>
      </c>
      <c r="CP238" s="566">
        <v>10161623.471861279</v>
      </c>
      <c r="CQ238" s="566"/>
      <c r="CR238" s="566">
        <v>331.48300403638819</v>
      </c>
      <c r="CS238" s="566">
        <v>23.706187900506965</v>
      </c>
      <c r="CT238" s="566">
        <v>1.7646513769378798</v>
      </c>
      <c r="CU238" s="566">
        <v>2343838.4181577694</v>
      </c>
      <c r="CV238" s="566"/>
      <c r="CW238" s="566">
        <v>75.752206492008298</v>
      </c>
      <c r="CX238" s="566">
        <v>2.7235418382721726</v>
      </c>
      <c r="CY238" s="552"/>
    </row>
    <row r="239" spans="3:103" ht="12.75" customHeight="1" x14ac:dyDescent="0.3"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BL239"/>
      <c r="BM239" s="562"/>
      <c r="BN239" s="591">
        <v>226</v>
      </c>
      <c r="BO239" s="549" t="s">
        <v>1959</v>
      </c>
      <c r="BP239" s="549" t="s">
        <v>2408</v>
      </c>
      <c r="BQ239" s="550" t="s">
        <v>2408</v>
      </c>
      <c r="BR239" s="566">
        <v>5466.8456389772418</v>
      </c>
      <c r="BS239" s="566"/>
      <c r="BT239" s="566">
        <v>40225217.211342216</v>
      </c>
      <c r="BU239" s="566">
        <v>1962254.0966813632</v>
      </c>
      <c r="BV239" s="566">
        <v>1302781.4685726028</v>
      </c>
      <c r="BW239" s="566">
        <v>18563.778200582623</v>
      </c>
      <c r="BX239" s="566">
        <v>4619218.3495306987</v>
      </c>
      <c r="BY239" s="566">
        <v>64082666.023682728</v>
      </c>
      <c r="BZ239" s="566">
        <v>1710821.6109372957</v>
      </c>
      <c r="CA239" s="566">
        <v>156.13193002524997</v>
      </c>
      <c r="CB239" s="566">
        <v>4.2865792584680745E-31</v>
      </c>
      <c r="CC239" s="566">
        <v>110903.39791887834</v>
      </c>
      <c r="CD239" s="566">
        <v>131673787.42395864</v>
      </c>
      <c r="CE239" s="566">
        <v>3591.848636921929</v>
      </c>
      <c r="CF239" s="566">
        <v>62284.568260120635</v>
      </c>
      <c r="CG239" s="566">
        <v>68362.368176068849</v>
      </c>
      <c r="CH239" s="566">
        <v>343532.38023407955</v>
      </c>
      <c r="CI239" s="566">
        <v>25319.395620766241</v>
      </c>
      <c r="CJ239" s="566">
        <v>2.8989593254467043</v>
      </c>
      <c r="CK239" s="566">
        <v>2536649693.2015586</v>
      </c>
      <c r="CL239" s="566"/>
      <c r="CM239" s="566">
        <v>242399.37990244903</v>
      </c>
      <c r="CN239" s="566">
        <v>4555.8681619725403</v>
      </c>
      <c r="CO239" s="566">
        <v>0.31608667841843457</v>
      </c>
      <c r="CP239" s="566">
        <v>1629149504.3842833</v>
      </c>
      <c r="CQ239" s="566"/>
      <c r="CR239" s="566">
        <v>156746.29581828279</v>
      </c>
      <c r="CS239" s="566">
        <v>1517.4317291641439</v>
      </c>
      <c r="CT239" s="566">
        <v>7.2252809484741123</v>
      </c>
      <c r="CU239" s="566">
        <v>3887840313.1713762</v>
      </c>
      <c r="CV239" s="566"/>
      <c r="CW239" s="566">
        <v>366851.65802520874</v>
      </c>
      <c r="CX239" s="566">
        <v>3188.5161619647743</v>
      </c>
      <c r="CY239" s="552"/>
    </row>
    <row r="240" spans="3:103" ht="12.75" customHeight="1" x14ac:dyDescent="0.3"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BL240"/>
      <c r="BM240" s="562"/>
      <c r="BN240" s="591">
        <v>227</v>
      </c>
      <c r="BO240" s="549" t="s">
        <v>860</v>
      </c>
      <c r="BP240" s="549" t="s">
        <v>2408</v>
      </c>
      <c r="BQ240" s="550" t="s">
        <v>2408</v>
      </c>
      <c r="BR240" s="566">
        <v>77560.431548030756</v>
      </c>
      <c r="BS240" s="566"/>
      <c r="BT240" s="566">
        <v>1598565.1665864992</v>
      </c>
      <c r="BU240" s="566">
        <v>54980.972006755139</v>
      </c>
      <c r="BV240" s="566">
        <v>197603.80299324263</v>
      </c>
      <c r="BW240" s="566">
        <v>1854.0920484111621</v>
      </c>
      <c r="BX240" s="566">
        <v>198.46671228876411</v>
      </c>
      <c r="BY240" s="566">
        <v>11440784.514377333</v>
      </c>
      <c r="BZ240" s="566">
        <v>73.506189736579316</v>
      </c>
      <c r="CA240" s="566">
        <v>9150.5513205151819</v>
      </c>
      <c r="CB240" s="566">
        <v>1.0276882550227853E-32</v>
      </c>
      <c r="CC240" s="566">
        <v>9.8172067061983093</v>
      </c>
      <c r="CD240" s="566">
        <v>955078.53354592528</v>
      </c>
      <c r="CE240" s="566">
        <v>1.2135366267600833</v>
      </c>
      <c r="CF240" s="566">
        <v>1610.3785091668869</v>
      </c>
      <c r="CG240" s="566">
        <v>10.770289918731947</v>
      </c>
      <c r="CH240" s="566">
        <v>42.777461051931041</v>
      </c>
      <c r="CI240" s="566">
        <v>3.9889962661970157</v>
      </c>
      <c r="CJ240" s="566">
        <v>219.22199604898239</v>
      </c>
      <c r="CK240" s="566">
        <v>964698.6452763445</v>
      </c>
      <c r="CL240" s="566"/>
      <c r="CM240" s="566">
        <v>328.27284939005398</v>
      </c>
      <c r="CN240" s="566">
        <v>0.9261213922665954</v>
      </c>
      <c r="CO240" s="566">
        <v>9.2652807003099884</v>
      </c>
      <c r="CP240" s="566">
        <v>106666.5825136541</v>
      </c>
      <c r="CQ240" s="566"/>
      <c r="CR240" s="566">
        <v>36.40064013955881</v>
      </c>
      <c r="CS240" s="566">
        <v>0.12967959805487225</v>
      </c>
      <c r="CT240" s="566">
        <v>4.0499408575192497</v>
      </c>
      <c r="CU240" s="566">
        <v>39409.988640741474</v>
      </c>
      <c r="CV240" s="566"/>
      <c r="CW240" s="566">
        <v>13.339297954305611</v>
      </c>
      <c r="CX240" s="566">
        <v>4.8270943701366675E-3</v>
      </c>
      <c r="CY240" s="552"/>
    </row>
    <row r="241" spans="3:103" ht="12.75" customHeight="1" x14ac:dyDescent="0.3"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BL241"/>
      <c r="BM241" s="562"/>
      <c r="BN241" s="591">
        <v>228</v>
      </c>
      <c r="BO241" s="549" t="s">
        <v>1914</v>
      </c>
      <c r="BP241" s="549" t="s">
        <v>2408</v>
      </c>
      <c r="BQ241" s="550" t="s">
        <v>2408</v>
      </c>
      <c r="BR241" s="566">
        <v>16399.668180675912</v>
      </c>
      <c r="BS241" s="566"/>
      <c r="BT241" s="566">
        <v>2261100.0923913675</v>
      </c>
      <c r="BU241" s="566">
        <v>106396.24156122452</v>
      </c>
      <c r="BV241" s="566">
        <v>219003287.8832356</v>
      </c>
      <c r="BW241" s="566">
        <v>5671138.586551032</v>
      </c>
      <c r="BX241" s="566">
        <v>76547.957960305692</v>
      </c>
      <c r="BY241" s="566">
        <v>613861.97403579543</v>
      </c>
      <c r="BZ241" s="566">
        <v>28351.095540853963</v>
      </c>
      <c r="CA241" s="566">
        <v>3611.955705139349</v>
      </c>
      <c r="CB241" s="566">
        <v>1.0395758052492098E-30</v>
      </c>
      <c r="CC241" s="566">
        <v>5185.0881432259384</v>
      </c>
      <c r="CD241" s="566">
        <v>4249042.4449306689</v>
      </c>
      <c r="CE241" s="566">
        <v>502211.89019982232</v>
      </c>
      <c r="CF241" s="566">
        <v>11324135.238119837</v>
      </c>
      <c r="CG241" s="566">
        <v>8736.5369969649055</v>
      </c>
      <c r="CH241" s="566">
        <v>19415.005409375412</v>
      </c>
      <c r="CI241" s="566">
        <v>3235.7544433203348</v>
      </c>
      <c r="CJ241" s="566">
        <v>118.37934605226312</v>
      </c>
      <c r="CK241" s="566">
        <v>6305975.2506278157</v>
      </c>
      <c r="CL241" s="566"/>
      <c r="CM241" s="566">
        <v>3392094.625048989</v>
      </c>
      <c r="CN241" s="566">
        <v>1027.7239952269513</v>
      </c>
      <c r="CO241" s="566">
        <v>1.167978567098483</v>
      </c>
      <c r="CP241" s="566">
        <v>1414191.9024509874</v>
      </c>
      <c r="CQ241" s="566"/>
      <c r="CR241" s="566">
        <v>762874.26780750079</v>
      </c>
      <c r="CS241" s="566">
        <v>37.823880173272435</v>
      </c>
      <c r="CT241" s="566">
        <v>1.8659105733596508</v>
      </c>
      <c r="CU241" s="566">
        <v>346050.63379481854</v>
      </c>
      <c r="CV241" s="566"/>
      <c r="CW241" s="566">
        <v>185164.92521673895</v>
      </c>
      <c r="CX241" s="566">
        <v>3.828126280042198</v>
      </c>
      <c r="CY241" s="552"/>
    </row>
    <row r="242" spans="3:103" ht="12.75" customHeight="1" x14ac:dyDescent="0.3"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BL242"/>
      <c r="BM242" s="562"/>
      <c r="BN242" s="591">
        <v>229</v>
      </c>
      <c r="BO242" s="549" t="s">
        <v>1932</v>
      </c>
      <c r="BP242" s="549" t="s">
        <v>2408</v>
      </c>
      <c r="BQ242" s="550" t="s">
        <v>2408</v>
      </c>
      <c r="BR242" s="566">
        <v>884420.39982459252</v>
      </c>
      <c r="BS242" s="566"/>
      <c r="BT242" s="566">
        <v>9212437.9520603232</v>
      </c>
      <c r="BU242" s="566">
        <v>417756.39335156989</v>
      </c>
      <c r="BV242" s="566">
        <v>77616.135290770588</v>
      </c>
      <c r="BW242" s="566">
        <v>1071.9916405378035</v>
      </c>
      <c r="BX242" s="566">
        <v>17104.909000791282</v>
      </c>
      <c r="BY242" s="566">
        <v>15313083.862288844</v>
      </c>
      <c r="BZ242" s="566">
        <v>6335.1514817745465</v>
      </c>
      <c r="CA242" s="566">
        <v>2578544.6982931513</v>
      </c>
      <c r="CB242" s="566">
        <v>8.7166772921375138E-29</v>
      </c>
      <c r="CC242" s="566">
        <v>348078.88576931355</v>
      </c>
      <c r="CD242" s="566">
        <v>201998524.15635711</v>
      </c>
      <c r="CE242" s="566">
        <v>2932.6154521007757</v>
      </c>
      <c r="CF242" s="566">
        <v>25917.105368433575</v>
      </c>
      <c r="CG242" s="566">
        <v>23527.352117364757</v>
      </c>
      <c r="CH242" s="566">
        <v>199817.01975452379</v>
      </c>
      <c r="CI242" s="566">
        <v>8713.8341175425048</v>
      </c>
      <c r="CJ242" s="566">
        <v>3401849.9832196236</v>
      </c>
      <c r="CK242" s="566">
        <v>4103207698.3027854</v>
      </c>
      <c r="CL242" s="566"/>
      <c r="CM242" s="566">
        <v>106353.56546753163</v>
      </c>
      <c r="CN242" s="566">
        <v>111408.21127633433</v>
      </c>
      <c r="CO242" s="566">
        <v>681669.31998849218</v>
      </c>
      <c r="CP242" s="566">
        <v>2934701181.3097491</v>
      </c>
      <c r="CQ242" s="566"/>
      <c r="CR242" s="566">
        <v>76215.49629510977</v>
      </c>
      <c r="CS242" s="566">
        <v>70234.298769440386</v>
      </c>
      <c r="CT242" s="566">
        <v>4840560.0070390049</v>
      </c>
      <c r="CU242" s="566">
        <v>5307932570.1597157</v>
      </c>
      <c r="CV242" s="566"/>
      <c r="CW242" s="566">
        <v>137078.072527999</v>
      </c>
      <c r="CX242" s="566">
        <v>46605.130092661559</v>
      </c>
      <c r="CY242" s="552"/>
    </row>
    <row r="243" spans="3:103" ht="12.75" customHeight="1" x14ac:dyDescent="0.3"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BL243"/>
      <c r="BM243" s="562"/>
      <c r="BN243" s="591">
        <v>230</v>
      </c>
      <c r="BO243" s="549" t="s">
        <v>1748</v>
      </c>
      <c r="BP243" s="549" t="s">
        <v>2408</v>
      </c>
      <c r="BQ243" s="550" t="s">
        <v>2408</v>
      </c>
      <c r="BR243" s="566">
        <v>92189.210567968941</v>
      </c>
      <c r="BS243" s="566"/>
      <c r="BT243" s="566">
        <v>7051737.1751291165</v>
      </c>
      <c r="BU243" s="566">
        <v>300186.50641534256</v>
      </c>
      <c r="BV243" s="566">
        <v>97908.145502710802</v>
      </c>
      <c r="BW243" s="566">
        <v>1255.3120200026615</v>
      </c>
      <c r="BX243" s="566">
        <v>134780.29453340149</v>
      </c>
      <c r="BY243" s="566">
        <v>1339162.2466197973</v>
      </c>
      <c r="BZ243" s="566">
        <v>49918.62760496352</v>
      </c>
      <c r="CA243" s="566">
        <v>57837.499333149972</v>
      </c>
      <c r="CB243" s="566">
        <v>7.2744995189080826E-30</v>
      </c>
      <c r="CC243" s="566">
        <v>82641.164166105198</v>
      </c>
      <c r="CD243" s="566">
        <v>3375643.20410582</v>
      </c>
      <c r="CE243" s="566">
        <v>1147.4113292573597</v>
      </c>
      <c r="CF243" s="566">
        <v>705.80878866874934</v>
      </c>
      <c r="CG243" s="566">
        <v>43335.6814844826</v>
      </c>
      <c r="CH243" s="566">
        <v>107005.36309223514</v>
      </c>
      <c r="CI243" s="566">
        <v>16050.252401660218</v>
      </c>
      <c r="CJ243" s="566">
        <v>5536.2513561075848</v>
      </c>
      <c r="CK243" s="566">
        <v>675007.22850934649</v>
      </c>
      <c r="CL243" s="566"/>
      <c r="CM243" s="566">
        <v>28.226074834854078</v>
      </c>
      <c r="CN243" s="566">
        <v>14888.658823373638</v>
      </c>
      <c r="CO243" s="566">
        <v>116.97831781078804</v>
      </c>
      <c r="CP243" s="566">
        <v>45493.303913727512</v>
      </c>
      <c r="CQ243" s="566"/>
      <c r="CR243" s="566">
        <v>1.9234803972625762</v>
      </c>
      <c r="CS243" s="566">
        <v>1422.2579231709669</v>
      </c>
      <c r="CT243" s="566">
        <v>264.60884646221774</v>
      </c>
      <c r="CU243" s="566">
        <v>8002.7429649747119</v>
      </c>
      <c r="CV243" s="566"/>
      <c r="CW243" s="566">
        <v>0.32779501790496041</v>
      </c>
      <c r="CX243" s="566">
        <v>167.6535376543722</v>
      </c>
      <c r="CY243" s="552"/>
    </row>
    <row r="244" spans="3:103" ht="12.75" customHeight="1" x14ac:dyDescent="0.3"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BL244"/>
      <c r="BM244" s="562"/>
      <c r="BN244" s="591">
        <v>231</v>
      </c>
      <c r="BO244" s="549" t="s">
        <v>454</v>
      </c>
      <c r="BP244" s="549" t="s">
        <v>2408</v>
      </c>
      <c r="BQ244" s="550" t="s">
        <v>2408</v>
      </c>
      <c r="BR244" s="566">
        <v>780877.36295699794</v>
      </c>
      <c r="BS244" s="566"/>
      <c r="BT244" s="566">
        <v>1553828.2622555622</v>
      </c>
      <c r="BU244" s="566">
        <v>54631.477296962461</v>
      </c>
      <c r="BV244" s="566">
        <v>36824.032862672932</v>
      </c>
      <c r="BW244" s="566">
        <v>383.20119675958261</v>
      </c>
      <c r="BX244" s="566">
        <v>436.0490083300715</v>
      </c>
      <c r="BY244" s="566">
        <v>6449218.2974260245</v>
      </c>
      <c r="BZ244" s="566">
        <v>161.49963271484125</v>
      </c>
      <c r="CA244" s="566">
        <v>3857724.4503205707</v>
      </c>
      <c r="CB244" s="566">
        <v>4.4161168124852968E-30</v>
      </c>
      <c r="CC244" s="566">
        <v>4365.0823056319714</v>
      </c>
      <c r="CD244" s="566">
        <v>6346401.8964927644</v>
      </c>
      <c r="CE244" s="566">
        <v>103.44768348950684</v>
      </c>
      <c r="CF244" s="566">
        <v>2225.7761662144635</v>
      </c>
      <c r="CG244" s="566">
        <v>993.33834807483061</v>
      </c>
      <c r="CH244" s="566">
        <v>3777.9110428126578</v>
      </c>
      <c r="CI244" s="566">
        <v>367.90309187956666</v>
      </c>
      <c r="CJ244" s="566">
        <v>5526006.4234627429</v>
      </c>
      <c r="CK244" s="566">
        <v>82157454.259796888</v>
      </c>
      <c r="CL244" s="566"/>
      <c r="CM244" s="566">
        <v>5820.9102336681162</v>
      </c>
      <c r="CN244" s="566">
        <v>5107.1785228306635</v>
      </c>
      <c r="CO244" s="566">
        <v>1979164.278395653</v>
      </c>
      <c r="CP244" s="566">
        <v>93926464.660093457</v>
      </c>
      <c r="CQ244" s="566"/>
      <c r="CR244" s="566">
        <v>6689.1833558767084</v>
      </c>
      <c r="CS244" s="566">
        <v>6555.4247216029416</v>
      </c>
      <c r="CT244" s="566">
        <v>4502903.7336432924</v>
      </c>
      <c r="CU244" s="566">
        <v>58612138.274359904</v>
      </c>
      <c r="CV244" s="566"/>
      <c r="CW244" s="566">
        <v>4113.1363486555447</v>
      </c>
      <c r="CX244" s="566">
        <v>1130.3959025866754</v>
      </c>
      <c r="CY244" s="552"/>
    </row>
    <row r="245" spans="3:103" ht="12.75" customHeight="1" x14ac:dyDescent="0.3"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BL245"/>
      <c r="BM245" s="562"/>
      <c r="BN245" s="591">
        <v>232</v>
      </c>
      <c r="BO245" s="549" t="s">
        <v>1824</v>
      </c>
      <c r="BP245" s="549" t="s">
        <v>2408</v>
      </c>
      <c r="BQ245" s="550" t="s">
        <v>2408</v>
      </c>
      <c r="BR245" s="566">
        <v>548666.84774360596</v>
      </c>
      <c r="BS245" s="566"/>
      <c r="BT245" s="566">
        <v>2661300.8587895823</v>
      </c>
      <c r="BU245" s="566">
        <v>103535.02256834639</v>
      </c>
      <c r="BV245" s="566">
        <v>41757.426284853507</v>
      </c>
      <c r="BW245" s="566">
        <v>487.60286627540012</v>
      </c>
      <c r="BX245" s="566">
        <v>5246.5011444847687</v>
      </c>
      <c r="BY245" s="566">
        <v>31190252.597697899</v>
      </c>
      <c r="BZ245" s="566">
        <v>1943.1485720313958</v>
      </c>
      <c r="CA245" s="566">
        <v>1000681.4030921742</v>
      </c>
      <c r="CB245" s="566">
        <v>1.2834619746276072E-29</v>
      </c>
      <c r="CC245" s="566">
        <v>18350.924854148539</v>
      </c>
      <c r="CD245" s="566">
        <v>18529713.217854492</v>
      </c>
      <c r="CE245" s="566">
        <v>287.93715273684535</v>
      </c>
      <c r="CF245" s="566">
        <v>4363.3260766049752</v>
      </c>
      <c r="CG245" s="566">
        <v>4228.5391256783132</v>
      </c>
      <c r="CH245" s="566">
        <v>31918.795756410473</v>
      </c>
      <c r="CI245" s="566">
        <v>1566.125602103079</v>
      </c>
      <c r="CJ245" s="566">
        <v>386402.39325778943</v>
      </c>
      <c r="CK245" s="566">
        <v>127505097.43669702</v>
      </c>
      <c r="CL245" s="566"/>
      <c r="CM245" s="566">
        <v>6065.5006976015757</v>
      </c>
      <c r="CN245" s="566">
        <v>5860.5447644354308</v>
      </c>
      <c r="CO245" s="566">
        <v>54438.109402410017</v>
      </c>
      <c r="CP245" s="566">
        <v>64859710.420115829</v>
      </c>
      <c r="CQ245" s="566"/>
      <c r="CR245" s="566">
        <v>3096.3301867719138</v>
      </c>
      <c r="CS245" s="566">
        <v>2705.6739729844321</v>
      </c>
      <c r="CT245" s="566">
        <v>119410.36040352379</v>
      </c>
      <c r="CU245" s="566">
        <v>62920436.953788802</v>
      </c>
      <c r="CV245" s="566"/>
      <c r="CW245" s="566">
        <v>2973.5793955205731</v>
      </c>
      <c r="CX245" s="566">
        <v>522.16019174150665</v>
      </c>
      <c r="CY245" s="552"/>
    </row>
    <row r="246" spans="3:103" ht="12.75" customHeight="1" x14ac:dyDescent="0.3"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BL246"/>
      <c r="BM246" s="562"/>
      <c r="BN246" s="591">
        <v>233</v>
      </c>
      <c r="BO246" s="549" t="s">
        <v>1942</v>
      </c>
      <c r="BP246" s="549" t="s">
        <v>2408</v>
      </c>
      <c r="BQ246" s="550" t="s">
        <v>2408</v>
      </c>
      <c r="BR246" s="566">
        <v>590891.98656980658</v>
      </c>
      <c r="BS246" s="566"/>
      <c r="BT246" s="566">
        <v>2316982.4962337362</v>
      </c>
      <c r="BU246" s="566">
        <v>82503.716001661931</v>
      </c>
      <c r="BV246" s="566">
        <v>18825.549500125413</v>
      </c>
      <c r="BW246" s="566">
        <v>204.30132809943828</v>
      </c>
      <c r="BX246" s="566">
        <v>268.05910979987436</v>
      </c>
      <c r="BY246" s="566">
        <v>10862029.552470589</v>
      </c>
      <c r="BZ246" s="566">
        <v>99.281151777731225</v>
      </c>
      <c r="CA246" s="566">
        <v>1149850.8618916741</v>
      </c>
      <c r="CB246" s="566">
        <v>3.6369087220024213E-30</v>
      </c>
      <c r="CC246" s="566">
        <v>3901.6581303003491</v>
      </c>
      <c r="CD246" s="566">
        <v>5850530.8503304143</v>
      </c>
      <c r="CE246" s="566">
        <v>31.701084658140768</v>
      </c>
      <c r="CF246" s="566">
        <v>724.37417411911633</v>
      </c>
      <c r="CG246" s="566">
        <v>250.55751145210928</v>
      </c>
      <c r="CH246" s="566">
        <v>2083.9370521571764</v>
      </c>
      <c r="CI246" s="566">
        <v>92.799078315596049</v>
      </c>
      <c r="CJ246" s="566">
        <v>402800.50828946405</v>
      </c>
      <c r="CK246" s="566">
        <v>30301189.904053167</v>
      </c>
      <c r="CL246" s="566"/>
      <c r="CM246" s="566">
        <v>757.90998342760008</v>
      </c>
      <c r="CN246" s="566">
        <v>315.03555936138656</v>
      </c>
      <c r="CO246" s="566">
        <v>50586.869070211476</v>
      </c>
      <c r="CP246" s="566">
        <v>11779063.059659014</v>
      </c>
      <c r="CQ246" s="566"/>
      <c r="CR246" s="566">
        <v>295.18237452396539</v>
      </c>
      <c r="CS246" s="566">
        <v>126.79856019801616</v>
      </c>
      <c r="CT246" s="566">
        <v>81824.123577073173</v>
      </c>
      <c r="CU246" s="566">
        <v>12174992.565595059</v>
      </c>
      <c r="CV246" s="566"/>
      <c r="CW246" s="566">
        <v>303.45535168459776</v>
      </c>
      <c r="CX246" s="566">
        <v>18.854311040316556</v>
      </c>
      <c r="CY246" s="552"/>
    </row>
    <row r="247" spans="3:103" ht="12.75" customHeight="1" x14ac:dyDescent="0.3"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BL247"/>
      <c r="BM247" s="562"/>
      <c r="BN247" s="591">
        <v>234</v>
      </c>
      <c r="BO247" s="549" t="s">
        <v>1896</v>
      </c>
      <c r="BP247" s="549" t="s">
        <v>2408</v>
      </c>
      <c r="BQ247" s="550" t="s">
        <v>2408</v>
      </c>
      <c r="BR247" s="566">
        <v>553819.0838661826</v>
      </c>
      <c r="BS247" s="566"/>
      <c r="BT247" s="566">
        <v>1907242.1938129335</v>
      </c>
      <c r="BU247" s="566">
        <v>66276.392134072827</v>
      </c>
      <c r="BV247" s="566">
        <v>14933.587293098833</v>
      </c>
      <c r="BW247" s="566">
        <v>158.25913334624352</v>
      </c>
      <c r="BX247" s="566">
        <v>3.5077425551535044</v>
      </c>
      <c r="BY247" s="566">
        <v>24911486.389698658</v>
      </c>
      <c r="BZ247" s="566">
        <v>1.2991639093161127</v>
      </c>
      <c r="CA247" s="566">
        <v>1097297.3238965189</v>
      </c>
      <c r="CB247" s="566">
        <v>1.7851869623904995E-32</v>
      </c>
      <c r="CC247" s="566">
        <v>17.74816275979763</v>
      </c>
      <c r="CD247" s="566">
        <v>1609432.4562834145</v>
      </c>
      <c r="CE247" s="566">
        <v>0.13896700624879313</v>
      </c>
      <c r="CF247" s="566">
        <v>192.15543990043449</v>
      </c>
      <c r="CG247" s="566">
        <v>3.1008298837745674</v>
      </c>
      <c r="CH247" s="566">
        <v>23.988576860404457</v>
      </c>
      <c r="CI247" s="566">
        <v>1.1484555125090985</v>
      </c>
      <c r="CJ247" s="566">
        <v>370993.06254201644</v>
      </c>
      <c r="CK247" s="566">
        <v>5452280.5790702645</v>
      </c>
      <c r="CL247" s="566"/>
      <c r="CM247" s="566">
        <v>131.50685463657152</v>
      </c>
      <c r="CN247" s="566">
        <v>3.7629033591376775</v>
      </c>
      <c r="CO247" s="566">
        <v>43805.492341603043</v>
      </c>
      <c r="CP247" s="566">
        <v>966475.2601631562</v>
      </c>
      <c r="CQ247" s="566"/>
      <c r="CR247" s="566">
        <v>23.353606551890174</v>
      </c>
      <c r="CS247" s="566">
        <v>0.75192910599091478</v>
      </c>
      <c r="CT247" s="566">
        <v>65059.579198053696</v>
      </c>
      <c r="CU247" s="566">
        <v>1874614.0868258616</v>
      </c>
      <c r="CV247" s="566"/>
      <c r="CW247" s="566">
        <v>45.061287097782355</v>
      </c>
      <c r="CX247" s="566">
        <v>0.29441587504187805</v>
      </c>
      <c r="CY247" s="552"/>
    </row>
    <row r="248" spans="3:103" ht="12.75" customHeight="1" x14ac:dyDescent="0.3"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BL248"/>
      <c r="BM248" s="562"/>
      <c r="BN248" s="591">
        <v>235</v>
      </c>
      <c r="BO248" s="549" t="s">
        <v>1905</v>
      </c>
      <c r="BP248" s="549" t="s">
        <v>2408</v>
      </c>
      <c r="BQ248" s="550" t="s">
        <v>2408</v>
      </c>
      <c r="BR248" s="566">
        <v>8.8960676205279865E-2</v>
      </c>
      <c r="BS248" s="566"/>
      <c r="BT248" s="566">
        <v>59412417.467338897</v>
      </c>
      <c r="BU248" s="566">
        <v>2897591.0850933492</v>
      </c>
      <c r="BV248" s="566">
        <v>462767.64450697985</v>
      </c>
      <c r="BW248" s="566">
        <v>6883.5622249958233</v>
      </c>
      <c r="BX248" s="566">
        <v>500989.20896455226</v>
      </c>
      <c r="BY248" s="566">
        <v>8605075.7731293458</v>
      </c>
      <c r="BZ248" s="566">
        <v>185551.55887576012</v>
      </c>
      <c r="CA248" s="566">
        <v>3.1642276632841451E-8</v>
      </c>
      <c r="CB248" s="566">
        <v>7.1796405588148992E-36</v>
      </c>
      <c r="CC248" s="566">
        <v>2.4485735811221163</v>
      </c>
      <c r="CD248" s="566">
        <v>192260424.74797782</v>
      </c>
      <c r="CE248" s="566">
        <v>1.9072117864263282E-2</v>
      </c>
      <c r="CF248" s="566">
        <v>22836.842023107562</v>
      </c>
      <c r="CG248" s="566">
        <v>9.2341411741795124E-2</v>
      </c>
      <c r="CH248" s="566">
        <v>0.59315479037548124</v>
      </c>
      <c r="CI248" s="566">
        <v>3.4200522867331502E-2</v>
      </c>
      <c r="CJ248" s="566">
        <v>5.3859670366270515E-10</v>
      </c>
      <c r="CK248" s="566">
        <v>3705704370.2072716</v>
      </c>
      <c r="CL248" s="566"/>
      <c r="CM248" s="566">
        <v>88921.583000057813</v>
      </c>
      <c r="CN248" s="566">
        <v>5.6415200155203122E-3</v>
      </c>
      <c r="CO248" s="566">
        <v>6.8006896540090286E-11</v>
      </c>
      <c r="CP248" s="566">
        <v>2380036083.14676</v>
      </c>
      <c r="CQ248" s="566"/>
      <c r="CR248" s="566">
        <v>57214.880899084368</v>
      </c>
      <c r="CS248" s="566">
        <v>2.2553829913917953E-3</v>
      </c>
      <c r="CT248" s="566">
        <v>1.7722794115299895E-9</v>
      </c>
      <c r="CU248" s="566">
        <v>5681608672.5316505</v>
      </c>
      <c r="CV248" s="566"/>
      <c r="CW248" s="566">
        <v>135874.09437395673</v>
      </c>
      <c r="CX248" s="566">
        <v>5.3582527688052061E-3</v>
      </c>
      <c r="CY248" s="552"/>
    </row>
    <row r="249" spans="3:103" ht="12.75" customHeight="1" x14ac:dyDescent="0.3"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BL249"/>
      <c r="BM249" s="562"/>
      <c r="BN249" s="591">
        <v>236</v>
      </c>
      <c r="BO249" s="549" t="s">
        <v>1925</v>
      </c>
      <c r="BP249" s="549" t="s">
        <v>2408</v>
      </c>
      <c r="BQ249" s="550" t="s">
        <v>2408</v>
      </c>
      <c r="BR249" s="566">
        <v>419625.89450049726</v>
      </c>
      <c r="BS249" s="566"/>
      <c r="BT249" s="566">
        <v>1724458.7140221519</v>
      </c>
      <c r="BU249" s="566">
        <v>64491.212566191971</v>
      </c>
      <c r="BV249" s="566">
        <v>333479.63651958876</v>
      </c>
      <c r="BW249" s="566">
        <v>3339.6785463563006</v>
      </c>
      <c r="BX249" s="566">
        <v>22441.363737409956</v>
      </c>
      <c r="BY249" s="566">
        <v>289213053.94182885</v>
      </c>
      <c r="BZ249" s="566">
        <v>8311.6161990407236</v>
      </c>
      <c r="CA249" s="566">
        <v>800909.62746638653</v>
      </c>
      <c r="CB249" s="566">
        <v>4.7751373919768073E-30</v>
      </c>
      <c r="CC249" s="566">
        <v>5937.2070512174523</v>
      </c>
      <c r="CD249" s="566">
        <v>7173707.7721228665</v>
      </c>
      <c r="CE249" s="566">
        <v>1148.150218547999</v>
      </c>
      <c r="CF249" s="566">
        <v>18574.528987029433</v>
      </c>
      <c r="CG249" s="566">
        <v>15412.249415867513</v>
      </c>
      <c r="CH249" s="566">
        <v>132548.69060806694</v>
      </c>
      <c r="CI249" s="566">
        <v>5708.2405243953745</v>
      </c>
      <c r="CJ249" s="566">
        <v>289211.5173713328</v>
      </c>
      <c r="CK249" s="566">
        <v>43253552.702629991</v>
      </c>
      <c r="CL249" s="566"/>
      <c r="CM249" s="566">
        <v>22624.866433706633</v>
      </c>
      <c r="CN249" s="566">
        <v>19975.688349853102</v>
      </c>
      <c r="CO249" s="566">
        <v>38109.771712274247</v>
      </c>
      <c r="CP249" s="566">
        <v>19349560.766245529</v>
      </c>
      <c r="CQ249" s="566"/>
      <c r="CR249" s="566">
        <v>10150.308397377914</v>
      </c>
      <c r="CS249" s="566">
        <v>8174.8491718774985</v>
      </c>
      <c r="CT249" s="566">
        <v>67862.595800277719</v>
      </c>
      <c r="CU249" s="566">
        <v>19508825.654421419</v>
      </c>
      <c r="CV249" s="566"/>
      <c r="CW249" s="566">
        <v>10150.321855406655</v>
      </c>
      <c r="CX249" s="566">
        <v>1394.6941198778795</v>
      </c>
      <c r="CY249" s="552"/>
    </row>
    <row r="250" spans="3:103" ht="12.75" customHeight="1" x14ac:dyDescent="0.3"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BL250"/>
      <c r="BM250" s="562"/>
      <c r="BN250" s="591">
        <v>237</v>
      </c>
      <c r="BO250" s="549" t="s">
        <v>1958</v>
      </c>
      <c r="BP250" s="549" t="s">
        <v>2408</v>
      </c>
      <c r="BQ250" s="550" t="s">
        <v>2408</v>
      </c>
      <c r="BR250" s="566">
        <v>3486.420292317614</v>
      </c>
      <c r="BS250" s="566"/>
      <c r="BT250" s="566">
        <v>40839693.484810978</v>
      </c>
      <c r="BU250" s="566">
        <v>1991185.6390064475</v>
      </c>
      <c r="BV250" s="566">
        <v>357518.7395146882</v>
      </c>
      <c r="BW250" s="566">
        <v>5305.3220414866828</v>
      </c>
      <c r="BX250" s="566">
        <v>525815.69688218506</v>
      </c>
      <c r="BY250" s="566">
        <v>11407533.53378175</v>
      </c>
      <c r="BZ250" s="566">
        <v>194746.55440080928</v>
      </c>
      <c r="CA250" s="566">
        <v>79.280158916487778</v>
      </c>
      <c r="CB250" s="566">
        <v>2.7975170095285388E-31</v>
      </c>
      <c r="CC250" s="566">
        <v>116127.72395605834</v>
      </c>
      <c r="CD250" s="566">
        <v>133242598.11697893</v>
      </c>
      <c r="CE250" s="566">
        <v>1016.6050219480921</v>
      </c>
      <c r="CF250" s="566">
        <v>17750.602425188321</v>
      </c>
      <c r="CG250" s="566">
        <v>6195.3849182924396</v>
      </c>
      <c r="CH250" s="566">
        <v>49632.767004818917</v>
      </c>
      <c r="CI250" s="566">
        <v>2294.5870067749761</v>
      </c>
      <c r="CJ250" s="566">
        <v>1.5896153692417589</v>
      </c>
      <c r="CK250" s="566">
        <v>2567967760.3870144</v>
      </c>
      <c r="CL250" s="566"/>
      <c r="CM250" s="566">
        <v>69111.420791251439</v>
      </c>
      <c r="CN250" s="566">
        <v>445.86100504188403</v>
      </c>
      <c r="CO250" s="566">
        <v>0.16749145279403976</v>
      </c>
      <c r="CP250" s="566">
        <v>1649299645.5978308</v>
      </c>
      <c r="CQ250" s="566"/>
      <c r="CR250" s="566">
        <v>44477.717046856065</v>
      </c>
      <c r="CS250" s="566">
        <v>144.49417310757292</v>
      </c>
      <c r="CT250" s="566">
        <v>4.3439431952224794</v>
      </c>
      <c r="CU250" s="566">
        <v>3937008247.0780091</v>
      </c>
      <c r="CV250" s="566"/>
      <c r="CW250" s="566">
        <v>105555.64657689389</v>
      </c>
      <c r="CX250" s="566">
        <v>361.64358281538813</v>
      </c>
      <c r="CY250" s="552"/>
    </row>
    <row r="251" spans="3:103" ht="12.75" customHeight="1" x14ac:dyDescent="0.3"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BL251"/>
      <c r="BM251" s="562"/>
      <c r="BN251" s="591">
        <v>238</v>
      </c>
      <c r="BO251" s="549" t="s">
        <v>1923</v>
      </c>
      <c r="BP251" s="549" t="s">
        <v>2408</v>
      </c>
      <c r="BQ251" s="550" t="s">
        <v>2408</v>
      </c>
      <c r="BR251" s="566">
        <v>385089.60293147317</v>
      </c>
      <c r="BS251" s="566"/>
      <c r="BT251" s="566">
        <v>1158112.2836974293</v>
      </c>
      <c r="BU251" s="566">
        <v>36962.622093608457</v>
      </c>
      <c r="BV251" s="566">
        <v>10046.270390730278</v>
      </c>
      <c r="BW251" s="566">
        <v>97.60558541638224</v>
      </c>
      <c r="BX251" s="566">
        <v>29.312356021828993</v>
      </c>
      <c r="BY251" s="566">
        <v>2868617.4262396581</v>
      </c>
      <c r="BZ251" s="566">
        <v>10.856428156232962</v>
      </c>
      <c r="CA251" s="566">
        <v>770837.69362155593</v>
      </c>
      <c r="CB251" s="566">
        <v>2.0729504937514177E-31</v>
      </c>
      <c r="CC251" s="566">
        <v>206.00084714604907</v>
      </c>
      <c r="CD251" s="566">
        <v>230918.6907342241</v>
      </c>
      <c r="CE251" s="566">
        <v>1.7869944393832189</v>
      </c>
      <c r="CF251" s="566">
        <v>30.488846185774086</v>
      </c>
      <c r="CG251" s="566">
        <v>38.248756557451962</v>
      </c>
      <c r="CH251" s="566">
        <v>180.37188091335892</v>
      </c>
      <c r="CI251" s="566">
        <v>14.166206132389615</v>
      </c>
      <c r="CJ251" s="566">
        <v>260380.08086275769</v>
      </c>
      <c r="CK251" s="566">
        <v>50763.100846618509</v>
      </c>
      <c r="CL251" s="566"/>
      <c r="CM251" s="566">
        <v>1.3404222160721961</v>
      </c>
      <c r="CN251" s="566">
        <v>46.373063868241275</v>
      </c>
      <c r="CO251" s="566">
        <v>29805.563697668837</v>
      </c>
      <c r="CP251" s="566">
        <v>39616.363484864371</v>
      </c>
      <c r="CQ251" s="566"/>
      <c r="CR251" s="566">
        <v>1.0565109413889826</v>
      </c>
      <c r="CS251" s="566">
        <v>30.754505263255744</v>
      </c>
      <c r="CT251" s="566">
        <v>44887.287349015023</v>
      </c>
      <c r="CU251" s="566">
        <v>1158.1003808358571</v>
      </c>
      <c r="CV251" s="566"/>
      <c r="CW251" s="566">
        <v>3.0017498039919661E-2</v>
      </c>
      <c r="CX251" s="566">
        <v>1.8624171046759475</v>
      </c>
      <c r="CY251" s="552"/>
    </row>
    <row r="252" spans="3:103" ht="12.75" customHeight="1" x14ac:dyDescent="0.3"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BL252"/>
      <c r="BM252" s="562"/>
      <c r="BN252" s="591">
        <v>239</v>
      </c>
      <c r="BO252" s="549" t="s">
        <v>1850</v>
      </c>
      <c r="BP252" s="549" t="s">
        <v>2408</v>
      </c>
      <c r="BQ252" s="550" t="s">
        <v>2408</v>
      </c>
      <c r="BR252" s="566">
        <v>606076.93345538806</v>
      </c>
      <c r="BS252" s="566"/>
      <c r="BT252" s="566">
        <v>2503133.825934255</v>
      </c>
      <c r="BU252" s="566">
        <v>87833.963567413608</v>
      </c>
      <c r="BV252" s="566">
        <v>25013.565922272894</v>
      </c>
      <c r="BW252" s="566">
        <v>266.43958392372241</v>
      </c>
      <c r="BX252" s="566">
        <v>643.99187457965093</v>
      </c>
      <c r="BY252" s="566">
        <v>17117217.340941705</v>
      </c>
      <c r="BZ252" s="566">
        <v>238.51550910357435</v>
      </c>
      <c r="CA252" s="566">
        <v>825934.86446155445</v>
      </c>
      <c r="CB252" s="566">
        <v>3.8954018573319603E-30</v>
      </c>
      <c r="CC252" s="566">
        <v>3993.6844236720217</v>
      </c>
      <c r="CD252" s="566">
        <v>4346373.7686065454</v>
      </c>
      <c r="CE252" s="566">
        <v>39.908488938656674</v>
      </c>
      <c r="CF252" s="566">
        <v>659.22450237355793</v>
      </c>
      <c r="CG252" s="566">
        <v>430.13682084387762</v>
      </c>
      <c r="CH252" s="566">
        <v>3087.6879022218882</v>
      </c>
      <c r="CI252" s="566">
        <v>159.30993364588053</v>
      </c>
      <c r="CJ252" s="566">
        <v>181168.51588570833</v>
      </c>
      <c r="CK252" s="566">
        <v>6108724.2954750042</v>
      </c>
      <c r="CL252" s="566"/>
      <c r="CM252" s="566">
        <v>186.98687622048971</v>
      </c>
      <c r="CN252" s="566">
        <v>338.64697760544686</v>
      </c>
      <c r="CO252" s="566">
        <v>12853.927695766262</v>
      </c>
      <c r="CP252" s="566">
        <v>1888520.6042827165</v>
      </c>
      <c r="CQ252" s="566"/>
      <c r="CR252" s="566">
        <v>57.986361492662112</v>
      </c>
      <c r="CS252" s="566">
        <v>77.954505084276917</v>
      </c>
      <c r="CT252" s="566">
        <v>19157.644738661744</v>
      </c>
      <c r="CU252" s="566">
        <v>314800.60639669304</v>
      </c>
      <c r="CV252" s="566"/>
      <c r="CW252" s="566">
        <v>9.580370187427997</v>
      </c>
      <c r="CX252" s="566">
        <v>10.337248994126648</v>
      </c>
      <c r="CY252" s="552"/>
    </row>
    <row r="253" spans="3:103" ht="12.75" customHeight="1" x14ac:dyDescent="0.3"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BL253"/>
      <c r="BM253" s="562"/>
      <c r="BN253" s="591">
        <v>240</v>
      </c>
      <c r="BO253" s="549" t="s">
        <v>1907</v>
      </c>
      <c r="BP253" s="549" t="s">
        <v>2408</v>
      </c>
      <c r="BQ253" s="550" t="s">
        <v>2408</v>
      </c>
      <c r="BR253" s="566">
        <v>86.950072762358843</v>
      </c>
      <c r="BS253" s="566"/>
      <c r="BT253" s="566">
        <v>42573407.563853435</v>
      </c>
      <c r="BU253" s="566">
        <v>2076260.6770623461</v>
      </c>
      <c r="BV253" s="566">
        <v>5262636.404722074</v>
      </c>
      <c r="BW253" s="566">
        <v>70016.557933844801</v>
      </c>
      <c r="BX253" s="566">
        <v>20115748.037757482</v>
      </c>
      <c r="BY253" s="566">
        <v>352680040.32391334</v>
      </c>
      <c r="BZ253" s="566">
        <v>7450277.0510212891</v>
      </c>
      <c r="CA253" s="566">
        <v>4.2351870197262186E-2</v>
      </c>
      <c r="CB253" s="566">
        <v>7.0052844037344769E-33</v>
      </c>
      <c r="CC253" s="566">
        <v>2426.2192093618164</v>
      </c>
      <c r="CD253" s="566">
        <v>137793690.49605843</v>
      </c>
      <c r="CE253" s="566">
        <v>299.91279222535917</v>
      </c>
      <c r="CF253" s="566">
        <v>232336.91270370892</v>
      </c>
      <c r="CG253" s="566">
        <v>5077.3525215451618</v>
      </c>
      <c r="CH253" s="566">
        <v>33281.197932138079</v>
      </c>
      <c r="CI253" s="566">
        <v>1880.5009339056164</v>
      </c>
      <c r="CJ253" s="566">
        <v>4.5939269478193975E-4</v>
      </c>
      <c r="CK253" s="566">
        <v>2656030997.1271853</v>
      </c>
      <c r="CL253" s="566"/>
      <c r="CM253" s="566">
        <v>904715.91811563121</v>
      </c>
      <c r="CN253" s="566">
        <v>197.67532653360459</v>
      </c>
      <c r="CO253" s="566">
        <v>1.3956797227351064E-4</v>
      </c>
      <c r="CP253" s="566">
        <v>1705873695.0421429</v>
      </c>
      <c r="CQ253" s="566"/>
      <c r="CR253" s="566">
        <v>582266.09731301281</v>
      </c>
      <c r="CS253" s="566">
        <v>78.096927987569131</v>
      </c>
      <c r="CT253" s="566">
        <v>1.2341645676045669E-3</v>
      </c>
      <c r="CU253" s="566">
        <v>4072394522.9004545</v>
      </c>
      <c r="CV253" s="566"/>
      <c r="CW253" s="566">
        <v>1381846.8483840623</v>
      </c>
      <c r="CX253" s="566">
        <v>187.11848365342945</v>
      </c>
      <c r="CY253" s="552"/>
    </row>
    <row r="254" spans="3:103" ht="12.75" customHeight="1" x14ac:dyDescent="0.3"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BL254"/>
      <c r="BM254" s="562"/>
      <c r="BN254" s="591">
        <v>241</v>
      </c>
      <c r="BO254" s="549" t="s">
        <v>1779</v>
      </c>
      <c r="BP254" s="549" t="s">
        <v>2408</v>
      </c>
      <c r="BQ254" s="550" t="s">
        <v>2408</v>
      </c>
      <c r="BR254" s="566">
        <v>188.32692382987634</v>
      </c>
      <c r="BS254" s="566"/>
      <c r="BT254" s="566">
        <v>161303063.55039304</v>
      </c>
      <c r="BU254" s="566">
        <v>7864472.5315840896</v>
      </c>
      <c r="BV254" s="566">
        <v>1261801.2475006639</v>
      </c>
      <c r="BW254" s="566">
        <v>18761.889147953982</v>
      </c>
      <c r="BX254" s="566">
        <v>1361169.3892056895</v>
      </c>
      <c r="BY254" s="566">
        <v>29763125.39165321</v>
      </c>
      <c r="BZ254" s="566">
        <v>504136.8108169217</v>
      </c>
      <c r="CA254" s="566">
        <v>5.9204867745908572E-2</v>
      </c>
      <c r="CB254" s="566">
        <v>1.5181901000204765E-32</v>
      </c>
      <c r="CC254" s="566">
        <v>6499.3906007206215</v>
      </c>
      <c r="CD254" s="566">
        <v>521883559.45547485</v>
      </c>
      <c r="CE254" s="566">
        <v>50.841806643190608</v>
      </c>
      <c r="CF254" s="566">
        <v>62251.609699951645</v>
      </c>
      <c r="CG254" s="566">
        <v>221.7459336165484</v>
      </c>
      <c r="CH254" s="566">
        <v>1813.0164957834863</v>
      </c>
      <c r="CI254" s="566">
        <v>82.128123561684575</v>
      </c>
      <c r="CJ254" s="566">
        <v>7.5160340390197783E-4</v>
      </c>
      <c r="CK254" s="566">
        <v>10058978612.986223</v>
      </c>
      <c r="CL254" s="566"/>
      <c r="CM254" s="566">
        <v>242393.58388990522</v>
      </c>
      <c r="CN254" s="566">
        <v>10.103937306520161</v>
      </c>
      <c r="CO254" s="566">
        <v>3.2676606055672254E-4</v>
      </c>
      <c r="CP254" s="566">
        <v>6460507263.2393923</v>
      </c>
      <c r="CQ254" s="566"/>
      <c r="CR254" s="566">
        <v>155964.64410573605</v>
      </c>
      <c r="CS254" s="566">
        <v>3.8676164982730707</v>
      </c>
      <c r="CT254" s="566">
        <v>1.7059855287213316E-3</v>
      </c>
      <c r="CU254" s="566">
        <v>15422475026.832872</v>
      </c>
      <c r="CV254" s="566"/>
      <c r="CW254" s="566">
        <v>370377.13848919445</v>
      </c>
      <c r="CX254" s="566">
        <v>9.866725628074164</v>
      </c>
      <c r="CY254" s="552"/>
    </row>
    <row r="255" spans="3:103" ht="12.75" customHeight="1" x14ac:dyDescent="0.3"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BL255"/>
      <c r="BM255" s="562"/>
      <c r="BN255" s="591">
        <v>242</v>
      </c>
      <c r="BO255" s="549" t="s">
        <v>1865</v>
      </c>
      <c r="BP255" s="549" t="s">
        <v>2408</v>
      </c>
      <c r="BQ255" s="550" t="s">
        <v>2408</v>
      </c>
      <c r="BR255" s="566">
        <v>626866.17744009895</v>
      </c>
      <c r="BS255" s="566"/>
      <c r="BT255" s="566">
        <v>1611197.9449577732</v>
      </c>
      <c r="BU255" s="566">
        <v>49569.921637993379</v>
      </c>
      <c r="BV255" s="566">
        <v>12962.145430268107</v>
      </c>
      <c r="BW255" s="566">
        <v>121.5610434713313</v>
      </c>
      <c r="BX255" s="566">
        <v>1.5838189781883363</v>
      </c>
      <c r="BY255" s="566">
        <v>6482441.4961967263</v>
      </c>
      <c r="BZ255" s="566">
        <v>0.58659962155123546</v>
      </c>
      <c r="CA255" s="566">
        <v>1127569.1268672612</v>
      </c>
      <c r="CB255" s="566">
        <v>5.883751060086837E-33</v>
      </c>
      <c r="CC255" s="566">
        <v>4.8358792826455748</v>
      </c>
      <c r="CD255" s="566">
        <v>249323.33429185537</v>
      </c>
      <c r="CE255" s="566">
        <v>3.8904822800351416E-2</v>
      </c>
      <c r="CF255" s="566">
        <v>30.570962871000013</v>
      </c>
      <c r="CG255" s="566">
        <v>1.2837780161611507</v>
      </c>
      <c r="CH255" s="566">
        <v>4.5125777823453443</v>
      </c>
      <c r="CI255" s="566">
        <v>0.47547333931894481</v>
      </c>
      <c r="CJ255" s="566">
        <v>336295.63507632335</v>
      </c>
      <c r="CK255" s="566">
        <v>35170.741481731711</v>
      </c>
      <c r="CL255" s="566"/>
      <c r="CM255" s="566">
        <v>0.86246065361110613</v>
      </c>
      <c r="CN255" s="566">
        <v>1.3742686643802382</v>
      </c>
      <c r="CO255" s="566">
        <v>34443.694237611562</v>
      </c>
      <c r="CP255" s="566">
        <v>1701.7899664513791</v>
      </c>
      <c r="CQ255" s="566"/>
      <c r="CR255" s="566">
        <v>4.2141366878524232E-2</v>
      </c>
      <c r="CS255" s="566">
        <v>0.33400261731659575</v>
      </c>
      <c r="CT255" s="566">
        <v>50212.301428313542</v>
      </c>
      <c r="CU255" s="566">
        <v>179.52430343082011</v>
      </c>
      <c r="CV255" s="566"/>
      <c r="CW255" s="566">
        <v>4.3224428286598449E-3</v>
      </c>
      <c r="CX255" s="566">
        <v>8.2253909613501361E-2</v>
      </c>
      <c r="CY255" s="552"/>
    </row>
    <row r="256" spans="3:103" ht="12.75" customHeight="1" x14ac:dyDescent="0.3"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BL256"/>
      <c r="BM256" s="562"/>
      <c r="BN256" s="591">
        <v>243</v>
      </c>
      <c r="BO256" s="549" t="s">
        <v>1964</v>
      </c>
      <c r="BP256" s="549" t="s">
        <v>2408</v>
      </c>
      <c r="BQ256" s="550" t="s">
        <v>2408</v>
      </c>
      <c r="BR256" s="566">
        <v>1033315.0515154477</v>
      </c>
      <c r="BS256" s="566"/>
      <c r="BT256" s="566">
        <v>3185744.3578808876</v>
      </c>
      <c r="BU256" s="566">
        <v>116854.74159479896</v>
      </c>
      <c r="BV256" s="566">
        <v>26193.909393385715</v>
      </c>
      <c r="BW256" s="566">
        <v>292.76356268761845</v>
      </c>
      <c r="BX256" s="566">
        <v>2067.0330190777022</v>
      </c>
      <c r="BY256" s="566">
        <v>908410.06001937774</v>
      </c>
      <c r="BZ256" s="566">
        <v>765.56778484359347</v>
      </c>
      <c r="CA256" s="566">
        <v>3172905.1874222225</v>
      </c>
      <c r="CB256" s="566">
        <v>6.9510180950083628E-29</v>
      </c>
      <c r="CC256" s="566">
        <v>91286.61606713885</v>
      </c>
      <c r="CD256" s="566">
        <v>15618824.936811276</v>
      </c>
      <c r="CE256" s="566">
        <v>750.57916815459271</v>
      </c>
      <c r="CF256" s="566">
        <v>1956.5414167577981</v>
      </c>
      <c r="CG256" s="566">
        <v>2009.5273479444422</v>
      </c>
      <c r="CH256" s="566">
        <v>5568.0663827847102</v>
      </c>
      <c r="CI256" s="566">
        <v>744.26938812757112</v>
      </c>
      <c r="CJ256" s="566">
        <v>1756228.1070434661</v>
      </c>
      <c r="CK256" s="566">
        <v>12320151.099174574</v>
      </c>
      <c r="CL256" s="566"/>
      <c r="CM256" s="566">
        <v>308.65143255565414</v>
      </c>
      <c r="CN256" s="566">
        <v>3992.2837865203164</v>
      </c>
      <c r="CO256" s="566">
        <v>194418.68620686678</v>
      </c>
      <c r="CP256" s="566">
        <v>10154810.986257043</v>
      </c>
      <c r="CQ256" s="566"/>
      <c r="CR256" s="566">
        <v>256.91307562563799</v>
      </c>
      <c r="CS256" s="566">
        <v>1855.4652707648609</v>
      </c>
      <c r="CT256" s="566">
        <v>615859.76204777521</v>
      </c>
      <c r="CU256" s="566">
        <v>1387226.4298847246</v>
      </c>
      <c r="CV256" s="566"/>
      <c r="CW256" s="566">
        <v>34.120537710757148</v>
      </c>
      <c r="CX256" s="566">
        <v>343.81526853626372</v>
      </c>
      <c r="CY256" s="552"/>
    </row>
    <row r="257" spans="3:103" ht="12.75" customHeight="1" x14ac:dyDescent="0.3"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BL257"/>
      <c r="BM257" s="562"/>
      <c r="BN257" s="591">
        <v>244</v>
      </c>
      <c r="BO257" s="549" t="s">
        <v>1943</v>
      </c>
      <c r="BP257" s="549" t="s">
        <v>2408</v>
      </c>
      <c r="BQ257" s="550" t="s">
        <v>2408</v>
      </c>
      <c r="BR257" s="566">
        <v>500362.09236010362</v>
      </c>
      <c r="BS257" s="566"/>
      <c r="BT257" s="566">
        <v>1934892.2068532077</v>
      </c>
      <c r="BU257" s="566">
        <v>68247.752528372293</v>
      </c>
      <c r="BV257" s="566">
        <v>15101.99649932226</v>
      </c>
      <c r="BW257" s="566">
        <v>162.4580125980815</v>
      </c>
      <c r="BX257" s="566">
        <v>50.553082574675855</v>
      </c>
      <c r="BY257" s="566">
        <v>8217636.365521065</v>
      </c>
      <c r="BZ257" s="566">
        <v>18.72336391654661</v>
      </c>
      <c r="CA257" s="566">
        <v>987858.29903275846</v>
      </c>
      <c r="CB257" s="566">
        <v>7.5173857504526374E-31</v>
      </c>
      <c r="CC257" s="566">
        <v>796.35906716722548</v>
      </c>
      <c r="CD257" s="566">
        <v>2457178.1808979963</v>
      </c>
      <c r="CE257" s="566">
        <v>6.2156495343595077</v>
      </c>
      <c r="CF257" s="566">
        <v>292.45525975533405</v>
      </c>
      <c r="CG257" s="566">
        <v>48.06667402775372</v>
      </c>
      <c r="CH257" s="566">
        <v>402.28440856699342</v>
      </c>
      <c r="CI257" s="566">
        <v>17.802471862131007</v>
      </c>
      <c r="CJ257" s="566">
        <v>337586.02710956882</v>
      </c>
      <c r="CK257" s="566">
        <v>10450994.560396856</v>
      </c>
      <c r="CL257" s="566"/>
      <c r="CM257" s="566">
        <v>251.2873771277682</v>
      </c>
      <c r="CN257" s="566">
        <v>58.957293349739658</v>
      </c>
      <c r="CO257" s="566">
        <v>40700.155152234729</v>
      </c>
      <c r="CP257" s="566">
        <v>3039755.2537307143</v>
      </c>
      <c r="CQ257" s="566"/>
      <c r="CR257" s="566">
        <v>73.222115373143765</v>
      </c>
      <c r="CS257" s="566">
        <v>23.331996412727268</v>
      </c>
      <c r="CT257" s="566">
        <v>61727.870870111467</v>
      </c>
      <c r="CU257" s="566">
        <v>3970026.5637616799</v>
      </c>
      <c r="CV257" s="566"/>
      <c r="CW257" s="566">
        <v>95.133284370540935</v>
      </c>
      <c r="CX257" s="566">
        <v>3.2509227040864412</v>
      </c>
      <c r="CY257" s="552"/>
    </row>
    <row r="258" spans="3:103" ht="12.75" customHeight="1" x14ac:dyDescent="0.3"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BL258"/>
      <c r="BM258" s="562"/>
      <c r="BN258" s="591">
        <v>245</v>
      </c>
      <c r="BO258" s="549" t="s">
        <v>1884</v>
      </c>
      <c r="BP258" s="549" t="s">
        <v>2408</v>
      </c>
      <c r="BQ258" s="550" t="s">
        <v>2408</v>
      </c>
      <c r="BR258" s="566">
        <v>105635.58936589456</v>
      </c>
      <c r="BS258" s="566"/>
      <c r="BT258" s="566">
        <v>1220938.8333226296</v>
      </c>
      <c r="BU258" s="566">
        <v>43178.97863678154</v>
      </c>
      <c r="BV258" s="566">
        <v>1567370.3209789158</v>
      </c>
      <c r="BW258" s="566">
        <v>15979.09711161662</v>
      </c>
      <c r="BX258" s="566">
        <v>51.16332133489464</v>
      </c>
      <c r="BY258" s="566">
        <v>90514439.433462873</v>
      </c>
      <c r="BZ258" s="566">
        <v>18.949378272183196</v>
      </c>
      <c r="CA258" s="566">
        <v>25916.250215059932</v>
      </c>
      <c r="CB258" s="566">
        <v>6.7869862243629462E-34</v>
      </c>
      <c r="CC258" s="566">
        <v>0.70772343430915241</v>
      </c>
      <c r="CD258" s="566">
        <v>1070607.2195154927</v>
      </c>
      <c r="CE258" s="566">
        <v>0.90853421655752742</v>
      </c>
      <c r="CF258" s="566">
        <v>19809.797810343774</v>
      </c>
      <c r="CG258" s="566">
        <v>8.2625967158243938</v>
      </c>
      <c r="CH258" s="566">
        <v>61.868370787392898</v>
      </c>
      <c r="CI258" s="566">
        <v>3.0602210058608854</v>
      </c>
      <c r="CJ258" s="566">
        <v>1426.7259342817338</v>
      </c>
      <c r="CK258" s="566">
        <v>3748944.4486533771</v>
      </c>
      <c r="CL258" s="566"/>
      <c r="CM258" s="566">
        <v>14013.578797282044</v>
      </c>
      <c r="CN258" s="566">
        <v>1.6326331213351128</v>
      </c>
      <c r="CO258" s="566">
        <v>126.39974461302997</v>
      </c>
      <c r="CP258" s="566">
        <v>678555.49219615851</v>
      </c>
      <c r="CQ258" s="566"/>
      <c r="CR258" s="566">
        <v>2538.769753927917</v>
      </c>
      <c r="CS258" s="566">
        <v>0.44371222334261817</v>
      </c>
      <c r="CT258" s="566">
        <v>188.60535122442786</v>
      </c>
      <c r="CU258" s="566">
        <v>1349490.3224338593</v>
      </c>
      <c r="CV258" s="566"/>
      <c r="CW258" s="566">
        <v>5035.7831665622271</v>
      </c>
      <c r="CX258" s="566">
        <v>6.4468611712733923E-2</v>
      </c>
      <c r="CY258" s="552"/>
    </row>
    <row r="259" spans="3:103" ht="12.75" customHeight="1" x14ac:dyDescent="0.3"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BL259"/>
      <c r="BM259" s="562"/>
      <c r="BN259" s="591">
        <v>246</v>
      </c>
      <c r="BO259" s="549" t="s">
        <v>1878</v>
      </c>
      <c r="BP259" s="549" t="s">
        <v>2408</v>
      </c>
      <c r="BQ259" s="550" t="s">
        <v>2408</v>
      </c>
      <c r="BR259" s="566">
        <v>6142.1549127602866</v>
      </c>
      <c r="BS259" s="566"/>
      <c r="BT259" s="566">
        <v>6759779.1894380953</v>
      </c>
      <c r="BU259" s="566">
        <v>282930.450024035</v>
      </c>
      <c r="BV259" s="566">
        <v>484445.51232587436</v>
      </c>
      <c r="BW259" s="566">
        <v>5693.2760037517064</v>
      </c>
      <c r="BX259" s="566">
        <v>5643.2021809597536</v>
      </c>
      <c r="BY259" s="566">
        <v>3802361.8813483915</v>
      </c>
      <c r="BZ259" s="566">
        <v>2090.0748818369452</v>
      </c>
      <c r="CA259" s="566">
        <v>156.45831406355848</v>
      </c>
      <c r="CB259" s="566">
        <v>7.2799900768875157E-33</v>
      </c>
      <c r="CC259" s="566">
        <v>49.812035898210254</v>
      </c>
      <c r="CD259" s="566">
        <v>1583604.0020033235</v>
      </c>
      <c r="CE259" s="566">
        <v>3.5698232996142014</v>
      </c>
      <c r="CF259" s="566">
        <v>1593.305821852118</v>
      </c>
      <c r="CG259" s="566">
        <v>69.811944397077511</v>
      </c>
      <c r="CH259" s="566">
        <v>172.39766051569379</v>
      </c>
      <c r="CI259" s="566">
        <v>25.856275702621286</v>
      </c>
      <c r="CJ259" s="566">
        <v>0.63100045403082461</v>
      </c>
      <c r="CK259" s="566">
        <v>226320.17930179852</v>
      </c>
      <c r="CL259" s="566"/>
      <c r="CM259" s="566">
        <v>45.539475971787873</v>
      </c>
      <c r="CN259" s="566">
        <v>1.0105653776809205</v>
      </c>
      <c r="CO259" s="566">
        <v>1.2090552682342583E-3</v>
      </c>
      <c r="CP259" s="566">
        <v>6033.0973590934864</v>
      </c>
      <c r="CQ259" s="566"/>
      <c r="CR259" s="566">
        <v>1.2252366946927256</v>
      </c>
      <c r="CS259" s="566">
        <v>8.1057154225949793E-3</v>
      </c>
      <c r="CT259" s="566">
        <v>1.4248178333938248E-3</v>
      </c>
      <c r="CU259" s="566">
        <v>1038.1204896828569</v>
      </c>
      <c r="CV259" s="566"/>
      <c r="CW259" s="566">
        <v>0.20529985115870325</v>
      </c>
      <c r="CX259" s="566">
        <v>5.5325505761199959E-4</v>
      </c>
      <c r="CY259" s="552"/>
    </row>
    <row r="260" spans="3:103" ht="12.75" customHeight="1" x14ac:dyDescent="0.3"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BL260"/>
      <c r="BM260" s="562"/>
      <c r="BN260" s="591">
        <v>247</v>
      </c>
      <c r="BO260" s="549" t="s">
        <v>1809</v>
      </c>
      <c r="BP260" s="549" t="s">
        <v>2408</v>
      </c>
      <c r="BQ260" s="550" t="s">
        <v>2408</v>
      </c>
      <c r="BR260" s="566">
        <v>170.75077882052258</v>
      </c>
      <c r="BS260" s="566"/>
      <c r="BT260" s="566">
        <v>23774006.073848747</v>
      </c>
      <c r="BU260" s="566">
        <v>1161175.0693700784</v>
      </c>
      <c r="BV260" s="566">
        <v>1075464.4497669118</v>
      </c>
      <c r="BW260" s="566">
        <v>15113.573095728711</v>
      </c>
      <c r="BX260" s="566">
        <v>929620.31680904573</v>
      </c>
      <c r="BY260" s="566">
        <v>6082931.8181187175</v>
      </c>
      <c r="BZ260" s="566">
        <v>344303.82104038732</v>
      </c>
      <c r="CA260" s="566">
        <v>0.18465475409480536</v>
      </c>
      <c r="CB260" s="566">
        <v>1.3717818446141007E-32</v>
      </c>
      <c r="CC260" s="566">
        <v>768.43211703129964</v>
      </c>
      <c r="CD260" s="566">
        <v>77090751.050296649</v>
      </c>
      <c r="CE260" s="566">
        <v>34.761555177499012</v>
      </c>
      <c r="CF260" s="566">
        <v>50169.72598435753</v>
      </c>
      <c r="CG260" s="566">
        <v>520.95702352298838</v>
      </c>
      <c r="CH260" s="566">
        <v>1273.9694440175651</v>
      </c>
      <c r="CI260" s="566">
        <v>192.94704574925484</v>
      </c>
      <c r="CJ260" s="566">
        <v>3.9902038845172405E-5</v>
      </c>
      <c r="CK260" s="566">
        <v>1486032625.2780027</v>
      </c>
      <c r="CL260" s="566"/>
      <c r="CM260" s="566">
        <v>195370.10984619954</v>
      </c>
      <c r="CN260" s="566">
        <v>0.40405468483373813</v>
      </c>
      <c r="CO260" s="566">
        <v>7.7296138200228235E-6</v>
      </c>
      <c r="CP260" s="566">
        <v>954428163.75438404</v>
      </c>
      <c r="CQ260" s="566"/>
      <c r="CR260" s="566">
        <v>125594.9123744189</v>
      </c>
      <c r="CS260" s="566">
        <v>6.2146169614843857E-2</v>
      </c>
      <c r="CT260" s="566">
        <v>1.4051320199074583E-5</v>
      </c>
      <c r="CU260" s="566">
        <v>2278558215.4041471</v>
      </c>
      <c r="CV260" s="566"/>
      <c r="CW260" s="566">
        <v>299050.80012217636</v>
      </c>
      <c r="CX260" s="566">
        <v>8.2653697963174649E-2</v>
      </c>
      <c r="CY260" s="552"/>
    </row>
    <row r="261" spans="3:103" ht="12.75" customHeight="1" x14ac:dyDescent="0.3"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BL261"/>
      <c r="BM261" s="562"/>
      <c r="BN261" s="591">
        <v>248</v>
      </c>
      <c r="BO261" s="549" t="s">
        <v>1856</v>
      </c>
      <c r="BP261" s="549" t="s">
        <v>2408</v>
      </c>
      <c r="BQ261" s="550" t="s">
        <v>2408</v>
      </c>
      <c r="BR261" s="566">
        <v>768753.67187996104</v>
      </c>
      <c r="BS261" s="566"/>
      <c r="BT261" s="566">
        <v>1782284.815420846</v>
      </c>
      <c r="BU261" s="566">
        <v>61225.175221296304</v>
      </c>
      <c r="BV261" s="566">
        <v>38195.736262994375</v>
      </c>
      <c r="BW261" s="566">
        <v>389.81601446694685</v>
      </c>
      <c r="BX261" s="566">
        <v>38.439630152899156</v>
      </c>
      <c r="BY261" s="566">
        <v>17981342.049590167</v>
      </c>
      <c r="BZ261" s="566">
        <v>14.236900056629318</v>
      </c>
      <c r="CA261" s="566">
        <v>2389424.2681150567</v>
      </c>
      <c r="CB261" s="566">
        <v>2.2385533787606288E-31</v>
      </c>
      <c r="CC261" s="566">
        <v>209.77624710735418</v>
      </c>
      <c r="CD261" s="566">
        <v>1666516.1595682246</v>
      </c>
      <c r="CE261" s="566">
        <v>4.4956665396160354</v>
      </c>
      <c r="CF261" s="566">
        <v>530.52905526163499</v>
      </c>
      <c r="CG261" s="566">
        <v>61.776955503715861</v>
      </c>
      <c r="CH261" s="566">
        <v>327.15805654301425</v>
      </c>
      <c r="CI261" s="566">
        <v>22.880353890265134</v>
      </c>
      <c r="CJ261" s="566">
        <v>1428611.1540453287</v>
      </c>
      <c r="CK261" s="566">
        <v>6481256.2469663052</v>
      </c>
      <c r="CL261" s="566"/>
      <c r="CM261" s="566">
        <v>416.82032120268002</v>
      </c>
      <c r="CN261" s="566">
        <v>132.57172987660002</v>
      </c>
      <c r="CO261" s="566">
        <v>288052.32276853779</v>
      </c>
      <c r="CP261" s="566">
        <v>2002333.2321517067</v>
      </c>
      <c r="CQ261" s="566"/>
      <c r="CR261" s="566">
        <v>129.38113539432675</v>
      </c>
      <c r="CS261" s="566">
        <v>88.335267346891271</v>
      </c>
      <c r="CT261" s="566">
        <v>475328.52811869909</v>
      </c>
      <c r="CU261" s="566">
        <v>2398043.1418868336</v>
      </c>
      <c r="CV261" s="566"/>
      <c r="CW261" s="566">
        <v>152.87977733431728</v>
      </c>
      <c r="CX261" s="566">
        <v>12.89950318986153</v>
      </c>
      <c r="CY261" s="552"/>
    </row>
    <row r="262" spans="3:103" ht="12.75" customHeight="1" x14ac:dyDescent="0.3"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BL262"/>
      <c r="BM262" s="562"/>
      <c r="BN262" s="591">
        <v>249</v>
      </c>
      <c r="BO262" s="549" t="s">
        <v>1829</v>
      </c>
      <c r="BP262" s="549" t="s">
        <v>2408</v>
      </c>
      <c r="BQ262" s="550" t="s">
        <v>2408</v>
      </c>
      <c r="BR262" s="566">
        <v>442106.78952068975</v>
      </c>
      <c r="BS262" s="566"/>
      <c r="BT262" s="566">
        <v>13175033.404342027</v>
      </c>
      <c r="BU262" s="566">
        <v>631828.57011474005</v>
      </c>
      <c r="BV262" s="566">
        <v>513691.07720140333</v>
      </c>
      <c r="BW262" s="566">
        <v>7140.116011838255</v>
      </c>
      <c r="BX262" s="566">
        <v>338358.3024173266</v>
      </c>
      <c r="BY262" s="566">
        <v>53220587.617751509</v>
      </c>
      <c r="BZ262" s="566">
        <v>125317.88978419498</v>
      </c>
      <c r="CA262" s="566">
        <v>1163912.7028227483</v>
      </c>
      <c r="CB262" s="566">
        <v>4.2529137801538335E-29</v>
      </c>
      <c r="CC262" s="566">
        <v>611664.53765930829</v>
      </c>
      <c r="CD262" s="566">
        <v>164415451.7653738</v>
      </c>
      <c r="CE262" s="566">
        <v>23848.638982012515</v>
      </c>
      <c r="CF262" s="566">
        <v>92900.626472966949</v>
      </c>
      <c r="CG262" s="566">
        <v>387703.53984375118</v>
      </c>
      <c r="CH262" s="566">
        <v>2858390.5447067372</v>
      </c>
      <c r="CI262" s="566">
        <v>143593.90364583378</v>
      </c>
      <c r="CJ262" s="566">
        <v>1068838.4221268417</v>
      </c>
      <c r="CK262" s="566">
        <v>3858470301.6875553</v>
      </c>
      <c r="CL262" s="566"/>
      <c r="CM262" s="566">
        <v>440434.67981159734</v>
      </c>
      <c r="CN262" s="566">
        <v>1277894.7055126387</v>
      </c>
      <c r="CO262" s="566">
        <v>185744.81867517112</v>
      </c>
      <c r="CP262" s="566">
        <v>2602059265.5701199</v>
      </c>
      <c r="CQ262" s="566"/>
      <c r="CR262" s="566">
        <v>297258.9418452445</v>
      </c>
      <c r="CS262" s="566">
        <v>724606.06030063843</v>
      </c>
      <c r="CT262" s="566">
        <v>1417076.0904863728</v>
      </c>
      <c r="CU262" s="566">
        <v>5891391896.5492096</v>
      </c>
      <c r="CV262" s="566"/>
      <c r="CW262" s="566">
        <v>671472.33325347188</v>
      </c>
      <c r="CX262" s="566">
        <v>491432.63920653862</v>
      </c>
      <c r="CY262" s="552"/>
    </row>
    <row r="263" spans="3:103" ht="12.75" customHeight="1" x14ac:dyDescent="0.3"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BL263"/>
      <c r="BM263" s="562"/>
      <c r="BN263" s="591">
        <v>250</v>
      </c>
      <c r="BO263" s="549" t="s">
        <v>1892</v>
      </c>
      <c r="BP263" s="549" t="s">
        <v>2408</v>
      </c>
      <c r="BQ263" s="550" t="s">
        <v>2408</v>
      </c>
      <c r="BR263" s="566">
        <v>131529.25627956144</v>
      </c>
      <c r="BS263" s="566"/>
      <c r="BT263" s="566">
        <v>9263915.443063857</v>
      </c>
      <c r="BU263" s="566">
        <v>427306.30300344946</v>
      </c>
      <c r="BV263" s="566">
        <v>72278.098938122799</v>
      </c>
      <c r="BW263" s="566">
        <v>1016.7857472131974</v>
      </c>
      <c r="BX263" s="566">
        <v>3275.7576819820315</v>
      </c>
      <c r="BY263" s="566">
        <v>7098625.2093243478</v>
      </c>
      <c r="BZ263" s="566">
        <v>1213.2435859192706</v>
      </c>
      <c r="CA263" s="566">
        <v>44814.903903280479</v>
      </c>
      <c r="CB263" s="566">
        <v>1.467530305060741E-30</v>
      </c>
      <c r="CC263" s="566">
        <v>11033.551200777254</v>
      </c>
      <c r="CD263" s="566">
        <v>22264248.386050601</v>
      </c>
      <c r="CE263" s="566">
        <v>86.084993999564091</v>
      </c>
      <c r="CF263" s="566">
        <v>2648.9160436240904</v>
      </c>
      <c r="CG263" s="566">
        <v>537.0066765402056</v>
      </c>
      <c r="CH263" s="566">
        <v>4606.0935844900378</v>
      </c>
      <c r="CI263" s="566">
        <v>198.89136168155747</v>
      </c>
      <c r="CJ263" s="566">
        <v>8322.1398572692669</v>
      </c>
      <c r="CK263" s="566">
        <v>218026033.02521962</v>
      </c>
      <c r="CL263" s="566"/>
      <c r="CM263" s="566">
        <v>5240.3316511940211</v>
      </c>
      <c r="CN263" s="566">
        <v>357.92817096765032</v>
      </c>
      <c r="CO263" s="566">
        <v>1345.7548901901325</v>
      </c>
      <c r="CP263" s="566">
        <v>126781975.23579496</v>
      </c>
      <c r="CQ263" s="566"/>
      <c r="CR263" s="566">
        <v>3052.7992522747254</v>
      </c>
      <c r="CS263" s="566">
        <v>183.21886551097523</v>
      </c>
      <c r="CT263" s="566">
        <v>8340.6480882289761</v>
      </c>
      <c r="CU263" s="566">
        <v>184824546.19480607</v>
      </c>
      <c r="CV263" s="566"/>
      <c r="CW263" s="566">
        <v>4427.2763793887116</v>
      </c>
      <c r="CX263" s="566">
        <v>105.50090859336088</v>
      </c>
      <c r="CY263" s="552"/>
    </row>
    <row r="264" spans="3:103" ht="12.75" customHeight="1" x14ac:dyDescent="0.3"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BL264"/>
      <c r="BM264" s="562"/>
      <c r="BN264" s="591">
        <v>251</v>
      </c>
      <c r="BO264" s="549" t="s">
        <v>1861</v>
      </c>
      <c r="BP264" s="549" t="s">
        <v>2408</v>
      </c>
      <c r="BQ264" s="550" t="s">
        <v>2408</v>
      </c>
      <c r="BR264" s="566">
        <v>563447.78342951753</v>
      </c>
      <c r="BS264" s="566"/>
      <c r="BT264" s="566">
        <v>2507968.860595258</v>
      </c>
      <c r="BU264" s="566">
        <v>107171.24436663584</v>
      </c>
      <c r="BV264" s="566">
        <v>110857.02660649912</v>
      </c>
      <c r="BW264" s="566">
        <v>1364.5853794709592</v>
      </c>
      <c r="BX264" s="566">
        <v>32313.503212314048</v>
      </c>
      <c r="BY264" s="566">
        <v>39016096.252226621</v>
      </c>
      <c r="BZ264" s="566">
        <v>11967.964152708906</v>
      </c>
      <c r="CA264" s="566">
        <v>2538314.4315384519</v>
      </c>
      <c r="CB264" s="566">
        <v>4.7326382925814707E-29</v>
      </c>
      <c r="CC264" s="566">
        <v>99589.301094501803</v>
      </c>
      <c r="CD264" s="566">
        <v>93870746.340322629</v>
      </c>
      <c r="CE264" s="566">
        <v>4402.0378301409564</v>
      </c>
      <c r="CF264" s="566">
        <v>59761.668707426739</v>
      </c>
      <c r="CG264" s="566">
        <v>67837.792015835294</v>
      </c>
      <c r="CH264" s="566">
        <v>480187.85490895383</v>
      </c>
      <c r="CI264" s="566">
        <v>25125.108154013073</v>
      </c>
      <c r="CJ264" s="566">
        <v>6025546.4600040996</v>
      </c>
      <c r="CK264" s="566">
        <v>2357619945.3808322</v>
      </c>
      <c r="CL264" s="566"/>
      <c r="CM264" s="566">
        <v>303219.10916564928</v>
      </c>
      <c r="CN264" s="566">
        <v>577998.05888272077</v>
      </c>
      <c r="CO264" s="566">
        <v>1556836.388134511</v>
      </c>
      <c r="CP264" s="566">
        <v>2025819016.8998289</v>
      </c>
      <c r="CQ264" s="566"/>
      <c r="CR264" s="566">
        <v>260780.22917719721</v>
      </c>
      <c r="CS264" s="566">
        <v>485250.18251387891</v>
      </c>
      <c r="CT264" s="566">
        <v>9209657.0308958571</v>
      </c>
      <c r="CU264" s="566">
        <v>3021658857.511126</v>
      </c>
      <c r="CV264" s="566"/>
      <c r="CW264" s="566">
        <v>387969.65790575719</v>
      </c>
      <c r="CX264" s="566">
        <v>256409.83430812272</v>
      </c>
      <c r="CY264" s="552"/>
    </row>
    <row r="265" spans="3:103" ht="12.75" customHeight="1" x14ac:dyDescent="0.3"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BL265"/>
      <c r="BM265" s="562"/>
      <c r="BN265" s="591">
        <v>252</v>
      </c>
      <c r="BO265" s="549" t="s">
        <v>1881</v>
      </c>
      <c r="BP265" s="549" t="s">
        <v>2408</v>
      </c>
      <c r="BQ265" s="550" t="s">
        <v>2408</v>
      </c>
      <c r="BR265" s="566">
        <v>504915.23624281632</v>
      </c>
      <c r="BS265" s="566"/>
      <c r="BT265" s="566">
        <v>1187697.163823002</v>
      </c>
      <c r="BU265" s="566">
        <v>42114.685393103056</v>
      </c>
      <c r="BV265" s="566">
        <v>12439.075369480894</v>
      </c>
      <c r="BW265" s="566">
        <v>133.76000430173562</v>
      </c>
      <c r="BX265" s="566">
        <v>5.2202625648301675</v>
      </c>
      <c r="BY265" s="566">
        <v>4519223.6135348901</v>
      </c>
      <c r="BZ265" s="566">
        <v>1.9334305795667281</v>
      </c>
      <c r="CA265" s="566">
        <v>1792119.3472377365</v>
      </c>
      <c r="CB265" s="566">
        <v>8.7864823134935957E-33</v>
      </c>
      <c r="CC265" s="566">
        <v>9.7580205548140171</v>
      </c>
      <c r="CD265" s="566">
        <v>1057714.9082017199</v>
      </c>
      <c r="CE265" s="566">
        <v>0.10219840278777009</v>
      </c>
      <c r="CF265" s="566">
        <v>167.96985344955408</v>
      </c>
      <c r="CG265" s="566">
        <v>13.252800029392356</v>
      </c>
      <c r="CH265" s="566">
        <v>48.723764627386764</v>
      </c>
      <c r="CI265" s="566">
        <v>4.9084444553305016</v>
      </c>
      <c r="CJ265" s="566">
        <v>1304236.5382213925</v>
      </c>
      <c r="CK265" s="566">
        <v>3780895.7693200512</v>
      </c>
      <c r="CL265" s="566"/>
      <c r="CM265" s="566">
        <v>121.29632542677241</v>
      </c>
      <c r="CN265" s="566">
        <v>34.617901253128395</v>
      </c>
      <c r="CO265" s="566">
        <v>312213.07632834977</v>
      </c>
      <c r="CP265" s="566">
        <v>743721.90687403048</v>
      </c>
      <c r="CQ265" s="566"/>
      <c r="CR265" s="566">
        <v>23.917234050089629</v>
      </c>
      <c r="CS265" s="566">
        <v>50.540503905725672</v>
      </c>
      <c r="CT265" s="566">
        <v>539949.34419558861</v>
      </c>
      <c r="CU265" s="566">
        <v>1386892.042443116</v>
      </c>
      <c r="CV265" s="566"/>
      <c r="CW265" s="566">
        <v>44.29395526022742</v>
      </c>
      <c r="CX265" s="566">
        <v>3.2461921825958742</v>
      </c>
      <c r="CY265" s="552"/>
    </row>
    <row r="266" spans="3:103" ht="12.75" customHeight="1" x14ac:dyDescent="0.3"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BL266"/>
      <c r="BM266" s="562"/>
      <c r="BN266" s="591">
        <v>253</v>
      </c>
      <c r="BO266" s="549" t="s">
        <v>1784</v>
      </c>
      <c r="BP266" s="549" t="s">
        <v>2408</v>
      </c>
      <c r="BQ266" s="550" t="s">
        <v>2408</v>
      </c>
      <c r="BR266" s="566">
        <v>237184.39616526081</v>
      </c>
      <c r="BS266" s="566"/>
      <c r="BT266" s="566">
        <v>16688086.421722805</v>
      </c>
      <c r="BU266" s="566">
        <v>776259.80119024008</v>
      </c>
      <c r="BV266" s="566">
        <v>133483.01603762119</v>
      </c>
      <c r="BW266" s="566">
        <v>1892.8600648748356</v>
      </c>
      <c r="BX266" s="566">
        <v>8716.4185173538172</v>
      </c>
      <c r="BY266" s="566">
        <v>10956074.526666507</v>
      </c>
      <c r="BZ266" s="566">
        <v>3228.3031545754875</v>
      </c>
      <c r="CA266" s="566">
        <v>86913.397962682036</v>
      </c>
      <c r="CB266" s="566">
        <v>3.5699167485681091E-30</v>
      </c>
      <c r="CC266" s="566">
        <v>30363.491285984954</v>
      </c>
      <c r="CD266" s="566">
        <v>43488983.67686446</v>
      </c>
      <c r="CE266" s="566">
        <v>242.86849263972618</v>
      </c>
      <c r="CF266" s="566">
        <v>5302.2557871547097</v>
      </c>
      <c r="CG266" s="566">
        <v>1589.4174920131691</v>
      </c>
      <c r="CH266" s="566">
        <v>12450.638928607123</v>
      </c>
      <c r="CI266" s="566">
        <v>588.67314519006231</v>
      </c>
      <c r="CJ266" s="566">
        <v>16574.626029321676</v>
      </c>
      <c r="CK266" s="566">
        <v>454684226.11778212</v>
      </c>
      <c r="CL266" s="566"/>
      <c r="CM266" s="566">
        <v>11199.05987209026</v>
      </c>
      <c r="CN266" s="566">
        <v>1087.9242377649232</v>
      </c>
      <c r="CO266" s="566">
        <v>2590.9114227734844</v>
      </c>
      <c r="CP266" s="566">
        <v>269417128.69895911</v>
      </c>
      <c r="CQ266" s="566"/>
      <c r="CR266" s="566">
        <v>6648.2345659135099</v>
      </c>
      <c r="CS266" s="566">
        <v>538.25446409513734</v>
      </c>
      <c r="CT266" s="566">
        <v>17837.457555431945</v>
      </c>
      <c r="CU266" s="566">
        <v>410230901.05471641</v>
      </c>
      <c r="CV266" s="566"/>
      <c r="CW266" s="566">
        <v>10069.108674134024</v>
      </c>
      <c r="CX266" s="566">
        <v>342.12985866288182</v>
      </c>
      <c r="CY266" s="552"/>
    </row>
    <row r="267" spans="3:103" ht="12.75" customHeight="1" x14ac:dyDescent="0.3"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BL267"/>
      <c r="BM267" s="562"/>
      <c r="BN267" s="591">
        <v>254</v>
      </c>
      <c r="BO267" s="549" t="s">
        <v>1758</v>
      </c>
      <c r="BP267" s="549" t="s">
        <v>2408</v>
      </c>
      <c r="BQ267" s="550" t="s">
        <v>2408</v>
      </c>
      <c r="BR267" s="566">
        <v>260321.85869220525</v>
      </c>
      <c r="BS267" s="566"/>
      <c r="BT267" s="566">
        <v>78365146.475795984</v>
      </c>
      <c r="BU267" s="566">
        <v>3814328.7184921596</v>
      </c>
      <c r="BV267" s="566">
        <v>614212.22615338373</v>
      </c>
      <c r="BW267" s="566">
        <v>9117.122189652835</v>
      </c>
      <c r="BX267" s="566">
        <v>297814.9546493754</v>
      </c>
      <c r="BY267" s="566">
        <v>14457450.738910407</v>
      </c>
      <c r="BZ267" s="566">
        <v>110301.83505532415</v>
      </c>
      <c r="CA267" s="566">
        <v>207695.93772587835</v>
      </c>
      <c r="CB267" s="566">
        <v>1.7888644380068501E-29</v>
      </c>
      <c r="CC267" s="566">
        <v>3335108.5450420757</v>
      </c>
      <c r="CD267" s="566">
        <v>310546098.2983101</v>
      </c>
      <c r="CE267" s="566">
        <v>26139.993811485561</v>
      </c>
      <c r="CF267" s="566">
        <v>37113.827001581405</v>
      </c>
      <c r="CG267" s="566">
        <v>118167.73911997379</v>
      </c>
      <c r="CH267" s="566">
        <v>987354.08064371801</v>
      </c>
      <c r="CI267" s="566">
        <v>43765.829303693994</v>
      </c>
      <c r="CJ267" s="566">
        <v>39029.082955453669</v>
      </c>
      <c r="CK267" s="566">
        <v>5978874958.4518948</v>
      </c>
      <c r="CL267" s="566"/>
      <c r="CM267" s="566">
        <v>144350.86726106022</v>
      </c>
      <c r="CN267" s="566">
        <v>79700.845091776646</v>
      </c>
      <c r="CO267" s="566">
        <v>3108.7563608746686</v>
      </c>
      <c r="CP267" s="566">
        <v>3840273570.607594</v>
      </c>
      <c r="CQ267" s="566"/>
      <c r="CR267" s="566">
        <v>92887.202367351827</v>
      </c>
      <c r="CS267" s="566">
        <v>19740.29196197493</v>
      </c>
      <c r="CT267" s="566">
        <v>39588.778086252416</v>
      </c>
      <c r="CU267" s="566">
        <v>9070573925.0626984</v>
      </c>
      <c r="CV267" s="566"/>
      <c r="CW267" s="566">
        <v>218250.26907862257</v>
      </c>
      <c r="CX267" s="566">
        <v>23924.457201364065</v>
      </c>
      <c r="CY267" s="552"/>
    </row>
    <row r="268" spans="3:103" ht="12.75" customHeight="1" x14ac:dyDescent="0.3"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BL268"/>
      <c r="BM268" s="562"/>
      <c r="BN268" s="591">
        <v>255</v>
      </c>
      <c r="BO268" s="549" t="s">
        <v>1887</v>
      </c>
      <c r="BP268" s="549" t="s">
        <v>2408</v>
      </c>
      <c r="BQ268" s="550" t="s">
        <v>2408</v>
      </c>
      <c r="BR268" s="566">
        <v>2468.1198207499551</v>
      </c>
      <c r="BS268" s="566"/>
      <c r="BT268" s="566">
        <v>46312987.52241835</v>
      </c>
      <c r="BU268" s="566">
        <v>2224098.3845474045</v>
      </c>
      <c r="BV268" s="566">
        <v>360758.11090577231</v>
      </c>
      <c r="BW268" s="566">
        <v>5283.9319530296643</v>
      </c>
      <c r="BX268" s="566">
        <v>498908.5459144648</v>
      </c>
      <c r="BY268" s="566">
        <v>11147683.418842671</v>
      </c>
      <c r="BZ268" s="566">
        <v>184780.94293128318</v>
      </c>
      <c r="CA268" s="566">
        <v>27.157138124798863</v>
      </c>
      <c r="CB268" s="566">
        <v>1.9801688855216175E-31</v>
      </c>
      <c r="CC268" s="566">
        <v>65153.192244439168</v>
      </c>
      <c r="CD268" s="566">
        <v>58841781.494978175</v>
      </c>
      <c r="CE268" s="566">
        <v>507.51514447662936</v>
      </c>
      <c r="CF268" s="566">
        <v>6989.7080896845109</v>
      </c>
      <c r="CG268" s="566">
        <v>2844.681606739704</v>
      </c>
      <c r="CH268" s="566">
        <v>23616.610713939765</v>
      </c>
      <c r="CI268" s="566">
        <v>1053.5857802739645</v>
      </c>
      <c r="CJ268" s="566">
        <v>4.8056792340839365E-2</v>
      </c>
      <c r="CK268" s="566">
        <v>72688126.494255051</v>
      </c>
      <c r="CL268" s="566"/>
      <c r="CM268" s="566">
        <v>1742.5733447052216</v>
      </c>
      <c r="CN268" s="566">
        <v>18.06791747920504</v>
      </c>
      <c r="CO268" s="566">
        <v>6.6609884071398742E-4</v>
      </c>
      <c r="CP268" s="566">
        <v>14199421.378219105</v>
      </c>
      <c r="CQ268" s="566"/>
      <c r="CR268" s="566">
        <v>341.2944408339136</v>
      </c>
      <c r="CS268" s="566">
        <v>0.20335319396236298</v>
      </c>
      <c r="CT268" s="566">
        <v>2.9399822716858143E-4</v>
      </c>
      <c r="CU268" s="566">
        <v>3275235.3514225562</v>
      </c>
      <c r="CV268" s="566"/>
      <c r="CW268" s="566">
        <v>78.136001204315335</v>
      </c>
      <c r="CX268" s="566">
        <v>5.0301433504750803E-2</v>
      </c>
      <c r="CY268" s="552"/>
    </row>
    <row r="269" spans="3:103" ht="12.75" customHeight="1" x14ac:dyDescent="0.3"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BL269"/>
      <c r="BM269" s="562"/>
      <c r="BN269" s="600">
        <v>256</v>
      </c>
      <c r="BO269" s="601" t="s">
        <v>1768</v>
      </c>
      <c r="BP269" s="601" t="s">
        <v>2408</v>
      </c>
      <c r="BQ269" s="588" t="s">
        <v>2408</v>
      </c>
      <c r="BR269" s="602">
        <v>167020.82541296046</v>
      </c>
      <c r="BS269" s="602"/>
      <c r="BT269" s="602">
        <v>39506678.15087121</v>
      </c>
      <c r="BU269" s="602">
        <v>1668881.9969967862</v>
      </c>
      <c r="BV269" s="602">
        <v>331125.51913626905</v>
      </c>
      <c r="BW269" s="602">
        <v>4260.6858240749898</v>
      </c>
      <c r="BX269" s="602">
        <v>197432.2348728324</v>
      </c>
      <c r="BY269" s="602">
        <v>5702220.3825313393</v>
      </c>
      <c r="BZ269" s="602">
        <v>73123.049952900881</v>
      </c>
      <c r="CA269" s="602">
        <v>25805.899085062429</v>
      </c>
      <c r="CB269" s="602">
        <v>4.1461715950564698E-30</v>
      </c>
      <c r="CC269" s="602">
        <v>73055.552044019249</v>
      </c>
      <c r="CD269" s="602">
        <v>10315998.795112852</v>
      </c>
      <c r="CE269" s="602">
        <v>612.31565721576999</v>
      </c>
      <c r="CF269" s="602">
        <v>1316.8465447709136</v>
      </c>
      <c r="CG269" s="602">
        <v>15628.842774911293</v>
      </c>
      <c r="CH269" s="602">
        <v>46250.803843021255</v>
      </c>
      <c r="CI269" s="602">
        <v>5788.4602870041836</v>
      </c>
      <c r="CJ269" s="602">
        <v>590.63561830132198</v>
      </c>
      <c r="CK269" s="602">
        <v>1502000.1911032149</v>
      </c>
      <c r="CL269" s="602"/>
      <c r="CM269" s="602">
        <v>38.344709068481144</v>
      </c>
      <c r="CN269" s="602">
        <v>1283.8997566414771</v>
      </c>
      <c r="CO269" s="602">
        <v>3.9068896151037684</v>
      </c>
      <c r="CP269" s="602">
        <v>41236.442403884343</v>
      </c>
      <c r="CQ269" s="602"/>
      <c r="CR269" s="602">
        <v>1.0631491488077009</v>
      </c>
      <c r="CS269" s="602">
        <v>34.740110398764052</v>
      </c>
      <c r="CT269" s="602">
        <v>5.9496364608549417</v>
      </c>
      <c r="CU269" s="602">
        <v>7034.9367922387346</v>
      </c>
      <c r="CV269" s="602"/>
      <c r="CW269" s="602">
        <v>0.17631253868307997</v>
      </c>
      <c r="CX269" s="602">
        <v>3.2002306106107481</v>
      </c>
      <c r="CY269" s="552"/>
    </row>
    <row r="270" spans="3:103" ht="12.75" customHeight="1" x14ac:dyDescent="0.3"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BL270"/>
      <c r="BM270" s="562"/>
      <c r="BN270" s="591">
        <v>257</v>
      </c>
      <c r="BO270" s="549" t="s">
        <v>2664</v>
      </c>
      <c r="BP270" s="549" t="s">
        <v>620</v>
      </c>
      <c r="BQ270" s="550" t="s">
        <v>2408</v>
      </c>
      <c r="BR270" s="566">
        <v>8.0248933353402722E-10</v>
      </c>
      <c r="BS270" s="566"/>
      <c r="BT270" s="566">
        <v>458483.21578312066</v>
      </c>
      <c r="BU270" s="566">
        <v>12077.428404253304</v>
      </c>
      <c r="BV270" s="566">
        <v>3159.7157282750454</v>
      </c>
      <c r="BW270" s="566">
        <v>25.337496220239451</v>
      </c>
      <c r="BX270" s="566">
        <v>9846.9584636590589</v>
      </c>
      <c r="BY270" s="566">
        <v>61451.564025684631</v>
      </c>
      <c r="BZ270" s="566">
        <v>3647.0216532070594</v>
      </c>
      <c r="CA270" s="566">
        <v>9.517782200850488E-24</v>
      </c>
      <c r="CB270" s="566">
        <v>6.4482437660785829E-44</v>
      </c>
      <c r="CC270" s="566">
        <v>1.2452092550893674E-10</v>
      </c>
      <c r="CD270" s="566">
        <v>11676.054399270612</v>
      </c>
      <c r="CE270" s="566">
        <v>8.5815731805560603E-13</v>
      </c>
      <c r="CF270" s="566">
        <v>1.2247722541027137</v>
      </c>
      <c r="CG270" s="566">
        <v>6.0519745156545394E-11</v>
      </c>
      <c r="CH270" s="566">
        <v>1.4124506483152326E-10</v>
      </c>
      <c r="CI270" s="566">
        <v>2.2414720428350146E-11</v>
      </c>
      <c r="CJ270" s="566">
        <v>4.9255180009569197E-33</v>
      </c>
      <c r="CK270" s="566">
        <v>261.31851785692993</v>
      </c>
      <c r="CL270" s="566"/>
      <c r="CM270" s="566">
        <v>5.1952022065224947E-3</v>
      </c>
      <c r="CN270" s="566">
        <v>1.12413092141989E-19</v>
      </c>
      <c r="CO270" s="566">
        <v>4.0862512969764347E-36</v>
      </c>
      <c r="CP270" s="566">
        <v>1.1108659151053786</v>
      </c>
      <c r="CQ270" s="566"/>
      <c r="CR270" s="566">
        <v>2.5582612763181409E-5</v>
      </c>
      <c r="CS270" s="566">
        <v>4.4552442992481544E-22</v>
      </c>
      <c r="CT270" s="566">
        <v>6.1544436703809928E-36</v>
      </c>
      <c r="CU270" s="566">
        <v>0.18506570208960554</v>
      </c>
      <c r="CV270" s="566"/>
      <c r="CW270" s="566">
        <v>2.8716192180682016E-6</v>
      </c>
      <c r="CX270" s="566">
        <v>3.9364249297156323E-23</v>
      </c>
      <c r="CY270" s="552"/>
    </row>
    <row r="271" spans="3:103" ht="12.75" customHeight="1" x14ac:dyDescent="0.3"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BL271"/>
      <c r="BM271" s="562"/>
      <c r="BN271" s="591">
        <v>258</v>
      </c>
      <c r="BO271" s="549" t="s">
        <v>2511</v>
      </c>
      <c r="BP271" s="549" t="s">
        <v>620</v>
      </c>
      <c r="BQ271" s="550" t="s">
        <v>2408</v>
      </c>
      <c r="BR271" s="566">
        <v>0.21672705217837782</v>
      </c>
      <c r="BS271" s="566"/>
      <c r="BT271" s="566">
        <v>18968018.024912681</v>
      </c>
      <c r="BU271" s="566">
        <v>873598.16566440905</v>
      </c>
      <c r="BV271" s="566">
        <v>146806.03178554596</v>
      </c>
      <c r="BW271" s="566">
        <v>2061.9816204353342</v>
      </c>
      <c r="BX271" s="566">
        <v>342367.59034266841</v>
      </c>
      <c r="BY271" s="566">
        <v>4313590.8254848169</v>
      </c>
      <c r="BZ271" s="566">
        <v>126802.81123802532</v>
      </c>
      <c r="CA271" s="566">
        <v>2.2057447791960603E-7</v>
      </c>
      <c r="CB271" s="566">
        <v>1.7415272763902143E-35</v>
      </c>
      <c r="CC271" s="566">
        <v>1.8607830442906856</v>
      </c>
      <c r="CD271" s="566">
        <v>10201302.203588255</v>
      </c>
      <c r="CE271" s="566">
        <v>1.4401830195825159E-2</v>
      </c>
      <c r="CF271" s="566">
        <v>1203.9229519390931</v>
      </c>
      <c r="CG271" s="566">
        <v>0.18056487556513856</v>
      </c>
      <c r="CH271" s="566">
        <v>0.85079443813031685</v>
      </c>
      <c r="CI271" s="566">
        <v>6.687587983894018E-2</v>
      </c>
      <c r="CJ271" s="566">
        <v>5.6762169176569683E-13</v>
      </c>
      <c r="CK271" s="566">
        <v>3514950.7013166458</v>
      </c>
      <c r="CL271" s="566"/>
      <c r="CM271" s="566">
        <v>83.460713485515839</v>
      </c>
      <c r="CN271" s="566">
        <v>1.6677872603315443E-6</v>
      </c>
      <c r="CO271" s="566">
        <v>3.3785806906197513E-14</v>
      </c>
      <c r="CP271" s="566">
        <v>219074.24421228582</v>
      </c>
      <c r="CQ271" s="566"/>
      <c r="CR271" s="566">
        <v>5.2525465311262955</v>
      </c>
      <c r="CS271" s="566">
        <v>6.5459959968992882E-8</v>
      </c>
      <c r="CT271" s="566">
        <v>6.2309699687557379E-15</v>
      </c>
      <c r="CU271" s="566">
        <v>39826.437551379895</v>
      </c>
      <c r="CV271" s="566"/>
      <c r="CW271" s="566">
        <v>0.92870346224979849</v>
      </c>
      <c r="CX271" s="566">
        <v>1.0478053963228035E-8</v>
      </c>
      <c r="CY271" s="552"/>
    </row>
    <row r="272" spans="3:103" ht="12.75" customHeight="1" x14ac:dyDescent="0.3"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BL272"/>
      <c r="BM272" s="562"/>
      <c r="BN272" s="591">
        <v>259</v>
      </c>
      <c r="BO272" s="549" t="s">
        <v>2738</v>
      </c>
      <c r="BP272" s="549" t="s">
        <v>620</v>
      </c>
      <c r="BQ272" s="550" t="s">
        <v>2408</v>
      </c>
      <c r="BR272" s="566">
        <v>0.56104545629656566</v>
      </c>
      <c r="BS272" s="566"/>
      <c r="BT272" s="566">
        <v>7925042.6473737396</v>
      </c>
      <c r="BU272" s="566">
        <v>308137.05053225253</v>
      </c>
      <c r="BV272" s="566">
        <v>59725.218381068189</v>
      </c>
      <c r="BW272" s="566">
        <v>707.88169782935813</v>
      </c>
      <c r="BX272" s="566">
        <v>437771.05137550301</v>
      </c>
      <c r="BY272" s="566">
        <v>7252986.0946319215</v>
      </c>
      <c r="BZ272" s="566">
        <v>162137.42643537145</v>
      </c>
      <c r="CA272" s="566">
        <v>1.4038870325529213E-6</v>
      </c>
      <c r="CB272" s="566">
        <v>4.508182548497188E-35</v>
      </c>
      <c r="CC272" s="566">
        <v>2.2574502167798793</v>
      </c>
      <c r="CD272" s="566">
        <v>1045529.5770854813</v>
      </c>
      <c r="CE272" s="566">
        <v>1.7012742161866826E-2</v>
      </c>
      <c r="CF272" s="566">
        <v>120.09449218775694</v>
      </c>
      <c r="CG272" s="566">
        <v>0.56764869429054032</v>
      </c>
      <c r="CH272" s="566">
        <v>3.517164960393941</v>
      </c>
      <c r="CI272" s="566">
        <v>0.21024025714464459</v>
      </c>
      <c r="CJ272" s="566">
        <v>7.1662854814322622E-13</v>
      </c>
      <c r="CK272" s="566">
        <v>86318.166613107547</v>
      </c>
      <c r="CL272" s="566"/>
      <c r="CM272" s="566">
        <v>1.9681491661664257</v>
      </c>
      <c r="CN272" s="566">
        <v>1.04002850146283E-6</v>
      </c>
      <c r="CO272" s="566">
        <v>2.5823982846736489E-15</v>
      </c>
      <c r="CP272" s="566">
        <v>1341.6497354888152</v>
      </c>
      <c r="CQ272" s="566"/>
      <c r="CR272" s="566">
        <v>3.1884505710505551E-2</v>
      </c>
      <c r="CS272" s="566">
        <v>2.8471861498252788E-9</v>
      </c>
      <c r="CT272" s="566">
        <v>6.8148713775758229E-16</v>
      </c>
      <c r="CU272" s="566">
        <v>227.05387167431519</v>
      </c>
      <c r="CV272" s="566"/>
      <c r="CW272" s="566">
        <v>4.8015215488145914E-3</v>
      </c>
      <c r="CX272" s="566">
        <v>4.737005321899399E-10</v>
      </c>
      <c r="CY272" s="552"/>
    </row>
    <row r="273" spans="3:103" ht="12.75" customHeight="1" x14ac:dyDescent="0.3"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BL273"/>
      <c r="BM273" s="562"/>
      <c r="BN273" s="591">
        <v>260</v>
      </c>
      <c r="BO273" s="549" t="s">
        <v>2570</v>
      </c>
      <c r="BP273" s="549" t="s">
        <v>620</v>
      </c>
      <c r="BQ273" s="550" t="s">
        <v>2408</v>
      </c>
      <c r="BR273" s="566">
        <v>0.47528806491764014</v>
      </c>
      <c r="BS273" s="566"/>
      <c r="BT273" s="566">
        <v>22407622.237318859</v>
      </c>
      <c r="BU273" s="566">
        <v>951195.86181868461</v>
      </c>
      <c r="BV273" s="566">
        <v>171393.86034699707</v>
      </c>
      <c r="BW273" s="566">
        <v>2218.3547421824542</v>
      </c>
      <c r="BX273" s="566">
        <v>795702.24125203548</v>
      </c>
      <c r="BY273" s="566">
        <v>14917136.018839251</v>
      </c>
      <c r="BZ273" s="566">
        <v>294704.53379705019</v>
      </c>
      <c r="CA273" s="566">
        <v>5.9105824302442354E-7</v>
      </c>
      <c r="CB273" s="566">
        <v>3.8192920809896602E-35</v>
      </c>
      <c r="CC273" s="566">
        <v>3.3600976064110628</v>
      </c>
      <c r="CD273" s="566">
        <v>5284790.8116420843</v>
      </c>
      <c r="CE273" s="566">
        <v>2.5701080364803806E-2</v>
      </c>
      <c r="CF273" s="566">
        <v>616.25272086618907</v>
      </c>
      <c r="CG273" s="566">
        <v>0.51276980315337428</v>
      </c>
      <c r="CH273" s="566">
        <v>3.5950276698802601</v>
      </c>
      <c r="CI273" s="566">
        <v>0.18991474190865704</v>
      </c>
      <c r="CJ273" s="566">
        <v>1.0460066984575901E-12</v>
      </c>
      <c r="CK273" s="566">
        <v>748737.78589553363</v>
      </c>
      <c r="CL273" s="566"/>
      <c r="CM273" s="566">
        <v>17.45949090273233</v>
      </c>
      <c r="CN273" s="566">
        <v>3.2570939390160041E-6</v>
      </c>
      <c r="CO273" s="566">
        <v>1.4061146427383685E-14</v>
      </c>
      <c r="CP273" s="566">
        <v>19792.47105143706</v>
      </c>
      <c r="CQ273" s="566"/>
      <c r="CR273" s="566">
        <v>0.47280017631653681</v>
      </c>
      <c r="CS273" s="566">
        <v>4.731813253522968E-8</v>
      </c>
      <c r="CT273" s="566">
        <v>6.9937253135779806E-15</v>
      </c>
      <c r="CU273" s="566">
        <v>3404.0109064251074</v>
      </c>
      <c r="CV273" s="566"/>
      <c r="CW273" s="566">
        <v>7.5925446939877517E-2</v>
      </c>
      <c r="CX273" s="566">
        <v>8.3284873177837281E-9</v>
      </c>
      <c r="CY273" s="552"/>
    </row>
    <row r="274" spans="3:103" ht="12.75" customHeight="1" x14ac:dyDescent="0.3"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BL274"/>
      <c r="BM274" s="562"/>
      <c r="BN274" s="591">
        <v>261</v>
      </c>
      <c r="BO274" s="549" t="s">
        <v>2812</v>
      </c>
      <c r="BP274" s="549" t="s">
        <v>620</v>
      </c>
      <c r="BQ274" s="550" t="s">
        <v>2408</v>
      </c>
      <c r="BR274" s="566">
        <v>0.46747983621654254</v>
      </c>
      <c r="BS274" s="566"/>
      <c r="BT274" s="566">
        <v>18072123.069276892</v>
      </c>
      <c r="BU274" s="566">
        <v>848908.99617005547</v>
      </c>
      <c r="BV274" s="566">
        <v>140365.31889766676</v>
      </c>
      <c r="BW274" s="566">
        <v>2010.8585614342353</v>
      </c>
      <c r="BX274" s="566">
        <v>268791.48522110755</v>
      </c>
      <c r="BY274" s="566">
        <v>5960801.7894333676</v>
      </c>
      <c r="BZ274" s="566">
        <v>99552.401933743502</v>
      </c>
      <c r="CA274" s="566">
        <v>1.8148918038284789E-6</v>
      </c>
      <c r="CB274" s="566">
        <v>3.7563384142185323E-35</v>
      </c>
      <c r="CC274" s="566">
        <v>9.0409759340598708</v>
      </c>
      <c r="CD274" s="566">
        <v>13694531.434423938</v>
      </c>
      <c r="CE274" s="566">
        <v>7.0220829355010658E-2</v>
      </c>
      <c r="CF274" s="566">
        <v>1621.9504036346202</v>
      </c>
      <c r="CG274" s="566">
        <v>0.54075663128728735</v>
      </c>
      <c r="CH274" s="566">
        <v>4.4847199552502461</v>
      </c>
      <c r="CI274" s="566">
        <v>0.2002802338101064</v>
      </c>
      <c r="CJ274" s="566">
        <v>1.0339312080906238E-12</v>
      </c>
      <c r="CK274" s="566">
        <v>7356502.0952226464</v>
      </c>
      <c r="CL274" s="566"/>
      <c r="CM274" s="566">
        <v>175.5683849688578</v>
      </c>
      <c r="CN274" s="566">
        <v>1.105723180141711E-6</v>
      </c>
      <c r="CO274" s="566">
        <v>4.4138379600320347E-17</v>
      </c>
      <c r="CP274" s="566">
        <v>694123.65578772756</v>
      </c>
      <c r="CQ274" s="566"/>
      <c r="CR274" s="566">
        <v>16.666775203680654</v>
      </c>
      <c r="CS274" s="566">
        <v>2.471276595608518E-11</v>
      </c>
      <c r="CT274" s="566">
        <v>6.3646376947637704E-18</v>
      </c>
      <c r="CU274" s="566">
        <v>132967.70865816413</v>
      </c>
      <c r="CV274" s="566"/>
      <c r="CW274" s="566">
        <v>3.1375234396762051</v>
      </c>
      <c r="CX274" s="566">
        <v>5.0937164254645485E-12</v>
      </c>
      <c r="CY274" s="552"/>
    </row>
    <row r="275" spans="3:103" ht="12.75" customHeight="1" x14ac:dyDescent="0.3"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BL275"/>
      <c r="BM275" s="562"/>
      <c r="BN275" s="591">
        <v>262</v>
      </c>
      <c r="BO275" s="549" t="s">
        <v>2576</v>
      </c>
      <c r="BP275" s="549" t="s">
        <v>620</v>
      </c>
      <c r="BQ275" s="550" t="s">
        <v>2408</v>
      </c>
      <c r="BR275" s="566">
        <v>460239.98956287827</v>
      </c>
      <c r="BS275" s="566"/>
      <c r="BT275" s="566">
        <v>1313323.3520167652</v>
      </c>
      <c r="BU275" s="566">
        <v>45580.950087170575</v>
      </c>
      <c r="BV275" s="566">
        <v>10173.244220276567</v>
      </c>
      <c r="BW275" s="566">
        <v>107.67527163903566</v>
      </c>
      <c r="BX275" s="566">
        <v>48.917617404862114</v>
      </c>
      <c r="BY275" s="566">
        <v>4924184.439566616</v>
      </c>
      <c r="BZ275" s="566">
        <v>18.117636075874863</v>
      </c>
      <c r="CA275" s="566">
        <v>2290220.5358141917</v>
      </c>
      <c r="CB275" s="566">
        <v>1.8735324302292529E-30</v>
      </c>
      <c r="CC275" s="566">
        <v>2093.3263970054877</v>
      </c>
      <c r="CD275" s="566">
        <v>1200575.4768280408</v>
      </c>
      <c r="CE275" s="566">
        <v>16.215291258459704</v>
      </c>
      <c r="CF275" s="566">
        <v>141.80517337111152</v>
      </c>
      <c r="CG275" s="566">
        <v>119.8971966628061</v>
      </c>
      <c r="CH275" s="566">
        <v>970.39620853205759</v>
      </c>
      <c r="CI275" s="566">
        <v>44.406369134372611</v>
      </c>
      <c r="CJ275" s="566">
        <v>3119870.154824378</v>
      </c>
      <c r="CK275" s="566">
        <v>2115923.1381983645</v>
      </c>
      <c r="CL275" s="566"/>
      <c r="CM275" s="566">
        <v>50.283125934183346</v>
      </c>
      <c r="CN275" s="566">
        <v>586.23521022162663</v>
      </c>
      <c r="CO275" s="566">
        <v>1025369.1543855388</v>
      </c>
      <c r="CP275" s="566">
        <v>8289966.6318609277</v>
      </c>
      <c r="CQ275" s="566"/>
      <c r="CR275" s="566">
        <v>198.92675610428552</v>
      </c>
      <c r="CS275" s="566">
        <v>587.72644282506258</v>
      </c>
      <c r="CT275" s="566">
        <v>2488920.383126012</v>
      </c>
      <c r="CU275" s="566">
        <v>406926.58590330958</v>
      </c>
      <c r="CV275" s="566"/>
      <c r="CW275" s="566">
        <v>9.4967928230259702</v>
      </c>
      <c r="CX275" s="566">
        <v>142.72301668673123</v>
      </c>
      <c r="CY275" s="552"/>
    </row>
    <row r="276" spans="3:103" ht="12.75" customHeight="1" x14ac:dyDescent="0.3"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BL276"/>
      <c r="BM276" s="562"/>
      <c r="BN276" s="591">
        <v>263</v>
      </c>
      <c r="BO276" s="549" t="s">
        <v>2616</v>
      </c>
      <c r="BP276" s="549" t="s">
        <v>620</v>
      </c>
      <c r="BQ276" s="550" t="s">
        <v>2408</v>
      </c>
      <c r="BR276" s="566">
        <v>113.70833754493904</v>
      </c>
      <c r="BS276" s="566"/>
      <c r="BT276" s="566">
        <v>25931853.077136494</v>
      </c>
      <c r="BU276" s="566">
        <v>1100803.1849493075</v>
      </c>
      <c r="BV276" s="566">
        <v>198547.16686718911</v>
      </c>
      <c r="BW276" s="566">
        <v>2569.7665375979864</v>
      </c>
      <c r="BX276" s="566">
        <v>925068.6162683235</v>
      </c>
      <c r="BY276" s="566">
        <v>17329059.22203058</v>
      </c>
      <c r="BZ276" s="566">
        <v>342618.00602530502</v>
      </c>
      <c r="CA276" s="566">
        <v>2.9220251225082868E-2</v>
      </c>
      <c r="CB276" s="566">
        <v>9.13770280706238E-33</v>
      </c>
      <c r="CC276" s="566">
        <v>803.08480929727398</v>
      </c>
      <c r="CD276" s="566">
        <v>6118289.9346972592</v>
      </c>
      <c r="CE276" s="566">
        <v>6.1488167916790353</v>
      </c>
      <c r="CF276" s="566">
        <v>714.14113605746934</v>
      </c>
      <c r="CG276" s="566">
        <v>123.18677154324945</v>
      </c>
      <c r="CH276" s="566">
        <v>862.8878689599901</v>
      </c>
      <c r="CI276" s="566">
        <v>45.624730201203477</v>
      </c>
      <c r="CJ276" s="566">
        <v>1.1815343957100084E-6</v>
      </c>
      <c r="CK276" s="566">
        <v>866826.28701766208</v>
      </c>
      <c r="CL276" s="566"/>
      <c r="CM276" s="566">
        <v>20.232839911699422</v>
      </c>
      <c r="CN276" s="566">
        <v>1.7878461854880841E-2</v>
      </c>
      <c r="CO276" s="566">
        <v>4.2608914783974226E-10</v>
      </c>
      <c r="CP276" s="566">
        <v>22914.075772763459</v>
      </c>
      <c r="CQ276" s="566"/>
      <c r="CR276" s="566">
        <v>0.54791055550970935</v>
      </c>
      <c r="CS276" s="566">
        <v>2.0085895951931774E-5</v>
      </c>
      <c r="CT276" s="566">
        <v>8.0507657990211428E-10</v>
      </c>
      <c r="CU276" s="566">
        <v>3940.8805417698895</v>
      </c>
      <c r="CV276" s="566"/>
      <c r="CW276" s="566">
        <v>8.7983362097942885E-2</v>
      </c>
      <c r="CX276" s="566">
        <v>3.5591075488551689E-6</v>
      </c>
      <c r="CY276" s="552"/>
    </row>
    <row r="277" spans="3:103" ht="12.75" customHeight="1" x14ac:dyDescent="0.3"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BL277"/>
      <c r="BM277" s="562"/>
      <c r="BN277" s="591">
        <v>264</v>
      </c>
      <c r="BO277" s="549" t="s">
        <v>2788</v>
      </c>
      <c r="BP277" s="549" t="s">
        <v>620</v>
      </c>
      <c r="BQ277" s="550" t="s">
        <v>2408</v>
      </c>
      <c r="BR277" s="566">
        <v>0.10020034270982271</v>
      </c>
      <c r="BS277" s="566"/>
      <c r="BT277" s="566">
        <v>13050063.49973054</v>
      </c>
      <c r="BU277" s="566">
        <v>553974.4922251117</v>
      </c>
      <c r="BV277" s="566">
        <v>99958.897466049588</v>
      </c>
      <c r="BW277" s="566">
        <v>1293.7466873615576</v>
      </c>
      <c r="BX277" s="566">
        <v>466542.28344336408</v>
      </c>
      <c r="BY277" s="566">
        <v>8735098.2538176849</v>
      </c>
      <c r="BZ277" s="566">
        <v>172793.43831235712</v>
      </c>
      <c r="CA277" s="566">
        <v>4.5074365504103636E-8</v>
      </c>
      <c r="CB277" s="566">
        <v>8.0514913288934441E-36</v>
      </c>
      <c r="CC277" s="566">
        <v>0.70748074722697418</v>
      </c>
      <c r="CD277" s="566">
        <v>3077847.6217849795</v>
      </c>
      <c r="CE277" s="566">
        <v>5.4190537442768347E-3</v>
      </c>
      <c r="CF277" s="566">
        <v>359.39878286578835</v>
      </c>
      <c r="CG277" s="566">
        <v>0.10875517122354141</v>
      </c>
      <c r="CH277" s="566">
        <v>0.7615035610678158</v>
      </c>
      <c r="CI277" s="566">
        <v>4.0279693045756064E-2</v>
      </c>
      <c r="CJ277" s="566">
        <v>1.7901190006361114E-14</v>
      </c>
      <c r="CK277" s="566">
        <v>436062.83397954132</v>
      </c>
      <c r="CL277" s="566"/>
      <c r="CM277" s="566">
        <v>10.1823808119264</v>
      </c>
      <c r="CN277" s="566">
        <v>1.550264678439223E-7</v>
      </c>
      <c r="CO277" s="566">
        <v>3.9332516443929276E-16</v>
      </c>
      <c r="CP277" s="566">
        <v>11527.081099618314</v>
      </c>
      <c r="CQ277" s="566"/>
      <c r="CR277" s="566">
        <v>0.27574330026427907</v>
      </c>
      <c r="CS277" s="566">
        <v>2.0942476622280765E-9</v>
      </c>
      <c r="CT277" s="566">
        <v>7.1375176839680325E-17</v>
      </c>
      <c r="CU277" s="566">
        <v>1982.486660090462</v>
      </c>
      <c r="CV277" s="566"/>
      <c r="CW277" s="566">
        <v>4.4278003753506261E-2</v>
      </c>
      <c r="CX277" s="566">
        <v>3.6846479916921833E-10</v>
      </c>
      <c r="CY277" s="552"/>
    </row>
    <row r="278" spans="3:103" ht="12.75" customHeight="1" x14ac:dyDescent="0.3"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BL278"/>
      <c r="BM278" s="562"/>
      <c r="BN278" s="591">
        <v>265</v>
      </c>
      <c r="BO278" s="549" t="s">
        <v>2676</v>
      </c>
      <c r="BP278" s="549" t="s">
        <v>620</v>
      </c>
      <c r="BQ278" s="550" t="s">
        <v>2408</v>
      </c>
      <c r="BR278" s="566">
        <v>1146.3041142879877</v>
      </c>
      <c r="BS278" s="566"/>
      <c r="BT278" s="566">
        <v>13006987.382691391</v>
      </c>
      <c r="BU278" s="566">
        <v>598091.48350086482</v>
      </c>
      <c r="BV278" s="566">
        <v>100882.27620176767</v>
      </c>
      <c r="BW278" s="566">
        <v>1414.624057323899</v>
      </c>
      <c r="BX278" s="566">
        <v>246329.40880704985</v>
      </c>
      <c r="BY278" s="566">
        <v>5296385.7670860495</v>
      </c>
      <c r="BZ278" s="566">
        <v>91233.114372981407</v>
      </c>
      <c r="CA278" s="566">
        <v>11.709934782188158</v>
      </c>
      <c r="CB278" s="566">
        <v>9.1639867558719296E-32</v>
      </c>
      <c r="CC278" s="566">
        <v>16711.545461609312</v>
      </c>
      <c r="CD278" s="566">
        <v>7037496.5748415478</v>
      </c>
      <c r="CE278" s="566">
        <v>129.61485203406298</v>
      </c>
      <c r="CF278" s="566">
        <v>832.26498225927298</v>
      </c>
      <c r="CG278" s="566">
        <v>1303.9518542849175</v>
      </c>
      <c r="CH278" s="566">
        <v>10405.915740875171</v>
      </c>
      <c r="CI278" s="566">
        <v>482.94513121663573</v>
      </c>
      <c r="CJ278" s="566">
        <v>1.7776935870166991E-2</v>
      </c>
      <c r="CK278" s="566">
        <v>2424961.8554230072</v>
      </c>
      <c r="CL278" s="566"/>
      <c r="CM278" s="566">
        <v>57.698976605043271</v>
      </c>
      <c r="CN278" s="566">
        <v>7.1050582215395446</v>
      </c>
      <c r="CO278" s="566">
        <v>8.4606061370113177E-6</v>
      </c>
      <c r="CP278" s="566">
        <v>151139.38056027729</v>
      </c>
      <c r="CQ278" s="566"/>
      <c r="CR278" s="566">
        <v>3.6313018050601391</v>
      </c>
      <c r="CS278" s="566">
        <v>1.0043302467410637E-2</v>
      </c>
      <c r="CT278" s="566">
        <v>1.8987623252988505E-5</v>
      </c>
      <c r="CU278" s="566">
        <v>27476.271707486783</v>
      </c>
      <c r="CV278" s="566"/>
      <c r="CW278" s="566">
        <v>0.64202678987629935</v>
      </c>
      <c r="CX278" s="566">
        <v>2.2617552390712275E-3</v>
      </c>
      <c r="CY278" s="552"/>
    </row>
    <row r="279" spans="3:103" ht="12.75" customHeight="1" x14ac:dyDescent="0.3"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BL279"/>
      <c r="BM279" s="562"/>
      <c r="BN279" s="591">
        <v>266</v>
      </c>
      <c r="BO279" s="549" t="s">
        <v>2417</v>
      </c>
      <c r="BP279" s="549" t="s">
        <v>620</v>
      </c>
      <c r="BQ279" s="550" t="s">
        <v>2408</v>
      </c>
      <c r="BR279" s="566">
        <v>2149.9003859980908</v>
      </c>
      <c r="BS279" s="566"/>
      <c r="BT279" s="566">
        <v>11143065.952052103</v>
      </c>
      <c r="BU279" s="566">
        <v>433179.12054936122</v>
      </c>
      <c r="BV279" s="566">
        <v>84176.979845879454</v>
      </c>
      <c r="BW279" s="566">
        <v>997.46476236838748</v>
      </c>
      <c r="BX279" s="566">
        <v>612458.87166610081</v>
      </c>
      <c r="BY279" s="566">
        <v>10246615.98422453</v>
      </c>
      <c r="BZ279" s="566">
        <v>226836.61913559298</v>
      </c>
      <c r="CA279" s="566">
        <v>14.612200136145718</v>
      </c>
      <c r="CB279" s="566">
        <v>1.7036011450966676E-31</v>
      </c>
      <c r="CC279" s="566">
        <v>8473.909039793285</v>
      </c>
      <c r="CD279" s="566">
        <v>1494918.9620219367</v>
      </c>
      <c r="CE279" s="566">
        <v>64.013627266302962</v>
      </c>
      <c r="CF279" s="566">
        <v>172.11459607311468</v>
      </c>
      <c r="CG279" s="566">
        <v>2157.1153179368739</v>
      </c>
      <c r="CH279" s="566">
        <v>13331.202806231189</v>
      </c>
      <c r="CI279" s="566">
        <v>798.93159923587893</v>
      </c>
      <c r="CJ279" s="566">
        <v>1.4581739779320976E-2</v>
      </c>
      <c r="CK279" s="566">
        <v>123456.40511638757</v>
      </c>
      <c r="CL279" s="566"/>
      <c r="CM279" s="566">
        <v>2.8215172515671556</v>
      </c>
      <c r="CN279" s="566">
        <v>7.7262854630658602</v>
      </c>
      <c r="CO279" s="566">
        <v>2.9931672076154234E-6</v>
      </c>
      <c r="CP279" s="566">
        <v>1918.9427192640671</v>
      </c>
      <c r="CQ279" s="566"/>
      <c r="CR279" s="566">
        <v>4.571342671980784E-2</v>
      </c>
      <c r="CS279" s="566">
        <v>5.095291221776219E-3</v>
      </c>
      <c r="CT279" s="566">
        <v>7.4533611753913825E-6</v>
      </c>
      <c r="CU279" s="566">
        <v>324.7516768843895</v>
      </c>
      <c r="CV279" s="566"/>
      <c r="CW279" s="566">
        <v>6.8828184409931844E-3</v>
      </c>
      <c r="CX279" s="566">
        <v>1.1324497757451864E-3</v>
      </c>
      <c r="CY279" s="552"/>
    </row>
    <row r="280" spans="3:103" ht="12.75" customHeight="1" x14ac:dyDescent="0.3"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BL280"/>
      <c r="BM280" s="562"/>
      <c r="BN280" s="591">
        <v>267</v>
      </c>
      <c r="BO280" s="549" t="s">
        <v>2868</v>
      </c>
      <c r="BP280" s="549" t="s">
        <v>620</v>
      </c>
      <c r="BQ280" s="550" t="s">
        <v>2408</v>
      </c>
      <c r="BR280" s="566">
        <v>177130.45054395174</v>
      </c>
      <c r="BS280" s="566"/>
      <c r="BT280" s="566">
        <v>10387625.615182234</v>
      </c>
      <c r="BU280" s="566">
        <v>472947.15224838664</v>
      </c>
      <c r="BV280" s="566">
        <v>80840.628936453315</v>
      </c>
      <c r="BW280" s="566">
        <v>1122.3690449281994</v>
      </c>
      <c r="BX280" s="566">
        <v>24154.732893234173</v>
      </c>
      <c r="BY280" s="566">
        <v>4501666.7496025134</v>
      </c>
      <c r="BZ280" s="566">
        <v>8946.1973678645063</v>
      </c>
      <c r="CA280" s="566">
        <v>284279.37667888898</v>
      </c>
      <c r="CB280" s="566">
        <v>1.0586089293896542E-29</v>
      </c>
      <c r="CC280" s="566">
        <v>270138.75683057884</v>
      </c>
      <c r="CD280" s="566">
        <v>10695061.943641717</v>
      </c>
      <c r="CE280" s="566">
        <v>2102.3271160617869</v>
      </c>
      <c r="CF280" s="566">
        <v>1269.0431057748301</v>
      </c>
      <c r="CG280" s="566">
        <v>19179.463886521477</v>
      </c>
      <c r="CH280" s="566">
        <v>155387.14500396833</v>
      </c>
      <c r="CI280" s="566">
        <v>7103.5051431560996</v>
      </c>
      <c r="CJ280" s="566">
        <v>73450.953845412892</v>
      </c>
      <c r="CK280" s="566">
        <v>5541515.102311057</v>
      </c>
      <c r="CL280" s="566"/>
      <c r="CM280" s="566">
        <v>132.29437007295363</v>
      </c>
      <c r="CN280" s="566">
        <v>17786.569931896018</v>
      </c>
      <c r="CO280" s="566">
        <v>5240.3711629664504</v>
      </c>
      <c r="CP280" s="566">
        <v>1074277.7464282389</v>
      </c>
      <c r="CQ280" s="566"/>
      <c r="CR280" s="566">
        <v>25.897643854094092</v>
      </c>
      <c r="CS280" s="566">
        <v>3987.7302635646306</v>
      </c>
      <c r="CT280" s="566">
        <v>8719.8289818519152</v>
      </c>
      <c r="CU280" s="566">
        <v>183868.03163593326</v>
      </c>
      <c r="CV280" s="566"/>
      <c r="CW280" s="566">
        <v>4.3105641376990356</v>
      </c>
      <c r="CX280" s="566">
        <v>620.10343486343788</v>
      </c>
      <c r="CY280" s="552"/>
    </row>
    <row r="281" spans="3:103" ht="12.75" customHeight="1" x14ac:dyDescent="0.3"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BL281"/>
      <c r="BM281" s="562"/>
      <c r="BN281" s="591">
        <v>268</v>
      </c>
      <c r="BO281" s="549" t="s">
        <v>2572</v>
      </c>
      <c r="BP281" s="549" t="s">
        <v>620</v>
      </c>
      <c r="BQ281" s="550" t="s">
        <v>2408</v>
      </c>
      <c r="BR281" s="566">
        <v>649.87765780663108</v>
      </c>
      <c r="BS281" s="566"/>
      <c r="BT281" s="566">
        <v>14773539.846658809</v>
      </c>
      <c r="BU281" s="566">
        <v>627136.8981344034</v>
      </c>
      <c r="BV281" s="566">
        <v>113601.45490139577</v>
      </c>
      <c r="BW281" s="566">
        <v>1470.2189038328088</v>
      </c>
      <c r="BX281" s="566">
        <v>536384.26219133777</v>
      </c>
      <c r="BY281" s="566">
        <v>10030304.236518998</v>
      </c>
      <c r="BZ281" s="566">
        <v>198660.83784864366</v>
      </c>
      <c r="CA281" s="566">
        <v>1.6718868524964896</v>
      </c>
      <c r="CB281" s="566">
        <v>5.2142776082967195E-32</v>
      </c>
      <c r="CC281" s="566">
        <v>4560.1193777249</v>
      </c>
      <c r="CD281" s="566">
        <v>3497451.9787737313</v>
      </c>
      <c r="CE281" s="566">
        <v>35.065136806109173</v>
      </c>
      <c r="CF281" s="566">
        <v>409.95993296973933</v>
      </c>
      <c r="CG281" s="566">
        <v>715.07200958982833</v>
      </c>
      <c r="CH281" s="566">
        <v>4989.7192510143195</v>
      </c>
      <c r="CI281" s="566">
        <v>264.84148503326975</v>
      </c>
      <c r="CJ281" s="566">
        <v>6.3475656729557661E-4</v>
      </c>
      <c r="CK281" s="566">
        <v>495518.98386605445</v>
      </c>
      <c r="CL281" s="566"/>
      <c r="CM281" s="566">
        <v>11.615040322924404</v>
      </c>
      <c r="CN281" s="566">
        <v>0.97443697351852987</v>
      </c>
      <c r="CO281" s="566">
        <v>7.1043768323245325E-8</v>
      </c>
      <c r="CP281" s="566">
        <v>13098.775803216435</v>
      </c>
      <c r="CQ281" s="566"/>
      <c r="CR281" s="566">
        <v>0.31455971825523393</v>
      </c>
      <c r="CS281" s="566">
        <v>3.2920135064137053E-4</v>
      </c>
      <c r="CT281" s="566">
        <v>1.5865451064800208E-7</v>
      </c>
      <c r="CU281" s="566">
        <v>2252.7948180958297</v>
      </c>
      <c r="CV281" s="566"/>
      <c r="CW281" s="566">
        <v>5.0502402538842195E-2</v>
      </c>
      <c r="CX281" s="566">
        <v>7.1413442542818636E-5</v>
      </c>
      <c r="CY281" s="552"/>
    </row>
    <row r="282" spans="3:103" ht="12.75" customHeight="1" x14ac:dyDescent="0.3"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BL282"/>
      <c r="BM282" s="562"/>
      <c r="BN282" s="591">
        <v>269</v>
      </c>
      <c r="BO282" s="549" t="s">
        <v>2510</v>
      </c>
      <c r="BP282" s="549" t="s">
        <v>620</v>
      </c>
      <c r="BQ282" s="550" t="s">
        <v>2408</v>
      </c>
      <c r="BR282" s="566">
        <v>893462.04286222288</v>
      </c>
      <c r="BS282" s="566"/>
      <c r="BT282" s="566">
        <v>2016255.0952872604</v>
      </c>
      <c r="BU282" s="566">
        <v>68603.292754166279</v>
      </c>
      <c r="BV282" s="566">
        <v>15916.45315135143</v>
      </c>
      <c r="BW282" s="566">
        <v>165.13405939805938</v>
      </c>
      <c r="BX282" s="566">
        <v>7.0380645300645241</v>
      </c>
      <c r="BY282" s="566">
        <v>7973067.5857732138</v>
      </c>
      <c r="BZ282" s="566">
        <v>2.6066905666905646</v>
      </c>
      <c r="CA282" s="566">
        <v>2960206.9409588799</v>
      </c>
      <c r="CB282" s="566">
        <v>1.0202768835712961E-31</v>
      </c>
      <c r="CC282" s="566">
        <v>94.29984537948198</v>
      </c>
      <c r="CD282" s="566">
        <v>1689701.58927364</v>
      </c>
      <c r="CE282" s="566">
        <v>0.74440931341992145</v>
      </c>
      <c r="CF282" s="566">
        <v>203.36289367915452</v>
      </c>
      <c r="CG282" s="566">
        <v>13.420553173870571</v>
      </c>
      <c r="CH282" s="566">
        <v>66.871751393147562</v>
      </c>
      <c r="CI282" s="566">
        <v>4.9705752495816924</v>
      </c>
      <c r="CJ282" s="566">
        <v>1938820.5054457751</v>
      </c>
      <c r="CK282" s="566">
        <v>5925859.7696041893</v>
      </c>
      <c r="CL282" s="566"/>
      <c r="CM282" s="566">
        <v>144.07987874196891</v>
      </c>
      <c r="CN282" s="566">
        <v>31.549291020761881</v>
      </c>
      <c r="CO282" s="566">
        <v>423941.53704085457</v>
      </c>
      <c r="CP282" s="566">
        <v>1453887.8308236892</v>
      </c>
      <c r="CQ282" s="566"/>
      <c r="CR282" s="566">
        <v>35.414583296837201</v>
      </c>
      <c r="CS282" s="566">
        <v>22.868889740276593</v>
      </c>
      <c r="CT282" s="566">
        <v>713909.49821491248</v>
      </c>
      <c r="CU282" s="566">
        <v>2052622.6038583708</v>
      </c>
      <c r="CV282" s="566"/>
      <c r="CW282" s="566">
        <v>49.736014427109012</v>
      </c>
      <c r="CX282" s="566">
        <v>3.7327641318118658</v>
      </c>
      <c r="CY282" s="552"/>
    </row>
    <row r="283" spans="3:103" ht="12.75" customHeight="1" x14ac:dyDescent="0.3"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BL283"/>
      <c r="BM283" s="562"/>
      <c r="BN283" s="591">
        <v>270</v>
      </c>
      <c r="BO283" s="549" t="s">
        <v>2774</v>
      </c>
      <c r="BP283" s="549" t="s">
        <v>620</v>
      </c>
      <c r="BQ283" s="550" t="s">
        <v>2408</v>
      </c>
      <c r="BR283" s="566">
        <v>487939.68798746698</v>
      </c>
      <c r="BS283" s="566"/>
      <c r="BT283" s="566">
        <v>7382944.4363092249</v>
      </c>
      <c r="BU283" s="566">
        <v>296669.8961806951</v>
      </c>
      <c r="BV283" s="566">
        <v>57453.676096734162</v>
      </c>
      <c r="BW283" s="566">
        <v>703.70118783538965</v>
      </c>
      <c r="BX283" s="566">
        <v>9844.6124933154442</v>
      </c>
      <c r="BY283" s="566">
        <v>8489146.0879948735</v>
      </c>
      <c r="BZ283" s="566">
        <v>3646.1527753020177</v>
      </c>
      <c r="CA283" s="566">
        <v>575996.07031653496</v>
      </c>
      <c r="CB283" s="566">
        <v>2.1633295505215719E-29</v>
      </c>
      <c r="CC283" s="566">
        <v>77295.220487570346</v>
      </c>
      <c r="CD283" s="566">
        <v>6469032.7287166044</v>
      </c>
      <c r="CE283" s="566">
        <v>601.5072441664679</v>
      </c>
      <c r="CF283" s="566">
        <v>767.22749324238839</v>
      </c>
      <c r="CG283" s="566">
        <v>6000.7367977667709</v>
      </c>
      <c r="CH283" s="566">
        <v>43022.846445114439</v>
      </c>
      <c r="CI283" s="566">
        <v>2222.4951102839896</v>
      </c>
      <c r="CJ283" s="566">
        <v>106081.85854820056</v>
      </c>
      <c r="CK283" s="566">
        <v>1963675.4965728915</v>
      </c>
      <c r="CL283" s="566"/>
      <c r="CM283" s="566">
        <v>46.572042834044737</v>
      </c>
      <c r="CN283" s="566">
        <v>3966.7043561496471</v>
      </c>
      <c r="CO283" s="566">
        <v>5536.8289654228074</v>
      </c>
      <c r="CP283" s="566">
        <v>391495.22892240161</v>
      </c>
      <c r="CQ283" s="566"/>
      <c r="CR283" s="566">
        <v>9.5142881577605358</v>
      </c>
      <c r="CS283" s="566">
        <v>663.20172129646937</v>
      </c>
      <c r="CT283" s="566">
        <v>9069.193027583915</v>
      </c>
      <c r="CU283" s="566">
        <v>52863.024856128046</v>
      </c>
      <c r="CV283" s="566"/>
      <c r="CW283" s="566">
        <v>1.1986453068797407</v>
      </c>
      <c r="CX283" s="566">
        <v>98.168703696044446</v>
      </c>
      <c r="CY283" s="552"/>
    </row>
    <row r="284" spans="3:103" ht="12.75" customHeight="1" x14ac:dyDescent="0.3"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BL284"/>
      <c r="BM284" s="562"/>
      <c r="BN284" s="591">
        <v>271</v>
      </c>
      <c r="BO284" s="549" t="s">
        <v>2490</v>
      </c>
      <c r="BP284" s="549" t="s">
        <v>620</v>
      </c>
      <c r="BQ284" s="571" t="s">
        <v>2408</v>
      </c>
      <c r="BR284" s="572">
        <v>1801829.6543253604</v>
      </c>
      <c r="BS284" s="572"/>
      <c r="BT284" s="566">
        <v>7070472.9141646046</v>
      </c>
      <c r="BU284" s="566">
        <v>262502.54839561577</v>
      </c>
      <c r="BV284" s="566">
        <v>55286.017192739491</v>
      </c>
      <c r="BW284" s="566">
        <v>625.58901539597093</v>
      </c>
      <c r="BX284" s="566">
        <v>10093.841665343509</v>
      </c>
      <c r="BY284" s="551">
        <v>17502635.37619666</v>
      </c>
      <c r="BZ284" s="566">
        <v>3738.4598760531499</v>
      </c>
      <c r="CA284" s="566">
        <v>5081342.3176973099</v>
      </c>
      <c r="CB284" s="566">
        <v>1.5765547080410686E-28</v>
      </c>
      <c r="CC284" s="566">
        <v>228017.6787531336</v>
      </c>
      <c r="CD284" s="566">
        <v>35242643.168360978</v>
      </c>
      <c r="CE284" s="566">
        <v>1782.9343893729842</v>
      </c>
      <c r="CF284" s="566">
        <v>4199.465981263349</v>
      </c>
      <c r="CG284" s="566">
        <v>14697.281791519945</v>
      </c>
      <c r="CH284" s="566">
        <v>105063.01068894085</v>
      </c>
      <c r="CI284" s="566">
        <v>5443.4377005629422</v>
      </c>
      <c r="CJ284" s="566">
        <v>2482905.9336033734</v>
      </c>
      <c r="CK284" s="566">
        <v>25024433.389869668</v>
      </c>
      <c r="CL284" s="566"/>
      <c r="CM284" s="566">
        <v>596.29422199181283</v>
      </c>
      <c r="CN284" s="566">
        <v>25776.413468471044</v>
      </c>
      <c r="CO284" s="566">
        <v>238309.04314697813</v>
      </c>
      <c r="CP284" s="566">
        <v>16036711.36833822</v>
      </c>
      <c r="CQ284" s="566"/>
      <c r="CR284" s="566">
        <v>391.59680402890979</v>
      </c>
      <c r="CS284" s="566">
        <v>7929.8102400687048</v>
      </c>
      <c r="CT284" s="566">
        <v>741441.36803277209</v>
      </c>
      <c r="CU284" s="566">
        <v>2496948.8154546968</v>
      </c>
      <c r="CV284" s="566"/>
      <c r="CW284" s="566">
        <v>56.876103252869747</v>
      </c>
      <c r="CX284" s="566">
        <v>2227.9039839210191</v>
      </c>
      <c r="CY284" s="552"/>
    </row>
    <row r="285" spans="3:103" ht="12.75" customHeight="1" x14ac:dyDescent="0.3"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BL285"/>
      <c r="BM285" s="562"/>
      <c r="BN285" s="591">
        <v>272</v>
      </c>
      <c r="BO285" s="549" t="s">
        <v>2527</v>
      </c>
      <c r="BP285" s="549" t="s">
        <v>620</v>
      </c>
      <c r="BQ285" s="550" t="s">
        <v>2408</v>
      </c>
      <c r="BR285" s="551">
        <v>592045.94157592673</v>
      </c>
      <c r="BS285" s="551"/>
      <c r="BT285" s="551">
        <v>11412614.828888549</v>
      </c>
      <c r="BU285" s="551">
        <v>474705.68729170918</v>
      </c>
      <c r="BV285" s="551">
        <v>89313.667771178647</v>
      </c>
      <c r="BW285" s="551">
        <v>1132.2420263411254</v>
      </c>
      <c r="BX285" s="551">
        <v>32766.494503020916</v>
      </c>
      <c r="BY285" s="551">
        <v>9194711.084469093</v>
      </c>
      <c r="BZ285" s="551">
        <v>12135.738704822563</v>
      </c>
      <c r="CA285" s="551">
        <v>1127876.126002257</v>
      </c>
      <c r="CB285" s="551">
        <v>4.9767542832574706E-29</v>
      </c>
      <c r="CC285" s="551">
        <v>325598.62122253841</v>
      </c>
      <c r="CD285" s="551">
        <v>13959481.433655359</v>
      </c>
      <c r="CE285" s="551">
        <v>2548.0932738580568</v>
      </c>
      <c r="CF285" s="551">
        <v>1664.7695580904956</v>
      </c>
      <c r="CG285" s="551">
        <v>32233.825547500674</v>
      </c>
      <c r="CH285" s="551">
        <v>230139.03275227992</v>
      </c>
      <c r="CI285" s="551">
        <v>11938.453906481727</v>
      </c>
      <c r="CJ285" s="551">
        <v>352901.8542901972</v>
      </c>
      <c r="CK285" s="551">
        <v>6145737.8710348867</v>
      </c>
      <c r="CL285" s="551"/>
      <c r="CM285" s="551">
        <v>146.56478174346785</v>
      </c>
      <c r="CN285" s="551">
        <v>36199.956018721619</v>
      </c>
      <c r="CO285" s="551">
        <v>28484.633273667947</v>
      </c>
      <c r="CP285" s="551">
        <v>2096599.5422067991</v>
      </c>
      <c r="CQ285" s="551"/>
      <c r="CR285" s="551">
        <v>51.239445376122426</v>
      </c>
      <c r="CS285" s="551">
        <v>9367.1195348664696</v>
      </c>
      <c r="CT285" s="551">
        <v>50698.64149668684</v>
      </c>
      <c r="CU285" s="551">
        <v>345562.80858522328</v>
      </c>
      <c r="CV285" s="551"/>
      <c r="CW285" s="551">
        <v>7.8776371786000032</v>
      </c>
      <c r="CX285" s="551">
        <v>1504.6470658554033</v>
      </c>
      <c r="CY285" s="552"/>
    </row>
    <row r="286" spans="3:103" ht="12.75" customHeight="1" x14ac:dyDescent="0.3">
      <c r="BM286" s="562"/>
      <c r="BN286" s="591">
        <v>273</v>
      </c>
      <c r="BO286" s="549" t="s">
        <v>2549</v>
      </c>
      <c r="BP286" s="549" t="s">
        <v>620</v>
      </c>
      <c r="BQ286" s="553" t="s">
        <v>2408</v>
      </c>
      <c r="BR286" s="551">
        <v>190156.27839776876</v>
      </c>
      <c r="BS286" s="551"/>
      <c r="BT286" s="551">
        <v>13025240.86374145</v>
      </c>
      <c r="BU286" s="551">
        <v>551444.51687978907</v>
      </c>
      <c r="BV286" s="551">
        <v>101933.87340112995</v>
      </c>
      <c r="BW286" s="551">
        <v>1315.2752830260438</v>
      </c>
      <c r="BX286" s="551">
        <v>211069.07356974753</v>
      </c>
      <c r="BY286" s="551">
        <v>8073016.0966991205</v>
      </c>
      <c r="BZ286" s="551">
        <v>78173.730951758349</v>
      </c>
      <c r="CA286" s="551">
        <v>176065.29585420471</v>
      </c>
      <c r="CB286" s="551">
        <v>1.432312874193247E-29</v>
      </c>
      <c r="CC286" s="551">
        <v>630877.97831253672</v>
      </c>
      <c r="CD286" s="551">
        <v>6499252.1080557108</v>
      </c>
      <c r="CE286" s="551">
        <v>4937.1705786942939</v>
      </c>
      <c r="CF286" s="551">
        <v>775.08302233641189</v>
      </c>
      <c r="CG286" s="551">
        <v>101093.608785975</v>
      </c>
      <c r="CH286" s="551">
        <v>713594.35197798605</v>
      </c>
      <c r="CI286" s="551">
        <v>37442.077328138861</v>
      </c>
      <c r="CJ286" s="551">
        <v>25300.492052645317</v>
      </c>
      <c r="CK286" s="551">
        <v>1577682.3341135355</v>
      </c>
      <c r="CL286" s="551"/>
      <c r="CM286" s="551">
        <v>37.624882774399516</v>
      </c>
      <c r="CN286" s="551">
        <v>52141.384910726818</v>
      </c>
      <c r="CO286" s="551">
        <v>860.36095998074052</v>
      </c>
      <c r="CP286" s="551">
        <v>178672.63233729126</v>
      </c>
      <c r="CQ286" s="551"/>
      <c r="CR286" s="551">
        <v>4.3666357835880989</v>
      </c>
      <c r="CS286" s="551">
        <v>5652.8237594391603</v>
      </c>
      <c r="CT286" s="551">
        <v>1711.960623342876</v>
      </c>
      <c r="CU286" s="551">
        <v>29252.333649010969</v>
      </c>
      <c r="CV286" s="551"/>
      <c r="CW286" s="551">
        <v>0.66685206101232763</v>
      </c>
      <c r="CX286" s="551">
        <v>1023.9549890096845</v>
      </c>
      <c r="CY286" s="554"/>
    </row>
    <row r="287" spans="3:103" ht="12.75" customHeight="1" x14ac:dyDescent="0.3">
      <c r="BM287" s="562"/>
      <c r="BN287" s="591">
        <v>274</v>
      </c>
      <c r="BO287" s="549" t="s">
        <v>2730</v>
      </c>
      <c r="BP287" s="549" t="s">
        <v>620</v>
      </c>
      <c r="BQ287" s="553" t="s">
        <v>2408</v>
      </c>
      <c r="BR287" s="551">
        <v>17824.350880574901</v>
      </c>
      <c r="BS287" s="551"/>
      <c r="BT287" s="551">
        <v>16293555.624992885</v>
      </c>
      <c r="BU287" s="551">
        <v>691313.64635770221</v>
      </c>
      <c r="BV287" s="551">
        <v>127920.35802806682</v>
      </c>
      <c r="BW287" s="551">
        <v>1654.0764215286749</v>
      </c>
      <c r="BX287" s="551">
        <v>591424.12670826702</v>
      </c>
      <c r="BY287" s="551">
        <v>11685395.781364424</v>
      </c>
      <c r="BZ287" s="551">
        <v>219045.97285491359</v>
      </c>
      <c r="CA287" s="551">
        <v>1121.6789687099454</v>
      </c>
      <c r="CB287" s="551">
        <v>1.3439915312579601E-30</v>
      </c>
      <c r="CC287" s="551">
        <v>111402.88267413745</v>
      </c>
      <c r="CD287" s="551">
        <v>4177423.5539459069</v>
      </c>
      <c r="CE287" s="551">
        <v>874.62165809745488</v>
      </c>
      <c r="CF287" s="551">
        <v>499.75708129918502</v>
      </c>
      <c r="CG287" s="551">
        <v>19286.073207577603</v>
      </c>
      <c r="CH287" s="551">
        <v>132448.99360099895</v>
      </c>
      <c r="CI287" s="551">
        <v>7142.9900768805901</v>
      </c>
      <c r="CJ287" s="551">
        <v>10.398828194103833</v>
      </c>
      <c r="CK287" s="551">
        <v>596524.13834530895</v>
      </c>
      <c r="CL287" s="551"/>
      <c r="CM287" s="551">
        <v>14.270829472716727</v>
      </c>
      <c r="CN287" s="551">
        <v>641.74618016851412</v>
      </c>
      <c r="CO287" s="551">
        <v>2.021174286217714E-2</v>
      </c>
      <c r="CP287" s="551">
        <v>15828.536901032967</v>
      </c>
      <c r="CQ287" s="551"/>
      <c r="CR287" s="551">
        <v>0.38807676212398268</v>
      </c>
      <c r="CS287" s="551">
        <v>3.9365100465831868</v>
      </c>
      <c r="CT287" s="551">
        <v>4.845551064671394E-2</v>
      </c>
      <c r="CU287" s="551">
        <v>2721.6666783823334</v>
      </c>
      <c r="CV287" s="551"/>
      <c r="CW287" s="551">
        <v>6.2234282381071558E-2</v>
      </c>
      <c r="CX287" s="551">
        <v>0.87009817027273251</v>
      </c>
      <c r="CY287" s="554"/>
    </row>
    <row r="288" spans="3:103" ht="12.75" customHeight="1" x14ac:dyDescent="0.3">
      <c r="BM288" s="562"/>
      <c r="BN288" s="591">
        <v>275</v>
      </c>
      <c r="BO288" s="549" t="s">
        <v>2416</v>
      </c>
      <c r="BP288" s="549" t="s">
        <v>620</v>
      </c>
      <c r="BQ288" s="553" t="s">
        <v>2408</v>
      </c>
      <c r="BR288" s="551">
        <v>135091.42421053295</v>
      </c>
      <c r="BS288" s="551"/>
      <c r="BT288" s="551">
        <v>12079108.109283431</v>
      </c>
      <c r="BU288" s="551">
        <v>508622.7280092552</v>
      </c>
      <c r="BV288" s="551">
        <v>94975.419786125611</v>
      </c>
      <c r="BW288" s="551">
        <v>1218.7561052701569</v>
      </c>
      <c r="BX288" s="551">
        <v>49013.874152722936</v>
      </c>
      <c r="BY288" s="551">
        <v>3307798.9604774439</v>
      </c>
      <c r="BZ288" s="551">
        <v>18153.286723230718</v>
      </c>
      <c r="CA288" s="551">
        <v>56499.753930971056</v>
      </c>
      <c r="CB288" s="551">
        <v>3.5253489740796015E-30</v>
      </c>
      <c r="CC288" s="551">
        <v>64434.039328442661</v>
      </c>
      <c r="CD288" s="551">
        <v>3643821.4488737886</v>
      </c>
      <c r="CE288" s="551">
        <v>506.63094314316936</v>
      </c>
      <c r="CF288" s="551">
        <v>436.56421476789262</v>
      </c>
      <c r="CG288" s="551">
        <v>10890.069509937852</v>
      </c>
      <c r="CH288" s="551">
        <v>46563.089443762095</v>
      </c>
      <c r="CI288" s="551">
        <v>4033.3590777547597</v>
      </c>
      <c r="CJ288" s="551">
        <v>3552.2083550138705</v>
      </c>
      <c r="CK288" s="551">
        <v>579645.59028056019</v>
      </c>
      <c r="CL288" s="551"/>
      <c r="CM288" s="551">
        <v>13.887508235527301</v>
      </c>
      <c r="CN288" s="551">
        <v>2457.4584420240835</v>
      </c>
      <c r="CO288" s="551">
        <v>66.631041068936767</v>
      </c>
      <c r="CP288" s="551">
        <v>22446.530223226819</v>
      </c>
      <c r="CQ288" s="551"/>
      <c r="CR288" s="551">
        <v>0.55115935017164985</v>
      </c>
      <c r="CS288" s="551">
        <v>164.14779527547134</v>
      </c>
      <c r="CT288" s="551">
        <v>97.811208499809425</v>
      </c>
      <c r="CU288" s="551">
        <v>3564.8783430555909</v>
      </c>
      <c r="CV288" s="551"/>
      <c r="CW288" s="551">
        <v>8.1632169310418487E-2</v>
      </c>
      <c r="CX288" s="551">
        <v>18.180824610145685</v>
      </c>
      <c r="CY288" s="554"/>
    </row>
    <row r="289" spans="65:103" ht="12.75" customHeight="1" x14ac:dyDescent="0.3">
      <c r="BM289" s="562"/>
      <c r="BN289" s="591">
        <v>276</v>
      </c>
      <c r="BO289" s="549" t="s">
        <v>2756</v>
      </c>
      <c r="BP289" s="549" t="s">
        <v>620</v>
      </c>
      <c r="BQ289" s="553" t="s">
        <v>2408</v>
      </c>
      <c r="BR289" s="551">
        <v>95924.881560238486</v>
      </c>
      <c r="BS289" s="551"/>
      <c r="BT289" s="551">
        <v>15579352.158402544</v>
      </c>
      <c r="BU289" s="551">
        <v>658018.24191251467</v>
      </c>
      <c r="BV289" s="551">
        <v>122968.48699757621</v>
      </c>
      <c r="BW289" s="551">
        <v>1582.6920621417398</v>
      </c>
      <c r="BX289" s="551">
        <v>233063.22695568367</v>
      </c>
      <c r="BY289" s="551">
        <v>9899277.4021913745</v>
      </c>
      <c r="BZ289" s="551">
        <v>86319.713687290263</v>
      </c>
      <c r="CA289" s="551">
        <v>30125.87539387968</v>
      </c>
      <c r="CB289" s="551">
        <v>3.8782368898593534E-30</v>
      </c>
      <c r="CC289" s="551">
        <v>221030.37279370319</v>
      </c>
      <c r="CD289" s="551">
        <v>4599155.2574496325</v>
      </c>
      <c r="CE289" s="551">
        <v>1744.6021019746206</v>
      </c>
      <c r="CF289" s="551">
        <v>553.10370251792745</v>
      </c>
      <c r="CG289" s="551">
        <v>37892.953724739535</v>
      </c>
      <c r="CH289" s="551">
        <v>263814.89097340161</v>
      </c>
      <c r="CI289" s="551">
        <v>14034.427305459081</v>
      </c>
      <c r="CJ289" s="551">
        <v>1414.2689636929742</v>
      </c>
      <c r="CK289" s="551">
        <v>713049.54101544013</v>
      </c>
      <c r="CL289" s="551"/>
      <c r="CM289" s="551">
        <v>17.148215912954459</v>
      </c>
      <c r="CN289" s="551">
        <v>6384.9051529959133</v>
      </c>
      <c r="CO289" s="551">
        <v>17.610789404921935</v>
      </c>
      <c r="CP289" s="551">
        <v>23682.661376995122</v>
      </c>
      <c r="CQ289" s="551"/>
      <c r="CR289" s="551">
        <v>0.58374451797768989</v>
      </c>
      <c r="CS289" s="551">
        <v>252.99194934156446</v>
      </c>
      <c r="CT289" s="551">
        <v>30.130788060016915</v>
      </c>
      <c r="CU289" s="551">
        <v>3867.0461166450204</v>
      </c>
      <c r="CV289" s="551"/>
      <c r="CW289" s="551">
        <v>8.8876193043472621E-2</v>
      </c>
      <c r="CX289" s="551">
        <v>39.49619278156775</v>
      </c>
      <c r="CY289" s="554"/>
    </row>
    <row r="290" spans="65:103" ht="12.75" customHeight="1" x14ac:dyDescent="0.3">
      <c r="BM290" s="562"/>
      <c r="BN290" s="591">
        <v>277</v>
      </c>
      <c r="BO290" s="549" t="s">
        <v>2820</v>
      </c>
      <c r="BP290" s="549" t="s">
        <v>620</v>
      </c>
      <c r="BQ290" s="553" t="s">
        <v>2408</v>
      </c>
      <c r="BR290" s="551">
        <v>4.8668129691886266</v>
      </c>
      <c r="BS290" s="551"/>
      <c r="BT290" s="551">
        <v>8829052.4979021214</v>
      </c>
      <c r="BU290" s="551">
        <v>374852.32376313116</v>
      </c>
      <c r="BV290" s="551">
        <v>69901.448708648735</v>
      </c>
      <c r="BW290" s="551">
        <v>904.3194751029298</v>
      </c>
      <c r="BX290" s="551">
        <v>366291.30457140977</v>
      </c>
      <c r="BY290" s="551">
        <v>6656520.2517169714</v>
      </c>
      <c r="BZ290" s="551">
        <v>135663.44613755919</v>
      </c>
      <c r="CA290" s="551">
        <v>1.5477068859977454E-4</v>
      </c>
      <c r="CB290" s="551">
        <v>3.9106083074621726E-34</v>
      </c>
      <c r="CC290" s="551">
        <v>33.394334496891084</v>
      </c>
      <c r="CD290" s="551">
        <v>2082753.1599484829</v>
      </c>
      <c r="CE290" s="551">
        <v>0.26438990600050805</v>
      </c>
      <c r="CF290" s="551">
        <v>251.22883399326957</v>
      </c>
      <c r="CG290" s="551">
        <v>6.0362769571118724</v>
      </c>
      <c r="CH290" s="551">
        <v>41.02291499751945</v>
      </c>
      <c r="CI290" s="551">
        <v>2.235658132263656</v>
      </c>
      <c r="CJ290" s="551">
        <v>7.2196618013199547E-10</v>
      </c>
      <c r="CK290" s="551">
        <v>295080.13347223541</v>
      </c>
      <c r="CL290" s="551"/>
      <c r="CM290" s="551">
        <v>7.1177444596304653</v>
      </c>
      <c r="CN290" s="551">
        <v>1.0106504002713284E-4</v>
      </c>
      <c r="CO290" s="551">
        <v>3.9929825132760746E-15</v>
      </c>
      <c r="CP290" s="551">
        <v>7800.2846406429217</v>
      </c>
      <c r="CQ290" s="551"/>
      <c r="CR290" s="551">
        <v>0.19285345501687517</v>
      </c>
      <c r="CS290" s="551">
        <v>3.0201553933443605E-10</v>
      </c>
      <c r="CT290" s="551">
        <v>6.8600229946167746E-16</v>
      </c>
      <c r="CU290" s="551">
        <v>1341.533088374081</v>
      </c>
      <c r="CV290" s="551"/>
      <c r="CW290" s="551">
        <v>3.0922340725147195E-2</v>
      </c>
      <c r="CX290" s="551">
        <v>7.0081279586802961E-11</v>
      </c>
      <c r="CY290" s="554"/>
    </row>
    <row r="291" spans="65:103" ht="12.75" customHeight="1" x14ac:dyDescent="0.3">
      <c r="BM291" s="562"/>
      <c r="BN291" s="591">
        <v>278</v>
      </c>
      <c r="BO291" s="549" t="s">
        <v>2565</v>
      </c>
      <c r="BP291" s="549" t="s">
        <v>620</v>
      </c>
      <c r="BQ291" s="553" t="s">
        <v>2408</v>
      </c>
      <c r="BR291" s="551">
        <v>1348818.4939758142</v>
      </c>
      <c r="BS291" s="551"/>
      <c r="BT291" s="551">
        <v>4693993.8369544912</v>
      </c>
      <c r="BU291" s="551">
        <v>167913.9946317756</v>
      </c>
      <c r="BV291" s="551">
        <v>37396.203898543725</v>
      </c>
      <c r="BW291" s="551">
        <v>407.57854164591424</v>
      </c>
      <c r="BX291" s="551">
        <v>5044.4664374001686</v>
      </c>
      <c r="BY291" s="551">
        <v>13900186.873875789</v>
      </c>
      <c r="BZ291" s="551">
        <v>1868.3209027408029</v>
      </c>
      <c r="CA291" s="551">
        <v>4023159.7585755056</v>
      </c>
      <c r="CB291" s="551">
        <v>9.0266123474158476E-29</v>
      </c>
      <c r="CC291" s="551">
        <v>114534.25323437208</v>
      </c>
      <c r="CD291" s="551">
        <v>20072920.304193921</v>
      </c>
      <c r="CE291" s="551">
        <v>912.4737773620443</v>
      </c>
      <c r="CF291" s="551">
        <v>2436.1553669481391</v>
      </c>
      <c r="CG291" s="551">
        <v>7767.4077946445304</v>
      </c>
      <c r="CH291" s="551">
        <v>54871.090056456545</v>
      </c>
      <c r="CI291" s="551">
        <v>2876.8177017201956</v>
      </c>
      <c r="CJ291" s="551">
        <v>2134372.564388725</v>
      </c>
      <c r="CK291" s="551">
        <v>15279731.913911447</v>
      </c>
      <c r="CL291" s="551"/>
      <c r="CM291" s="551">
        <v>370.83514763162827</v>
      </c>
      <c r="CN291" s="551">
        <v>14790.495139000586</v>
      </c>
      <c r="CO291" s="551">
        <v>223940.24475271185</v>
      </c>
      <c r="CP291" s="551">
        <v>12219640.349912796</v>
      </c>
      <c r="CQ291" s="551"/>
      <c r="CR291" s="551">
        <v>304.0060427434708</v>
      </c>
      <c r="CS291" s="551">
        <v>4989.0348818888042</v>
      </c>
      <c r="CT291" s="551">
        <v>715304.38903887488</v>
      </c>
      <c r="CU291" s="551">
        <v>1613390.6278153001</v>
      </c>
      <c r="CV291" s="551"/>
      <c r="CW291" s="551">
        <v>37.410597613699963</v>
      </c>
      <c r="CX291" s="551">
        <v>1432.3012666105128</v>
      </c>
      <c r="CY291" s="554"/>
    </row>
    <row r="292" spans="65:103" ht="12.75" customHeight="1" x14ac:dyDescent="0.3">
      <c r="BM292" s="562"/>
      <c r="BN292" s="591">
        <v>279</v>
      </c>
      <c r="BO292" s="549" t="s">
        <v>2716</v>
      </c>
      <c r="BP292" s="554" t="s">
        <v>620</v>
      </c>
      <c r="BQ292" s="553" t="s">
        <v>2408</v>
      </c>
      <c r="BR292" s="551">
        <v>245264.04424404795</v>
      </c>
      <c r="BS292" s="551"/>
      <c r="BT292" s="551">
        <v>5798760.6565678492</v>
      </c>
      <c r="BU292" s="551">
        <v>238130.05727941421</v>
      </c>
      <c r="BV292" s="551">
        <v>46457.361748170355</v>
      </c>
      <c r="BW292" s="551">
        <v>581.20282385406017</v>
      </c>
      <c r="BX292" s="551">
        <v>9460.6444539625081</v>
      </c>
      <c r="BY292" s="551">
        <v>5410235.5342532471</v>
      </c>
      <c r="BZ292" s="551">
        <v>3503.9423903564848</v>
      </c>
      <c r="CA292" s="551">
        <v>276253.64367945213</v>
      </c>
      <c r="CB292" s="551">
        <v>9.6114443643974166E-30</v>
      </c>
      <c r="CC292" s="551">
        <v>53770.876110105077</v>
      </c>
      <c r="CD292" s="551">
        <v>3491671.4658116936</v>
      </c>
      <c r="CE292" s="551">
        <v>430.7908518579456</v>
      </c>
      <c r="CF292" s="551">
        <v>426.10524246403827</v>
      </c>
      <c r="CG292" s="551">
        <v>5501.3697931025026</v>
      </c>
      <c r="CH292" s="551">
        <v>38709.903487212818</v>
      </c>
      <c r="CI292" s="551">
        <v>2037.5443678157399</v>
      </c>
      <c r="CJ292" s="551">
        <v>48563.386041783437</v>
      </c>
      <c r="CK292" s="551">
        <v>943447.93066818535</v>
      </c>
      <c r="CL292" s="551"/>
      <c r="CM292" s="551">
        <v>23.023543574333836</v>
      </c>
      <c r="CN292" s="551">
        <v>3471.1664449222762</v>
      </c>
      <c r="CO292" s="551">
        <v>2508.2905690269627</v>
      </c>
      <c r="CP292" s="551">
        <v>161565.56174752614</v>
      </c>
      <c r="CQ292" s="551"/>
      <c r="CR292" s="551">
        <v>4.0420477541099995</v>
      </c>
      <c r="CS292" s="551">
        <v>577.150354437023</v>
      </c>
      <c r="CT292" s="551">
        <v>3892.2897921247363</v>
      </c>
      <c r="CU292" s="551">
        <v>22936.606827422678</v>
      </c>
      <c r="CV292" s="551"/>
      <c r="CW292" s="551">
        <v>0.53469050197481482</v>
      </c>
      <c r="CX292" s="551">
        <v>80.291040213965871</v>
      </c>
      <c r="CY292" s="554"/>
    </row>
    <row r="293" spans="65:103" ht="12.75" customHeight="1" x14ac:dyDescent="0.3">
      <c r="BM293" s="562"/>
      <c r="BN293" s="591">
        <v>280</v>
      </c>
      <c r="BO293" s="549" t="s">
        <v>2496</v>
      </c>
      <c r="BP293" s="554" t="s">
        <v>620</v>
      </c>
      <c r="BQ293" s="553" t="s">
        <v>2408</v>
      </c>
      <c r="BR293" s="551">
        <v>82.260390192399925</v>
      </c>
      <c r="BS293" s="551"/>
      <c r="BT293" s="551">
        <v>5646515.8503082395</v>
      </c>
      <c r="BU293" s="551">
        <v>241066.903735392</v>
      </c>
      <c r="BV293" s="551">
        <v>45356.541578423748</v>
      </c>
      <c r="BW293" s="551">
        <v>589.88836406217331</v>
      </c>
      <c r="BX293" s="551">
        <v>105150.17092794958</v>
      </c>
      <c r="BY293" s="551">
        <v>768393.05170585634</v>
      </c>
      <c r="BZ293" s="551">
        <v>38944.507751092417</v>
      </c>
      <c r="CA293" s="551">
        <v>4.5077024697689864E-2</v>
      </c>
      <c r="CB293" s="551">
        <v>6.6007123587141388E-33</v>
      </c>
      <c r="CC293" s="551">
        <v>138.38528280123862</v>
      </c>
      <c r="CD293" s="551">
        <v>1340894.5486977713</v>
      </c>
      <c r="CE293" s="551">
        <v>1.1116019151657337</v>
      </c>
      <c r="CF293" s="551">
        <v>164.0577946318659</v>
      </c>
      <c r="CG293" s="551">
        <v>29.858840938685688</v>
      </c>
      <c r="CH293" s="551">
        <v>81.501045646470359</v>
      </c>
      <c r="CI293" s="551">
        <v>11.058829977290994</v>
      </c>
      <c r="CJ293" s="551">
        <v>3.6788736638292727E-6</v>
      </c>
      <c r="CK293" s="551">
        <v>189975.34527913632</v>
      </c>
      <c r="CL293" s="551"/>
      <c r="CM293" s="551">
        <v>4.648043789125972</v>
      </c>
      <c r="CN293" s="551">
        <v>8.7465388968130196E-3</v>
      </c>
      <c r="CO293" s="551">
        <v>3.5345085255201857E-10</v>
      </c>
      <c r="CP293" s="551">
        <v>5021.8971417690227</v>
      </c>
      <c r="CQ293" s="551"/>
      <c r="CR293" s="551">
        <v>0.12596732166084337</v>
      </c>
      <c r="CS293" s="551">
        <v>3.5409609395259663E-6</v>
      </c>
      <c r="CT293" s="551">
        <v>6.9253293422178934E-10</v>
      </c>
      <c r="CU293" s="551">
        <v>863.69172538507462</v>
      </c>
      <c r="CV293" s="551"/>
      <c r="CW293" s="551">
        <v>2.0184475808573278E-2</v>
      </c>
      <c r="CX293" s="551">
        <v>3.9814781931182187E-7</v>
      </c>
      <c r="CY293" s="554"/>
    </row>
    <row r="294" spans="65:103" ht="12.75" customHeight="1" x14ac:dyDescent="0.3">
      <c r="BM294" s="562"/>
      <c r="BN294" s="591">
        <v>281</v>
      </c>
      <c r="BO294" s="549" t="s">
        <v>2874</v>
      </c>
      <c r="BP294" s="554" t="s">
        <v>620</v>
      </c>
      <c r="BQ294" s="553" t="s">
        <v>2408</v>
      </c>
      <c r="BR294" s="551">
        <v>1033315.0515154477</v>
      </c>
      <c r="BS294" s="551"/>
      <c r="BT294" s="551">
        <v>3185744.3578808876</v>
      </c>
      <c r="BU294" s="551">
        <v>116854.74159479896</v>
      </c>
      <c r="BV294" s="551">
        <v>26193.909393385715</v>
      </c>
      <c r="BW294" s="551">
        <v>292.76356268761845</v>
      </c>
      <c r="BX294" s="551">
        <v>2067.0330190777022</v>
      </c>
      <c r="BY294" s="551">
        <v>908410.06001937774</v>
      </c>
      <c r="BZ294" s="551">
        <v>765.56778484359347</v>
      </c>
      <c r="CA294" s="551">
        <v>3172905.1874222225</v>
      </c>
      <c r="CB294" s="551">
        <v>6.9510180950083628E-29</v>
      </c>
      <c r="CC294" s="551">
        <v>91286.61606713885</v>
      </c>
      <c r="CD294" s="551">
        <v>15618824.936811276</v>
      </c>
      <c r="CE294" s="551">
        <v>750.57916815459271</v>
      </c>
      <c r="CF294" s="551">
        <v>1956.5414167577981</v>
      </c>
      <c r="CG294" s="551">
        <v>2009.5273479444422</v>
      </c>
      <c r="CH294" s="551">
        <v>5568.0663827847102</v>
      </c>
      <c r="CI294" s="551">
        <v>744.26938812757112</v>
      </c>
      <c r="CJ294" s="551">
        <v>1756228.1070434661</v>
      </c>
      <c r="CK294" s="551">
        <v>12320151.099174574</v>
      </c>
      <c r="CL294" s="551"/>
      <c r="CM294" s="551">
        <v>308.65143255565414</v>
      </c>
      <c r="CN294" s="551">
        <v>3992.2837865203164</v>
      </c>
      <c r="CO294" s="551">
        <v>194418.68620686678</v>
      </c>
      <c r="CP294" s="551">
        <v>10154810.986257043</v>
      </c>
      <c r="CQ294" s="551"/>
      <c r="CR294" s="551">
        <v>256.91307562563799</v>
      </c>
      <c r="CS294" s="551">
        <v>1855.4652707648609</v>
      </c>
      <c r="CT294" s="551">
        <v>615859.76204777521</v>
      </c>
      <c r="CU294" s="551">
        <v>1387226.4298847246</v>
      </c>
      <c r="CV294" s="551"/>
      <c r="CW294" s="551">
        <v>34.120537710757148</v>
      </c>
      <c r="CX294" s="551">
        <v>343.81526853626372</v>
      </c>
      <c r="CY294" s="554"/>
    </row>
    <row r="295" spans="65:103" ht="12.75" customHeight="1" x14ac:dyDescent="0.3">
      <c r="BM295" s="562"/>
      <c r="BN295" s="591">
        <v>282</v>
      </c>
      <c r="BO295" s="549" t="s">
        <v>2600</v>
      </c>
      <c r="BP295" s="554" t="s">
        <v>620</v>
      </c>
      <c r="BQ295" s="553" t="s">
        <v>2408</v>
      </c>
      <c r="BR295" s="551">
        <v>94649.328784714991</v>
      </c>
      <c r="BS295" s="551"/>
      <c r="BT295" s="551">
        <v>11498982.751255775</v>
      </c>
      <c r="BU295" s="551">
        <v>487371.25905294123</v>
      </c>
      <c r="BV295" s="551">
        <v>95281.601331196143</v>
      </c>
      <c r="BW295" s="551">
        <v>1229.4948357576118</v>
      </c>
      <c r="BX295" s="551">
        <v>352669.61813481565</v>
      </c>
      <c r="BY295" s="551">
        <v>8986539.5382217895</v>
      </c>
      <c r="BZ295" s="551">
        <v>130618.3770869688</v>
      </c>
      <c r="CA295" s="551">
        <v>46371.074800886898</v>
      </c>
      <c r="CB295" s="551">
        <v>6.8902876702019759E-30</v>
      </c>
      <c r="CC295" s="551">
        <v>419372.19708602841</v>
      </c>
      <c r="CD295" s="551">
        <v>4392135.8380312724</v>
      </c>
      <c r="CE295" s="551">
        <v>3474.9555988137308</v>
      </c>
      <c r="CF295" s="551">
        <v>554.00356817294278</v>
      </c>
      <c r="CG295" s="551">
        <v>89475.16502569789</v>
      </c>
      <c r="CH295" s="551">
        <v>597566.33343724615</v>
      </c>
      <c r="CI295" s="551">
        <v>33138.950009517721</v>
      </c>
      <c r="CJ295" s="551">
        <v>3438.761566804671</v>
      </c>
      <c r="CK295" s="551">
        <v>798578.74003067322</v>
      </c>
      <c r="CL295" s="551"/>
      <c r="CM295" s="551">
        <v>20.143050085535513</v>
      </c>
      <c r="CN295" s="551">
        <v>23815.574666863951</v>
      </c>
      <c r="CO295" s="551">
        <v>57.159952611308512</v>
      </c>
      <c r="CP295" s="551">
        <v>39883.112872020181</v>
      </c>
      <c r="CQ295" s="551"/>
      <c r="CR295" s="551">
        <v>1.031901962336669</v>
      </c>
      <c r="CS295" s="551">
        <v>1267.2936286864544</v>
      </c>
      <c r="CT295" s="551">
        <v>123.75256519858334</v>
      </c>
      <c r="CU295" s="551">
        <v>6609.3679784007782</v>
      </c>
      <c r="CV295" s="551"/>
      <c r="CW295" s="551">
        <v>0.15909368085048056</v>
      </c>
      <c r="CX295" s="551">
        <v>247.65180474033468</v>
      </c>
      <c r="CY295" s="554"/>
    </row>
    <row r="296" spans="65:103" ht="12.75" customHeight="1" x14ac:dyDescent="0.3">
      <c r="BM296" s="562"/>
      <c r="BN296" s="591">
        <v>283</v>
      </c>
      <c r="BO296" s="549" t="s">
        <v>2728</v>
      </c>
      <c r="BP296" s="554" t="s">
        <v>620</v>
      </c>
      <c r="BQ296" s="553" t="s">
        <v>2408</v>
      </c>
      <c r="BR296" s="551">
        <v>460387.09497843566</v>
      </c>
      <c r="BS296" s="551"/>
      <c r="BT296" s="551">
        <v>3235187.9528046786</v>
      </c>
      <c r="BU296" s="551">
        <v>107585.75795165426</v>
      </c>
      <c r="BV296" s="551">
        <v>26846.085813919923</v>
      </c>
      <c r="BW296" s="551">
        <v>271.7948719679539</v>
      </c>
      <c r="BX296" s="551">
        <v>987.16586645361031</v>
      </c>
      <c r="BY296" s="551">
        <v>12581055.498180326</v>
      </c>
      <c r="BZ296" s="551">
        <v>365.61698757541137</v>
      </c>
      <c r="CA296" s="551">
        <v>288592.45409028517</v>
      </c>
      <c r="CB296" s="551">
        <v>3.9241036193576113E-30</v>
      </c>
      <c r="CC296" s="551">
        <v>4199.3995273876981</v>
      </c>
      <c r="CD296" s="551">
        <v>1369819.065214233</v>
      </c>
      <c r="CE296" s="551">
        <v>34.847261341168611</v>
      </c>
      <c r="CF296" s="551">
        <v>173.02931379470749</v>
      </c>
      <c r="CG296" s="551">
        <v>319.35352135340372</v>
      </c>
      <c r="CH296" s="551">
        <v>2201.4204419817356</v>
      </c>
      <c r="CI296" s="551">
        <v>118.27908198274208</v>
      </c>
      <c r="CJ296" s="551">
        <v>27374.981405106861</v>
      </c>
      <c r="CK296" s="551">
        <v>286257.85368885391</v>
      </c>
      <c r="CL296" s="551"/>
      <c r="CM296" s="551">
        <v>7.2307705071985318</v>
      </c>
      <c r="CN296" s="551">
        <v>108.72870769175213</v>
      </c>
      <c r="CO296" s="551">
        <v>785.46746156790778</v>
      </c>
      <c r="CP296" s="551">
        <v>37814.895356041481</v>
      </c>
      <c r="CQ296" s="551"/>
      <c r="CR296" s="551">
        <v>0.979811790542089</v>
      </c>
      <c r="CS296" s="551">
        <v>10.092290521438402</v>
      </c>
      <c r="CT296" s="551">
        <v>1187.9008697842039</v>
      </c>
      <c r="CU296" s="551">
        <v>2704.8912288715774</v>
      </c>
      <c r="CV296" s="551"/>
      <c r="CW296" s="551">
        <v>6.5199379888713244E-2</v>
      </c>
      <c r="CX296" s="551">
        <v>1.3587575604282551</v>
      </c>
      <c r="CY296" s="554"/>
    </row>
    <row r="297" spans="65:103" ht="12.75" customHeight="1" x14ac:dyDescent="0.3">
      <c r="BM297" s="562"/>
      <c r="BN297" s="591">
        <v>284</v>
      </c>
      <c r="BO297" s="549" t="s">
        <v>2850</v>
      </c>
      <c r="BP297" s="554" t="s">
        <v>620</v>
      </c>
      <c r="BQ297" s="553" t="s">
        <v>2408</v>
      </c>
      <c r="BR297" s="551">
        <v>236834.86378759015</v>
      </c>
      <c r="BS297" s="551"/>
      <c r="BT297" s="551">
        <v>15829796.140295625</v>
      </c>
      <c r="BU297" s="551">
        <v>669564.27635645005</v>
      </c>
      <c r="BV297" s="551">
        <v>133247.29386142196</v>
      </c>
      <c r="BW297" s="551">
        <v>1715.3796033290143</v>
      </c>
      <c r="BX297" s="551">
        <v>262966.1566699777</v>
      </c>
      <c r="BY297" s="551">
        <v>11874468.185849719</v>
      </c>
      <c r="BZ297" s="551">
        <v>97394.872840732482</v>
      </c>
      <c r="CA297" s="551">
        <v>197722.11075140041</v>
      </c>
      <c r="CB297" s="551">
        <v>1.5030535526001476E-29</v>
      </c>
      <c r="CC297" s="551">
        <v>532926.21364389441</v>
      </c>
      <c r="CD297" s="551">
        <v>7288667.4338739654</v>
      </c>
      <c r="CE297" s="551">
        <v>4485.9058933235765</v>
      </c>
      <c r="CF297" s="551">
        <v>933.65431019947437</v>
      </c>
      <c r="CG297" s="551">
        <v>113537.33300112514</v>
      </c>
      <c r="CH297" s="551">
        <v>762373.01049071946</v>
      </c>
      <c r="CI297" s="551">
        <v>42050.864074490812</v>
      </c>
      <c r="CJ297" s="551">
        <v>25477.625090286314</v>
      </c>
      <c r="CK297" s="551">
        <v>1629130.6710042935</v>
      </c>
      <c r="CL297" s="551"/>
      <c r="CM297" s="551">
        <v>41.731554628612059</v>
      </c>
      <c r="CN297" s="551">
        <v>52510.487264586875</v>
      </c>
      <c r="CO297" s="551">
        <v>832.04212669184574</v>
      </c>
      <c r="CP297" s="551">
        <v>160923.59097441306</v>
      </c>
      <c r="CQ297" s="551"/>
      <c r="CR297" s="551">
        <v>4.229476700846754</v>
      </c>
      <c r="CS297" s="551">
        <v>5532.6971839015378</v>
      </c>
      <c r="CT297" s="551">
        <v>1497.6310300436139</v>
      </c>
      <c r="CU297" s="551">
        <v>25246.657104622056</v>
      </c>
      <c r="CV297" s="551"/>
      <c r="CW297" s="551">
        <v>0.61686631093018229</v>
      </c>
      <c r="CX297" s="551">
        <v>889.06909696618561</v>
      </c>
      <c r="CY297" s="554"/>
    </row>
    <row r="298" spans="65:103" ht="12.75" customHeight="1" x14ac:dyDescent="0.3">
      <c r="BM298" s="562"/>
      <c r="BN298" s="591">
        <v>285</v>
      </c>
      <c r="BO298" s="549" t="s">
        <v>2519</v>
      </c>
      <c r="BP298" s="554" t="s">
        <v>620</v>
      </c>
      <c r="BQ298" s="553" t="s">
        <v>2408</v>
      </c>
      <c r="BR298" s="551">
        <v>1504544.7012886596</v>
      </c>
      <c r="BS298" s="551"/>
      <c r="BT298" s="551">
        <v>2463266.6843908201</v>
      </c>
      <c r="BU298" s="551">
        <v>74618.727470610029</v>
      </c>
      <c r="BV298" s="551">
        <v>20770.366995578333</v>
      </c>
      <c r="BW298" s="551">
        <v>191.49209095280557</v>
      </c>
      <c r="BX298" s="551">
        <v>77.414077257701649</v>
      </c>
      <c r="BY298" s="551">
        <v>13867006.737404421</v>
      </c>
      <c r="BZ298" s="551">
        <v>28.67188046581542</v>
      </c>
      <c r="CA298" s="551">
        <v>12229543.348736009</v>
      </c>
      <c r="CB298" s="551">
        <v>4.9035513652131024E-30</v>
      </c>
      <c r="CC298" s="551">
        <v>3910.5905132707785</v>
      </c>
      <c r="CD298" s="551">
        <v>1375527.0440311399</v>
      </c>
      <c r="CE298" s="551">
        <v>32.974261635884694</v>
      </c>
      <c r="CF298" s="551">
        <v>176.49895592725079</v>
      </c>
      <c r="CG298" s="551">
        <v>324.67057287627506</v>
      </c>
      <c r="CH298" s="551">
        <v>2188.3679373034233</v>
      </c>
      <c r="CI298" s="551">
        <v>120.24836032454627</v>
      </c>
      <c r="CJ298" s="551">
        <v>54621889.741426654</v>
      </c>
      <c r="CK298" s="551">
        <v>6205502.2611501841</v>
      </c>
      <c r="CL298" s="551"/>
      <c r="CM298" s="551">
        <v>159.22843095487116</v>
      </c>
      <c r="CN298" s="551">
        <v>5204.7882219355888</v>
      </c>
      <c r="CO298" s="551">
        <v>25567203.928318702</v>
      </c>
      <c r="CP298" s="551">
        <v>47827839.667056829</v>
      </c>
      <c r="CQ298" s="551"/>
      <c r="CR298" s="551">
        <v>1259.2025403860944</v>
      </c>
      <c r="CS298" s="551">
        <v>7526.3096827129375</v>
      </c>
      <c r="CT298" s="551">
        <v>79818994.749889404</v>
      </c>
      <c r="CU298" s="551">
        <v>2449174.957846751</v>
      </c>
      <c r="CV298" s="551"/>
      <c r="CW298" s="551">
        <v>59.940330337018231</v>
      </c>
      <c r="CX298" s="551">
        <v>2317.542547360938</v>
      </c>
      <c r="CY298" s="554"/>
    </row>
    <row r="299" spans="65:103" ht="12.75" customHeight="1" x14ac:dyDescent="0.3">
      <c r="BM299" s="562"/>
      <c r="BN299" s="591">
        <v>286</v>
      </c>
      <c r="BO299" s="549" t="s">
        <v>2568</v>
      </c>
      <c r="BP299" s="554" t="s">
        <v>620</v>
      </c>
      <c r="BQ299" s="553" t="s">
        <v>2408</v>
      </c>
      <c r="BR299" s="551">
        <v>734673.07204995339</v>
      </c>
      <c r="BS299" s="551"/>
      <c r="BT299" s="551">
        <v>2376327.284339787</v>
      </c>
      <c r="BU299" s="551">
        <v>85831.798460990001</v>
      </c>
      <c r="BV299" s="551">
        <v>20533.618782369871</v>
      </c>
      <c r="BW299" s="551">
        <v>225.73090625876819</v>
      </c>
      <c r="BX299" s="551">
        <v>1328.3173064315097</v>
      </c>
      <c r="BY299" s="551">
        <v>11314348.100631263</v>
      </c>
      <c r="BZ299" s="551">
        <v>491.96937275241089</v>
      </c>
      <c r="CA299" s="551">
        <v>2778375.3191846977</v>
      </c>
      <c r="CB299" s="551">
        <v>2.4901148883629979E-29</v>
      </c>
      <c r="CC299" s="551">
        <v>30122.627128073171</v>
      </c>
      <c r="CD299" s="551">
        <v>11001353.622531805</v>
      </c>
      <c r="CE299" s="551">
        <v>260.28676531531397</v>
      </c>
      <c r="CF299" s="551">
        <v>1446.6349114285147</v>
      </c>
      <c r="CG299" s="551">
        <v>2437.1070054052539</v>
      </c>
      <c r="CH299" s="551">
        <v>19138.727732111987</v>
      </c>
      <c r="CI299" s="551">
        <v>902.63222422416766</v>
      </c>
      <c r="CJ299" s="551">
        <v>2093473.7418078475</v>
      </c>
      <c r="CK299" s="551">
        <v>15505821.51696199</v>
      </c>
      <c r="CL299" s="551"/>
      <c r="CM299" s="551">
        <v>410.22991042579599</v>
      </c>
      <c r="CN299" s="551">
        <v>6591.0538358214826</v>
      </c>
      <c r="CO299" s="551">
        <v>330143.14477304876</v>
      </c>
      <c r="CP299" s="551">
        <v>21473324.39335981</v>
      </c>
      <c r="CQ299" s="551"/>
      <c r="CR299" s="551">
        <v>574.06974528757758</v>
      </c>
      <c r="CS299" s="551">
        <v>3306.176640630727</v>
      </c>
      <c r="CT299" s="551">
        <v>1027979.1448906161</v>
      </c>
      <c r="CU299" s="551">
        <v>2092120.6798862161</v>
      </c>
      <c r="CV299" s="551"/>
      <c r="CW299" s="551">
        <v>54.285123593386658</v>
      </c>
      <c r="CX299" s="551">
        <v>944.94775972968921</v>
      </c>
      <c r="CY299" s="554"/>
    </row>
    <row r="300" spans="65:103" ht="12.75" customHeight="1" x14ac:dyDescent="0.3">
      <c r="BM300" s="562"/>
      <c r="BN300" s="591">
        <v>287</v>
      </c>
      <c r="BO300" s="549" t="s">
        <v>2720</v>
      </c>
      <c r="BP300" s="554" t="s">
        <v>620</v>
      </c>
      <c r="BQ300" s="553" t="s">
        <v>2408</v>
      </c>
      <c r="BR300" s="551">
        <v>95827.884315067131</v>
      </c>
      <c r="BS300" s="551"/>
      <c r="BT300" s="551">
        <v>24510220.970333863</v>
      </c>
      <c r="BU300" s="551">
        <v>1126127.3003917963</v>
      </c>
      <c r="BV300" s="551">
        <v>212632.49041385346</v>
      </c>
      <c r="BW300" s="551">
        <v>2973.17625109249</v>
      </c>
      <c r="BX300" s="551">
        <v>487084.24654734397</v>
      </c>
      <c r="BY300" s="551">
        <v>13752710.193684582</v>
      </c>
      <c r="BZ300" s="551">
        <v>180401.57279531262</v>
      </c>
      <c r="CA300" s="551">
        <v>43722.243493117909</v>
      </c>
      <c r="CB300" s="551">
        <v>7.1492027709113448E-30</v>
      </c>
      <c r="CC300" s="551">
        <v>928084.5976038822</v>
      </c>
      <c r="CD300" s="551">
        <v>17100724.614731383</v>
      </c>
      <c r="CE300" s="551">
        <v>8051.3733247083192</v>
      </c>
      <c r="CF300" s="551">
        <v>2257.4476386152319</v>
      </c>
      <c r="CG300" s="551">
        <v>113662.81374624498</v>
      </c>
      <c r="CH300" s="551">
        <v>872018.91986847261</v>
      </c>
      <c r="CI300" s="551">
        <v>42097.338424535177</v>
      </c>
      <c r="CJ300" s="551">
        <v>3004.4468382988471</v>
      </c>
      <c r="CK300" s="551">
        <v>6313657.8987699552</v>
      </c>
      <c r="CL300" s="551"/>
      <c r="CM300" s="551">
        <v>167.68875538382821</v>
      </c>
      <c r="CN300" s="551">
        <v>28033.940263406774</v>
      </c>
      <c r="CO300" s="551">
        <v>45.737259517051349</v>
      </c>
      <c r="CP300" s="551">
        <v>433096.00233817374</v>
      </c>
      <c r="CQ300" s="551"/>
      <c r="CR300" s="551">
        <v>11.623901981435178</v>
      </c>
      <c r="CS300" s="551">
        <v>1335.0776223610073</v>
      </c>
      <c r="CT300" s="551">
        <v>100.49741854597234</v>
      </c>
      <c r="CU300" s="551">
        <v>78243.929131221492</v>
      </c>
      <c r="CV300" s="551"/>
      <c r="CW300" s="551">
        <v>2.0380417025454167</v>
      </c>
      <c r="CX300" s="551">
        <v>275.84238130025938</v>
      </c>
      <c r="CY300" s="554"/>
    </row>
    <row r="301" spans="65:103" ht="12.75" customHeight="1" x14ac:dyDescent="0.3">
      <c r="BM301" s="562"/>
      <c r="BN301" s="591">
        <v>288</v>
      </c>
      <c r="BO301" s="549" t="s">
        <v>2834</v>
      </c>
      <c r="BP301" s="554" t="s">
        <v>620</v>
      </c>
      <c r="BQ301" s="553" t="s">
        <v>2408</v>
      </c>
      <c r="BR301" s="551">
        <v>260317.26259556026</v>
      </c>
      <c r="BS301" s="551"/>
      <c r="BT301" s="551">
        <v>7677892.7089324361</v>
      </c>
      <c r="BU301" s="551">
        <v>299736.98669038009</v>
      </c>
      <c r="BV301" s="551">
        <v>65844.942603304939</v>
      </c>
      <c r="BW301" s="551">
        <v>782.07143856515381</v>
      </c>
      <c r="BX301" s="551">
        <v>5574.0078910371512</v>
      </c>
      <c r="BY301" s="551">
        <v>13420009.703037575</v>
      </c>
      <c r="BZ301" s="551">
        <v>2064.4473670507969</v>
      </c>
      <c r="CA301" s="551">
        <v>87130.385664140747</v>
      </c>
      <c r="CB301" s="551">
        <v>3.3514215316210866E-30</v>
      </c>
      <c r="CC301" s="551">
        <v>9518.6866360648255</v>
      </c>
      <c r="CD301" s="551">
        <v>2366227.5638170382</v>
      </c>
      <c r="CE301" s="551">
        <v>81.631431822610224</v>
      </c>
      <c r="CF301" s="551">
        <v>308.69713732034091</v>
      </c>
      <c r="CG301" s="551">
        <v>962.72533452434277</v>
      </c>
      <c r="CH301" s="551">
        <v>6513.6992850645402</v>
      </c>
      <c r="CI301" s="551">
        <v>356.56493871271954</v>
      </c>
      <c r="CJ301" s="551">
        <v>4341.4405577042953</v>
      </c>
      <c r="CK301" s="551">
        <v>376951.18466416199</v>
      </c>
      <c r="CL301" s="551"/>
      <c r="CM301" s="551">
        <v>9.8340374114523321</v>
      </c>
      <c r="CN301" s="551">
        <v>172.17507416713639</v>
      </c>
      <c r="CO301" s="551">
        <v>67.77040588853346</v>
      </c>
      <c r="CP301" s="551">
        <v>14275.506299615239</v>
      </c>
      <c r="CQ301" s="551"/>
      <c r="CR301" s="551">
        <v>0.38224047277854822</v>
      </c>
      <c r="CS301" s="551">
        <v>8.746582197821219</v>
      </c>
      <c r="CT301" s="551">
        <v>94.771232734235426</v>
      </c>
      <c r="CU301" s="551">
        <v>2159.2959889395638</v>
      </c>
      <c r="CV301" s="551"/>
      <c r="CW301" s="551">
        <v>5.3701748454633824E-2</v>
      </c>
      <c r="CX301" s="551">
        <v>1.0778055100002923</v>
      </c>
      <c r="CY301" s="554"/>
    </row>
    <row r="302" spans="65:103" ht="12.75" customHeight="1" x14ac:dyDescent="0.3">
      <c r="BM302" s="562"/>
      <c r="BN302" s="591">
        <v>289</v>
      </c>
      <c r="BO302" s="549" t="s">
        <v>2852</v>
      </c>
      <c r="BP302" s="554" t="s">
        <v>620</v>
      </c>
      <c r="BQ302" s="553" t="s">
        <v>2408</v>
      </c>
      <c r="BR302" s="551">
        <v>18358.234545738836</v>
      </c>
      <c r="BS302" s="551"/>
      <c r="BT302" s="551">
        <v>13231103.054016965</v>
      </c>
      <c r="BU302" s="551">
        <v>560419.73785604117</v>
      </c>
      <c r="BV302" s="551">
        <v>113937.09597270959</v>
      </c>
      <c r="BW302" s="551">
        <v>1468.1576577708956</v>
      </c>
      <c r="BX302" s="551">
        <v>532693.10428834241</v>
      </c>
      <c r="BY302" s="551">
        <v>11908131.62678308</v>
      </c>
      <c r="BZ302" s="551">
        <v>197293.74232901569</v>
      </c>
      <c r="CA302" s="551">
        <v>1336.9369899335622</v>
      </c>
      <c r="CB302" s="551">
        <v>1.0479809529761051E-30</v>
      </c>
      <c r="CC302" s="551">
        <v>79026.307468295257</v>
      </c>
      <c r="CD302" s="551">
        <v>3373922.3980973521</v>
      </c>
      <c r="CE302" s="551">
        <v>680.51982828826863</v>
      </c>
      <c r="CF302" s="551">
        <v>441.94107299302493</v>
      </c>
      <c r="CG302" s="551">
        <v>20102.154527338891</v>
      </c>
      <c r="CH302" s="551">
        <v>127764.45037649786</v>
      </c>
      <c r="CI302" s="551">
        <v>7445.242417532927</v>
      </c>
      <c r="CJ302" s="551">
        <v>14.355560892588297</v>
      </c>
      <c r="CK302" s="551">
        <v>482158.82181597373</v>
      </c>
      <c r="CL302" s="551"/>
      <c r="CM302" s="551">
        <v>12.629612896164506</v>
      </c>
      <c r="CN302" s="551">
        <v>774.73912506696013</v>
      </c>
      <c r="CO302" s="551">
        <v>3.559786156882741E-2</v>
      </c>
      <c r="CP302" s="551">
        <v>12813.453368914321</v>
      </c>
      <c r="CQ302" s="551"/>
      <c r="CR302" s="551">
        <v>0.34450521865756528</v>
      </c>
      <c r="CS302" s="551">
        <v>6.1472884195744077</v>
      </c>
      <c r="CT302" s="551">
        <v>7.4180632838560842E-2</v>
      </c>
      <c r="CU302" s="551">
        <v>2201.6505098767602</v>
      </c>
      <c r="CV302" s="551"/>
      <c r="CW302" s="551">
        <v>5.4969557583269268E-2</v>
      </c>
      <c r="CX302" s="551">
        <v>1.1521997981354299</v>
      </c>
      <c r="CY302" s="554"/>
    </row>
    <row r="303" spans="65:103" ht="12.75" customHeight="1" x14ac:dyDescent="0.3">
      <c r="BM303" s="562"/>
      <c r="BN303" s="591">
        <v>290</v>
      </c>
      <c r="BO303" s="549" t="s">
        <v>2802</v>
      </c>
      <c r="BP303" s="554" t="s">
        <v>620</v>
      </c>
      <c r="BQ303" s="553" t="s">
        <v>2408</v>
      </c>
      <c r="BR303" s="551">
        <v>735.24820820609318</v>
      </c>
      <c r="BS303" s="551"/>
      <c r="BT303" s="551">
        <v>20534952.355892085</v>
      </c>
      <c r="BU303" s="551">
        <v>944258.81049659522</v>
      </c>
      <c r="BV303" s="551">
        <v>185840.44942537174</v>
      </c>
      <c r="BW303" s="551">
        <v>2598.5543211901113</v>
      </c>
      <c r="BX303" s="551">
        <v>695691.43526368879</v>
      </c>
      <c r="BY303" s="551">
        <v>14922277.575182615</v>
      </c>
      <c r="BZ303" s="551">
        <v>257663.49454210687</v>
      </c>
      <c r="CA303" s="551">
        <v>3.0576926911802977</v>
      </c>
      <c r="CB303" s="551">
        <v>5.906622512066273E-32</v>
      </c>
      <c r="CC303" s="551">
        <v>10830.778524784046</v>
      </c>
      <c r="CD303" s="551">
        <v>11060868.970792353</v>
      </c>
      <c r="CE303" s="551">
        <v>98.01808710284152</v>
      </c>
      <c r="CF303" s="551">
        <v>1521.948672369509</v>
      </c>
      <c r="CG303" s="551">
        <v>1499.2482583701806</v>
      </c>
      <c r="CH303" s="551">
        <v>12001.026804810524</v>
      </c>
      <c r="CI303" s="551">
        <v>555.27713272969652</v>
      </c>
      <c r="CJ303" s="551">
        <v>1.927010583314927E-3</v>
      </c>
      <c r="CK303" s="551">
        <v>3811164.931870047</v>
      </c>
      <c r="CL303" s="551"/>
      <c r="CM303" s="551">
        <v>105.50868357871605</v>
      </c>
      <c r="CN303" s="551">
        <v>3.3913098638798429</v>
      </c>
      <c r="CO303" s="551">
        <v>1.4367175611713253E-6</v>
      </c>
      <c r="CP303" s="551">
        <v>237536.75563346798</v>
      </c>
      <c r="CQ303" s="551"/>
      <c r="CR303" s="551">
        <v>6.6471764015763792</v>
      </c>
      <c r="CS303" s="551">
        <v>5.3651969320078563E-3</v>
      </c>
      <c r="CT303" s="551">
        <v>1.9888152518342994E-6</v>
      </c>
      <c r="CU303" s="551">
        <v>43182.828389696544</v>
      </c>
      <c r="CV303" s="551"/>
      <c r="CW303" s="551">
        <v>1.1717669255032737</v>
      </c>
      <c r="CX303" s="551">
        <v>1.10029542654631E-3</v>
      </c>
      <c r="CY303" s="554"/>
    </row>
    <row r="304" spans="65:103" ht="12.75" customHeight="1" x14ac:dyDescent="0.3">
      <c r="BM304" s="562"/>
      <c r="BN304" s="591">
        <v>291</v>
      </c>
      <c r="BO304" s="549" t="s">
        <v>2467</v>
      </c>
      <c r="BP304" s="554" t="s">
        <v>620</v>
      </c>
      <c r="BQ304" s="553" t="s">
        <v>2408</v>
      </c>
      <c r="BR304" s="551">
        <v>153901.6870363194</v>
      </c>
      <c r="BS304" s="551"/>
      <c r="BT304" s="551">
        <v>3087565.0657923985</v>
      </c>
      <c r="BU304" s="551">
        <v>114126.63894717174</v>
      </c>
      <c r="BV304" s="551">
        <v>27551.893912397842</v>
      </c>
      <c r="BW304" s="551">
        <v>309.59919843052694</v>
      </c>
      <c r="BX304" s="551">
        <v>1324.6591581218261</v>
      </c>
      <c r="BY304" s="551">
        <v>8323149.8132729093</v>
      </c>
      <c r="BZ304" s="551">
        <v>490.6145030080836</v>
      </c>
      <c r="CA304" s="551">
        <v>49476.728887372927</v>
      </c>
      <c r="CB304" s="551">
        <v>1.1571593820187063E-30</v>
      </c>
      <c r="CC304" s="551">
        <v>2161.0490749702803</v>
      </c>
      <c r="CD304" s="551">
        <v>858128.13379022025</v>
      </c>
      <c r="CE304" s="551">
        <v>19.284126353394257</v>
      </c>
      <c r="CF304" s="551">
        <v>116.39516629203247</v>
      </c>
      <c r="CG304" s="551">
        <v>219.70093943646927</v>
      </c>
      <c r="CH304" s="551">
        <v>1456.1518026528142</v>
      </c>
      <c r="CI304" s="551">
        <v>81.370718309803436</v>
      </c>
      <c r="CJ304" s="551">
        <v>2367.6390585655927</v>
      </c>
      <c r="CK304" s="551">
        <v>134729.38437021512</v>
      </c>
      <c r="CL304" s="551"/>
      <c r="CM304" s="551">
        <v>3.6543970647094857</v>
      </c>
      <c r="CN304" s="551">
        <v>37.73549804178159</v>
      </c>
      <c r="CO304" s="551">
        <v>35.747860226418773</v>
      </c>
      <c r="CP304" s="551">
        <v>5197.913360970083</v>
      </c>
      <c r="CQ304" s="551"/>
      <c r="CR304" s="551">
        <v>0.14480638080260458</v>
      </c>
      <c r="CS304" s="551">
        <v>1.8648249093224212</v>
      </c>
      <c r="CT304" s="551">
        <v>49.957010933875054</v>
      </c>
      <c r="CU304" s="551">
        <v>732.67581824558852</v>
      </c>
      <c r="CV304" s="551"/>
      <c r="CW304" s="551">
        <v>1.8921268322046662E-2</v>
      </c>
      <c r="CX304" s="551">
        <v>0.22761852444880482</v>
      </c>
      <c r="CY304" s="554"/>
    </row>
    <row r="305" spans="65:103" ht="12.75" customHeight="1" x14ac:dyDescent="0.3">
      <c r="BM305" s="562"/>
      <c r="BN305" s="591">
        <v>292</v>
      </c>
      <c r="BO305" s="549" t="s">
        <v>2414</v>
      </c>
      <c r="BP305" s="554" t="s">
        <v>620</v>
      </c>
      <c r="BQ305" s="553" t="s">
        <v>2408</v>
      </c>
      <c r="BR305" s="551">
        <v>68643.276673616638</v>
      </c>
      <c r="BS305" s="551"/>
      <c r="BT305" s="551">
        <v>808949.07576686889</v>
      </c>
      <c r="BU305" s="551">
        <v>28279.033697104162</v>
      </c>
      <c r="BV305" s="551">
        <v>7298.8594404848172</v>
      </c>
      <c r="BW305" s="551">
        <v>77.549102660108034</v>
      </c>
      <c r="BX305" s="551">
        <v>128.20771137116233</v>
      </c>
      <c r="BY305" s="551">
        <v>2896449.8220294924</v>
      </c>
      <c r="BZ305" s="551">
        <v>47.484337544874947</v>
      </c>
      <c r="CA305" s="551">
        <v>30561.076757228067</v>
      </c>
      <c r="CB305" s="551">
        <v>1.8285866239796225E-31</v>
      </c>
      <c r="CC305" s="551">
        <v>258.60289368681094</v>
      </c>
      <c r="CD305" s="551">
        <v>186517.22970123985</v>
      </c>
      <c r="CE305" s="551">
        <v>2.3332818201607446</v>
      </c>
      <c r="CF305" s="551">
        <v>25.574147880911458</v>
      </c>
      <c r="CG305" s="551">
        <v>29.411451946097294</v>
      </c>
      <c r="CH305" s="551">
        <v>193.83304693765979</v>
      </c>
      <c r="CI305" s="551">
        <v>10.893130350406409</v>
      </c>
      <c r="CJ305" s="551">
        <v>2041.4842688933575</v>
      </c>
      <c r="CK305" s="551">
        <v>29207.788783595912</v>
      </c>
      <c r="CL305" s="551"/>
      <c r="CM305" s="551">
        <v>0.80085056303642066</v>
      </c>
      <c r="CN305" s="551">
        <v>7.051759725222527</v>
      </c>
      <c r="CO305" s="551">
        <v>43.745982487323971</v>
      </c>
      <c r="CP305" s="551">
        <v>1588.398694350529</v>
      </c>
      <c r="CQ305" s="551"/>
      <c r="CR305" s="551">
        <v>4.4740924056884269E-2</v>
      </c>
      <c r="CS305" s="551">
        <v>0.57255192091367113</v>
      </c>
      <c r="CT305" s="551">
        <v>60.814339539903855</v>
      </c>
      <c r="CU305" s="551">
        <v>162.72320119261337</v>
      </c>
      <c r="CV305" s="551"/>
      <c r="CW305" s="551">
        <v>4.2465126155692865E-3</v>
      </c>
      <c r="CX305" s="551">
        <v>5.7700361409107233E-2</v>
      </c>
      <c r="CY305" s="554"/>
    </row>
    <row r="306" spans="65:103" ht="12.75" customHeight="1" x14ac:dyDescent="0.3">
      <c r="BM306" s="562"/>
      <c r="BN306" s="591">
        <v>293</v>
      </c>
      <c r="BO306" s="549" t="s">
        <v>2418</v>
      </c>
      <c r="BP306" s="554" t="s">
        <v>620</v>
      </c>
      <c r="BQ306" s="553" t="s">
        <v>2408</v>
      </c>
      <c r="BR306" s="551">
        <v>97821.482063834774</v>
      </c>
      <c r="BS306" s="551"/>
      <c r="BT306" s="551">
        <v>7749088.8379301829</v>
      </c>
      <c r="BU306" s="551">
        <v>299032.80802919436</v>
      </c>
      <c r="BV306" s="551">
        <v>69129.367779806315</v>
      </c>
      <c r="BW306" s="551">
        <v>810.4285229578976</v>
      </c>
      <c r="BX306" s="551">
        <v>257258.04428011307</v>
      </c>
      <c r="BY306" s="551">
        <v>8803256.5312975589</v>
      </c>
      <c r="BZ306" s="551">
        <v>95280.757140782604</v>
      </c>
      <c r="CA306" s="551">
        <v>37631.630001444311</v>
      </c>
      <c r="CB306" s="551">
        <v>4.0770013573494541E-30</v>
      </c>
      <c r="CC306" s="551">
        <v>108527.36568767787</v>
      </c>
      <c r="CD306" s="551">
        <v>1600145.0338665859</v>
      </c>
      <c r="CE306" s="551">
        <v>968.1690755788195</v>
      </c>
      <c r="CF306" s="551">
        <v>216.83292627013458</v>
      </c>
      <c r="CG306" s="551">
        <v>51602.445135635855</v>
      </c>
      <c r="CH306" s="551">
        <v>278114.80433670868</v>
      </c>
      <c r="CI306" s="551">
        <v>19112.016716902166</v>
      </c>
      <c r="CJ306" s="551">
        <v>2179.1805484333104</v>
      </c>
      <c r="CK306" s="551">
        <v>176389.40437479611</v>
      </c>
      <c r="CL306" s="551"/>
      <c r="CM306" s="551">
        <v>4.7446817890008441</v>
      </c>
      <c r="CN306" s="551">
        <v>10725.41535534421</v>
      </c>
      <c r="CO306" s="551">
        <v>33.563065800169312</v>
      </c>
      <c r="CP306" s="551">
        <v>7118.3314207524782</v>
      </c>
      <c r="CQ306" s="551"/>
      <c r="CR306" s="551">
        <v>0.20055929961701699</v>
      </c>
      <c r="CS306" s="551">
        <v>553.75787687775244</v>
      </c>
      <c r="CT306" s="551">
        <v>57.309541432794063</v>
      </c>
      <c r="CU306" s="551">
        <v>1030.3837636871103</v>
      </c>
      <c r="CV306" s="551"/>
      <c r="CW306" s="551">
        <v>2.5488346483092228E-2</v>
      </c>
      <c r="CX306" s="551">
        <v>78.90370785180373</v>
      </c>
      <c r="CY306" s="554"/>
    </row>
    <row r="307" spans="65:103" ht="12.75" customHeight="1" x14ac:dyDescent="0.3">
      <c r="BM307" s="562"/>
      <c r="BN307" s="591">
        <v>294</v>
      </c>
      <c r="BO307" s="549" t="s">
        <v>2690</v>
      </c>
      <c r="BP307" s="554" t="s">
        <v>620</v>
      </c>
      <c r="BQ307" s="553" t="s">
        <v>2408</v>
      </c>
      <c r="BR307" s="551">
        <v>874846.85685855825</v>
      </c>
      <c r="BS307" s="551"/>
      <c r="BT307" s="551">
        <v>2574503.6042897496</v>
      </c>
      <c r="BU307" s="551">
        <v>87575.123316904122</v>
      </c>
      <c r="BV307" s="551">
        <v>23433.197584442802</v>
      </c>
      <c r="BW307" s="551">
        <v>242.22444189245772</v>
      </c>
      <c r="BX307" s="551">
        <v>2136.8256689803161</v>
      </c>
      <c r="BY307" s="551">
        <v>11690460.823754221</v>
      </c>
      <c r="BZ307" s="551">
        <v>791.41691443715399</v>
      </c>
      <c r="CA307" s="551">
        <v>2848122.7264888678</v>
      </c>
      <c r="CB307" s="551">
        <v>3.3411038168351484E-29</v>
      </c>
      <c r="CC307" s="551">
        <v>36601.419563021867</v>
      </c>
      <c r="CD307" s="551">
        <v>7471578.7906969087</v>
      </c>
      <c r="CE307" s="551">
        <v>333.14705602364046</v>
      </c>
      <c r="CF307" s="551">
        <v>1033.2837306337815</v>
      </c>
      <c r="CG307" s="551">
        <v>3588.5976373340463</v>
      </c>
      <c r="CH307" s="551">
        <v>23550.797639458637</v>
      </c>
      <c r="CI307" s="551">
        <v>1329.1102360496468</v>
      </c>
      <c r="CJ307" s="551">
        <v>1732231.0476071066</v>
      </c>
      <c r="CK307" s="551">
        <v>6340333.366286777</v>
      </c>
      <c r="CL307" s="551"/>
      <c r="CM307" s="551">
        <v>175.34358561323532</v>
      </c>
      <c r="CN307" s="551">
        <v>7833.85522782316</v>
      </c>
      <c r="CO307" s="551">
        <v>220371.29897583753</v>
      </c>
      <c r="CP307" s="551">
        <v>7798608.437925376</v>
      </c>
      <c r="CQ307" s="551"/>
      <c r="CR307" s="551">
        <v>221.59371220634893</v>
      </c>
      <c r="CS307" s="551">
        <v>3268.1914865905674</v>
      </c>
      <c r="CT307" s="551">
        <v>668797.47611863422</v>
      </c>
      <c r="CU307" s="551">
        <v>709223.45016603789</v>
      </c>
      <c r="CV307" s="551"/>
      <c r="CW307" s="551">
        <v>18.662386372716579</v>
      </c>
      <c r="CX307" s="551">
        <v>864.13490627133683</v>
      </c>
      <c r="CY307" s="554"/>
    </row>
    <row r="308" spans="65:103" ht="12.75" customHeight="1" x14ac:dyDescent="0.3">
      <c r="BM308" s="562"/>
      <c r="BN308" s="591">
        <v>295</v>
      </c>
      <c r="BO308" s="549" t="s">
        <v>2648</v>
      </c>
      <c r="BP308" s="554" t="s">
        <v>620</v>
      </c>
      <c r="BQ308" s="553" t="s">
        <v>2408</v>
      </c>
      <c r="BR308" s="551">
        <v>46.710643115644423</v>
      </c>
      <c r="BS308" s="551"/>
      <c r="BT308" s="551">
        <v>5879785.1208760608</v>
      </c>
      <c r="BU308" s="551">
        <v>271528.60320014303</v>
      </c>
      <c r="BV308" s="551">
        <v>54798.488592258713</v>
      </c>
      <c r="BW308" s="551">
        <v>769.06230002692632</v>
      </c>
      <c r="BX308" s="551">
        <v>15826.044808367591</v>
      </c>
      <c r="BY308" s="551">
        <v>96866.08990924526</v>
      </c>
      <c r="BZ308" s="551">
        <v>5861.4980771731807</v>
      </c>
      <c r="CA308" s="551">
        <v>2.3695023096682331E-2</v>
      </c>
      <c r="CB308" s="551">
        <v>3.7530005216801103E-33</v>
      </c>
      <c r="CC308" s="551">
        <v>59.018393467547881</v>
      </c>
      <c r="CD308" s="551">
        <v>3172563.2652145424</v>
      </c>
      <c r="CE308" s="551">
        <v>0.5500402981874597</v>
      </c>
      <c r="CF308" s="551">
        <v>449.28946213603643</v>
      </c>
      <c r="CG308" s="551">
        <v>4.1601804749370883</v>
      </c>
      <c r="CH308" s="551">
        <v>9.5196064960653555</v>
      </c>
      <c r="CI308" s="551">
        <v>1.5408075833100323</v>
      </c>
      <c r="CJ308" s="551">
        <v>1.7631686257846726E-6</v>
      </c>
      <c r="CK308" s="551">
        <v>1093138.6513580685</v>
      </c>
      <c r="CL308" s="551"/>
      <c r="CM308" s="551">
        <v>31.146616761238914</v>
      </c>
      <c r="CN308" s="551">
        <v>1.1110984447666372E-3</v>
      </c>
      <c r="CO308" s="551">
        <v>1.5548473591135132E-10</v>
      </c>
      <c r="CP308" s="551">
        <v>68131.590227219087</v>
      </c>
      <c r="CQ308" s="551"/>
      <c r="CR308" s="551">
        <v>1.9627012606079859</v>
      </c>
      <c r="CS308" s="551">
        <v>8.141156917648756E-8</v>
      </c>
      <c r="CT308" s="551">
        <v>2.6726624894770413E-11</v>
      </c>
      <c r="CU308" s="551">
        <v>12385.934980498962</v>
      </c>
      <c r="CV308" s="551"/>
      <c r="CW308" s="551">
        <v>0.34577372905911385</v>
      </c>
      <c r="CX308" s="551">
        <v>9.6712133181170334E-9</v>
      </c>
      <c r="CY308" s="554"/>
    </row>
    <row r="309" spans="65:103" ht="12.75" customHeight="1" x14ac:dyDescent="0.3">
      <c r="BM309" s="562"/>
      <c r="BN309" s="591">
        <v>296</v>
      </c>
      <c r="BO309" s="549" t="s">
        <v>2734</v>
      </c>
      <c r="BP309" s="554" t="s">
        <v>620</v>
      </c>
      <c r="BQ309" s="553" t="s">
        <v>2408</v>
      </c>
      <c r="BR309" s="551">
        <v>19087.315456206146</v>
      </c>
      <c r="BS309" s="551"/>
      <c r="BT309" s="551">
        <v>9828844.434826836</v>
      </c>
      <c r="BU309" s="551">
        <v>415947.401878629</v>
      </c>
      <c r="BV309" s="551">
        <v>90573.253057478898</v>
      </c>
      <c r="BW309" s="551">
        <v>1164.4541381535562</v>
      </c>
      <c r="BX309" s="551">
        <v>413460.35313736094</v>
      </c>
      <c r="BY309" s="551">
        <v>10009318.752733337</v>
      </c>
      <c r="BZ309" s="551">
        <v>153133.46412494854</v>
      </c>
      <c r="CA309" s="551">
        <v>1861.7880084788885</v>
      </c>
      <c r="CB309" s="551">
        <v>9.356545406318637E-31</v>
      </c>
      <c r="CC309" s="551">
        <v>65220.539466484573</v>
      </c>
      <c r="CD309" s="551">
        <v>2541892.4594516088</v>
      </c>
      <c r="CE309" s="551">
        <v>601.01026776982144</v>
      </c>
      <c r="CF309" s="551">
        <v>355.80426512838665</v>
      </c>
      <c r="CG309" s="551">
        <v>20897.495527097362</v>
      </c>
      <c r="CH309" s="551">
        <v>126181.02478555712</v>
      </c>
      <c r="CI309" s="551">
        <v>7739.8131581842099</v>
      </c>
      <c r="CJ309" s="551">
        <v>26.823320119257367</v>
      </c>
      <c r="CK309" s="551">
        <v>365019.00868584507</v>
      </c>
      <c r="CL309" s="551"/>
      <c r="CM309" s="551">
        <v>10.217391214678793</v>
      </c>
      <c r="CN309" s="551">
        <v>1080.6379130273381</v>
      </c>
      <c r="CO309" s="551">
        <v>9.3663375930324033E-2</v>
      </c>
      <c r="CP309" s="551">
        <v>9761.7511528392406</v>
      </c>
      <c r="CQ309" s="551"/>
      <c r="CR309" s="551">
        <v>0.28081108954772882</v>
      </c>
      <c r="CS309" s="551">
        <v>12.198536915162856</v>
      </c>
      <c r="CT309" s="551">
        <v>0.18243259428383221</v>
      </c>
      <c r="CU309" s="551">
        <v>1674.5163387200803</v>
      </c>
      <c r="CV309" s="551"/>
      <c r="CW309" s="551">
        <v>4.4580419219038131E-2</v>
      </c>
      <c r="CX309" s="551">
        <v>2.0989705483293184</v>
      </c>
      <c r="CY309" s="554"/>
    </row>
    <row r="310" spans="65:103" ht="12.75" customHeight="1" x14ac:dyDescent="0.3">
      <c r="BM310" s="562"/>
      <c r="BN310" s="591">
        <v>297</v>
      </c>
      <c r="BO310" s="549" t="s">
        <v>2438</v>
      </c>
      <c r="BP310" s="554" t="s">
        <v>620</v>
      </c>
      <c r="BQ310" s="553" t="s">
        <v>2408</v>
      </c>
      <c r="BR310" s="551">
        <v>758910.75125367683</v>
      </c>
      <c r="BS310" s="551"/>
      <c r="BT310" s="551">
        <v>2122706.3356840238</v>
      </c>
      <c r="BU310" s="551">
        <v>67455.549000054947</v>
      </c>
      <c r="BV310" s="551">
        <v>19956.134193380749</v>
      </c>
      <c r="BW310" s="551">
        <v>192.57739122147069</v>
      </c>
      <c r="BX310" s="551">
        <v>549.41933866792647</v>
      </c>
      <c r="BY310" s="551">
        <v>12204034.144540355</v>
      </c>
      <c r="BZ310" s="551">
        <v>203.48864395108384</v>
      </c>
      <c r="CA310" s="551">
        <v>1876111.2519472383</v>
      </c>
      <c r="CB310" s="551">
        <v>7.4298952747980131E-30</v>
      </c>
      <c r="CC310" s="551">
        <v>6750.2748509706362</v>
      </c>
      <c r="CD310" s="551">
        <v>1870581.6849867196</v>
      </c>
      <c r="CE310" s="551">
        <v>63.461152635022543</v>
      </c>
      <c r="CF310" s="551">
        <v>267.01416436556747</v>
      </c>
      <c r="CG310" s="551">
        <v>700.57851012314018</v>
      </c>
      <c r="CH310" s="551">
        <v>4524.542308568396</v>
      </c>
      <c r="CI310" s="551">
        <v>259.47352226782959</v>
      </c>
      <c r="CJ310" s="551">
        <v>811148.62766273669</v>
      </c>
      <c r="CK310" s="551">
        <v>1095537.3697457337</v>
      </c>
      <c r="CL310" s="551"/>
      <c r="CM310" s="551">
        <v>31.27197841074107</v>
      </c>
      <c r="CN310" s="551">
        <v>1087.1821578832767</v>
      </c>
      <c r="CO310" s="551">
        <v>98316.511534545542</v>
      </c>
      <c r="CP310" s="551">
        <v>1564861.1009818197</v>
      </c>
      <c r="CQ310" s="551"/>
      <c r="CR310" s="551">
        <v>45.922932764850977</v>
      </c>
      <c r="CS310" s="551">
        <v>432.96887633967413</v>
      </c>
      <c r="CT310" s="551">
        <v>192093.23002537081</v>
      </c>
      <c r="CU310" s="551">
        <v>64951.018402189104</v>
      </c>
      <c r="CV310" s="551"/>
      <c r="CW310" s="551">
        <v>1.7621983716504035</v>
      </c>
      <c r="CX310" s="551">
        <v>73.598848460101209</v>
      </c>
      <c r="CY310" s="554"/>
    </row>
    <row r="311" spans="65:103" ht="12.75" customHeight="1" x14ac:dyDescent="0.3">
      <c r="BM311" s="562"/>
      <c r="BN311" s="591">
        <v>298</v>
      </c>
      <c r="BO311" s="549" t="s">
        <v>2504</v>
      </c>
      <c r="BP311" s="554" t="s">
        <v>620</v>
      </c>
      <c r="BQ311" s="553" t="s">
        <v>2408</v>
      </c>
      <c r="BR311" s="551">
        <v>17067.204994431111</v>
      </c>
      <c r="BS311" s="551"/>
      <c r="BT311" s="551">
        <v>5315396.5234752353</v>
      </c>
      <c r="BU311" s="551">
        <v>225284.73014579722</v>
      </c>
      <c r="BV311" s="551">
        <v>51476.815256059679</v>
      </c>
      <c r="BW311" s="551">
        <v>662.1063927969783</v>
      </c>
      <c r="BX311" s="551">
        <v>107450.38044008373</v>
      </c>
      <c r="BY311" s="551">
        <v>1338906.5247483363</v>
      </c>
      <c r="BZ311" s="551">
        <v>39796.437200031003</v>
      </c>
      <c r="CA311" s="551">
        <v>2143.3261019249003</v>
      </c>
      <c r="CB311" s="551">
        <v>7.8836344066616612E-31</v>
      </c>
      <c r="CC311" s="551">
        <v>17513.9224271811</v>
      </c>
      <c r="CD311" s="551">
        <v>1436133.2500093277</v>
      </c>
      <c r="CE311" s="551">
        <v>169.61311262692331</v>
      </c>
      <c r="CF311" s="551">
        <v>211.03805063132816</v>
      </c>
      <c r="CG311" s="551">
        <v>6985.5890402974755</v>
      </c>
      <c r="CH311" s="551">
        <v>19998.058875057577</v>
      </c>
      <c r="CI311" s="551">
        <v>2587.2552001101758</v>
      </c>
      <c r="CJ311" s="551">
        <v>39.818137501772661</v>
      </c>
      <c r="CK311" s="551">
        <v>207816.46563717289</v>
      </c>
      <c r="CL311" s="551"/>
      <c r="CM311" s="551">
        <v>6.106839198932251</v>
      </c>
      <c r="CN311" s="551">
        <v>465.79988512044429</v>
      </c>
      <c r="CO311" s="551">
        <v>0.18375657526831368</v>
      </c>
      <c r="CP311" s="551">
        <v>5634.4429465481799</v>
      </c>
      <c r="CQ311" s="551"/>
      <c r="CR311" s="551">
        <v>0.1703184273845022</v>
      </c>
      <c r="CS311" s="551">
        <v>8.8944248624848754</v>
      </c>
      <c r="CT311" s="551">
        <v>0.34790572366352013</v>
      </c>
      <c r="CU311" s="551">
        <v>963.8161567395465</v>
      </c>
      <c r="CV311" s="551"/>
      <c r="CW311" s="551">
        <v>2.6892578446585474E-2</v>
      </c>
      <c r="CX311" s="551">
        <v>0.99702751498632058</v>
      </c>
      <c r="CY311" s="554"/>
    </row>
    <row r="312" spans="65:103" ht="12.75" customHeight="1" x14ac:dyDescent="0.3">
      <c r="BM312" s="562"/>
      <c r="BN312" s="591">
        <v>299</v>
      </c>
      <c r="BO312" s="549" t="s">
        <v>2434</v>
      </c>
      <c r="BP312" s="554" t="s">
        <v>620</v>
      </c>
      <c r="BQ312" s="553" t="s">
        <v>2408</v>
      </c>
      <c r="BR312" s="551">
        <v>57119.36467736942</v>
      </c>
      <c r="BS312" s="551"/>
      <c r="BT312" s="551">
        <v>2155675.6499465085</v>
      </c>
      <c r="BU312" s="551">
        <v>80277.709270697989</v>
      </c>
      <c r="BV312" s="551">
        <v>20959.533012924585</v>
      </c>
      <c r="BW312" s="551">
        <v>236.85091080473109</v>
      </c>
      <c r="BX312" s="551">
        <v>574.87963242872354</v>
      </c>
      <c r="BY312" s="551">
        <v>6206357.3984446125</v>
      </c>
      <c r="BZ312" s="551">
        <v>212.91838238100866</v>
      </c>
      <c r="CA312" s="551">
        <v>9514.9355396813553</v>
      </c>
      <c r="CB312" s="551">
        <v>1.9428636143410111E-31</v>
      </c>
      <c r="CC312" s="551">
        <v>390.84420352525615</v>
      </c>
      <c r="CD312" s="551">
        <v>470358.56636618625</v>
      </c>
      <c r="CE312" s="551">
        <v>3.8001598185242287</v>
      </c>
      <c r="CF312" s="551">
        <v>69.387166039441567</v>
      </c>
      <c r="CG312" s="551">
        <v>49.39384702544826</v>
      </c>
      <c r="CH312" s="551">
        <v>314.32659400701777</v>
      </c>
      <c r="CI312" s="551">
        <v>18.294017416832684</v>
      </c>
      <c r="CJ312" s="551">
        <v>234.92027316089047</v>
      </c>
      <c r="CK312" s="551">
        <v>67256.835681543744</v>
      </c>
      <c r="CL312" s="551"/>
      <c r="CM312" s="551">
        <v>1.9840701277919051</v>
      </c>
      <c r="CN312" s="551">
        <v>4.3771472264795417</v>
      </c>
      <c r="CO312" s="551">
        <v>1.8822881231596644</v>
      </c>
      <c r="CP312" s="551">
        <v>1827.1399986963684</v>
      </c>
      <c r="CQ312" s="551"/>
      <c r="CR312" s="551">
        <v>5.5449834318431659E-2</v>
      </c>
      <c r="CS312" s="551">
        <v>0.11607159426342847</v>
      </c>
      <c r="CT312" s="551">
        <v>2.5108131105536722</v>
      </c>
      <c r="CU312" s="551">
        <v>309.52713347798363</v>
      </c>
      <c r="CV312" s="551"/>
      <c r="CW312" s="551">
        <v>8.6688504458050826E-3</v>
      </c>
      <c r="CX312" s="551">
        <v>1.3293255326445777E-2</v>
      </c>
      <c r="CY312" s="554"/>
    </row>
    <row r="313" spans="65:103" ht="12.75" customHeight="1" x14ac:dyDescent="0.3">
      <c r="BM313" s="562"/>
      <c r="BN313" s="591">
        <v>300</v>
      </c>
      <c r="BO313" s="549" t="s">
        <v>2772</v>
      </c>
      <c r="BP313" s="554" t="s">
        <v>620</v>
      </c>
      <c r="BQ313" s="553" t="s">
        <v>2408</v>
      </c>
      <c r="BR313" s="551">
        <v>272365.40345305554</v>
      </c>
      <c r="BS313" s="551"/>
      <c r="BT313" s="551">
        <v>2278189.3804322397</v>
      </c>
      <c r="BU313" s="551">
        <v>69212.352210688579</v>
      </c>
      <c r="BV313" s="551">
        <v>22240.05125055604</v>
      </c>
      <c r="BW313" s="551">
        <v>205.00886766208762</v>
      </c>
      <c r="BX313" s="551">
        <v>25.76110217946357</v>
      </c>
      <c r="BY313" s="551">
        <v>15827095.74260512</v>
      </c>
      <c r="BZ313" s="551">
        <v>9.5411489553568778</v>
      </c>
      <c r="CA313" s="551">
        <v>89017.180092771727</v>
      </c>
      <c r="CB313" s="551">
        <v>4.709164616072312E-32</v>
      </c>
      <c r="CC313" s="551">
        <v>37.942437984388619</v>
      </c>
      <c r="CD313" s="551">
        <v>351906.03861966694</v>
      </c>
      <c r="CE313" s="551">
        <v>0.3704001838441302</v>
      </c>
      <c r="CF313" s="551">
        <v>52.117762362169429</v>
      </c>
      <c r="CG313" s="551">
        <v>4.3424409069000172</v>
      </c>
      <c r="CH313" s="551">
        <v>27.406009167312234</v>
      </c>
      <c r="CI313" s="551">
        <v>1.6083114470000062</v>
      </c>
      <c r="CJ313" s="551">
        <v>4339.6812723750954</v>
      </c>
      <c r="CK313" s="551">
        <v>49099.843622145097</v>
      </c>
      <c r="CL313" s="551"/>
      <c r="CM313" s="551">
        <v>1.4541514522810204</v>
      </c>
      <c r="CN313" s="551">
        <v>0.75983898832280339</v>
      </c>
      <c r="CO313" s="551">
        <v>70.06784122793897</v>
      </c>
      <c r="CP313" s="551">
        <v>1329.4923792202324</v>
      </c>
      <c r="CQ313" s="551"/>
      <c r="CR313" s="551">
        <v>4.0509564079250326E-2</v>
      </c>
      <c r="CS313" s="551">
        <v>3.9679307830527671E-2</v>
      </c>
      <c r="CT313" s="551">
        <v>92.934785276467025</v>
      </c>
      <c r="CU313" s="551">
        <v>224.40941395283085</v>
      </c>
      <c r="CV313" s="551"/>
      <c r="CW313" s="551">
        <v>6.3088789082966883E-3</v>
      </c>
      <c r="CX313" s="551">
        <v>4.7587518604839544E-3</v>
      </c>
      <c r="CY313" s="554"/>
    </row>
    <row r="314" spans="65:103" ht="12.75" customHeight="1" x14ac:dyDescent="0.3">
      <c r="BM314" s="562"/>
      <c r="BN314" s="591">
        <v>301</v>
      </c>
      <c r="BO314" s="549" t="s">
        <v>2566</v>
      </c>
      <c r="BP314" s="554" t="s">
        <v>620</v>
      </c>
      <c r="BQ314" s="553" t="s">
        <v>2408</v>
      </c>
      <c r="BR314" s="551">
        <v>69.893058509500648</v>
      </c>
      <c r="BS314" s="551"/>
      <c r="BT314" s="551">
        <v>6778145.8341409396</v>
      </c>
      <c r="BU314" s="551">
        <v>288055.86628049175</v>
      </c>
      <c r="BV314" s="551">
        <v>66716.046528183797</v>
      </c>
      <c r="BW314" s="551">
        <v>860.12067028491958</v>
      </c>
      <c r="BX314" s="551">
        <v>562614.89141546586</v>
      </c>
      <c r="BY314" s="551">
        <v>8555821.5480196066</v>
      </c>
      <c r="BZ314" s="551">
        <v>208375.88570943169</v>
      </c>
      <c r="CA314" s="551">
        <v>3.8025925270737872E-2</v>
      </c>
      <c r="CB314" s="551">
        <v>5.6146465593086018E-33</v>
      </c>
      <c r="CC314" s="551">
        <v>400.80264071039261</v>
      </c>
      <c r="CD314" s="551">
        <v>1601809.9187536624</v>
      </c>
      <c r="CE314" s="551">
        <v>3.9450268968198579</v>
      </c>
      <c r="CF314" s="551">
        <v>239.14628762426611</v>
      </c>
      <c r="CG314" s="551">
        <v>158.61909159325097</v>
      </c>
      <c r="CH314" s="551">
        <v>901.67600399255377</v>
      </c>
      <c r="CI314" s="551">
        <v>58.747811701204036</v>
      </c>
      <c r="CJ314" s="551">
        <v>3.0925423119209132E-6</v>
      </c>
      <c r="CK314" s="551">
        <v>226942.12554825388</v>
      </c>
      <c r="CL314" s="551"/>
      <c r="CM314" s="551">
        <v>6.7754518394958572</v>
      </c>
      <c r="CN314" s="551">
        <v>4.6301490710241824E-2</v>
      </c>
      <c r="CO314" s="551">
        <v>4.6788991639838394E-10</v>
      </c>
      <c r="CP314" s="551">
        <v>5999.1152440391525</v>
      </c>
      <c r="CQ314" s="551"/>
      <c r="CR314" s="551">
        <v>0.18429907437285642</v>
      </c>
      <c r="CS314" s="551">
        <v>1.7087389037069985E-5</v>
      </c>
      <c r="CT314" s="551">
        <v>6.6266359009963073E-10</v>
      </c>
      <c r="CU314" s="551">
        <v>1031.7589555936443</v>
      </c>
      <c r="CV314" s="551"/>
      <c r="CW314" s="551">
        <v>2.9231991069349293E-2</v>
      </c>
      <c r="CX314" s="551">
        <v>2.9325463091624423E-6</v>
      </c>
      <c r="CY314" s="554"/>
    </row>
    <row r="315" spans="65:103" ht="12.75" customHeight="1" x14ac:dyDescent="0.3">
      <c r="BM315" s="562"/>
      <c r="BN315" s="591">
        <v>302</v>
      </c>
      <c r="BO315" s="549" t="s">
        <v>2622</v>
      </c>
      <c r="BP315" s="554" t="s">
        <v>620</v>
      </c>
      <c r="BQ315" s="553" t="s">
        <v>2408</v>
      </c>
      <c r="BR315" s="551">
        <v>241997.84250533726</v>
      </c>
      <c r="BS315" s="551"/>
      <c r="BT315" s="551">
        <v>4776428.2704448616</v>
      </c>
      <c r="BU315" s="551">
        <v>198211.38778240074</v>
      </c>
      <c r="BV315" s="551">
        <v>47413.475188559562</v>
      </c>
      <c r="BW315" s="551">
        <v>596.77087061171528</v>
      </c>
      <c r="BX315" s="551">
        <v>20707.023550609851</v>
      </c>
      <c r="BY315" s="551">
        <v>6046672.148769943</v>
      </c>
      <c r="BZ315" s="551">
        <v>7669.2679817073522</v>
      </c>
      <c r="CA315" s="551">
        <v>440155.1144879362</v>
      </c>
      <c r="CB315" s="551">
        <v>1.4689542473331467E-29</v>
      </c>
      <c r="CC315" s="551">
        <v>94476.605042433221</v>
      </c>
      <c r="CD315" s="551">
        <v>4442910.7776251603</v>
      </c>
      <c r="CE315" s="551">
        <v>937.8271619394684</v>
      </c>
      <c r="CF315" s="551">
        <v>668.83133266900995</v>
      </c>
      <c r="CG315" s="551">
        <v>19431.095655482393</v>
      </c>
      <c r="CH315" s="551">
        <v>122138.35385886504</v>
      </c>
      <c r="CI315" s="551">
        <v>7196.7020946231041</v>
      </c>
      <c r="CJ315" s="551">
        <v>131461.35579935747</v>
      </c>
      <c r="CK315" s="551">
        <v>1802706.7014616292</v>
      </c>
      <c r="CL315" s="551"/>
      <c r="CM315" s="551">
        <v>54.268092912133795</v>
      </c>
      <c r="CN315" s="551">
        <v>20830.193267624996</v>
      </c>
      <c r="CO315" s="551">
        <v>10827.417959314556</v>
      </c>
      <c r="CP315" s="551">
        <v>607944.27758733986</v>
      </c>
      <c r="CQ315" s="551"/>
      <c r="CR315" s="551">
        <v>18.835161041381564</v>
      </c>
      <c r="CS315" s="551">
        <v>5688.3450083858279</v>
      </c>
      <c r="CT315" s="551">
        <v>18461.481341507046</v>
      </c>
      <c r="CU315" s="551">
        <v>94916.915443060643</v>
      </c>
      <c r="CV315" s="551"/>
      <c r="CW315" s="551">
        <v>2.7107589938074721</v>
      </c>
      <c r="CX315" s="551">
        <v>830.12098083205285</v>
      </c>
      <c r="CY315" s="554"/>
    </row>
    <row r="316" spans="65:103" ht="12.75" customHeight="1" x14ac:dyDescent="0.3">
      <c r="BM316" s="562"/>
      <c r="BN316" s="591">
        <v>303</v>
      </c>
      <c r="BO316" s="549" t="s">
        <v>2502</v>
      </c>
      <c r="BP316" s="554" t="s">
        <v>620</v>
      </c>
      <c r="BQ316" s="553" t="s">
        <v>2408</v>
      </c>
      <c r="BR316" s="551">
        <v>26968.850653438549</v>
      </c>
      <c r="BS316" s="551"/>
      <c r="BT316" s="551">
        <v>8446211.7935729548</v>
      </c>
      <c r="BU316" s="551">
        <v>387939.28220833867</v>
      </c>
      <c r="BV316" s="551">
        <v>86699.238676159366</v>
      </c>
      <c r="BW316" s="551">
        <v>1207.7319821420365</v>
      </c>
      <c r="BX316" s="551">
        <v>287063.11319407297</v>
      </c>
      <c r="BY316" s="551">
        <v>7853141.6630137023</v>
      </c>
      <c r="BZ316" s="551">
        <v>106319.67155336034</v>
      </c>
      <c r="CA316" s="551">
        <v>10933.303731045173</v>
      </c>
      <c r="CB316" s="551">
        <v>1.9107996011249974E-30</v>
      </c>
      <c r="CC316" s="551">
        <v>302951.49609926878</v>
      </c>
      <c r="CD316" s="551">
        <v>5617878.9770286884</v>
      </c>
      <c r="CE316" s="551">
        <v>3109.7567417853074</v>
      </c>
      <c r="CF316" s="551">
        <v>874.47861347503078</v>
      </c>
      <c r="CG316" s="551">
        <v>59720.057634633245</v>
      </c>
      <c r="CH316" s="551">
        <v>464692.40481388278</v>
      </c>
      <c r="CI316" s="551">
        <v>22118.539864678969</v>
      </c>
      <c r="CJ316" s="551">
        <v>666.32739162576934</v>
      </c>
      <c r="CK316" s="551">
        <v>2041268.9399943515</v>
      </c>
      <c r="CL316" s="551"/>
      <c r="CM316" s="551">
        <v>63.928818334391792</v>
      </c>
      <c r="CN316" s="551">
        <v>13063.517373681338</v>
      </c>
      <c r="CO316" s="551">
        <v>23.542885147903018</v>
      </c>
      <c r="CP316" s="551">
        <v>135700.27867926113</v>
      </c>
      <c r="CQ316" s="551"/>
      <c r="CR316" s="551">
        <v>4.3000666334807214</v>
      </c>
      <c r="CS316" s="551">
        <v>521.08432315704579</v>
      </c>
      <c r="CT316" s="551">
        <v>15.611957648462795</v>
      </c>
      <c r="CU316" s="551">
        <v>24619.852881580373</v>
      </c>
      <c r="CV316" s="551"/>
      <c r="CW316" s="551">
        <v>0.75441546981129326</v>
      </c>
      <c r="CX316" s="551">
        <v>118.49091679841452</v>
      </c>
      <c r="CY316" s="554"/>
    </row>
    <row r="317" spans="65:103" ht="12.75" customHeight="1" x14ac:dyDescent="0.3">
      <c r="BM317" s="562"/>
      <c r="BN317" s="591">
        <v>304</v>
      </c>
      <c r="BO317" s="549" t="s">
        <v>2808</v>
      </c>
      <c r="BP317" s="554" t="s">
        <v>620</v>
      </c>
      <c r="BQ317" s="553" t="s">
        <v>2408</v>
      </c>
      <c r="BR317" s="551">
        <v>593296.12854012591</v>
      </c>
      <c r="BS317" s="551"/>
      <c r="BT317" s="551">
        <v>3532421.854077314</v>
      </c>
      <c r="BU317" s="551">
        <v>137988.58101756012</v>
      </c>
      <c r="BV317" s="551">
        <v>35854.686499783427</v>
      </c>
      <c r="BW317" s="551">
        <v>424.59643288715307</v>
      </c>
      <c r="BX317" s="551">
        <v>10075.580303853136</v>
      </c>
      <c r="BY317" s="551">
        <v>9534588.9471827745</v>
      </c>
      <c r="BZ317" s="551">
        <v>3731.696408834493</v>
      </c>
      <c r="CA317" s="551">
        <v>1713754.6202843064</v>
      </c>
      <c r="CB317" s="551">
        <v>4.6457469471096291E-29</v>
      </c>
      <c r="CC317" s="551">
        <v>105464.55990105506</v>
      </c>
      <c r="CD317" s="551">
        <v>11002831.029532397</v>
      </c>
      <c r="CE317" s="551">
        <v>1070.4833364467111</v>
      </c>
      <c r="CF317" s="551">
        <v>1692.8077571161548</v>
      </c>
      <c r="CG317" s="551">
        <v>15011.261232267809</v>
      </c>
      <c r="CH317" s="551">
        <v>93762.489833623753</v>
      </c>
      <c r="CI317" s="551">
        <v>5559.7263823214098</v>
      </c>
      <c r="CJ317" s="551">
        <v>879795.03604058223</v>
      </c>
      <c r="CK317" s="551">
        <v>7820910.2103134096</v>
      </c>
      <c r="CL317" s="551"/>
      <c r="CM317" s="551">
        <v>240.61956373500269</v>
      </c>
      <c r="CN317" s="551">
        <v>27660.097509785654</v>
      </c>
      <c r="CO317" s="551">
        <v>100488.27024656459</v>
      </c>
      <c r="CP317" s="551">
        <v>5267756.0332298763</v>
      </c>
      <c r="CQ317" s="551"/>
      <c r="CR317" s="551">
        <v>166.8709735814669</v>
      </c>
      <c r="CS317" s="551">
        <v>10502.52177922703</v>
      </c>
      <c r="CT317" s="551">
        <v>260101.40916082729</v>
      </c>
      <c r="CU317" s="551">
        <v>836865.10686328006</v>
      </c>
      <c r="CV317" s="551"/>
      <c r="CW317" s="551">
        <v>24.406897588524274</v>
      </c>
      <c r="CX317" s="551">
        <v>2317.7465851113943</v>
      </c>
      <c r="CY317" s="554"/>
    </row>
    <row r="318" spans="65:103" ht="12.75" customHeight="1" x14ac:dyDescent="0.3">
      <c r="BM318" s="562"/>
      <c r="BN318" s="591">
        <v>305</v>
      </c>
      <c r="BO318" s="549" t="s">
        <v>2786</v>
      </c>
      <c r="BP318" s="554" t="s">
        <v>620</v>
      </c>
      <c r="BQ318" s="553" t="s">
        <v>2408</v>
      </c>
      <c r="BR318" s="551">
        <v>362104.20292534574</v>
      </c>
      <c r="BS318" s="551"/>
      <c r="BT318" s="551">
        <v>7310613.0806812514</v>
      </c>
      <c r="BU318" s="551">
        <v>294395.17726210901</v>
      </c>
      <c r="BV318" s="551">
        <v>75261.036041021813</v>
      </c>
      <c r="BW318" s="551">
        <v>918.46907658148189</v>
      </c>
      <c r="BX318" s="551">
        <v>17344.649861064823</v>
      </c>
      <c r="BY318" s="551">
        <v>13608030.661800452</v>
      </c>
      <c r="BZ318" s="551">
        <v>6423.9443929869722</v>
      </c>
      <c r="CA318" s="551">
        <v>268199.64429835428</v>
      </c>
      <c r="CB318" s="551">
        <v>1.0411953758720556E-29</v>
      </c>
      <c r="CC318" s="551">
        <v>38442.080011947342</v>
      </c>
      <c r="CD318" s="551">
        <v>3946856.494135675</v>
      </c>
      <c r="CE318" s="551">
        <v>395.7521397099307</v>
      </c>
      <c r="CF318" s="551">
        <v>615.68020123184806</v>
      </c>
      <c r="CG318" s="551">
        <v>6626.8970766659213</v>
      </c>
      <c r="CH318" s="551">
        <v>41090.70983198718</v>
      </c>
      <c r="CI318" s="551">
        <v>2454.4063246910819</v>
      </c>
      <c r="CJ318" s="551">
        <v>30236.234791633695</v>
      </c>
      <c r="CK318" s="551">
        <v>866258.19675614254</v>
      </c>
      <c r="CL318" s="551"/>
      <c r="CM318" s="551">
        <v>27.022257484546898</v>
      </c>
      <c r="CN318" s="551">
        <v>2681.5345222642818</v>
      </c>
      <c r="CO318" s="551">
        <v>1022.3145668921394</v>
      </c>
      <c r="CP318" s="551">
        <v>86691.849446849475</v>
      </c>
      <c r="CQ318" s="551"/>
      <c r="CR318" s="551">
        <v>2.7852247235372736</v>
      </c>
      <c r="CS318" s="551">
        <v>301.81344577086753</v>
      </c>
      <c r="CT318" s="551">
        <v>1528.8313885087368</v>
      </c>
      <c r="CU318" s="551">
        <v>11713.561481429955</v>
      </c>
      <c r="CV318" s="551"/>
      <c r="CW318" s="551">
        <v>0.34619804985822233</v>
      </c>
      <c r="CX318" s="551">
        <v>38.39750579907092</v>
      </c>
      <c r="CY318" s="554"/>
    </row>
    <row r="319" spans="65:103" ht="12.75" customHeight="1" x14ac:dyDescent="0.3">
      <c r="BM319" s="562"/>
      <c r="BN319" s="591">
        <v>306</v>
      </c>
      <c r="BO319" s="549" t="s">
        <v>2539</v>
      </c>
      <c r="BP319" s="554" t="s">
        <v>620</v>
      </c>
      <c r="BQ319" s="553" t="s">
        <v>2408</v>
      </c>
      <c r="BR319" s="551">
        <v>9100.0584873008756</v>
      </c>
      <c r="BS319" s="551"/>
      <c r="BT319" s="551">
        <v>6487981.6080158921</v>
      </c>
      <c r="BU319" s="551">
        <v>275352.70978797169</v>
      </c>
      <c r="BV319" s="551">
        <v>66792.239206956961</v>
      </c>
      <c r="BW319" s="551">
        <v>859.05941613982304</v>
      </c>
      <c r="BX319" s="551">
        <v>502230.66267671663</v>
      </c>
      <c r="BY319" s="551">
        <v>8479495.9084773194</v>
      </c>
      <c r="BZ319" s="551">
        <v>186011.35654693202</v>
      </c>
      <c r="CA319" s="551">
        <v>656.92450867815955</v>
      </c>
      <c r="CB319" s="551">
        <v>6.3163871787074418E-31</v>
      </c>
      <c r="CC319" s="551">
        <v>42107.391946908094</v>
      </c>
      <c r="CD319" s="551">
        <v>1685242.2646782212</v>
      </c>
      <c r="CE319" s="551">
        <v>433.48566090634495</v>
      </c>
      <c r="CF319" s="551">
        <v>262.88523491622948</v>
      </c>
      <c r="CG319" s="551">
        <v>18787.483540382309</v>
      </c>
      <c r="CH319" s="551">
        <v>103868.76182090121</v>
      </c>
      <c r="CI319" s="551">
        <v>6958.3272371786297</v>
      </c>
      <c r="CJ319" s="551">
        <v>6.9939656982257121</v>
      </c>
      <c r="CK319" s="551">
        <v>241198.16832077157</v>
      </c>
      <c r="CL319" s="551"/>
      <c r="CM319" s="551">
        <v>7.5239911536441744</v>
      </c>
      <c r="CN319" s="551">
        <v>717.92702453281311</v>
      </c>
      <c r="CO319" s="551">
        <v>1.6245483842128053E-2</v>
      </c>
      <c r="CP319" s="551">
        <v>6413.4270405533462</v>
      </c>
      <c r="CQ319" s="551"/>
      <c r="CR319" s="551">
        <v>0.20604976903743791</v>
      </c>
      <c r="CS319" s="551">
        <v>5.435061776213054</v>
      </c>
      <c r="CT319" s="551">
        <v>3.6931952191600809E-2</v>
      </c>
      <c r="CU319" s="551">
        <v>1102.3661552923625</v>
      </c>
      <c r="CV319" s="551"/>
      <c r="CW319" s="551">
        <v>3.2580783717827813E-2</v>
      </c>
      <c r="CX319" s="551">
        <v>1.0694222670191871</v>
      </c>
      <c r="CY319" s="554"/>
    </row>
    <row r="320" spans="65:103" ht="12.75" customHeight="1" x14ac:dyDescent="0.3">
      <c r="BM320" s="562"/>
      <c r="BN320" s="591">
        <v>307</v>
      </c>
      <c r="BO320" s="549" t="s">
        <v>2710</v>
      </c>
      <c r="BP320" s="554" t="s">
        <v>620</v>
      </c>
      <c r="BQ320" s="553" t="s">
        <v>2408</v>
      </c>
      <c r="BR320" s="551">
        <v>108221.8813374967</v>
      </c>
      <c r="BS320" s="551"/>
      <c r="BT320" s="551">
        <v>21653995.8643752</v>
      </c>
      <c r="BU320" s="551">
        <v>995435.78223881521</v>
      </c>
      <c r="BV320" s="551">
        <v>227658.7719441638</v>
      </c>
      <c r="BW320" s="551">
        <v>3172.360334070765</v>
      </c>
      <c r="BX320" s="551">
        <v>760220.46448871773</v>
      </c>
      <c r="BY320" s="551">
        <v>19003239.098679062</v>
      </c>
      <c r="BZ320" s="551">
        <v>281563.1349958214</v>
      </c>
      <c r="CA320" s="551">
        <v>63462.194764312808</v>
      </c>
      <c r="CB320" s="551">
        <v>9.116537281240088E-30</v>
      </c>
      <c r="CC320" s="551">
        <v>1053204.7371229148</v>
      </c>
      <c r="CD320" s="551">
        <v>16589329.379269276</v>
      </c>
      <c r="CE320" s="551">
        <v>11072.84302448983</v>
      </c>
      <c r="CF320" s="551">
        <v>2643.4317226002031</v>
      </c>
      <c r="CG320" s="551">
        <v>228142.62297888761</v>
      </c>
      <c r="CH320" s="551">
        <v>1616417.6188325854</v>
      </c>
      <c r="CI320" s="551">
        <v>84497.267769958344</v>
      </c>
      <c r="CJ320" s="551">
        <v>5661.9986340374053</v>
      </c>
      <c r="CK320" s="551">
        <v>6400548.5955513781</v>
      </c>
      <c r="CL320" s="551"/>
      <c r="CM320" s="551">
        <v>205.19940125280164</v>
      </c>
      <c r="CN320" s="551">
        <v>73057.491870402329</v>
      </c>
      <c r="CO320" s="551">
        <v>108.21139473701751</v>
      </c>
      <c r="CP320" s="551">
        <v>479527.92400159943</v>
      </c>
      <c r="CQ320" s="551"/>
      <c r="CR320" s="551">
        <v>15.558102596473898</v>
      </c>
      <c r="CS320" s="551">
        <v>4422.5045087496419</v>
      </c>
      <c r="CT320" s="551">
        <v>249.63929150401873</v>
      </c>
      <c r="CU320" s="551">
        <v>87030.741948795534</v>
      </c>
      <c r="CV320" s="551"/>
      <c r="CW320" s="551">
        <v>2.7290010768471844</v>
      </c>
      <c r="CX320" s="551">
        <v>938.0434023647274</v>
      </c>
      <c r="CY320" s="554"/>
    </row>
    <row r="321" spans="65:103" ht="12.75" customHeight="1" x14ac:dyDescent="0.3">
      <c r="BM321" s="562"/>
      <c r="BN321" s="591">
        <v>308</v>
      </c>
      <c r="BO321" s="549" t="s">
        <v>2822</v>
      </c>
      <c r="BP321" s="554" t="s">
        <v>620</v>
      </c>
      <c r="BQ321" s="553" t="s">
        <v>2408</v>
      </c>
      <c r="BR321" s="551">
        <v>403924.80295385461</v>
      </c>
      <c r="BS321" s="551"/>
      <c r="BT321" s="551">
        <v>5966561.8141122311</v>
      </c>
      <c r="BU321" s="551">
        <v>235653.73204109265</v>
      </c>
      <c r="BV321" s="551">
        <v>62337.039202356078</v>
      </c>
      <c r="BW321" s="551">
        <v>745.87053071100559</v>
      </c>
      <c r="BX321" s="551">
        <v>12870.038203788332</v>
      </c>
      <c r="BY321" s="551">
        <v>13743265.178687647</v>
      </c>
      <c r="BZ321" s="551">
        <v>4766.6808162178986</v>
      </c>
      <c r="CA321" s="551">
        <v>327540.38713018718</v>
      </c>
      <c r="CB321" s="551">
        <v>1.1624932828549342E-29</v>
      </c>
      <c r="CC321" s="551">
        <v>33312.971434546984</v>
      </c>
      <c r="CD321" s="551">
        <v>3866755.2220898215</v>
      </c>
      <c r="CE321" s="551">
        <v>348.04499994463015</v>
      </c>
      <c r="CF321" s="551">
        <v>611.93572973560322</v>
      </c>
      <c r="CG321" s="551">
        <v>5383.1850417956784</v>
      </c>
      <c r="CH321" s="551">
        <v>33208.595669618015</v>
      </c>
      <c r="CI321" s="551">
        <v>1993.7722377021023</v>
      </c>
      <c r="CJ321" s="551">
        <v>40555.246017464582</v>
      </c>
      <c r="CK321" s="551">
        <v>922508.14043947414</v>
      </c>
      <c r="CL321" s="551"/>
      <c r="CM321" s="551">
        <v>29.194412246807619</v>
      </c>
      <c r="CN321" s="551">
        <v>2392.3523635876354</v>
      </c>
      <c r="CO321" s="551">
        <v>1485.9586484134343</v>
      </c>
      <c r="CP321" s="551">
        <v>113451.37687278709</v>
      </c>
      <c r="CQ321" s="551"/>
      <c r="CR321" s="551">
        <v>3.6989660965467839</v>
      </c>
      <c r="CS321" s="551">
        <v>292.24371612069046</v>
      </c>
      <c r="CT321" s="551">
        <v>2289.831931418089</v>
      </c>
      <c r="CU321" s="551">
        <v>14245.053959818712</v>
      </c>
      <c r="CV321" s="551"/>
      <c r="CW321" s="551">
        <v>0.42689445291460137</v>
      </c>
      <c r="CX321" s="551">
        <v>38.224934815024696</v>
      </c>
      <c r="CY321" s="554"/>
    </row>
    <row r="322" spans="65:103" ht="12.75" customHeight="1" x14ac:dyDescent="0.3">
      <c r="BM322" s="562"/>
      <c r="BN322" s="591">
        <v>309</v>
      </c>
      <c r="BO322" s="549" t="s">
        <v>2531</v>
      </c>
      <c r="BP322" s="554" t="s">
        <v>620</v>
      </c>
      <c r="BQ322" s="553" t="s">
        <v>2408</v>
      </c>
      <c r="BR322" s="551">
        <v>9128.4132829404207</v>
      </c>
      <c r="BS322" s="551"/>
      <c r="BT322" s="551">
        <v>12423709.268172039</v>
      </c>
      <c r="BU322" s="551">
        <v>568539.12319895672</v>
      </c>
      <c r="BV322" s="551">
        <v>134729.69955855462</v>
      </c>
      <c r="BW322" s="551">
        <v>1867.6253767633118</v>
      </c>
      <c r="BX322" s="551">
        <v>77377.634022773345</v>
      </c>
      <c r="BY322" s="551">
        <v>10134922.467843188</v>
      </c>
      <c r="BZ322" s="551">
        <v>28658.382971397532</v>
      </c>
      <c r="CA322" s="551">
        <v>530.8135003763897</v>
      </c>
      <c r="CB322" s="551">
        <v>8.0965891835387577E-32</v>
      </c>
      <c r="CC322" s="551">
        <v>9822.8145446084691</v>
      </c>
      <c r="CD322" s="551">
        <v>6681683.2732057292</v>
      </c>
      <c r="CE322" s="551">
        <v>106.52413251531453</v>
      </c>
      <c r="CF322" s="551">
        <v>1097.4514093524444</v>
      </c>
      <c r="CG322" s="551">
        <v>2307.8224291800275</v>
      </c>
      <c r="CH322" s="551">
        <v>16102.829939270929</v>
      </c>
      <c r="CI322" s="551">
        <v>854.74904784445471</v>
      </c>
      <c r="CJ322" s="551">
        <v>4.6211141558884332</v>
      </c>
      <c r="CK322" s="551">
        <v>2302693.170108059</v>
      </c>
      <c r="CL322" s="551"/>
      <c r="CM322" s="551">
        <v>76.094819777903524</v>
      </c>
      <c r="CN322" s="551">
        <v>72.112538259114359</v>
      </c>
      <c r="CO322" s="551">
        <v>1.3945009229718247E-2</v>
      </c>
      <c r="CP322" s="551">
        <v>143519.52541355861</v>
      </c>
      <c r="CQ322" s="551"/>
      <c r="CR322" s="551">
        <v>4.8009578816748633</v>
      </c>
      <c r="CS322" s="551">
        <v>0.69031980809653992</v>
      </c>
      <c r="CT322" s="551">
        <v>1.8954393801123102E-2</v>
      </c>
      <c r="CU322" s="551">
        <v>26090.702748942022</v>
      </c>
      <c r="CV322" s="551"/>
      <c r="CW322" s="551">
        <v>0.84288645472866097</v>
      </c>
      <c r="CX322" s="551">
        <v>8.6001699248099098E-2</v>
      </c>
      <c r="CY322" s="554"/>
    </row>
    <row r="323" spans="65:103" ht="12.75" customHeight="1" x14ac:dyDescent="0.3">
      <c r="BM323" s="562"/>
      <c r="BN323" s="591">
        <v>310</v>
      </c>
      <c r="BO323" s="549" t="s">
        <v>2614</v>
      </c>
      <c r="BP323" s="554" t="s">
        <v>620</v>
      </c>
      <c r="BQ323" s="553" t="s">
        <v>2408</v>
      </c>
      <c r="BR323" s="551">
        <v>612410.35066526441</v>
      </c>
      <c r="BS323" s="551"/>
      <c r="BT323" s="551">
        <v>3147537.9589350042</v>
      </c>
      <c r="BU323" s="551">
        <v>119737.55367960871</v>
      </c>
      <c r="BV323" s="551">
        <v>34309.417876136453</v>
      </c>
      <c r="BW323" s="551">
        <v>394.99946393339837</v>
      </c>
      <c r="BX323" s="551">
        <v>8305.2279587461417</v>
      </c>
      <c r="BY323" s="551">
        <v>10932395.953491922</v>
      </c>
      <c r="BZ323" s="551">
        <v>3076.0103550911626</v>
      </c>
      <c r="CA323" s="551">
        <v>1570747.5254490066</v>
      </c>
      <c r="CB323" s="551">
        <v>3.8056723093418664E-29</v>
      </c>
      <c r="CC323" s="551">
        <v>70904.599326815078</v>
      </c>
      <c r="CD323" s="551">
        <v>8956884.1145040635</v>
      </c>
      <c r="CE323" s="551">
        <v>772.88838431255772</v>
      </c>
      <c r="CF323" s="551">
        <v>1477.3829575679692</v>
      </c>
      <c r="CG323" s="551">
        <v>10987.414700497779</v>
      </c>
      <c r="CH323" s="551">
        <v>66756.452825708548</v>
      </c>
      <c r="CI323" s="551">
        <v>4069.4128520362124</v>
      </c>
      <c r="CJ323" s="551">
        <v>695144.90562198369</v>
      </c>
      <c r="CK323" s="551">
        <v>5670854.1965167429</v>
      </c>
      <c r="CL323" s="551"/>
      <c r="CM323" s="551">
        <v>187.04880956148548</v>
      </c>
      <c r="CN323" s="551">
        <v>17452.921368613181</v>
      </c>
      <c r="CO323" s="551">
        <v>70855.526355110036</v>
      </c>
      <c r="CP323" s="551">
        <v>3600240.8614696353</v>
      </c>
      <c r="CQ323" s="551"/>
      <c r="CR323" s="551">
        <v>122.4539405875075</v>
      </c>
      <c r="CS323" s="551">
        <v>5954.5955969452916</v>
      </c>
      <c r="CT323" s="551">
        <v>175657.90161679217</v>
      </c>
      <c r="CU323" s="551">
        <v>480211.82547398587</v>
      </c>
      <c r="CV323" s="551"/>
      <c r="CW323" s="551">
        <v>14.975282643024375</v>
      </c>
      <c r="CX323" s="551">
        <v>1245.6675555655027</v>
      </c>
      <c r="CY323" s="554"/>
    </row>
    <row r="324" spans="65:103" ht="12.75" customHeight="1" x14ac:dyDescent="0.3">
      <c r="BM324" s="562"/>
      <c r="BN324" s="591">
        <v>311</v>
      </c>
      <c r="BO324" s="549" t="s">
        <v>2455</v>
      </c>
      <c r="BP324" s="554" t="s">
        <v>620</v>
      </c>
      <c r="BQ324" s="553" t="s">
        <v>2408</v>
      </c>
      <c r="BR324" s="551">
        <v>135017.56749043593</v>
      </c>
      <c r="BS324" s="551"/>
      <c r="BT324" s="551">
        <v>1019030.4631722114</v>
      </c>
      <c r="BU324" s="551">
        <v>42104.618776696618</v>
      </c>
      <c r="BV324" s="551">
        <v>12138.399325148046</v>
      </c>
      <c r="BW324" s="551">
        <v>151.61648974885773</v>
      </c>
      <c r="BX324" s="551">
        <v>678.95056756080078</v>
      </c>
      <c r="BY324" s="551">
        <v>178445.8575690673</v>
      </c>
      <c r="BZ324" s="551">
        <v>251.46317317066695</v>
      </c>
      <c r="CA324" s="551">
        <v>192964.82372517019</v>
      </c>
      <c r="CB324" s="551">
        <v>2.6012646812676293E-30</v>
      </c>
      <c r="CC324" s="551">
        <v>5778.1884352290144</v>
      </c>
      <c r="CD324" s="551">
        <v>2143794.3624238088</v>
      </c>
      <c r="CE324" s="551">
        <v>68.828127457961102</v>
      </c>
      <c r="CF324" s="551">
        <v>385.984466096132</v>
      </c>
      <c r="CG324" s="551">
        <v>248.35512689825615</v>
      </c>
      <c r="CH324" s="551">
        <v>618.59583739857476</v>
      </c>
      <c r="CI324" s="551">
        <v>91.98338033268746</v>
      </c>
      <c r="CJ324" s="551">
        <v>43938.102764514588</v>
      </c>
      <c r="CK324" s="551">
        <v>1689619.5836040892</v>
      </c>
      <c r="CL324" s="551"/>
      <c r="CM324" s="551">
        <v>61.29994062211621</v>
      </c>
      <c r="CN324" s="551">
        <v>202.97377935216153</v>
      </c>
      <c r="CO324" s="551">
        <v>2960.2307758890674</v>
      </c>
      <c r="CP324" s="551">
        <v>453640.38919439819</v>
      </c>
      <c r="CQ324" s="551"/>
      <c r="CR324" s="551">
        <v>16.592785163374788</v>
      </c>
      <c r="CS324" s="551">
        <v>85.044028073040209</v>
      </c>
      <c r="CT324" s="551">
        <v>4923.5467018406216</v>
      </c>
      <c r="CU324" s="551">
        <v>55898.914093309977</v>
      </c>
      <c r="CV324" s="551"/>
      <c r="CW324" s="551">
        <v>1.9975085222526654</v>
      </c>
      <c r="CX324" s="551">
        <v>4.9267537575896654</v>
      </c>
      <c r="CY324" s="554"/>
    </row>
    <row r="325" spans="65:103" ht="12.75" customHeight="1" x14ac:dyDescent="0.3">
      <c r="BM325" s="562"/>
      <c r="BN325" s="591">
        <v>312</v>
      </c>
      <c r="BO325" s="549" t="s">
        <v>2642</v>
      </c>
      <c r="BP325" s="554" t="s">
        <v>620</v>
      </c>
      <c r="BQ325" s="553" t="s">
        <v>2408</v>
      </c>
      <c r="BR325" s="551">
        <v>129.22847368549358</v>
      </c>
      <c r="BS325" s="551"/>
      <c r="BT325" s="551">
        <v>19128637.104104206</v>
      </c>
      <c r="BU325" s="551">
        <v>898826.91710529162</v>
      </c>
      <c r="BV325" s="551">
        <v>230907.71007868866</v>
      </c>
      <c r="BW325" s="551">
        <v>3278.9227972936865</v>
      </c>
      <c r="BX325" s="551">
        <v>1032919.4215332714</v>
      </c>
      <c r="BY325" s="551">
        <v>19792983.794133965</v>
      </c>
      <c r="BZ325" s="551">
        <v>382562.74871602654</v>
      </c>
      <c r="CA325" s="551">
        <v>0.1211858579067706</v>
      </c>
      <c r="CB325" s="551">
        <v>1.0382240328754294E-32</v>
      </c>
      <c r="CC325" s="551">
        <v>2181.2157726304358</v>
      </c>
      <c r="CD325" s="551">
        <v>14508379.146096673</v>
      </c>
      <c r="CE325" s="551">
        <v>26.33013196416108</v>
      </c>
      <c r="CF325" s="551">
        <v>2646.330134789674</v>
      </c>
      <c r="CG325" s="551">
        <v>501.94792174755798</v>
      </c>
      <c r="CH325" s="551">
        <v>3594.8841354142487</v>
      </c>
      <c r="CI325" s="551">
        <v>185.90663768428067</v>
      </c>
      <c r="CJ325" s="551">
        <v>1.7395077565975394E-5</v>
      </c>
      <c r="CK325" s="551">
        <v>7793752.3691010699</v>
      </c>
      <c r="CL325" s="551"/>
      <c r="CM325" s="551">
        <v>286.45482392113331</v>
      </c>
      <c r="CN325" s="551">
        <v>0.25860489654497509</v>
      </c>
      <c r="CO325" s="551">
        <v>7.3362058484077639E-8</v>
      </c>
      <c r="CP325" s="551">
        <v>735385.73987964168</v>
      </c>
      <c r="CQ325" s="551"/>
      <c r="CR325" s="551">
        <v>27.251794208497223</v>
      </c>
      <c r="CS325" s="551">
        <v>6.4367212175706274E-4</v>
      </c>
      <c r="CT325" s="551">
        <v>1.3678089394224892E-8</v>
      </c>
      <c r="CU325" s="551">
        <v>140872.12428633263</v>
      </c>
      <c r="CV325" s="551"/>
      <c r="CW325" s="551">
        <v>5.0990173731408106</v>
      </c>
      <c r="CX325" s="551">
        <v>1.2790728253610543E-4</v>
      </c>
      <c r="CY325" s="554"/>
    </row>
    <row r="326" spans="65:103" ht="12.75" customHeight="1" x14ac:dyDescent="0.3">
      <c r="BM326" s="562"/>
      <c r="BN326" s="591">
        <v>313</v>
      </c>
      <c r="BO326" s="549" t="s">
        <v>2766</v>
      </c>
      <c r="BP326" s="554" t="s">
        <v>620</v>
      </c>
      <c r="BQ326" s="553" t="s">
        <v>2408</v>
      </c>
      <c r="BR326" s="551">
        <v>152486.46046753286</v>
      </c>
      <c r="BS326" s="551"/>
      <c r="BT326" s="551">
        <v>16975329.741622992</v>
      </c>
      <c r="BU326" s="551">
        <v>779850.81326936826</v>
      </c>
      <c r="BV326" s="551">
        <v>212667.16834100202</v>
      </c>
      <c r="BW326" s="551">
        <v>2949.0572335961861</v>
      </c>
      <c r="BX326" s="551">
        <v>607049.72377376293</v>
      </c>
      <c r="BY326" s="551">
        <v>18819989.797653049</v>
      </c>
      <c r="BZ326" s="551">
        <v>224833.2310273195</v>
      </c>
      <c r="CA326" s="551">
        <v>163666.28224262386</v>
      </c>
      <c r="CB326" s="551">
        <v>1.3099677318707661E-29</v>
      </c>
      <c r="CC326" s="551">
        <v>1044173.3090021035</v>
      </c>
      <c r="CD326" s="551">
        <v>15974262.588583305</v>
      </c>
      <c r="CE326" s="551">
        <v>13081.417814126091</v>
      </c>
      <c r="CF326" s="551">
        <v>3020.386324964606</v>
      </c>
      <c r="CG326" s="551">
        <v>328674.55537770892</v>
      </c>
      <c r="CH326" s="551">
        <v>2212549.4058690169</v>
      </c>
      <c r="CI326" s="551">
        <v>121731.31680655887</v>
      </c>
      <c r="CJ326" s="551">
        <v>27637.432387193283</v>
      </c>
      <c r="CK326" s="551">
        <v>7231852.2756118644</v>
      </c>
      <c r="CL326" s="551"/>
      <c r="CM326" s="551">
        <v>275.11276152197462</v>
      </c>
      <c r="CN326" s="551">
        <v>199208.66051434842</v>
      </c>
      <c r="CO326" s="551">
        <v>1073.2789207953219</v>
      </c>
      <c r="CP326" s="551">
        <v>841848.81514293829</v>
      </c>
      <c r="CQ326" s="551"/>
      <c r="CR326" s="551">
        <v>32.461479795042671</v>
      </c>
      <c r="CS326" s="551">
        <v>24357.563283917407</v>
      </c>
      <c r="CT326" s="551">
        <v>2250.6053345116838</v>
      </c>
      <c r="CU326" s="551">
        <v>153205.72908320281</v>
      </c>
      <c r="CV326" s="551"/>
      <c r="CW326" s="551">
        <v>5.6840073192986624</v>
      </c>
      <c r="CX326" s="551">
        <v>4688.1046477455593</v>
      </c>
      <c r="CY326" s="554"/>
    </row>
    <row r="327" spans="65:103" ht="12.75" customHeight="1" x14ac:dyDescent="0.3">
      <c r="BM327" s="562"/>
      <c r="BN327" s="591">
        <v>314</v>
      </c>
      <c r="BO327" s="549" t="s">
        <v>2545</v>
      </c>
      <c r="BP327" s="554" t="s">
        <v>620</v>
      </c>
      <c r="BQ327" s="553" t="s">
        <v>2408</v>
      </c>
      <c r="BR327" s="551">
        <v>666613.02085599734</v>
      </c>
      <c r="BS327" s="551"/>
      <c r="BT327" s="551">
        <v>1999872.7073065499</v>
      </c>
      <c r="BU327" s="551">
        <v>65157.477985476093</v>
      </c>
      <c r="BV327" s="551">
        <v>24201.124150236952</v>
      </c>
      <c r="BW327" s="551">
        <v>237.70319791276253</v>
      </c>
      <c r="BX327" s="551">
        <v>3423.8382562420184</v>
      </c>
      <c r="BY327" s="551">
        <v>8759085.0765826013</v>
      </c>
      <c r="BZ327" s="551">
        <v>1268.0882430525992</v>
      </c>
      <c r="CA327" s="551">
        <v>1840328.0298636942</v>
      </c>
      <c r="CB327" s="551">
        <v>2.6186861373992622E-29</v>
      </c>
      <c r="CC327" s="551">
        <v>28877.743194239651</v>
      </c>
      <c r="CD327" s="551">
        <v>3703192.4698670143</v>
      </c>
      <c r="CE327" s="551">
        <v>349.45916591046682</v>
      </c>
      <c r="CF327" s="551">
        <v>675.48708129101078</v>
      </c>
      <c r="CG327" s="551">
        <v>5000.3044742282564</v>
      </c>
      <c r="CH327" s="551">
        <v>24597.587916763801</v>
      </c>
      <c r="CI327" s="551">
        <v>1851.9646200845393</v>
      </c>
      <c r="CJ327" s="551">
        <v>904145.82174500823</v>
      </c>
      <c r="CK327" s="551">
        <v>2263365.3618868054</v>
      </c>
      <c r="CL327" s="551"/>
      <c r="CM327" s="551">
        <v>81.952728032111764</v>
      </c>
      <c r="CN327" s="551">
        <v>8817.4568694499067</v>
      </c>
      <c r="CO327" s="551">
        <v>98923.032716272734</v>
      </c>
      <c r="CP327" s="551">
        <v>2285425.6847446039</v>
      </c>
      <c r="CQ327" s="551"/>
      <c r="CR327" s="551">
        <v>87.650549370068489</v>
      </c>
      <c r="CS327" s="551">
        <v>3355.8031680925478</v>
      </c>
      <c r="CT327" s="551">
        <v>266774.36264911527</v>
      </c>
      <c r="CU327" s="551">
        <v>205513.36349004818</v>
      </c>
      <c r="CV327" s="551"/>
      <c r="CW327" s="551">
        <v>6.7158996991010049</v>
      </c>
      <c r="CX327" s="551">
        <v>717.22700606096362</v>
      </c>
      <c r="CY327" s="554"/>
    </row>
    <row r="328" spans="65:103" ht="12.75" customHeight="1" x14ac:dyDescent="0.3">
      <c r="BM328" s="562"/>
      <c r="BN328" s="591">
        <v>315</v>
      </c>
      <c r="BO328" s="549" t="s">
        <v>2746</v>
      </c>
      <c r="BP328" s="554" t="s">
        <v>620</v>
      </c>
      <c r="BQ328" s="553" t="s">
        <v>2408</v>
      </c>
      <c r="BR328" s="551">
        <v>124575.61829077182</v>
      </c>
      <c r="BS328" s="551"/>
      <c r="BT328" s="551">
        <v>4614189.5028976472</v>
      </c>
      <c r="BU328" s="551">
        <v>177662.93004821075</v>
      </c>
      <c r="BV328" s="551">
        <v>57538.413520881819</v>
      </c>
      <c r="BW328" s="551">
        <v>668.13469251176434</v>
      </c>
      <c r="BX328" s="551">
        <v>4034.8015628441904</v>
      </c>
      <c r="BY328" s="551">
        <v>13981579.600747362</v>
      </c>
      <c r="BZ328" s="551">
        <v>1494.3709492015525</v>
      </c>
      <c r="CA328" s="551">
        <v>25966.550708357492</v>
      </c>
      <c r="CB328" s="551">
        <v>8.317589975372882E-31</v>
      </c>
      <c r="CC328" s="551">
        <v>2076.7099495503717</v>
      </c>
      <c r="CD328" s="551">
        <v>1141289.6548182215</v>
      </c>
      <c r="CE328" s="551">
        <v>25.896334722516357</v>
      </c>
      <c r="CF328" s="551">
        <v>214.60166518190024</v>
      </c>
      <c r="CG328" s="551">
        <v>433.97765320932899</v>
      </c>
      <c r="CH328" s="551">
        <v>2516.9563566894021</v>
      </c>
      <c r="CI328" s="551">
        <v>160.73246415160335</v>
      </c>
      <c r="CJ328" s="551">
        <v>802.28011172086053</v>
      </c>
      <c r="CK328" s="551">
        <v>167277.7905286848</v>
      </c>
      <c r="CL328" s="551"/>
      <c r="CM328" s="551">
        <v>6.2899272009909177</v>
      </c>
      <c r="CN328" s="551">
        <v>48.126334482680249</v>
      </c>
      <c r="CO328" s="551">
        <v>7.9358980781953647</v>
      </c>
      <c r="CP328" s="551">
        <v>4823.2529007448611</v>
      </c>
      <c r="CQ328" s="551"/>
      <c r="CR328" s="551">
        <v>0.18760164659591119</v>
      </c>
      <c r="CS328" s="551">
        <v>1.6097166361398014</v>
      </c>
      <c r="CT328" s="551">
        <v>10.761808336277358</v>
      </c>
      <c r="CU328" s="551">
        <v>798.08759612003871</v>
      </c>
      <c r="CV328" s="551"/>
      <c r="CW328" s="551">
        <v>2.8218158546631344E-2</v>
      </c>
      <c r="CX328" s="551">
        <v>0.18142700136857445</v>
      </c>
      <c r="CY328" s="554"/>
    </row>
    <row r="329" spans="65:103" ht="12.75" customHeight="1" x14ac:dyDescent="0.3">
      <c r="BM329" s="562"/>
      <c r="BN329" s="591">
        <v>316</v>
      </c>
      <c r="BO329" s="549" t="s">
        <v>2844</v>
      </c>
      <c r="BP329" s="554" t="s">
        <v>620</v>
      </c>
      <c r="BQ329" s="553" t="s">
        <v>2408</v>
      </c>
      <c r="BR329" s="551">
        <v>618.76656220701159</v>
      </c>
      <c r="BS329" s="551"/>
      <c r="BT329" s="551">
        <v>19941835.922862209</v>
      </c>
      <c r="BU329" s="551">
        <v>959966.14070603135</v>
      </c>
      <c r="BV329" s="551">
        <v>260027.5245230807</v>
      </c>
      <c r="BW329" s="551">
        <v>3776.4819971599127</v>
      </c>
      <c r="BX329" s="551">
        <v>851233.65000303765</v>
      </c>
      <c r="BY329" s="551">
        <v>18518374.160505883</v>
      </c>
      <c r="BZ329" s="551">
        <v>315271.72222334729</v>
      </c>
      <c r="CA329" s="551">
        <v>4.0672701993174059</v>
      </c>
      <c r="CB329" s="551">
        <v>4.9661357036592577E-32</v>
      </c>
      <c r="CC329" s="551">
        <v>16665.800648178603</v>
      </c>
      <c r="CD329" s="551">
        <v>27173949.071514104</v>
      </c>
      <c r="CE329" s="551">
        <v>217.31032706837394</v>
      </c>
      <c r="CF329" s="551">
        <v>5345.0806809101323</v>
      </c>
      <c r="CG329" s="551">
        <v>2899.5023301823608</v>
      </c>
      <c r="CH329" s="551">
        <v>23492.947900123065</v>
      </c>
      <c r="CI329" s="551">
        <v>1073.8897519193927</v>
      </c>
      <c r="CJ329" s="551">
        <v>3.9230810789235189E-3</v>
      </c>
      <c r="CK329" s="551">
        <v>38900525.04873278</v>
      </c>
      <c r="CL329" s="551"/>
      <c r="CM329" s="551">
        <v>1544.4765386380786</v>
      </c>
      <c r="CN329" s="551">
        <v>10.038096736949443</v>
      </c>
      <c r="CO329" s="551">
        <v>4.4797683195920157E-6</v>
      </c>
      <c r="CP329" s="551">
        <v>8555704.3145223651</v>
      </c>
      <c r="CQ329" s="551"/>
      <c r="CR329" s="551">
        <v>340.67366490625443</v>
      </c>
      <c r="CS329" s="551">
        <v>6.0448155903220762E-3</v>
      </c>
      <c r="CT329" s="551">
        <v>7.7528372146992492E-7</v>
      </c>
      <c r="CU329" s="551">
        <v>2076674.4294712534</v>
      </c>
      <c r="CV329" s="551"/>
      <c r="CW329" s="551">
        <v>82.005533022475461</v>
      </c>
      <c r="CX329" s="551">
        <v>1.478910618604268E-3</v>
      </c>
      <c r="CY329" s="554"/>
    </row>
    <row r="330" spans="65:103" ht="12.75" customHeight="1" x14ac:dyDescent="0.3">
      <c r="BM330" s="562"/>
      <c r="BN330" s="591">
        <v>317</v>
      </c>
      <c r="BO330" s="549" t="s">
        <v>2744</v>
      </c>
      <c r="BP330" s="554" t="s">
        <v>620</v>
      </c>
      <c r="BQ330" s="553" t="s">
        <v>2408</v>
      </c>
      <c r="BR330" s="551">
        <v>8375.467486969299</v>
      </c>
      <c r="BS330" s="551"/>
      <c r="BT330" s="551">
        <v>9803137.328359887</v>
      </c>
      <c r="BU330" s="551">
        <v>450600.214706028</v>
      </c>
      <c r="BV330" s="551">
        <v>127462.12251467242</v>
      </c>
      <c r="BW330" s="551">
        <v>1766.746274623868</v>
      </c>
      <c r="BX330" s="551">
        <v>614934.6320085536</v>
      </c>
      <c r="BY330" s="551">
        <v>12498523.971922472</v>
      </c>
      <c r="BZ330" s="551">
        <v>227753.5674105754</v>
      </c>
      <c r="CA330" s="551">
        <v>711.55776055018669</v>
      </c>
      <c r="CB330" s="551">
        <v>5.3896032841384769E-31</v>
      </c>
      <c r="CC330" s="551">
        <v>75137.383003059644</v>
      </c>
      <c r="CD330" s="551">
        <v>5562626.4132417683</v>
      </c>
      <c r="CE330" s="551">
        <v>976.9495210540075</v>
      </c>
      <c r="CF330" s="551">
        <v>1090.5176220489434</v>
      </c>
      <c r="CG330" s="551">
        <v>27062.880275675328</v>
      </c>
      <c r="CH330" s="551">
        <v>170412.49416197868</v>
      </c>
      <c r="CI330" s="551">
        <v>10023.288990990861</v>
      </c>
      <c r="CJ330" s="551">
        <v>8.9317391836249396</v>
      </c>
      <c r="CK330" s="551">
        <v>1922737.113016468</v>
      </c>
      <c r="CL330" s="551"/>
      <c r="CM330" s="551">
        <v>75.838929112855823</v>
      </c>
      <c r="CN330" s="551">
        <v>1219.2802657447335</v>
      </c>
      <c r="CO330" s="551">
        <v>2.6219495637416313E-2</v>
      </c>
      <c r="CP330" s="551">
        <v>119946.36395020697</v>
      </c>
      <c r="CQ330" s="551"/>
      <c r="CR330" s="551">
        <v>4.7972568594669251</v>
      </c>
      <c r="CS330" s="551">
        <v>10.950290267986539</v>
      </c>
      <c r="CT330" s="551">
        <v>5.4951349856274881E-2</v>
      </c>
      <c r="CU330" s="551">
        <v>21803.012740561437</v>
      </c>
      <c r="CV330" s="551"/>
      <c r="CW330" s="551">
        <v>0.83813872590749261</v>
      </c>
      <c r="CX330" s="551">
        <v>2.1688135566727205</v>
      </c>
      <c r="CY330" s="554"/>
    </row>
    <row r="331" spans="65:103" ht="12.75" customHeight="1" x14ac:dyDescent="0.3">
      <c r="BM331" s="562"/>
      <c r="BN331" s="591">
        <v>318</v>
      </c>
      <c r="BO331" s="549" t="s">
        <v>2866</v>
      </c>
      <c r="BP331" s="554" t="s">
        <v>620</v>
      </c>
      <c r="BQ331" s="553" t="s">
        <v>2408</v>
      </c>
      <c r="BR331" s="551">
        <v>372169.76793014084</v>
      </c>
      <c r="BS331" s="551"/>
      <c r="BT331" s="551">
        <v>5076802.2364095319</v>
      </c>
      <c r="BU331" s="551">
        <v>187139.58412705778</v>
      </c>
      <c r="BV331" s="551">
        <v>63228.088087605283</v>
      </c>
      <c r="BW331" s="551">
        <v>702.02990794753305</v>
      </c>
      <c r="BX331" s="551">
        <v>19231.420053824932</v>
      </c>
      <c r="BY331" s="551">
        <v>10588074.571396166</v>
      </c>
      <c r="BZ331" s="551">
        <v>7122.7481680833071</v>
      </c>
      <c r="CA331" s="551">
        <v>308641.58979643427</v>
      </c>
      <c r="CB331" s="551">
        <v>1.1720065788311412E-29</v>
      </c>
      <c r="CC331" s="551">
        <v>30642.61007401704</v>
      </c>
      <c r="CD331" s="551">
        <v>2244128.3269309527</v>
      </c>
      <c r="CE331" s="551">
        <v>381.63268111943057</v>
      </c>
      <c r="CF331" s="551">
        <v>420.92783579879722</v>
      </c>
      <c r="CG331" s="551">
        <v>8408.9843146659186</v>
      </c>
      <c r="CH331" s="551">
        <v>40749.560983434407</v>
      </c>
      <c r="CI331" s="551">
        <v>3114.4386350614504</v>
      </c>
      <c r="CJ331" s="551">
        <v>39250.467459899432</v>
      </c>
      <c r="CK331" s="551">
        <v>413394.08061843971</v>
      </c>
      <c r="CL331" s="551"/>
      <c r="CM331" s="551">
        <v>15.391895964163938</v>
      </c>
      <c r="CN331" s="551">
        <v>3838.2882262583594</v>
      </c>
      <c r="CO331" s="551">
        <v>1478.6647698466336</v>
      </c>
      <c r="CP331" s="551">
        <v>60286.381454582792</v>
      </c>
      <c r="CQ331" s="551"/>
      <c r="CR331" s="551">
        <v>2.3804411117731545</v>
      </c>
      <c r="CS331" s="551">
        <v>504.46492597249073</v>
      </c>
      <c r="CT331" s="551">
        <v>2261.6509663851857</v>
      </c>
      <c r="CU331" s="551">
        <v>7514.5091259147757</v>
      </c>
      <c r="CV331" s="551"/>
      <c r="CW331" s="551">
        <v>0.25200246665862625</v>
      </c>
      <c r="CX331" s="551">
        <v>60.845634242116262</v>
      </c>
      <c r="CY331" s="554"/>
    </row>
    <row r="332" spans="65:103" ht="12.75" customHeight="1" x14ac:dyDescent="0.3">
      <c r="BM332" s="562"/>
      <c r="BN332" s="591">
        <v>319</v>
      </c>
      <c r="BO332" s="549" t="s">
        <v>2557</v>
      </c>
      <c r="BP332" s="554" t="s">
        <v>620</v>
      </c>
      <c r="BQ332" s="553" t="s">
        <v>2408</v>
      </c>
      <c r="BR332" s="551">
        <v>488788.53274081025</v>
      </c>
      <c r="BS332" s="551"/>
      <c r="BT332" s="551">
        <v>1553011.6302157631</v>
      </c>
      <c r="BU332" s="551">
        <v>48326.501466304282</v>
      </c>
      <c r="BV332" s="551">
        <v>20744.444457537462</v>
      </c>
      <c r="BW332" s="551">
        <v>194.29892835020732</v>
      </c>
      <c r="BX332" s="551">
        <v>18.521768414345708</v>
      </c>
      <c r="BY332" s="551">
        <v>13546812.60990198</v>
      </c>
      <c r="BZ332" s="551">
        <v>6.8599142275354428</v>
      </c>
      <c r="CA332" s="551">
        <v>737503.02242573607</v>
      </c>
      <c r="CB332" s="551">
        <v>8.3205981103307205E-32</v>
      </c>
      <c r="CC332" s="551">
        <v>72.198701464973695</v>
      </c>
      <c r="CD332" s="551">
        <v>258398.48319245811</v>
      </c>
      <c r="CE332" s="551">
        <v>0.96439841357684752</v>
      </c>
      <c r="CF332" s="551">
        <v>51.945151054044594</v>
      </c>
      <c r="CG332" s="551">
        <v>14.427490192132849</v>
      </c>
      <c r="CH332" s="551">
        <v>81.170692069612869</v>
      </c>
      <c r="CI332" s="551">
        <v>5.3435148859751278</v>
      </c>
      <c r="CJ332" s="551">
        <v>180031.54749501401</v>
      </c>
      <c r="CK332" s="551">
        <v>40973.588076234606</v>
      </c>
      <c r="CL332" s="551"/>
      <c r="CM332" s="551">
        <v>1.6471344915848822</v>
      </c>
      <c r="CN332" s="551">
        <v>12.640936601484093</v>
      </c>
      <c r="CO332" s="551">
        <v>14968.651603774717</v>
      </c>
      <c r="CP332" s="551">
        <v>9021.8725924937389</v>
      </c>
      <c r="CQ332" s="551"/>
      <c r="CR332" s="551">
        <v>0.37581148114980317</v>
      </c>
      <c r="CS332" s="551">
        <v>3.4017413260067859</v>
      </c>
      <c r="CT332" s="551">
        <v>21458.34591092783</v>
      </c>
      <c r="CU332" s="551">
        <v>367.2598767450952</v>
      </c>
      <c r="CV332" s="551"/>
      <c r="CW332" s="551">
        <v>1.3840536994727218E-2</v>
      </c>
      <c r="CX332" s="551">
        <v>0.44844280982380025</v>
      </c>
      <c r="CY332" s="554"/>
    </row>
    <row r="333" spans="65:103" ht="12.75" customHeight="1" x14ac:dyDescent="0.3">
      <c r="BM333" s="562"/>
      <c r="BN333" s="591">
        <v>320</v>
      </c>
      <c r="BO333" s="549" t="s">
        <v>2608</v>
      </c>
      <c r="BP333" s="554" t="s">
        <v>620</v>
      </c>
      <c r="BQ333" s="553" t="s">
        <v>2408</v>
      </c>
      <c r="BR333" s="551">
        <v>1451.8968064417838</v>
      </c>
      <c r="BS333" s="551"/>
      <c r="BT333" s="551">
        <v>9622318.1513671838</v>
      </c>
      <c r="BU333" s="551">
        <v>409336.55068861507</v>
      </c>
      <c r="BV333" s="551">
        <v>129572.47697383721</v>
      </c>
      <c r="BW333" s="551">
        <v>1658.7038083474172</v>
      </c>
      <c r="BX333" s="551">
        <v>1432331.866238045</v>
      </c>
      <c r="BY333" s="551">
        <v>17885480.054809023</v>
      </c>
      <c r="BZ333" s="551">
        <v>530493.2837918686</v>
      </c>
      <c r="CA333" s="551">
        <v>10.446915005755249</v>
      </c>
      <c r="CB333" s="551">
        <v>1.1482553733518386E-31</v>
      </c>
      <c r="CC333" s="551">
        <v>6437.5406075260089</v>
      </c>
      <c r="CD333" s="551">
        <v>2302176.9843026754</v>
      </c>
      <c r="CE333" s="551">
        <v>86.686811744869317</v>
      </c>
      <c r="CF333" s="551">
        <v>466.44133353455106</v>
      </c>
      <c r="CG333" s="551">
        <v>5340.6540231558647</v>
      </c>
      <c r="CH333" s="551">
        <v>24595.373049970196</v>
      </c>
      <c r="CI333" s="551">
        <v>1978.0200085762456</v>
      </c>
      <c r="CJ333" s="551">
        <v>1.1049218034216587E-2</v>
      </c>
      <c r="CK333" s="551">
        <v>326213.98578820506</v>
      </c>
      <c r="CL333" s="551"/>
      <c r="CM333" s="551">
        <v>13.216939252545151</v>
      </c>
      <c r="CN333" s="551">
        <v>20.274099898895305</v>
      </c>
      <c r="CO333" s="551">
        <v>3.0104513241446324E-6</v>
      </c>
      <c r="CP333" s="551">
        <v>8623.4479264389629</v>
      </c>
      <c r="CQ333" s="551"/>
      <c r="CR333" s="551">
        <v>0.36211772409160636</v>
      </c>
      <c r="CS333" s="551">
        <v>1.5663896119938396E-2</v>
      </c>
      <c r="CT333" s="551">
        <v>5.9549207265219387E-6</v>
      </c>
      <c r="CU333" s="551">
        <v>1483.105670064866</v>
      </c>
      <c r="CV333" s="551"/>
      <c r="CW333" s="551">
        <v>5.631126382480884E-2</v>
      </c>
      <c r="CX333" s="551">
        <v>3.0632661603655288E-3</v>
      </c>
      <c r="CY333" s="554"/>
    </row>
    <row r="334" spans="65:103" ht="12.75" customHeight="1" x14ac:dyDescent="0.3">
      <c r="BM334" s="562"/>
      <c r="BN334" s="591">
        <v>321</v>
      </c>
      <c r="BO334" s="549" t="s">
        <v>2752</v>
      </c>
      <c r="BP334" s="554" t="s">
        <v>620</v>
      </c>
      <c r="BQ334" s="553" t="s">
        <v>2408</v>
      </c>
      <c r="BR334" s="551">
        <v>21192.916335168793</v>
      </c>
      <c r="BS334" s="551"/>
      <c r="BT334" s="551">
        <v>10458633.644325795</v>
      </c>
      <c r="BU334" s="551">
        <v>444155.14570271166</v>
      </c>
      <c r="BV334" s="551">
        <v>143164.07130689011</v>
      </c>
      <c r="BW334" s="551">
        <v>1828.6819878155586</v>
      </c>
      <c r="BX334" s="551">
        <v>1303988.6330276323</v>
      </c>
      <c r="BY334" s="551">
        <v>18848464.513745803</v>
      </c>
      <c r="BZ334" s="551">
        <v>482958.75297319732</v>
      </c>
      <c r="CA334" s="551">
        <v>2042.0176511969917</v>
      </c>
      <c r="CB334" s="551">
        <v>1.4512959504570905E-30</v>
      </c>
      <c r="CC334" s="551">
        <v>76637.308081548646</v>
      </c>
      <c r="CD334" s="551">
        <v>2819320.0962778646</v>
      </c>
      <c r="CE334" s="551">
        <v>1049.0575931883325</v>
      </c>
      <c r="CF334" s="551">
        <v>580.38727321202782</v>
      </c>
      <c r="CG334" s="551">
        <v>65108.563380692569</v>
      </c>
      <c r="CH334" s="551">
        <v>299314.50481191615</v>
      </c>
      <c r="CI334" s="551">
        <v>24114.28273358984</v>
      </c>
      <c r="CJ334" s="551">
        <v>29.074897225416116</v>
      </c>
      <c r="CK334" s="551">
        <v>406597.73464538442</v>
      </c>
      <c r="CL334" s="551"/>
      <c r="CM334" s="551">
        <v>16.738187003307292</v>
      </c>
      <c r="CN334" s="551">
        <v>3327.3651573257512</v>
      </c>
      <c r="CO334" s="551">
        <v>9.0226403451753284E-2</v>
      </c>
      <c r="CP334" s="551">
        <v>10899.089750146893</v>
      </c>
      <c r="CQ334" s="551"/>
      <c r="CR334" s="551">
        <v>0.46522575348290462</v>
      </c>
      <c r="CS334" s="551">
        <v>35.652951956063561</v>
      </c>
      <c r="CT334" s="551">
        <v>0.20446042640066894</v>
      </c>
      <c r="CU334" s="551">
        <v>1871.682151061736</v>
      </c>
      <c r="CV334" s="551"/>
      <c r="CW334" s="551">
        <v>7.2151085413747248E-2</v>
      </c>
      <c r="CX334" s="551">
        <v>6.3810247723110489</v>
      </c>
      <c r="CY334" s="554"/>
    </row>
    <row r="335" spans="65:103" ht="12.75" customHeight="1" x14ac:dyDescent="0.3">
      <c r="BM335" s="562"/>
      <c r="BN335" s="591">
        <v>322</v>
      </c>
      <c r="BO335" s="549" t="s">
        <v>2670</v>
      </c>
      <c r="BP335" s="554" t="s">
        <v>620</v>
      </c>
      <c r="BQ335" s="553" t="s">
        <v>2408</v>
      </c>
      <c r="BR335" s="551">
        <v>177028.207631383</v>
      </c>
      <c r="BS335" s="551"/>
      <c r="BT335" s="551">
        <v>4893444.8775325865</v>
      </c>
      <c r="BU335" s="551">
        <v>191257.16589636225</v>
      </c>
      <c r="BV335" s="551">
        <v>67545.139918220942</v>
      </c>
      <c r="BW335" s="551">
        <v>793.84053688543008</v>
      </c>
      <c r="BX335" s="551">
        <v>7958.7359807864359</v>
      </c>
      <c r="BY335" s="551">
        <v>14491910.768383332</v>
      </c>
      <c r="BZ335" s="551">
        <v>2947.6799928838645</v>
      </c>
      <c r="CA335" s="551">
        <v>57953.272561471858</v>
      </c>
      <c r="CB335" s="551">
        <v>1.9403731882879558E-30</v>
      </c>
      <c r="CC335" s="551">
        <v>5363.0586924584213</v>
      </c>
      <c r="CD335" s="551">
        <v>1466647.1006465568</v>
      </c>
      <c r="CE335" s="551">
        <v>74.027307722405752</v>
      </c>
      <c r="CF335" s="551">
        <v>304.37654880592038</v>
      </c>
      <c r="CG335" s="551">
        <v>1345.1260090322287</v>
      </c>
      <c r="CH335" s="551">
        <v>7569.7444381368459</v>
      </c>
      <c r="CI335" s="551">
        <v>498.19481816008471</v>
      </c>
      <c r="CJ335" s="551">
        <v>2825.2750878817974</v>
      </c>
      <c r="CK335" s="551">
        <v>231311.52353992249</v>
      </c>
      <c r="CL335" s="551"/>
      <c r="CM335" s="551">
        <v>9.5995921469705632</v>
      </c>
      <c r="CN335" s="551">
        <v>235.36907494272032</v>
      </c>
      <c r="CO335" s="551">
        <v>43.441345706529688</v>
      </c>
      <c r="CP335" s="551">
        <v>8546.1674261777389</v>
      </c>
      <c r="CQ335" s="551"/>
      <c r="CR335" s="551">
        <v>0.36783608842651022</v>
      </c>
      <c r="CS335" s="551">
        <v>12.305492112933823</v>
      </c>
      <c r="CT335" s="551">
        <v>60.391583397941957</v>
      </c>
      <c r="CU335" s="551">
        <v>1295.4117962968787</v>
      </c>
      <c r="CV335" s="551"/>
      <c r="CW335" s="551">
        <v>5.0322539912624004E-2</v>
      </c>
      <c r="CX335" s="551">
        <v>1.4103072304149538</v>
      </c>
      <c r="CY335" s="554"/>
    </row>
    <row r="336" spans="65:103" ht="12.75" customHeight="1" x14ac:dyDescent="0.3">
      <c r="BM336" s="562"/>
      <c r="BN336" s="591">
        <v>323</v>
      </c>
      <c r="BO336" s="549" t="s">
        <v>2508</v>
      </c>
      <c r="BP336" s="554" t="s">
        <v>620</v>
      </c>
      <c r="BQ336" s="553" t="s">
        <v>2408</v>
      </c>
      <c r="BR336" s="551">
        <v>401879.01632461627</v>
      </c>
      <c r="BS336" s="551"/>
      <c r="BT336" s="551">
        <v>4431695.602615796</v>
      </c>
      <c r="BU336" s="551">
        <v>177053.46745787063</v>
      </c>
      <c r="BV336" s="551">
        <v>61171.527838806236</v>
      </c>
      <c r="BW336" s="551">
        <v>734.88603161852245</v>
      </c>
      <c r="BX336" s="551">
        <v>19608.470483246794</v>
      </c>
      <c r="BY336" s="551">
        <v>12160011.621638274</v>
      </c>
      <c r="BZ336" s="551">
        <v>7262.3964752765914</v>
      </c>
      <c r="CA336" s="551">
        <v>548658.47513291484</v>
      </c>
      <c r="CB336" s="551">
        <v>1.7708173123271514E-29</v>
      </c>
      <c r="CC336" s="551">
        <v>53325.787277191215</v>
      </c>
      <c r="CD336" s="551">
        <v>4919896.6209045909</v>
      </c>
      <c r="CE336" s="551">
        <v>736.06587036969825</v>
      </c>
      <c r="CF336" s="551">
        <v>1021.0371351722511</v>
      </c>
      <c r="CG336" s="551">
        <v>13820.962396854236</v>
      </c>
      <c r="CH336" s="551">
        <v>77750.115381727825</v>
      </c>
      <c r="CI336" s="551">
        <v>5118.8749617978638</v>
      </c>
      <c r="CJ336" s="551">
        <v>118463.22834209453</v>
      </c>
      <c r="CK336" s="551">
        <v>1699065.0128782648</v>
      </c>
      <c r="CL336" s="551"/>
      <c r="CM336" s="551">
        <v>70.512402085335779</v>
      </c>
      <c r="CN336" s="551">
        <v>10710.837055040036</v>
      </c>
      <c r="CO336" s="551">
        <v>7164.3302181456156</v>
      </c>
      <c r="CP336" s="551">
        <v>434540.93592631957</v>
      </c>
      <c r="CQ336" s="551"/>
      <c r="CR336" s="551">
        <v>18.703101654985989</v>
      </c>
      <c r="CS336" s="551">
        <v>2202.819314047505</v>
      </c>
      <c r="CT336" s="551">
        <v>12202.651294506222</v>
      </c>
      <c r="CU336" s="551">
        <v>56723.258039350003</v>
      </c>
      <c r="CV336" s="551"/>
      <c r="CW336" s="551">
        <v>2.2035142993285555</v>
      </c>
      <c r="CX336" s="551">
        <v>309.25250233422838</v>
      </c>
      <c r="CY336" s="554"/>
    </row>
    <row r="337" spans="65:103" ht="12.75" customHeight="1" x14ac:dyDescent="0.3">
      <c r="BM337" s="562"/>
      <c r="BN337" s="591">
        <v>324</v>
      </c>
      <c r="BO337" s="549" t="s">
        <v>2559</v>
      </c>
      <c r="BP337" s="554" t="s">
        <v>620</v>
      </c>
      <c r="BQ337" s="553" t="s">
        <v>2408</v>
      </c>
      <c r="BR337" s="551">
        <v>835459.7552374443</v>
      </c>
      <c r="BS337" s="551"/>
      <c r="BT337" s="551">
        <v>2370760.3545577941</v>
      </c>
      <c r="BU337" s="551">
        <v>71273.096034734801</v>
      </c>
      <c r="BV337" s="551">
        <v>33000.894422458499</v>
      </c>
      <c r="BW337" s="551">
        <v>298.25632636047027</v>
      </c>
      <c r="BX337" s="551">
        <v>94.738270089353705</v>
      </c>
      <c r="BY337" s="551">
        <v>23256919.850832421</v>
      </c>
      <c r="BZ337" s="551">
        <v>35.088248181242108</v>
      </c>
      <c r="CA337" s="551">
        <v>1237682.6497620784</v>
      </c>
      <c r="CB337" s="551">
        <v>4.7098947763440468E-31</v>
      </c>
      <c r="CC337" s="551">
        <v>363.60914895037212</v>
      </c>
      <c r="CD337" s="551">
        <v>446338.08429869742</v>
      </c>
      <c r="CE337" s="551">
        <v>5.0614255938953425</v>
      </c>
      <c r="CF337" s="551">
        <v>93.389486877925222</v>
      </c>
      <c r="CG337" s="551">
        <v>72.459174220434178</v>
      </c>
      <c r="CH337" s="551">
        <v>406.9061527669225</v>
      </c>
      <c r="CI337" s="551">
        <v>26.836731192753398</v>
      </c>
      <c r="CJ337" s="551">
        <v>295904.12917244586</v>
      </c>
      <c r="CK337" s="551">
        <v>90547.630474614358</v>
      </c>
      <c r="CL337" s="551"/>
      <c r="CM337" s="551">
        <v>3.7886202027917153</v>
      </c>
      <c r="CN337" s="551">
        <v>62.17828773812667</v>
      </c>
      <c r="CO337" s="551">
        <v>23841.452667514379</v>
      </c>
      <c r="CP337" s="551">
        <v>44278.236739077402</v>
      </c>
      <c r="CQ337" s="551"/>
      <c r="CR337" s="551">
        <v>1.921856100570817</v>
      </c>
      <c r="CS337" s="551">
        <v>16.772468300633015</v>
      </c>
      <c r="CT337" s="551">
        <v>34496.895124629504</v>
      </c>
      <c r="CU337" s="551">
        <v>1399.0583450767638</v>
      </c>
      <c r="CV337" s="551"/>
      <c r="CW337" s="551">
        <v>5.4773176434153373E-2</v>
      </c>
      <c r="CX337" s="551">
        <v>2.0740114295664624</v>
      </c>
      <c r="CY337" s="554"/>
    </row>
    <row r="338" spans="65:103" ht="12.75" customHeight="1" x14ac:dyDescent="0.3">
      <c r="BM338" s="562"/>
      <c r="BN338" s="591">
        <v>325</v>
      </c>
      <c r="BO338" s="549" t="s">
        <v>2584</v>
      </c>
      <c r="BP338" s="554" t="s">
        <v>620</v>
      </c>
      <c r="BQ338" s="553" t="s">
        <v>2408</v>
      </c>
      <c r="BR338" s="551">
        <v>478383.38935648772</v>
      </c>
      <c r="BS338" s="551"/>
      <c r="BT338" s="551">
        <v>1603187.4135232898</v>
      </c>
      <c r="BU338" s="551">
        <v>52235.26257121058</v>
      </c>
      <c r="BV338" s="551">
        <v>24396.943389198805</v>
      </c>
      <c r="BW338" s="551">
        <v>238.30139475325865</v>
      </c>
      <c r="BX338" s="551">
        <v>993.29334414253606</v>
      </c>
      <c r="BY338" s="551">
        <v>12902254.176374881</v>
      </c>
      <c r="BZ338" s="551">
        <v>367.88642375649471</v>
      </c>
      <c r="CA338" s="551">
        <v>804133.97118848632</v>
      </c>
      <c r="CB338" s="551">
        <v>3.9015481081686111E-30</v>
      </c>
      <c r="CC338" s="551">
        <v>3839.1161344634993</v>
      </c>
      <c r="CD338" s="551">
        <v>1076536.1341748221</v>
      </c>
      <c r="CE338" s="551">
        <v>58.422800857215634</v>
      </c>
      <c r="CF338" s="551">
        <v>245.56214485033823</v>
      </c>
      <c r="CG338" s="551">
        <v>862.41234536280035</v>
      </c>
      <c r="CH338" s="551">
        <v>4757.5719302776242</v>
      </c>
      <c r="CI338" s="551">
        <v>319.41197976400008</v>
      </c>
      <c r="CJ338" s="551">
        <v>220415.69533660138</v>
      </c>
      <c r="CK338" s="551">
        <v>426734.69800680043</v>
      </c>
      <c r="CL338" s="551"/>
      <c r="CM338" s="551">
        <v>19.465274377929177</v>
      </c>
      <c r="CN338" s="551">
        <v>848.46264602181986</v>
      </c>
      <c r="CO338" s="551">
        <v>17789.938116726014</v>
      </c>
      <c r="CP338" s="551">
        <v>333997.99698708305</v>
      </c>
      <c r="CQ338" s="551"/>
      <c r="CR338" s="551">
        <v>15.844154396594927</v>
      </c>
      <c r="CS338" s="551">
        <v>233.39618529575094</v>
      </c>
      <c r="CT338" s="551">
        <v>30578.03198479399</v>
      </c>
      <c r="CU338" s="551">
        <v>13824.492033850069</v>
      </c>
      <c r="CV338" s="551"/>
      <c r="CW338" s="551">
        <v>0.58748345514847755</v>
      </c>
      <c r="CX338" s="551">
        <v>32.999965270837066</v>
      </c>
      <c r="CY338" s="554"/>
    </row>
    <row r="339" spans="65:103" ht="12.75" customHeight="1" x14ac:dyDescent="0.3">
      <c r="BM339" s="562"/>
      <c r="BN339" s="591">
        <v>326</v>
      </c>
      <c r="BO339" s="549" t="s">
        <v>2604</v>
      </c>
      <c r="BP339" s="554" t="s">
        <v>620</v>
      </c>
      <c r="BQ339" s="553" t="s">
        <v>2408</v>
      </c>
      <c r="BR339" s="551">
        <v>655795.3869843916</v>
      </c>
      <c r="BS339" s="551"/>
      <c r="BT339" s="551">
        <v>3453428.2892199196</v>
      </c>
      <c r="BU339" s="551">
        <v>141046.77415982858</v>
      </c>
      <c r="BV339" s="551">
        <v>54830.772211553034</v>
      </c>
      <c r="BW339" s="551">
        <v>671.4440692932792</v>
      </c>
      <c r="BX339" s="551">
        <v>17400.066538446074</v>
      </c>
      <c r="BY339" s="551">
        <v>23391996.253678821</v>
      </c>
      <c r="BZ339" s="551">
        <v>6444.469088313358</v>
      </c>
      <c r="CA339" s="551">
        <v>1982749.0722180982</v>
      </c>
      <c r="CB339" s="551">
        <v>4.6260388810120074E-29</v>
      </c>
      <c r="CC339" s="551">
        <v>97542.879607184237</v>
      </c>
      <c r="CD339" s="551">
        <v>21795679.441095505</v>
      </c>
      <c r="CE339" s="551">
        <v>1548.7078244235311</v>
      </c>
      <c r="CF339" s="551">
        <v>5187.8462957109914</v>
      </c>
      <c r="CG339" s="551">
        <v>24657.938144891374</v>
      </c>
      <c r="CH339" s="551">
        <v>170721.85669551449</v>
      </c>
      <c r="CI339" s="551">
        <v>9132.5696832930989</v>
      </c>
      <c r="CJ339" s="551">
        <v>1064623.5064262326</v>
      </c>
      <c r="CK339" s="551">
        <v>23114794.267556131</v>
      </c>
      <c r="CL339" s="551"/>
      <c r="CM339" s="551">
        <v>1106.9450334683859</v>
      </c>
      <c r="CN339" s="551">
        <v>47521.343446913743</v>
      </c>
      <c r="CO339" s="551">
        <v>124776.03264273371</v>
      </c>
      <c r="CP339" s="551">
        <v>15006310.574113477</v>
      </c>
      <c r="CQ339" s="551"/>
      <c r="CR339" s="551">
        <v>730.30527474262351</v>
      </c>
      <c r="CS339" s="551">
        <v>18433.989463784674</v>
      </c>
      <c r="CT339" s="551">
        <v>341037.91602994117</v>
      </c>
      <c r="CU339" s="551">
        <v>2341116.0868421472</v>
      </c>
      <c r="CV339" s="551"/>
      <c r="CW339" s="551">
        <v>108.83015750259389</v>
      </c>
      <c r="CX339" s="551">
        <v>4357.4047662689363</v>
      </c>
      <c r="CY339" s="554"/>
    </row>
    <row r="340" spans="65:103" ht="12.75" customHeight="1" x14ac:dyDescent="0.3">
      <c r="BM340" s="562"/>
      <c r="BN340" s="591">
        <v>327</v>
      </c>
      <c r="BO340" s="549" t="s">
        <v>2626</v>
      </c>
      <c r="BP340" s="554" t="s">
        <v>620</v>
      </c>
      <c r="BQ340" s="553" t="s">
        <v>2408</v>
      </c>
      <c r="BR340" s="551">
        <v>92509.579436205429</v>
      </c>
      <c r="BS340" s="551"/>
      <c r="BT340" s="551">
        <v>9794403.709611211</v>
      </c>
      <c r="BU340" s="551">
        <v>415515.33007430274</v>
      </c>
      <c r="BV340" s="551">
        <v>156367.64904141804</v>
      </c>
      <c r="BW340" s="551">
        <v>1985.5314448582501</v>
      </c>
      <c r="BX340" s="551">
        <v>1041278.9147871024</v>
      </c>
      <c r="BY340" s="551">
        <v>18408370.211807624</v>
      </c>
      <c r="BZ340" s="551">
        <v>385658.85732855665</v>
      </c>
      <c r="CA340" s="551">
        <v>44152.734880554737</v>
      </c>
      <c r="CB340" s="551">
        <v>6.3384991365476819E-30</v>
      </c>
      <c r="CC340" s="551">
        <v>239940.37173984305</v>
      </c>
      <c r="CD340" s="551">
        <v>3818619.5451957798</v>
      </c>
      <c r="CE340" s="551">
        <v>3830.6478833689484</v>
      </c>
      <c r="CF340" s="551">
        <v>912.35974152634913</v>
      </c>
      <c r="CG340" s="551">
        <v>257508.13157546599</v>
      </c>
      <c r="CH340" s="551">
        <v>1128370.0446502264</v>
      </c>
      <c r="CI340" s="551">
        <v>95373.382064987381</v>
      </c>
      <c r="CJ340" s="551">
        <v>3203.6393546084919</v>
      </c>
      <c r="CK340" s="551">
        <v>688827.14263981639</v>
      </c>
      <c r="CL340" s="551"/>
      <c r="CM340" s="551">
        <v>32.910891202000407</v>
      </c>
      <c r="CN340" s="551">
        <v>67062.635004520373</v>
      </c>
      <c r="CO340" s="551">
        <v>53.352719963765679</v>
      </c>
      <c r="CP340" s="551">
        <v>34392.690698878927</v>
      </c>
      <c r="CQ340" s="551"/>
      <c r="CR340" s="551">
        <v>1.7113722330528613</v>
      </c>
      <c r="CS340" s="551">
        <v>3936.2748013041737</v>
      </c>
      <c r="CT340" s="551">
        <v>112.00408699108472</v>
      </c>
      <c r="CU340" s="551">
        <v>5640.1922614755213</v>
      </c>
      <c r="CV340" s="551"/>
      <c r="CW340" s="551">
        <v>0.25043572899041799</v>
      </c>
      <c r="CX340" s="551">
        <v>633.18669207409107</v>
      </c>
      <c r="CY340" s="554"/>
    </row>
    <row r="341" spans="65:103" ht="12.75" customHeight="1" x14ac:dyDescent="0.3">
      <c r="BM341" s="562"/>
      <c r="BN341" s="591">
        <v>328</v>
      </c>
      <c r="BO341" s="549" t="s">
        <v>2586</v>
      </c>
      <c r="BP341" s="554" t="s">
        <v>620</v>
      </c>
      <c r="BQ341" s="553" t="s">
        <v>2408</v>
      </c>
      <c r="BR341" s="551">
        <v>254798.011772889</v>
      </c>
      <c r="BS341" s="551"/>
      <c r="BT341" s="551">
        <v>1389039.4409562184</v>
      </c>
      <c r="BU341" s="551">
        <v>43653.030634903756</v>
      </c>
      <c r="BV341" s="551">
        <v>22619.577907472642</v>
      </c>
      <c r="BW341" s="551">
        <v>212.62371819087983</v>
      </c>
      <c r="BX341" s="551">
        <v>41.200420405884515</v>
      </c>
      <c r="BY341" s="551">
        <v>12727094.352812527</v>
      </c>
      <c r="BZ341" s="551">
        <v>15.259414965142412</v>
      </c>
      <c r="CA341" s="551">
        <v>156702.15229176561</v>
      </c>
      <c r="CB341" s="551">
        <v>5.9960426769655697E-32</v>
      </c>
      <c r="CC341" s="551">
        <v>53.672680727399012</v>
      </c>
      <c r="CD341" s="551">
        <v>231148.92446825193</v>
      </c>
      <c r="CE341" s="551">
        <v>0.87402369394244861</v>
      </c>
      <c r="CF341" s="551">
        <v>56.29362161279748</v>
      </c>
      <c r="CG341" s="551">
        <v>13.094984922450816</v>
      </c>
      <c r="CH341" s="551">
        <v>71.032788422481588</v>
      </c>
      <c r="CI341" s="551">
        <v>4.8499944157225263</v>
      </c>
      <c r="CJ341" s="551">
        <v>14629.175758073208</v>
      </c>
      <c r="CK341" s="551">
        <v>33409.969915006826</v>
      </c>
      <c r="CL341" s="551"/>
      <c r="CM341" s="551">
        <v>1.6270954257750894</v>
      </c>
      <c r="CN341" s="551">
        <v>4.387867999814155</v>
      </c>
      <c r="CO341" s="551">
        <v>454.83451812046019</v>
      </c>
      <c r="CP341" s="551">
        <v>1616.7022202787316</v>
      </c>
      <c r="CQ341" s="551"/>
      <c r="CR341" s="551">
        <v>8.2050742834382295E-2</v>
      </c>
      <c r="CS341" s="551">
        <v>0.46136197735880125</v>
      </c>
      <c r="CT341" s="551">
        <v>616.05507031046227</v>
      </c>
      <c r="CU341" s="551">
        <v>168.25099189542627</v>
      </c>
      <c r="CV341" s="551"/>
      <c r="CW341" s="551">
        <v>7.6069921658922911E-3</v>
      </c>
      <c r="CX341" s="551">
        <v>5.2427878603583902E-2</v>
      </c>
      <c r="CY341" s="554"/>
    </row>
    <row r="342" spans="65:103" ht="12.75" customHeight="1" x14ac:dyDescent="0.3">
      <c r="BM342" s="562"/>
      <c r="BN342" s="591">
        <v>329</v>
      </c>
      <c r="BO342" s="549" t="s">
        <v>2814</v>
      </c>
      <c r="BP342" s="554" t="s">
        <v>620</v>
      </c>
      <c r="BQ342" s="553" t="s">
        <v>2408</v>
      </c>
      <c r="BR342" s="551">
        <v>87777.301039822603</v>
      </c>
      <c r="BS342" s="551"/>
      <c r="BT342" s="551">
        <v>1084172.0918341368</v>
      </c>
      <c r="BU342" s="551">
        <v>40923.480090243494</v>
      </c>
      <c r="BV342" s="551">
        <v>19064.920200502675</v>
      </c>
      <c r="BW342" s="551">
        <v>215.05758211163783</v>
      </c>
      <c r="BX342" s="551">
        <v>686.97708186670366</v>
      </c>
      <c r="BY342" s="551">
        <v>10506980.512111798</v>
      </c>
      <c r="BZ342" s="551">
        <v>254.43595624692733</v>
      </c>
      <c r="CA342" s="551">
        <v>39063.778345522114</v>
      </c>
      <c r="CB342" s="551">
        <v>3.2442332912366352E-31</v>
      </c>
      <c r="CC342" s="551">
        <v>510.98214617451208</v>
      </c>
      <c r="CD342" s="551">
        <v>558184.60090560128</v>
      </c>
      <c r="CE342" s="551">
        <v>8.9855050817790563</v>
      </c>
      <c r="CF342" s="551">
        <v>146.66620529094135</v>
      </c>
      <c r="CG342" s="551">
        <v>143.43496705055196</v>
      </c>
      <c r="CH342" s="551">
        <v>980.44981599044559</v>
      </c>
      <c r="CI342" s="551">
        <v>53.124061870574799</v>
      </c>
      <c r="CJ342" s="551">
        <v>2616.7345999583049</v>
      </c>
      <c r="CK342" s="551">
        <v>199248.63886337553</v>
      </c>
      <c r="CL342" s="551"/>
      <c r="CM342" s="551">
        <v>10.533357218797184</v>
      </c>
      <c r="CN342" s="551">
        <v>34.486103181335409</v>
      </c>
      <c r="CO342" s="551">
        <v>56.479741868250819</v>
      </c>
      <c r="CP342" s="551">
        <v>14518.104725749827</v>
      </c>
      <c r="CQ342" s="551"/>
      <c r="CR342" s="551">
        <v>0.78097387965389975</v>
      </c>
      <c r="CS342" s="551">
        <v>2.4716413255270968</v>
      </c>
      <c r="CT342" s="551">
        <v>77.877259186639506</v>
      </c>
      <c r="CU342" s="551">
        <v>2359.3260891090245</v>
      </c>
      <c r="CV342" s="551"/>
      <c r="CW342" s="551">
        <v>0.12079286160837105</v>
      </c>
      <c r="CX342" s="551">
        <v>0.2936302279522186</v>
      </c>
      <c r="CY342" s="554"/>
    </row>
    <row r="343" spans="65:103" ht="12.75" customHeight="1" x14ac:dyDescent="0.3">
      <c r="BM343" s="562"/>
      <c r="BN343" s="591">
        <v>330</v>
      </c>
      <c r="BO343" s="549" t="s">
        <v>856</v>
      </c>
      <c r="BP343" s="554" t="s">
        <v>620</v>
      </c>
      <c r="BQ343" s="553" t="s">
        <v>2408</v>
      </c>
      <c r="BR343" s="551">
        <v>190556.9674700633</v>
      </c>
      <c r="BS343" s="551"/>
      <c r="BT343" s="551">
        <v>8740738.3473457173</v>
      </c>
      <c r="BU343" s="551">
        <v>399590.14579567901</v>
      </c>
      <c r="BV343" s="551">
        <v>158626.10757510419</v>
      </c>
      <c r="BW343" s="551">
        <v>2166.8071443295767</v>
      </c>
      <c r="BX343" s="551">
        <v>24460.924563939996</v>
      </c>
      <c r="BY343" s="551">
        <v>40632811.105042957</v>
      </c>
      <c r="BZ343" s="551">
        <v>9059.6016903481468</v>
      </c>
      <c r="CA343" s="551">
        <v>78276.608959230027</v>
      </c>
      <c r="CB343" s="551">
        <v>2.6544591005666257E-30</v>
      </c>
      <c r="CC343" s="551">
        <v>15217.687011907245</v>
      </c>
      <c r="CD343" s="551">
        <v>22402799.61835508</v>
      </c>
      <c r="CE343" s="551">
        <v>276.16917027702766</v>
      </c>
      <c r="CF343" s="551">
        <v>6074.0419623431826</v>
      </c>
      <c r="CG343" s="551">
        <v>4208.1329373086455</v>
      </c>
      <c r="CH343" s="551">
        <v>33249.980924154479</v>
      </c>
      <c r="CI343" s="551">
        <v>1558.5677545587571</v>
      </c>
      <c r="CJ343" s="551">
        <v>13239.52724495686</v>
      </c>
      <c r="CK343" s="551">
        <v>207353436.42393926</v>
      </c>
      <c r="CL343" s="551"/>
      <c r="CM343" s="551">
        <v>11357.345290501407</v>
      </c>
      <c r="CN343" s="551">
        <v>2554.6627810065243</v>
      </c>
      <c r="CO343" s="551">
        <v>1932.5930499992062</v>
      </c>
      <c r="CP343" s="551">
        <v>118620817.71332456</v>
      </c>
      <c r="CQ343" s="551"/>
      <c r="CR343" s="551">
        <v>6523.5121337856854</v>
      </c>
      <c r="CS343" s="551">
        <v>1217.1757696404052</v>
      </c>
      <c r="CT343" s="551">
        <v>10890.86361724251</v>
      </c>
      <c r="CU343" s="551">
        <v>164434914.33859029</v>
      </c>
      <c r="CV343" s="551"/>
      <c r="CW343" s="551">
        <v>8939.1904526236995</v>
      </c>
      <c r="CX343" s="551">
        <v>608.46557140887842</v>
      </c>
      <c r="CY343" s="554"/>
    </row>
    <row r="344" spans="65:103" ht="12.75" customHeight="1" x14ac:dyDescent="0.3">
      <c r="BM344" s="562"/>
      <c r="BN344" s="591">
        <v>331</v>
      </c>
      <c r="BO344" s="549" t="s">
        <v>2521</v>
      </c>
      <c r="BP344" s="554" t="s">
        <v>620</v>
      </c>
      <c r="BQ344" s="553" t="s">
        <v>2408</v>
      </c>
      <c r="BR344" s="551">
        <v>87271.092870189867</v>
      </c>
      <c r="BS344" s="551"/>
      <c r="BT344" s="551">
        <v>6795805.212283914</v>
      </c>
      <c r="BU344" s="551">
        <v>281070.83221510111</v>
      </c>
      <c r="BV344" s="551">
        <v>124196.04382961609</v>
      </c>
      <c r="BW344" s="551">
        <v>1530.0467440036612</v>
      </c>
      <c r="BX344" s="551">
        <v>26575.65071517925</v>
      </c>
      <c r="BY344" s="551">
        <v>12757381.173135737</v>
      </c>
      <c r="BZ344" s="551">
        <v>9842.8335982145345</v>
      </c>
      <c r="CA344" s="551">
        <v>22577.462044926178</v>
      </c>
      <c r="CB344" s="551">
        <v>8.9533014083200079E-31</v>
      </c>
      <c r="CC344" s="551">
        <v>5949.0383214358144</v>
      </c>
      <c r="CD344" s="551">
        <v>1756325.0537709899</v>
      </c>
      <c r="CE344" s="551">
        <v>108.72104203010234</v>
      </c>
      <c r="CF344" s="551">
        <v>478.03954055926749</v>
      </c>
      <c r="CG344" s="551">
        <v>3557.3998706193347</v>
      </c>
      <c r="CH344" s="551">
        <v>18215.033881200899</v>
      </c>
      <c r="CI344" s="551">
        <v>1317.5555076367905</v>
      </c>
      <c r="CJ344" s="551">
        <v>868.6427621902867</v>
      </c>
      <c r="CK344" s="551">
        <v>257666.8372051451</v>
      </c>
      <c r="CL344" s="551"/>
      <c r="CM344" s="551">
        <v>14.024481664878751</v>
      </c>
      <c r="CN344" s="551">
        <v>491.24984320756045</v>
      </c>
      <c r="CO344" s="551">
        <v>10.684795774127176</v>
      </c>
      <c r="CP344" s="551">
        <v>7447.7099685391622</v>
      </c>
      <c r="CQ344" s="551"/>
      <c r="CR344" s="551">
        <v>0.4240479369135054</v>
      </c>
      <c r="CS344" s="551">
        <v>20.822420059939596</v>
      </c>
      <c r="CT344" s="551">
        <v>14.447047536225256</v>
      </c>
      <c r="CU344" s="551">
        <v>1252.6163307651955</v>
      </c>
      <c r="CV344" s="551"/>
      <c r="CW344" s="551">
        <v>6.2888434423318346E-2</v>
      </c>
      <c r="CX344" s="551">
        <v>2.2716858117361158</v>
      </c>
      <c r="CY344" s="554"/>
    </row>
    <row r="345" spans="65:103" ht="12.75" customHeight="1" x14ac:dyDescent="0.3">
      <c r="BM345" s="562"/>
      <c r="BN345" s="591">
        <v>332</v>
      </c>
      <c r="BO345" s="549" t="s">
        <v>2471</v>
      </c>
      <c r="BP345" s="554" t="s">
        <v>620</v>
      </c>
      <c r="BQ345" s="553" t="s">
        <v>2408</v>
      </c>
      <c r="BR345" s="551">
        <v>240662.54799317982</v>
      </c>
      <c r="BS345" s="551"/>
      <c r="BT345" s="551">
        <v>13961606.414857047</v>
      </c>
      <c r="BU345" s="551">
        <v>638993.58190733194</v>
      </c>
      <c r="BV345" s="551">
        <v>271320.13751584658</v>
      </c>
      <c r="BW345" s="551">
        <v>3698.1660823606321</v>
      </c>
      <c r="BX345" s="551">
        <v>367459.9688602463</v>
      </c>
      <c r="BY345" s="551">
        <v>23795584.475281671</v>
      </c>
      <c r="BZ345" s="551">
        <v>136096.28476305417</v>
      </c>
      <c r="CA345" s="551">
        <v>362391.65978137887</v>
      </c>
      <c r="CB345" s="551">
        <v>1.6859610309283487E-29</v>
      </c>
      <c r="CC345" s="551">
        <v>474447.63536923146</v>
      </c>
      <c r="CD345" s="551">
        <v>15770286.250047011</v>
      </c>
      <c r="CE345" s="551">
        <v>9220.0849850247068</v>
      </c>
      <c r="CF345" s="551">
        <v>4563.5151408688116</v>
      </c>
      <c r="CG345" s="551">
        <v>271916.83358739992</v>
      </c>
      <c r="CH345" s="551">
        <v>1693005.8600380288</v>
      </c>
      <c r="CI345" s="551">
        <v>100709.93836570368</v>
      </c>
      <c r="CJ345" s="551">
        <v>88329.083718192938</v>
      </c>
      <c r="CK345" s="551">
        <v>8250808.7094252454</v>
      </c>
      <c r="CL345" s="551"/>
      <c r="CM345" s="551">
        <v>480.36967761295654</v>
      </c>
      <c r="CN345" s="551">
        <v>237884.02650920677</v>
      </c>
      <c r="CO345" s="551">
        <v>5659.5076183305737</v>
      </c>
      <c r="CP345" s="551">
        <v>1524044.3369817473</v>
      </c>
      <c r="CQ345" s="551"/>
      <c r="CR345" s="551">
        <v>90.412952193603161</v>
      </c>
      <c r="CS345" s="551">
        <v>50835.563452339287</v>
      </c>
      <c r="CT345" s="551">
        <v>9797.8290973303119</v>
      </c>
      <c r="CU345" s="551">
        <v>265345.88738104358</v>
      </c>
      <c r="CV345" s="551"/>
      <c r="CW345" s="551">
        <v>14.924512494723619</v>
      </c>
      <c r="CX345" s="551">
        <v>7500.2886593244475</v>
      </c>
      <c r="CY345" s="554"/>
    </row>
    <row r="346" spans="65:103" ht="12.75" customHeight="1" x14ac:dyDescent="0.3">
      <c r="BM346" s="562"/>
      <c r="BN346" s="591">
        <v>333</v>
      </c>
      <c r="BO346" s="549" t="s">
        <v>2754</v>
      </c>
      <c r="BP346" s="554" t="s">
        <v>620</v>
      </c>
      <c r="BQ346" s="553" t="s">
        <v>2408</v>
      </c>
      <c r="BR346" s="551">
        <v>272162.30383028713</v>
      </c>
      <c r="BS346" s="551"/>
      <c r="BT346" s="551">
        <v>1539117.0464759874</v>
      </c>
      <c r="BU346" s="551">
        <v>49412.62046709939</v>
      </c>
      <c r="BV346" s="551">
        <v>29411.595439341843</v>
      </c>
      <c r="BW346" s="551">
        <v>280.77788802921049</v>
      </c>
      <c r="BX346" s="551">
        <v>533.99366777880471</v>
      </c>
      <c r="BY346" s="551">
        <v>14084146.506509293</v>
      </c>
      <c r="BZ346" s="551">
        <v>197.77543251066834</v>
      </c>
      <c r="CA346" s="551">
        <v>168919.53650497529</v>
      </c>
      <c r="CB346" s="551">
        <v>6.2167067471590292E-31</v>
      </c>
      <c r="CC346" s="551">
        <v>590.31433398452668</v>
      </c>
      <c r="CD346" s="551">
        <v>378200.61742153094</v>
      </c>
      <c r="CE346" s="551">
        <v>11.280549723590038</v>
      </c>
      <c r="CF346" s="551">
        <v>107.45268071915562</v>
      </c>
      <c r="CG346" s="551">
        <v>171.48648499121953</v>
      </c>
      <c r="CH346" s="551">
        <v>904.4681427169146</v>
      </c>
      <c r="CI346" s="551">
        <v>63.51351295971093</v>
      </c>
      <c r="CJ346" s="551">
        <v>15905.44042085507</v>
      </c>
      <c r="CK346" s="551">
        <v>67469.043116268294</v>
      </c>
      <c r="CL346" s="551"/>
      <c r="CM346" s="551">
        <v>3.8332649043258828</v>
      </c>
      <c r="CN346" s="551">
        <v>57.956129217727806</v>
      </c>
      <c r="CO346" s="551">
        <v>479.92654743144146</v>
      </c>
      <c r="CP346" s="551">
        <v>8644.1897272765873</v>
      </c>
      <c r="CQ346" s="551"/>
      <c r="CR346" s="551">
        <v>0.51455984026807144</v>
      </c>
      <c r="CS346" s="551">
        <v>5.9791601765708151</v>
      </c>
      <c r="CT346" s="551">
        <v>678.73763988239534</v>
      </c>
      <c r="CU346" s="551">
        <v>501.0806489219857</v>
      </c>
      <c r="CV346" s="551"/>
      <c r="CW346" s="551">
        <v>2.6190651148195535E-2</v>
      </c>
      <c r="CX346" s="551">
        <v>0.69288177014268548</v>
      </c>
      <c r="CY346" s="554"/>
    </row>
    <row r="347" spans="65:103" ht="12.75" customHeight="1" x14ac:dyDescent="0.3">
      <c r="BM347" s="562"/>
      <c r="BN347" s="591">
        <v>334</v>
      </c>
      <c r="BO347" s="549" t="s">
        <v>2880</v>
      </c>
      <c r="BP347" s="554" t="s">
        <v>620</v>
      </c>
      <c r="BQ347" s="553" t="s">
        <v>2408</v>
      </c>
      <c r="BR347" s="551">
        <v>70931.807197936185</v>
      </c>
      <c r="BS347" s="551"/>
      <c r="BT347" s="551">
        <v>4752177.6099959109</v>
      </c>
      <c r="BU347" s="551">
        <v>193378.35228076889</v>
      </c>
      <c r="BV347" s="551">
        <v>92909.406246825471</v>
      </c>
      <c r="BW347" s="551">
        <v>1123.2125503605494</v>
      </c>
      <c r="BX347" s="551">
        <v>11224.539301706205</v>
      </c>
      <c r="BY347" s="551">
        <v>10987540.742689112</v>
      </c>
      <c r="BZ347" s="551">
        <v>4157.236778409705</v>
      </c>
      <c r="CA347" s="551">
        <v>15211.173400250191</v>
      </c>
      <c r="CB347" s="551">
        <v>5.2583291814096523E-31</v>
      </c>
      <c r="CC347" s="551">
        <v>2452.2558604198307</v>
      </c>
      <c r="CD347" s="551">
        <v>1181163.7310682235</v>
      </c>
      <c r="CE347" s="551">
        <v>47.943838521031331</v>
      </c>
      <c r="CF347" s="551">
        <v>343.03165559097039</v>
      </c>
      <c r="CG347" s="551">
        <v>1245.8826985828741</v>
      </c>
      <c r="CH347" s="551">
        <v>6403.0817533814143</v>
      </c>
      <c r="CI347" s="551">
        <v>461.43803651217542</v>
      </c>
      <c r="CJ347" s="551">
        <v>483.891138046018</v>
      </c>
      <c r="CK347" s="551">
        <v>171326.60949068342</v>
      </c>
      <c r="CL347" s="551"/>
      <c r="CM347" s="551">
        <v>9.9498863676490821</v>
      </c>
      <c r="CN347" s="551">
        <v>142.25441750661346</v>
      </c>
      <c r="CO347" s="551">
        <v>4.9531247449515563</v>
      </c>
      <c r="CP347" s="551">
        <v>4781.5647133699949</v>
      </c>
      <c r="CQ347" s="551"/>
      <c r="CR347" s="551">
        <v>0.29118620301393261</v>
      </c>
      <c r="CS347" s="551">
        <v>5.0058545828332619</v>
      </c>
      <c r="CT347" s="551">
        <v>6.6562284272419738</v>
      </c>
      <c r="CU347" s="551">
        <v>808.86593803117216</v>
      </c>
      <c r="CV347" s="551"/>
      <c r="CW347" s="551">
        <v>4.3155895925680789E-2</v>
      </c>
      <c r="CX347" s="551">
        <v>0.54548164514591135</v>
      </c>
      <c r="CY347" s="554"/>
    </row>
    <row r="348" spans="65:103" ht="12.75" customHeight="1" x14ac:dyDescent="0.3">
      <c r="BM348" s="562"/>
      <c r="BN348" s="591">
        <v>335</v>
      </c>
      <c r="BO348" s="549" t="s">
        <v>2736</v>
      </c>
      <c r="BP348" s="554" t="s">
        <v>620</v>
      </c>
      <c r="BQ348" s="553" t="s">
        <v>2408</v>
      </c>
      <c r="BR348" s="551">
        <v>96204.897059910523</v>
      </c>
      <c r="BS348" s="551"/>
      <c r="BT348" s="551">
        <v>6944689.7421239885</v>
      </c>
      <c r="BU348" s="551">
        <v>294180.2271558526</v>
      </c>
      <c r="BV348" s="551">
        <v>137352.65842554913</v>
      </c>
      <c r="BW348" s="551">
        <v>1727.7637255421846</v>
      </c>
      <c r="BX348" s="551">
        <v>657452.01474094996</v>
      </c>
      <c r="BY348" s="551">
        <v>13935403.079870507</v>
      </c>
      <c r="BZ348" s="551">
        <v>243500.74620035195</v>
      </c>
      <c r="CA348" s="551">
        <v>68132.949904295543</v>
      </c>
      <c r="CB348" s="551">
        <v>5.9664973251258985E-30</v>
      </c>
      <c r="CC348" s="551">
        <v>168148.91424933221</v>
      </c>
      <c r="CD348" s="551">
        <v>3040109.1166912718</v>
      </c>
      <c r="CE348" s="551">
        <v>3325.6633832646658</v>
      </c>
      <c r="CF348" s="551">
        <v>892.75039051596798</v>
      </c>
      <c r="CG348" s="551">
        <v>241258.37523239412</v>
      </c>
      <c r="CH348" s="551">
        <v>986004.20982250641</v>
      </c>
      <c r="CI348" s="551">
        <v>89354.953789775594</v>
      </c>
      <c r="CJ348" s="551">
        <v>7462.3836440666128</v>
      </c>
      <c r="CK348" s="551">
        <v>630131.43389377859</v>
      </c>
      <c r="CL348" s="551"/>
      <c r="CM348" s="551">
        <v>37.003363062396915</v>
      </c>
      <c r="CN348" s="551">
        <v>94843.251390161735</v>
      </c>
      <c r="CO348" s="551">
        <v>200.02325975576156</v>
      </c>
      <c r="CP348" s="551">
        <v>50982.488862367012</v>
      </c>
      <c r="CQ348" s="551"/>
      <c r="CR348" s="551">
        <v>3.1406778956854287</v>
      </c>
      <c r="CS348" s="551">
        <v>9170.8896467165159</v>
      </c>
      <c r="CT348" s="551">
        <v>386.49739513261034</v>
      </c>
      <c r="CU348" s="551">
        <v>8070.1039167059762</v>
      </c>
      <c r="CV348" s="551"/>
      <c r="CW348" s="551">
        <v>0.43506075642392095</v>
      </c>
      <c r="CX348" s="551">
        <v>1309.3977287635523</v>
      </c>
      <c r="CY348" s="554"/>
    </row>
    <row r="349" spans="65:103" ht="12.75" customHeight="1" x14ac:dyDescent="0.3">
      <c r="BM349" s="562"/>
      <c r="BN349" s="591">
        <v>336</v>
      </c>
      <c r="BO349" s="549" t="s">
        <v>2594</v>
      </c>
      <c r="BP349" s="554" t="s">
        <v>620</v>
      </c>
      <c r="BQ349" s="553" t="s">
        <v>2408</v>
      </c>
      <c r="BR349" s="551">
        <v>354009.91594696749</v>
      </c>
      <c r="BS349" s="551"/>
      <c r="BT349" s="551">
        <v>1901990.7708625882</v>
      </c>
      <c r="BU349" s="551">
        <v>65310.381810870655</v>
      </c>
      <c r="BV349" s="551">
        <v>38058.159703613295</v>
      </c>
      <c r="BW349" s="551">
        <v>387.88634777704056</v>
      </c>
      <c r="BX349" s="551">
        <v>3095.1094184932549</v>
      </c>
      <c r="BY349" s="551">
        <v>14267390.760850627</v>
      </c>
      <c r="BZ349" s="551">
        <v>1146.3368216641679</v>
      </c>
      <c r="CA349" s="551">
        <v>327364.50263336266</v>
      </c>
      <c r="CB349" s="551">
        <v>3.9788390567752197E-30</v>
      </c>
      <c r="CC349" s="551">
        <v>4704.3468861501124</v>
      </c>
      <c r="CD349" s="551">
        <v>1179139.32670529</v>
      </c>
      <c r="CE349" s="551">
        <v>94.132310123197684</v>
      </c>
      <c r="CF349" s="551">
        <v>350.15263597790363</v>
      </c>
      <c r="CG349" s="551">
        <v>1481.5110473995319</v>
      </c>
      <c r="CH349" s="551">
        <v>7747.5198607611346</v>
      </c>
      <c r="CI349" s="551">
        <v>548.70779533315977</v>
      </c>
      <c r="CJ349" s="551">
        <v>46662.47628138501</v>
      </c>
      <c r="CK349" s="551">
        <v>311032.56975399813</v>
      </c>
      <c r="CL349" s="551"/>
      <c r="CM349" s="551">
        <v>18.470016765272046</v>
      </c>
      <c r="CN349" s="551">
        <v>757.957311055594</v>
      </c>
      <c r="CO349" s="551">
        <v>1967.4461391718037</v>
      </c>
      <c r="CP349" s="551">
        <v>75394.793282629587</v>
      </c>
      <c r="CQ349" s="551"/>
      <c r="CR349" s="551">
        <v>4.6987594138628435</v>
      </c>
      <c r="CS349" s="551">
        <v>109.35545140388952</v>
      </c>
      <c r="CT349" s="551">
        <v>3142.1070600453659</v>
      </c>
      <c r="CU349" s="551">
        <v>4782.6148083641983</v>
      </c>
      <c r="CV349" s="551"/>
      <c r="CW349" s="551">
        <v>0.26053909350011423</v>
      </c>
      <c r="CX349" s="551">
        <v>14.286430319952991</v>
      </c>
      <c r="CY349" s="554"/>
    </row>
    <row r="350" spans="65:103" ht="12.75" customHeight="1" x14ac:dyDescent="0.3">
      <c r="BM350" s="562"/>
      <c r="BN350" s="591">
        <v>337</v>
      </c>
      <c r="BO350" s="549" t="s">
        <v>2517</v>
      </c>
      <c r="BP350" s="554" t="s">
        <v>620</v>
      </c>
      <c r="BQ350" s="553" t="s">
        <v>2408</v>
      </c>
      <c r="BR350" s="551">
        <v>1022575.7039576144</v>
      </c>
      <c r="BS350" s="551"/>
      <c r="BT350" s="551">
        <v>1575142.341743751</v>
      </c>
      <c r="BU350" s="551">
        <v>52596.299811969606</v>
      </c>
      <c r="BV350" s="551">
        <v>32856.921395167949</v>
      </c>
      <c r="BW350" s="551">
        <v>325.89358314137513</v>
      </c>
      <c r="BX350" s="551">
        <v>124.91969096038193</v>
      </c>
      <c r="BY350" s="551">
        <v>27871975.47421214</v>
      </c>
      <c r="BZ350" s="551">
        <v>46.266552207548855</v>
      </c>
      <c r="CA350" s="551">
        <v>11555614.923826389</v>
      </c>
      <c r="CB350" s="551">
        <v>2.0742711924640115E-30</v>
      </c>
      <c r="CC350" s="551">
        <v>1971.9141515522792</v>
      </c>
      <c r="CD350" s="551">
        <v>1347353.8038060118</v>
      </c>
      <c r="CE350" s="551">
        <v>41.133443345727116</v>
      </c>
      <c r="CF350" s="551">
        <v>417.41905842355044</v>
      </c>
      <c r="CG350" s="551">
        <v>668.4989884130265</v>
      </c>
      <c r="CH350" s="551">
        <v>4471.4651794787669</v>
      </c>
      <c r="CI350" s="551">
        <v>247.59221793075051</v>
      </c>
      <c r="CJ350" s="551">
        <v>78118052.785082579</v>
      </c>
      <c r="CK350" s="551">
        <v>10383150.741911115</v>
      </c>
      <c r="CL350" s="551"/>
      <c r="CM350" s="551">
        <v>647.20051444957642</v>
      </c>
      <c r="CN350" s="551">
        <v>16220.444748470323</v>
      </c>
      <c r="CO350" s="551">
        <v>40082356.876312308</v>
      </c>
      <c r="CP350" s="551">
        <v>71703424.057023451</v>
      </c>
      <c r="CQ350" s="551"/>
      <c r="CR350" s="551">
        <v>4558.9002252381488</v>
      </c>
      <c r="CS350" s="551">
        <v>27148.662707666212</v>
      </c>
      <c r="CT350" s="551">
        <v>122349426.34811038</v>
      </c>
      <c r="CU350" s="551">
        <v>4193944.7510973494</v>
      </c>
      <c r="CV350" s="551"/>
      <c r="CW350" s="551">
        <v>252.07270571907921</v>
      </c>
      <c r="CX350" s="551">
        <v>7438.3602231051891</v>
      </c>
      <c r="CY350" s="554"/>
    </row>
    <row r="351" spans="65:103" ht="12.75" customHeight="1" x14ac:dyDescent="0.3">
      <c r="BM351" s="562"/>
      <c r="BN351" s="591">
        <v>338</v>
      </c>
      <c r="BO351" s="549" t="s">
        <v>2672</v>
      </c>
      <c r="BP351" s="554" t="s">
        <v>620</v>
      </c>
      <c r="BQ351" s="553" t="s">
        <v>2408</v>
      </c>
      <c r="BR351" s="551">
        <v>172421.96512335286</v>
      </c>
      <c r="BS351" s="551"/>
      <c r="BT351" s="551">
        <v>3344579.4060411579</v>
      </c>
      <c r="BU351" s="551">
        <v>130525.34489413972</v>
      </c>
      <c r="BV351" s="551">
        <v>69338.254978146811</v>
      </c>
      <c r="BW351" s="551">
        <v>802.00550707055447</v>
      </c>
      <c r="BX351" s="551">
        <v>10180.617524094092</v>
      </c>
      <c r="BY351" s="551">
        <v>12223279.059053518</v>
      </c>
      <c r="BZ351" s="551">
        <v>3770.5990829978114</v>
      </c>
      <c r="CA351" s="551">
        <v>80158.703380863473</v>
      </c>
      <c r="CB351" s="551">
        <v>2.3221025617585772E-30</v>
      </c>
      <c r="CC351" s="551">
        <v>6087.5740681126244</v>
      </c>
      <c r="CD351" s="551">
        <v>1221658.5111479433</v>
      </c>
      <c r="CE351" s="551">
        <v>126.20473658682607</v>
      </c>
      <c r="CF351" s="551">
        <v>375.32053812801473</v>
      </c>
      <c r="CG351" s="551">
        <v>2450.7033607599215</v>
      </c>
      <c r="CH351" s="551">
        <v>12644.165531099665</v>
      </c>
      <c r="CI351" s="551">
        <v>907.66791139256338</v>
      </c>
      <c r="CJ351" s="551">
        <v>5590.9181537632785</v>
      </c>
      <c r="CK351" s="551">
        <v>214384.31148246428</v>
      </c>
      <c r="CL351" s="551"/>
      <c r="CM351" s="551">
        <v>13.170872901441518</v>
      </c>
      <c r="CN351" s="551">
        <v>613.51735543249163</v>
      </c>
      <c r="CO351" s="551">
        <v>121.63432661322886</v>
      </c>
      <c r="CP351" s="551">
        <v>11791.335861114483</v>
      </c>
      <c r="CQ351" s="551"/>
      <c r="CR351" s="551">
        <v>0.76128885740689389</v>
      </c>
      <c r="CS351" s="551">
        <v>45.755998890136624</v>
      </c>
      <c r="CT351" s="551">
        <v>173.46768955340994</v>
      </c>
      <c r="CU351" s="551">
        <v>1572.1136576241627</v>
      </c>
      <c r="CV351" s="551"/>
      <c r="CW351" s="551">
        <v>8.8404886712235148E-2</v>
      </c>
      <c r="CX351" s="551">
        <v>5.3202245365619625</v>
      </c>
      <c r="CY351" s="554"/>
    </row>
    <row r="352" spans="65:103" ht="12.75" customHeight="1" x14ac:dyDescent="0.3">
      <c r="BM352" s="562"/>
      <c r="BN352" s="591">
        <v>339</v>
      </c>
      <c r="BO352" s="549" t="s">
        <v>2696</v>
      </c>
      <c r="BP352" s="554" t="s">
        <v>620</v>
      </c>
      <c r="BQ352" s="553" t="s">
        <v>2408</v>
      </c>
      <c r="BR352" s="551">
        <v>292099.25247816648</v>
      </c>
      <c r="BS352" s="551"/>
      <c r="BT352" s="551">
        <v>11513606.810583681</v>
      </c>
      <c r="BU352" s="551">
        <v>534551.70743099868</v>
      </c>
      <c r="BV352" s="551">
        <v>254258.64231057296</v>
      </c>
      <c r="BW352" s="551">
        <v>3501.104810366312</v>
      </c>
      <c r="BX352" s="551">
        <v>196095.65989094708</v>
      </c>
      <c r="BY352" s="551">
        <v>26992398.144021396</v>
      </c>
      <c r="BZ352" s="551">
        <v>72628.022181832261</v>
      </c>
      <c r="CA352" s="551">
        <v>582466.12171666161</v>
      </c>
      <c r="CB352" s="551">
        <v>2.1864575453505599E-29</v>
      </c>
      <c r="CC352" s="551">
        <v>374472.09870586148</v>
      </c>
      <c r="CD352" s="551">
        <v>23148821.987069488</v>
      </c>
      <c r="CE352" s="551">
        <v>8269.5864959206883</v>
      </c>
      <c r="CF352" s="551">
        <v>7580.7869366598279</v>
      </c>
      <c r="CG352" s="551">
        <v>178445.47720953712</v>
      </c>
      <c r="CH352" s="551">
        <v>1258834.2069622008</v>
      </c>
      <c r="CI352" s="551">
        <v>66090.917485013721</v>
      </c>
      <c r="CJ352" s="551">
        <v>192862.31283216906</v>
      </c>
      <c r="CK352" s="551">
        <v>19898160.901330333</v>
      </c>
      <c r="CL352" s="551"/>
      <c r="CM352" s="551">
        <v>1313.0534753856516</v>
      </c>
      <c r="CN352" s="551">
        <v>212073.2542395193</v>
      </c>
      <c r="CO352" s="551">
        <v>16942.256587445554</v>
      </c>
      <c r="CP352" s="551">
        <v>5359788.1773646576</v>
      </c>
      <c r="CQ352" s="551"/>
      <c r="CR352" s="551">
        <v>358.28730175401313</v>
      </c>
      <c r="CS352" s="551">
        <v>61383.6380807612</v>
      </c>
      <c r="CT352" s="551">
        <v>29472.87913485786</v>
      </c>
      <c r="CU352" s="551">
        <v>1001212.5924173447</v>
      </c>
      <c r="CV352" s="551"/>
      <c r="CW352" s="551">
        <v>64.508863701708293</v>
      </c>
      <c r="CX352" s="551">
        <v>9323.5962938263874</v>
      </c>
      <c r="CY352" s="554"/>
    </row>
    <row r="353" spans="65:103" ht="12.75" customHeight="1" x14ac:dyDescent="0.3">
      <c r="BM353" s="562"/>
      <c r="BN353" s="591">
        <v>340</v>
      </c>
      <c r="BO353" s="549" t="s">
        <v>2798</v>
      </c>
      <c r="BP353" s="554" t="s">
        <v>620</v>
      </c>
      <c r="BQ353" s="553" t="s">
        <v>2408</v>
      </c>
      <c r="BR353" s="551">
        <v>350354.87551068224</v>
      </c>
      <c r="BS353" s="551"/>
      <c r="BT353" s="551">
        <v>1320310.0274762975</v>
      </c>
      <c r="BU353" s="551">
        <v>42050.460588306203</v>
      </c>
      <c r="BV353" s="551">
        <v>30198.836081935144</v>
      </c>
      <c r="BW353" s="551">
        <v>283.85226294780011</v>
      </c>
      <c r="BX353" s="551">
        <v>332.01240453458274</v>
      </c>
      <c r="BY353" s="551">
        <v>13044524.285589604</v>
      </c>
      <c r="BZ353" s="551">
        <v>122.96755723503067</v>
      </c>
      <c r="CA353" s="551">
        <v>398852.47801592207</v>
      </c>
      <c r="CB353" s="551">
        <v>6.0345292096099687E-31</v>
      </c>
      <c r="CC353" s="551">
        <v>559.28195178893475</v>
      </c>
      <c r="CD353" s="551">
        <v>336515.87879553548</v>
      </c>
      <c r="CE353" s="551">
        <v>12.792195495131164</v>
      </c>
      <c r="CF353" s="551">
        <v>113.578772238875</v>
      </c>
      <c r="CG353" s="551">
        <v>195.88134545823914</v>
      </c>
      <c r="CH353" s="551">
        <v>1005.2664581098592</v>
      </c>
      <c r="CI353" s="551">
        <v>72.548646466014489</v>
      </c>
      <c r="CJ353" s="551">
        <v>71348.275073000317</v>
      </c>
      <c r="CK353" s="551">
        <v>74509.897666731747</v>
      </c>
      <c r="CL353" s="551"/>
      <c r="CM353" s="551">
        <v>5.0289156940821211</v>
      </c>
      <c r="CN353" s="551">
        <v>125.7673520371266</v>
      </c>
      <c r="CO353" s="551">
        <v>4163.0267076012788</v>
      </c>
      <c r="CP353" s="551">
        <v>29601.713021399566</v>
      </c>
      <c r="CQ353" s="551"/>
      <c r="CR353" s="551">
        <v>2.107939457148496</v>
      </c>
      <c r="CS353" s="551">
        <v>25.042274395652861</v>
      </c>
      <c r="CT353" s="551">
        <v>6053.9280173799971</v>
      </c>
      <c r="CU353" s="551">
        <v>1040.3871892652671</v>
      </c>
      <c r="CV353" s="551"/>
      <c r="CW353" s="551">
        <v>6.3853221038456268E-2</v>
      </c>
      <c r="CX353" s="551">
        <v>2.9961631996373552</v>
      </c>
      <c r="CY353" s="554"/>
    </row>
    <row r="354" spans="65:103" ht="12.75" customHeight="1" x14ac:dyDescent="0.3">
      <c r="BM354" s="562"/>
      <c r="BN354" s="591">
        <v>341</v>
      </c>
      <c r="BO354" s="549" t="s">
        <v>2494</v>
      </c>
      <c r="BP354" s="554" t="s">
        <v>620</v>
      </c>
      <c r="BQ354" s="553" t="s">
        <v>2408</v>
      </c>
      <c r="BR354" s="551">
        <v>582415.9131146404</v>
      </c>
      <c r="BS354" s="551"/>
      <c r="BT354" s="551">
        <v>1096704.8194101802</v>
      </c>
      <c r="BU354" s="551">
        <v>38253.133151454254</v>
      </c>
      <c r="BV354" s="551">
        <v>26153.805871299479</v>
      </c>
      <c r="BW354" s="551">
        <v>269.75147290933222</v>
      </c>
      <c r="BX354" s="551">
        <v>177.00321912177071</v>
      </c>
      <c r="BY354" s="551">
        <v>1167083.8835461671</v>
      </c>
      <c r="BZ354" s="551">
        <v>65.556747822878037</v>
      </c>
      <c r="CA354" s="551">
        <v>3823977.7215143917</v>
      </c>
      <c r="CB354" s="551">
        <v>2.496826514878522E-30</v>
      </c>
      <c r="CC354" s="551">
        <v>2569.7035887649026</v>
      </c>
      <c r="CD354" s="551">
        <v>1802498.0512781327</v>
      </c>
      <c r="CE354" s="551">
        <v>61.281328957306698</v>
      </c>
      <c r="CF354" s="551">
        <v>635.53814314160707</v>
      </c>
      <c r="CG354" s="551">
        <v>264.86841298223118</v>
      </c>
      <c r="CH354" s="551">
        <v>715.43472388160058</v>
      </c>
      <c r="CI354" s="551">
        <v>98.099412215641166</v>
      </c>
      <c r="CJ354" s="551">
        <v>10772957.622701226</v>
      </c>
      <c r="CK354" s="551">
        <v>8643831.2631205879</v>
      </c>
      <c r="CL354" s="551"/>
      <c r="CM354" s="551">
        <v>614.12548437918372</v>
      </c>
      <c r="CN354" s="551">
        <v>2678.2642407801159</v>
      </c>
      <c r="CO354" s="551">
        <v>4597502.3600965422</v>
      </c>
      <c r="CP354" s="551">
        <v>41230156.223698489</v>
      </c>
      <c r="CQ354" s="551"/>
      <c r="CR354" s="551">
        <v>2969.783310090058</v>
      </c>
      <c r="CS354" s="551">
        <v>4440.7955685241841</v>
      </c>
      <c r="CT354" s="551">
        <v>13509667.743856795</v>
      </c>
      <c r="CU354" s="551">
        <v>2751219.6935707643</v>
      </c>
      <c r="CV354" s="551"/>
      <c r="CW354" s="551">
        <v>190.57940405393578</v>
      </c>
      <c r="CX354" s="551">
        <v>868.85801874459605</v>
      </c>
      <c r="CY354" s="554"/>
    </row>
    <row r="355" spans="65:103" ht="12.75" customHeight="1" x14ac:dyDescent="0.3">
      <c r="BM355" s="562"/>
      <c r="BN355" s="591">
        <v>342</v>
      </c>
      <c r="BO355" s="549" t="s">
        <v>2628</v>
      </c>
      <c r="BP355" s="554" t="s">
        <v>620</v>
      </c>
      <c r="BQ355" s="553" t="s">
        <v>2408</v>
      </c>
      <c r="BR355" s="551">
        <v>13672.07242323175</v>
      </c>
      <c r="BS355" s="551"/>
      <c r="BT355" s="551">
        <v>12835626.642588193</v>
      </c>
      <c r="BU355" s="551">
        <v>588937.54838500253</v>
      </c>
      <c r="BV355" s="551">
        <v>307493.20699631149</v>
      </c>
      <c r="BW355" s="551">
        <v>4168.0442719134853</v>
      </c>
      <c r="BX355" s="551">
        <v>1077548.3451212291</v>
      </c>
      <c r="BY355" s="551">
        <v>27218303.641417116</v>
      </c>
      <c r="BZ355" s="551">
        <v>399091.97967452911</v>
      </c>
      <c r="CA355" s="551">
        <v>1205.6783312951322</v>
      </c>
      <c r="CB355" s="551">
        <v>4.7310322185093721E-31</v>
      </c>
      <c r="CC355" s="551">
        <v>48923.658842905475</v>
      </c>
      <c r="CD355" s="551">
        <v>7131469.0172397746</v>
      </c>
      <c r="CE355" s="551">
        <v>1172.026358704137</v>
      </c>
      <c r="CF355" s="551">
        <v>2523.5509833890969</v>
      </c>
      <c r="CG355" s="551">
        <v>49234.268805393185</v>
      </c>
      <c r="CH355" s="551">
        <v>237862.60677672125</v>
      </c>
      <c r="CI355" s="551">
        <v>18234.91437236785</v>
      </c>
      <c r="CJ355" s="551">
        <v>15.712391881364891</v>
      </c>
      <c r="CK355" s="551">
        <v>2462512.4672699631</v>
      </c>
      <c r="CL355" s="551"/>
      <c r="CM355" s="551">
        <v>175.31958511860569</v>
      </c>
      <c r="CN355" s="551">
        <v>2302.9366656192192</v>
      </c>
      <c r="CO355" s="551">
        <v>0.15740610747807673</v>
      </c>
      <c r="CP355" s="551">
        <v>153601.29234208513</v>
      </c>
      <c r="CQ355" s="551"/>
      <c r="CR355" s="551">
        <v>11.179759012857792</v>
      </c>
      <c r="CS355" s="551">
        <v>27.269855816471196</v>
      </c>
      <c r="CT355" s="551">
        <v>7.1153955178955883E-2</v>
      </c>
      <c r="CU355" s="551">
        <v>27917.032397131239</v>
      </c>
      <c r="CV355" s="551"/>
      <c r="CW355" s="551">
        <v>1.9088913903611173</v>
      </c>
      <c r="CX355" s="551">
        <v>3.7919033838711647</v>
      </c>
      <c r="CY355" s="554"/>
    </row>
    <row r="356" spans="65:103" ht="12.75" customHeight="1" x14ac:dyDescent="0.3">
      <c r="BM356" s="562"/>
      <c r="BN356" s="591">
        <v>343</v>
      </c>
      <c r="BO356" s="549" t="s">
        <v>2686</v>
      </c>
      <c r="BP356" s="554" t="s">
        <v>620</v>
      </c>
      <c r="BQ356" s="553" t="s">
        <v>2408</v>
      </c>
      <c r="BR356" s="551">
        <v>28325.603474821943</v>
      </c>
      <c r="BS356" s="551"/>
      <c r="BT356" s="551">
        <v>8640721.5200792085</v>
      </c>
      <c r="BU356" s="551">
        <v>367366.92026232654</v>
      </c>
      <c r="BV356" s="551">
        <v>202721.88337627341</v>
      </c>
      <c r="BW356" s="551">
        <v>2540.7313096522057</v>
      </c>
      <c r="BX356" s="551">
        <v>1894926.351304641</v>
      </c>
      <c r="BY356" s="551">
        <v>21510902.265308611</v>
      </c>
      <c r="BZ356" s="551">
        <v>701824.57455727458</v>
      </c>
      <c r="CA356" s="551">
        <v>4066.9766716757536</v>
      </c>
      <c r="CB356" s="551">
        <v>1.984748193456696E-30</v>
      </c>
      <c r="CC356" s="551">
        <v>70574.798910060679</v>
      </c>
      <c r="CD356" s="551">
        <v>2512718.5502589559</v>
      </c>
      <c r="CE356" s="551">
        <v>1655.7710048521649</v>
      </c>
      <c r="CF356" s="551">
        <v>868.90549214775342</v>
      </c>
      <c r="CG356" s="551">
        <v>140988.44034243163</v>
      </c>
      <c r="CH356" s="551">
        <v>500503.42802954011</v>
      </c>
      <c r="CI356" s="551">
        <v>52217.940867567246</v>
      </c>
      <c r="CJ356" s="551">
        <v>86.575823182418304</v>
      </c>
      <c r="CK356" s="551">
        <v>369587.1517657307</v>
      </c>
      <c r="CL356" s="551"/>
      <c r="CM356" s="551">
        <v>25.557258568851871</v>
      </c>
      <c r="CN356" s="551">
        <v>10772.391038891501</v>
      </c>
      <c r="CO356" s="551">
        <v>0.40888829191523607</v>
      </c>
      <c r="CP356" s="551">
        <v>10206.63427395677</v>
      </c>
      <c r="CQ356" s="551"/>
      <c r="CR356" s="551">
        <v>0.74546658791500719</v>
      </c>
      <c r="CS356" s="551">
        <v>187.89781313615578</v>
      </c>
      <c r="CT356" s="551">
        <v>0.91047722145470722</v>
      </c>
      <c r="CU356" s="551">
        <v>1748.7161689025072</v>
      </c>
      <c r="CV356" s="551"/>
      <c r="CW356" s="551">
        <v>0.10976779934248572</v>
      </c>
      <c r="CX356" s="551">
        <v>29.336119565643894</v>
      </c>
      <c r="CY356" s="554"/>
    </row>
    <row r="357" spans="65:103" ht="12.75" customHeight="1" x14ac:dyDescent="0.3">
      <c r="BM357" s="562"/>
      <c r="BN357" s="591">
        <v>344</v>
      </c>
      <c r="BO357" s="549" t="s">
        <v>2529</v>
      </c>
      <c r="BP357" s="554" t="s">
        <v>620</v>
      </c>
      <c r="BQ357" s="553" t="s">
        <v>2408</v>
      </c>
      <c r="BR357" s="551">
        <v>618.20185266756494</v>
      </c>
      <c r="BS357" s="551"/>
      <c r="BT357" s="551">
        <v>11268011.147968752</v>
      </c>
      <c r="BU357" s="551">
        <v>518953.28864454664</v>
      </c>
      <c r="BV357" s="551">
        <v>280852.78790637961</v>
      </c>
      <c r="BW357" s="551">
        <v>3814.9244095614745</v>
      </c>
      <c r="BX357" s="551">
        <v>2229118.1285202731</v>
      </c>
      <c r="BY357" s="551">
        <v>27896082.324822992</v>
      </c>
      <c r="BZ357" s="551">
        <v>825599.30685936019</v>
      </c>
      <c r="CA357" s="551">
        <v>3.0125746358384582</v>
      </c>
      <c r="CB357" s="551">
        <v>4.9629197356790898E-32</v>
      </c>
      <c r="CC357" s="551">
        <v>5233.7481433461826</v>
      </c>
      <c r="CD357" s="551">
        <v>6086802.9194040736</v>
      </c>
      <c r="CE357" s="551">
        <v>130.45006238954514</v>
      </c>
      <c r="CF357" s="551">
        <v>2237.2623453331157</v>
      </c>
      <c r="CG357" s="551">
        <v>5629.1016030498604</v>
      </c>
      <c r="CH357" s="551">
        <v>26263.935664235971</v>
      </c>
      <c r="CI357" s="551">
        <v>2084.8524455740221</v>
      </c>
      <c r="CJ357" s="551">
        <v>2.1542022322873213E-3</v>
      </c>
      <c r="CK357" s="551">
        <v>2097362.9259354025</v>
      </c>
      <c r="CL357" s="551"/>
      <c r="CM357" s="551">
        <v>155.10297315480165</v>
      </c>
      <c r="CN357" s="551">
        <v>14.447456624880235</v>
      </c>
      <c r="CO357" s="551">
        <v>1.8269005053415748E-6</v>
      </c>
      <c r="CP357" s="551">
        <v>130725.20785900687</v>
      </c>
      <c r="CQ357" s="551"/>
      <c r="CR357" s="551">
        <v>9.8899043950417198</v>
      </c>
      <c r="CS357" s="551">
        <v>7.2499526261663762E-3</v>
      </c>
      <c r="CT357" s="551">
        <v>3.1825988341075274E-7</v>
      </c>
      <c r="CU357" s="551">
        <v>23765.17621893379</v>
      </c>
      <c r="CV357" s="551"/>
      <c r="CW357" s="551">
        <v>1.6858357405001625</v>
      </c>
      <c r="CX357" s="551">
        <v>1.4548303687389893E-3</v>
      </c>
      <c r="CY357" s="554"/>
    </row>
    <row r="358" spans="65:103" ht="12.75" customHeight="1" x14ac:dyDescent="0.3">
      <c r="BM358" s="562"/>
      <c r="BN358" s="591">
        <v>345</v>
      </c>
      <c r="BO358" s="549" t="s">
        <v>2848</v>
      </c>
      <c r="BP358" s="554" t="s">
        <v>620</v>
      </c>
      <c r="BQ358" s="553" t="s">
        <v>2408</v>
      </c>
      <c r="BR358" s="551">
        <v>273368.66845905571</v>
      </c>
      <c r="BS358" s="551"/>
      <c r="BT358" s="551">
        <v>9935229.171237465</v>
      </c>
      <c r="BU358" s="551">
        <v>453460.14696256351</v>
      </c>
      <c r="BV358" s="551">
        <v>265008.79554050358</v>
      </c>
      <c r="BW358" s="551">
        <v>3556.9395798931778</v>
      </c>
      <c r="BX358" s="551">
        <v>280334.90348236199</v>
      </c>
      <c r="BY358" s="551">
        <v>22290526.928188805</v>
      </c>
      <c r="BZ358" s="551">
        <v>103827.74203050442</v>
      </c>
      <c r="CA358" s="551">
        <v>599995.69257948094</v>
      </c>
      <c r="CB358" s="551">
        <v>2.3445588016430042E-29</v>
      </c>
      <c r="CC358" s="551">
        <v>400734.21300718037</v>
      </c>
      <c r="CD358" s="551">
        <v>16678585.076334126</v>
      </c>
      <c r="CE358" s="551">
        <v>10689.042929009482</v>
      </c>
      <c r="CF358" s="551">
        <v>6541.3377329856303</v>
      </c>
      <c r="CG358" s="551">
        <v>303483.78260840697</v>
      </c>
      <c r="CH358" s="551">
        <v>1825611.9832312954</v>
      </c>
      <c r="CI358" s="551">
        <v>112401.4009660767</v>
      </c>
      <c r="CJ358" s="551">
        <v>224835.19696096177</v>
      </c>
      <c r="CK358" s="551">
        <v>11604851.987768397</v>
      </c>
      <c r="CL358" s="551"/>
      <c r="CM358" s="551">
        <v>915.72642525005438</v>
      </c>
      <c r="CN358" s="551">
        <v>408183.37323198264</v>
      </c>
      <c r="CO358" s="551">
        <v>21446.950838325782</v>
      </c>
      <c r="CP358" s="551">
        <v>3790768.1046467507</v>
      </c>
      <c r="CQ358" s="551"/>
      <c r="CR358" s="551">
        <v>306.39195365841124</v>
      </c>
      <c r="CS358" s="551">
        <v>130699.67131413968</v>
      </c>
      <c r="CT358" s="551">
        <v>39139.538613827666</v>
      </c>
      <c r="CU358" s="551">
        <v>695901.94186490122</v>
      </c>
      <c r="CV358" s="551"/>
      <c r="CW358" s="551">
        <v>52.5596251675682</v>
      </c>
      <c r="CX358" s="551">
        <v>20150.695241867521</v>
      </c>
      <c r="CY358" s="554"/>
    </row>
    <row r="359" spans="65:103" ht="12.75" customHeight="1" x14ac:dyDescent="0.3">
      <c r="BM359" s="562"/>
      <c r="BN359" s="591">
        <v>346</v>
      </c>
      <c r="BO359" s="549" t="s">
        <v>2445</v>
      </c>
      <c r="BP359" s="554" t="s">
        <v>620</v>
      </c>
      <c r="BQ359" s="553" t="s">
        <v>2408</v>
      </c>
      <c r="BR359" s="551">
        <v>1389.9295358533946</v>
      </c>
      <c r="BS359" s="551"/>
      <c r="BT359" s="551">
        <v>17881184.066305604</v>
      </c>
      <c r="BU359" s="551">
        <v>862346.12095513579</v>
      </c>
      <c r="BV359" s="551">
        <v>515011.72016129596</v>
      </c>
      <c r="BW359" s="551">
        <v>7294.2344214003797</v>
      </c>
      <c r="BX359" s="551">
        <v>1207964.9974577939</v>
      </c>
      <c r="BY359" s="551">
        <v>9305425.0500565059</v>
      </c>
      <c r="BZ359" s="551">
        <v>447394.44350288669</v>
      </c>
      <c r="CA359" s="551">
        <v>13.923855919663845</v>
      </c>
      <c r="CB359" s="551">
        <v>1.1138212046188903E-31</v>
      </c>
      <c r="CC359" s="551">
        <v>8963.8650330168239</v>
      </c>
      <c r="CD359" s="551">
        <v>24479772.122552462</v>
      </c>
      <c r="CE359" s="551">
        <v>258.17616623312864</v>
      </c>
      <c r="CF359" s="551">
        <v>10353.220830087626</v>
      </c>
      <c r="CG359" s="551">
        <v>6270.7512631633635</v>
      </c>
      <c r="CH359" s="551">
        <v>17938.138747316651</v>
      </c>
      <c r="CI359" s="551">
        <v>2322.5004678382834</v>
      </c>
      <c r="CJ359" s="551">
        <v>2.121680209306407E-2</v>
      </c>
      <c r="CK359" s="551">
        <v>35044937.200092167</v>
      </c>
      <c r="CL359" s="551"/>
      <c r="CM359" s="551">
        <v>2991.6967128266087</v>
      </c>
      <c r="CN359" s="551">
        <v>34.296012940934133</v>
      </c>
      <c r="CO359" s="551">
        <v>1.8248518316468188E-4</v>
      </c>
      <c r="CP359" s="551">
        <v>7707870.9226110671</v>
      </c>
      <c r="CQ359" s="551"/>
      <c r="CR359" s="551">
        <v>661.48938732720694</v>
      </c>
      <c r="CS359" s="551">
        <v>0.25937130323365387</v>
      </c>
      <c r="CT359" s="551">
        <v>5.4182452992395206E-5</v>
      </c>
      <c r="CU359" s="551">
        <v>1870903.2891924595</v>
      </c>
      <c r="CV359" s="551"/>
      <c r="CW359" s="551">
        <v>158.14993846773774</v>
      </c>
      <c r="CX359" s="551">
        <v>4.0239508511659812E-2</v>
      </c>
      <c r="CY359" s="554"/>
    </row>
    <row r="360" spans="65:103" ht="12.75" customHeight="1" x14ac:dyDescent="0.3">
      <c r="BM360" s="562"/>
      <c r="BN360" s="591">
        <v>347</v>
      </c>
      <c r="BO360" s="549" t="s">
        <v>2419</v>
      </c>
      <c r="BP360" s="554" t="s">
        <v>620</v>
      </c>
      <c r="BQ360" s="553" t="s">
        <v>2408</v>
      </c>
      <c r="BR360" s="551">
        <v>4731.3438219837089</v>
      </c>
      <c r="BS360" s="551"/>
      <c r="BT360" s="551">
        <v>7710144.1759972684</v>
      </c>
      <c r="BU360" s="551">
        <v>354186.87849304761</v>
      </c>
      <c r="BV360" s="551">
        <v>220562.65333495097</v>
      </c>
      <c r="BW360" s="551">
        <v>2970.2244758253264</v>
      </c>
      <c r="BX360" s="551">
        <v>697415.92817052873</v>
      </c>
      <c r="BY360" s="551">
        <v>10219231.859315669</v>
      </c>
      <c r="BZ360" s="551">
        <v>258302.19561871424</v>
      </c>
      <c r="CA360" s="551">
        <v>210.2296265386419</v>
      </c>
      <c r="CB360" s="551">
        <v>1.9606168149666075E-31</v>
      </c>
      <c r="CC360" s="551">
        <v>11990.435575725383</v>
      </c>
      <c r="CD360" s="551">
        <v>4236661.0112596508</v>
      </c>
      <c r="CE360" s="551">
        <v>343.008149375068</v>
      </c>
      <c r="CF360" s="551">
        <v>1776.4399241663755</v>
      </c>
      <c r="CG360" s="551">
        <v>16058.314834740208</v>
      </c>
      <c r="CH360" s="551">
        <v>53443.632004995052</v>
      </c>
      <c r="CI360" s="551">
        <v>5947.5240128667419</v>
      </c>
      <c r="CJ360" s="551">
        <v>1.3791755345695893</v>
      </c>
      <c r="CK360" s="551">
        <v>1460821.3109891394</v>
      </c>
      <c r="CL360" s="551"/>
      <c r="CM360" s="551">
        <v>123.23741478786623</v>
      </c>
      <c r="CN360" s="551">
        <v>378.11965189652415</v>
      </c>
      <c r="CO360" s="551">
        <v>2.4408425780753822E-3</v>
      </c>
      <c r="CP360" s="551">
        <v>91061.880138762514</v>
      </c>
      <c r="CQ360" s="551"/>
      <c r="CR360" s="551">
        <v>7.8794004349904201</v>
      </c>
      <c r="CS360" s="551">
        <v>2.4777261252490859</v>
      </c>
      <c r="CT360" s="551">
        <v>4.2951689296295411E-3</v>
      </c>
      <c r="CU360" s="551">
        <v>16554.074370812992</v>
      </c>
      <c r="CV360" s="551"/>
      <c r="CW360" s="551">
        <v>1.3335075966822767</v>
      </c>
      <c r="CX360" s="551">
        <v>0.30117569252776333</v>
      </c>
      <c r="CY360" s="554"/>
    </row>
    <row r="361" spans="65:103" ht="12.75" customHeight="1" x14ac:dyDescent="0.3">
      <c r="BM361" s="562"/>
      <c r="BN361" s="591">
        <v>348</v>
      </c>
      <c r="BO361" s="549" t="s">
        <v>2872</v>
      </c>
      <c r="BP361" s="554" t="s">
        <v>620</v>
      </c>
      <c r="BQ361" s="553" t="s">
        <v>2408</v>
      </c>
      <c r="BR361" s="551">
        <v>742074.09622199112</v>
      </c>
      <c r="BS361" s="551"/>
      <c r="BT361" s="551">
        <v>1598506.1240433711</v>
      </c>
      <c r="BU361" s="551">
        <v>53533.019493874293</v>
      </c>
      <c r="BV361" s="551">
        <v>47053.945337840472</v>
      </c>
      <c r="BW361" s="551">
        <v>461.33428625429178</v>
      </c>
      <c r="BX361" s="551">
        <v>559.44524581482017</v>
      </c>
      <c r="BY361" s="551">
        <v>32811194.804318417</v>
      </c>
      <c r="BZ361" s="551">
        <v>207.20194289437779</v>
      </c>
      <c r="CA361" s="551">
        <v>3242364.7810701784</v>
      </c>
      <c r="CB361" s="551">
        <v>2.6355068364568271E-30</v>
      </c>
      <c r="CC361" s="551">
        <v>2506.1143732401642</v>
      </c>
      <c r="CD361" s="551">
        <v>1543928.2934617766</v>
      </c>
      <c r="CE361" s="551">
        <v>73.770482924730743</v>
      </c>
      <c r="CF361" s="551">
        <v>665.25955758342661</v>
      </c>
      <c r="CG361" s="551">
        <v>1189.1267850867421</v>
      </c>
      <c r="CH361" s="551">
        <v>7727.087051550352</v>
      </c>
      <c r="CI361" s="551">
        <v>440.41732780990424</v>
      </c>
      <c r="CJ361" s="551">
        <v>3346080.5065594856</v>
      </c>
      <c r="CK361" s="551">
        <v>2294546.8540137745</v>
      </c>
      <c r="CL361" s="551"/>
      <c r="CM361" s="551">
        <v>198.92050781515707</v>
      </c>
      <c r="CN361" s="551">
        <v>4404.5985301860783</v>
      </c>
      <c r="CO361" s="551">
        <v>950631.30872526043</v>
      </c>
      <c r="CP361" s="551">
        <v>7520378.3814366022</v>
      </c>
      <c r="CQ361" s="551"/>
      <c r="CR361" s="551">
        <v>669.08756676722226</v>
      </c>
      <c r="CS361" s="551">
        <v>4125.3968625464113</v>
      </c>
      <c r="CT361" s="551">
        <v>2056145.486332908</v>
      </c>
      <c r="CU361" s="551">
        <v>338084.80467460584</v>
      </c>
      <c r="CV361" s="551"/>
      <c r="CW361" s="551">
        <v>27.9586019200854</v>
      </c>
      <c r="CX361" s="551">
        <v>779.50424222280174</v>
      </c>
      <c r="CY361" s="554"/>
    </row>
    <row r="362" spans="65:103" ht="12.75" customHeight="1" x14ac:dyDescent="0.3">
      <c r="BM362" s="562"/>
      <c r="BN362" s="591">
        <v>349</v>
      </c>
      <c r="BO362" s="549" t="s">
        <v>2582</v>
      </c>
      <c r="BP362" s="554" t="s">
        <v>620</v>
      </c>
      <c r="BQ362" s="553" t="s">
        <v>2408</v>
      </c>
      <c r="BR362" s="551">
        <v>230923.34524804857</v>
      </c>
      <c r="BS362" s="551"/>
      <c r="BT362" s="551">
        <v>3926595.8487932985</v>
      </c>
      <c r="BU362" s="551">
        <v>154752.42003374506</v>
      </c>
      <c r="BV362" s="551">
        <v>112619.11054323011</v>
      </c>
      <c r="BW362" s="551">
        <v>1295.5485129467095</v>
      </c>
      <c r="BX362" s="551">
        <v>22287.975784844875</v>
      </c>
      <c r="BY362" s="551">
        <v>14852666.493707258</v>
      </c>
      <c r="BZ362" s="551">
        <v>8254.8058462388417</v>
      </c>
      <c r="CA362" s="551">
        <v>135523.53935093901</v>
      </c>
      <c r="CB362" s="551">
        <v>4.2730177057272796E-30</v>
      </c>
      <c r="CC362" s="551">
        <v>11803.878011313253</v>
      </c>
      <c r="CD362" s="551">
        <v>1791073.6061463798</v>
      </c>
      <c r="CE362" s="551">
        <v>338.54827280057799</v>
      </c>
      <c r="CF362" s="551">
        <v>749.72098869764193</v>
      </c>
      <c r="CG362" s="551">
        <v>6791.8911054625441</v>
      </c>
      <c r="CH362" s="551">
        <v>33291.4259208804</v>
      </c>
      <c r="CI362" s="551">
        <v>2515.5152242453873</v>
      </c>
      <c r="CJ362" s="551">
        <v>12014.620619838621</v>
      </c>
      <c r="CK362" s="551">
        <v>351542.74015406036</v>
      </c>
      <c r="CL362" s="551"/>
      <c r="CM362" s="551">
        <v>29.426080577200416</v>
      </c>
      <c r="CN362" s="551">
        <v>2161.1738113933593</v>
      </c>
      <c r="CO362" s="551">
        <v>327.15669793608305</v>
      </c>
      <c r="CP362" s="551">
        <v>26831.740250177798</v>
      </c>
      <c r="CQ362" s="551"/>
      <c r="CR362" s="551">
        <v>2.3944915880590232</v>
      </c>
      <c r="CS362" s="551">
        <v>201.16997980867177</v>
      </c>
      <c r="CT362" s="551">
        <v>477.79536389441597</v>
      </c>
      <c r="CU362" s="551">
        <v>3440.1548340018535</v>
      </c>
      <c r="CV362" s="551"/>
      <c r="CW362" s="551">
        <v>0.25745165791813562</v>
      </c>
      <c r="CX362" s="551">
        <v>24.044911285926098</v>
      </c>
      <c r="CY362" s="554"/>
    </row>
    <row r="363" spans="65:103" ht="12.75" customHeight="1" x14ac:dyDescent="0.3">
      <c r="BM363" s="562"/>
      <c r="BN363" s="591">
        <v>350</v>
      </c>
      <c r="BO363" s="549" t="s">
        <v>2574</v>
      </c>
      <c r="BP363" s="554" t="s">
        <v>620</v>
      </c>
      <c r="BQ363" s="553" t="s">
        <v>2408</v>
      </c>
      <c r="BR363" s="551">
        <v>238868.24521838955</v>
      </c>
      <c r="BS363" s="551"/>
      <c r="BT363" s="551">
        <v>1431014.2044002127</v>
      </c>
      <c r="BU363" s="551">
        <v>47066.772099921909</v>
      </c>
      <c r="BV363" s="551">
        <v>41043.069641049718</v>
      </c>
      <c r="BW363" s="551">
        <v>394.03123123993083</v>
      </c>
      <c r="BX363" s="551">
        <v>1211.4571059390148</v>
      </c>
      <c r="BY363" s="551">
        <v>13437263.200470392</v>
      </c>
      <c r="BZ363" s="551">
        <v>448.68781701444982</v>
      </c>
      <c r="CA363" s="551">
        <v>147657.06444424728</v>
      </c>
      <c r="CB363" s="551">
        <v>8.522677688374238E-31</v>
      </c>
      <c r="CC363" s="551">
        <v>875.38337659502236</v>
      </c>
      <c r="CD363" s="551">
        <v>417666.67597600387</v>
      </c>
      <c r="CE363" s="551">
        <v>25.106963143853342</v>
      </c>
      <c r="CF363" s="551">
        <v>174.8300417047158</v>
      </c>
      <c r="CG363" s="551">
        <v>388.89740638651449</v>
      </c>
      <c r="CH363" s="551">
        <v>1941.4186197636357</v>
      </c>
      <c r="CI363" s="551">
        <v>144.0360764394498</v>
      </c>
      <c r="CJ363" s="551">
        <v>13838.719950534836</v>
      </c>
      <c r="CK363" s="551">
        <v>78582.133483344776</v>
      </c>
      <c r="CL363" s="551"/>
      <c r="CM363" s="551">
        <v>6.5777611871485417</v>
      </c>
      <c r="CN363" s="551">
        <v>130.82188209169158</v>
      </c>
      <c r="CO363" s="551">
        <v>409.20883320224902</v>
      </c>
      <c r="CP363" s="551">
        <v>10382.900745167215</v>
      </c>
      <c r="CQ363" s="551"/>
      <c r="CR363" s="551">
        <v>0.9265805446141312</v>
      </c>
      <c r="CS363" s="551">
        <v>13.164525593357055</v>
      </c>
      <c r="CT363" s="551">
        <v>588.99116489085611</v>
      </c>
      <c r="CU363" s="551">
        <v>630.87093979274994</v>
      </c>
      <c r="CV363" s="551"/>
      <c r="CW363" s="551">
        <v>4.7212633506114453E-2</v>
      </c>
      <c r="CX363" s="551">
        <v>1.5640755963800759</v>
      </c>
      <c r="CY363" s="554"/>
    </row>
    <row r="364" spans="65:103" ht="12.75" customHeight="1" x14ac:dyDescent="0.3">
      <c r="BM364" s="562"/>
      <c r="BN364" s="591">
        <v>351</v>
      </c>
      <c r="BO364" s="549" t="s">
        <v>2726</v>
      </c>
      <c r="BP364" s="554" t="s">
        <v>620</v>
      </c>
      <c r="BQ364" s="553" t="s">
        <v>2408</v>
      </c>
      <c r="BR364" s="551">
        <v>123692.66832048382</v>
      </c>
      <c r="BS364" s="551"/>
      <c r="BT364" s="551">
        <v>8816106.7387614269</v>
      </c>
      <c r="BU364" s="551">
        <v>372595.41421857837</v>
      </c>
      <c r="BV364" s="551">
        <v>256424.89811509138</v>
      </c>
      <c r="BW364" s="551">
        <v>3160.9580606855857</v>
      </c>
      <c r="BX364" s="551">
        <v>707400.14854326856</v>
      </c>
      <c r="BY364" s="551">
        <v>19514040.803290822</v>
      </c>
      <c r="BZ364" s="551">
        <v>262000.05501602549</v>
      </c>
      <c r="CA364" s="551">
        <v>77544.842013365138</v>
      </c>
      <c r="CB364" s="551">
        <v>5.571558966744349E-30</v>
      </c>
      <c r="CC364" s="551">
        <v>104796.19359835215</v>
      </c>
      <c r="CD364" s="551">
        <v>3367666.2560373303</v>
      </c>
      <c r="CE364" s="551">
        <v>3048.0975403982161</v>
      </c>
      <c r="CF364" s="551">
        <v>1428.5001091660322</v>
      </c>
      <c r="CG364" s="551">
        <v>229861.10705411894</v>
      </c>
      <c r="CH364" s="551">
        <v>831796.23316250194</v>
      </c>
      <c r="CI364" s="551">
        <v>85133.743353377329</v>
      </c>
      <c r="CJ364" s="551">
        <v>7460.7441325859627</v>
      </c>
      <c r="CK364" s="551">
        <v>631836.38612348877</v>
      </c>
      <c r="CL364" s="551"/>
      <c r="CM364" s="551">
        <v>53.594949471842732</v>
      </c>
      <c r="CN364" s="551">
        <v>79377.676061909588</v>
      </c>
      <c r="CO364" s="551">
        <v>194.93471515577946</v>
      </c>
      <c r="CP364" s="551">
        <v>41957.619669076332</v>
      </c>
      <c r="CQ364" s="551"/>
      <c r="CR364" s="551">
        <v>3.7970764148157232</v>
      </c>
      <c r="CS364" s="551">
        <v>7780.2615038706408</v>
      </c>
      <c r="CT364" s="551">
        <v>325.76058180278125</v>
      </c>
      <c r="CU364" s="551">
        <v>6420.0938112705389</v>
      </c>
      <c r="CV364" s="551"/>
      <c r="CW364" s="551">
        <v>0.48632747072289839</v>
      </c>
      <c r="CX364" s="551">
        <v>902.78296989798775</v>
      </c>
      <c r="CY364" s="554"/>
    </row>
    <row r="365" spans="65:103" ht="12.75" customHeight="1" x14ac:dyDescent="0.3">
      <c r="BM365" s="562"/>
      <c r="BN365" s="591">
        <v>352</v>
      </c>
      <c r="BO365" s="549" t="s">
        <v>2436</v>
      </c>
      <c r="BP365" s="554" t="s">
        <v>620</v>
      </c>
      <c r="BQ365" s="553" t="s">
        <v>2408</v>
      </c>
      <c r="BR365" s="551">
        <v>5742.3604999714644</v>
      </c>
      <c r="BS365" s="551"/>
      <c r="BT365" s="551">
        <v>10401462.484142639</v>
      </c>
      <c r="BU365" s="551">
        <v>479630.47089189471</v>
      </c>
      <c r="BV365" s="551">
        <v>339274.51400701125</v>
      </c>
      <c r="BW365" s="551">
        <v>4557.5555906656627</v>
      </c>
      <c r="BX365" s="551">
        <v>1134320.2273786701</v>
      </c>
      <c r="BY365" s="551">
        <v>8781056.6094875876</v>
      </c>
      <c r="BZ365" s="551">
        <v>420118.60273284069</v>
      </c>
      <c r="CA365" s="551">
        <v>222.16881198469918</v>
      </c>
      <c r="CB365" s="551">
        <v>4.3079273177545108E-31</v>
      </c>
      <c r="CC365" s="551">
        <v>15976.992830133042</v>
      </c>
      <c r="CD365" s="551">
        <v>5816357.038375454</v>
      </c>
      <c r="CE365" s="551">
        <v>521.13695415435564</v>
      </c>
      <c r="CF365" s="551">
        <v>2763.4160198644286</v>
      </c>
      <c r="CG365" s="551">
        <v>22741.834563884171</v>
      </c>
      <c r="CH365" s="551">
        <v>61579.373004861263</v>
      </c>
      <c r="CI365" s="551">
        <v>8422.9016903274678</v>
      </c>
      <c r="CJ365" s="551">
        <v>1.266675353725063</v>
      </c>
      <c r="CK365" s="551">
        <v>2005916.1176614643</v>
      </c>
      <c r="CL365" s="551"/>
      <c r="CM365" s="551">
        <v>191.74606152049628</v>
      </c>
      <c r="CN365" s="551">
        <v>465.3839259288473</v>
      </c>
      <c r="CO365" s="551">
        <v>2.2159920667443539E-3</v>
      </c>
      <c r="CP365" s="551">
        <v>125041.56744803833</v>
      </c>
      <c r="CQ365" s="551"/>
      <c r="CR365" s="551">
        <v>12.293447274053849</v>
      </c>
      <c r="CS365" s="551">
        <v>2.440779267494972</v>
      </c>
      <c r="CT365" s="551">
        <v>3.5058756937482267E-3</v>
      </c>
      <c r="CU365" s="551">
        <v>22731.902328113611</v>
      </c>
      <c r="CV365" s="551"/>
      <c r="CW365" s="551">
        <v>2.0649268500348721</v>
      </c>
      <c r="CX365" s="551">
        <v>0.32790375761839524</v>
      </c>
      <c r="CY365" s="554"/>
    </row>
    <row r="366" spans="65:103" ht="12.75" customHeight="1" x14ac:dyDescent="0.3">
      <c r="BM366" s="562"/>
      <c r="BN366" s="591">
        <v>353</v>
      </c>
      <c r="BO366" s="549" t="s">
        <v>2881</v>
      </c>
      <c r="BP366" s="554" t="s">
        <v>620</v>
      </c>
      <c r="BQ366" s="553" t="s">
        <v>2408</v>
      </c>
      <c r="BR366" s="551">
        <v>237052.7623306404</v>
      </c>
      <c r="BS366" s="551"/>
      <c r="BT366" s="551">
        <v>2585847.0399611359</v>
      </c>
      <c r="BU366" s="551">
        <v>102807.97371513817</v>
      </c>
      <c r="BV366" s="551">
        <v>85618.738002448896</v>
      </c>
      <c r="BW366" s="551">
        <v>990.91824701337498</v>
      </c>
      <c r="BX366" s="551">
        <v>11067.72954492266</v>
      </c>
      <c r="BY366" s="551">
        <v>27335154.220621396</v>
      </c>
      <c r="BZ366" s="551">
        <v>4099.1590907120972</v>
      </c>
      <c r="CA366" s="551">
        <v>155523.11216399525</v>
      </c>
      <c r="CB366" s="551">
        <v>3.2190945069667035E-30</v>
      </c>
      <c r="CC366" s="551">
        <v>6390.2859586357099</v>
      </c>
      <c r="CD366" s="551">
        <v>2489668.3000161736</v>
      </c>
      <c r="CE366" s="551">
        <v>211.58568577257466</v>
      </c>
      <c r="CF366" s="551">
        <v>1199.8377452378134</v>
      </c>
      <c r="CG366" s="551">
        <v>3577.1743116949638</v>
      </c>
      <c r="CH366" s="551">
        <v>22923.154245331432</v>
      </c>
      <c r="CI366" s="551">
        <v>1324.8793747018383</v>
      </c>
      <c r="CJ366" s="551">
        <v>15486.356249894125</v>
      </c>
      <c r="CK366" s="551">
        <v>1035737.5456942645</v>
      </c>
      <c r="CL366" s="551"/>
      <c r="CM366" s="551">
        <v>100.42670108175072</v>
      </c>
      <c r="CN366" s="551">
        <v>1278.4921506617088</v>
      </c>
      <c r="CO366" s="551">
        <v>471.1030758076032</v>
      </c>
      <c r="CP366" s="551">
        <v>109010.84047041673</v>
      </c>
      <c r="CQ366" s="551"/>
      <c r="CR366" s="551">
        <v>10.874750933196887</v>
      </c>
      <c r="CS366" s="551">
        <v>128.38788592988288</v>
      </c>
      <c r="CT366" s="551">
        <v>702.11732837682348</v>
      </c>
      <c r="CU366" s="551">
        <v>15260.458519216396</v>
      </c>
      <c r="CV366" s="551"/>
      <c r="CW366" s="551">
        <v>1.4053044034765576</v>
      </c>
      <c r="CX366" s="551">
        <v>16.644542532521054</v>
      </c>
      <c r="CY366" s="554"/>
    </row>
    <row r="367" spans="65:103" ht="12.75" customHeight="1" x14ac:dyDescent="0.3">
      <c r="BM367" s="562"/>
      <c r="BN367" s="591">
        <v>354</v>
      </c>
      <c r="BO367" s="549" t="s">
        <v>2428</v>
      </c>
      <c r="BP367" s="554" t="s">
        <v>620</v>
      </c>
      <c r="BQ367" s="553" t="s">
        <v>2408</v>
      </c>
      <c r="BR367" s="551">
        <v>6449.4233851378813</v>
      </c>
      <c r="BS367" s="551"/>
      <c r="BT367" s="551">
        <v>3446530.7055944176</v>
      </c>
      <c r="BU367" s="551">
        <v>146459.17917123687</v>
      </c>
      <c r="BV367" s="551">
        <v>114103.01451869567</v>
      </c>
      <c r="BW367" s="551">
        <v>1404.1115948016832</v>
      </c>
      <c r="BX367" s="551">
        <v>48903.842480057094</v>
      </c>
      <c r="BY367" s="551">
        <v>403449.78997013601</v>
      </c>
      <c r="BZ367" s="551">
        <v>18112.534251872996</v>
      </c>
      <c r="CA367" s="551">
        <v>427.21539739704008</v>
      </c>
      <c r="CB367" s="551">
        <v>3.4946955474198532E-31</v>
      </c>
      <c r="CC367" s="551">
        <v>2605.7021517381413</v>
      </c>
      <c r="CD367" s="551">
        <v>894124.76987495879</v>
      </c>
      <c r="CE367" s="551">
        <v>86.26601526241032</v>
      </c>
      <c r="CF367" s="551">
        <v>428.60098072547953</v>
      </c>
      <c r="CG367" s="551">
        <v>1678.5901555793605</v>
      </c>
      <c r="CH367" s="551">
        <v>3789.0915511922644</v>
      </c>
      <c r="CI367" s="551">
        <v>621.70005762198537</v>
      </c>
      <c r="CJ367" s="551">
        <v>4.1668994532146639</v>
      </c>
      <c r="CK367" s="551">
        <v>127586.43189909798</v>
      </c>
      <c r="CL367" s="551"/>
      <c r="CM367" s="551">
        <v>12.230016188038586</v>
      </c>
      <c r="CN367" s="551">
        <v>58.764419642808889</v>
      </c>
      <c r="CO367" s="551">
        <v>1.5128623091158221E-2</v>
      </c>
      <c r="CP367" s="551">
        <v>3387.7062459328495</v>
      </c>
      <c r="CQ367" s="551"/>
      <c r="CR367" s="551">
        <v>0.34887705244422457</v>
      </c>
      <c r="CS367" s="551">
        <v>0.65435474476150057</v>
      </c>
      <c r="CT367" s="551">
        <v>1.8118690220325539E-2</v>
      </c>
      <c r="CU367" s="551">
        <v>582.3502838867488</v>
      </c>
      <c r="CV367" s="551"/>
      <c r="CW367" s="551">
        <v>4.9303332418713576E-2</v>
      </c>
      <c r="CX367" s="551">
        <v>6.2870121427421516E-2</v>
      </c>
      <c r="CY367" s="554"/>
    </row>
    <row r="368" spans="65:103" ht="12.75" customHeight="1" x14ac:dyDescent="0.3">
      <c r="BM368" s="562"/>
      <c r="BN368" s="591">
        <v>355</v>
      </c>
      <c r="BO368" s="549" t="s">
        <v>2596</v>
      </c>
      <c r="BP368" s="554" t="s">
        <v>620</v>
      </c>
      <c r="BQ368" s="553" t="s">
        <v>2408</v>
      </c>
      <c r="BR368" s="551">
        <v>326453.4828961668</v>
      </c>
      <c r="BS368" s="551"/>
      <c r="BT368" s="551">
        <v>1483387.0914098087</v>
      </c>
      <c r="BU368" s="551">
        <v>49481.962519774708</v>
      </c>
      <c r="BV368" s="551">
        <v>49839.509610328372</v>
      </c>
      <c r="BW368" s="551">
        <v>481.01951991645944</v>
      </c>
      <c r="BX368" s="551">
        <v>2522.4200685563828</v>
      </c>
      <c r="BY368" s="551">
        <v>13816545.694628473</v>
      </c>
      <c r="BZ368" s="551">
        <v>934.22965502088243</v>
      </c>
      <c r="CA368" s="551">
        <v>325335.35788806132</v>
      </c>
      <c r="CB368" s="551">
        <v>2.3631263898152946E-30</v>
      </c>
      <c r="CC368" s="551">
        <v>2514.5446964066323</v>
      </c>
      <c r="CD368" s="551">
        <v>748624.18254070031</v>
      </c>
      <c r="CE368" s="551">
        <v>84.484808643609767</v>
      </c>
      <c r="CF368" s="551">
        <v>363.87284026949214</v>
      </c>
      <c r="CG368" s="551">
        <v>1307.3388259964956</v>
      </c>
      <c r="CH368" s="551">
        <v>6424.2756047128978</v>
      </c>
      <c r="CI368" s="551">
        <v>484.19956518388716</v>
      </c>
      <c r="CJ368" s="551">
        <v>50301.742375008085</v>
      </c>
      <c r="CK368" s="551">
        <v>198513.31214062835</v>
      </c>
      <c r="CL368" s="551"/>
      <c r="CM368" s="551">
        <v>19.294915008526463</v>
      </c>
      <c r="CN368" s="551">
        <v>725.51029202662767</v>
      </c>
      <c r="CO368" s="551">
        <v>2353.7988956918011</v>
      </c>
      <c r="CP368" s="551">
        <v>62225.607707940711</v>
      </c>
      <c r="CQ368" s="551"/>
      <c r="CR368" s="551">
        <v>6.5032592540898069</v>
      </c>
      <c r="CS368" s="551">
        <v>114.9966934267905</v>
      </c>
      <c r="CT368" s="551">
        <v>3681.5139658835005</v>
      </c>
      <c r="CU368" s="551">
        <v>3116.8265948544181</v>
      </c>
      <c r="CV368" s="551"/>
      <c r="CW368" s="551">
        <v>0.26721618424437704</v>
      </c>
      <c r="CX368" s="551">
        <v>14.94577508899366</v>
      </c>
      <c r="CY368" s="554"/>
    </row>
    <row r="369" spans="65:103" ht="12.75" customHeight="1" x14ac:dyDescent="0.3">
      <c r="BM369" s="562"/>
      <c r="BN369" s="591">
        <v>356</v>
      </c>
      <c r="BO369" s="549" t="s">
        <v>2590</v>
      </c>
      <c r="BP369" s="554" t="s">
        <v>620</v>
      </c>
      <c r="BQ369" s="553" t="s">
        <v>2408</v>
      </c>
      <c r="BR369" s="551">
        <v>381828.74208402185</v>
      </c>
      <c r="BS369" s="551"/>
      <c r="BT369" s="551">
        <v>1074813.827552241</v>
      </c>
      <c r="BU369" s="551">
        <v>37309.596055925969</v>
      </c>
      <c r="BV369" s="551">
        <v>36112.080520191528</v>
      </c>
      <c r="BW369" s="551">
        <v>362.69062642627483</v>
      </c>
      <c r="BX369" s="551">
        <v>3516.6004824229085</v>
      </c>
      <c r="BY369" s="551">
        <v>8787461.0433475021</v>
      </c>
      <c r="BZ369" s="551">
        <v>1302.4446231195957</v>
      </c>
      <c r="CA369" s="551">
        <v>1410841.2920828224</v>
      </c>
      <c r="CB369" s="551">
        <v>1.0460920346834489E-29</v>
      </c>
      <c r="CC369" s="551">
        <v>12716.580319704142</v>
      </c>
      <c r="CD369" s="551">
        <v>2418377.170539842</v>
      </c>
      <c r="CE369" s="551">
        <v>427.25741023676812</v>
      </c>
      <c r="CF369" s="551">
        <v>1175.4653274767654</v>
      </c>
      <c r="CG369" s="551">
        <v>6757.5917611288269</v>
      </c>
      <c r="CH369" s="551">
        <v>33195.707704662564</v>
      </c>
      <c r="CI369" s="551">
        <v>2502.8117633810461</v>
      </c>
      <c r="CJ369" s="551">
        <v>1049198.0998270486</v>
      </c>
      <c r="CK369" s="551">
        <v>2381069.6154598119</v>
      </c>
      <c r="CL369" s="551"/>
      <c r="CM369" s="551">
        <v>231.43302262336869</v>
      </c>
      <c r="CN369" s="551">
        <v>18037.441702326632</v>
      </c>
      <c r="CO369" s="551">
        <v>169819.49130803568</v>
      </c>
      <c r="CP369" s="551">
        <v>4071282.3596331212</v>
      </c>
      <c r="CQ369" s="551"/>
      <c r="CR369" s="551">
        <v>425.49371001029158</v>
      </c>
      <c r="CS369" s="551">
        <v>9889.9265103963735</v>
      </c>
      <c r="CT369" s="551">
        <v>502175.22514410503</v>
      </c>
      <c r="CU369" s="551">
        <v>326600.65138912952</v>
      </c>
      <c r="CV369" s="551"/>
      <c r="CW369" s="551">
        <v>28.000588797595658</v>
      </c>
      <c r="CX369" s="551">
        <v>2429.7384030782232</v>
      </c>
      <c r="CY369" s="554"/>
    </row>
    <row r="370" spans="65:103" ht="12.75" customHeight="1" x14ac:dyDescent="0.3">
      <c r="BM370" s="562"/>
      <c r="BN370" s="591">
        <v>357</v>
      </c>
      <c r="BO370" s="549" t="s">
        <v>2646</v>
      </c>
      <c r="BP370" s="554" t="s">
        <v>620</v>
      </c>
      <c r="BQ370" s="553" t="s">
        <v>2408</v>
      </c>
      <c r="BR370" s="551">
        <v>549545.56014107715</v>
      </c>
      <c r="BS370" s="551"/>
      <c r="BT370" s="551">
        <v>1264808.9612829813</v>
      </c>
      <c r="BU370" s="551">
        <v>44757.696208404079</v>
      </c>
      <c r="BV370" s="551">
        <v>46457.442845698737</v>
      </c>
      <c r="BW370" s="551">
        <v>476.73528202992861</v>
      </c>
      <c r="BX370" s="551">
        <v>1509.8834488003315</v>
      </c>
      <c r="BY370" s="551">
        <v>33304757.971649881</v>
      </c>
      <c r="BZ370" s="551">
        <v>559.21609214827106</v>
      </c>
      <c r="CA370" s="551">
        <v>3017930.6419876171</v>
      </c>
      <c r="CB370" s="551">
        <v>5.7897547761021164E-30</v>
      </c>
      <c r="CC370" s="551">
        <v>6378.0523313176409</v>
      </c>
      <c r="CD370" s="551">
        <v>3623316.4175688759</v>
      </c>
      <c r="CE370" s="551">
        <v>234.27095373241167</v>
      </c>
      <c r="CF370" s="551">
        <v>1929.6824016257397</v>
      </c>
      <c r="CG370" s="551">
        <v>3822.5314152190899</v>
      </c>
      <c r="CH370" s="551">
        <v>27087.253493086711</v>
      </c>
      <c r="CI370" s="551">
        <v>1415.7523760070699</v>
      </c>
      <c r="CJ370" s="551">
        <v>5103912.6636882452</v>
      </c>
      <c r="CK370" s="551">
        <v>12117488.381598776</v>
      </c>
      <c r="CL370" s="551"/>
      <c r="CM370" s="551">
        <v>1300.3965173745619</v>
      </c>
      <c r="CN370" s="551">
        <v>23203.243538954011</v>
      </c>
      <c r="CO370" s="551">
        <v>1649435.5440901851</v>
      </c>
      <c r="CP370" s="551">
        <v>41346568.518096134</v>
      </c>
      <c r="CQ370" s="551"/>
      <c r="CR370" s="551">
        <v>4523.3239601525011</v>
      </c>
      <c r="CS370" s="551">
        <v>24436.770960622169</v>
      </c>
      <c r="CT370" s="551">
        <v>5034750.0230358122</v>
      </c>
      <c r="CU370" s="551">
        <v>3114408.4948158748</v>
      </c>
      <c r="CV370" s="551"/>
      <c r="CW370" s="551">
        <v>322.65611916063733</v>
      </c>
      <c r="CX370" s="551">
        <v>6636.9806976708569</v>
      </c>
      <c r="CY370" s="554"/>
    </row>
    <row r="371" spans="65:103" ht="12.75" customHeight="1" x14ac:dyDescent="0.3">
      <c r="BM371" s="562"/>
      <c r="BN371" s="591">
        <v>358</v>
      </c>
      <c r="BO371" s="549" t="s">
        <v>2700</v>
      </c>
      <c r="BP371" s="554" t="s">
        <v>620</v>
      </c>
      <c r="BQ371" s="553" t="s">
        <v>2408</v>
      </c>
      <c r="BR371" s="551">
        <v>382020.135994935</v>
      </c>
      <c r="BS371" s="551"/>
      <c r="BT371" s="551">
        <v>2671623.7694042353</v>
      </c>
      <c r="BU371" s="551">
        <v>114019.72806718636</v>
      </c>
      <c r="BV371" s="551">
        <v>119341.44851755847</v>
      </c>
      <c r="BW371" s="551">
        <v>1458.9605375594062</v>
      </c>
      <c r="BX371" s="551">
        <v>43547.857054564949</v>
      </c>
      <c r="BY371" s="551">
        <v>20556977.759877022</v>
      </c>
      <c r="BZ371" s="551">
        <v>16128.835946135167</v>
      </c>
      <c r="CA371" s="551">
        <v>1192399.0214402247</v>
      </c>
      <c r="CB371" s="551">
        <v>2.8540508372173321E-29</v>
      </c>
      <c r="CC371" s="551">
        <v>87734.413168650441</v>
      </c>
      <c r="CD371" s="551">
        <v>14220363.213474754</v>
      </c>
      <c r="CE371" s="551">
        <v>3919.0967202390029</v>
      </c>
      <c r="CF371" s="551">
        <v>9097.9644969842211</v>
      </c>
      <c r="CG371" s="551">
        <v>69178.248521503541</v>
      </c>
      <c r="CH371" s="551">
        <v>430858.99968126649</v>
      </c>
      <c r="CI371" s="551">
        <v>25621.5735264828</v>
      </c>
      <c r="CJ371" s="551">
        <v>676026.41021790169</v>
      </c>
      <c r="CK371" s="551">
        <v>15214882.290079886</v>
      </c>
      <c r="CL371" s="551"/>
      <c r="CM371" s="551">
        <v>1958.4839527219192</v>
      </c>
      <c r="CN371" s="551">
        <v>140771.67215581652</v>
      </c>
      <c r="CO371" s="551">
        <v>87747.072546360418</v>
      </c>
      <c r="CP371" s="551">
        <v>9808396.4687936939</v>
      </c>
      <c r="CQ371" s="551"/>
      <c r="CR371" s="551">
        <v>1308.7910558902101</v>
      </c>
      <c r="CS371" s="551">
        <v>60130.137706952817</v>
      </c>
      <c r="CT371" s="551">
        <v>220371.43330931326</v>
      </c>
      <c r="CU371" s="551">
        <v>1685781.2819722195</v>
      </c>
      <c r="CV371" s="551"/>
      <c r="CW371" s="551">
        <v>203.43164569995972</v>
      </c>
      <c r="CX371" s="551">
        <v>13196.100554286701</v>
      </c>
      <c r="CY371" s="554"/>
    </row>
    <row r="372" spans="65:103" ht="12.75" customHeight="1" x14ac:dyDescent="0.3">
      <c r="BM372" s="562"/>
      <c r="BN372" s="591">
        <v>359</v>
      </c>
      <c r="BO372" s="549" t="s">
        <v>2533</v>
      </c>
      <c r="BP372" s="554" t="s">
        <v>620</v>
      </c>
      <c r="BQ372" s="553" t="s">
        <v>2408</v>
      </c>
      <c r="BR372" s="551">
        <v>358005.93759743421</v>
      </c>
      <c r="BS372" s="551"/>
      <c r="BT372" s="551">
        <v>1619416.4319423412</v>
      </c>
      <c r="BU372" s="551">
        <v>49841.29802830964</v>
      </c>
      <c r="BV372" s="551">
        <v>75306.499574004964</v>
      </c>
      <c r="BW372" s="551">
        <v>656.60104377577613</v>
      </c>
      <c r="BX372" s="551">
        <v>52.25822731010512</v>
      </c>
      <c r="BY372" s="551">
        <v>20105763.860234637</v>
      </c>
      <c r="BZ372" s="551">
        <v>19.354899003742645</v>
      </c>
      <c r="CA372" s="551">
        <v>238435.81311041242</v>
      </c>
      <c r="CB372" s="551">
        <v>3.1745807909076456E-32</v>
      </c>
      <c r="CC372" s="551">
        <v>26.27399088959163</v>
      </c>
      <c r="CD372" s="551">
        <v>254317.58541007008</v>
      </c>
      <c r="CE372" s="551">
        <v>1.2217995598335949</v>
      </c>
      <c r="CF372" s="551">
        <v>167.51689726854647</v>
      </c>
      <c r="CG372" s="551">
        <v>18.154106574006988</v>
      </c>
      <c r="CH372" s="551">
        <v>87.199852423307519</v>
      </c>
      <c r="CI372" s="551">
        <v>6.7237431755581456</v>
      </c>
      <c r="CJ372" s="551">
        <v>24189.526462468242</v>
      </c>
      <c r="CK372" s="551">
        <v>35934.627616615879</v>
      </c>
      <c r="CL372" s="551"/>
      <c r="CM372" s="551">
        <v>4.7332699851412103</v>
      </c>
      <c r="CN372" s="551">
        <v>6.610501613406834</v>
      </c>
      <c r="CO372" s="551">
        <v>821.44826872014062</v>
      </c>
      <c r="CP372" s="551">
        <v>1368.6537495317627</v>
      </c>
      <c r="CQ372" s="551"/>
      <c r="CR372" s="551">
        <v>0.19798037592891649</v>
      </c>
      <c r="CS372" s="551">
        <v>0.74449996856039335</v>
      </c>
      <c r="CT372" s="551">
        <v>1111.7302681091089</v>
      </c>
      <c r="CU372" s="551">
        <v>172.79613818949551</v>
      </c>
      <c r="CV372" s="551"/>
      <c r="CW372" s="551">
        <v>1.9438800196264282E-2</v>
      </c>
      <c r="CX372" s="551">
        <v>8.7074521629355542E-2</v>
      </c>
      <c r="CY372" s="554"/>
    </row>
    <row r="373" spans="65:103" ht="12.75" customHeight="1" x14ac:dyDescent="0.3">
      <c r="BM373" s="562"/>
      <c r="BN373" s="591">
        <v>360</v>
      </c>
      <c r="BO373" s="549" t="s">
        <v>2780</v>
      </c>
      <c r="BP373" s="554" t="s">
        <v>620</v>
      </c>
      <c r="BQ373" s="553" t="s">
        <v>2408</v>
      </c>
      <c r="BR373" s="551">
        <v>54966.552703709545</v>
      </c>
      <c r="BS373" s="551"/>
      <c r="BT373" s="551">
        <v>6905370.0297592031</v>
      </c>
      <c r="BU373" s="551">
        <v>290465.61539444083</v>
      </c>
      <c r="BV373" s="551">
        <v>331683.62405635911</v>
      </c>
      <c r="BW373" s="551">
        <v>3943.2990421396435</v>
      </c>
      <c r="BX373" s="551">
        <v>290948.88449361268</v>
      </c>
      <c r="BY373" s="551">
        <v>16224271.677312877</v>
      </c>
      <c r="BZ373" s="551">
        <v>107758.84610874545</v>
      </c>
      <c r="CA373" s="551">
        <v>15704.624923596324</v>
      </c>
      <c r="CB373" s="551">
        <v>9.3211572587659591E-31</v>
      </c>
      <c r="CC373" s="551">
        <v>12635.899492014762</v>
      </c>
      <c r="CD373" s="551">
        <v>1828580.2132163923</v>
      </c>
      <c r="CE373" s="551">
        <v>606.93647388357454</v>
      </c>
      <c r="CF373" s="551">
        <v>1241.2206851850506</v>
      </c>
      <c r="CG373" s="551">
        <v>43104.768324758959</v>
      </c>
      <c r="CH373" s="551">
        <v>137677.37115414647</v>
      </c>
      <c r="CI373" s="551">
        <v>15964.729009169985</v>
      </c>
      <c r="CJ373" s="551">
        <v>670.95731960011608</v>
      </c>
      <c r="CK373" s="551">
        <v>270147.62986857822</v>
      </c>
      <c r="CL373" s="551"/>
      <c r="CM373" s="551">
        <v>36.669236728998911</v>
      </c>
      <c r="CN373" s="551">
        <v>6609.9214289769188</v>
      </c>
      <c r="CO373" s="551">
        <v>8.8356127359193817</v>
      </c>
      <c r="CP373" s="551">
        <v>8037.0490190373494</v>
      </c>
      <c r="CQ373" s="551"/>
      <c r="CR373" s="551">
        <v>1.2009318657194472</v>
      </c>
      <c r="CS373" s="551">
        <v>338.87585732825193</v>
      </c>
      <c r="CT373" s="551">
        <v>12.543159990850988</v>
      </c>
      <c r="CU373" s="551">
        <v>1339.8876204671653</v>
      </c>
      <c r="CV373" s="551"/>
      <c r="CW373" s="551">
        <v>0.15477944405756253</v>
      </c>
      <c r="CX373" s="551">
        <v>31.418613074423952</v>
      </c>
      <c r="CY373" s="554"/>
    </row>
    <row r="374" spans="65:103" ht="12.75" customHeight="1" x14ac:dyDescent="0.3">
      <c r="BM374" s="562"/>
      <c r="BN374" s="591">
        <v>361</v>
      </c>
      <c r="BO374" s="549" t="s">
        <v>2688</v>
      </c>
      <c r="BP374" s="554" t="s">
        <v>620</v>
      </c>
      <c r="BQ374" s="553" t="s">
        <v>2408</v>
      </c>
      <c r="BR374" s="551">
        <v>102101.89965468284</v>
      </c>
      <c r="BS374" s="551"/>
      <c r="BT374" s="551">
        <v>1606333.3737312597</v>
      </c>
      <c r="BU374" s="551">
        <v>49613.85371501826</v>
      </c>
      <c r="BV374" s="551">
        <v>81031.557138855191</v>
      </c>
      <c r="BW374" s="551">
        <v>704.83367139361269</v>
      </c>
      <c r="BX374" s="551">
        <v>63.484798581711708</v>
      </c>
      <c r="BY374" s="551">
        <v>19857761.692517105</v>
      </c>
      <c r="BZ374" s="551">
        <v>23.512888363596929</v>
      </c>
      <c r="CA374" s="551">
        <v>14441.088519824525</v>
      </c>
      <c r="CB374" s="551">
        <v>7.5767518370704505E-33</v>
      </c>
      <c r="CC374" s="551">
        <v>6.3431206249602239</v>
      </c>
      <c r="CD374" s="551">
        <v>248591.23920299654</v>
      </c>
      <c r="CE374" s="551">
        <v>0.31997899674224561</v>
      </c>
      <c r="CF374" s="551">
        <v>176.57918371970536</v>
      </c>
      <c r="CG374" s="551">
        <v>4.6861617323437175</v>
      </c>
      <c r="CH374" s="551">
        <v>22.414619912869323</v>
      </c>
      <c r="CI374" s="551">
        <v>1.7356154564235988</v>
      </c>
      <c r="CJ374" s="551">
        <v>302.73042707765791</v>
      </c>
      <c r="CK374" s="551">
        <v>34369.110347041038</v>
      </c>
      <c r="CL374" s="551"/>
      <c r="CM374" s="551">
        <v>4.8818835340892646</v>
      </c>
      <c r="CN374" s="551">
        <v>0.35259574904275925</v>
      </c>
      <c r="CO374" s="551">
        <v>2.1520481929322028</v>
      </c>
      <c r="CP374" s="551">
        <v>821.35580816048628</v>
      </c>
      <c r="CQ374" s="551"/>
      <c r="CR374" s="551">
        <v>0.12891183104771856</v>
      </c>
      <c r="CS374" s="551">
        <v>8.3505447274099254E-3</v>
      </c>
      <c r="CT374" s="551">
        <v>2.7333846281237459</v>
      </c>
      <c r="CU374" s="551">
        <v>154.70362117042845</v>
      </c>
      <c r="CV374" s="551"/>
      <c r="CW374" s="551">
        <v>1.8598496749944921E-2</v>
      </c>
      <c r="CX374" s="551">
        <v>9.0443805455708176E-4</v>
      </c>
      <c r="CY374" s="554"/>
    </row>
    <row r="375" spans="65:103" ht="12.75" customHeight="1" x14ac:dyDescent="0.3">
      <c r="BM375" s="562"/>
      <c r="BN375" s="591">
        <v>362</v>
      </c>
      <c r="BO375" s="549" t="s">
        <v>2712</v>
      </c>
      <c r="BP375" s="554" t="s">
        <v>620</v>
      </c>
      <c r="BQ375" s="553" t="s">
        <v>2408</v>
      </c>
      <c r="BR375" s="551">
        <v>287665.17451531708</v>
      </c>
      <c r="BS375" s="551"/>
      <c r="BT375" s="551">
        <v>1143589.6407050537</v>
      </c>
      <c r="BU375" s="551">
        <v>36342.164529861569</v>
      </c>
      <c r="BV375" s="551">
        <v>58645.050783229002</v>
      </c>
      <c r="BW375" s="551">
        <v>524.20789361057962</v>
      </c>
      <c r="BX375" s="551">
        <v>187.3751135874806</v>
      </c>
      <c r="BY375" s="551">
        <v>12881515.688518045</v>
      </c>
      <c r="BZ375" s="551">
        <v>69.39819021758538</v>
      </c>
      <c r="CA375" s="551">
        <v>281202.77584766597</v>
      </c>
      <c r="CB375" s="551">
        <v>1.3654868450369404E-31</v>
      </c>
      <c r="CC375" s="551">
        <v>125.89284434512417</v>
      </c>
      <c r="CD375" s="551">
        <v>211177.71551723519</v>
      </c>
      <c r="CE375" s="551">
        <v>6.4559803508828013</v>
      </c>
      <c r="CF375" s="551">
        <v>152.30384164077986</v>
      </c>
      <c r="CG375" s="551">
        <v>95.60448421635202</v>
      </c>
      <c r="CH375" s="551">
        <v>456.8771530878463</v>
      </c>
      <c r="CI375" s="551">
        <v>35.409068228278521</v>
      </c>
      <c r="CJ375" s="551">
        <v>42741.817423993503</v>
      </c>
      <c r="CK375" s="551">
        <v>34602.712681006116</v>
      </c>
      <c r="CL375" s="551"/>
      <c r="CM375" s="551">
        <v>4.9904333316838239</v>
      </c>
      <c r="CN375" s="551">
        <v>52.157323803148913</v>
      </c>
      <c r="CO375" s="551">
        <v>2171.8118477536996</v>
      </c>
      <c r="CP375" s="551">
        <v>5773.0536104740486</v>
      </c>
      <c r="CQ375" s="551"/>
      <c r="CR375" s="551">
        <v>0.92115540690932174</v>
      </c>
      <c r="CS375" s="551">
        <v>8.8270564802541216</v>
      </c>
      <c r="CT375" s="551">
        <v>3028.4940632598291</v>
      </c>
      <c r="CU375" s="551">
        <v>267.57906561798961</v>
      </c>
      <c r="CV375" s="551"/>
      <c r="CW375" s="551">
        <v>3.2600480724732199E-2</v>
      </c>
      <c r="CX375" s="551">
        <v>1.0499474545583798</v>
      </c>
      <c r="CY375" s="554"/>
    </row>
    <row r="376" spans="65:103" ht="12.75" customHeight="1" x14ac:dyDescent="0.3">
      <c r="BM376" s="562"/>
      <c r="BN376" s="591">
        <v>363</v>
      </c>
      <c r="BO376" s="549" t="s">
        <v>2889</v>
      </c>
      <c r="BP376" s="554" t="s">
        <v>620</v>
      </c>
      <c r="BQ376" s="553" t="s">
        <v>2408</v>
      </c>
      <c r="BR376" s="551">
        <v>198948.70914056178</v>
      </c>
      <c r="BS376" s="551"/>
      <c r="BT376" s="551">
        <v>1235365.0218859352</v>
      </c>
      <c r="BU376" s="551">
        <v>40254.279750084293</v>
      </c>
      <c r="BV376" s="551">
        <v>65480.74537085709</v>
      </c>
      <c r="BW376" s="551">
        <v>598.65382068151359</v>
      </c>
      <c r="BX376" s="551">
        <v>1134.5072576638913</v>
      </c>
      <c r="BY376" s="551">
        <v>12930126.52176383</v>
      </c>
      <c r="BZ376" s="551">
        <v>420.18787320884837</v>
      </c>
      <c r="CA376" s="551">
        <v>109374.4472382864</v>
      </c>
      <c r="CB376" s="551">
        <v>4.1367765506404129E-31</v>
      </c>
      <c r="CC376" s="551">
        <v>412.66130547456396</v>
      </c>
      <c r="CD376" s="551">
        <v>290567.11427053239</v>
      </c>
      <c r="CE376" s="551">
        <v>21.873186782424831</v>
      </c>
      <c r="CF376" s="551">
        <v>216.06288101837404</v>
      </c>
      <c r="CG376" s="551">
        <v>325.61913893443375</v>
      </c>
      <c r="CH376" s="551">
        <v>1551.3393134038984</v>
      </c>
      <c r="CI376" s="551">
        <v>120.5996810868273</v>
      </c>
      <c r="CJ376" s="551">
        <v>9084.1445487995243</v>
      </c>
      <c r="CK376" s="551">
        <v>49167.764353166531</v>
      </c>
      <c r="CL376" s="551"/>
      <c r="CM376" s="551">
        <v>7.3110424423824281</v>
      </c>
      <c r="CN376" s="551">
        <v>97.069265603291811</v>
      </c>
      <c r="CO376" s="551">
        <v>242.47017865389938</v>
      </c>
      <c r="CP376" s="551">
        <v>4788.5536445452653</v>
      </c>
      <c r="CQ376" s="551"/>
      <c r="CR376" s="551">
        <v>0.78984413967186784</v>
      </c>
      <c r="CS376" s="551">
        <v>8.6362463311634787</v>
      </c>
      <c r="CT376" s="551">
        <v>339.61255658138077</v>
      </c>
      <c r="CU376" s="551">
        <v>323.54257023626292</v>
      </c>
      <c r="CV376" s="551"/>
      <c r="CW376" s="551">
        <v>4.0487051493223215E-2</v>
      </c>
      <c r="CX376" s="551">
        <v>1.0285864689703084</v>
      </c>
      <c r="CY376" s="554"/>
    </row>
    <row r="377" spans="65:103" ht="12.75" customHeight="1" x14ac:dyDescent="0.3">
      <c r="BM377" s="562"/>
      <c r="BN377" s="591">
        <v>364</v>
      </c>
      <c r="BO377" s="549" t="s">
        <v>2610</v>
      </c>
      <c r="BP377" s="554" t="s">
        <v>620</v>
      </c>
      <c r="BQ377" s="553" t="s">
        <v>2408</v>
      </c>
      <c r="BR377" s="551">
        <v>84507.680901001906</v>
      </c>
      <c r="BS377" s="551"/>
      <c r="BT377" s="551">
        <v>1587384.0115557357</v>
      </c>
      <c r="BU377" s="551">
        <v>48879.513777015265</v>
      </c>
      <c r="BV377" s="551">
        <v>85548.885371465498</v>
      </c>
      <c r="BW377" s="551">
        <v>738.16240998029252</v>
      </c>
      <c r="BX377" s="551">
        <v>6.133587172203959</v>
      </c>
      <c r="BY377" s="551">
        <v>19967107.110277876</v>
      </c>
      <c r="BZ377" s="551">
        <v>2.271698952668133</v>
      </c>
      <c r="CA377" s="551">
        <v>9716.3665933796292</v>
      </c>
      <c r="CB377" s="551">
        <v>5.5331029158306889E-34</v>
      </c>
      <c r="CC377" s="551">
        <v>0.45875008742123674</v>
      </c>
      <c r="CD377" s="551">
        <v>243230.70652011223</v>
      </c>
      <c r="CE377" s="551">
        <v>2.4723418125199615E-2</v>
      </c>
      <c r="CF377" s="551">
        <v>183.6595238295134</v>
      </c>
      <c r="CG377" s="551">
        <v>0.3683001462544257</v>
      </c>
      <c r="CH377" s="551">
        <v>1.7534606178598986</v>
      </c>
      <c r="CI377" s="551">
        <v>0.13640746157571321</v>
      </c>
      <c r="CJ377" s="551">
        <v>165.86167387225979</v>
      </c>
      <c r="CK377" s="551">
        <v>33581.812942154458</v>
      </c>
      <c r="CL377" s="551"/>
      <c r="CM377" s="551">
        <v>5.0706569453515034</v>
      </c>
      <c r="CN377" s="551">
        <v>2.2565642241376846E-2</v>
      </c>
      <c r="CO377" s="551">
        <v>0.98752393767530711</v>
      </c>
      <c r="CP377" s="551">
        <v>794.44843394818395</v>
      </c>
      <c r="CQ377" s="551"/>
      <c r="CR377" s="551">
        <v>0.13324358151169632</v>
      </c>
      <c r="CS377" s="551">
        <v>4.3922284739833918E-4</v>
      </c>
      <c r="CT377" s="551">
        <v>1.2152516299530536</v>
      </c>
      <c r="CU377" s="551">
        <v>151.05134068755061</v>
      </c>
      <c r="CV377" s="551"/>
      <c r="CW377" s="551">
        <v>1.9156982107872266E-2</v>
      </c>
      <c r="CX377" s="551">
        <v>4.8095792276522064E-5</v>
      </c>
      <c r="CY377" s="554"/>
    </row>
    <row r="378" spans="65:103" ht="12.75" customHeight="1" x14ac:dyDescent="0.3">
      <c r="BM378" s="562"/>
      <c r="BN378" s="591">
        <v>365</v>
      </c>
      <c r="BO378" s="549" t="s">
        <v>2515</v>
      </c>
      <c r="BP378" s="554" t="s">
        <v>620</v>
      </c>
      <c r="BQ378" s="553" t="s">
        <v>2408</v>
      </c>
      <c r="BR378" s="551">
        <v>37543.258153506162</v>
      </c>
      <c r="BS378" s="551"/>
      <c r="BT378" s="551">
        <v>3310983.9283366185</v>
      </c>
      <c r="BU378" s="551">
        <v>130372.80409704146</v>
      </c>
      <c r="BV378" s="551">
        <v>190799.20184070861</v>
      </c>
      <c r="BW378" s="551">
        <v>2094.229833590874</v>
      </c>
      <c r="BX378" s="551">
        <v>7498.8921512649467</v>
      </c>
      <c r="BY378" s="551">
        <v>12983427.621447515</v>
      </c>
      <c r="BZ378" s="551">
        <v>2777.367463431463</v>
      </c>
      <c r="CA378" s="551">
        <v>3621.8749740258404</v>
      </c>
      <c r="CB378" s="551">
        <v>1.0930454685554157E-31</v>
      </c>
      <c r="CC378" s="551">
        <v>328.12822024064741</v>
      </c>
      <c r="CD378" s="551">
        <v>733007.01378862222</v>
      </c>
      <c r="CE378" s="551">
        <v>18.908760621734654</v>
      </c>
      <c r="CF378" s="551">
        <v>588.72905554937188</v>
      </c>
      <c r="CG378" s="551">
        <v>377.5670004612457</v>
      </c>
      <c r="CH378" s="551">
        <v>1700.3776160602554</v>
      </c>
      <c r="CI378" s="551">
        <v>139.83962980046135</v>
      </c>
      <c r="CJ378" s="551">
        <v>52.117096531045533</v>
      </c>
      <c r="CK378" s="551">
        <v>103754.55433115845</v>
      </c>
      <c r="CL378" s="551"/>
      <c r="CM378" s="551">
        <v>16.66399468988681</v>
      </c>
      <c r="CN378" s="551">
        <v>19.50044147344115</v>
      </c>
      <c r="CO378" s="551">
        <v>0.24995749259917627</v>
      </c>
      <c r="CP378" s="551">
        <v>2736.3388666869168</v>
      </c>
      <c r="CQ378" s="551"/>
      <c r="CR378" s="551">
        <v>0.49088402387645186</v>
      </c>
      <c r="CS378" s="551">
        <v>0.31530438401519445</v>
      </c>
      <c r="CT378" s="551">
        <v>0.32397756501565012</v>
      </c>
      <c r="CU378" s="551">
        <v>471.37231184115763</v>
      </c>
      <c r="CV378" s="551"/>
      <c r="CW378" s="551">
        <v>6.3082277041181301E-2</v>
      </c>
      <c r="CX378" s="551">
        <v>3.3999350996352824E-2</v>
      </c>
      <c r="CY378" s="554"/>
    </row>
    <row r="379" spans="65:103" ht="12.75" customHeight="1" x14ac:dyDescent="0.3">
      <c r="BM379" s="562"/>
      <c r="BN379" s="591">
        <v>366</v>
      </c>
      <c r="BO379" s="549" t="s">
        <v>2666</v>
      </c>
      <c r="BP379" s="554" t="s">
        <v>620</v>
      </c>
      <c r="BQ379" s="553" t="s">
        <v>2408</v>
      </c>
      <c r="BR379" s="551">
        <v>10673.542278181856</v>
      </c>
      <c r="BS379" s="551"/>
      <c r="BT379" s="551">
        <v>9737423.3135322966</v>
      </c>
      <c r="BU379" s="551">
        <v>449115.79175785818</v>
      </c>
      <c r="BV379" s="551">
        <v>646642.59918690356</v>
      </c>
      <c r="BW379" s="551">
        <v>8335.6481163941298</v>
      </c>
      <c r="BX379" s="551">
        <v>392610.49243228964</v>
      </c>
      <c r="BY379" s="551">
        <v>2664318.8038494289</v>
      </c>
      <c r="BZ379" s="551">
        <v>145411.29349344058</v>
      </c>
      <c r="CA379" s="551">
        <v>773.84768963888007</v>
      </c>
      <c r="CB379" s="551">
        <v>7.8550055048522571E-31</v>
      </c>
      <c r="CC379" s="551">
        <v>12306.071771762045</v>
      </c>
      <c r="CD379" s="551">
        <v>5627989.8111583861</v>
      </c>
      <c r="CE379" s="551">
        <v>817.22135107486895</v>
      </c>
      <c r="CF379" s="551">
        <v>5222.8115253806282</v>
      </c>
      <c r="CG379" s="551">
        <v>14750.240231525686</v>
      </c>
      <c r="CH379" s="551">
        <v>33804.232414955077</v>
      </c>
      <c r="CI379" s="551">
        <v>5463.0519376021048</v>
      </c>
      <c r="CJ379" s="551">
        <v>8.2733272512641776</v>
      </c>
      <c r="CK379" s="551">
        <v>1944833.5536201824</v>
      </c>
      <c r="CL379" s="551"/>
      <c r="CM379" s="551">
        <v>363.12012024927259</v>
      </c>
      <c r="CN379" s="551">
        <v>566.01437594729555</v>
      </c>
      <c r="CO379" s="551">
        <v>1.9071443198616526E-2</v>
      </c>
      <c r="CP379" s="551">
        <v>121313.196282552</v>
      </c>
      <c r="CQ379" s="551"/>
      <c r="CR379" s="551">
        <v>23.785344974862735</v>
      </c>
      <c r="CS379" s="551">
        <v>6.2257105322324415</v>
      </c>
      <c r="CT379" s="551">
        <v>4.4617759187914559E-2</v>
      </c>
      <c r="CU379" s="551">
        <v>22054.621423060908</v>
      </c>
      <c r="CV379" s="551"/>
      <c r="CW379" s="551">
        <v>3.777654956716578</v>
      </c>
      <c r="CX379" s="551">
        <v>0.70017507210141072</v>
      </c>
      <c r="CY379" s="554"/>
    </row>
    <row r="380" spans="65:103" ht="12.75" customHeight="1" x14ac:dyDescent="0.3">
      <c r="BM380" s="562"/>
      <c r="BN380" s="591">
        <v>367</v>
      </c>
      <c r="BO380" s="549" t="s">
        <v>2706</v>
      </c>
      <c r="BP380" s="554" t="s">
        <v>620</v>
      </c>
      <c r="BQ380" s="553" t="s">
        <v>2408</v>
      </c>
      <c r="BR380" s="551">
        <v>124803.30232752068</v>
      </c>
      <c r="BS380" s="551"/>
      <c r="BT380" s="551">
        <v>3071985.1122299992</v>
      </c>
      <c r="BU380" s="551">
        <v>126851.85105251778</v>
      </c>
      <c r="BV380" s="551">
        <v>192708.03991445116</v>
      </c>
      <c r="BW380" s="551">
        <v>2202.9639482192188</v>
      </c>
      <c r="BX380" s="551">
        <v>65014.763315240896</v>
      </c>
      <c r="BY380" s="551">
        <v>8603757.7239244599</v>
      </c>
      <c r="BZ380" s="551">
        <v>24079.541968607737</v>
      </c>
      <c r="CA380" s="551">
        <v>117409.79179124466</v>
      </c>
      <c r="CB380" s="551">
        <v>3.5556349622923905E-30</v>
      </c>
      <c r="CC380" s="551">
        <v>18020.29116144533</v>
      </c>
      <c r="CD380" s="551">
        <v>1507920.2201417717</v>
      </c>
      <c r="CE380" s="551">
        <v>1130.4270240714116</v>
      </c>
      <c r="CF380" s="551">
        <v>1309.3596404784894</v>
      </c>
      <c r="CG380" s="551">
        <v>31894.044349129788</v>
      </c>
      <c r="CH380" s="551">
        <v>132797.76082256594</v>
      </c>
      <c r="CI380" s="551">
        <v>11812.609018196221</v>
      </c>
      <c r="CJ380" s="551">
        <v>17163.086989711337</v>
      </c>
      <c r="CK380" s="551">
        <v>350797.20923735085</v>
      </c>
      <c r="CL380" s="551"/>
      <c r="CM380" s="551">
        <v>60.911703221914429</v>
      </c>
      <c r="CN380" s="551">
        <v>16734.176100667879</v>
      </c>
      <c r="CO380" s="551">
        <v>765.83037016740366</v>
      </c>
      <c r="CP380" s="551">
        <v>45137.185829320333</v>
      </c>
      <c r="CQ380" s="551"/>
      <c r="CR380" s="551">
        <v>8.8194230889537213</v>
      </c>
      <c r="CS380" s="551">
        <v>2572.2506838955201</v>
      </c>
      <c r="CT380" s="551">
        <v>1137.0625902471672</v>
      </c>
      <c r="CU380" s="551">
        <v>6380.9460688651152</v>
      </c>
      <c r="CV380" s="551"/>
      <c r="CW380" s="551">
        <v>0.9135714134022892</v>
      </c>
      <c r="CX380" s="551">
        <v>305.78174215213573</v>
      </c>
      <c r="CY380" s="554"/>
    </row>
    <row r="381" spans="65:103" ht="12.75" customHeight="1" x14ac:dyDescent="0.3">
      <c r="BM381" s="562"/>
      <c r="BN381" s="591">
        <v>368</v>
      </c>
      <c r="BO381" s="549" t="s">
        <v>2714</v>
      </c>
      <c r="BP381" s="554" t="s">
        <v>620</v>
      </c>
      <c r="BQ381" s="553" t="s">
        <v>2408</v>
      </c>
      <c r="BR381" s="551">
        <v>364269.99102788721</v>
      </c>
      <c r="BS381" s="551"/>
      <c r="BT381" s="551">
        <v>1436617.2657293736</v>
      </c>
      <c r="BU381" s="551">
        <v>51003.542356597092</v>
      </c>
      <c r="BV381" s="551">
        <v>100714.17431556246</v>
      </c>
      <c r="BW381" s="551">
        <v>995.74481806515405</v>
      </c>
      <c r="BX381" s="551">
        <v>4771.6855894823275</v>
      </c>
      <c r="BY381" s="551">
        <v>30463280.040615231</v>
      </c>
      <c r="BZ381" s="551">
        <v>1767.2909590675288</v>
      </c>
      <c r="CA381" s="551">
        <v>511620.18581649201</v>
      </c>
      <c r="CB381" s="551">
        <v>2.9440571389183517E-30</v>
      </c>
      <c r="CC381" s="551">
        <v>3364.2230912374889</v>
      </c>
      <c r="CD381" s="551">
        <v>1692466.8539010393</v>
      </c>
      <c r="CE381" s="551">
        <v>235.84914293460798</v>
      </c>
      <c r="CF381" s="551">
        <v>1652.1059338744271</v>
      </c>
      <c r="CG381" s="551">
        <v>3595.0924341400014</v>
      </c>
      <c r="CH381" s="551">
        <v>22326.786475981677</v>
      </c>
      <c r="CI381" s="551">
        <v>1331.5157163481488</v>
      </c>
      <c r="CJ381" s="551">
        <v>114535.61415239231</v>
      </c>
      <c r="CK381" s="551">
        <v>964181.67457264394</v>
      </c>
      <c r="CL381" s="551"/>
      <c r="CM381" s="551">
        <v>189.36217815943584</v>
      </c>
      <c r="CN381" s="551">
        <v>2888.7276226582271</v>
      </c>
      <c r="CO381" s="551">
        <v>7726.3391303122489</v>
      </c>
      <c r="CP381" s="551">
        <v>396216.70311180514</v>
      </c>
      <c r="CQ381" s="551"/>
      <c r="CR381" s="551">
        <v>81.883468444333076</v>
      </c>
      <c r="CS381" s="551">
        <v>629.83848842354303</v>
      </c>
      <c r="CT381" s="551">
        <v>12585.710943222854</v>
      </c>
      <c r="CU381" s="551">
        <v>25235.319860450156</v>
      </c>
      <c r="CV381" s="551"/>
      <c r="CW381" s="551">
        <v>4.5313344466124121</v>
      </c>
      <c r="CX381" s="551">
        <v>92.041314044963329</v>
      </c>
      <c r="CY381" s="554"/>
    </row>
    <row r="382" spans="65:103" ht="12.75" customHeight="1" x14ac:dyDescent="0.3">
      <c r="BM382" s="562"/>
      <c r="BN382" s="591">
        <v>369</v>
      </c>
      <c r="BO382" s="549" t="s">
        <v>2488</v>
      </c>
      <c r="BP382" s="554" t="s">
        <v>620</v>
      </c>
      <c r="BQ382" s="553" t="s">
        <v>2408</v>
      </c>
      <c r="BR382" s="551">
        <v>7738.5942964938813</v>
      </c>
      <c r="BS382" s="551"/>
      <c r="BT382" s="551">
        <v>6656495.1823325828</v>
      </c>
      <c r="BU382" s="551">
        <v>306032.58216842747</v>
      </c>
      <c r="BV382" s="551">
        <v>466654.15494904277</v>
      </c>
      <c r="BW382" s="551">
        <v>5974.6900660890005</v>
      </c>
      <c r="BX382" s="551">
        <v>284734.30358925619</v>
      </c>
      <c r="BY382" s="551">
        <v>2775425.6252659131</v>
      </c>
      <c r="BZ382" s="551">
        <v>105457.1494775023</v>
      </c>
      <c r="CA382" s="551">
        <v>596.65519895787418</v>
      </c>
      <c r="CB382" s="551">
        <v>3.5296950835210354E-31</v>
      </c>
      <c r="CC382" s="551">
        <v>6420.1788237569644</v>
      </c>
      <c r="CD382" s="551">
        <v>3746519.3321097442</v>
      </c>
      <c r="CE382" s="551">
        <v>450.08717674338948</v>
      </c>
      <c r="CF382" s="551">
        <v>3657.1746180357868</v>
      </c>
      <c r="CG382" s="551">
        <v>11376.134356446735</v>
      </c>
      <c r="CH382" s="551">
        <v>26580.465792917934</v>
      </c>
      <c r="CI382" s="551">
        <v>4213.3830949802714</v>
      </c>
      <c r="CJ382" s="551">
        <v>6.7830160639468033</v>
      </c>
      <c r="CK382" s="551">
        <v>1293680.8532023658</v>
      </c>
      <c r="CL382" s="551"/>
      <c r="CM382" s="551">
        <v>254.07475651737278</v>
      </c>
      <c r="CN382" s="551">
        <v>464.19214205532313</v>
      </c>
      <c r="CO382" s="551">
        <v>6.2015253209735555E-2</v>
      </c>
      <c r="CP382" s="551">
        <v>80690.683728057193</v>
      </c>
      <c r="CQ382" s="551"/>
      <c r="CR382" s="551">
        <v>16.67580645365571</v>
      </c>
      <c r="CS382" s="551">
        <v>6.1774741183754864</v>
      </c>
      <c r="CT382" s="551">
        <v>2.5817543252776739E-2</v>
      </c>
      <c r="CU382" s="551">
        <v>14667.583163956586</v>
      </c>
      <c r="CV382" s="551"/>
      <c r="CW382" s="551">
        <v>2.6337579712454935</v>
      </c>
      <c r="CX382" s="551">
        <v>0.57484678056598504</v>
      </c>
      <c r="CY382" s="554"/>
    </row>
    <row r="383" spans="65:103" ht="12.75" customHeight="1" x14ac:dyDescent="0.3">
      <c r="BM383" s="562"/>
      <c r="BN383" s="591">
        <v>370</v>
      </c>
      <c r="BO383" s="549" t="s">
        <v>2475</v>
      </c>
      <c r="BP383" s="554" t="s">
        <v>620</v>
      </c>
      <c r="BQ383" s="553" t="s">
        <v>2408</v>
      </c>
      <c r="BR383" s="551">
        <v>391690.03158298926</v>
      </c>
      <c r="BS383" s="551"/>
      <c r="BT383" s="551">
        <v>1131231.8696732575</v>
      </c>
      <c r="BU383" s="551">
        <v>39016.756547116027</v>
      </c>
      <c r="BV383" s="551">
        <v>88790.045924348145</v>
      </c>
      <c r="BW383" s="551">
        <v>849.94795243826854</v>
      </c>
      <c r="BX383" s="551">
        <v>46.436555166498849</v>
      </c>
      <c r="BY383" s="551">
        <v>2094422.9538240391</v>
      </c>
      <c r="BZ383" s="551">
        <v>17.198724135740314</v>
      </c>
      <c r="CA383" s="551">
        <v>771583.70496185368</v>
      </c>
      <c r="CB383" s="551">
        <v>5.6339951419230429E-32</v>
      </c>
      <c r="CC383" s="551">
        <v>56.249307477123295</v>
      </c>
      <c r="CD383" s="551">
        <v>513349.53019513859</v>
      </c>
      <c r="CE383" s="551">
        <v>4.4149910623974238</v>
      </c>
      <c r="CF383" s="551">
        <v>559.14486580606945</v>
      </c>
      <c r="CG383" s="551">
        <v>21.791524803735431</v>
      </c>
      <c r="CH383" s="551">
        <v>61.514032281959139</v>
      </c>
      <c r="CI383" s="551">
        <v>8.0709351124946043</v>
      </c>
      <c r="CJ383" s="551">
        <v>255501.15593195931</v>
      </c>
      <c r="CK383" s="551">
        <v>271320.9197081778</v>
      </c>
      <c r="CL383" s="551"/>
      <c r="CM383" s="551">
        <v>59.549318149377058</v>
      </c>
      <c r="CN383" s="551">
        <v>25.900079512126954</v>
      </c>
      <c r="CO383" s="551">
        <v>29001.041863581857</v>
      </c>
      <c r="CP383" s="551">
        <v>48028.699135788513</v>
      </c>
      <c r="CQ383" s="551"/>
      <c r="CR383" s="551">
        <v>10.912614731635038</v>
      </c>
      <c r="CS383" s="551">
        <v>10.2984725452713</v>
      </c>
      <c r="CT383" s="551">
        <v>42945.459152890558</v>
      </c>
      <c r="CU383" s="551">
        <v>5641.3812355845857</v>
      </c>
      <c r="CV383" s="551"/>
      <c r="CW383" s="551">
        <v>1.1636899108549597</v>
      </c>
      <c r="CX383" s="551">
        <v>1.1901088133061117</v>
      </c>
      <c r="CY383" s="554"/>
    </row>
    <row r="384" spans="65:103" ht="12.75" customHeight="1" x14ac:dyDescent="0.3">
      <c r="BM384" s="562"/>
      <c r="BN384" s="591">
        <v>371</v>
      </c>
      <c r="BO384" s="549" t="s">
        <v>26</v>
      </c>
      <c r="BP384" s="554" t="s">
        <v>620</v>
      </c>
      <c r="BQ384" s="553" t="s">
        <v>2408</v>
      </c>
      <c r="BR384" s="551">
        <v>688291.43917704409</v>
      </c>
      <c r="BS384" s="551"/>
      <c r="BT384" s="551">
        <v>1538141.8933218864</v>
      </c>
      <c r="BU384" s="551">
        <v>53835.695120918303</v>
      </c>
      <c r="BV384" s="551">
        <v>69580.907812776553</v>
      </c>
      <c r="BW384" s="551">
        <v>700.71235150678717</v>
      </c>
      <c r="BX384" s="551">
        <v>550.76784508544222</v>
      </c>
      <c r="BY384" s="551">
        <v>12751760.708542719</v>
      </c>
      <c r="BZ384" s="551">
        <v>203.9880907723859</v>
      </c>
      <c r="CA384" s="551">
        <v>2422495.6505959476</v>
      </c>
      <c r="CB384" s="551">
        <v>1.9351811687228882E-30</v>
      </c>
      <c r="CC384" s="551">
        <v>1901.9308233578777</v>
      </c>
      <c r="CD384" s="551">
        <v>3344744.6155177075</v>
      </c>
      <c r="CE384" s="551">
        <v>86.037623616463222</v>
      </c>
      <c r="CF384" s="551">
        <v>2176.7192375476661</v>
      </c>
      <c r="CG384" s="551">
        <v>979.27288988241639</v>
      </c>
      <c r="CH384" s="551">
        <v>4379.5947439440806</v>
      </c>
      <c r="CI384" s="551">
        <v>362.69366291941367</v>
      </c>
      <c r="CJ384" s="551">
        <v>1774500.721137801</v>
      </c>
      <c r="CK384" s="551">
        <v>23177528.671199545</v>
      </c>
      <c r="CL384" s="551"/>
      <c r="CM384" s="551">
        <v>3047.1715394596868</v>
      </c>
      <c r="CN384" s="551">
        <v>2574.6640040636507</v>
      </c>
      <c r="CO384" s="551">
        <v>420526.9633743756</v>
      </c>
      <c r="CP384" s="551">
        <v>15871796.674587902</v>
      </c>
      <c r="CQ384" s="551"/>
      <c r="CR384" s="551">
        <v>2088.5981661815827</v>
      </c>
      <c r="CS384" s="551">
        <v>2068.6771185468497</v>
      </c>
      <c r="CT384" s="551">
        <v>752674.47571961395</v>
      </c>
      <c r="CU384" s="551">
        <v>11478051.032696273</v>
      </c>
      <c r="CV384" s="551"/>
      <c r="CW384" s="551">
        <v>1506.4439968948391</v>
      </c>
      <c r="CX384" s="551">
        <v>306.82359610340967</v>
      </c>
      <c r="CY384" s="554"/>
    </row>
    <row r="385" spans="65:103" ht="12.75" customHeight="1" x14ac:dyDescent="0.3">
      <c r="BM385" s="562"/>
      <c r="BN385" s="591">
        <v>372</v>
      </c>
      <c r="BO385" s="549" t="s">
        <v>2451</v>
      </c>
      <c r="BP385" s="554" t="s">
        <v>620</v>
      </c>
      <c r="BQ385" s="553" t="s">
        <v>2408</v>
      </c>
      <c r="BR385" s="551">
        <v>16054.519826115471</v>
      </c>
      <c r="BS385" s="551"/>
      <c r="BT385" s="551">
        <v>7977962.8532057591</v>
      </c>
      <c r="BU385" s="551">
        <v>366422.58678613952</v>
      </c>
      <c r="BV385" s="551">
        <v>647858.1880024228</v>
      </c>
      <c r="BW385" s="551">
        <v>8204.2314792038778</v>
      </c>
      <c r="BX385" s="551">
        <v>378945.73287124321</v>
      </c>
      <c r="BY385" s="551">
        <v>4513888.0480451304</v>
      </c>
      <c r="BZ385" s="551">
        <v>140350.27143379374</v>
      </c>
      <c r="CA385" s="551">
        <v>2194.4406426252558</v>
      </c>
      <c r="CB385" s="551">
        <v>6.2675153302063787E-31</v>
      </c>
      <c r="CC385" s="551">
        <v>11969.6335659255</v>
      </c>
      <c r="CD385" s="551">
        <v>4585801.5922363857</v>
      </c>
      <c r="CE385" s="551">
        <v>972.00566808323185</v>
      </c>
      <c r="CF385" s="551">
        <v>5133.8235055863888</v>
      </c>
      <c r="CG385" s="551">
        <v>26838.026889063902</v>
      </c>
      <c r="CH385" s="551">
        <v>63580.017071266964</v>
      </c>
      <c r="CI385" s="551">
        <v>9940.0099589125566</v>
      </c>
      <c r="CJ385" s="551">
        <v>44.393935352131045</v>
      </c>
      <c r="CK385" s="551">
        <v>1588637.8988875297</v>
      </c>
      <c r="CL385" s="551"/>
      <c r="CM385" s="551">
        <v>357.82173673363508</v>
      </c>
      <c r="CN385" s="551">
        <v>1948.7406577602453</v>
      </c>
      <c r="CO385" s="551">
        <v>0.3610868252164201</v>
      </c>
      <c r="CP385" s="551">
        <v>99326.40910424327</v>
      </c>
      <c r="CQ385" s="551"/>
      <c r="CR385" s="551">
        <v>23.682949743860775</v>
      </c>
      <c r="CS385" s="551">
        <v>47.851275978836149</v>
      </c>
      <c r="CT385" s="551">
        <v>0.38888693261743101</v>
      </c>
      <c r="CU385" s="551">
        <v>18045.125752752647</v>
      </c>
      <c r="CV385" s="551"/>
      <c r="CW385" s="551">
        <v>3.6800708123080073</v>
      </c>
      <c r="CX385" s="551">
        <v>4.244092389953348</v>
      </c>
      <c r="CY385" s="554"/>
    </row>
    <row r="386" spans="65:103" ht="12.75" customHeight="1" x14ac:dyDescent="0.3">
      <c r="BM386" s="562"/>
      <c r="BN386" s="591">
        <v>373</v>
      </c>
      <c r="BO386" s="549" t="s">
        <v>2602</v>
      </c>
      <c r="BP386" s="554" t="s">
        <v>620</v>
      </c>
      <c r="BQ386" s="553" t="s">
        <v>2408</v>
      </c>
      <c r="BR386" s="551">
        <v>428766.22748427</v>
      </c>
      <c r="BS386" s="551"/>
      <c r="BT386" s="551">
        <v>1692794.2337586796</v>
      </c>
      <c r="BU386" s="551">
        <v>63474.858011525539</v>
      </c>
      <c r="BV386" s="551">
        <v>128531.76715204536</v>
      </c>
      <c r="BW386" s="551">
        <v>1312.5173331066469</v>
      </c>
      <c r="BX386" s="551">
        <v>29129.6226545953</v>
      </c>
      <c r="BY386" s="551">
        <v>11316246.530922804</v>
      </c>
      <c r="BZ386" s="551">
        <v>10788.749131331597</v>
      </c>
      <c r="CA386" s="551">
        <v>1325694.156089348</v>
      </c>
      <c r="CB386" s="551">
        <v>2.3663471102429917E-29</v>
      </c>
      <c r="CC386" s="551">
        <v>39188.838422624816</v>
      </c>
      <c r="CD386" s="551">
        <v>5486796.3445831034</v>
      </c>
      <c r="CE386" s="551">
        <v>2975.5599083721859</v>
      </c>
      <c r="CF386" s="551">
        <v>5672.7305354380551</v>
      </c>
      <c r="CG386" s="551">
        <v>47119.453788823485</v>
      </c>
      <c r="CH386" s="551">
        <v>216782.15040936612</v>
      </c>
      <c r="CI386" s="551">
        <v>17451.649551416103</v>
      </c>
      <c r="CJ386" s="551">
        <v>753360.79120159615</v>
      </c>
      <c r="CK386" s="551">
        <v>4293862.2272722572</v>
      </c>
      <c r="CL386" s="551"/>
      <c r="CM386" s="551">
        <v>887.73628935966406</v>
      </c>
      <c r="CN386" s="551">
        <v>96108.892890099305</v>
      </c>
      <c r="CO386" s="551">
        <v>93939.328318285421</v>
      </c>
      <c r="CP386" s="551">
        <v>3825969.6633331664</v>
      </c>
      <c r="CQ386" s="551"/>
      <c r="CR386" s="551">
        <v>906.51761252624374</v>
      </c>
      <c r="CS386" s="551">
        <v>39679.684025554096</v>
      </c>
      <c r="CT386" s="551">
        <v>264256.97915098706</v>
      </c>
      <c r="CU386" s="551">
        <v>492593.72427516303</v>
      </c>
      <c r="CV386" s="551"/>
      <c r="CW386" s="551">
        <v>81.894134538733638</v>
      </c>
      <c r="CX386" s="551">
        <v>9558.9156561938162</v>
      </c>
      <c r="CY386" s="554"/>
    </row>
    <row r="387" spans="65:103" ht="12.75" customHeight="1" x14ac:dyDescent="0.3">
      <c r="BM387" s="562"/>
      <c r="BN387" s="591">
        <v>374</v>
      </c>
      <c r="BO387" s="549" t="s">
        <v>2762</v>
      </c>
      <c r="BP387" s="554" t="s">
        <v>620</v>
      </c>
      <c r="BQ387" s="553" t="s">
        <v>2408</v>
      </c>
      <c r="BR387" s="551">
        <v>431526.9139747126</v>
      </c>
      <c r="BS387" s="551"/>
      <c r="BT387" s="551">
        <v>1507856.9260815687</v>
      </c>
      <c r="BU387" s="551">
        <v>55684.640449860264</v>
      </c>
      <c r="BV387" s="551">
        <v>129640.1815173862</v>
      </c>
      <c r="BW387" s="551">
        <v>1289.099563779972</v>
      </c>
      <c r="BX387" s="551">
        <v>25743.244706600955</v>
      </c>
      <c r="BY387" s="551">
        <v>10948839.768325727</v>
      </c>
      <c r="BZ387" s="551">
        <v>9534.5350765188705</v>
      </c>
      <c r="CA387" s="551">
        <v>1486072.9609245171</v>
      </c>
      <c r="CB387" s="551">
        <v>2.3009627259227869E-29</v>
      </c>
      <c r="CC387" s="551">
        <v>35133.841699201046</v>
      </c>
      <c r="CD387" s="551">
        <v>5276248.7803309308</v>
      </c>
      <c r="CE387" s="551">
        <v>3020.6828887432139</v>
      </c>
      <c r="CF387" s="551">
        <v>6107.2586140190097</v>
      </c>
      <c r="CG387" s="551">
        <v>46416.498653877134</v>
      </c>
      <c r="CH387" s="551">
        <v>213059.82065677355</v>
      </c>
      <c r="CI387" s="551">
        <v>17191.295797732266</v>
      </c>
      <c r="CJ387" s="551">
        <v>983300.27502980584</v>
      </c>
      <c r="CK387" s="551">
        <v>4731055.3359401915</v>
      </c>
      <c r="CL387" s="551"/>
      <c r="CM387" s="551">
        <v>1095.0665905651792</v>
      </c>
      <c r="CN387" s="551">
        <v>110235.64837874475</v>
      </c>
      <c r="CO387" s="551">
        <v>134948.63857725088</v>
      </c>
      <c r="CP387" s="551">
        <v>5078059.6192717701</v>
      </c>
      <c r="CQ387" s="551"/>
      <c r="CR387" s="551">
        <v>1364.812348632845</v>
      </c>
      <c r="CS387" s="551">
        <v>49869.766480199854</v>
      </c>
      <c r="CT387" s="551">
        <v>422221.71797353897</v>
      </c>
      <c r="CU387" s="551">
        <v>652115.74614260509</v>
      </c>
      <c r="CV387" s="551"/>
      <c r="CW387" s="551">
        <v>119.29171979347697</v>
      </c>
      <c r="CX387" s="551">
        <v>13447.279112984324</v>
      </c>
      <c r="CY387" s="554"/>
    </row>
    <row r="388" spans="65:103" ht="12.75" customHeight="1" x14ac:dyDescent="0.3">
      <c r="BM388" s="562"/>
      <c r="BN388" s="591">
        <v>375</v>
      </c>
      <c r="BO388" s="549" t="s">
        <v>2682</v>
      </c>
      <c r="BP388" s="554" t="s">
        <v>620</v>
      </c>
      <c r="BQ388" s="553" t="s">
        <v>2408</v>
      </c>
      <c r="BR388" s="551">
        <v>385470.13416431518</v>
      </c>
      <c r="BS388" s="551"/>
      <c r="BT388" s="551">
        <v>913388.02301941172</v>
      </c>
      <c r="BU388" s="551">
        <v>29388.791500737658</v>
      </c>
      <c r="BV388" s="551">
        <v>85922.896249407582</v>
      </c>
      <c r="BW388" s="551">
        <v>738.10215189290625</v>
      </c>
      <c r="BX388" s="551">
        <v>98.802942929978329</v>
      </c>
      <c r="BY388" s="551">
        <v>10238920.922224065</v>
      </c>
      <c r="BZ388" s="551">
        <v>36.593682566658615</v>
      </c>
      <c r="CA388" s="551">
        <v>1228855.6765956029</v>
      </c>
      <c r="CB388" s="551">
        <v>1.2762259460884324E-31</v>
      </c>
      <c r="CC388" s="551">
        <v>123.16515422854536</v>
      </c>
      <c r="CD388" s="551">
        <v>175252.67554541791</v>
      </c>
      <c r="CE388" s="551">
        <v>11.58621144750513</v>
      </c>
      <c r="CF388" s="551">
        <v>220.0743384460288</v>
      </c>
      <c r="CG388" s="551">
        <v>165.06304426592388</v>
      </c>
      <c r="CH388" s="551">
        <v>769.73141399394729</v>
      </c>
      <c r="CI388" s="551">
        <v>61.134460839231032</v>
      </c>
      <c r="CJ388" s="551">
        <v>758197.16878724878</v>
      </c>
      <c r="CK388" s="551">
        <v>45199.336839067866</v>
      </c>
      <c r="CL388" s="551"/>
      <c r="CM388" s="551">
        <v>11.350040055127748</v>
      </c>
      <c r="CN388" s="551">
        <v>365.53989630418238</v>
      </c>
      <c r="CO388" s="551">
        <v>155816.32136357564</v>
      </c>
      <c r="CP388" s="551">
        <v>79142.820431982153</v>
      </c>
      <c r="CQ388" s="551"/>
      <c r="CR388" s="551">
        <v>23.310838301795712</v>
      </c>
      <c r="CS388" s="551">
        <v>244.48431048150292</v>
      </c>
      <c r="CT388" s="551">
        <v>261672.12319679995</v>
      </c>
      <c r="CU388" s="551">
        <v>2260.8157251599168</v>
      </c>
      <c r="CV388" s="551"/>
      <c r="CW388" s="551">
        <v>0.44288104066756351</v>
      </c>
      <c r="CX388" s="551">
        <v>36.279874764760606</v>
      </c>
      <c r="CY388" s="554"/>
    </row>
    <row r="389" spans="65:103" ht="12.75" customHeight="1" x14ac:dyDescent="0.3">
      <c r="BM389" s="562"/>
      <c r="BN389" s="591">
        <v>376</v>
      </c>
      <c r="BO389" s="549" t="s">
        <v>2742</v>
      </c>
      <c r="BP389" s="554" t="s">
        <v>620</v>
      </c>
      <c r="BQ389" s="553" t="s">
        <v>2408</v>
      </c>
      <c r="BR389" s="551">
        <v>461188.29511184385</v>
      </c>
      <c r="BS389" s="551"/>
      <c r="BT389" s="551">
        <v>2089595.032303984</v>
      </c>
      <c r="BU389" s="551">
        <v>85267.167975447461</v>
      </c>
      <c r="BV389" s="551">
        <v>221255.88735503095</v>
      </c>
      <c r="BW389" s="551">
        <v>2443.7208515522952</v>
      </c>
      <c r="BX389" s="551">
        <v>52824.426700956443</v>
      </c>
      <c r="BY389" s="551">
        <v>26782695.870848875</v>
      </c>
      <c r="BZ389" s="551">
        <v>19564.602481835715</v>
      </c>
      <c r="CA389" s="551">
        <v>1519301.9072810386</v>
      </c>
      <c r="CB389" s="551">
        <v>2.9431467475295553E-29</v>
      </c>
      <c r="CC389" s="551">
        <v>60376.048967635368</v>
      </c>
      <c r="CD389" s="551">
        <v>13827798.020503618</v>
      </c>
      <c r="CE389" s="551">
        <v>6392.8924422239988</v>
      </c>
      <c r="CF389" s="551">
        <v>19814.941176120923</v>
      </c>
      <c r="CG389" s="551">
        <v>97202.786234303348</v>
      </c>
      <c r="CH389" s="551">
        <v>583887.3034683899</v>
      </c>
      <c r="CI389" s="551">
        <v>36001.031938630855</v>
      </c>
      <c r="CJ389" s="551">
        <v>926553.67258397851</v>
      </c>
      <c r="CK389" s="551">
        <v>16088189.735266119</v>
      </c>
      <c r="CL389" s="551"/>
      <c r="CM389" s="551">
        <v>4638.3330125253015</v>
      </c>
      <c r="CN389" s="551">
        <v>212769.25254979802</v>
      </c>
      <c r="CO389" s="551">
        <v>122045.47677559906</v>
      </c>
      <c r="CP389" s="551">
        <v>12468470.415830657</v>
      </c>
      <c r="CQ389" s="551"/>
      <c r="CR389" s="551">
        <v>3852.6726174315736</v>
      </c>
      <c r="CS389" s="551">
        <v>90149.771554382809</v>
      </c>
      <c r="CT389" s="551">
        <v>349963.8667740738</v>
      </c>
      <c r="CU389" s="551">
        <v>1909279.6456590784</v>
      </c>
      <c r="CV389" s="551"/>
      <c r="CW389" s="551">
        <v>488.71967904596522</v>
      </c>
      <c r="CX389" s="551">
        <v>23311.215806837085</v>
      </c>
      <c r="CY389" s="554"/>
    </row>
    <row r="390" spans="65:103" ht="12.75" customHeight="1" x14ac:dyDescent="0.3">
      <c r="BM390" s="562"/>
      <c r="BN390" s="591">
        <v>377</v>
      </c>
      <c r="BO390" s="549" t="s">
        <v>2547</v>
      </c>
      <c r="BP390" s="554" t="s">
        <v>620</v>
      </c>
      <c r="BQ390" s="553" t="s">
        <v>2408</v>
      </c>
      <c r="BR390" s="551">
        <v>366.78622434240992</v>
      </c>
      <c r="BS390" s="551"/>
      <c r="BT390" s="551">
        <v>5286366.6198829273</v>
      </c>
      <c r="BU390" s="551">
        <v>225730.87757270411</v>
      </c>
      <c r="BV390" s="551">
        <v>506378.25471939432</v>
      </c>
      <c r="BW390" s="551">
        <v>5762.8261272479222</v>
      </c>
      <c r="BX390" s="551">
        <v>2819639.0413594376</v>
      </c>
      <c r="BY390" s="551">
        <v>19282988.778894741</v>
      </c>
      <c r="BZ390" s="551">
        <v>1044310.7560590511</v>
      </c>
      <c r="CA390" s="551">
        <v>0.91823874956134943</v>
      </c>
      <c r="CB390" s="551">
        <v>2.9132522252920591E-32</v>
      </c>
      <c r="CC390" s="551">
        <v>458.1471348896132</v>
      </c>
      <c r="CD390" s="551">
        <v>1261012.7912296492</v>
      </c>
      <c r="CE390" s="551">
        <v>43.88567105760648</v>
      </c>
      <c r="CF390" s="551">
        <v>1609.6595951414483</v>
      </c>
      <c r="CG390" s="551">
        <v>3657.9233925471453</v>
      </c>
      <c r="CH390" s="551">
        <v>9274.6567200653626</v>
      </c>
      <c r="CI390" s="551">
        <v>1354.7864416841273</v>
      </c>
      <c r="CJ390" s="551">
        <v>3.3769366153404794E-4</v>
      </c>
      <c r="CK390" s="551">
        <v>178694.65922187077</v>
      </c>
      <c r="CL390" s="551"/>
      <c r="CM390" s="551">
        <v>45.61277794191885</v>
      </c>
      <c r="CN390" s="551">
        <v>4.8284257160680735</v>
      </c>
      <c r="CO390" s="551">
        <v>1.0596202431469654E-7</v>
      </c>
      <c r="CP390" s="551">
        <v>4724.5543630545681</v>
      </c>
      <c r="CQ390" s="551"/>
      <c r="CR390" s="551">
        <v>1.4175140620074855</v>
      </c>
      <c r="CS390" s="551">
        <v>1.7761647784105604E-3</v>
      </c>
      <c r="CT390" s="551">
        <v>4.3852005792952831E-8</v>
      </c>
      <c r="CU390" s="551">
        <v>812.56824617006305</v>
      </c>
      <c r="CV390" s="551"/>
      <c r="CW390" s="551">
        <v>0.16137490957931178</v>
      </c>
      <c r="CX390" s="551">
        <v>2.2868206937240207E-4</v>
      </c>
      <c r="CY390" s="554"/>
    </row>
    <row r="391" spans="65:103" ht="12.75" customHeight="1" x14ac:dyDescent="0.3">
      <c r="BM391" s="562"/>
      <c r="BN391" s="591">
        <v>378</v>
      </c>
      <c r="BO391" s="549" t="s">
        <v>2810</v>
      </c>
      <c r="BP391" s="554" t="s">
        <v>620</v>
      </c>
      <c r="BQ391" s="553" t="s">
        <v>2408</v>
      </c>
      <c r="BR391" s="551">
        <v>118235.56708648971</v>
      </c>
      <c r="BS391" s="551"/>
      <c r="BT391" s="551">
        <v>3059953.4266412919</v>
      </c>
      <c r="BU391" s="551">
        <v>124842.89308478999</v>
      </c>
      <c r="BV391" s="551">
        <v>293111.3157905729</v>
      </c>
      <c r="BW391" s="551">
        <v>3187.1930584176512</v>
      </c>
      <c r="BX391" s="551">
        <v>61188.587889663839</v>
      </c>
      <c r="BY391" s="551">
        <v>10146233.329844508</v>
      </c>
      <c r="BZ391" s="551">
        <v>22662.439959134754</v>
      </c>
      <c r="CA391" s="551">
        <v>76876.171023894451</v>
      </c>
      <c r="CB391" s="551">
        <v>2.3105815104619701E-30</v>
      </c>
      <c r="CC391" s="551">
        <v>9593.7818460905946</v>
      </c>
      <c r="CD391" s="551">
        <v>1208405.2193072182</v>
      </c>
      <c r="CE391" s="551">
        <v>918.98327465785019</v>
      </c>
      <c r="CF391" s="551">
        <v>1542.5069988228493</v>
      </c>
      <c r="CG391" s="551">
        <v>20790.035319577444</v>
      </c>
      <c r="CH391" s="551">
        <v>83923.077403652322</v>
      </c>
      <c r="CI391" s="551">
        <v>7700.013081324978</v>
      </c>
      <c r="CJ391" s="551">
        <v>7612.2457044619196</v>
      </c>
      <c r="CK391" s="551">
        <v>231023.24474174235</v>
      </c>
      <c r="CL391" s="551"/>
      <c r="CM391" s="551">
        <v>58.969932328771833</v>
      </c>
      <c r="CN391" s="551">
        <v>7388.9025026657682</v>
      </c>
      <c r="CO391" s="551">
        <v>234.69799073912779</v>
      </c>
      <c r="CP391" s="551">
        <v>17226.973893022048</v>
      </c>
      <c r="CQ391" s="551"/>
      <c r="CR391" s="551">
        <v>5.1686309147275118</v>
      </c>
      <c r="CS391" s="551">
        <v>774.16463873063435</v>
      </c>
      <c r="CT391" s="551">
        <v>336.97653744315545</v>
      </c>
      <c r="CU391" s="551">
        <v>2410.2270685478497</v>
      </c>
      <c r="CV391" s="551"/>
      <c r="CW391" s="551">
        <v>0.47866770217241839</v>
      </c>
      <c r="CX391" s="551">
        <v>90.458406762048867</v>
      </c>
      <c r="CY391" s="554"/>
    </row>
    <row r="392" spans="65:103" ht="12.75" customHeight="1" x14ac:dyDescent="0.3">
      <c r="BM392" s="562"/>
      <c r="BN392" s="591">
        <v>379</v>
      </c>
      <c r="BO392" s="549" t="s">
        <v>2760</v>
      </c>
      <c r="BP392" s="554" t="s">
        <v>620</v>
      </c>
      <c r="BQ392" s="553" t="s">
        <v>2408</v>
      </c>
      <c r="BR392" s="551">
        <v>604814.85848497006</v>
      </c>
      <c r="BS392" s="551"/>
      <c r="BT392" s="551">
        <v>1193206.5685902517</v>
      </c>
      <c r="BU392" s="551">
        <v>40328.930124323771</v>
      </c>
      <c r="BV392" s="551">
        <v>128806.5516480826</v>
      </c>
      <c r="BW392" s="551">
        <v>1176.7579255663086</v>
      </c>
      <c r="BX392" s="551">
        <v>68.244486795931536</v>
      </c>
      <c r="BY392" s="551">
        <v>30866137.089381155</v>
      </c>
      <c r="BZ392" s="551">
        <v>25.275735850345011</v>
      </c>
      <c r="CA392" s="551">
        <v>3193870.3142239028</v>
      </c>
      <c r="CB392" s="551">
        <v>1.3024120637506892E-31</v>
      </c>
      <c r="CC392" s="551">
        <v>128.56289484226073</v>
      </c>
      <c r="CD392" s="551">
        <v>438062.26282105269</v>
      </c>
      <c r="CE392" s="551">
        <v>13.878354000423958</v>
      </c>
      <c r="CF392" s="551">
        <v>639.11097824446529</v>
      </c>
      <c r="CG392" s="551">
        <v>202.83734190732821</v>
      </c>
      <c r="CH392" s="551">
        <v>1248.4443488538971</v>
      </c>
      <c r="CI392" s="551">
        <v>75.124941447158591</v>
      </c>
      <c r="CJ392" s="551">
        <v>5176991.4674743796</v>
      </c>
      <c r="CK392" s="551">
        <v>287823.65614489373</v>
      </c>
      <c r="CL392" s="551"/>
      <c r="CM392" s="551">
        <v>84.485428845628377</v>
      </c>
      <c r="CN392" s="551">
        <v>1180.0807810029698</v>
      </c>
      <c r="CO392" s="551">
        <v>2043589.0075810566</v>
      </c>
      <c r="CP392" s="551">
        <v>853182.67408068222</v>
      </c>
      <c r="CQ392" s="551"/>
      <c r="CR392" s="551">
        <v>268.66902657494603</v>
      </c>
      <c r="CS392" s="551">
        <v>1467.9333022737474</v>
      </c>
      <c r="CT392" s="551">
        <v>4554895.5674367938</v>
      </c>
      <c r="CU392" s="551">
        <v>37676.467642761105</v>
      </c>
      <c r="CV392" s="551"/>
      <c r="CW392" s="551">
        <v>9.8038363622381208</v>
      </c>
      <c r="CX392" s="551">
        <v>308.16225728239039</v>
      </c>
      <c r="CY392" s="554"/>
    </row>
    <row r="393" spans="65:103" ht="12.75" customHeight="1" x14ac:dyDescent="0.3">
      <c r="BM393" s="562"/>
      <c r="BN393" s="591">
        <v>380</v>
      </c>
      <c r="BO393" s="549" t="s">
        <v>2668</v>
      </c>
      <c r="BP393" s="554" t="s">
        <v>620</v>
      </c>
      <c r="BQ393" s="553" t="s">
        <v>2408</v>
      </c>
      <c r="BR393" s="551">
        <v>240829.85957890851</v>
      </c>
      <c r="BS393" s="551"/>
      <c r="BT393" s="551">
        <v>4437018.6171360482</v>
      </c>
      <c r="BU393" s="551">
        <v>192468.74672202583</v>
      </c>
      <c r="BV393" s="551">
        <v>478975.7974152572</v>
      </c>
      <c r="BW393" s="551">
        <v>5616.0459112292447</v>
      </c>
      <c r="BX393" s="551">
        <v>101559.13918792154</v>
      </c>
      <c r="BY393" s="551">
        <v>30919794.122407071</v>
      </c>
      <c r="BZ393" s="551">
        <v>37614.495995526486</v>
      </c>
      <c r="CA393" s="551">
        <v>204652.94542766592</v>
      </c>
      <c r="CB393" s="551">
        <v>6.2988688487952071E-30</v>
      </c>
      <c r="CC393" s="551">
        <v>26312.562431721723</v>
      </c>
      <c r="CD393" s="551">
        <v>5070669.4245257918</v>
      </c>
      <c r="CE393" s="551">
        <v>2840.4389659531166</v>
      </c>
      <c r="CF393" s="551">
        <v>7397.8536187829641</v>
      </c>
      <c r="CG393" s="551">
        <v>48017.197171711799</v>
      </c>
      <c r="CH393" s="551">
        <v>271257.54358976893</v>
      </c>
      <c r="CI393" s="551">
        <v>17784.147100634</v>
      </c>
      <c r="CJ393" s="551">
        <v>26714.330701221152</v>
      </c>
      <c r="CK393" s="551">
        <v>2252341.7268090099</v>
      </c>
      <c r="CL393" s="551"/>
      <c r="CM393" s="551">
        <v>661.13417932738616</v>
      </c>
      <c r="CN393" s="551">
        <v>22497.111451052981</v>
      </c>
      <c r="CO393" s="551">
        <v>1051.7925418852076</v>
      </c>
      <c r="CP393" s="551">
        <v>263447.33357343235</v>
      </c>
      <c r="CQ393" s="551"/>
      <c r="CR393" s="551">
        <v>82.960121923720351</v>
      </c>
      <c r="CS393" s="551">
        <v>2876.9413549078763</v>
      </c>
      <c r="CT393" s="551">
        <v>1585.7066534604237</v>
      </c>
      <c r="CU393" s="551">
        <v>40731.269333789896</v>
      </c>
      <c r="CV393" s="551"/>
      <c r="CW393" s="551">
        <v>10.598729773741306</v>
      </c>
      <c r="CX393" s="551">
        <v>383.93761883675285</v>
      </c>
      <c r="CY393" s="554"/>
    </row>
    <row r="394" spans="65:103" ht="12.75" customHeight="1" x14ac:dyDescent="0.3">
      <c r="BM394" s="562"/>
      <c r="BN394" s="591">
        <v>381</v>
      </c>
      <c r="BO394" s="549" t="s">
        <v>2578</v>
      </c>
      <c r="BP394" s="554" t="s">
        <v>620</v>
      </c>
      <c r="BQ394" s="553" t="s">
        <v>2408</v>
      </c>
      <c r="BR394" s="551">
        <v>473988.71517740551</v>
      </c>
      <c r="BS394" s="551"/>
      <c r="BT394" s="551">
        <v>1843243.9971006219</v>
      </c>
      <c r="BU394" s="551">
        <v>71673.391461666935</v>
      </c>
      <c r="BV394" s="551">
        <v>206844.14023214177</v>
      </c>
      <c r="BW394" s="551">
        <v>2168.1275512892375</v>
      </c>
      <c r="BX394" s="551">
        <v>33066.249221721388</v>
      </c>
      <c r="BY394" s="551">
        <v>30255013.058456894</v>
      </c>
      <c r="BZ394" s="551">
        <v>12246.758971007925</v>
      </c>
      <c r="CA394" s="551">
        <v>1263221.8442167758</v>
      </c>
      <c r="CB394" s="551">
        <v>1.8942010130228928E-29</v>
      </c>
      <c r="CC394" s="551">
        <v>30017.611792492095</v>
      </c>
      <c r="CD394" s="551">
        <v>8802181.9438217655</v>
      </c>
      <c r="CE394" s="551">
        <v>3368.4998365961223</v>
      </c>
      <c r="CF394" s="551">
        <v>13313.345995401562</v>
      </c>
      <c r="CG394" s="551">
        <v>49570.601527828323</v>
      </c>
      <c r="CH394" s="551">
        <v>300214.06778992777</v>
      </c>
      <c r="CI394" s="551">
        <v>18359.482047343823</v>
      </c>
      <c r="CJ394" s="551">
        <v>586763.44086720119</v>
      </c>
      <c r="CK394" s="551">
        <v>8485378.4068073761</v>
      </c>
      <c r="CL394" s="551"/>
      <c r="CM394" s="551">
        <v>2582.157857882969</v>
      </c>
      <c r="CN394" s="551">
        <v>82643.987616953105</v>
      </c>
      <c r="CO394" s="551">
        <v>65027.318492679056</v>
      </c>
      <c r="CP394" s="551">
        <v>5957031.4941134006</v>
      </c>
      <c r="CQ394" s="551"/>
      <c r="CR394" s="551">
        <v>1948.6412780621322</v>
      </c>
      <c r="CS394" s="551">
        <v>29346.632151810922</v>
      </c>
      <c r="CT394" s="551">
        <v>157961.34447903253</v>
      </c>
      <c r="CU394" s="551">
        <v>645627.20906915748</v>
      </c>
      <c r="CV394" s="551"/>
      <c r="CW394" s="551">
        <v>173.62448554832775</v>
      </c>
      <c r="CX394" s="551">
        <v>6467.1479697436807</v>
      </c>
      <c r="CY394" s="554"/>
    </row>
    <row r="395" spans="65:103" ht="12.75" customHeight="1" x14ac:dyDescent="0.3">
      <c r="BM395" s="562"/>
      <c r="BN395" s="591">
        <v>382</v>
      </c>
      <c r="BO395" s="549" t="s">
        <v>2492</v>
      </c>
      <c r="BP395" s="554" t="s">
        <v>620</v>
      </c>
      <c r="BQ395" s="553" t="s">
        <v>2408</v>
      </c>
      <c r="BR395" s="551">
        <v>211515.25715930399</v>
      </c>
      <c r="BS395" s="551"/>
      <c r="BT395" s="551">
        <v>798443.78259111277</v>
      </c>
      <c r="BU395" s="551">
        <v>31462.618097642015</v>
      </c>
      <c r="BV395" s="551">
        <v>89599.324882403074</v>
      </c>
      <c r="BW395" s="551">
        <v>951.74747199834201</v>
      </c>
      <c r="BX395" s="551">
        <v>10505.937028370106</v>
      </c>
      <c r="BY395" s="551">
        <v>11580537.989306254</v>
      </c>
      <c r="BZ395" s="551">
        <v>3891.0877882852255</v>
      </c>
      <c r="CA395" s="551">
        <v>890498.81532498065</v>
      </c>
      <c r="CB395" s="551">
        <v>8.2184425398841628E-30</v>
      </c>
      <c r="CC395" s="551">
        <v>14838.278203402508</v>
      </c>
      <c r="CD395" s="551">
        <v>3894927.8409056365</v>
      </c>
      <c r="CE395" s="551">
        <v>1665.1137355314409</v>
      </c>
      <c r="CF395" s="551">
        <v>5891.0986280504785</v>
      </c>
      <c r="CG395" s="551">
        <v>24866.444904320964</v>
      </c>
      <c r="CH395" s="551">
        <v>151280.41424671482</v>
      </c>
      <c r="CI395" s="551">
        <v>9209.7944090077599</v>
      </c>
      <c r="CJ395" s="551">
        <v>813237.76266650704</v>
      </c>
      <c r="CK395" s="551">
        <v>6149897.0126706315</v>
      </c>
      <c r="CL395" s="551"/>
      <c r="CM395" s="551">
        <v>1871.4551237572125</v>
      </c>
      <c r="CN395" s="551">
        <v>81508.245692457902</v>
      </c>
      <c r="CO395" s="551">
        <v>150758.19261367479</v>
      </c>
      <c r="CP395" s="551">
        <v>8860807.3359802719</v>
      </c>
      <c r="CQ395" s="551"/>
      <c r="CR395" s="551">
        <v>2898.51328617438</v>
      </c>
      <c r="CS395" s="551">
        <v>48458.104435282163</v>
      </c>
      <c r="CT395" s="551">
        <v>498830.8316054928</v>
      </c>
      <c r="CU395" s="551">
        <v>1105370.5427122749</v>
      </c>
      <c r="CV395" s="551"/>
      <c r="CW395" s="551">
        <v>297.2603835817211</v>
      </c>
      <c r="CX395" s="551">
        <v>14537.478964759694</v>
      </c>
      <c r="CY395" s="554"/>
    </row>
    <row r="396" spans="65:103" ht="12.75" customHeight="1" x14ac:dyDescent="0.3">
      <c r="BM396" s="562"/>
      <c r="BN396" s="591">
        <v>383</v>
      </c>
      <c r="BO396" s="549" t="s">
        <v>2750</v>
      </c>
      <c r="BP396" s="554" t="s">
        <v>620</v>
      </c>
      <c r="BQ396" s="553" t="s">
        <v>2408</v>
      </c>
      <c r="BR396" s="551">
        <v>51609.960734854991</v>
      </c>
      <c r="BS396" s="551"/>
      <c r="BT396" s="551">
        <v>5377236.151197332</v>
      </c>
      <c r="BU396" s="551">
        <v>226785.84731437662</v>
      </c>
      <c r="BV396" s="551">
        <v>596137.38509745488</v>
      </c>
      <c r="BW396" s="551">
        <v>6605.6365987349327</v>
      </c>
      <c r="BX396" s="551">
        <v>593194.31670148624</v>
      </c>
      <c r="BY396" s="551">
        <v>14762480.49182274</v>
      </c>
      <c r="BZ396" s="551">
        <v>219701.59877832825</v>
      </c>
      <c r="CA396" s="551">
        <v>19879.864271320719</v>
      </c>
      <c r="CB396" s="551">
        <v>1.4734260216752528E-30</v>
      </c>
      <c r="CC396" s="551">
        <v>16667.083690616713</v>
      </c>
      <c r="CD396" s="551">
        <v>1600137.5138464756</v>
      </c>
      <c r="CE396" s="551">
        <v>1847.7655451885439</v>
      </c>
      <c r="CF396" s="551">
        <v>2330.3762226883332</v>
      </c>
      <c r="CG396" s="551">
        <v>118432.75979621665</v>
      </c>
      <c r="CH396" s="551">
        <v>308341.22649745253</v>
      </c>
      <c r="CI396" s="551">
        <v>43863.985109709844</v>
      </c>
      <c r="CJ396" s="551">
        <v>1151.303984205415</v>
      </c>
      <c r="CK396" s="551">
        <v>250144.30110783354</v>
      </c>
      <c r="CL396" s="551"/>
      <c r="CM396" s="551">
        <v>72.848086917912056</v>
      </c>
      <c r="CN396" s="551">
        <v>24617.962035792545</v>
      </c>
      <c r="CO396" s="551">
        <v>19.672117118081111</v>
      </c>
      <c r="CP396" s="551">
        <v>9133.4743118694932</v>
      </c>
      <c r="CQ396" s="551"/>
      <c r="CR396" s="551">
        <v>3.182297944370895</v>
      </c>
      <c r="CS396" s="551">
        <v>1771.8071344879465</v>
      </c>
      <c r="CT396" s="551">
        <v>29.926686315167412</v>
      </c>
      <c r="CU396" s="551">
        <v>1466.0762185867363</v>
      </c>
      <c r="CV396" s="551"/>
      <c r="CW396" s="551">
        <v>0.32497294662102866</v>
      </c>
      <c r="CX396" s="551">
        <v>154.17394699018939</v>
      </c>
      <c r="CY396" s="554"/>
    </row>
    <row r="397" spans="65:103" ht="12.75" customHeight="1" x14ac:dyDescent="0.3">
      <c r="BM397" s="562"/>
      <c r="BN397" s="591">
        <v>384</v>
      </c>
      <c r="BO397" s="549" t="s">
        <v>2878</v>
      </c>
      <c r="BP397" s="554" t="s">
        <v>620</v>
      </c>
      <c r="BQ397" s="553" t="s">
        <v>2408</v>
      </c>
      <c r="BR397" s="551">
        <v>489917.94029226212</v>
      </c>
      <c r="BS397" s="551"/>
      <c r="BT397" s="551">
        <v>1418220.8933584085</v>
      </c>
      <c r="BU397" s="551">
        <v>53526.468356669495</v>
      </c>
      <c r="BV397" s="551">
        <v>178966.01915522179</v>
      </c>
      <c r="BW397" s="551">
        <v>1805.9184436814401</v>
      </c>
      <c r="BX397" s="551">
        <v>21706.571200231872</v>
      </c>
      <c r="BY397" s="551">
        <v>26750458.568867303</v>
      </c>
      <c r="BZ397" s="551">
        <v>8039.4708149006856</v>
      </c>
      <c r="CA397" s="551">
        <v>2015888.3084452443</v>
      </c>
      <c r="CB397" s="551">
        <v>2.0272747196785937E-29</v>
      </c>
      <c r="CC397" s="551">
        <v>28064.557777430826</v>
      </c>
      <c r="CD397" s="551">
        <v>9035077.8928920869</v>
      </c>
      <c r="CE397" s="551">
        <v>3541.4808851706953</v>
      </c>
      <c r="CF397" s="551">
        <v>15241.631203975354</v>
      </c>
      <c r="CG397" s="551">
        <v>50801.135399036641</v>
      </c>
      <c r="CH397" s="551">
        <v>308638.9183090055</v>
      </c>
      <c r="CI397" s="551">
        <v>18815.235332976532</v>
      </c>
      <c r="CJ397" s="551">
        <v>1745986.3158264507</v>
      </c>
      <c r="CK397" s="551">
        <v>14201467.196726417</v>
      </c>
      <c r="CL397" s="551"/>
      <c r="CM397" s="551">
        <v>4819.9976305076088</v>
      </c>
      <c r="CN397" s="551">
        <v>157925.20295912673</v>
      </c>
      <c r="CO397" s="551">
        <v>294691.69890427159</v>
      </c>
      <c r="CP397" s="551">
        <v>20015391.081784572</v>
      </c>
      <c r="CQ397" s="551"/>
      <c r="CR397" s="551">
        <v>7348.9725025981043</v>
      </c>
      <c r="CS397" s="551">
        <v>85151.594627208819</v>
      </c>
      <c r="CT397" s="551">
        <v>1027389.9001409935</v>
      </c>
      <c r="CU397" s="551">
        <v>2394115.7226004959</v>
      </c>
      <c r="CV397" s="551"/>
      <c r="CW397" s="551">
        <v>711.1032460358058</v>
      </c>
      <c r="CX397" s="551">
        <v>27057.551281274427</v>
      </c>
      <c r="CY397" s="554"/>
    </row>
    <row r="398" spans="65:103" ht="12.75" customHeight="1" x14ac:dyDescent="0.3">
      <c r="BM398" s="562"/>
      <c r="BN398" s="591">
        <v>385</v>
      </c>
      <c r="BO398" s="549" t="s">
        <v>2660</v>
      </c>
      <c r="BP398" s="554" t="s">
        <v>620</v>
      </c>
      <c r="BQ398" s="553" t="s">
        <v>2408</v>
      </c>
      <c r="BR398" s="551">
        <v>285920.02433948522</v>
      </c>
      <c r="BS398" s="551"/>
      <c r="BT398" s="551">
        <v>1608872.7150675438</v>
      </c>
      <c r="BU398" s="551">
        <v>57022.647615175767</v>
      </c>
      <c r="BV398" s="551">
        <v>188517.11680701771</v>
      </c>
      <c r="BW398" s="551">
        <v>1745.7479435395203</v>
      </c>
      <c r="BX398" s="551">
        <v>17323.247799426688</v>
      </c>
      <c r="BY398" s="551">
        <v>13481077.126925427</v>
      </c>
      <c r="BZ398" s="551">
        <v>6416.017703491364</v>
      </c>
      <c r="CA398" s="551">
        <v>281653.09145622246</v>
      </c>
      <c r="CB398" s="551">
        <v>3.9391261556440968E-30</v>
      </c>
      <c r="CC398" s="551">
        <v>5270.8181494601595</v>
      </c>
      <c r="CD398" s="551">
        <v>1140930.5759438302</v>
      </c>
      <c r="CE398" s="551">
        <v>617.59978365262714</v>
      </c>
      <c r="CF398" s="551">
        <v>1746.4790657538838</v>
      </c>
      <c r="CG398" s="551">
        <v>8948.7649174846065</v>
      </c>
      <c r="CH398" s="551">
        <v>40669.697056935278</v>
      </c>
      <c r="CI398" s="551">
        <v>3314.3573768461497</v>
      </c>
      <c r="CJ398" s="551">
        <v>42949.647748938827</v>
      </c>
      <c r="CK398" s="551">
        <v>315238.55558212945</v>
      </c>
      <c r="CL398" s="551"/>
      <c r="CM398" s="551">
        <v>96.494295583066531</v>
      </c>
      <c r="CN398" s="551">
        <v>4897.921706375746</v>
      </c>
      <c r="CO398" s="551">
        <v>1925.4346822028303</v>
      </c>
      <c r="CP398" s="551">
        <v>77311.566048658817</v>
      </c>
      <c r="CQ398" s="551"/>
      <c r="CR398" s="551">
        <v>28.513607190236677</v>
      </c>
      <c r="CS398" s="551">
        <v>716.8411175466772</v>
      </c>
      <c r="CT398" s="551">
        <v>3117.8822908425295</v>
      </c>
      <c r="CU398" s="551">
        <v>5454.8036554532255</v>
      </c>
      <c r="CV398" s="551"/>
      <c r="CW398" s="551">
        <v>1.2600875939149068</v>
      </c>
      <c r="CX398" s="551">
        <v>101.33851256398079</v>
      </c>
      <c r="CY398" s="554"/>
    </row>
    <row r="399" spans="65:103" ht="12.75" customHeight="1" x14ac:dyDescent="0.3">
      <c r="BM399" s="562"/>
      <c r="BN399" s="591">
        <v>386</v>
      </c>
      <c r="BO399" s="549" t="s">
        <v>2892</v>
      </c>
      <c r="BP399" s="554" t="s">
        <v>620</v>
      </c>
      <c r="BQ399" s="553" t="s">
        <v>2408</v>
      </c>
      <c r="BR399" s="551">
        <v>405014.06902455323</v>
      </c>
      <c r="BS399" s="551"/>
      <c r="BT399" s="551">
        <v>3170084.2341990354</v>
      </c>
      <c r="BU399" s="551">
        <v>139529.08683366163</v>
      </c>
      <c r="BV399" s="551">
        <v>437765.44621915661</v>
      </c>
      <c r="BW399" s="551">
        <v>5161.7808781657632</v>
      </c>
      <c r="BX399" s="551">
        <v>143231.95327464541</v>
      </c>
      <c r="BY399" s="551">
        <v>38164559.070719302</v>
      </c>
      <c r="BZ399" s="551">
        <v>53048.87158320201</v>
      </c>
      <c r="CA399" s="551">
        <v>1250604.1694566181</v>
      </c>
      <c r="CB399" s="551">
        <v>3.2265045233833947E-29</v>
      </c>
      <c r="CC399" s="551">
        <v>115977.17905760297</v>
      </c>
      <c r="CD399" s="551">
        <v>22136420.56172191</v>
      </c>
      <c r="CE399" s="551">
        <v>16015.600151463645</v>
      </c>
      <c r="CF399" s="551">
        <v>40946.069009521161</v>
      </c>
      <c r="CG399" s="551">
        <v>244153.93729711807</v>
      </c>
      <c r="CH399" s="551">
        <v>1579814.8915436061</v>
      </c>
      <c r="CI399" s="551">
        <v>90427.384184117793</v>
      </c>
      <c r="CJ399" s="551">
        <v>699266.90288090729</v>
      </c>
      <c r="CK399" s="551">
        <v>29758635.766500194</v>
      </c>
      <c r="CL399" s="551"/>
      <c r="CM399" s="551">
        <v>11091.708159666003</v>
      </c>
      <c r="CN399" s="551">
        <v>489993.69119302602</v>
      </c>
      <c r="CO399" s="551">
        <v>90436.679254304123</v>
      </c>
      <c r="CP399" s="551">
        <v>17033852.583152704</v>
      </c>
      <c r="CQ399" s="551"/>
      <c r="CR399" s="551">
        <v>6690.4324467004662</v>
      </c>
      <c r="CS399" s="551">
        <v>202259.18434781951</v>
      </c>
      <c r="CT399" s="551">
        <v>218674.15209569095</v>
      </c>
      <c r="CU399" s="551">
        <v>3183568.9362265114</v>
      </c>
      <c r="CV399" s="551"/>
      <c r="CW399" s="551">
        <v>1082.6514297721546</v>
      </c>
      <c r="CX399" s="551">
        <v>44658.10900949192</v>
      </c>
      <c r="CY399" s="554"/>
    </row>
    <row r="400" spans="65:103" ht="12.75" customHeight="1" x14ac:dyDescent="0.3">
      <c r="BM400" s="562"/>
      <c r="BN400" s="591">
        <v>387</v>
      </c>
      <c r="BO400" s="549" t="s">
        <v>2652</v>
      </c>
      <c r="BP400" s="554" t="s">
        <v>620</v>
      </c>
      <c r="BQ400" s="553" t="s">
        <v>2408</v>
      </c>
      <c r="BR400" s="551">
        <v>381495.06533450744</v>
      </c>
      <c r="BS400" s="551"/>
      <c r="BT400" s="551">
        <v>1901602.8099204588</v>
      </c>
      <c r="BU400" s="551">
        <v>78474.636277236161</v>
      </c>
      <c r="BV400" s="551">
        <v>254607.27859915353</v>
      </c>
      <c r="BW400" s="551">
        <v>2797.6867614536873</v>
      </c>
      <c r="BX400" s="551">
        <v>57924.431055969675</v>
      </c>
      <c r="BY400" s="551">
        <v>22917456.934759241</v>
      </c>
      <c r="BZ400" s="551">
        <v>21453.492983692464</v>
      </c>
      <c r="CA400" s="551">
        <v>1251045.3834230679</v>
      </c>
      <c r="CB400" s="551">
        <v>2.4133478278310888E-29</v>
      </c>
      <c r="CC400" s="551">
        <v>54447.352107032602</v>
      </c>
      <c r="CD400" s="551">
        <v>11540598.006526271</v>
      </c>
      <c r="CE400" s="551">
        <v>7290.0040295382805</v>
      </c>
      <c r="CF400" s="551">
        <v>20571.60108907898</v>
      </c>
      <c r="CG400" s="551">
        <v>108321.06220662364</v>
      </c>
      <c r="CH400" s="551">
        <v>641266.97835370037</v>
      </c>
      <c r="CI400" s="551">
        <v>40118.911928379108</v>
      </c>
      <c r="CJ400" s="551">
        <v>761796.28244209324</v>
      </c>
      <c r="CK400" s="551">
        <v>13281761.170824189</v>
      </c>
      <c r="CL400" s="551"/>
      <c r="CM400" s="551">
        <v>4763.3134473177251</v>
      </c>
      <c r="CN400" s="551">
        <v>236745.83635961459</v>
      </c>
      <c r="CO400" s="551">
        <v>102361.5824617164</v>
      </c>
      <c r="CP400" s="551">
        <v>10156129.992246812</v>
      </c>
      <c r="CQ400" s="551"/>
      <c r="CR400" s="551">
        <v>3953.6252649292774</v>
      </c>
      <c r="CS400" s="551">
        <v>101888.74838077383</v>
      </c>
      <c r="CT400" s="551">
        <v>284145.33861562394</v>
      </c>
      <c r="CU400" s="551">
        <v>1577957.1756526947</v>
      </c>
      <c r="CV400" s="551"/>
      <c r="CW400" s="551">
        <v>492.71605485055534</v>
      </c>
      <c r="CX400" s="551">
        <v>25632.041706255102</v>
      </c>
      <c r="CY400" s="554"/>
    </row>
    <row r="401" spans="65:103" ht="12.75" customHeight="1" x14ac:dyDescent="0.3">
      <c r="BM401" s="562"/>
      <c r="BN401" s="591">
        <v>388</v>
      </c>
      <c r="BO401" s="549" t="s">
        <v>2563</v>
      </c>
      <c r="BP401" s="554" t="s">
        <v>620</v>
      </c>
      <c r="BQ401" s="553" t="s">
        <v>2408</v>
      </c>
      <c r="BR401" s="551">
        <v>358678.75669995096</v>
      </c>
      <c r="BS401" s="551"/>
      <c r="BT401" s="551">
        <v>1404873.6606669158</v>
      </c>
      <c r="BU401" s="551">
        <v>43722.747716480109</v>
      </c>
      <c r="BV401" s="551">
        <v>167690.2519940543</v>
      </c>
      <c r="BW401" s="551">
        <v>1361.045598184076</v>
      </c>
      <c r="BX401" s="551">
        <v>212.66111361404231</v>
      </c>
      <c r="BY401" s="551">
        <v>17868512.772522487</v>
      </c>
      <c r="BZ401" s="551">
        <v>78.763375412608269</v>
      </c>
      <c r="CA401" s="551">
        <v>309919.9679102783</v>
      </c>
      <c r="CB401" s="551">
        <v>6.8951151906260768E-32</v>
      </c>
      <c r="CC401" s="551">
        <v>59.073028127853789</v>
      </c>
      <c r="CD401" s="551">
        <v>232523.6205522122</v>
      </c>
      <c r="CE401" s="551">
        <v>7.0511471957621703</v>
      </c>
      <c r="CF401" s="551">
        <v>361.91143827304109</v>
      </c>
      <c r="CG401" s="551">
        <v>96.405572177515921</v>
      </c>
      <c r="CH401" s="551">
        <v>446.81612217865677</v>
      </c>
      <c r="CI401" s="551">
        <v>35.705767473154019</v>
      </c>
      <c r="CJ401" s="551">
        <v>41325.493514190573</v>
      </c>
      <c r="CK401" s="551">
        <v>34507.123703204532</v>
      </c>
      <c r="CL401" s="551"/>
      <c r="CM401" s="551">
        <v>10.739941400633654</v>
      </c>
      <c r="CN401" s="551">
        <v>46.139648556029314</v>
      </c>
      <c r="CO401" s="551">
        <v>1849.8400843793161</v>
      </c>
      <c r="CP401" s="551">
        <v>2769.744204428489</v>
      </c>
      <c r="CQ401" s="551"/>
      <c r="CR401" s="551">
        <v>1.0411746501180685</v>
      </c>
      <c r="CS401" s="551">
        <v>6.6972272694243582</v>
      </c>
      <c r="CT401" s="551">
        <v>2541.3025849081632</v>
      </c>
      <c r="CU401" s="551">
        <v>198.06157995514604</v>
      </c>
      <c r="CV401" s="551"/>
      <c r="CW401" s="551">
        <v>4.6387801774858205E-2</v>
      </c>
      <c r="CX401" s="551">
        <v>0.81458766051541731</v>
      </c>
      <c r="CY401" s="554"/>
    </row>
    <row r="402" spans="65:103" ht="12.75" customHeight="1" x14ac:dyDescent="0.3">
      <c r="BM402" s="562"/>
      <c r="BN402" s="591">
        <v>389</v>
      </c>
      <c r="BO402" s="549" t="s">
        <v>2638</v>
      </c>
      <c r="BP402" s="554" t="s">
        <v>620</v>
      </c>
      <c r="BQ402" s="553" t="s">
        <v>2408</v>
      </c>
      <c r="BR402" s="551">
        <v>16663.011493838956</v>
      </c>
      <c r="BS402" s="551"/>
      <c r="BT402" s="551">
        <v>8281111.0967910094</v>
      </c>
      <c r="BU402" s="551">
        <v>389070.49170984549</v>
      </c>
      <c r="BV402" s="551">
        <v>1166885.6615106105</v>
      </c>
      <c r="BW402" s="551">
        <v>14669.261718519911</v>
      </c>
      <c r="BX402" s="551">
        <v>1478702.8543929851</v>
      </c>
      <c r="BY402" s="551">
        <v>14930433.799157482</v>
      </c>
      <c r="BZ402" s="551">
        <v>547667.7238492535</v>
      </c>
      <c r="CA402" s="551">
        <v>3055.4383364212899</v>
      </c>
      <c r="CB402" s="551">
        <v>9.1343416176986354E-31</v>
      </c>
      <c r="CC402" s="551">
        <v>32775.39660986697</v>
      </c>
      <c r="CD402" s="551">
        <v>6906625.0064448118</v>
      </c>
      <c r="CE402" s="551">
        <v>4618.3585641300597</v>
      </c>
      <c r="CF402" s="551">
        <v>13020.145702384734</v>
      </c>
      <c r="CG402" s="551">
        <v>140512.66485044122</v>
      </c>
      <c r="CH402" s="551">
        <v>361138.07080422412</v>
      </c>
      <c r="CI402" s="551">
        <v>52041.727722385622</v>
      </c>
      <c r="CJ402" s="551">
        <v>83.267570958153073</v>
      </c>
      <c r="CK402" s="551">
        <v>3737589.9489965984</v>
      </c>
      <c r="CL402" s="551"/>
      <c r="CM402" s="551">
        <v>1419.7835462766191</v>
      </c>
      <c r="CN402" s="551">
        <v>13744.264304552702</v>
      </c>
      <c r="CO402" s="551">
        <v>0.65522248390451276</v>
      </c>
      <c r="CP402" s="551">
        <v>353873.98423312115</v>
      </c>
      <c r="CQ402" s="551"/>
      <c r="CR402" s="551">
        <v>141.76303827812137</v>
      </c>
      <c r="CS402" s="551">
        <v>393.5104915429061</v>
      </c>
      <c r="CT402" s="551">
        <v>1.0678297076034311</v>
      </c>
      <c r="CU402" s="551">
        <v>67760.862950380324</v>
      </c>
      <c r="CV402" s="551"/>
      <c r="CW402" s="551">
        <v>23.45659849564753</v>
      </c>
      <c r="CX402" s="551">
        <v>42.999053441468234</v>
      </c>
      <c r="CY402" s="554"/>
    </row>
    <row r="403" spans="65:103" ht="12.75" customHeight="1" x14ac:dyDescent="0.3">
      <c r="BM403" s="562"/>
      <c r="BN403" s="591">
        <v>390</v>
      </c>
      <c r="BO403" s="549" t="s">
        <v>2816</v>
      </c>
      <c r="BP403" s="554" t="s">
        <v>620</v>
      </c>
      <c r="BQ403" s="553" t="s">
        <v>2408</v>
      </c>
      <c r="BR403" s="551">
        <v>49594.902402116713</v>
      </c>
      <c r="BS403" s="551"/>
      <c r="BT403" s="551">
        <v>7777815.0446781954</v>
      </c>
      <c r="BU403" s="551">
        <v>357628.62213909026</v>
      </c>
      <c r="BV403" s="551">
        <v>1150308.6183505359</v>
      </c>
      <c r="BW403" s="551">
        <v>13987.743553206277</v>
      </c>
      <c r="BX403" s="551">
        <v>2514220.376769654</v>
      </c>
      <c r="BY403" s="551">
        <v>30565654.05462873</v>
      </c>
      <c r="BZ403" s="551">
        <v>931192.73213690904</v>
      </c>
      <c r="CA403" s="551">
        <v>27256.278519290383</v>
      </c>
      <c r="CB403" s="551">
        <v>3.3171973101749208E-30</v>
      </c>
      <c r="CC403" s="551">
        <v>112205.77029824525</v>
      </c>
      <c r="CD403" s="551">
        <v>5829377.7399089718</v>
      </c>
      <c r="CE403" s="551">
        <v>16594.797364209167</v>
      </c>
      <c r="CF403" s="551">
        <v>11400.072009463371</v>
      </c>
      <c r="CG403" s="551">
        <v>716628.46482925816</v>
      </c>
      <c r="CH403" s="551">
        <v>2056925.7045564156</v>
      </c>
      <c r="CI403" s="551">
        <v>265417.94993676251</v>
      </c>
      <c r="CJ403" s="551">
        <v>2283.0514964549752</v>
      </c>
      <c r="CK403" s="551">
        <v>2205017.5636916673</v>
      </c>
      <c r="CL403" s="551"/>
      <c r="CM403" s="551">
        <v>867.58199954918052</v>
      </c>
      <c r="CN403" s="551">
        <v>215450.17889262424</v>
      </c>
      <c r="CO403" s="551">
        <v>44.285577571588604</v>
      </c>
      <c r="CP403" s="551">
        <v>162400.73480962412</v>
      </c>
      <c r="CQ403" s="551"/>
      <c r="CR403" s="551">
        <v>69.770595637627977</v>
      </c>
      <c r="CS403" s="551">
        <v>17248.383758113745</v>
      </c>
      <c r="CT403" s="551">
        <v>93.957545149202417</v>
      </c>
      <c r="CU403" s="551">
        <v>29230.139505245417</v>
      </c>
      <c r="CV403" s="551"/>
      <c r="CW403" s="551">
        <v>9.9246235056151715</v>
      </c>
      <c r="CX403" s="551">
        <v>2178.5679808954346</v>
      </c>
      <c r="CY403" s="554"/>
    </row>
    <row r="404" spans="65:103" ht="12.75" customHeight="1" x14ac:dyDescent="0.3">
      <c r="BM404" s="562"/>
      <c r="BN404" s="591">
        <v>391</v>
      </c>
      <c r="BO404" s="549" t="s">
        <v>2674</v>
      </c>
      <c r="BP404" s="554" t="s">
        <v>620</v>
      </c>
      <c r="BQ404" s="553" t="s">
        <v>2408</v>
      </c>
      <c r="BR404" s="551">
        <v>387131.49564139725</v>
      </c>
      <c r="BS404" s="551"/>
      <c r="BT404" s="551">
        <v>1314160.6717836417</v>
      </c>
      <c r="BU404" s="551">
        <v>41481.382155459025</v>
      </c>
      <c r="BV404" s="551">
        <v>175404.8861016749</v>
      </c>
      <c r="BW404" s="551">
        <v>1427.584012819264</v>
      </c>
      <c r="BX404" s="551">
        <v>1271.1358971768927</v>
      </c>
      <c r="BY404" s="551">
        <v>16114490.629812503</v>
      </c>
      <c r="BZ404" s="551">
        <v>470.79107302847876</v>
      </c>
      <c r="CA404" s="551">
        <v>461004.40007955331</v>
      </c>
      <c r="CB404" s="551">
        <v>4.9103379924447442E-31</v>
      </c>
      <c r="CC404" s="551">
        <v>438.66377170562282</v>
      </c>
      <c r="CD404" s="551">
        <v>309461.43479668605</v>
      </c>
      <c r="CE404" s="551">
        <v>58.549742482039207</v>
      </c>
      <c r="CF404" s="551">
        <v>532.50660168964589</v>
      </c>
      <c r="CG404" s="551">
        <v>794.5236218822198</v>
      </c>
      <c r="CH404" s="551">
        <v>3670.2874348745004</v>
      </c>
      <c r="CI404" s="551">
        <v>294.26800810452573</v>
      </c>
      <c r="CJ404" s="551">
        <v>86625.884952511959</v>
      </c>
      <c r="CK404" s="551">
        <v>66685.920663168465</v>
      </c>
      <c r="CL404" s="551"/>
      <c r="CM404" s="551">
        <v>22.946110349061033</v>
      </c>
      <c r="CN404" s="551">
        <v>535.86215070300773</v>
      </c>
      <c r="CO404" s="551">
        <v>5366.2026190712422</v>
      </c>
      <c r="CP404" s="551">
        <v>27471.508833153977</v>
      </c>
      <c r="CQ404" s="551"/>
      <c r="CR404" s="551">
        <v>11.589350379037754</v>
      </c>
      <c r="CS404" s="551">
        <v>107.55945003711506</v>
      </c>
      <c r="CT404" s="551">
        <v>7749.225469951135</v>
      </c>
      <c r="CU404" s="551">
        <v>931.47229876434778</v>
      </c>
      <c r="CV404" s="551"/>
      <c r="CW404" s="551">
        <v>0.23698604090611913</v>
      </c>
      <c r="CX404" s="551">
        <v>13.7386649637447</v>
      </c>
      <c r="CY404" s="554"/>
    </row>
    <row r="405" spans="65:103" ht="12.75" customHeight="1" x14ac:dyDescent="0.3">
      <c r="BM405" s="562"/>
      <c r="BN405" s="591">
        <v>392</v>
      </c>
      <c r="BO405" s="549" t="s">
        <v>2842</v>
      </c>
      <c r="BP405" s="554" t="s">
        <v>620</v>
      </c>
      <c r="BQ405" s="553" t="s">
        <v>2408</v>
      </c>
      <c r="BR405" s="551">
        <v>1.8700182902403917</v>
      </c>
      <c r="BS405" s="551"/>
      <c r="BT405" s="551">
        <v>6379443.7916262588</v>
      </c>
      <c r="BU405" s="551">
        <v>294319.128884584</v>
      </c>
      <c r="BV405" s="551">
        <v>962560.47091697692</v>
      </c>
      <c r="BW405" s="551">
        <v>11728.270774675473</v>
      </c>
      <c r="BX405" s="551">
        <v>3974894.041511768</v>
      </c>
      <c r="BY405" s="551">
        <v>29387634.991915878</v>
      </c>
      <c r="BZ405" s="551">
        <v>1472182.9783376921</v>
      </c>
      <c r="CA405" s="551">
        <v>3.7862814894297309E-5</v>
      </c>
      <c r="CB405" s="551">
        <v>1.5026104892160298E-34</v>
      </c>
      <c r="CC405" s="551">
        <v>5.9998314687326069</v>
      </c>
      <c r="CD405" s="551">
        <v>3437201.3318955898</v>
      </c>
      <c r="CE405" s="551">
        <v>0.90528277896990883</v>
      </c>
      <c r="CF405" s="551">
        <v>6848.4213174188544</v>
      </c>
      <c r="CG405" s="551">
        <v>41.705284762386121</v>
      </c>
      <c r="CH405" s="551">
        <v>115.31080994896611</v>
      </c>
      <c r="CI405" s="551">
        <v>15.44640176384671</v>
      </c>
      <c r="CJ405" s="551">
        <v>1.1248445450057487E-10</v>
      </c>
      <c r="CK405" s="551">
        <v>1184625.9937112031</v>
      </c>
      <c r="CL405" s="551"/>
      <c r="CM405" s="551">
        <v>474.87543690439082</v>
      </c>
      <c r="CN405" s="551">
        <v>4.4470739824754917E-4</v>
      </c>
      <c r="CO405" s="551">
        <v>2.7661995757078835E-15</v>
      </c>
      <c r="CP405" s="551">
        <v>73851.343930968884</v>
      </c>
      <c r="CQ405" s="551"/>
      <c r="CR405" s="551">
        <v>32.365120522419737</v>
      </c>
      <c r="CS405" s="551">
        <v>7.9650080942766577E-9</v>
      </c>
      <c r="CT405" s="551">
        <v>3.9147642733439562E-16</v>
      </c>
      <c r="CU405" s="551">
        <v>13426.212131972301</v>
      </c>
      <c r="CV405" s="551"/>
      <c r="CW405" s="551">
        <v>4.6359751479111795</v>
      </c>
      <c r="CX405" s="551">
        <v>9.4089448615452893E-10</v>
      </c>
      <c r="CY405" s="554"/>
    </row>
    <row r="406" spans="65:103" ht="12.75" customHeight="1" x14ac:dyDescent="0.3">
      <c r="BM406" s="562"/>
      <c r="BN406" s="591">
        <v>393</v>
      </c>
      <c r="BO406" s="549" t="s">
        <v>2782</v>
      </c>
      <c r="BP406" s="554" t="s">
        <v>620</v>
      </c>
      <c r="BQ406" s="553" t="s">
        <v>2408</v>
      </c>
      <c r="BR406" s="551">
        <v>1849.7173546586698</v>
      </c>
      <c r="BS406" s="551"/>
      <c r="BT406" s="551">
        <v>6324053.6920981705</v>
      </c>
      <c r="BU406" s="551">
        <v>291905.95943353965</v>
      </c>
      <c r="BV406" s="551">
        <v>993259.42395774089</v>
      </c>
      <c r="BW406" s="551">
        <v>12075.606208802523</v>
      </c>
      <c r="BX406" s="551">
        <v>1250578.504819572</v>
      </c>
      <c r="BY406" s="551">
        <v>7990456.954856107</v>
      </c>
      <c r="BZ406" s="551">
        <v>463177.22400724899</v>
      </c>
      <c r="CA406" s="551">
        <v>35.130330304998658</v>
      </c>
      <c r="CB406" s="551">
        <v>1.4761843647525913E-31</v>
      </c>
      <c r="CC406" s="551">
        <v>2866.0580495881509</v>
      </c>
      <c r="CD406" s="551">
        <v>3481343.403817601</v>
      </c>
      <c r="CE406" s="551">
        <v>450.14468661459023</v>
      </c>
      <c r="CF406" s="551">
        <v>7200.8348345633785</v>
      </c>
      <c r="CG406" s="551">
        <v>12307.966691555011</v>
      </c>
      <c r="CH406" s="551">
        <v>28999.499735871726</v>
      </c>
      <c r="CI406" s="551">
        <v>4558.5061820574119</v>
      </c>
      <c r="CJ406" s="551">
        <v>9.7979134338766177E-2</v>
      </c>
      <c r="CK406" s="551">
        <v>1200124.3937941191</v>
      </c>
      <c r="CL406" s="551"/>
      <c r="CM406" s="551">
        <v>499.43033856653847</v>
      </c>
      <c r="CN406" s="551">
        <v>123.20868787949998</v>
      </c>
      <c r="CO406" s="551">
        <v>3.1433189569355724E-4</v>
      </c>
      <c r="CP406" s="551">
        <v>74819.345132135437</v>
      </c>
      <c r="CQ406" s="551"/>
      <c r="CR406" s="551">
        <v>34.124950475238165</v>
      </c>
      <c r="CS406" s="551">
        <v>0.33045627809835876</v>
      </c>
      <c r="CT406" s="551">
        <v>5.7842320055058193E-5</v>
      </c>
      <c r="CU406" s="551">
        <v>13602.228432079819</v>
      </c>
      <c r="CV406" s="551"/>
      <c r="CW406" s="551">
        <v>4.8577388860678301</v>
      </c>
      <c r="CX406" s="551">
        <v>4.067767142172677E-2</v>
      </c>
      <c r="CY406" s="554"/>
    </row>
    <row r="407" spans="65:103" ht="12.75" customHeight="1" x14ac:dyDescent="0.3">
      <c r="BM407" s="562"/>
      <c r="BN407" s="591">
        <v>394</v>
      </c>
      <c r="BO407" s="549" t="s">
        <v>2770</v>
      </c>
      <c r="BP407" s="554" t="s">
        <v>620</v>
      </c>
      <c r="BQ407" s="553" t="s">
        <v>2408</v>
      </c>
      <c r="BR407" s="551">
        <v>324687.24915011047</v>
      </c>
      <c r="BS407" s="551"/>
      <c r="BT407" s="551">
        <v>1073499.9538621593</v>
      </c>
      <c r="BU407" s="551">
        <v>35185.648364469409</v>
      </c>
      <c r="BV407" s="551">
        <v>148754.07265813282</v>
      </c>
      <c r="BW407" s="551">
        <v>1252.3195977677071</v>
      </c>
      <c r="BX407" s="551">
        <v>3574.8804618363283</v>
      </c>
      <c r="BY407" s="551">
        <v>11731942.874652542</v>
      </c>
      <c r="BZ407" s="551">
        <v>1324.0298006801213</v>
      </c>
      <c r="CA407" s="551">
        <v>515704.30319542816</v>
      </c>
      <c r="CB407" s="551">
        <v>1.5539200847756654E-30</v>
      </c>
      <c r="CC407" s="551">
        <v>1567.0281486894835</v>
      </c>
      <c r="CD407" s="551">
        <v>503596.75661762303</v>
      </c>
      <c r="CE407" s="551">
        <v>217.1418994932028</v>
      </c>
      <c r="CF407" s="551">
        <v>896.19506389620801</v>
      </c>
      <c r="CG407" s="551">
        <v>2980.6856009359026</v>
      </c>
      <c r="CH407" s="551">
        <v>13721.790508059406</v>
      </c>
      <c r="CI407" s="551">
        <v>1103.9576299762596</v>
      </c>
      <c r="CJ407" s="551">
        <v>132951.7935966138</v>
      </c>
      <c r="CK407" s="551">
        <v>173998.44713888477</v>
      </c>
      <c r="CL407" s="551"/>
      <c r="CM407" s="551">
        <v>61.918573221868442</v>
      </c>
      <c r="CN407" s="551">
        <v>2758.120716111257</v>
      </c>
      <c r="CO407" s="551">
        <v>10614.521257289467</v>
      </c>
      <c r="CP407" s="551">
        <v>133549.20001022273</v>
      </c>
      <c r="CQ407" s="551"/>
      <c r="CR407" s="551">
        <v>58.570573942955932</v>
      </c>
      <c r="CS407" s="551">
        <v>713.03456465353781</v>
      </c>
      <c r="CT407" s="551">
        <v>17065.895198854098</v>
      </c>
      <c r="CU407" s="551">
        <v>4836.6796157166782</v>
      </c>
      <c r="CV407" s="551"/>
      <c r="CW407" s="551">
        <v>1.2650499036047171</v>
      </c>
      <c r="CX407" s="551">
        <v>101.41848151439153</v>
      </c>
      <c r="CY407" s="554"/>
    </row>
    <row r="408" spans="65:103" ht="12.75" customHeight="1" x14ac:dyDescent="0.3">
      <c r="BM408" s="562"/>
      <c r="BN408" s="591">
        <v>395</v>
      </c>
      <c r="BO408" s="549" t="s">
        <v>2732</v>
      </c>
      <c r="BP408" s="554" t="s">
        <v>620</v>
      </c>
      <c r="BQ408" s="553" t="s">
        <v>2408</v>
      </c>
      <c r="BR408" s="551">
        <v>397322.16650499136</v>
      </c>
      <c r="BS408" s="551"/>
      <c r="BT408" s="551">
        <v>1305408.7361317235</v>
      </c>
      <c r="BU408" s="551">
        <v>46406.513510125311</v>
      </c>
      <c r="BV408" s="551">
        <v>209192.72954774482</v>
      </c>
      <c r="BW408" s="551">
        <v>1956.1183758084333</v>
      </c>
      <c r="BX408" s="551">
        <v>8771.1547717374342</v>
      </c>
      <c r="BY408" s="551">
        <v>30232961.868777495</v>
      </c>
      <c r="BZ408" s="551">
        <v>3248.5758413842341</v>
      </c>
      <c r="CA408" s="551">
        <v>782479.54388781078</v>
      </c>
      <c r="CB408" s="551">
        <v>4.0080175332877094E-30</v>
      </c>
      <c r="CC408" s="551">
        <v>4578.1303238242699</v>
      </c>
      <c r="CD408" s="551">
        <v>2079723.5033459275</v>
      </c>
      <c r="CE408" s="551">
        <v>733.64881983558371</v>
      </c>
      <c r="CF408" s="551">
        <v>4383.2051298230308</v>
      </c>
      <c r="CG408" s="551">
        <v>10045.335785546078</v>
      </c>
      <c r="CH408" s="551">
        <v>61092.891898585265</v>
      </c>
      <c r="CI408" s="551">
        <v>3720.4947353874368</v>
      </c>
      <c r="CJ408" s="551">
        <v>256637.835236958</v>
      </c>
      <c r="CK408" s="551">
        <v>1504290.8724105468</v>
      </c>
      <c r="CL408" s="551"/>
      <c r="CM408" s="551">
        <v>637.86760396247837</v>
      </c>
      <c r="CN408" s="551">
        <v>11825.399034441707</v>
      </c>
      <c r="CO408" s="551">
        <v>24525.132653673176</v>
      </c>
      <c r="CP408" s="551">
        <v>1075974.2359512872</v>
      </c>
      <c r="CQ408" s="551"/>
      <c r="CR408" s="551">
        <v>500.68526189546111</v>
      </c>
      <c r="CS408" s="551">
        <v>3582.7092880510691</v>
      </c>
      <c r="CT408" s="551">
        <v>43780.393981436049</v>
      </c>
      <c r="CU408" s="551">
        <v>61426.742180866939</v>
      </c>
      <c r="CV408" s="551"/>
      <c r="CW408" s="551">
        <v>22.310717990418279</v>
      </c>
      <c r="CX408" s="551">
        <v>589.11453246302369</v>
      </c>
      <c r="CY408" s="554"/>
    </row>
    <row r="409" spans="65:103" ht="12.75" customHeight="1" x14ac:dyDescent="0.3">
      <c r="BM409" s="562"/>
      <c r="BN409" s="591">
        <v>396</v>
      </c>
      <c r="BO409" s="549" t="s">
        <v>2432</v>
      </c>
      <c r="BP409" s="554" t="s">
        <v>620</v>
      </c>
      <c r="BQ409" s="553" t="s">
        <v>2408</v>
      </c>
      <c r="BR409" s="551">
        <v>33273.636226334806</v>
      </c>
      <c r="BS409" s="551"/>
      <c r="BT409" s="551">
        <v>3865757.8355774307</v>
      </c>
      <c r="BU409" s="551">
        <v>161161.74832347219</v>
      </c>
      <c r="BV409" s="551">
        <v>566760.27627056011</v>
      </c>
      <c r="BW409" s="551">
        <v>6033.6579108168435</v>
      </c>
      <c r="BX409" s="551">
        <v>72744.195344519714</v>
      </c>
      <c r="BY409" s="551">
        <v>10666952.730794229</v>
      </c>
      <c r="BZ409" s="551">
        <v>26942.294572044346</v>
      </c>
      <c r="CA409" s="551">
        <v>7497.1428337689449</v>
      </c>
      <c r="CB409" s="551">
        <v>2.6515731060222128E-31</v>
      </c>
      <c r="CC409" s="551">
        <v>1794.255198494136</v>
      </c>
      <c r="CD409" s="551">
        <v>953555.17258496583</v>
      </c>
      <c r="CE409" s="551">
        <v>263.05646014335196</v>
      </c>
      <c r="CF409" s="551">
        <v>1784.9848895035998</v>
      </c>
      <c r="CG409" s="551">
        <v>8525.831528536286</v>
      </c>
      <c r="CH409" s="551">
        <v>25748.720865289204</v>
      </c>
      <c r="CI409" s="551">
        <v>3157.7153809393658</v>
      </c>
      <c r="CJ409" s="551">
        <v>251.24165292068261</v>
      </c>
      <c r="CK409" s="551">
        <v>137406.30470304366</v>
      </c>
      <c r="CL409" s="551"/>
      <c r="CM409" s="551">
        <v>51.434024445927072</v>
      </c>
      <c r="CN409" s="551">
        <v>1025.5014033625166</v>
      </c>
      <c r="CO409" s="551">
        <v>2.715346377081064</v>
      </c>
      <c r="CP409" s="551">
        <v>3776.9477632006578</v>
      </c>
      <c r="CQ409" s="551"/>
      <c r="CR409" s="551">
        <v>1.7563996530017127</v>
      </c>
      <c r="CS409" s="551">
        <v>41.481322886659484</v>
      </c>
      <c r="CT409" s="551">
        <v>3.6485675644832707</v>
      </c>
      <c r="CU409" s="551">
        <v>643.47836783090872</v>
      </c>
      <c r="CV409" s="551"/>
      <c r="CW409" s="551">
        <v>0.17544132979265351</v>
      </c>
      <c r="CX409" s="551">
        <v>3.8299025067858361</v>
      </c>
      <c r="CY409" s="554"/>
    </row>
    <row r="410" spans="65:103" ht="12.75" customHeight="1" x14ac:dyDescent="0.3">
      <c r="BM410" s="562"/>
      <c r="BN410" s="591">
        <v>397</v>
      </c>
      <c r="BO410" s="549" t="s">
        <v>2840</v>
      </c>
      <c r="BP410" s="554" t="s">
        <v>620</v>
      </c>
      <c r="BQ410" s="553" t="s">
        <v>2408</v>
      </c>
      <c r="BR410" s="551">
        <v>38965.785729295058</v>
      </c>
      <c r="BS410" s="551"/>
      <c r="BT410" s="551">
        <v>1178047.2287619673</v>
      </c>
      <c r="BU410" s="551">
        <v>42831.47839547084</v>
      </c>
      <c r="BV410" s="551">
        <v>153176.9502011874</v>
      </c>
      <c r="BW410" s="551">
        <v>1384.3902272993216</v>
      </c>
      <c r="BX410" s="551">
        <v>12620.299757388038</v>
      </c>
      <c r="BY410" s="551">
        <v>3749987.7098527355</v>
      </c>
      <c r="BZ410" s="551">
        <v>4674.1850953289013</v>
      </c>
      <c r="CA410" s="551">
        <v>11533.858385198506</v>
      </c>
      <c r="CB410" s="551">
        <v>2.5569948336977026E-31</v>
      </c>
      <c r="CC410" s="551">
        <v>629.41959562659383</v>
      </c>
      <c r="CD410" s="551">
        <v>178898.35269247615</v>
      </c>
      <c r="CE410" s="551">
        <v>81.841009172669715</v>
      </c>
      <c r="CF410" s="551">
        <v>289.11578636239688</v>
      </c>
      <c r="CG410" s="551">
        <v>1713.7323282502723</v>
      </c>
      <c r="CH410" s="551">
        <v>5934.0407871540347</v>
      </c>
      <c r="CI410" s="551">
        <v>634.71567712973035</v>
      </c>
      <c r="CJ410" s="551">
        <v>508.73780343569791</v>
      </c>
      <c r="CK410" s="551">
        <v>16460.023559295736</v>
      </c>
      <c r="CL410" s="551"/>
      <c r="CM410" s="551">
        <v>5.2801030765294561</v>
      </c>
      <c r="CN410" s="551">
        <v>271.31014942327329</v>
      </c>
      <c r="CO410" s="551">
        <v>7.222237942509361</v>
      </c>
      <c r="CP410" s="551">
        <v>416.41764530638471</v>
      </c>
      <c r="CQ410" s="551"/>
      <c r="CR410" s="551">
        <v>0.18815590806606336</v>
      </c>
      <c r="CS410" s="551">
        <v>13.128328454897426</v>
      </c>
      <c r="CT410" s="551">
        <v>9.8434684356703777</v>
      </c>
      <c r="CU410" s="551">
        <v>58.765806496851276</v>
      </c>
      <c r="CV410" s="551"/>
      <c r="CW410" s="551">
        <v>1.2059158177140518E-2</v>
      </c>
      <c r="CX410" s="551">
        <v>1.4379816529820073</v>
      </c>
      <c r="CY410" s="554"/>
    </row>
    <row r="411" spans="65:103" ht="12.75" customHeight="1" x14ac:dyDescent="0.3">
      <c r="BM411" s="562"/>
      <c r="BN411" s="591">
        <v>398</v>
      </c>
      <c r="BO411" s="549" t="s">
        <v>2632</v>
      </c>
      <c r="BP411" s="554" t="s">
        <v>620</v>
      </c>
      <c r="BQ411" s="553" t="s">
        <v>2408</v>
      </c>
      <c r="BR411" s="551">
        <v>323434.21034193167</v>
      </c>
      <c r="BS411" s="551"/>
      <c r="BT411" s="551">
        <v>1171069.5760917892</v>
      </c>
      <c r="BU411" s="551">
        <v>41985.39667719516</v>
      </c>
      <c r="BV411" s="551">
        <v>199372.81943729953</v>
      </c>
      <c r="BW411" s="551">
        <v>1872.6815433993102</v>
      </c>
      <c r="BX411" s="551">
        <v>7739.0393842092262</v>
      </c>
      <c r="BY411" s="551">
        <v>26219290.749020066</v>
      </c>
      <c r="BZ411" s="551">
        <v>2866.3108830404522</v>
      </c>
      <c r="CA411" s="551">
        <v>562108.48953814525</v>
      </c>
      <c r="CB411" s="551">
        <v>2.8520806937532606E-30</v>
      </c>
      <c r="CC411" s="551">
        <v>3389.3792773733549</v>
      </c>
      <c r="CD411" s="551">
        <v>1578224.284166378</v>
      </c>
      <c r="CE411" s="551">
        <v>577.0366820795258</v>
      </c>
      <c r="CF411" s="551">
        <v>3519.6898471942804</v>
      </c>
      <c r="CG411" s="551">
        <v>7855.7442413635008</v>
      </c>
      <c r="CH411" s="551">
        <v>47710.192243503589</v>
      </c>
      <c r="CI411" s="551">
        <v>2909.5349042087037</v>
      </c>
      <c r="CJ411" s="551">
        <v>159761.51458551944</v>
      </c>
      <c r="CK411" s="551">
        <v>1025278.9638236394</v>
      </c>
      <c r="CL411" s="551"/>
      <c r="CM411" s="551">
        <v>460.03386550659638</v>
      </c>
      <c r="CN411" s="551">
        <v>8013.8833344690429</v>
      </c>
      <c r="CO411" s="551">
        <v>13507.006685684129</v>
      </c>
      <c r="CP411" s="551">
        <v>596296.40696608508</v>
      </c>
      <c r="CQ411" s="551"/>
      <c r="CR411" s="551">
        <v>294.76743905769001</v>
      </c>
      <c r="CS411" s="551">
        <v>2146.9650472635381</v>
      </c>
      <c r="CT411" s="551">
        <v>23044.081920054687</v>
      </c>
      <c r="CU411" s="551">
        <v>34801.001769562026</v>
      </c>
      <c r="CV411" s="551"/>
      <c r="CW411" s="551">
        <v>13.298356284081949</v>
      </c>
      <c r="CX411" s="551">
        <v>337.63728463520857</v>
      </c>
      <c r="CY411" s="554"/>
    </row>
    <row r="412" spans="65:103" ht="12.75" customHeight="1" x14ac:dyDescent="0.3">
      <c r="BM412" s="562"/>
      <c r="BN412" s="591">
        <v>399</v>
      </c>
      <c r="BO412" s="549" t="s">
        <v>2535</v>
      </c>
      <c r="BP412" s="554" t="s">
        <v>620</v>
      </c>
      <c r="BQ412" s="553" t="s">
        <v>2408</v>
      </c>
      <c r="BR412" s="551">
        <v>114806.04558389939</v>
      </c>
      <c r="BS412" s="551"/>
      <c r="BT412" s="551">
        <v>4960202.710385805</v>
      </c>
      <c r="BU412" s="551">
        <v>209217.23646361037</v>
      </c>
      <c r="BV412" s="551">
        <v>799307.35858808132</v>
      </c>
      <c r="BW412" s="551">
        <v>8525.2735482785702</v>
      </c>
      <c r="BX412" s="551">
        <v>553432.99970450113</v>
      </c>
      <c r="BY412" s="551">
        <v>14230143.550482603</v>
      </c>
      <c r="BZ412" s="551">
        <v>204975.18507574109</v>
      </c>
      <c r="CA412" s="551">
        <v>132015.3899197781</v>
      </c>
      <c r="CB412" s="551">
        <v>6.0522751717700123E-30</v>
      </c>
      <c r="CC412" s="551">
        <v>49673.472376247882</v>
      </c>
      <c r="CD412" s="551">
        <v>2554144.3903983496</v>
      </c>
      <c r="CE412" s="551">
        <v>8004.586569380047</v>
      </c>
      <c r="CF412" s="551">
        <v>5203.868471356679</v>
      </c>
      <c r="CG412" s="551">
        <v>330140.43873172667</v>
      </c>
      <c r="CH412" s="551">
        <v>873278.04411882267</v>
      </c>
      <c r="CI412" s="551">
        <v>122274.23656730616</v>
      </c>
      <c r="CJ412" s="551">
        <v>24076.494202985443</v>
      </c>
      <c r="CK412" s="551">
        <v>658234.36780112877</v>
      </c>
      <c r="CL412" s="551"/>
      <c r="CM412" s="551">
        <v>268.17302330339817</v>
      </c>
      <c r="CN412" s="551">
        <v>216108.1103664776</v>
      </c>
      <c r="CO412" s="551">
        <v>1221.3592449772273</v>
      </c>
      <c r="CP412" s="551">
        <v>106012.16965943576</v>
      </c>
      <c r="CQ412" s="551"/>
      <c r="CR412" s="551">
        <v>54.40572623240503</v>
      </c>
      <c r="CS412" s="551">
        <v>44724.219764297428</v>
      </c>
      <c r="CT412" s="551">
        <v>2051.2781814176051</v>
      </c>
      <c r="CU412" s="551">
        <v>16965.579882159236</v>
      </c>
      <c r="CV412" s="551"/>
      <c r="CW412" s="551">
        <v>4.9580380806818942</v>
      </c>
      <c r="CX412" s="551">
        <v>4509.7483054244976</v>
      </c>
      <c r="CY412" s="554"/>
    </row>
    <row r="413" spans="65:103" ht="12.75" customHeight="1" x14ac:dyDescent="0.3">
      <c r="BM413" s="562"/>
      <c r="BN413" s="591">
        <v>400</v>
      </c>
      <c r="BO413" s="549" t="s">
        <v>2650</v>
      </c>
      <c r="BP413" s="554" t="s">
        <v>620</v>
      </c>
      <c r="BQ413" s="553" t="s">
        <v>2408</v>
      </c>
      <c r="BR413" s="551">
        <v>35804.389609587561</v>
      </c>
      <c r="BS413" s="551"/>
      <c r="BT413" s="551">
        <v>4004919.5109421737</v>
      </c>
      <c r="BU413" s="551">
        <v>183916.87824541098</v>
      </c>
      <c r="BV413" s="551">
        <v>786067.41340685391</v>
      </c>
      <c r="BW413" s="551">
        <v>9372.0595295207859</v>
      </c>
      <c r="BX413" s="551">
        <v>1250594.3672952461</v>
      </c>
      <c r="BY413" s="551">
        <v>15897513.61310352</v>
      </c>
      <c r="BZ413" s="551">
        <v>463183.09899823932</v>
      </c>
      <c r="CA413" s="551">
        <v>37977.8852407464</v>
      </c>
      <c r="CB413" s="551">
        <v>2.3387960397139923E-30</v>
      </c>
      <c r="CC413" s="551">
        <v>81393.418308943204</v>
      </c>
      <c r="CD413" s="551">
        <v>3316535.3392317221</v>
      </c>
      <c r="CE413" s="551">
        <v>15975.530500337411</v>
      </c>
      <c r="CF413" s="551">
        <v>8450.2213520511086</v>
      </c>
      <c r="CG413" s="551">
        <v>687399.89671192493</v>
      </c>
      <c r="CH413" s="551">
        <v>1826421.592327015</v>
      </c>
      <c r="CI413" s="551">
        <v>254592.55433774993</v>
      </c>
      <c r="CJ413" s="551">
        <v>6273.104139712932</v>
      </c>
      <c r="CK413" s="551">
        <v>1418114.6254975756</v>
      </c>
      <c r="CL413" s="551"/>
      <c r="CM413" s="551">
        <v>726.95196800785925</v>
      </c>
      <c r="CN413" s="551">
        <v>407534.92919955356</v>
      </c>
      <c r="CO413" s="551">
        <v>0.43716512074992891</v>
      </c>
      <c r="CP413" s="551">
        <v>163219.40436678924</v>
      </c>
      <c r="CQ413" s="551"/>
      <c r="CR413" s="551">
        <v>93.080312921079994</v>
      </c>
      <c r="CS413" s="551">
        <v>68980.096528227717</v>
      </c>
      <c r="CT413" s="551">
        <v>299.84591561472052</v>
      </c>
      <c r="CU413" s="551">
        <v>29458.944010503896</v>
      </c>
      <c r="CV413" s="551"/>
      <c r="CW413" s="551">
        <v>12.681943571864728</v>
      </c>
      <c r="CX413" s="551">
        <v>9272.3699201952604</v>
      </c>
      <c r="CY413" s="554"/>
    </row>
    <row r="414" spans="65:103" ht="12.75" customHeight="1" x14ac:dyDescent="0.3">
      <c r="BM414" s="562"/>
      <c r="BN414" s="591">
        <v>401</v>
      </c>
      <c r="BO414" s="549" t="s">
        <v>2478</v>
      </c>
      <c r="BP414" s="554" t="s">
        <v>620</v>
      </c>
      <c r="BQ414" s="553" t="s">
        <v>2408</v>
      </c>
      <c r="BR414" s="551">
        <v>2696.2841832229965</v>
      </c>
      <c r="BS414" s="551"/>
      <c r="BT414" s="551">
        <v>12253929.047197163</v>
      </c>
      <c r="BU414" s="551">
        <v>591128.97322677064</v>
      </c>
      <c r="BV414" s="551">
        <v>2785797.5338278655</v>
      </c>
      <c r="BW414" s="551">
        <v>35589.358278042506</v>
      </c>
      <c r="BX414" s="551">
        <v>878787.75772661006</v>
      </c>
      <c r="BY414" s="551">
        <v>5559650.3800069485</v>
      </c>
      <c r="BZ414" s="551">
        <v>325476.94730615191</v>
      </c>
      <c r="CA414" s="551">
        <v>68.761316399699282</v>
      </c>
      <c r="CB414" s="551">
        <v>2.1025591071436311E-31</v>
      </c>
      <c r="CC414" s="551">
        <v>5913.9759239046653</v>
      </c>
      <c r="CD414" s="551">
        <v>16935978.506144218</v>
      </c>
      <c r="CE414" s="551">
        <v>1344.4781245652257</v>
      </c>
      <c r="CF414" s="551">
        <v>50982.157375423456</v>
      </c>
      <c r="CG414" s="551">
        <v>11613.442376988512</v>
      </c>
      <c r="CH414" s="551">
        <v>26585.442343727067</v>
      </c>
      <c r="CI414" s="551">
        <v>4301.2749544401904</v>
      </c>
      <c r="CJ414" s="551">
        <v>0.26367842067164349</v>
      </c>
      <c r="CK414" s="551">
        <v>24253679.096566144</v>
      </c>
      <c r="CL414" s="551"/>
      <c r="CM414" s="551">
        <v>14736.953854889089</v>
      </c>
      <c r="CN414" s="551">
        <v>159.84351863869949</v>
      </c>
      <c r="CO414" s="551">
        <v>1.7527401802736986E-3</v>
      </c>
      <c r="CP414" s="551">
        <v>5335558.9549467126</v>
      </c>
      <c r="CQ414" s="551"/>
      <c r="CR414" s="551">
        <v>3323.0513331341767</v>
      </c>
      <c r="CS414" s="551">
        <v>1.3797808814898929</v>
      </c>
      <c r="CT414" s="551">
        <v>7.9446947171887394E-4</v>
      </c>
      <c r="CU414" s="551">
        <v>1295217.0569058608</v>
      </c>
      <c r="CV414" s="551"/>
      <c r="CW414" s="551">
        <v>752.59876081773552</v>
      </c>
      <c r="CX414" s="551">
        <v>0.1675633196920624</v>
      </c>
      <c r="CY414" s="554"/>
    </row>
    <row r="415" spans="65:103" ht="12.75" customHeight="1" x14ac:dyDescent="0.3">
      <c r="BM415" s="562"/>
      <c r="BN415" s="591">
        <v>402</v>
      </c>
      <c r="BO415" s="549" t="s">
        <v>2513</v>
      </c>
      <c r="BP415" s="554" t="s">
        <v>620</v>
      </c>
      <c r="BQ415" s="553" t="s">
        <v>2408</v>
      </c>
      <c r="BR415" s="551">
        <v>73690.833321751619</v>
      </c>
      <c r="BS415" s="551"/>
      <c r="BT415" s="551">
        <v>1468428.6074837274</v>
      </c>
      <c r="BU415" s="551">
        <v>50699.296670653064</v>
      </c>
      <c r="BV415" s="551">
        <v>291898.60895273107</v>
      </c>
      <c r="BW415" s="551">
        <v>2493.5735105740614</v>
      </c>
      <c r="BX415" s="551">
        <v>5748.097096195218</v>
      </c>
      <c r="BY415" s="551">
        <v>13299126.428493688</v>
      </c>
      <c r="BZ415" s="551">
        <v>2128.9248504426723</v>
      </c>
      <c r="CA415" s="551">
        <v>12776.068517356389</v>
      </c>
      <c r="CB415" s="551">
        <v>1.534321621868847E-31</v>
      </c>
      <c r="CC415" s="551">
        <v>193.90788665887712</v>
      </c>
      <c r="CD415" s="551">
        <v>295705.7427102605</v>
      </c>
      <c r="CE415" s="551">
        <v>38.545586821330922</v>
      </c>
      <c r="CF415" s="551">
        <v>727.19352670404248</v>
      </c>
      <c r="CG415" s="551">
        <v>523.57034564960964</v>
      </c>
      <c r="CH415" s="551">
        <v>2338.8927655897583</v>
      </c>
      <c r="CI415" s="551">
        <v>193.91494283318869</v>
      </c>
      <c r="CJ415" s="551">
        <v>328.33284046660822</v>
      </c>
      <c r="CK415" s="551">
        <v>42270.313778304371</v>
      </c>
      <c r="CL415" s="551"/>
      <c r="CM415" s="551">
        <v>20.786227085459725</v>
      </c>
      <c r="CN415" s="551">
        <v>48.294290224985247</v>
      </c>
      <c r="CO415" s="551">
        <v>2.7447480895115577</v>
      </c>
      <c r="CP415" s="551">
        <v>1166.9471084508498</v>
      </c>
      <c r="CQ415" s="551"/>
      <c r="CR415" s="551">
        <v>0.74683696651037823</v>
      </c>
      <c r="CS415" s="551">
        <v>1.3045289571871994</v>
      </c>
      <c r="CT415" s="551">
        <v>3.6586742639669341</v>
      </c>
      <c r="CU415" s="551">
        <v>194.70580650049004</v>
      </c>
      <c r="CV415" s="551"/>
      <c r="CW415" s="551">
        <v>6.6357901495388338E-2</v>
      </c>
      <c r="CX415" s="551">
        <v>0.15379870247476241</v>
      </c>
      <c r="CY415" s="554"/>
    </row>
    <row r="416" spans="65:103" ht="12.75" customHeight="1" x14ac:dyDescent="0.3">
      <c r="BM416" s="562"/>
      <c r="BN416" s="591">
        <v>403</v>
      </c>
      <c r="BO416" s="549" t="s">
        <v>2506</v>
      </c>
      <c r="BP416" s="554" t="s">
        <v>620</v>
      </c>
      <c r="BQ416" s="553" t="s">
        <v>2408</v>
      </c>
      <c r="BR416" s="551">
        <v>586310.6426255441</v>
      </c>
      <c r="BS416" s="551"/>
      <c r="BT416" s="551">
        <v>1353044.4789122664</v>
      </c>
      <c r="BU416" s="551">
        <v>45933.677308547391</v>
      </c>
      <c r="BV416" s="551">
        <v>332928.64935412456</v>
      </c>
      <c r="BW416" s="551">
        <v>2895.9311886500263</v>
      </c>
      <c r="BX416" s="551">
        <v>4304.3850025208067</v>
      </c>
      <c r="BY416" s="551">
        <v>37089894.434562877</v>
      </c>
      <c r="BZ416" s="551">
        <v>1594.2166676002989</v>
      </c>
      <c r="CA416" s="551">
        <v>1911083.3483791486</v>
      </c>
      <c r="CB416" s="551">
        <v>2.7202464306769281E-30</v>
      </c>
      <c r="CC416" s="551">
        <v>2679.0978419779785</v>
      </c>
      <c r="CD416" s="551">
        <v>1514792.370597196</v>
      </c>
      <c r="CE416" s="551">
        <v>659.21589416951713</v>
      </c>
      <c r="CF416" s="551">
        <v>4775.0743325804224</v>
      </c>
      <c r="CG416" s="551">
        <v>8421.240686303332</v>
      </c>
      <c r="CH416" s="551">
        <v>51133.673793248956</v>
      </c>
      <c r="CI416" s="551">
        <v>3118.9780319641964</v>
      </c>
      <c r="CJ416" s="551">
        <v>1204100.7375716073</v>
      </c>
      <c r="CK416" s="551">
        <v>1592250.9654590427</v>
      </c>
      <c r="CL416" s="551"/>
      <c r="CM416" s="551">
        <v>1009.8276721917531</v>
      </c>
      <c r="CN416" s="551">
        <v>19044.208580402483</v>
      </c>
      <c r="CO416" s="551">
        <v>228605.66546753142</v>
      </c>
      <c r="CP416" s="551">
        <v>3123744.3390900884</v>
      </c>
      <c r="CQ416" s="551"/>
      <c r="CR416" s="551">
        <v>2241.4735766304502</v>
      </c>
      <c r="CS416" s="551">
        <v>11364.861069909628</v>
      </c>
      <c r="CT416" s="551">
        <v>434233.32380949805</v>
      </c>
      <c r="CU416" s="551">
        <v>134358.51521916263</v>
      </c>
      <c r="CV416" s="551"/>
      <c r="CW416" s="551">
        <v>69.894821938426958</v>
      </c>
      <c r="CX416" s="551">
        <v>2012.4837015281248</v>
      </c>
      <c r="CY416" s="554"/>
    </row>
    <row r="417" spans="65:103" ht="12.75" customHeight="1" x14ac:dyDescent="0.3">
      <c r="BM417" s="562"/>
      <c r="BN417" s="591">
        <v>404</v>
      </c>
      <c r="BO417" s="549" t="s">
        <v>2718</v>
      </c>
      <c r="BP417" s="554" t="s">
        <v>620</v>
      </c>
      <c r="BQ417" s="553" t="s">
        <v>2408</v>
      </c>
      <c r="BR417" s="551">
        <v>122962.33908091455</v>
      </c>
      <c r="BS417" s="551"/>
      <c r="BT417" s="551">
        <v>1502956.2898709346</v>
      </c>
      <c r="BU417" s="551">
        <v>46397.597776852665</v>
      </c>
      <c r="BV417" s="551">
        <v>335332.15639614471</v>
      </c>
      <c r="BW417" s="551">
        <v>2531.2065400013626</v>
      </c>
      <c r="BX417" s="551">
        <v>30.560778816399932</v>
      </c>
      <c r="BY417" s="551">
        <v>19957334.613871627</v>
      </c>
      <c r="BZ417" s="551">
        <v>11.318806969037007</v>
      </c>
      <c r="CA417" s="551">
        <v>22569.408286121525</v>
      </c>
      <c r="CB417" s="551">
        <v>1.2232280398473336E-33</v>
      </c>
      <c r="CC417" s="551">
        <v>1.0203263216312861</v>
      </c>
      <c r="CD417" s="551">
        <v>231326.06750773452</v>
      </c>
      <c r="CE417" s="551">
        <v>0.22765015055078369</v>
      </c>
      <c r="CF417" s="551">
        <v>630.99608924202948</v>
      </c>
      <c r="CG417" s="551">
        <v>2.9496312846521451</v>
      </c>
      <c r="CH417" s="551">
        <v>13.526223568665522</v>
      </c>
      <c r="CI417" s="551">
        <v>1.0924560313526459</v>
      </c>
      <c r="CJ417" s="551">
        <v>614.02126347999649</v>
      </c>
      <c r="CK417" s="551">
        <v>31964.906797253123</v>
      </c>
      <c r="CL417" s="551"/>
      <c r="CM417" s="551">
        <v>17.435046971898664</v>
      </c>
      <c r="CN417" s="551">
        <v>0.28802794384333957</v>
      </c>
      <c r="CO417" s="551">
        <v>5.5880605292023331</v>
      </c>
      <c r="CP417" s="551">
        <v>758.48884164854155</v>
      </c>
      <c r="CQ417" s="551"/>
      <c r="CR417" s="551">
        <v>0.54875846352577262</v>
      </c>
      <c r="CS417" s="551">
        <v>8.3596383898037457E-3</v>
      </c>
      <c r="CT417" s="551">
        <v>7.2314283411933928</v>
      </c>
      <c r="CU417" s="551">
        <v>143.87583873907562</v>
      </c>
      <c r="CV417" s="551"/>
      <c r="CW417" s="551">
        <v>5.3366591965274886E-2</v>
      </c>
      <c r="CX417" s="551">
        <v>9.8267411226041191E-4</v>
      </c>
      <c r="CY417" s="554"/>
    </row>
    <row r="418" spans="65:103" ht="12.75" customHeight="1" x14ac:dyDescent="0.3">
      <c r="BM418" s="562"/>
      <c r="BN418" s="591">
        <v>405</v>
      </c>
      <c r="BO418" s="549" t="s">
        <v>2748</v>
      </c>
      <c r="BP418" s="554" t="s">
        <v>620</v>
      </c>
      <c r="BQ418" s="553" t="s">
        <v>2408</v>
      </c>
      <c r="BR418" s="551">
        <v>21483.380798404185</v>
      </c>
      <c r="BS418" s="551"/>
      <c r="BT418" s="551">
        <v>4193805.1903231945</v>
      </c>
      <c r="BU418" s="551">
        <v>170150.38633684965</v>
      </c>
      <c r="BV418" s="551">
        <v>972547.0132051371</v>
      </c>
      <c r="BW418" s="551">
        <v>9610.3473048762953</v>
      </c>
      <c r="BX418" s="551">
        <v>23598.885866211618</v>
      </c>
      <c r="BY418" s="551">
        <v>15385999.814462271</v>
      </c>
      <c r="BZ418" s="551">
        <v>8740.3280985968922</v>
      </c>
      <c r="CA418" s="551">
        <v>1470.7660629691786</v>
      </c>
      <c r="CB418" s="551">
        <v>5.0194034572915566E-32</v>
      </c>
      <c r="CC418" s="551">
        <v>206.18834483636243</v>
      </c>
      <c r="CD418" s="551">
        <v>946077.33358354308</v>
      </c>
      <c r="CE418" s="551">
        <v>47.815253648646845</v>
      </c>
      <c r="CF418" s="551">
        <v>2671.7928618185169</v>
      </c>
      <c r="CG418" s="551">
        <v>844.01892609288382</v>
      </c>
      <c r="CH418" s="551">
        <v>2850.0021472195499</v>
      </c>
      <c r="CI418" s="551">
        <v>312.59960225662354</v>
      </c>
      <c r="CJ418" s="551">
        <v>15.19358531622305</v>
      </c>
      <c r="CK418" s="551">
        <v>133890.54520851487</v>
      </c>
      <c r="CL418" s="551"/>
      <c r="CM418" s="551">
        <v>75.608878611635603</v>
      </c>
      <c r="CN418" s="551">
        <v>31.294823698935396</v>
      </c>
      <c r="CO418" s="551">
        <v>5.4452100257126546E-2</v>
      </c>
      <c r="CP418" s="551">
        <v>3531.905708969226</v>
      </c>
      <c r="CQ418" s="551"/>
      <c r="CR418" s="551">
        <v>2.6627966072245135</v>
      </c>
      <c r="CS418" s="551">
        <v>0.38941945397349426</v>
      </c>
      <c r="CT418" s="551">
        <v>6.9094091976186947E-2</v>
      </c>
      <c r="CU418" s="551">
        <v>608.16998399581382</v>
      </c>
      <c r="CV418" s="551"/>
      <c r="CW418" s="551">
        <v>0.23207538126694593</v>
      </c>
      <c r="CX418" s="551">
        <v>3.8166164137574177E-2</v>
      </c>
      <c r="CY418" s="554"/>
    </row>
    <row r="419" spans="65:103" ht="12.75" customHeight="1" x14ac:dyDescent="0.3">
      <c r="BM419" s="562"/>
      <c r="BN419" s="591">
        <v>406</v>
      </c>
      <c r="BO419" s="549" t="s">
        <v>2537</v>
      </c>
      <c r="BP419" s="554" t="s">
        <v>620</v>
      </c>
      <c r="BQ419" s="553" t="s">
        <v>2408</v>
      </c>
      <c r="BR419" s="551">
        <v>103934.22004847026</v>
      </c>
      <c r="BS419" s="551"/>
      <c r="BT419" s="551">
        <v>1483702.114126818</v>
      </c>
      <c r="BU419" s="551">
        <v>53766.540360364095</v>
      </c>
      <c r="BV419" s="551">
        <v>404910.62462933379</v>
      </c>
      <c r="BW419" s="551">
        <v>3739.2376963320316</v>
      </c>
      <c r="BX419" s="551">
        <v>6965.6009287834313</v>
      </c>
      <c r="BY419" s="551">
        <v>32043155.273707002</v>
      </c>
      <c r="BZ419" s="551">
        <v>2579.8521958457136</v>
      </c>
      <c r="CA419" s="551">
        <v>25537.587402287532</v>
      </c>
      <c r="CB419" s="551">
        <v>2.3312592286356235E-31</v>
      </c>
      <c r="CC419" s="551">
        <v>297.11975187243195</v>
      </c>
      <c r="CD419" s="551">
        <v>634350.93072450464</v>
      </c>
      <c r="CE419" s="551">
        <v>81.085645949343146</v>
      </c>
      <c r="CF419" s="551">
        <v>2205.8225217490208</v>
      </c>
      <c r="CG419" s="551">
        <v>1031.2634124541535</v>
      </c>
      <c r="CH419" s="551">
        <v>6154.4252998897855</v>
      </c>
      <c r="CI419" s="551">
        <v>381.94941202005691</v>
      </c>
      <c r="CJ419" s="551">
        <v>943.43191949827337</v>
      </c>
      <c r="CK419" s="551">
        <v>214861.25616146519</v>
      </c>
      <c r="CL419" s="551"/>
      <c r="CM419" s="551">
        <v>150.316490642253</v>
      </c>
      <c r="CN419" s="551">
        <v>136.74264152595967</v>
      </c>
      <c r="CO419" s="551">
        <v>11.847978008405113</v>
      </c>
      <c r="CP419" s="551">
        <v>12771.210067783877</v>
      </c>
      <c r="CQ419" s="551"/>
      <c r="CR419" s="551">
        <v>10.193318981384376</v>
      </c>
      <c r="CS419" s="551">
        <v>5.4050478106772424</v>
      </c>
      <c r="CT419" s="551">
        <v>15.188019709736373</v>
      </c>
      <c r="CU419" s="551">
        <v>2415.3754359314539</v>
      </c>
      <c r="CV419" s="551"/>
      <c r="CW419" s="551">
        <v>1.3705178477954656</v>
      </c>
      <c r="CX419" s="551">
        <v>0.64376706789349603</v>
      </c>
      <c r="CY419" s="554"/>
    </row>
    <row r="420" spans="65:103" ht="12.75" customHeight="1" x14ac:dyDescent="0.3">
      <c r="BM420" s="562"/>
      <c r="BN420" s="591">
        <v>407</v>
      </c>
      <c r="BO420" s="549" t="s">
        <v>2636</v>
      </c>
      <c r="BP420" s="554" t="s">
        <v>620</v>
      </c>
      <c r="BQ420" s="553" t="s">
        <v>2408</v>
      </c>
      <c r="BR420" s="551">
        <v>255344.18793958789</v>
      </c>
      <c r="BS420" s="551"/>
      <c r="BT420" s="551">
        <v>2617312.0025723083</v>
      </c>
      <c r="BU420" s="551">
        <v>103055.86999142318</v>
      </c>
      <c r="BV420" s="551">
        <v>606956.89361085719</v>
      </c>
      <c r="BW420" s="551">
        <v>5820.7490664349052</v>
      </c>
      <c r="BX420" s="551">
        <v>114528.30818746942</v>
      </c>
      <c r="BY420" s="551">
        <v>13794311.605616363</v>
      </c>
      <c r="BZ420" s="551">
        <v>42417.891921284958</v>
      </c>
      <c r="CA420" s="551">
        <v>296614.62720204628</v>
      </c>
      <c r="CB420" s="551">
        <v>7.984251101478451E-30</v>
      </c>
      <c r="CC420" s="551">
        <v>20106.041313827493</v>
      </c>
      <c r="CD420" s="551">
        <v>2334409.1329331924</v>
      </c>
      <c r="CE420" s="551">
        <v>4662.6081898751927</v>
      </c>
      <c r="CF420" s="551">
        <v>6592.5452777842011</v>
      </c>
      <c r="CG420" s="551">
        <v>69756.005755454578</v>
      </c>
      <c r="CH420" s="551">
        <v>275932.83372302784</v>
      </c>
      <c r="CI420" s="551">
        <v>25835.557687205397</v>
      </c>
      <c r="CJ420" s="551">
        <v>54129.970266430326</v>
      </c>
      <c r="CK420" s="551">
        <v>710635.43321654189</v>
      </c>
      <c r="CL420" s="551"/>
      <c r="CM420" s="551">
        <v>401.30054085237663</v>
      </c>
      <c r="CN420" s="551">
        <v>45690.981231291269</v>
      </c>
      <c r="CO420" s="551">
        <v>2869.9931004091254</v>
      </c>
      <c r="CP420" s="551">
        <v>155068.86083087529</v>
      </c>
      <c r="CQ420" s="551"/>
      <c r="CR420" s="551">
        <v>116.91049267199527</v>
      </c>
      <c r="CS420" s="551">
        <v>8018.5685370514348</v>
      </c>
      <c r="CT420" s="551">
        <v>4710.1408874033914</v>
      </c>
      <c r="CU420" s="551">
        <v>18284.428563072412</v>
      </c>
      <c r="CV420" s="551"/>
      <c r="CW420" s="551">
        <v>6.9772692531503031</v>
      </c>
      <c r="CX420" s="551">
        <v>1108.7412305299499</v>
      </c>
      <c r="CY420" s="554"/>
    </row>
    <row r="421" spans="65:103" ht="12.75" customHeight="1" x14ac:dyDescent="0.3">
      <c r="BM421" s="562"/>
      <c r="BN421" s="591">
        <v>408</v>
      </c>
      <c r="BO421" s="549" t="s">
        <v>2784</v>
      </c>
      <c r="BP421" s="554" t="s">
        <v>620</v>
      </c>
      <c r="BQ421" s="553" t="s">
        <v>2408</v>
      </c>
      <c r="BR421" s="551">
        <v>162190.6214066695</v>
      </c>
      <c r="BS421" s="551"/>
      <c r="BT421" s="551">
        <v>1210982.6201389879</v>
      </c>
      <c r="BU421" s="551">
        <v>38586.679416472929</v>
      </c>
      <c r="BV421" s="551">
        <v>291903.8585163746</v>
      </c>
      <c r="BW421" s="551">
        <v>2256.5915595357815</v>
      </c>
      <c r="BX421" s="551">
        <v>1399.2445255581661</v>
      </c>
      <c r="BY421" s="551">
        <v>14580191.194913086</v>
      </c>
      <c r="BZ421" s="551">
        <v>518.23871316969098</v>
      </c>
      <c r="CA421" s="551">
        <v>61546.13457572327</v>
      </c>
      <c r="CB421" s="551">
        <v>9.6767871773570704E-32</v>
      </c>
      <c r="CC421" s="551">
        <v>89.5751331724788</v>
      </c>
      <c r="CD421" s="551">
        <v>214481.51918377919</v>
      </c>
      <c r="CE421" s="551">
        <v>21.591826806865036</v>
      </c>
      <c r="CF421" s="551">
        <v>627.15578690078485</v>
      </c>
      <c r="CG421" s="551">
        <v>279.23732264309615</v>
      </c>
      <c r="CH421" s="551">
        <v>1275.4678368746204</v>
      </c>
      <c r="CI421" s="551">
        <v>103.42123060855411</v>
      </c>
      <c r="CJ421" s="551">
        <v>3494.5725842308007</v>
      </c>
      <c r="CK421" s="551">
        <v>31128.346227320071</v>
      </c>
      <c r="CL421" s="551"/>
      <c r="CM421" s="551">
        <v>18.200673765202076</v>
      </c>
      <c r="CN421" s="551">
        <v>56.907617527419227</v>
      </c>
      <c r="CO421" s="551">
        <v>65.168325759298995</v>
      </c>
      <c r="CP421" s="551">
        <v>1203.6729673565901</v>
      </c>
      <c r="CQ421" s="551"/>
      <c r="CR421" s="551">
        <v>0.94581192078256215</v>
      </c>
      <c r="CS421" s="551">
        <v>3.4016908031187647</v>
      </c>
      <c r="CT421" s="551">
        <v>87.687259463641993</v>
      </c>
      <c r="CU421" s="551">
        <v>150.854332051879</v>
      </c>
      <c r="CV421" s="551"/>
      <c r="CW421" s="551">
        <v>5.9227176401304656E-2</v>
      </c>
      <c r="CX421" s="551">
        <v>0.41063264693880724</v>
      </c>
      <c r="CY421" s="554"/>
    </row>
    <row r="422" spans="65:103" ht="12.75" customHeight="1" x14ac:dyDescent="0.3">
      <c r="BM422" s="562"/>
      <c r="BN422" s="591">
        <v>409</v>
      </c>
      <c r="BO422" s="549" t="s">
        <v>2634</v>
      </c>
      <c r="BP422" s="554" t="s">
        <v>620</v>
      </c>
      <c r="BQ422" s="553" t="s">
        <v>2408</v>
      </c>
      <c r="BR422" s="551">
        <v>367650.05101437942</v>
      </c>
      <c r="BS422" s="551"/>
      <c r="BT422" s="551">
        <v>1075069.9909319272</v>
      </c>
      <c r="BU422" s="551">
        <v>42123.661352347932</v>
      </c>
      <c r="BV422" s="551">
        <v>368761.83600657043</v>
      </c>
      <c r="BW422" s="551">
        <v>3798.0922028343716</v>
      </c>
      <c r="BX422" s="551">
        <v>31887.185258196245</v>
      </c>
      <c r="BY422" s="551">
        <v>81192740.357640296</v>
      </c>
      <c r="BZ422" s="551">
        <v>11810.068614146756</v>
      </c>
      <c r="CA422" s="551">
        <v>1925342.8344741031</v>
      </c>
      <c r="CB422" s="551">
        <v>1.3806142419146594E-29</v>
      </c>
      <c r="CC422" s="551">
        <v>20847.225036973457</v>
      </c>
      <c r="CD422" s="551">
        <v>13101793.939659825</v>
      </c>
      <c r="CE422" s="551">
        <v>7150.8469635659767</v>
      </c>
      <c r="CF422" s="551">
        <v>59066.353455278331</v>
      </c>
      <c r="CG422" s="551">
        <v>87447.834903152208</v>
      </c>
      <c r="CH422" s="551">
        <v>695622.08611250517</v>
      </c>
      <c r="CI422" s="551">
        <v>32388.087001167485</v>
      </c>
      <c r="CJ422" s="551">
        <v>2758595.7179939039</v>
      </c>
      <c r="CK422" s="551">
        <v>69447093.316117108</v>
      </c>
      <c r="CL422" s="551"/>
      <c r="CM422" s="551">
        <v>63195.257538194957</v>
      </c>
      <c r="CN422" s="551">
        <v>449710.16215866472</v>
      </c>
      <c r="CO422" s="551">
        <v>686764.15340877383</v>
      </c>
      <c r="CP422" s="551">
        <v>109840020.06478515</v>
      </c>
      <c r="CQ422" s="551"/>
      <c r="CR422" s="551">
        <v>103233.86879533395</v>
      </c>
      <c r="CS422" s="551">
        <v>347605.43584856164</v>
      </c>
      <c r="CT422" s="551">
        <v>2548099.3792478335</v>
      </c>
      <c r="CU422" s="551">
        <v>20387932.760924898</v>
      </c>
      <c r="CV422" s="551"/>
      <c r="CW422" s="551">
        <v>17509.802570504966</v>
      </c>
      <c r="CX422" s="551">
        <v>123404.63882980453</v>
      </c>
      <c r="CY422" s="554"/>
    </row>
    <row r="423" spans="65:103" ht="12.75" customHeight="1" x14ac:dyDescent="0.3">
      <c r="BM423" s="562"/>
      <c r="BN423" s="591">
        <v>410</v>
      </c>
      <c r="BO423" s="549" t="s">
        <v>2768</v>
      </c>
      <c r="BP423" s="554" t="s">
        <v>620</v>
      </c>
      <c r="BQ423" s="553" t="s">
        <v>2408</v>
      </c>
      <c r="BR423" s="551">
        <v>32143.218270620746</v>
      </c>
      <c r="BS423" s="551"/>
      <c r="BT423" s="551">
        <v>1766786.3178049375</v>
      </c>
      <c r="BU423" s="551">
        <v>63809.661799970403</v>
      </c>
      <c r="BV423" s="551">
        <v>487831.4162493539</v>
      </c>
      <c r="BW423" s="551">
        <v>4217.6125761573521</v>
      </c>
      <c r="BX423" s="551">
        <v>6590.8962721997214</v>
      </c>
      <c r="BY423" s="551">
        <v>13356094.318786271</v>
      </c>
      <c r="BZ423" s="551">
        <v>2441.0726934073036</v>
      </c>
      <c r="CA423" s="551">
        <v>2474.8776345275969</v>
      </c>
      <c r="CB423" s="551">
        <v>4.5171415925982434E-32</v>
      </c>
      <c r="CC423" s="551">
        <v>72.061544358698029</v>
      </c>
      <c r="CD423" s="551">
        <v>346526.61524380621</v>
      </c>
      <c r="CE423" s="551">
        <v>19.897078037877638</v>
      </c>
      <c r="CF423" s="551">
        <v>1145.2145092126123</v>
      </c>
      <c r="CG423" s="551">
        <v>266.61257549003597</v>
      </c>
      <c r="CH423" s="551">
        <v>1133.9584174332465</v>
      </c>
      <c r="CI423" s="551">
        <v>98.745398329642924</v>
      </c>
      <c r="CJ423" s="551">
        <v>28.700953166610827</v>
      </c>
      <c r="CK423" s="551">
        <v>48679.53088803697</v>
      </c>
      <c r="CL423" s="551"/>
      <c r="CM423" s="551">
        <v>32.169117263289955</v>
      </c>
      <c r="CN423" s="551">
        <v>11.097543975078697</v>
      </c>
      <c r="CO423" s="551">
        <v>0.11813275454452971</v>
      </c>
      <c r="CP423" s="551">
        <v>1263.5495849183326</v>
      </c>
      <c r="CQ423" s="551"/>
      <c r="CR423" s="551">
        <v>1.148983143214779</v>
      </c>
      <c r="CS423" s="551">
        <v>0.14807884262682644</v>
      </c>
      <c r="CT423" s="551">
        <v>0.14397766098457643</v>
      </c>
      <c r="CU423" s="551">
        <v>220.27990562479263</v>
      </c>
      <c r="CV423" s="551"/>
      <c r="CW423" s="551">
        <v>9.5612322564413474E-2</v>
      </c>
      <c r="CX423" s="551">
        <v>1.5796071954521887E-2</v>
      </c>
      <c r="CY423" s="554"/>
    </row>
    <row r="424" spans="65:103" ht="12.75" customHeight="1" x14ac:dyDescent="0.3">
      <c r="BM424" s="562"/>
      <c r="BN424" s="591">
        <v>411</v>
      </c>
      <c r="BO424" s="549" t="s">
        <v>2790</v>
      </c>
      <c r="BP424" s="554" t="s">
        <v>620</v>
      </c>
      <c r="BQ424" s="553" t="s">
        <v>2408</v>
      </c>
      <c r="BR424" s="551">
        <v>40664.202494079786</v>
      </c>
      <c r="BS424" s="551"/>
      <c r="BT424" s="551">
        <v>790246.7506131602</v>
      </c>
      <c r="BU424" s="551">
        <v>27034.365111485389</v>
      </c>
      <c r="BV424" s="551">
        <v>235866.89188854795</v>
      </c>
      <c r="BW424" s="551">
        <v>1917.2385436198415</v>
      </c>
      <c r="BX424" s="551">
        <v>2076.3136282219834</v>
      </c>
      <c r="BY424" s="551">
        <v>7370973.0129480101</v>
      </c>
      <c r="BZ424" s="551">
        <v>769.00504748962339</v>
      </c>
      <c r="CA424" s="551">
        <v>6989.1668232591001</v>
      </c>
      <c r="CB424" s="551">
        <v>3.8968937927891397E-32</v>
      </c>
      <c r="CC424" s="551">
        <v>47.741926296421269</v>
      </c>
      <c r="CD424" s="551">
        <v>148199.24172826903</v>
      </c>
      <c r="CE424" s="551">
        <v>14.249650200487004</v>
      </c>
      <c r="CF424" s="551">
        <v>525.50392288657622</v>
      </c>
      <c r="CG424" s="551">
        <v>187.69389248039013</v>
      </c>
      <c r="CH424" s="551">
        <v>842.00513246403978</v>
      </c>
      <c r="CI424" s="551">
        <v>69.516256474218551</v>
      </c>
      <c r="CJ424" s="551">
        <v>178.05458614920551</v>
      </c>
      <c r="CK424" s="551">
        <v>20922.919084181482</v>
      </c>
      <c r="CL424" s="551"/>
      <c r="CM424" s="551">
        <v>14.835174323086751</v>
      </c>
      <c r="CN424" s="551">
        <v>17.162539664164605</v>
      </c>
      <c r="CO424" s="551">
        <v>1.4930796879035024</v>
      </c>
      <c r="CP424" s="551">
        <v>555.4307651080868</v>
      </c>
      <c r="CQ424" s="551"/>
      <c r="CR424" s="551">
        <v>0.5494855333447265</v>
      </c>
      <c r="CS424" s="551">
        <v>0.4634381820752338</v>
      </c>
      <c r="CT424" s="551">
        <v>1.963707253199301</v>
      </c>
      <c r="CU424" s="551">
        <v>95.38503888510995</v>
      </c>
      <c r="CV424" s="551"/>
      <c r="CW424" s="551">
        <v>4.3869944302908949E-2</v>
      </c>
      <c r="CX424" s="551">
        <v>5.426227647313403E-2</v>
      </c>
      <c r="CY424" s="554"/>
    </row>
    <row r="425" spans="65:103" ht="12.75" customHeight="1" x14ac:dyDescent="0.3">
      <c r="BM425" s="562"/>
      <c r="BN425" s="591">
        <v>412</v>
      </c>
      <c r="BO425" s="549" t="s">
        <v>2764</v>
      </c>
      <c r="BP425" s="554" t="s">
        <v>620</v>
      </c>
      <c r="BQ425" s="553" t="s">
        <v>2408</v>
      </c>
      <c r="BR425" s="551">
        <v>334674.22008196724</v>
      </c>
      <c r="BS425" s="551"/>
      <c r="BT425" s="551">
        <v>817292.37975018588</v>
      </c>
      <c r="BU425" s="551">
        <v>26611.199525028442</v>
      </c>
      <c r="BV425" s="551">
        <v>243939.26735705935</v>
      </c>
      <c r="BW425" s="551">
        <v>1887.2282449003035</v>
      </c>
      <c r="BX425" s="551">
        <v>1288.415448751954</v>
      </c>
      <c r="BY425" s="551">
        <v>9120511.1078810003</v>
      </c>
      <c r="BZ425" s="551">
        <v>477.19090694516808</v>
      </c>
      <c r="CA425" s="551">
        <v>1070587.8030141287</v>
      </c>
      <c r="CB425" s="551">
        <v>5.6250365971319748E-31</v>
      </c>
      <c r="CC425" s="551">
        <v>563.82855852397336</v>
      </c>
      <c r="CD425" s="551">
        <v>252876.18613334539</v>
      </c>
      <c r="CE425" s="551">
        <v>168.2872970421742</v>
      </c>
      <c r="CF425" s="551">
        <v>896.68088897057294</v>
      </c>
      <c r="CG425" s="551">
        <v>2168.6241964191286</v>
      </c>
      <c r="CH425" s="551">
        <v>9900.6744739648602</v>
      </c>
      <c r="CI425" s="551">
        <v>803.19414682189915</v>
      </c>
      <c r="CJ425" s="551">
        <v>661878.28465501009</v>
      </c>
      <c r="CK425" s="551">
        <v>127369.64833220138</v>
      </c>
      <c r="CL425" s="551"/>
      <c r="CM425" s="551">
        <v>90.310101036859507</v>
      </c>
      <c r="CN425" s="551">
        <v>4812.2014089171662</v>
      </c>
      <c r="CO425" s="551">
        <v>131023.02146909919</v>
      </c>
      <c r="CP425" s="551">
        <v>326330.97773460514</v>
      </c>
      <c r="CQ425" s="551"/>
      <c r="CR425" s="551">
        <v>322.83798920016778</v>
      </c>
      <c r="CS425" s="551">
        <v>3045.6688059833386</v>
      </c>
      <c r="CT425" s="551">
        <v>230730.99086866557</v>
      </c>
      <c r="CU425" s="551">
        <v>9818.5790680534556</v>
      </c>
      <c r="CV425" s="551"/>
      <c r="CW425" s="551">
        <v>4.5158079493786483</v>
      </c>
      <c r="CX425" s="551">
        <v>483.11690039315255</v>
      </c>
      <c r="CY425" s="554"/>
    </row>
    <row r="426" spans="65:103" ht="12.75" customHeight="1" x14ac:dyDescent="0.3">
      <c r="BM426" s="562"/>
      <c r="BN426" s="591">
        <v>413</v>
      </c>
      <c r="BO426" s="549" t="s">
        <v>2828</v>
      </c>
      <c r="BP426" s="554" t="s">
        <v>620</v>
      </c>
      <c r="BQ426" s="553" t="s">
        <v>2408</v>
      </c>
      <c r="BR426" s="551">
        <v>42644.10270694027</v>
      </c>
      <c r="BS426" s="551"/>
      <c r="BT426" s="551">
        <v>5715618.174959803</v>
      </c>
      <c r="BU426" s="551">
        <v>262689.71279350761</v>
      </c>
      <c r="BV426" s="551">
        <v>2132378.1694741598</v>
      </c>
      <c r="BW426" s="551">
        <v>24639.009580815011</v>
      </c>
      <c r="BX426" s="551">
        <v>2497223.7267770357</v>
      </c>
      <c r="BY426" s="551">
        <v>25210492.781364739</v>
      </c>
      <c r="BZ426" s="551">
        <v>924897.67658408731</v>
      </c>
      <c r="CA426" s="551">
        <v>31827.869573384814</v>
      </c>
      <c r="CB426" s="551">
        <v>2.973775386169483E-30</v>
      </c>
      <c r="CC426" s="551">
        <v>75569.042931845092</v>
      </c>
      <c r="CD426" s="551">
        <v>4537705.4448701916</v>
      </c>
      <c r="CE426" s="551">
        <v>28193.23693487544</v>
      </c>
      <c r="CF426" s="551">
        <v>21280.728267223625</v>
      </c>
      <c r="CG426" s="551">
        <v>965838.5428487357</v>
      </c>
      <c r="CH426" s="551">
        <v>2390203.9277312551</v>
      </c>
      <c r="CI426" s="551">
        <v>357717.9788328649</v>
      </c>
      <c r="CJ426" s="551">
        <v>3649.9709207539067</v>
      </c>
      <c r="CK426" s="551">
        <v>1797659.4099058642</v>
      </c>
      <c r="CL426" s="551"/>
      <c r="CM426" s="551">
        <v>1696.1360982598821</v>
      </c>
      <c r="CN426" s="551">
        <v>397548.41154954187</v>
      </c>
      <c r="CO426" s="551">
        <v>303.95558665445714</v>
      </c>
      <c r="CP426" s="551">
        <v>147819.64439839363</v>
      </c>
      <c r="CQ426" s="551"/>
      <c r="CR426" s="551">
        <v>163.51861551424935</v>
      </c>
      <c r="CS426" s="551">
        <v>39427.251708804048</v>
      </c>
      <c r="CT426" s="551">
        <v>106.50097464335875</v>
      </c>
      <c r="CU426" s="551">
        <v>28153.233458247672</v>
      </c>
      <c r="CV426" s="551"/>
      <c r="CW426" s="551">
        <v>20.793932610894867</v>
      </c>
      <c r="CX426" s="551">
        <v>5905.5037794399204</v>
      </c>
      <c r="CY426" s="554"/>
    </row>
    <row r="427" spans="65:103" ht="12.75" customHeight="1" x14ac:dyDescent="0.3">
      <c r="BM427" s="562"/>
      <c r="BN427" s="591">
        <v>414</v>
      </c>
      <c r="BO427" s="549" t="s">
        <v>2588</v>
      </c>
      <c r="BP427" s="554" t="s">
        <v>620</v>
      </c>
      <c r="BQ427" s="553" t="s">
        <v>2408</v>
      </c>
      <c r="BR427" s="551">
        <v>470236.13148904458</v>
      </c>
      <c r="BS427" s="551"/>
      <c r="BT427" s="551">
        <v>1166979.4074551859</v>
      </c>
      <c r="BU427" s="551">
        <v>39485.034443794641</v>
      </c>
      <c r="BV427" s="551">
        <v>453977.13725835038</v>
      </c>
      <c r="BW427" s="551">
        <v>3856.1464460625448</v>
      </c>
      <c r="BX427" s="551">
        <v>577.78385256100182</v>
      </c>
      <c r="BY427" s="551">
        <v>32452877.883633275</v>
      </c>
      <c r="BZ427" s="551">
        <v>213.99401946703762</v>
      </c>
      <c r="CA427" s="551">
        <v>1286430.4227741826</v>
      </c>
      <c r="CB427" s="551">
        <v>2.1085138858409361E-31</v>
      </c>
      <c r="CC427" s="551">
        <v>208.37403110797979</v>
      </c>
      <c r="CD427" s="551">
        <v>461782.24519428174</v>
      </c>
      <c r="CE427" s="551">
        <v>81.06145277033589</v>
      </c>
      <c r="CF427" s="551">
        <v>2254.904913652118</v>
      </c>
      <c r="CG427" s="551">
        <v>972.58717808286679</v>
      </c>
      <c r="CH427" s="551">
        <v>5893.2479722456173</v>
      </c>
      <c r="CI427" s="551">
        <v>360.21747336402444</v>
      </c>
      <c r="CJ427" s="551">
        <v>641049.21603193425</v>
      </c>
      <c r="CK427" s="551">
        <v>217763.60328524435</v>
      </c>
      <c r="CL427" s="551"/>
      <c r="CM427" s="551">
        <v>213.9334468586045</v>
      </c>
      <c r="CN427" s="551">
        <v>1739.5514028609246</v>
      </c>
      <c r="CO427" s="551">
        <v>107947.03035670432</v>
      </c>
      <c r="CP427" s="551">
        <v>187928.86851602295</v>
      </c>
      <c r="CQ427" s="551"/>
      <c r="CR427" s="551">
        <v>217.29813818496902</v>
      </c>
      <c r="CS427" s="551">
        <v>914.91650640128637</v>
      </c>
      <c r="CT427" s="551">
        <v>173003.09639802916</v>
      </c>
      <c r="CU427" s="551">
        <v>7687.7406506232328</v>
      </c>
      <c r="CV427" s="551"/>
      <c r="CW427" s="551">
        <v>5.8834382488255672</v>
      </c>
      <c r="CX427" s="551">
        <v>138.03627875979882</v>
      </c>
      <c r="CY427" s="554"/>
    </row>
    <row r="428" spans="65:103" ht="12.75" customHeight="1" x14ac:dyDescent="0.3">
      <c r="BM428" s="562"/>
      <c r="BN428" s="591">
        <v>415</v>
      </c>
      <c r="BO428" s="549" t="s">
        <v>2724</v>
      </c>
      <c r="BP428" s="554" t="s">
        <v>620</v>
      </c>
      <c r="BQ428" s="553" t="s">
        <v>2408</v>
      </c>
      <c r="BR428" s="551">
        <v>3691.5421084995119</v>
      </c>
      <c r="BS428" s="551"/>
      <c r="BT428" s="551">
        <v>7023151.608053322</v>
      </c>
      <c r="BU428" s="551">
        <v>323752.93670790881</v>
      </c>
      <c r="BV428" s="551">
        <v>2909197.406334986</v>
      </c>
      <c r="BW428" s="551">
        <v>33599.769936213153</v>
      </c>
      <c r="BX428" s="551">
        <v>4925583.0581903281</v>
      </c>
      <c r="BY428" s="551">
        <v>35238214.622916982</v>
      </c>
      <c r="BZ428" s="551">
        <v>1824290.0215519739</v>
      </c>
      <c r="CA428" s="551">
        <v>126.24727693237598</v>
      </c>
      <c r="CB428" s="551">
        <v>2.6742993453657045E-31</v>
      </c>
      <c r="CC428" s="551">
        <v>6452.0863384717777</v>
      </c>
      <c r="CD428" s="551">
        <v>3913138.1343770004</v>
      </c>
      <c r="CE428" s="551">
        <v>2672.645257979028</v>
      </c>
      <c r="CF428" s="551">
        <v>20305.690873518128</v>
      </c>
      <c r="CG428" s="551">
        <v>87291.21771513256</v>
      </c>
      <c r="CH428" s="551">
        <v>214252.72439114659</v>
      </c>
      <c r="CI428" s="551">
        <v>32330.080635234284</v>
      </c>
      <c r="CJ428" s="551">
        <v>0.63553852960521884</v>
      </c>
      <c r="CK428" s="551">
        <v>1350135.5820472429</v>
      </c>
      <c r="CL428" s="551"/>
      <c r="CM428" s="551">
        <v>1409.5200132470395</v>
      </c>
      <c r="CN428" s="551">
        <v>1577.2265268434674</v>
      </c>
      <c r="CO428" s="551">
        <v>1.8360055217128961E-3</v>
      </c>
      <c r="CP428" s="551">
        <v>84208.54285753693</v>
      </c>
      <c r="CQ428" s="551"/>
      <c r="CR428" s="551">
        <v>104.08642642638107</v>
      </c>
      <c r="CS428" s="551">
        <v>7.822422808722707</v>
      </c>
      <c r="CT428" s="551">
        <v>1.2884091891409183E-3</v>
      </c>
      <c r="CU428" s="551">
        <v>15310.295400469615</v>
      </c>
      <c r="CV428" s="551"/>
      <c r="CW428" s="551">
        <v>12.360123829660974</v>
      </c>
      <c r="CX428" s="551">
        <v>0.94577789889901442</v>
      </c>
      <c r="CY428" s="554"/>
    </row>
    <row r="429" spans="65:103" ht="12.75" customHeight="1" x14ac:dyDescent="0.3">
      <c r="BM429" s="562"/>
      <c r="BN429" s="591">
        <v>416</v>
      </c>
      <c r="BO429" s="549" t="s">
        <v>2620</v>
      </c>
      <c r="BP429" s="554" t="s">
        <v>620</v>
      </c>
      <c r="BQ429" s="553" t="s">
        <v>2408</v>
      </c>
      <c r="BR429" s="551">
        <v>357681.41626071435</v>
      </c>
      <c r="BS429" s="551"/>
      <c r="BT429" s="551">
        <v>1173434.1261424306</v>
      </c>
      <c r="BU429" s="551">
        <v>37254.646048329567</v>
      </c>
      <c r="BV429" s="551">
        <v>442791.59979258105</v>
      </c>
      <c r="BW429" s="551">
        <v>3270.2303526615215</v>
      </c>
      <c r="BX429" s="551">
        <v>2426.6918588624567</v>
      </c>
      <c r="BY429" s="551">
        <v>14423556.182258049</v>
      </c>
      <c r="BZ429" s="551">
        <v>898.7747625416506</v>
      </c>
      <c r="CA429" s="551">
        <v>470569.7374836941</v>
      </c>
      <c r="CB429" s="551">
        <v>3.9235461595439342E-31</v>
      </c>
      <c r="CC429" s="551">
        <v>357.87815090447566</v>
      </c>
      <c r="CD429" s="551">
        <v>268671.21358941082</v>
      </c>
      <c r="CE429" s="551">
        <v>135.04417115492092</v>
      </c>
      <c r="CF429" s="551">
        <v>1179.2042748529807</v>
      </c>
      <c r="CG429" s="551">
        <v>1680.6830217387719</v>
      </c>
      <c r="CH429" s="551">
        <v>7648.9916647509344</v>
      </c>
      <c r="CI429" s="551">
        <v>622.47519323658219</v>
      </c>
      <c r="CJ429" s="551">
        <v>98619.317166185574</v>
      </c>
      <c r="CK429" s="551">
        <v>58540.106119358054</v>
      </c>
      <c r="CL429" s="551"/>
      <c r="CM429" s="551">
        <v>51.375305393279646</v>
      </c>
      <c r="CN429" s="551">
        <v>1264.2339980837853</v>
      </c>
      <c r="CO429" s="551">
        <v>6855.0326797731177</v>
      </c>
      <c r="CP429" s="551">
        <v>27646.691292188043</v>
      </c>
      <c r="CQ429" s="551"/>
      <c r="CR429" s="551">
        <v>35.337426626168764</v>
      </c>
      <c r="CS429" s="551">
        <v>279.72008864157971</v>
      </c>
      <c r="CT429" s="551">
        <v>9946.1606288955772</v>
      </c>
      <c r="CU429" s="551">
        <v>897.09212722256666</v>
      </c>
      <c r="CV429" s="551"/>
      <c r="CW429" s="551">
        <v>0.49230364799186893</v>
      </c>
      <c r="CX429" s="551">
        <v>36.754656091683742</v>
      </c>
      <c r="CY429" s="554"/>
    </row>
    <row r="430" spans="65:103" ht="12.75" customHeight="1" x14ac:dyDescent="0.3">
      <c r="BM430" s="562"/>
      <c r="BN430" s="591">
        <v>417</v>
      </c>
      <c r="BO430" s="549" t="s">
        <v>2794</v>
      </c>
      <c r="BP430" s="554" t="s">
        <v>620</v>
      </c>
      <c r="BQ430" s="553" t="s">
        <v>2408</v>
      </c>
      <c r="BR430" s="551">
        <v>202922.746407525</v>
      </c>
      <c r="BS430" s="551"/>
      <c r="BT430" s="551">
        <v>2083992.3742577257</v>
      </c>
      <c r="BU430" s="551">
        <v>73385.96617648525</v>
      </c>
      <c r="BV430" s="551">
        <v>707894.65296104935</v>
      </c>
      <c r="BW430" s="551">
        <v>5425.188203529262</v>
      </c>
      <c r="BX430" s="551">
        <v>92146.511185034731</v>
      </c>
      <c r="BY430" s="551">
        <v>9817080.2663799785</v>
      </c>
      <c r="BZ430" s="551">
        <v>34128.337475938781</v>
      </c>
      <c r="CA430" s="551">
        <v>150941.33935518042</v>
      </c>
      <c r="CB430" s="551">
        <v>3.7886167246079551E-30</v>
      </c>
      <c r="CC430" s="551">
        <v>6612.641435732894</v>
      </c>
      <c r="CD430" s="551">
        <v>761163.17371389468</v>
      </c>
      <c r="CE430" s="551">
        <v>2246.1951262999628</v>
      </c>
      <c r="CF430" s="551">
        <v>2813.5171383194934</v>
      </c>
      <c r="CG430" s="551">
        <v>31313.401951636952</v>
      </c>
      <c r="CH430" s="551">
        <v>101676.36980664334</v>
      </c>
      <c r="CI430" s="551">
        <v>11597.55627838406</v>
      </c>
      <c r="CJ430" s="551">
        <v>17182.741523341461</v>
      </c>
      <c r="CK430" s="551">
        <v>128379.47119494493</v>
      </c>
      <c r="CL430" s="551"/>
      <c r="CM430" s="551">
        <v>94.185461949743583</v>
      </c>
      <c r="CN430" s="551">
        <v>12794.348202143476</v>
      </c>
      <c r="CO430" s="551">
        <v>590.65541896900174</v>
      </c>
      <c r="CP430" s="551">
        <v>18505.994735559518</v>
      </c>
      <c r="CQ430" s="551"/>
      <c r="CR430" s="551">
        <v>24.012200231250738</v>
      </c>
      <c r="CS430" s="551">
        <v>1481.1959797509226</v>
      </c>
      <c r="CT430" s="551">
        <v>904.09616285811262</v>
      </c>
      <c r="CU430" s="551">
        <v>1814.0084506995279</v>
      </c>
      <c r="CV430" s="551"/>
      <c r="CW430" s="551">
        <v>0.72165822677951796</v>
      </c>
      <c r="CX430" s="551">
        <v>183.19634888444421</v>
      </c>
      <c r="CY430" s="554"/>
    </row>
    <row r="431" spans="65:103" ht="12.75" customHeight="1" x14ac:dyDescent="0.3">
      <c r="BM431" s="562"/>
      <c r="BN431" s="591">
        <v>418</v>
      </c>
      <c r="BO431" s="549" t="s">
        <v>2447</v>
      </c>
      <c r="BP431" s="554" t="s">
        <v>620</v>
      </c>
      <c r="BQ431" s="553" t="s">
        <v>2408</v>
      </c>
      <c r="BR431" s="551">
        <v>39694.433151576675</v>
      </c>
      <c r="BS431" s="551"/>
      <c r="BT431" s="551">
        <v>10463400.255268123</v>
      </c>
      <c r="BU431" s="551">
        <v>503584.94843874848</v>
      </c>
      <c r="BV431" s="551">
        <v>6484802.3028067192</v>
      </c>
      <c r="BW431" s="551">
        <v>82890.151131396924</v>
      </c>
      <c r="BX431" s="551">
        <v>270069.7030372739</v>
      </c>
      <c r="BY431" s="551">
        <v>2551478.7448848118</v>
      </c>
      <c r="BZ431" s="551">
        <v>100025.81593973102</v>
      </c>
      <c r="CA431" s="551">
        <v>24311.21356699173</v>
      </c>
      <c r="CB431" s="551">
        <v>2.483071126678629E-30</v>
      </c>
      <c r="CC431" s="551">
        <v>55576.969624731457</v>
      </c>
      <c r="CD431" s="551">
        <v>17173678.936816998</v>
      </c>
      <c r="CE431" s="551">
        <v>34444.411167776976</v>
      </c>
      <c r="CF431" s="551">
        <v>141339.49465409757</v>
      </c>
      <c r="CG431" s="551">
        <v>85713.893570578046</v>
      </c>
      <c r="CH431" s="551">
        <v>191990.76028678316</v>
      </c>
      <c r="CI431" s="551">
        <v>31745.886507621501</v>
      </c>
      <c r="CJ431" s="551">
        <v>2267.9543667786861</v>
      </c>
      <c r="CK431" s="551">
        <v>25226745.006423391</v>
      </c>
      <c r="CL431" s="551"/>
      <c r="CM431" s="551">
        <v>41906.320500171991</v>
      </c>
      <c r="CN431" s="551">
        <v>28700.043320143654</v>
      </c>
      <c r="CO431" s="551">
        <v>168.65619766520908</v>
      </c>
      <c r="CP431" s="551">
        <v>5622223.2136923987</v>
      </c>
      <c r="CQ431" s="551"/>
      <c r="CR431" s="551">
        <v>9779.7344722765338</v>
      </c>
      <c r="CS431" s="551">
        <v>2712.1868548756997</v>
      </c>
      <c r="CT431" s="551">
        <v>52.067303043485126</v>
      </c>
      <c r="CU431" s="551">
        <v>1366539.7469422864</v>
      </c>
      <c r="CV431" s="551"/>
      <c r="CW431" s="551">
        <v>2093.5798745383427</v>
      </c>
      <c r="CX431" s="551">
        <v>316.2502447498656</v>
      </c>
      <c r="CY431" s="554"/>
    </row>
    <row r="432" spans="65:103" ht="12.75" customHeight="1" x14ac:dyDescent="0.3">
      <c r="BM432" s="562"/>
      <c r="BN432" s="591">
        <v>419</v>
      </c>
      <c r="BO432" s="549" t="s">
        <v>2826</v>
      </c>
      <c r="BP432" s="554" t="s">
        <v>620</v>
      </c>
      <c r="BQ432" s="553" t="s">
        <v>2408</v>
      </c>
      <c r="BR432" s="551">
        <v>64415.098770836783</v>
      </c>
      <c r="BS432" s="551"/>
      <c r="BT432" s="551">
        <v>8167532.5473681847</v>
      </c>
      <c r="BU432" s="551">
        <v>391675.74163551128</v>
      </c>
      <c r="BV432" s="551">
        <v>5405655.4294090522</v>
      </c>
      <c r="BW432" s="551">
        <v>69043.217945530341</v>
      </c>
      <c r="BX432" s="551">
        <v>3481866.5629112097</v>
      </c>
      <c r="BY432" s="551">
        <v>80925409.554100469</v>
      </c>
      <c r="BZ432" s="551">
        <v>1289580.2084856327</v>
      </c>
      <c r="CA432" s="551">
        <v>70079.388782197188</v>
      </c>
      <c r="CB432" s="551">
        <v>2.9903773563694679E-30</v>
      </c>
      <c r="CC432" s="551">
        <v>149994.69537208366</v>
      </c>
      <c r="CD432" s="551">
        <v>14674812.05624108</v>
      </c>
      <c r="CE432" s="551">
        <v>99273.511886026128</v>
      </c>
      <c r="CF432" s="551">
        <v>129341.20490561522</v>
      </c>
      <c r="CG432" s="551">
        <v>1882406.5003243289</v>
      </c>
      <c r="CH432" s="551">
        <v>7075673.2651667167</v>
      </c>
      <c r="CI432" s="551">
        <v>697187.59271271445</v>
      </c>
      <c r="CJ432" s="551">
        <v>12328.53417207627</v>
      </c>
      <c r="CK432" s="551">
        <v>22533880.846219391</v>
      </c>
      <c r="CL432" s="551"/>
      <c r="CM432" s="551">
        <v>40088.334138095954</v>
      </c>
      <c r="CN432" s="551">
        <v>1188606.79083015</v>
      </c>
      <c r="CO432" s="551">
        <v>1167.9398736867802</v>
      </c>
      <c r="CP432" s="551">
        <v>5338445.9651941517</v>
      </c>
      <c r="CQ432" s="551"/>
      <c r="CR432" s="551">
        <v>9962.019123273034</v>
      </c>
      <c r="CS432" s="551">
        <v>236567.78257541297</v>
      </c>
      <c r="CT432" s="551">
        <v>832.32489989300097</v>
      </c>
      <c r="CU432" s="551">
        <v>1275399.6697547368</v>
      </c>
      <c r="CV432" s="551"/>
      <c r="CW432" s="551">
        <v>2086.6198923389111</v>
      </c>
      <c r="CX432" s="551">
        <v>23608.07500350874</v>
      </c>
      <c r="CY432" s="554"/>
    </row>
    <row r="433" spans="65:103" ht="12.75" customHeight="1" x14ac:dyDescent="0.3">
      <c r="BM433" s="562"/>
      <c r="BN433" s="591">
        <v>420</v>
      </c>
      <c r="BO433" s="549" t="s">
        <v>2875</v>
      </c>
      <c r="BP433" s="554" t="s">
        <v>620</v>
      </c>
      <c r="BQ433" s="553" t="s">
        <v>2408</v>
      </c>
      <c r="BR433" s="551">
        <v>21025.969598921227</v>
      </c>
      <c r="BS433" s="551"/>
      <c r="BT433" s="551">
        <v>1514604.157072719</v>
      </c>
      <c r="BU433" s="551">
        <v>58173.045579700898</v>
      </c>
      <c r="BV433" s="551">
        <v>895663.83916663041</v>
      </c>
      <c r="BW433" s="551">
        <v>8556.8968747340168</v>
      </c>
      <c r="BX433" s="551">
        <v>5763.2523984385689</v>
      </c>
      <c r="BY433" s="551">
        <v>25818481.459400695</v>
      </c>
      <c r="BZ433" s="551">
        <v>2134.5379253476176</v>
      </c>
      <c r="CA433" s="551">
        <v>1264.1191880013262</v>
      </c>
      <c r="CB433" s="551">
        <v>1.8522250189970505E-32</v>
      </c>
      <c r="CC433" s="551">
        <v>31.813703741377207</v>
      </c>
      <c r="CD433" s="551">
        <v>615118.94912736677</v>
      </c>
      <c r="CE433" s="551">
        <v>18.813089808351577</v>
      </c>
      <c r="CF433" s="551">
        <v>4524.0105283522462</v>
      </c>
      <c r="CG433" s="551">
        <v>214.54141912408323</v>
      </c>
      <c r="CH433" s="551">
        <v>1200.2075512844428</v>
      </c>
      <c r="CI433" s="551">
        <v>79.459784860771549</v>
      </c>
      <c r="CJ433" s="551">
        <v>14.310667208441716</v>
      </c>
      <c r="CK433" s="551">
        <v>205885.61122737481</v>
      </c>
      <c r="CL433" s="551"/>
      <c r="CM433" s="551">
        <v>304.63782962539466</v>
      </c>
      <c r="CN433" s="551">
        <v>8.7173937601350442</v>
      </c>
      <c r="CO433" s="551">
        <v>0.15551598785873055</v>
      </c>
      <c r="CP433" s="551">
        <v>12102.506164476035</v>
      </c>
      <c r="CQ433" s="551"/>
      <c r="CR433" s="551">
        <v>21.970447253423568</v>
      </c>
      <c r="CS433" s="551">
        <v>0.2979407035179471</v>
      </c>
      <c r="CT433" s="551">
        <v>9.81234490012797E-2</v>
      </c>
      <c r="CU433" s="551">
        <v>2297.4444843997717</v>
      </c>
      <c r="CV433" s="551"/>
      <c r="CW433" s="551">
        <v>2.5201451225099167</v>
      </c>
      <c r="CX433" s="551">
        <v>1.7388779517983826E-2</v>
      </c>
      <c r="CY433" s="554"/>
    </row>
    <row r="434" spans="65:103" ht="12.75" customHeight="1" x14ac:dyDescent="0.3">
      <c r="BM434" s="562"/>
      <c r="BN434" s="591">
        <v>421</v>
      </c>
      <c r="BO434" s="549" t="s">
        <v>2476</v>
      </c>
      <c r="BP434" s="554" t="s">
        <v>620</v>
      </c>
      <c r="BQ434" s="553" t="s">
        <v>2408</v>
      </c>
      <c r="BR434" s="551">
        <v>7930.6734492763253</v>
      </c>
      <c r="BS434" s="551"/>
      <c r="BT434" s="551">
        <v>1151274.9486217659</v>
      </c>
      <c r="BU434" s="551">
        <v>44009.132239663297</v>
      </c>
      <c r="BV434" s="551">
        <v>445371.00745683775</v>
      </c>
      <c r="BW434" s="551">
        <v>3647.5699216431126</v>
      </c>
      <c r="BX434" s="551">
        <v>51174.456179238878</v>
      </c>
      <c r="BY434" s="551">
        <v>2921132.6136624599</v>
      </c>
      <c r="BZ434" s="551">
        <v>18953.502288606989</v>
      </c>
      <c r="CA434" s="551">
        <v>1220.6103068110465</v>
      </c>
      <c r="CB434" s="551">
        <v>6.569752524701386E-32</v>
      </c>
      <c r="CC434" s="551">
        <v>295.36386478421991</v>
      </c>
      <c r="CD434" s="551">
        <v>158594.27678388759</v>
      </c>
      <c r="CE434" s="551">
        <v>114.26158641145835</v>
      </c>
      <c r="CF434" s="551">
        <v>657.23144754521149</v>
      </c>
      <c r="CG434" s="551">
        <v>4077.9504499922609</v>
      </c>
      <c r="CH434" s="551">
        <v>9318.9900493185196</v>
      </c>
      <c r="CI434" s="551">
        <v>1510.3520185156526</v>
      </c>
      <c r="CJ434" s="551">
        <v>27.799388447953973</v>
      </c>
      <c r="CK434" s="551">
        <v>13337.487548109812</v>
      </c>
      <c r="CL434" s="551"/>
      <c r="CM434" s="551">
        <v>10.970210559178339</v>
      </c>
      <c r="CN434" s="551">
        <v>333.35257110217208</v>
      </c>
      <c r="CO434" s="551">
        <v>0.25515290379958966</v>
      </c>
      <c r="CP434" s="551">
        <v>218.939134232681</v>
      </c>
      <c r="CQ434" s="551"/>
      <c r="CR434" s="551">
        <v>0.32853278790274937</v>
      </c>
      <c r="CS434" s="551">
        <v>11.775455266922265</v>
      </c>
      <c r="CT434" s="551">
        <v>0.2669224443393402</v>
      </c>
      <c r="CU434" s="551">
        <v>36.360395883280766</v>
      </c>
      <c r="CV434" s="551"/>
      <c r="CW434" s="551">
        <v>1.5926978531035141E-2</v>
      </c>
      <c r="CX434" s="551">
        <v>0.75654204774183442</v>
      </c>
      <c r="CY434" s="554"/>
    </row>
    <row r="435" spans="65:103" ht="12.75" customHeight="1" x14ac:dyDescent="0.3">
      <c r="BM435" s="562"/>
      <c r="BN435" s="591">
        <v>422</v>
      </c>
      <c r="BO435" s="549" t="s">
        <v>2525</v>
      </c>
      <c r="BP435" s="554" t="s">
        <v>620</v>
      </c>
      <c r="BQ435" s="553" t="s">
        <v>2408</v>
      </c>
      <c r="BR435" s="551">
        <v>40831.071658308741</v>
      </c>
      <c r="BS435" s="551"/>
      <c r="BT435" s="551">
        <v>9109911.5301950201</v>
      </c>
      <c r="BU435" s="551">
        <v>428174.13378215063</v>
      </c>
      <c r="BV435" s="551">
        <v>6510537.0697468063</v>
      </c>
      <c r="BW435" s="551">
        <v>78612.98131980258</v>
      </c>
      <c r="BX435" s="551">
        <v>6220204.2410437167</v>
      </c>
      <c r="BY435" s="551">
        <v>54524247.78441523</v>
      </c>
      <c r="BZ435" s="551">
        <v>2303779.3485347074</v>
      </c>
      <c r="CA435" s="551">
        <v>18732.837735629029</v>
      </c>
      <c r="CB435" s="551">
        <v>3.1102059512773389E-30</v>
      </c>
      <c r="CC435" s="551">
        <v>90644.816058043201</v>
      </c>
      <c r="CD435" s="551">
        <v>9039319.3874047734</v>
      </c>
      <c r="CE435" s="551">
        <v>64780.698821302081</v>
      </c>
      <c r="CF435" s="551">
        <v>82981.174022451407</v>
      </c>
      <c r="CG435" s="551">
        <v>1479005.9635079969</v>
      </c>
      <c r="CH435" s="551">
        <v>3672684.410290767</v>
      </c>
      <c r="CI435" s="551">
        <v>547779.98648444295</v>
      </c>
      <c r="CJ435" s="551">
        <v>1297.8338921192869</v>
      </c>
      <c r="CK435" s="551">
        <v>5088427.5461472962</v>
      </c>
      <c r="CL435" s="551"/>
      <c r="CM435" s="551">
        <v>9412.1991813342484</v>
      </c>
      <c r="CN435" s="551">
        <v>367780.85705778975</v>
      </c>
      <c r="CO435" s="551">
        <v>46.493363213589475</v>
      </c>
      <c r="CP435" s="551">
        <v>502034.38399548217</v>
      </c>
      <c r="CQ435" s="551"/>
      <c r="CR435" s="551">
        <v>1073.1765289437581</v>
      </c>
      <c r="CS435" s="551">
        <v>23764.648568614011</v>
      </c>
      <c r="CT435" s="551">
        <v>37.104286093820363</v>
      </c>
      <c r="CU435" s="551">
        <v>96534.74328988856</v>
      </c>
      <c r="CV435" s="551"/>
      <c r="CW435" s="551">
        <v>142.48010534505133</v>
      </c>
      <c r="CX435" s="551">
        <v>3095.3043311003707</v>
      </c>
      <c r="CY435" s="554"/>
    </row>
    <row r="436" spans="65:103" ht="12.75" customHeight="1" x14ac:dyDescent="0.3">
      <c r="BM436" s="562"/>
      <c r="BN436" s="591">
        <v>423</v>
      </c>
      <c r="BO436" s="549" t="s">
        <v>2423</v>
      </c>
      <c r="BP436" s="554" t="s">
        <v>620</v>
      </c>
      <c r="BQ436" s="553" t="s">
        <v>2408</v>
      </c>
      <c r="BR436" s="551">
        <v>33887.994394398716</v>
      </c>
      <c r="BS436" s="551"/>
      <c r="BT436" s="551">
        <v>8502708.9664334971</v>
      </c>
      <c r="BU436" s="551">
        <v>391457.5905648339</v>
      </c>
      <c r="BV436" s="551">
        <v>6196386.4596769363</v>
      </c>
      <c r="BW436" s="551">
        <v>70899.06676252326</v>
      </c>
      <c r="BX436" s="551">
        <v>5713506.2900663633</v>
      </c>
      <c r="BY436" s="551">
        <v>43246878.341634288</v>
      </c>
      <c r="BZ436" s="551">
        <v>2116113.4407653194</v>
      </c>
      <c r="CA436" s="551">
        <v>10199.127382030303</v>
      </c>
      <c r="CB436" s="551">
        <v>2.5769080300019328E-30</v>
      </c>
      <c r="CC436" s="551">
        <v>49105.7175422297</v>
      </c>
      <c r="CD436" s="551">
        <v>5836371.6105668293</v>
      </c>
      <c r="CE436" s="551">
        <v>35786.007079932206</v>
      </c>
      <c r="CF436" s="551">
        <v>52852.890126796505</v>
      </c>
      <c r="CG436" s="551">
        <v>891083.39314953738</v>
      </c>
      <c r="CH436" s="551">
        <v>2106837.8397278306</v>
      </c>
      <c r="CI436" s="551">
        <v>330030.88635168044</v>
      </c>
      <c r="CJ436" s="551">
        <v>458.24514196525541</v>
      </c>
      <c r="CK436" s="551">
        <v>2090279.1771650854</v>
      </c>
      <c r="CL436" s="551"/>
      <c r="CM436" s="551">
        <v>3808.1775670314082</v>
      </c>
      <c r="CN436" s="551">
        <v>143700.0300298619</v>
      </c>
      <c r="CO436" s="551">
        <v>19.578282498777689</v>
      </c>
      <c r="CP436" s="551">
        <v>135173.03872214316</v>
      </c>
      <c r="CQ436" s="551"/>
      <c r="CR436" s="551">
        <v>308.90694012676795</v>
      </c>
      <c r="CS436" s="551">
        <v>5924.9493696136233</v>
      </c>
      <c r="CT436" s="551">
        <v>4.5557947627205726</v>
      </c>
      <c r="CU436" s="551">
        <v>24692.639551007105</v>
      </c>
      <c r="CV436" s="551"/>
      <c r="CW436" s="551">
        <v>32.538136654184918</v>
      </c>
      <c r="CX436" s="551">
        <v>787.52435450451287</v>
      </c>
      <c r="CY436" s="554"/>
    </row>
    <row r="437" spans="65:103" ht="12.75" customHeight="1" x14ac:dyDescent="0.3">
      <c r="BM437" s="562"/>
      <c r="BN437" s="591">
        <v>424</v>
      </c>
      <c r="BO437" s="549" t="s">
        <v>2459</v>
      </c>
      <c r="BP437" s="554" t="s">
        <v>620</v>
      </c>
      <c r="BQ437" s="553" t="s">
        <v>2408</v>
      </c>
      <c r="BR437" s="551">
        <v>8224.1985598496558</v>
      </c>
      <c r="BS437" s="551"/>
      <c r="BT437" s="551">
        <v>2953562.0976784169</v>
      </c>
      <c r="BU437" s="551">
        <v>123149.5735281419</v>
      </c>
      <c r="BV437" s="551">
        <v>1893775.5681064383</v>
      </c>
      <c r="BW437" s="551">
        <v>17677.265126761617</v>
      </c>
      <c r="BX437" s="551">
        <v>29975.335992304881</v>
      </c>
      <c r="BY437" s="551">
        <v>8298836.0722344983</v>
      </c>
      <c r="BZ437" s="551">
        <v>11101.976293446249</v>
      </c>
      <c r="CA437" s="551">
        <v>609.66660184573425</v>
      </c>
      <c r="CB437" s="551">
        <v>2.1210851144967978E-32</v>
      </c>
      <c r="CC437" s="551">
        <v>126.76892608203401</v>
      </c>
      <c r="CD437" s="551">
        <v>688146.33942317253</v>
      </c>
      <c r="CE437" s="551">
        <v>81.282155942463632</v>
      </c>
      <c r="CF437" s="551">
        <v>4938.9311466897198</v>
      </c>
      <c r="CG437" s="551">
        <v>1151.1537279402562</v>
      </c>
      <c r="CH437" s="551">
        <v>2764.981006719293</v>
      </c>
      <c r="CI437" s="551">
        <v>426.35323257046502</v>
      </c>
      <c r="CJ437" s="551">
        <v>6.7064938238295735</v>
      </c>
      <c r="CK437" s="551">
        <v>97646.634532116179</v>
      </c>
      <c r="CL437" s="551"/>
      <c r="CM437" s="551">
        <v>140.12578055744731</v>
      </c>
      <c r="CN437" s="551">
        <v>45.450650573897988</v>
      </c>
      <c r="CO437" s="551">
        <v>2.497032893661769E-2</v>
      </c>
      <c r="CP437" s="551">
        <v>2584.3705091897391</v>
      </c>
      <c r="CQ437" s="551"/>
      <c r="CR437" s="551">
        <v>5.9648628323324759</v>
      </c>
      <c r="CS437" s="551">
        <v>0.68922868889862177</v>
      </c>
      <c r="CT437" s="551">
        <v>3.1916881669412263E-2</v>
      </c>
      <c r="CU437" s="551">
        <v>444.58714492516248</v>
      </c>
      <c r="CV437" s="551"/>
      <c r="CW437" s="551">
        <v>0.37023143201233044</v>
      </c>
      <c r="CX437" s="551">
        <v>5.2243128880419848E-2</v>
      </c>
      <c r="CY437" s="554"/>
    </row>
    <row r="438" spans="65:103" ht="12.75" customHeight="1" x14ac:dyDescent="0.3">
      <c r="BM438" s="562"/>
      <c r="BN438" s="591">
        <v>425</v>
      </c>
      <c r="BO438" s="549" t="s">
        <v>2654</v>
      </c>
      <c r="BP438" s="554" t="s">
        <v>620</v>
      </c>
      <c r="BQ438" s="553" t="s">
        <v>2408</v>
      </c>
      <c r="BR438" s="551">
        <v>405223.42928924575</v>
      </c>
      <c r="BS438" s="551"/>
      <c r="BT438" s="551">
        <v>1467053.0525091016</v>
      </c>
      <c r="BU438" s="551">
        <v>45314.273804084944</v>
      </c>
      <c r="BV438" s="551">
        <v>959324.17178301234</v>
      </c>
      <c r="BW438" s="551">
        <v>6626.2421264331342</v>
      </c>
      <c r="BX438" s="551">
        <v>128.91810021092658</v>
      </c>
      <c r="BY438" s="551">
        <v>19724626.292365488</v>
      </c>
      <c r="BZ438" s="551">
        <v>47.747444522565402</v>
      </c>
      <c r="CA438" s="551">
        <v>378569.44643576088</v>
      </c>
      <c r="CB438" s="551">
        <v>9.766888739562148E-33</v>
      </c>
      <c r="CC438" s="551">
        <v>8.152387299779031</v>
      </c>
      <c r="CD438" s="551">
        <v>227910.26801533962</v>
      </c>
      <c r="CE438" s="551">
        <v>5.3309470854097452</v>
      </c>
      <c r="CF438" s="551">
        <v>1666.3497968644165</v>
      </c>
      <c r="CG438" s="551">
        <v>63.456126705863866</v>
      </c>
      <c r="CH438" s="551">
        <v>288.55865447255917</v>
      </c>
      <c r="CI438" s="551">
        <v>23.50226915031995</v>
      </c>
      <c r="CJ438" s="551">
        <v>54846.857028897619</v>
      </c>
      <c r="CK438" s="551">
        <v>31883.038139973494</v>
      </c>
      <c r="CL438" s="551"/>
      <c r="CM438" s="551">
        <v>46.608958963588165</v>
      </c>
      <c r="CN438" s="551">
        <v>32.997679548719177</v>
      </c>
      <c r="CO438" s="551">
        <v>2683.9866922299452</v>
      </c>
      <c r="CP438" s="551">
        <v>1087.2997652934553</v>
      </c>
      <c r="CQ438" s="551"/>
      <c r="CR438" s="551">
        <v>2.5657956802501287</v>
      </c>
      <c r="CS438" s="551">
        <v>5.0917225974852913</v>
      </c>
      <c r="CT438" s="551">
        <v>3686.055438601818</v>
      </c>
      <c r="CU438" s="551">
        <v>150.81351240633467</v>
      </c>
      <c r="CV438" s="551"/>
      <c r="CW438" s="551">
        <v>0.12762040993968315</v>
      </c>
      <c r="CX438" s="551">
        <v>0.64411363171187985</v>
      </c>
      <c r="CY438" s="554"/>
    </row>
    <row r="439" spans="65:103" ht="12.75" customHeight="1" x14ac:dyDescent="0.3">
      <c r="BM439" s="562"/>
      <c r="BN439" s="591">
        <v>426</v>
      </c>
      <c r="BO439" s="549" t="s">
        <v>2704</v>
      </c>
      <c r="BP439" s="554" t="s">
        <v>620</v>
      </c>
      <c r="BQ439" s="553" t="s">
        <v>2408</v>
      </c>
      <c r="BR439" s="551">
        <v>363151.63248419983</v>
      </c>
      <c r="BS439" s="551"/>
      <c r="BT439" s="551">
        <v>1320153.1736662209</v>
      </c>
      <c r="BU439" s="551">
        <v>41124.091331930496</v>
      </c>
      <c r="BV439" s="551">
        <v>880401.81613230088</v>
      </c>
      <c r="BW439" s="551">
        <v>6126.1641480591788</v>
      </c>
      <c r="BX439" s="551">
        <v>13.150995231533791</v>
      </c>
      <c r="BY439" s="551">
        <v>17261866.608316217</v>
      </c>
      <c r="BZ439" s="551">
        <v>4.8707389746421432</v>
      </c>
      <c r="CA439" s="551">
        <v>354567.79370897531</v>
      </c>
      <c r="CB439" s="551">
        <v>9.4378591541636705E-34</v>
      </c>
      <c r="CC439" s="551">
        <v>0.81074369047945272</v>
      </c>
      <c r="CD439" s="551">
        <v>205903.76000906047</v>
      </c>
      <c r="CE439" s="551">
        <v>0.54067984818281545</v>
      </c>
      <c r="CF439" s="551">
        <v>1533.6511904138815</v>
      </c>
      <c r="CG439" s="551">
        <v>6.7648738838379385</v>
      </c>
      <c r="CH439" s="551">
        <v>30.756567265486371</v>
      </c>
      <c r="CI439" s="551">
        <v>2.5055088458659029</v>
      </c>
      <c r="CJ439" s="551">
        <v>53842.968020845183</v>
      </c>
      <c r="CK439" s="551">
        <v>28535.746702718541</v>
      </c>
      <c r="CL439" s="551"/>
      <c r="CM439" s="551">
        <v>42.496952294662805</v>
      </c>
      <c r="CN439" s="551">
        <v>3.6871691945241913</v>
      </c>
      <c r="CO439" s="551">
        <v>2766.2822860375068</v>
      </c>
      <c r="CP439" s="551">
        <v>714.20615903057308</v>
      </c>
      <c r="CQ439" s="551"/>
      <c r="CR439" s="551">
        <v>1.7231756984521356</v>
      </c>
      <c r="CS439" s="551">
        <v>0.58038920283389639</v>
      </c>
      <c r="CT439" s="551">
        <v>3806.8033008687621</v>
      </c>
      <c r="CU439" s="551">
        <v>129.3647453032811</v>
      </c>
      <c r="CV439" s="551"/>
      <c r="CW439" s="551">
        <v>0.11124447112344441</v>
      </c>
      <c r="CX439" s="551">
        <v>7.897402312990652E-2</v>
      </c>
      <c r="CY439" s="554"/>
    </row>
    <row r="440" spans="65:103" ht="12.75" customHeight="1" x14ac:dyDescent="0.3">
      <c r="BM440" s="562"/>
      <c r="BN440" s="591">
        <v>427</v>
      </c>
      <c r="BO440" s="549" t="s">
        <v>2426</v>
      </c>
      <c r="BP440" s="554" t="s">
        <v>620</v>
      </c>
      <c r="BQ440" s="553" t="s">
        <v>2408</v>
      </c>
      <c r="BR440" s="551">
        <v>476619.73137032188</v>
      </c>
      <c r="BS440" s="551"/>
      <c r="BT440" s="551">
        <v>1024842.2243402397</v>
      </c>
      <c r="BU440" s="551">
        <v>36044.336999529238</v>
      </c>
      <c r="BV440" s="551">
        <v>945000.05344185105</v>
      </c>
      <c r="BW440" s="551">
        <v>8604.5130627711915</v>
      </c>
      <c r="BX440" s="551">
        <v>6852.7623483546395</v>
      </c>
      <c r="BY440" s="551">
        <v>42150537.162928127</v>
      </c>
      <c r="BZ440" s="551">
        <v>2538.0601290202371</v>
      </c>
      <c r="CA440" s="551">
        <v>2335854.1702205534</v>
      </c>
      <c r="CB440" s="551">
        <v>2.0939573195103216E-30</v>
      </c>
      <c r="CC440" s="551">
        <v>2268.5760966132239</v>
      </c>
      <c r="CD440" s="551">
        <v>1554577.4431926017</v>
      </c>
      <c r="CE440" s="551">
        <v>2091.8386085394895</v>
      </c>
      <c r="CF440" s="551">
        <v>18555.455628459596</v>
      </c>
      <c r="CG440" s="551">
        <v>21987.78485403736</v>
      </c>
      <c r="CH440" s="551">
        <v>148286.08237192046</v>
      </c>
      <c r="CI440" s="551">
        <v>8143.6240200138363</v>
      </c>
      <c r="CJ440" s="551">
        <v>3073153.9318026453</v>
      </c>
      <c r="CK440" s="551">
        <v>3693089.631405313</v>
      </c>
      <c r="CL440" s="551"/>
      <c r="CM440" s="551">
        <v>8881.9102314302036</v>
      </c>
      <c r="CN440" s="551">
        <v>103830.20766598389</v>
      </c>
      <c r="CO440" s="551">
        <v>995854.1593297862</v>
      </c>
      <c r="CP440" s="551">
        <v>12280710.187078919</v>
      </c>
      <c r="CQ440" s="551"/>
      <c r="CR440" s="551">
        <v>34795.305508549005</v>
      </c>
      <c r="CS440" s="551">
        <v>103902.73474790331</v>
      </c>
      <c r="CT440" s="551">
        <v>2377276.6336447606</v>
      </c>
      <c r="CU440" s="551">
        <v>697130.53459938522</v>
      </c>
      <c r="CV440" s="551"/>
      <c r="CW440" s="551">
        <v>1305.5367448074026</v>
      </c>
      <c r="CX440" s="551">
        <v>23773.435644376688</v>
      </c>
      <c r="CY440" s="554"/>
    </row>
    <row r="441" spans="65:103" ht="12.75" customHeight="1" x14ac:dyDescent="0.3">
      <c r="BM441" s="562"/>
      <c r="BN441" s="591">
        <v>428</v>
      </c>
      <c r="BO441" s="549" t="s">
        <v>2473</v>
      </c>
      <c r="BP441" s="554" t="s">
        <v>620</v>
      </c>
      <c r="BQ441" s="553" t="s">
        <v>2408</v>
      </c>
      <c r="BR441" s="551">
        <v>20939.762581477713</v>
      </c>
      <c r="BS441" s="551"/>
      <c r="BT441" s="551">
        <v>6415769.6974438243</v>
      </c>
      <c r="BU441" s="551">
        <v>292598.8747756118</v>
      </c>
      <c r="BV441" s="551">
        <v>6386201.2662287373</v>
      </c>
      <c r="BW441" s="551">
        <v>72620.829087522041</v>
      </c>
      <c r="BX441" s="551">
        <v>119098.47083130888</v>
      </c>
      <c r="BY441" s="551">
        <v>7892355.5504335733</v>
      </c>
      <c r="BZ441" s="551">
        <v>44110.544752336602</v>
      </c>
      <c r="CA441" s="551">
        <v>3808.3772009297545</v>
      </c>
      <c r="CB441" s="551">
        <v>1.8416994142166134E-31</v>
      </c>
      <c r="CC441" s="551">
        <v>2047.2956735092125</v>
      </c>
      <c r="CD441" s="551">
        <v>3502093.1499631112</v>
      </c>
      <c r="CE441" s="551">
        <v>2037.8602785131566</v>
      </c>
      <c r="CF441" s="551">
        <v>43459.652448610679</v>
      </c>
      <c r="CG441" s="551">
        <v>11215.820916238785</v>
      </c>
      <c r="CH441" s="551">
        <v>25631.516023238099</v>
      </c>
      <c r="CI441" s="551">
        <v>4154.0077467551018</v>
      </c>
      <c r="CJ441" s="551">
        <v>103.19920922933294</v>
      </c>
      <c r="CK441" s="551">
        <v>1211274.417297761</v>
      </c>
      <c r="CL441" s="551"/>
      <c r="CM441" s="551">
        <v>3023.9587680867189</v>
      </c>
      <c r="CN441" s="551">
        <v>1090.8653184185087</v>
      </c>
      <c r="CO441" s="551">
        <v>1.0766120126218863</v>
      </c>
      <c r="CP441" s="551">
        <v>75738.223244221052</v>
      </c>
      <c r="CQ441" s="551"/>
      <c r="CR441" s="551">
        <v>245.37916447010653</v>
      </c>
      <c r="CS441" s="551">
        <v>45.790521033679269</v>
      </c>
      <c r="CT441" s="551">
        <v>1.1955469242500707</v>
      </c>
      <c r="CU441" s="551">
        <v>13764.752220101647</v>
      </c>
      <c r="CV441" s="551"/>
      <c r="CW441" s="551">
        <v>23.983065152500711</v>
      </c>
      <c r="CX441" s="551">
        <v>2.9749566063898101</v>
      </c>
      <c r="CY441" s="554"/>
    </row>
    <row r="442" spans="65:103" ht="12.75" customHeight="1" x14ac:dyDescent="0.3">
      <c r="BM442" s="562"/>
      <c r="BN442" s="591">
        <v>429</v>
      </c>
      <c r="BO442" s="549" t="s">
        <v>2758</v>
      </c>
      <c r="BP442" s="554" t="s">
        <v>620</v>
      </c>
      <c r="BQ442" s="553" t="s">
        <v>2408</v>
      </c>
      <c r="BR442" s="551">
        <v>446993.48406723281</v>
      </c>
      <c r="BS442" s="551"/>
      <c r="BT442" s="551">
        <v>1236376.2715628636</v>
      </c>
      <c r="BU442" s="551">
        <v>41575.33391406366</v>
      </c>
      <c r="BV442" s="551">
        <v>1282685.7386562817</v>
      </c>
      <c r="BW442" s="551">
        <v>10763.61800696614</v>
      </c>
      <c r="BX442" s="551">
        <v>1251.5259468386134</v>
      </c>
      <c r="BY442" s="551">
        <v>35895536.758120701</v>
      </c>
      <c r="BZ442" s="551">
        <v>463.5281284587457</v>
      </c>
      <c r="CA442" s="551">
        <v>888279.34248945653</v>
      </c>
      <c r="CB442" s="551">
        <v>1.4919498627739694E-31</v>
      </c>
      <c r="CC442" s="551">
        <v>144.2161574244243</v>
      </c>
      <c r="CD442" s="551">
        <v>455794.21311695169</v>
      </c>
      <c r="CE442" s="551">
        <v>149.61788952669403</v>
      </c>
      <c r="CF442" s="551">
        <v>5900.1267553464431</v>
      </c>
      <c r="CG442" s="551">
        <v>1581.5354602986836</v>
      </c>
      <c r="CH442" s="551">
        <v>9536.0625204386379</v>
      </c>
      <c r="CI442" s="551">
        <v>585.75387418469734</v>
      </c>
      <c r="CJ442" s="551">
        <v>297278.07629083609</v>
      </c>
      <c r="CK442" s="551">
        <v>179966.19529323417</v>
      </c>
      <c r="CL442" s="551"/>
      <c r="CM442" s="551">
        <v>468.65825033571195</v>
      </c>
      <c r="CN442" s="551">
        <v>1899.7476185964676</v>
      </c>
      <c r="CO442" s="551">
        <v>33937.328063020337</v>
      </c>
      <c r="CP442" s="551">
        <v>65830.866073853758</v>
      </c>
      <c r="CQ442" s="551"/>
      <c r="CR442" s="551">
        <v>223.48995806892012</v>
      </c>
      <c r="CS442" s="551">
        <v>672.74501945793133</v>
      </c>
      <c r="CT442" s="551">
        <v>50640.540418693301</v>
      </c>
      <c r="CU442" s="551">
        <v>3577.1977101549392</v>
      </c>
      <c r="CV442" s="551"/>
      <c r="CW442" s="551">
        <v>6.4716940641879974</v>
      </c>
      <c r="CX442" s="551">
        <v>95.307380066368893</v>
      </c>
      <c r="CY442" s="554"/>
    </row>
    <row r="443" spans="65:103" ht="12.75" customHeight="1" x14ac:dyDescent="0.3">
      <c r="BM443" s="562"/>
      <c r="BN443" s="591">
        <v>430</v>
      </c>
      <c r="BO443" s="549" t="s">
        <v>2708</v>
      </c>
      <c r="BP443" s="554" t="s">
        <v>620</v>
      </c>
      <c r="BQ443" s="553" t="s">
        <v>2408</v>
      </c>
      <c r="BR443" s="551">
        <v>187894.87358449021</v>
      </c>
      <c r="BS443" s="551"/>
      <c r="BT443" s="551">
        <v>1011362.5967410705</v>
      </c>
      <c r="BU443" s="551">
        <v>33795.994539490632</v>
      </c>
      <c r="BV443" s="551">
        <v>941916.2247374088</v>
      </c>
      <c r="BW443" s="551">
        <v>6925.7698368143083</v>
      </c>
      <c r="BX443" s="551">
        <v>20683.998013630546</v>
      </c>
      <c r="BY443" s="551">
        <v>11029285.397248928</v>
      </c>
      <c r="BZ443" s="551">
        <v>7660.740005048352</v>
      </c>
      <c r="CA443" s="551">
        <v>144823.90485929875</v>
      </c>
      <c r="CB443" s="551">
        <v>7.1678408490180348E-31</v>
      </c>
      <c r="CC443" s="551">
        <v>776.48808781462378</v>
      </c>
      <c r="CD443" s="551">
        <v>324375.14076026238</v>
      </c>
      <c r="CE443" s="551">
        <v>723.16964319688987</v>
      </c>
      <c r="CF443" s="551">
        <v>3323.6890884579961</v>
      </c>
      <c r="CG443" s="551">
        <v>8395.8930809703124</v>
      </c>
      <c r="CH443" s="551">
        <v>36543.963648233104</v>
      </c>
      <c r="CI443" s="551">
        <v>3109.5900299890031</v>
      </c>
      <c r="CJ443" s="551">
        <v>17108.761202741571</v>
      </c>
      <c r="CK443" s="551">
        <v>67129.570296001591</v>
      </c>
      <c r="CL443" s="551"/>
      <c r="CM443" s="551">
        <v>137.52082163184036</v>
      </c>
      <c r="CN443" s="551">
        <v>3559.9907230362278</v>
      </c>
      <c r="CO443" s="551">
        <v>636.83633754421601</v>
      </c>
      <c r="CP443" s="551">
        <v>13109.249289865647</v>
      </c>
      <c r="CQ443" s="551"/>
      <c r="CR443" s="551">
        <v>46.187438240937432</v>
      </c>
      <c r="CS443" s="551">
        <v>422.04374331776103</v>
      </c>
      <c r="CT443" s="551">
        <v>931.96624466133289</v>
      </c>
      <c r="CU443" s="551">
        <v>679.08354066912648</v>
      </c>
      <c r="CV443" s="551"/>
      <c r="CW443" s="551">
        <v>0.77274014545862302</v>
      </c>
      <c r="CX443" s="551">
        <v>55.587886980980869</v>
      </c>
      <c r="CY443" s="554"/>
    </row>
    <row r="444" spans="65:103" ht="12.75" customHeight="1" x14ac:dyDescent="0.3">
      <c r="BM444" s="562"/>
      <c r="BN444" s="591">
        <v>431</v>
      </c>
      <c r="BO444" s="549" t="s">
        <v>2606</v>
      </c>
      <c r="BP444" s="554" t="s">
        <v>620</v>
      </c>
      <c r="BQ444" s="553" t="s">
        <v>2408</v>
      </c>
      <c r="BR444" s="551">
        <v>467845.27187551663</v>
      </c>
      <c r="BS444" s="551"/>
      <c r="BT444" s="551">
        <v>1012072.533316339</v>
      </c>
      <c r="BU444" s="551">
        <v>35453.893300418364</v>
      </c>
      <c r="BV444" s="551">
        <v>1334639.8278209737</v>
      </c>
      <c r="BW444" s="551">
        <v>12312.175351936703</v>
      </c>
      <c r="BX444" s="551">
        <v>5570.7958173079533</v>
      </c>
      <c r="BY444" s="551">
        <v>42360790.296293221</v>
      </c>
      <c r="BZ444" s="551">
        <v>2063.2577101140564</v>
      </c>
      <c r="CA444" s="551">
        <v>2195061.3036437891</v>
      </c>
      <c r="CB444" s="551">
        <v>1.2218482622426839E-30</v>
      </c>
      <c r="CC444" s="551">
        <v>1310.7368434944531</v>
      </c>
      <c r="CD444" s="551">
        <v>1086017.0164816864</v>
      </c>
      <c r="CE444" s="551">
        <v>1728.4942902143289</v>
      </c>
      <c r="CF444" s="551">
        <v>18857.212420662239</v>
      </c>
      <c r="CG444" s="551">
        <v>17365.520314033762</v>
      </c>
      <c r="CH444" s="551">
        <v>117078.93620273938</v>
      </c>
      <c r="CI444" s="551">
        <v>6431.6741903828697</v>
      </c>
      <c r="CJ444" s="551">
        <v>2640905.1056153672</v>
      </c>
      <c r="CK444" s="551">
        <v>2098542.728882629</v>
      </c>
      <c r="CL444" s="551"/>
      <c r="CM444" s="551">
        <v>7341.8130045039161</v>
      </c>
      <c r="CN444" s="551">
        <v>74989.006220499359</v>
      </c>
      <c r="CO444" s="551">
        <v>847831.84675912454</v>
      </c>
      <c r="CP444" s="551">
        <v>6610133.5896513471</v>
      </c>
      <c r="CQ444" s="551"/>
      <c r="CR444" s="551">
        <v>28016.17172506663</v>
      </c>
      <c r="CS444" s="551">
        <v>74217.253470938769</v>
      </c>
      <c r="CT444" s="551">
        <v>1861688.6859589606</v>
      </c>
      <c r="CU444" s="551">
        <v>342947.75881147158</v>
      </c>
      <c r="CV444" s="551"/>
      <c r="CW444" s="551">
        <v>903.34667358880642</v>
      </c>
      <c r="CX444" s="551">
        <v>15657.077066215843</v>
      </c>
      <c r="CY444" s="554"/>
    </row>
    <row r="445" spans="65:103" ht="12.75" customHeight="1" x14ac:dyDescent="0.3">
      <c r="BM445" s="562"/>
      <c r="BN445" s="591">
        <v>432</v>
      </c>
      <c r="BO445" s="549" t="s">
        <v>2498</v>
      </c>
      <c r="BP445" s="554" t="s">
        <v>620</v>
      </c>
      <c r="BQ445" s="553" t="s">
        <v>2408</v>
      </c>
      <c r="BR445" s="551">
        <v>61292.142041795501</v>
      </c>
      <c r="BS445" s="551"/>
      <c r="BT445" s="551">
        <v>7720458.9935847931</v>
      </c>
      <c r="BU445" s="551">
        <v>361514.4907225995</v>
      </c>
      <c r="BV445" s="551">
        <v>10615705.699828956</v>
      </c>
      <c r="BW445" s="551">
        <v>131218.99807222278</v>
      </c>
      <c r="BX445" s="551">
        <v>2877425.666673827</v>
      </c>
      <c r="BY445" s="551">
        <v>44332412.476197556</v>
      </c>
      <c r="BZ445" s="551">
        <v>1065713.2098791949</v>
      </c>
      <c r="CA445" s="551">
        <v>50516.64794219513</v>
      </c>
      <c r="CB445" s="551">
        <v>3.1384846614875484E-30</v>
      </c>
      <c r="CC445" s="551">
        <v>61067.467054260225</v>
      </c>
      <c r="CD445" s="551">
        <v>7954526.9173150789</v>
      </c>
      <c r="CE445" s="551">
        <v>83968.357143105313</v>
      </c>
      <c r="CF445" s="551">
        <v>144362.82348492887</v>
      </c>
      <c r="CG445" s="551">
        <v>1231190.7975800952</v>
      </c>
      <c r="CH445" s="551">
        <v>2985771.0925492812</v>
      </c>
      <c r="CI445" s="551">
        <v>455996.59169633163</v>
      </c>
      <c r="CJ445" s="551">
        <v>6443.2154122892671</v>
      </c>
      <c r="CK445" s="551">
        <v>4692340.9007600546</v>
      </c>
      <c r="CL445" s="551"/>
      <c r="CM445" s="551">
        <v>17158.265308122915</v>
      </c>
      <c r="CN445" s="551">
        <v>563633.94692679506</v>
      </c>
      <c r="CO445" s="551">
        <v>351.41682313513996</v>
      </c>
      <c r="CP445" s="551">
        <v>525518.31030478526</v>
      </c>
      <c r="CQ445" s="551"/>
      <c r="CR445" s="551">
        <v>2335.6713935238263</v>
      </c>
      <c r="CS445" s="551">
        <v>85466.836628346675</v>
      </c>
      <c r="CT445" s="551">
        <v>359.84623085307101</v>
      </c>
      <c r="CU445" s="551">
        <v>99209.646448832864</v>
      </c>
      <c r="CV445" s="551"/>
      <c r="CW445" s="551">
        <v>272.09304640951581</v>
      </c>
      <c r="CX445" s="551">
        <v>7974.7219113967831</v>
      </c>
      <c r="CY445" s="554"/>
    </row>
    <row r="446" spans="65:103" ht="12.75" customHeight="1" x14ac:dyDescent="0.3">
      <c r="BM446" s="562"/>
      <c r="BN446" s="591">
        <v>433</v>
      </c>
      <c r="BO446" s="549" t="s">
        <v>2877</v>
      </c>
      <c r="BP446" s="554" t="s">
        <v>620</v>
      </c>
      <c r="BQ446" s="553" t="s">
        <v>2408</v>
      </c>
      <c r="BR446" s="551">
        <v>105635.58936589456</v>
      </c>
      <c r="BS446" s="551"/>
      <c r="BT446" s="551">
        <v>1220938.8333226296</v>
      </c>
      <c r="BU446" s="551">
        <v>43178.97863678154</v>
      </c>
      <c r="BV446" s="551">
        <v>1567370.3209789158</v>
      </c>
      <c r="BW446" s="551">
        <v>15979.09711161662</v>
      </c>
      <c r="BX446" s="551">
        <v>51.16332133489464</v>
      </c>
      <c r="BY446" s="551">
        <v>90514439.433462873</v>
      </c>
      <c r="BZ446" s="551">
        <v>18.949378272183196</v>
      </c>
      <c r="CA446" s="551">
        <v>25916.250215059932</v>
      </c>
      <c r="CB446" s="551">
        <v>6.7869862243629462E-34</v>
      </c>
      <c r="CC446" s="551">
        <v>0.70772343430915241</v>
      </c>
      <c r="CD446" s="551">
        <v>1070607.2195154927</v>
      </c>
      <c r="CE446" s="551">
        <v>0.90853421655752742</v>
      </c>
      <c r="CF446" s="551">
        <v>19809.797810343774</v>
      </c>
      <c r="CG446" s="551">
        <v>8.2625967158243938</v>
      </c>
      <c r="CH446" s="551">
        <v>61.868370787392898</v>
      </c>
      <c r="CI446" s="551">
        <v>3.0602210058608854</v>
      </c>
      <c r="CJ446" s="551">
        <v>1426.7259342817338</v>
      </c>
      <c r="CK446" s="551">
        <v>3748944.4486533771</v>
      </c>
      <c r="CL446" s="551"/>
      <c r="CM446" s="551">
        <v>14013.578797282044</v>
      </c>
      <c r="CN446" s="551">
        <v>1.6326331213351128</v>
      </c>
      <c r="CO446" s="551">
        <v>126.39974461302997</v>
      </c>
      <c r="CP446" s="551">
        <v>678555.49219615851</v>
      </c>
      <c r="CQ446" s="551"/>
      <c r="CR446" s="551">
        <v>2538.769753927917</v>
      </c>
      <c r="CS446" s="551">
        <v>0.44371222334261817</v>
      </c>
      <c r="CT446" s="551">
        <v>188.60535122442786</v>
      </c>
      <c r="CU446" s="551">
        <v>1349490.3224338593</v>
      </c>
      <c r="CV446" s="551"/>
      <c r="CW446" s="551">
        <v>5035.7831665622271</v>
      </c>
      <c r="CX446" s="551">
        <v>6.4468611712733923E-2</v>
      </c>
      <c r="CY446" s="554"/>
    </row>
    <row r="447" spans="65:103" ht="12.75" customHeight="1" x14ac:dyDescent="0.3">
      <c r="BM447" s="562"/>
      <c r="BN447" s="591">
        <v>434</v>
      </c>
      <c r="BO447" s="549" t="s">
        <v>2796</v>
      </c>
      <c r="BP447" s="554" t="s">
        <v>620</v>
      </c>
      <c r="BQ447" s="553" t="s">
        <v>2408</v>
      </c>
      <c r="BR447" s="551">
        <v>85669.870287404192</v>
      </c>
      <c r="BS447" s="551"/>
      <c r="BT447" s="551">
        <v>11508500.050527079</v>
      </c>
      <c r="BU447" s="551">
        <v>552442.88798356173</v>
      </c>
      <c r="BV447" s="551">
        <v>20981842.595748927</v>
      </c>
      <c r="BW447" s="551">
        <v>291208.30770313303</v>
      </c>
      <c r="BX447" s="551">
        <v>7649843.9052748913</v>
      </c>
      <c r="BY447" s="551">
        <v>135824551.80201772</v>
      </c>
      <c r="BZ447" s="551">
        <v>2833275.5204721796</v>
      </c>
      <c r="CA447" s="551">
        <v>94350.738058257586</v>
      </c>
      <c r="CB447" s="551">
        <v>4.9894401208160009E-30</v>
      </c>
      <c r="CC447" s="551">
        <v>173889.68846274458</v>
      </c>
      <c r="CD447" s="551">
        <v>21578128.195397679</v>
      </c>
      <c r="CE447" s="551">
        <v>317028.80969114881</v>
      </c>
      <c r="CF447" s="551">
        <v>568722.15498319478</v>
      </c>
      <c r="CG447" s="551">
        <v>4392398.2525483388</v>
      </c>
      <c r="CH447" s="551">
        <v>12257654.25149538</v>
      </c>
      <c r="CI447" s="551">
        <v>1626814.167610496</v>
      </c>
      <c r="CJ447" s="551">
        <v>16563.990726583794</v>
      </c>
      <c r="CK447" s="551">
        <v>33410486.598332293</v>
      </c>
      <c r="CL447" s="551"/>
      <c r="CM447" s="551">
        <v>177735.03554386302</v>
      </c>
      <c r="CN447" s="551">
        <v>2767738.41988482</v>
      </c>
      <c r="CO447" s="551">
        <v>1144.7668259491506</v>
      </c>
      <c r="CP447" s="551">
        <v>7913274.0191691583</v>
      </c>
      <c r="CQ447" s="551"/>
      <c r="CR447" s="551">
        <v>45512.472609070428</v>
      </c>
      <c r="CS447" s="551">
        <v>531308.86518651515</v>
      </c>
      <c r="CT447" s="551">
        <v>1308.8230799451449</v>
      </c>
      <c r="CU447" s="551">
        <v>1915517.2158496543</v>
      </c>
      <c r="CV447" s="551"/>
      <c r="CW447" s="551">
        <v>8934.1684619627085</v>
      </c>
      <c r="CX447" s="551">
        <v>56427.195567638686</v>
      </c>
      <c r="CY447" s="554"/>
    </row>
    <row r="448" spans="65:103" ht="12.75" customHeight="1" x14ac:dyDescent="0.3">
      <c r="BM448" s="562"/>
      <c r="BN448" s="591">
        <v>435</v>
      </c>
      <c r="BO448" s="549" t="s">
        <v>2806</v>
      </c>
      <c r="BP448" s="554" t="s">
        <v>620</v>
      </c>
      <c r="BQ448" s="553" t="s">
        <v>2408</v>
      </c>
      <c r="BR448" s="551">
        <v>53264.580147589084</v>
      </c>
      <c r="BS448" s="551"/>
      <c r="BT448" s="551">
        <v>7362472.0599087765</v>
      </c>
      <c r="BU448" s="551">
        <v>336453.16817519488</v>
      </c>
      <c r="BV448" s="551">
        <v>11522370.826606376</v>
      </c>
      <c r="BW448" s="551">
        <v>133071.03719329051</v>
      </c>
      <c r="BX448" s="551">
        <v>78946.937502222368</v>
      </c>
      <c r="BY448" s="551">
        <v>1798164.0434621768</v>
      </c>
      <c r="BZ448" s="551">
        <v>29239.606482304578</v>
      </c>
      <c r="CA448" s="551">
        <v>25677.792917151248</v>
      </c>
      <c r="CB448" s="551">
        <v>1.5497704566459942E-30</v>
      </c>
      <c r="CC448" s="551">
        <v>15721.088291968779</v>
      </c>
      <c r="CD448" s="551">
        <v>4678834.5201077815</v>
      </c>
      <c r="CE448" s="551">
        <v>24603.721090403506</v>
      </c>
      <c r="CF448" s="551">
        <v>92526.601224083352</v>
      </c>
      <c r="CG448" s="551">
        <v>19703.416983059509</v>
      </c>
      <c r="CH448" s="551">
        <v>43908.973720727496</v>
      </c>
      <c r="CI448" s="551">
        <v>7297.5618455775921</v>
      </c>
      <c r="CJ448" s="551">
        <v>1866.8011510890487</v>
      </c>
      <c r="CK448" s="551">
        <v>1687845.5459704662</v>
      </c>
      <c r="CL448" s="551"/>
      <c r="CM448" s="551">
        <v>6714.4318528269869</v>
      </c>
      <c r="CN448" s="551">
        <v>5141.4494670722934</v>
      </c>
      <c r="CO448" s="551">
        <v>47.740945120583305</v>
      </c>
      <c r="CP448" s="551">
        <v>114841.68106989672</v>
      </c>
      <c r="CQ448" s="551"/>
      <c r="CR448" s="551">
        <v>622.72525694508442</v>
      </c>
      <c r="CS448" s="551">
        <v>523.74590339758595</v>
      </c>
      <c r="CT448" s="551">
        <v>59.954517396527301</v>
      </c>
      <c r="CU448" s="551">
        <v>20519.977715033274</v>
      </c>
      <c r="CV448" s="551"/>
      <c r="CW448" s="551">
        <v>54.329734054725662</v>
      </c>
      <c r="CX448" s="551">
        <v>38.655247841526084</v>
      </c>
      <c r="CY448" s="554"/>
    </row>
    <row r="449" spans="65:103" ht="12.75" customHeight="1" x14ac:dyDescent="0.3">
      <c r="BM449" s="562"/>
      <c r="BN449" s="591">
        <v>436</v>
      </c>
      <c r="BO449" s="549" t="s">
        <v>2592</v>
      </c>
      <c r="BP449" s="554" t="s">
        <v>620</v>
      </c>
      <c r="BQ449" s="553" t="s">
        <v>2408</v>
      </c>
      <c r="BR449" s="551">
        <v>74243.156796174997</v>
      </c>
      <c r="BS449" s="551"/>
      <c r="BT449" s="551">
        <v>3361403.7450468005</v>
      </c>
      <c r="BU449" s="551">
        <v>140136.49112830794</v>
      </c>
      <c r="BV449" s="551">
        <v>4200969.6302844314</v>
      </c>
      <c r="BW449" s="551">
        <v>38245.737482637567</v>
      </c>
      <c r="BX449" s="551">
        <v>257228.68859003094</v>
      </c>
      <c r="BY449" s="551">
        <v>11673980.225445593</v>
      </c>
      <c r="BZ449" s="551">
        <v>95269.884662974393</v>
      </c>
      <c r="CA449" s="551">
        <v>54462.307596243234</v>
      </c>
      <c r="CB449" s="551">
        <v>1.8869290034273822E-30</v>
      </c>
      <c r="CC449" s="551">
        <v>9771.3469703935334</v>
      </c>
      <c r="CD449" s="551">
        <v>1209532.3065883166</v>
      </c>
      <c r="CE449" s="551">
        <v>12211.901628920063</v>
      </c>
      <c r="CF449" s="551">
        <v>16505.142487188092</v>
      </c>
      <c r="CG449" s="551">
        <v>97887.828074501886</v>
      </c>
      <c r="CH449" s="551">
        <v>231069.69227358446</v>
      </c>
      <c r="CI449" s="551">
        <v>36254.751138704392</v>
      </c>
      <c r="CJ449" s="551">
        <v>6121.0306054007042</v>
      </c>
      <c r="CK449" s="551">
        <v>227673.55675377409</v>
      </c>
      <c r="CL449" s="551"/>
      <c r="CM449" s="551">
        <v>621.1070401479119</v>
      </c>
      <c r="CN449" s="551">
        <v>39487.611045239217</v>
      </c>
      <c r="CO449" s="551">
        <v>212.36661910213101</v>
      </c>
      <c r="CP449" s="551">
        <v>17152.233135420982</v>
      </c>
      <c r="CQ449" s="551"/>
      <c r="CR449" s="551">
        <v>84.48027143646101</v>
      </c>
      <c r="CS449" s="551">
        <v>5488.4967271002988</v>
      </c>
      <c r="CT449" s="551">
        <v>310.83847672499155</v>
      </c>
      <c r="CU449" s="551">
        <v>2613.8804277660456</v>
      </c>
      <c r="CV449" s="551"/>
      <c r="CW449" s="551">
        <v>3.8482856132648329</v>
      </c>
      <c r="CX449" s="551">
        <v>485.59082641339137</v>
      </c>
      <c r="CY449" s="554"/>
    </row>
    <row r="450" spans="65:103" ht="12.75" customHeight="1" x14ac:dyDescent="0.3">
      <c r="BM450" s="562"/>
      <c r="BN450" s="591">
        <v>437</v>
      </c>
      <c r="BO450" s="549" t="s">
        <v>2698</v>
      </c>
      <c r="BP450" s="554" t="s">
        <v>620</v>
      </c>
      <c r="BQ450" s="553" t="s">
        <v>2408</v>
      </c>
      <c r="BR450" s="551">
        <v>80178.147768958137</v>
      </c>
      <c r="BS450" s="551"/>
      <c r="BT450" s="551">
        <v>1240135.7476667962</v>
      </c>
      <c r="BU450" s="551">
        <v>43608.199706864558</v>
      </c>
      <c r="BV450" s="551">
        <v>2238345.4246575236</v>
      </c>
      <c r="BW450" s="551">
        <v>20012.374399927012</v>
      </c>
      <c r="BX450" s="551">
        <v>12626.702771664184</v>
      </c>
      <c r="BY450" s="551">
        <v>31708836.266615234</v>
      </c>
      <c r="BZ450" s="551">
        <v>4676.5565820978463</v>
      </c>
      <c r="CA450" s="551">
        <v>15680.485144068507</v>
      </c>
      <c r="CB450" s="551">
        <v>7.7694557279788333E-32</v>
      </c>
      <c r="CC450" s="551">
        <v>88.077624056621346</v>
      </c>
      <c r="CD450" s="551">
        <v>460759.03300954995</v>
      </c>
      <c r="CE450" s="551">
        <v>158.97303758299066</v>
      </c>
      <c r="CF450" s="551">
        <v>10572.417961207357</v>
      </c>
      <c r="CG450" s="551">
        <v>1570.9080779871283</v>
      </c>
      <c r="CH450" s="551">
        <v>9020.2032740372051</v>
      </c>
      <c r="CI450" s="551">
        <v>581.81780666189923</v>
      </c>
      <c r="CJ450" s="551">
        <v>462.91059817826709</v>
      </c>
      <c r="CK450" s="551">
        <v>153185.87551628609</v>
      </c>
      <c r="CL450" s="551"/>
      <c r="CM450" s="551">
        <v>707.05817640746716</v>
      </c>
      <c r="CN450" s="551">
        <v>166.45316480467278</v>
      </c>
      <c r="CO450" s="551">
        <v>4.9813075757978522</v>
      </c>
      <c r="CP450" s="551">
        <v>8483.8295227246235</v>
      </c>
      <c r="CQ450" s="551"/>
      <c r="CR450" s="551">
        <v>54.177611329209341</v>
      </c>
      <c r="CS450" s="551">
        <v>5.6021028794541934</v>
      </c>
      <c r="CT450" s="551">
        <v>5.9288484374880115</v>
      </c>
      <c r="CU450" s="551">
        <v>1709.2705957296885</v>
      </c>
      <c r="CV450" s="551"/>
      <c r="CW450" s="551">
        <v>5.1803087281748672</v>
      </c>
      <c r="CX450" s="551">
        <v>0.62348213238316097</v>
      </c>
      <c r="CY450" s="554"/>
    </row>
    <row r="451" spans="65:103" ht="12.75" customHeight="1" x14ac:dyDescent="0.3">
      <c r="BM451" s="562"/>
      <c r="BN451" s="591">
        <v>438</v>
      </c>
      <c r="BO451" s="549" t="s">
        <v>2740</v>
      </c>
      <c r="BP451" s="554" t="s">
        <v>620</v>
      </c>
      <c r="BQ451" s="553" t="s">
        <v>2408</v>
      </c>
      <c r="BR451" s="551">
        <v>12087.47469453454</v>
      </c>
      <c r="BS451" s="551"/>
      <c r="BT451" s="551">
        <v>2612330.3717620242</v>
      </c>
      <c r="BU451" s="551">
        <v>104750.55826741747</v>
      </c>
      <c r="BV451" s="551">
        <v>3817936.9968740148</v>
      </c>
      <c r="BW451" s="551">
        <v>33367.202102049392</v>
      </c>
      <c r="BX451" s="551">
        <v>24173.994489017936</v>
      </c>
      <c r="BY451" s="551">
        <v>12589488.822104031</v>
      </c>
      <c r="BZ451" s="551">
        <v>8953.3312922288642</v>
      </c>
      <c r="CA451" s="551">
        <v>672.97651757687106</v>
      </c>
      <c r="CB451" s="551">
        <v>1.9621219106587353E-32</v>
      </c>
      <c r="CC451" s="551">
        <v>65.931967512535365</v>
      </c>
      <c r="CD451" s="551">
        <v>579170.22058253025</v>
      </c>
      <c r="CE451" s="551">
        <v>96.359978341106881</v>
      </c>
      <c r="CF451" s="551">
        <v>9224.4328437516906</v>
      </c>
      <c r="CG451" s="551">
        <v>700.71573256475449</v>
      </c>
      <c r="CH451" s="551">
        <v>1854.9627196896683</v>
      </c>
      <c r="CI451" s="551">
        <v>259.52434539435359</v>
      </c>
      <c r="CJ451" s="551">
        <v>5.7581878731371541</v>
      </c>
      <c r="CK451" s="551">
        <v>82100.779735729113</v>
      </c>
      <c r="CL451" s="551"/>
      <c r="CM451" s="551">
        <v>261.40437591679643</v>
      </c>
      <c r="CN451" s="551">
        <v>21.519463703611265</v>
      </c>
      <c r="CO451" s="551">
        <v>1.8540561927248209E-2</v>
      </c>
      <c r="CP451" s="551">
        <v>2168.0772159859243</v>
      </c>
      <c r="CQ451" s="551"/>
      <c r="CR451" s="551">
        <v>12.763764457518297</v>
      </c>
      <c r="CS451" s="551">
        <v>0.2516567767136611</v>
      </c>
      <c r="CT451" s="551">
        <v>2.2335550758972759E-2</v>
      </c>
      <c r="CU451" s="551">
        <v>373.76948938201957</v>
      </c>
      <c r="CV451" s="551"/>
      <c r="CW451" s="551">
        <v>0.63370649000869428</v>
      </c>
      <c r="CX451" s="551">
        <v>2.1190874817741592E-2</v>
      </c>
      <c r="CY451" s="554"/>
    </row>
    <row r="452" spans="65:103" ht="12.75" customHeight="1" x14ac:dyDescent="0.3">
      <c r="BM452" s="562"/>
      <c r="BN452" s="591">
        <v>439</v>
      </c>
      <c r="BO452" s="549" t="s">
        <v>2555</v>
      </c>
      <c r="BP452" s="554" t="s">
        <v>620</v>
      </c>
      <c r="BQ452" s="553" t="s">
        <v>2408</v>
      </c>
      <c r="BR452" s="551">
        <v>82339.564124047407</v>
      </c>
      <c r="BS452" s="551"/>
      <c r="BT452" s="551">
        <v>10690221.031776462</v>
      </c>
      <c r="BU452" s="551">
        <v>513280.08663250308</v>
      </c>
      <c r="BV452" s="551">
        <v>26694065.302363716</v>
      </c>
      <c r="BW452" s="551">
        <v>384149.28700466832</v>
      </c>
      <c r="BX452" s="551">
        <v>9671826.1077985615</v>
      </c>
      <c r="BY452" s="551">
        <v>136177485.59214213</v>
      </c>
      <c r="BZ452" s="551">
        <v>3582157.8177031693</v>
      </c>
      <c r="CA452" s="551">
        <v>103291.33945009355</v>
      </c>
      <c r="CB452" s="551">
        <v>5.6138717499901473E-30</v>
      </c>
      <c r="CC452" s="551">
        <v>188839.36503844432</v>
      </c>
      <c r="CD452" s="551">
        <v>21239076.922051512</v>
      </c>
      <c r="CE452" s="551">
        <v>471542.19983003044</v>
      </c>
      <c r="CF452" s="551">
        <v>794787.920740537</v>
      </c>
      <c r="CG452" s="551">
        <v>6298819.0815374656</v>
      </c>
      <c r="CH452" s="551">
        <v>16532523.694378356</v>
      </c>
      <c r="CI452" s="551">
        <v>2332895.9561249856</v>
      </c>
      <c r="CJ452" s="551">
        <v>20870.175364881357</v>
      </c>
      <c r="CK452" s="551">
        <v>33693380.500805527</v>
      </c>
      <c r="CL452" s="551"/>
      <c r="CM452" s="551">
        <v>254480.98549480404</v>
      </c>
      <c r="CN452" s="551">
        <v>4567988.2579409759</v>
      </c>
      <c r="CO452" s="551">
        <v>1925.9758491108998</v>
      </c>
      <c r="CP452" s="551">
        <v>8164700.3377565388</v>
      </c>
      <c r="CQ452" s="551"/>
      <c r="CR452" s="551">
        <v>67332.784306406567</v>
      </c>
      <c r="CS452" s="551">
        <v>899093.45598952216</v>
      </c>
      <c r="CT452" s="551">
        <v>1816.8075397468519</v>
      </c>
      <c r="CU452" s="551">
        <v>2010182.3201061985</v>
      </c>
      <c r="CV452" s="551"/>
      <c r="CW452" s="551">
        <v>13115.553926045341</v>
      </c>
      <c r="CX452" s="551">
        <v>112530.00814524888</v>
      </c>
      <c r="CY452" s="554"/>
    </row>
    <row r="453" spans="65:103" ht="12.75" customHeight="1" x14ac:dyDescent="0.3">
      <c r="BM453" s="562"/>
      <c r="BN453" s="591">
        <v>440</v>
      </c>
      <c r="BO453" s="549" t="s">
        <v>2553</v>
      </c>
      <c r="BP453" s="554" t="s">
        <v>620</v>
      </c>
      <c r="BQ453" s="553" t="s">
        <v>2408</v>
      </c>
      <c r="BR453" s="551">
        <v>234454.60791383579</v>
      </c>
      <c r="BS453" s="551"/>
      <c r="BT453" s="551">
        <v>2627336.7109209527</v>
      </c>
      <c r="BU453" s="551">
        <v>119644.52240334456</v>
      </c>
      <c r="BV453" s="551">
        <v>6839156.9478796683</v>
      </c>
      <c r="BW453" s="551">
        <v>93809.354240339177</v>
      </c>
      <c r="BX453" s="551">
        <v>1079086.1015248445</v>
      </c>
      <c r="BY453" s="551">
        <v>90260357.900502354</v>
      </c>
      <c r="BZ453" s="551">
        <v>399661.51908327575</v>
      </c>
      <c r="CA453" s="551">
        <v>604208.38593137963</v>
      </c>
      <c r="CB453" s="551">
        <v>1.4552466889186664E-29</v>
      </c>
      <c r="CC453" s="551">
        <v>69271.257148103206</v>
      </c>
      <c r="CD453" s="551">
        <v>18631919.892418928</v>
      </c>
      <c r="CE453" s="551">
        <v>180318.34200906227</v>
      </c>
      <c r="CF453" s="551">
        <v>730433.92971774295</v>
      </c>
      <c r="CG453" s="551">
        <v>1627134.6396875526</v>
      </c>
      <c r="CH453" s="551">
        <v>9414149.2272730898</v>
      </c>
      <c r="CI453" s="551">
        <v>602642.45914353791</v>
      </c>
      <c r="CJ453" s="551">
        <v>281478.28145561193</v>
      </c>
      <c r="CK453" s="551">
        <v>43894014.986356497</v>
      </c>
      <c r="CL453" s="551"/>
      <c r="CM453" s="551">
        <v>347314.05674506119</v>
      </c>
      <c r="CN453" s="551">
        <v>2720729.0160501478</v>
      </c>
      <c r="CO453" s="551">
        <v>34742.462548170399</v>
      </c>
      <c r="CP453" s="551">
        <v>20223095.975791086</v>
      </c>
      <c r="CQ453" s="551"/>
      <c r="CR453" s="551">
        <v>174943.87193644515</v>
      </c>
      <c r="CS453" s="551">
        <v>1119735.8397168431</v>
      </c>
      <c r="CT453" s="551">
        <v>68961.846577855991</v>
      </c>
      <c r="CU453" s="551">
        <v>4622101.0339361075</v>
      </c>
      <c r="CV453" s="551"/>
      <c r="CW453" s="551">
        <v>31533.401680494862</v>
      </c>
      <c r="CX453" s="551">
        <v>189459.19162588308</v>
      </c>
      <c r="CY453" s="554"/>
    </row>
    <row r="454" spans="65:103" ht="12.75" customHeight="1" x14ac:dyDescent="0.3">
      <c r="BM454" s="562"/>
      <c r="BN454" s="591">
        <v>441</v>
      </c>
      <c r="BO454" s="549" t="s">
        <v>2543</v>
      </c>
      <c r="BP454" s="554" t="s">
        <v>620</v>
      </c>
      <c r="BQ454" s="553" t="s">
        <v>2408</v>
      </c>
      <c r="BR454" s="551">
        <v>48169.878225099113</v>
      </c>
      <c r="BS454" s="551"/>
      <c r="BT454" s="551">
        <v>4694499.6732759122</v>
      </c>
      <c r="BU454" s="551">
        <v>215106.55210338981</v>
      </c>
      <c r="BV454" s="551">
        <v>10168324.544017145</v>
      </c>
      <c r="BW454" s="551">
        <v>119511.60044088615</v>
      </c>
      <c r="BX454" s="551">
        <v>2331274.6392220492</v>
      </c>
      <c r="BY454" s="551">
        <v>24232528.015616938</v>
      </c>
      <c r="BZ454" s="551">
        <v>863435.05156372173</v>
      </c>
      <c r="CA454" s="551">
        <v>46582.429352497144</v>
      </c>
      <c r="CB454" s="551">
        <v>3.2094694337032758E-30</v>
      </c>
      <c r="CC454" s="551">
        <v>41338.009709174548</v>
      </c>
      <c r="CD454" s="551">
        <v>4078260.9107477153</v>
      </c>
      <c r="CE454" s="551">
        <v>89538.465860260301</v>
      </c>
      <c r="CF454" s="551">
        <v>113292.5714472657</v>
      </c>
      <c r="CG454" s="551">
        <v>1168257.3325457666</v>
      </c>
      <c r="CH454" s="551">
        <v>2659416.4237802406</v>
      </c>
      <c r="CI454" s="551">
        <v>432687.90094287635</v>
      </c>
      <c r="CJ454" s="551">
        <v>7027.9089221916283</v>
      </c>
      <c r="CK454" s="551">
        <v>1726061.0081118236</v>
      </c>
      <c r="CL454" s="551"/>
      <c r="CM454" s="551">
        <v>9644.9660572310513</v>
      </c>
      <c r="CN454" s="551">
        <v>632624.72506814601</v>
      </c>
      <c r="CO454" s="551">
        <v>685.4660866524622</v>
      </c>
      <c r="CP454" s="551">
        <v>171504.06634684847</v>
      </c>
      <c r="CQ454" s="551"/>
      <c r="CR454" s="551">
        <v>1350.4663445104309</v>
      </c>
      <c r="CS454" s="551">
        <v>87854.904322628528</v>
      </c>
      <c r="CT454" s="551">
        <v>292.15992171322841</v>
      </c>
      <c r="CU454" s="551">
        <v>34264.816047020671</v>
      </c>
      <c r="CV454" s="551"/>
      <c r="CW454" s="551">
        <v>123.70469810296606</v>
      </c>
      <c r="CX454" s="551">
        <v>12317.920452992528</v>
      </c>
      <c r="CY454" s="554"/>
    </row>
    <row r="455" spans="65:103" ht="12.75" customHeight="1" x14ac:dyDescent="0.3">
      <c r="BM455" s="562"/>
      <c r="BN455" s="591">
        <v>442</v>
      </c>
      <c r="BO455" s="549" t="s">
        <v>2430</v>
      </c>
      <c r="BP455" s="554" t="s">
        <v>620</v>
      </c>
      <c r="BQ455" s="553" t="s">
        <v>2408</v>
      </c>
      <c r="BR455" s="551">
        <v>11072.304496998244</v>
      </c>
      <c r="BS455" s="551"/>
      <c r="BT455" s="551">
        <v>1857145.7988733717</v>
      </c>
      <c r="BU455" s="551">
        <v>78131.573353633226</v>
      </c>
      <c r="BV455" s="551">
        <v>4104649.81473317</v>
      </c>
      <c r="BW455" s="551">
        <v>44340.980451872136</v>
      </c>
      <c r="BX455" s="551">
        <v>8924.5259275299541</v>
      </c>
      <c r="BY455" s="551">
        <v>3865108.216625886</v>
      </c>
      <c r="BZ455" s="551">
        <v>3305.3799731592421</v>
      </c>
      <c r="CA455" s="551">
        <v>656.30643587789177</v>
      </c>
      <c r="CB455" s="551">
        <v>1.4513768613579311E-32</v>
      </c>
      <c r="CC455" s="551">
        <v>45.018672371109659</v>
      </c>
      <c r="CD455" s="551">
        <v>874143.571791669</v>
      </c>
      <c r="CE455" s="551">
        <v>99.499934426100495</v>
      </c>
      <c r="CF455" s="551">
        <v>24804.55810963242</v>
      </c>
      <c r="CG455" s="551">
        <v>246.89025185730165</v>
      </c>
      <c r="CH455" s="551">
        <v>622.9360751877847</v>
      </c>
      <c r="CI455" s="551">
        <v>91.440834021222813</v>
      </c>
      <c r="CJ455" s="551">
        <v>7.6862320870671441</v>
      </c>
      <c r="CK455" s="551">
        <v>298237.41590259329</v>
      </c>
      <c r="CL455" s="551"/>
      <c r="CM455" s="551">
        <v>1702.2635074377538</v>
      </c>
      <c r="CN455" s="551">
        <v>10.37801822290321</v>
      </c>
      <c r="CO455" s="551">
        <v>7.6100711188575837E-2</v>
      </c>
      <c r="CP455" s="551">
        <v>18286.548002558946</v>
      </c>
      <c r="CQ455" s="551"/>
      <c r="CR455" s="551">
        <v>147.37368331818101</v>
      </c>
      <c r="CS455" s="551">
        <v>0.36989758209543677</v>
      </c>
      <c r="CT455" s="551">
        <v>6.3006212773751388E-2</v>
      </c>
      <c r="CU455" s="551">
        <v>3362.0133951932185</v>
      </c>
      <c r="CV455" s="551"/>
      <c r="CW455" s="551">
        <v>12.377019430289502</v>
      </c>
      <c r="CX455" s="551">
        <v>2.1618326340990635E-2</v>
      </c>
      <c r="CY455" s="554"/>
    </row>
    <row r="456" spans="65:103" ht="12.75" customHeight="1" x14ac:dyDescent="0.3">
      <c r="BM456" s="562"/>
      <c r="BN456" s="591">
        <v>443</v>
      </c>
      <c r="BO456" s="549" t="s">
        <v>2640</v>
      </c>
      <c r="BP456" s="554" t="s">
        <v>620</v>
      </c>
      <c r="BQ456" s="553" t="s">
        <v>2408</v>
      </c>
      <c r="BR456" s="551">
        <v>8440.9829935052094</v>
      </c>
      <c r="BS456" s="551"/>
      <c r="BT456" s="551">
        <v>4998126.778130902</v>
      </c>
      <c r="BU456" s="551">
        <v>226422.90330948532</v>
      </c>
      <c r="BV456" s="551">
        <v>11272010.162520114</v>
      </c>
      <c r="BW456" s="551">
        <v>131256.38571106913</v>
      </c>
      <c r="BX456" s="551">
        <v>89103.297628795684</v>
      </c>
      <c r="BY456" s="551">
        <v>23871947.37313208</v>
      </c>
      <c r="BZ456" s="551">
        <v>33001.221343998404</v>
      </c>
      <c r="CA456" s="551">
        <v>579.86569117153829</v>
      </c>
      <c r="CB456" s="551">
        <v>2.1120668740096239E-32</v>
      </c>
      <c r="CC456" s="551">
        <v>201.31647068413392</v>
      </c>
      <c r="CD456" s="551">
        <v>2645949.0600524675</v>
      </c>
      <c r="CE456" s="551">
        <v>454.01835610957545</v>
      </c>
      <c r="CF456" s="551">
        <v>76692.265959372686</v>
      </c>
      <c r="CG456" s="551">
        <v>3207.0503565048466</v>
      </c>
      <c r="CH456" s="551">
        <v>7699.702867387201</v>
      </c>
      <c r="CI456" s="551">
        <v>1187.7964283351291</v>
      </c>
      <c r="CJ456" s="551">
        <v>6.3934265400970895</v>
      </c>
      <c r="CK456" s="551">
        <v>914066.13062243373</v>
      </c>
      <c r="CL456" s="551"/>
      <c r="CM456" s="551">
        <v>5329.1923596110937</v>
      </c>
      <c r="CN456" s="551">
        <v>126.91580256709369</v>
      </c>
      <c r="CO456" s="551">
        <v>3.5817824824349594E-2</v>
      </c>
      <c r="CP456" s="551">
        <v>57080.319417273153</v>
      </c>
      <c r="CQ456" s="551"/>
      <c r="CR456" s="551">
        <v>470.81111297417732</v>
      </c>
      <c r="CS456" s="551">
        <v>2.8783932692036953</v>
      </c>
      <c r="CT456" s="551">
        <v>3.9372872547934798E-2</v>
      </c>
      <c r="CU456" s="551">
        <v>10388.483336603562</v>
      </c>
      <c r="CV456" s="551"/>
      <c r="CW456" s="551">
        <v>38.999077356295707</v>
      </c>
      <c r="CX456" s="551">
        <v>0.18767002813200598</v>
      </c>
      <c r="CY456" s="554"/>
    </row>
    <row r="457" spans="65:103" ht="12.75" customHeight="1" x14ac:dyDescent="0.3">
      <c r="BM457" s="562"/>
      <c r="BN457" s="591">
        <v>444</v>
      </c>
      <c r="BO457" s="549" t="s">
        <v>2449</v>
      </c>
      <c r="BP457" s="554" t="s">
        <v>620</v>
      </c>
      <c r="BQ457" s="553" t="s">
        <v>2408</v>
      </c>
      <c r="BR457" s="551">
        <v>107901.67666342549</v>
      </c>
      <c r="BS457" s="551"/>
      <c r="BT457" s="551">
        <v>4531588.3940307545</v>
      </c>
      <c r="BU457" s="551">
        <v>214380.75221790638</v>
      </c>
      <c r="BV457" s="551">
        <v>12815818.765278362</v>
      </c>
      <c r="BW457" s="551">
        <v>184447.84113015357</v>
      </c>
      <c r="BX457" s="551">
        <v>6339670.1825716048</v>
      </c>
      <c r="BY457" s="551">
        <v>327309991.8169505</v>
      </c>
      <c r="BZ457" s="551">
        <v>2348025.9935450382</v>
      </c>
      <c r="CA457" s="551">
        <v>161548.65676958163</v>
      </c>
      <c r="CB457" s="551">
        <v>4.844662043738668E-30</v>
      </c>
      <c r="CC457" s="551">
        <v>80811.302982911118</v>
      </c>
      <c r="CD457" s="551">
        <v>11502219.451008573</v>
      </c>
      <c r="CE457" s="551">
        <v>228543.04565242885</v>
      </c>
      <c r="CF457" s="551">
        <v>494811.10687291139</v>
      </c>
      <c r="CG457" s="551">
        <v>3091533.2144226437</v>
      </c>
      <c r="CH457" s="551">
        <v>20152055.031426281</v>
      </c>
      <c r="CI457" s="551">
        <v>1145012.301638016</v>
      </c>
      <c r="CJ457" s="551">
        <v>39972.556899391231</v>
      </c>
      <c r="CK457" s="551">
        <v>19659030.598212738</v>
      </c>
      <c r="CL457" s="551"/>
      <c r="CM457" s="551">
        <v>170690.98951787112</v>
      </c>
      <c r="CN457" s="551">
        <v>2745592.9448891506</v>
      </c>
      <c r="CO457" s="551">
        <v>3872.6200985439377</v>
      </c>
      <c r="CP457" s="551">
        <v>5475866.2260407731</v>
      </c>
      <c r="CQ457" s="551"/>
      <c r="CR457" s="551">
        <v>52112.140991296808</v>
      </c>
      <c r="CS457" s="551">
        <v>839629.89963315148</v>
      </c>
      <c r="CT457" s="551">
        <v>4355.2903153099205</v>
      </c>
      <c r="CU457" s="551">
        <v>1266462.5637565416</v>
      </c>
      <c r="CV457" s="551"/>
      <c r="CW457" s="551">
        <v>9445.6204936059876</v>
      </c>
      <c r="CX457" s="551">
        <v>82372.323101182483</v>
      </c>
      <c r="CY457" s="554"/>
    </row>
    <row r="458" spans="65:103" ht="12.75" customHeight="1" x14ac:dyDescent="0.3">
      <c r="BM458" s="562"/>
      <c r="BN458" s="591">
        <v>445</v>
      </c>
      <c r="BO458" s="549" t="s">
        <v>2722</v>
      </c>
      <c r="BP458" s="554" t="s">
        <v>620</v>
      </c>
      <c r="BQ458" s="553" t="s">
        <v>2408</v>
      </c>
      <c r="BR458" s="551">
        <v>185197.98228812154</v>
      </c>
      <c r="BS458" s="551"/>
      <c r="BT458" s="551">
        <v>2049376.2405011454</v>
      </c>
      <c r="BU458" s="551">
        <v>87512.086729857081</v>
      </c>
      <c r="BV458" s="551">
        <v>4909888.5889780121</v>
      </c>
      <c r="BW458" s="551">
        <v>54066.17925340197</v>
      </c>
      <c r="BX458" s="551">
        <v>435697.47571693687</v>
      </c>
      <c r="BY458" s="551">
        <v>24347973.105990838</v>
      </c>
      <c r="BZ458" s="551">
        <v>161369.43545071731</v>
      </c>
      <c r="CA458" s="551">
        <v>300302.94700174592</v>
      </c>
      <c r="CB458" s="551">
        <v>6.9049184123424714E-30</v>
      </c>
      <c r="CC458" s="551">
        <v>22139.666571944112</v>
      </c>
      <c r="CD458" s="551">
        <v>4136440.6006791499</v>
      </c>
      <c r="CE458" s="551">
        <v>53042.137464609528</v>
      </c>
      <c r="CF458" s="551">
        <v>127777.51470932951</v>
      </c>
      <c r="CG458" s="551">
        <v>415943.66719384177</v>
      </c>
      <c r="CH458" s="551">
        <v>1514032.6093367389</v>
      </c>
      <c r="CI458" s="551">
        <v>154053.21007179323</v>
      </c>
      <c r="CJ458" s="551">
        <v>79596.506584296629</v>
      </c>
      <c r="CK458" s="551">
        <v>2582022.0479449732</v>
      </c>
      <c r="CL458" s="551"/>
      <c r="CM458" s="551">
        <v>16043.320086308497</v>
      </c>
      <c r="CN458" s="551">
        <v>395705.95414196781</v>
      </c>
      <c r="CO458" s="551">
        <v>6039.7823128664595</v>
      </c>
      <c r="CP458" s="551">
        <v>729137.13638203242</v>
      </c>
      <c r="CQ458" s="551"/>
      <c r="CR458" s="551">
        <v>6446.7894973336752</v>
      </c>
      <c r="CS458" s="551">
        <v>101562.01597470054</v>
      </c>
      <c r="CT458" s="551">
        <v>10599.284281137214</v>
      </c>
      <c r="CU458" s="551">
        <v>101249.82721117754</v>
      </c>
      <c r="CV458" s="551"/>
      <c r="CW458" s="551">
        <v>403.08112633452146</v>
      </c>
      <c r="CX458" s="551">
        <v>14276.705641118508</v>
      </c>
      <c r="CY458" s="554"/>
    </row>
    <row r="459" spans="65:103" ht="12.75" customHeight="1" x14ac:dyDescent="0.3">
      <c r="BM459" s="562"/>
      <c r="BN459" s="591">
        <v>446</v>
      </c>
      <c r="BO459" s="549" t="s">
        <v>2836</v>
      </c>
      <c r="BP459" s="554" t="s">
        <v>620</v>
      </c>
      <c r="BQ459" s="553" t="s">
        <v>2408</v>
      </c>
      <c r="BR459" s="551">
        <v>113657.55363876859</v>
      </c>
      <c r="BS459" s="551"/>
      <c r="BT459" s="551">
        <v>916372.80535607645</v>
      </c>
      <c r="BU459" s="551">
        <v>31632.220631951077</v>
      </c>
      <c r="BV459" s="551">
        <v>2331975.0431844518</v>
      </c>
      <c r="BW459" s="551">
        <v>20827.310886970739</v>
      </c>
      <c r="BX459" s="551">
        <v>2442.4736223034424</v>
      </c>
      <c r="BY459" s="551">
        <v>24512720.184849404</v>
      </c>
      <c r="BZ459" s="551">
        <v>904.61986011238525</v>
      </c>
      <c r="CA459" s="551">
        <v>45207.192412523145</v>
      </c>
      <c r="CB459" s="551">
        <v>2.3610748044970655E-32</v>
      </c>
      <c r="CC459" s="551">
        <v>25.132020863400101</v>
      </c>
      <c r="CD459" s="551">
        <v>317629.79273677466</v>
      </c>
      <c r="CE459" s="551">
        <v>63.9556794960397</v>
      </c>
      <c r="CF459" s="551">
        <v>10456.702545901606</v>
      </c>
      <c r="CG459" s="551">
        <v>625.59088350740444</v>
      </c>
      <c r="CH459" s="551">
        <v>3742.6921333482396</v>
      </c>
      <c r="CI459" s="551">
        <v>231.70032722496472</v>
      </c>
      <c r="CJ459" s="551">
        <v>2700.9265626770539</v>
      </c>
      <c r="CK459" s="551">
        <v>105274.36750808547</v>
      </c>
      <c r="CL459" s="551"/>
      <c r="CM459" s="551">
        <v>697.1003965129554</v>
      </c>
      <c r="CN459" s="551">
        <v>134.15266564271727</v>
      </c>
      <c r="CO459" s="551">
        <v>54.313365124796697</v>
      </c>
      <c r="CP459" s="551">
        <v>5689.6022087548708</v>
      </c>
      <c r="CQ459" s="551"/>
      <c r="CR459" s="551">
        <v>53.916674661075902</v>
      </c>
      <c r="CS459" s="551">
        <v>8.3631091944530809</v>
      </c>
      <c r="CT459" s="551">
        <v>71.119568110861493</v>
      </c>
      <c r="CU459" s="551">
        <v>1178.9462867819391</v>
      </c>
      <c r="CV459" s="551"/>
      <c r="CW459" s="551">
        <v>4.9778893957874564</v>
      </c>
      <c r="CX459" s="551">
        <v>1.0397564837585134</v>
      </c>
      <c r="CY459" s="554"/>
    </row>
    <row r="460" spans="65:103" ht="12.75" customHeight="1" x14ac:dyDescent="0.3">
      <c r="BM460" s="562"/>
      <c r="BN460" s="591">
        <v>447</v>
      </c>
      <c r="BO460" s="549" t="s">
        <v>2480</v>
      </c>
      <c r="BP460" s="554" t="s">
        <v>620</v>
      </c>
      <c r="BQ460" s="553" t="s">
        <v>2408</v>
      </c>
      <c r="BR460" s="551">
        <v>44325.924758463283</v>
      </c>
      <c r="BS460" s="551"/>
      <c r="BT460" s="551">
        <v>898453.26932439732</v>
      </c>
      <c r="BU460" s="551">
        <v>34568.955890565536</v>
      </c>
      <c r="BV460" s="551">
        <v>2539576.7561666328</v>
      </c>
      <c r="BW460" s="551">
        <v>27155.886507372961</v>
      </c>
      <c r="BX460" s="551">
        <v>19966.368089928044</v>
      </c>
      <c r="BY460" s="551">
        <v>7459568.9039295586</v>
      </c>
      <c r="BZ460" s="551">
        <v>7394.9511444177942</v>
      </c>
      <c r="CA460" s="551">
        <v>9870.9348499071384</v>
      </c>
      <c r="CB460" s="551">
        <v>8.3848594759665939E-32</v>
      </c>
      <c r="CC460" s="551">
        <v>132.3629808040514</v>
      </c>
      <c r="CD460" s="551">
        <v>519319.23199889937</v>
      </c>
      <c r="CE460" s="551">
        <v>374.13848989571613</v>
      </c>
      <c r="CF460" s="551">
        <v>20397.743816594459</v>
      </c>
      <c r="CG460" s="551">
        <v>2336.1840798262078</v>
      </c>
      <c r="CH460" s="551">
        <v>9000.7145734457408</v>
      </c>
      <c r="CI460" s="551">
        <v>865.25336289859536</v>
      </c>
      <c r="CJ460" s="551">
        <v>340.24677048802812</v>
      </c>
      <c r="CK460" s="551">
        <v>268495.36746377556</v>
      </c>
      <c r="CL460" s="551"/>
      <c r="CM460" s="551">
        <v>2124.6040885258822</v>
      </c>
      <c r="CN460" s="551">
        <v>289.03234180291622</v>
      </c>
      <c r="CO460" s="551">
        <v>4.7092317366093486</v>
      </c>
      <c r="CP460" s="551">
        <v>22939.741006124437</v>
      </c>
      <c r="CQ460" s="551"/>
      <c r="CR460" s="551">
        <v>232.96258605567675</v>
      </c>
      <c r="CS460" s="551">
        <v>13.221489963849772</v>
      </c>
      <c r="CT460" s="551">
        <v>5.2063070196207635</v>
      </c>
      <c r="CU460" s="551">
        <v>4761.318060634906</v>
      </c>
      <c r="CV460" s="551"/>
      <c r="CW460" s="551">
        <v>26.623887518173692</v>
      </c>
      <c r="CX460" s="551">
        <v>1.2336317329012234</v>
      </c>
      <c r="CY460" s="554"/>
    </row>
    <row r="461" spans="65:103" ht="12.75" customHeight="1" x14ac:dyDescent="0.3">
      <c r="BM461" s="562"/>
      <c r="BN461" s="591">
        <v>448</v>
      </c>
      <c r="BO461" s="549" t="s">
        <v>2777</v>
      </c>
      <c r="BP461" s="554" t="s">
        <v>620</v>
      </c>
      <c r="BQ461" s="553" t="s">
        <v>2408</v>
      </c>
      <c r="BR461" s="551">
        <v>62903.312061731922</v>
      </c>
      <c r="BS461" s="551"/>
      <c r="BT461" s="551">
        <v>4480001.840561294</v>
      </c>
      <c r="BU461" s="551">
        <v>203402.51031991414</v>
      </c>
      <c r="BV461" s="551">
        <v>12353267.026895262</v>
      </c>
      <c r="BW461" s="551">
        <v>145780.34584116514</v>
      </c>
      <c r="BX461" s="551">
        <v>724897.30795694888</v>
      </c>
      <c r="BY461" s="551">
        <v>23575519.485792901</v>
      </c>
      <c r="BZ461" s="551">
        <v>268480.48442849953</v>
      </c>
      <c r="CA461" s="551">
        <v>51502.762047686956</v>
      </c>
      <c r="CB461" s="551">
        <v>1.8417441454729159E-30</v>
      </c>
      <c r="CC461" s="551">
        <v>16836.736813743177</v>
      </c>
      <c r="CD461" s="551">
        <v>3257975.8672879441</v>
      </c>
      <c r="CE461" s="551">
        <v>46426.031310663158</v>
      </c>
      <c r="CF461" s="551">
        <v>116750.98009567351</v>
      </c>
      <c r="CG461" s="551">
        <v>310219.58918687806</v>
      </c>
      <c r="CH461" s="551">
        <v>737986.9260372133</v>
      </c>
      <c r="CI461" s="551">
        <v>114896.14414328818</v>
      </c>
      <c r="CJ461" s="551">
        <v>6503.965698083608</v>
      </c>
      <c r="CK461" s="551">
        <v>1276520.43878179</v>
      </c>
      <c r="CL461" s="551"/>
      <c r="CM461" s="551">
        <v>9200.8691790433422</v>
      </c>
      <c r="CN461" s="551">
        <v>140611.420417274</v>
      </c>
      <c r="CO461" s="551">
        <v>307.17699947027637</v>
      </c>
      <c r="CP461" s="551">
        <v>113737.91722304634</v>
      </c>
      <c r="CQ461" s="551"/>
      <c r="CR461" s="551">
        <v>1181.891572947093</v>
      </c>
      <c r="CS461" s="551">
        <v>25638.256710301182</v>
      </c>
      <c r="CT461" s="551">
        <v>364.40144183496022</v>
      </c>
      <c r="CU461" s="551">
        <v>19393.6665542193</v>
      </c>
      <c r="CV461" s="551"/>
      <c r="CW461" s="551">
        <v>88.586248178569321</v>
      </c>
      <c r="CX461" s="551">
        <v>1869.8308067814633</v>
      </c>
      <c r="CY461" s="554"/>
    </row>
    <row r="462" spans="65:103" ht="12.75" customHeight="1" x14ac:dyDescent="0.3">
      <c r="BM462" s="562"/>
      <c r="BN462" s="591">
        <v>449</v>
      </c>
      <c r="BO462" s="549" t="s">
        <v>2854</v>
      </c>
      <c r="BP462" s="554" t="s">
        <v>620</v>
      </c>
      <c r="BQ462" s="553" t="s">
        <v>2408</v>
      </c>
      <c r="BR462" s="551">
        <v>441724.02802409919</v>
      </c>
      <c r="BS462" s="551"/>
      <c r="BT462" s="551">
        <v>892056.67235561751</v>
      </c>
      <c r="BU462" s="551">
        <v>31739.718231981595</v>
      </c>
      <c r="BV462" s="551">
        <v>2734345.3437507632</v>
      </c>
      <c r="BW462" s="551">
        <v>27217.747311974228</v>
      </c>
      <c r="BX462" s="551">
        <v>21358.057724571252</v>
      </c>
      <c r="BY462" s="551">
        <v>36072927.600647658</v>
      </c>
      <c r="BZ462" s="551">
        <v>7910.3917498412029</v>
      </c>
      <c r="CA462" s="551">
        <v>2938311.9900116627</v>
      </c>
      <c r="CB462" s="551">
        <v>3.0064816891290083E-30</v>
      </c>
      <c r="CC462" s="551">
        <v>3399.1402966448986</v>
      </c>
      <c r="CD462" s="551">
        <v>2031350.9660315884</v>
      </c>
      <c r="CE462" s="551">
        <v>10419.095255846429</v>
      </c>
      <c r="CF462" s="551">
        <v>87097.177251675137</v>
      </c>
      <c r="CG462" s="551">
        <v>96211.927997125676</v>
      </c>
      <c r="CH462" s="551">
        <v>641945.82076231833</v>
      </c>
      <c r="CI462" s="551">
        <v>35634.047406342841</v>
      </c>
      <c r="CJ462" s="551">
        <v>8514502.5463112928</v>
      </c>
      <c r="CK462" s="551">
        <v>10648816.523025347</v>
      </c>
      <c r="CL462" s="551"/>
      <c r="CM462" s="551">
        <v>91982.569596549831</v>
      </c>
      <c r="CN462" s="551">
        <v>1000677.0633059008</v>
      </c>
      <c r="CO462" s="551">
        <v>3463849.5710225259</v>
      </c>
      <c r="CP462" s="551">
        <v>48662852.988278434</v>
      </c>
      <c r="CQ462" s="551"/>
      <c r="CR462" s="551">
        <v>542489.51191399957</v>
      </c>
      <c r="CS462" s="551">
        <v>1254735.7440952407</v>
      </c>
      <c r="CT462" s="551">
        <v>11065638.573731564</v>
      </c>
      <c r="CU462" s="551">
        <v>3574321.7216405785</v>
      </c>
      <c r="CV462" s="551"/>
      <c r="CW462" s="551">
        <v>21691.865183277165</v>
      </c>
      <c r="CX462" s="551">
        <v>384977.38487513474</v>
      </c>
      <c r="CY462" s="554"/>
    </row>
    <row r="463" spans="65:103" ht="12.75" customHeight="1" x14ac:dyDescent="0.3">
      <c r="BM463" s="562"/>
      <c r="BN463" s="591">
        <v>450</v>
      </c>
      <c r="BO463" s="549" t="s">
        <v>2421</v>
      </c>
      <c r="BP463" s="554" t="s">
        <v>620</v>
      </c>
      <c r="BQ463" s="553" t="s">
        <v>2408</v>
      </c>
      <c r="BR463" s="551">
        <v>59994.74627129241</v>
      </c>
      <c r="BS463" s="551"/>
      <c r="BT463" s="551">
        <v>8893446.7646467425</v>
      </c>
      <c r="BU463" s="551">
        <v>427083.90591874125</v>
      </c>
      <c r="BV463" s="551">
        <v>30900360.618282955</v>
      </c>
      <c r="BW463" s="551">
        <v>462915.59107051551</v>
      </c>
      <c r="BX463" s="551">
        <v>3102505.5155453156</v>
      </c>
      <c r="BY463" s="551">
        <v>37415643.510937467</v>
      </c>
      <c r="BZ463" s="551">
        <v>1149076.1168686352</v>
      </c>
      <c r="CA463" s="551">
        <v>75701.350593783456</v>
      </c>
      <c r="CB463" s="551">
        <v>3.7514303205995198E-30</v>
      </c>
      <c r="CC463" s="551">
        <v>88284.014306986908</v>
      </c>
      <c r="CD463" s="551">
        <v>16542463.658350147</v>
      </c>
      <c r="CE463" s="551">
        <v>306743.60021582752</v>
      </c>
      <c r="CF463" s="551">
        <v>896517.55030364904</v>
      </c>
      <c r="CG463" s="551">
        <v>2028623.5353049131</v>
      </c>
      <c r="CH463" s="551">
        <v>4635176.1444288567</v>
      </c>
      <c r="CI463" s="551">
        <v>751342.05011293024</v>
      </c>
      <c r="CJ463" s="551">
        <v>15224.742808098428</v>
      </c>
      <c r="CK463" s="551">
        <v>25857079.039906971</v>
      </c>
      <c r="CL463" s="551"/>
      <c r="CM463" s="551">
        <v>282826.39475928817</v>
      </c>
      <c r="CN463" s="551">
        <v>1464372.1207553309</v>
      </c>
      <c r="CO463" s="551">
        <v>1716.7393319382263</v>
      </c>
      <c r="CP463" s="551">
        <v>6173574.3393595945</v>
      </c>
      <c r="CQ463" s="551"/>
      <c r="CR463" s="551">
        <v>74469.983880331216</v>
      </c>
      <c r="CS463" s="551">
        <v>272268.54142220999</v>
      </c>
      <c r="CT463" s="551">
        <v>952.43029242886087</v>
      </c>
      <c r="CU463" s="551">
        <v>1533959.3851596252</v>
      </c>
      <c r="CV463" s="551"/>
      <c r="CW463" s="551">
        <v>14284.332031022028</v>
      </c>
      <c r="CX463" s="551">
        <v>39177.843236460998</v>
      </c>
      <c r="CY463" s="554"/>
    </row>
    <row r="464" spans="65:103" ht="12.75" customHeight="1" x14ac:dyDescent="0.3">
      <c r="BM464" s="562"/>
      <c r="BN464" s="591">
        <v>451</v>
      </c>
      <c r="BO464" s="549" t="s">
        <v>2838</v>
      </c>
      <c r="BP464" s="554" t="s">
        <v>620</v>
      </c>
      <c r="BQ464" s="553" t="s">
        <v>2408</v>
      </c>
      <c r="BR464" s="551">
        <v>50796.248658062614</v>
      </c>
      <c r="BS464" s="551"/>
      <c r="BT464" s="551">
        <v>4866138.3086752854</v>
      </c>
      <c r="BU464" s="551">
        <v>225307.09660924366</v>
      </c>
      <c r="BV464" s="551">
        <v>15531015.026945811</v>
      </c>
      <c r="BW464" s="551">
        <v>201851.02694258606</v>
      </c>
      <c r="BX464" s="551">
        <v>159096.62021989338</v>
      </c>
      <c r="BY464" s="551">
        <v>5741316.3181192344</v>
      </c>
      <c r="BZ464" s="551">
        <v>58924.674155516055</v>
      </c>
      <c r="CA464" s="551">
        <v>30235.880389180944</v>
      </c>
      <c r="CB464" s="551">
        <v>1.0330232111605342E-30</v>
      </c>
      <c r="CC464" s="551">
        <v>10016.213219109339</v>
      </c>
      <c r="CD464" s="551">
        <v>4296071.5740726022</v>
      </c>
      <c r="CE464" s="551">
        <v>31968.25658279104</v>
      </c>
      <c r="CF464" s="551">
        <v>192440.99988323008</v>
      </c>
      <c r="CG464" s="551">
        <v>48956.063744985418</v>
      </c>
      <c r="CH464" s="551">
        <v>111173.89973481988</v>
      </c>
      <c r="CI464" s="551">
        <v>18131.875461105705</v>
      </c>
      <c r="CJ464" s="551">
        <v>2738.1858164313276</v>
      </c>
      <c r="CK464" s="551">
        <v>2406298.1029069824</v>
      </c>
      <c r="CL464" s="551"/>
      <c r="CM464" s="551">
        <v>21714.81428996471</v>
      </c>
      <c r="CN464" s="551">
        <v>15912.940717642787</v>
      </c>
      <c r="CO464" s="551">
        <v>110.42009717279336</v>
      </c>
      <c r="CP464" s="551">
        <v>243554.26725895287</v>
      </c>
      <c r="CQ464" s="551"/>
      <c r="CR464" s="551">
        <v>2844.343156772929</v>
      </c>
      <c r="CS464" s="551">
        <v>2435.8578059623683</v>
      </c>
      <c r="CT464" s="551">
        <v>105.05282595798556</v>
      </c>
      <c r="CU464" s="551">
        <v>45769.104035897159</v>
      </c>
      <c r="CV464" s="551"/>
      <c r="CW464" s="551">
        <v>289.37689844718938</v>
      </c>
      <c r="CX464" s="551">
        <v>142.05363965544248</v>
      </c>
      <c r="CY464" s="554"/>
    </row>
    <row r="465" spans="65:103" ht="12.75" customHeight="1" x14ac:dyDescent="0.3">
      <c r="BM465" s="562"/>
      <c r="BN465" s="591">
        <v>452</v>
      </c>
      <c r="BO465" s="549" t="s">
        <v>2443</v>
      </c>
      <c r="BP465" s="554" t="s">
        <v>620</v>
      </c>
      <c r="BQ465" s="553" t="s">
        <v>2408</v>
      </c>
      <c r="BR465" s="551">
        <v>131541.81539018342</v>
      </c>
      <c r="BS465" s="551"/>
      <c r="BT465" s="551">
        <v>5167683.1993960105</v>
      </c>
      <c r="BU465" s="551">
        <v>238891.71844420087</v>
      </c>
      <c r="BV465" s="551">
        <v>17172646.470123708</v>
      </c>
      <c r="BW465" s="551">
        <v>223585.78345083422</v>
      </c>
      <c r="BX465" s="551">
        <v>173449.93608218463</v>
      </c>
      <c r="BY465" s="551">
        <v>3799185.0125288805</v>
      </c>
      <c r="BZ465" s="551">
        <v>64240.71706747578</v>
      </c>
      <c r="CA465" s="551">
        <v>246887.41676341108</v>
      </c>
      <c r="CB465" s="551">
        <v>8.1305292257908745E-30</v>
      </c>
      <c r="CC465" s="551">
        <v>68159.621367019106</v>
      </c>
      <c r="CD465" s="551">
        <v>9200195.2337808199</v>
      </c>
      <c r="CE465" s="551">
        <v>226500.16189268595</v>
      </c>
      <c r="CF465" s="551">
        <v>430536.66168130218</v>
      </c>
      <c r="CG465" s="551">
        <v>167096.6078216999</v>
      </c>
      <c r="CH465" s="551">
        <v>377115.94615248422</v>
      </c>
      <c r="CI465" s="551">
        <v>61887.632526555528</v>
      </c>
      <c r="CJ465" s="551">
        <v>76729.762501914287</v>
      </c>
      <c r="CK465" s="551">
        <v>7503619.0835578423</v>
      </c>
      <c r="CL465" s="551"/>
      <c r="CM465" s="551">
        <v>70739.142213901068</v>
      </c>
      <c r="CN465" s="551">
        <v>186395.82786721105</v>
      </c>
      <c r="CO465" s="551">
        <v>7230.4562860948536</v>
      </c>
      <c r="CP465" s="551">
        <v>1841743.6930230421</v>
      </c>
      <c r="CQ465" s="551"/>
      <c r="CR465" s="551">
        <v>22530.428788154495</v>
      </c>
      <c r="CS465" s="551">
        <v>71155.145279776465</v>
      </c>
      <c r="CT465" s="551">
        <v>11834.693002072376</v>
      </c>
      <c r="CU465" s="551">
        <v>362810.15087621391</v>
      </c>
      <c r="CV465" s="551"/>
      <c r="CW465" s="551">
        <v>2389.8139156279872</v>
      </c>
      <c r="CX465" s="551">
        <v>6733.5820544192311</v>
      </c>
      <c r="CY465" s="554"/>
    </row>
    <row r="466" spans="65:103" ht="12.75" customHeight="1" x14ac:dyDescent="0.3">
      <c r="BM466" s="562"/>
      <c r="BN466" s="591">
        <v>453</v>
      </c>
      <c r="BO466" s="549" t="s">
        <v>2465</v>
      </c>
      <c r="BP466" s="554" t="s">
        <v>620</v>
      </c>
      <c r="BQ466" s="553" t="s">
        <v>2408</v>
      </c>
      <c r="BR466" s="551">
        <v>11163.248252662026</v>
      </c>
      <c r="BS466" s="551"/>
      <c r="BT466" s="551">
        <v>5646546.9940075781</v>
      </c>
      <c r="BU466" s="551">
        <v>264547.75825334841</v>
      </c>
      <c r="BV466" s="551">
        <v>20337203.160579707</v>
      </c>
      <c r="BW466" s="551">
        <v>270183.61175390473</v>
      </c>
      <c r="BX466" s="551">
        <v>303262.47628987033</v>
      </c>
      <c r="BY466" s="551">
        <v>2497401.9583300455</v>
      </c>
      <c r="BZ466" s="551">
        <v>112319.4356629149</v>
      </c>
      <c r="CA466" s="551">
        <v>1520.6185877978921</v>
      </c>
      <c r="CB466" s="551">
        <v>6.3002049128541212E-31</v>
      </c>
      <c r="CC466" s="551">
        <v>7595.9914592154537</v>
      </c>
      <c r="CD466" s="551">
        <v>4692377.6580232391</v>
      </c>
      <c r="CE466" s="551">
        <v>27358.529323502815</v>
      </c>
      <c r="CF466" s="551">
        <v>239617.1397800913</v>
      </c>
      <c r="CG466" s="551">
        <v>21406.53053838911</v>
      </c>
      <c r="CH466" s="551">
        <v>47646.511760764064</v>
      </c>
      <c r="CI466" s="551">
        <v>7928.3446438478159</v>
      </c>
      <c r="CJ466" s="551">
        <v>30.647530956840047</v>
      </c>
      <c r="CK466" s="551">
        <v>2545428.1647790666</v>
      </c>
      <c r="CL466" s="551"/>
      <c r="CM466" s="551">
        <v>26184.947049685183</v>
      </c>
      <c r="CN466" s="551">
        <v>1548.5496614520059</v>
      </c>
      <c r="CO466" s="551">
        <v>0.3693664787901127</v>
      </c>
      <c r="CP466" s="551">
        <v>241555.71042631878</v>
      </c>
      <c r="CQ466" s="551"/>
      <c r="CR466" s="551">
        <v>3241.5042986068406</v>
      </c>
      <c r="CS466" s="551">
        <v>35.686725908680955</v>
      </c>
      <c r="CT466" s="551">
        <v>0.23993441747498306</v>
      </c>
      <c r="CU466" s="551">
        <v>46328.89578535351</v>
      </c>
      <c r="CV466" s="551"/>
      <c r="CW466" s="551">
        <v>331.23469056094763</v>
      </c>
      <c r="CX466" s="551">
        <v>3.4483802433910773</v>
      </c>
      <c r="CY466" s="554"/>
    </row>
    <row r="467" spans="65:103" ht="12.75" customHeight="1" x14ac:dyDescent="0.3">
      <c r="BM467" s="562"/>
      <c r="BN467" s="591">
        <v>454</v>
      </c>
      <c r="BO467" s="549" t="s">
        <v>2832</v>
      </c>
      <c r="BP467" s="554" t="s">
        <v>620</v>
      </c>
      <c r="BQ467" s="553" t="s">
        <v>2408</v>
      </c>
      <c r="BR467" s="551">
        <v>196123.81615218346</v>
      </c>
      <c r="BS467" s="551"/>
      <c r="BT467" s="551">
        <v>1188670.7551655846</v>
      </c>
      <c r="BU467" s="551">
        <v>45418.952072010674</v>
      </c>
      <c r="BV467" s="551">
        <v>4508431.4253415475</v>
      </c>
      <c r="BW467" s="551">
        <v>45666.689212846315</v>
      </c>
      <c r="BX467" s="551">
        <v>179228.50671218161</v>
      </c>
      <c r="BY467" s="551">
        <v>25148801.434010405</v>
      </c>
      <c r="BZ467" s="551">
        <v>66380.928411919085</v>
      </c>
      <c r="CA467" s="551">
        <v>222348.58576548233</v>
      </c>
      <c r="CB467" s="551">
        <v>2.5447874767506201E-30</v>
      </c>
      <c r="CC467" s="551">
        <v>3935.5882830509713</v>
      </c>
      <c r="CD467" s="551">
        <v>1555017.9221956714</v>
      </c>
      <c r="CE467" s="551">
        <v>14927.034938317549</v>
      </c>
      <c r="CF467" s="551">
        <v>78174.987459780052</v>
      </c>
      <c r="CG467" s="551">
        <v>126668.15763869073</v>
      </c>
      <c r="CH467" s="551">
        <v>594415.39639759343</v>
      </c>
      <c r="CI467" s="551">
        <v>46914.132458774329</v>
      </c>
      <c r="CJ467" s="551">
        <v>39669.37279308719</v>
      </c>
      <c r="CK467" s="551">
        <v>806377.43385085976</v>
      </c>
      <c r="CL467" s="551"/>
      <c r="CM467" s="551">
        <v>8152.7833146937328</v>
      </c>
      <c r="CN467" s="551">
        <v>81113.300221641955</v>
      </c>
      <c r="CO467" s="551">
        <v>2109.346625382525</v>
      </c>
      <c r="CP467" s="551">
        <v>192237.49378926618</v>
      </c>
      <c r="CQ467" s="551"/>
      <c r="CR467" s="551">
        <v>2878.831049245854</v>
      </c>
      <c r="CS467" s="551">
        <v>13785.460546095297</v>
      </c>
      <c r="CT467" s="551">
        <v>3415.3808797943857</v>
      </c>
      <c r="CU467" s="551">
        <v>17916.989100621937</v>
      </c>
      <c r="CV467" s="551"/>
      <c r="CW467" s="551">
        <v>112.31595899734219</v>
      </c>
      <c r="CX467" s="551">
        <v>1985.9979412975038</v>
      </c>
      <c r="CY467" s="554"/>
    </row>
    <row r="468" spans="65:103" ht="12.75" customHeight="1" x14ac:dyDescent="0.3">
      <c r="BM468" s="562"/>
      <c r="BN468" s="591">
        <v>455</v>
      </c>
      <c r="BO468" s="549" t="s">
        <v>2846</v>
      </c>
      <c r="BP468" s="554" t="s">
        <v>620</v>
      </c>
      <c r="BQ468" s="553" t="s">
        <v>2408</v>
      </c>
      <c r="BR468" s="551">
        <v>14590.082020389893</v>
      </c>
      <c r="BS468" s="551"/>
      <c r="BT468" s="551">
        <v>646192.43161234516</v>
      </c>
      <c r="BU468" s="551">
        <v>22736.723612880953</v>
      </c>
      <c r="BV468" s="551">
        <v>2600876.0185962305</v>
      </c>
      <c r="BW468" s="551">
        <v>24354.762863533288</v>
      </c>
      <c r="BX468" s="551">
        <v>5.4119004923014129E-2</v>
      </c>
      <c r="BY468" s="551">
        <v>12855970.239470858</v>
      </c>
      <c r="BZ468" s="551">
        <v>2.0044075897412642E-2</v>
      </c>
      <c r="CA468" s="551">
        <v>938.1453382949046</v>
      </c>
      <c r="CB468" s="551">
        <v>2.6242934552080766E-38</v>
      </c>
      <c r="CC468" s="551">
        <v>3.0158200680237674E-5</v>
      </c>
      <c r="CD468" s="551">
        <v>224913.03437631787</v>
      </c>
      <c r="CE468" s="551">
        <v>1.2138449334284065E-4</v>
      </c>
      <c r="CF468" s="551">
        <v>12045.938786997585</v>
      </c>
      <c r="CG468" s="551">
        <v>2.1809996252752455E-3</v>
      </c>
      <c r="CH468" s="551">
        <v>1.2321442236981827E-2</v>
      </c>
      <c r="CI468" s="551">
        <v>8.0777763899083114E-4</v>
      </c>
      <c r="CJ468" s="551">
        <v>10.717121781861131</v>
      </c>
      <c r="CK468" s="551">
        <v>74422.154632206715</v>
      </c>
      <c r="CL468" s="551"/>
      <c r="CM468" s="551">
        <v>801.58807321815004</v>
      </c>
      <c r="CN468" s="551">
        <v>8.9426716964471456E-5</v>
      </c>
      <c r="CO468" s="551">
        <v>0.16533646632227036</v>
      </c>
      <c r="CP468" s="551">
        <v>3863.4904234254136</v>
      </c>
      <c r="CQ468" s="551"/>
      <c r="CR468" s="551">
        <v>61.921763350329734</v>
      </c>
      <c r="CS468" s="551">
        <v>2.750287126138411E-6</v>
      </c>
      <c r="CT468" s="551">
        <v>6.3783746786925291E-2</v>
      </c>
      <c r="CU468" s="551">
        <v>832.3238257604346</v>
      </c>
      <c r="CV468" s="551"/>
      <c r="CW468" s="551">
        <v>5.5382817990614512</v>
      </c>
      <c r="CX468" s="551">
        <v>2.3195086805256454E-7</v>
      </c>
      <c r="CY468" s="554"/>
    </row>
    <row r="469" spans="65:103" ht="12.75" customHeight="1" x14ac:dyDescent="0.3">
      <c r="BM469" s="562"/>
      <c r="BN469" s="591">
        <v>456</v>
      </c>
      <c r="BO469" s="549" t="s">
        <v>2702</v>
      </c>
      <c r="BP469" s="554" t="s">
        <v>620</v>
      </c>
      <c r="BQ469" s="553" t="s">
        <v>2408</v>
      </c>
      <c r="BR469" s="551">
        <v>75760.883518363349</v>
      </c>
      <c r="BS469" s="551"/>
      <c r="BT469" s="551">
        <v>895825.43367785518</v>
      </c>
      <c r="BU469" s="551">
        <v>28680.000533766895</v>
      </c>
      <c r="BV469" s="551">
        <v>2849670.6584088882</v>
      </c>
      <c r="BW469" s="551">
        <v>20077.404235853039</v>
      </c>
      <c r="BX469" s="551">
        <v>1788.5402562206327</v>
      </c>
      <c r="BY469" s="551">
        <v>10889466.71340769</v>
      </c>
      <c r="BZ469" s="551">
        <v>662.4223171187524</v>
      </c>
      <c r="CA469" s="551">
        <v>16981.013935549807</v>
      </c>
      <c r="CB469" s="551">
        <v>6.2818929438819693E-33</v>
      </c>
      <c r="CC469" s="551">
        <v>5.905949078019483</v>
      </c>
      <c r="CD469" s="551">
        <v>147016.49774471004</v>
      </c>
      <c r="CE469" s="551">
        <v>18.787153350394078</v>
      </c>
      <c r="CF469" s="551">
        <v>5145.9372378404814</v>
      </c>
      <c r="CG469" s="551">
        <v>211.23606862093666</v>
      </c>
      <c r="CH469" s="551">
        <v>948.18510458344156</v>
      </c>
      <c r="CI469" s="551">
        <v>78.235580970717237</v>
      </c>
      <c r="CJ469" s="551">
        <v>564.98961824790615</v>
      </c>
      <c r="CK469" s="551">
        <v>20581.974762659996</v>
      </c>
      <c r="CL469" s="551"/>
      <c r="CM469" s="551">
        <v>143.9630018182971</v>
      </c>
      <c r="CN469" s="551">
        <v>25.226010999636756</v>
      </c>
      <c r="CO469" s="551">
        <v>6.2506827034098817</v>
      </c>
      <c r="CP469" s="551">
        <v>510.47165218189707</v>
      </c>
      <c r="CQ469" s="551"/>
      <c r="CR469" s="551">
        <v>7.2589620924727676</v>
      </c>
      <c r="CS469" s="551">
        <v>0.90121504013441522</v>
      </c>
      <c r="CT469" s="551">
        <v>8.1742651203932724</v>
      </c>
      <c r="CU469" s="551">
        <v>93.677582427655111</v>
      </c>
      <c r="CV469" s="551"/>
      <c r="CW469" s="551">
        <v>0.33236539951363103</v>
      </c>
      <c r="CX469" s="551">
        <v>0.10494474169751848</v>
      </c>
      <c r="CY469" s="554"/>
    </row>
    <row r="470" spans="65:103" ht="12.75" customHeight="1" x14ac:dyDescent="0.3">
      <c r="BM470" s="562"/>
      <c r="BN470" s="591">
        <v>457</v>
      </c>
      <c r="BO470" s="549" t="s">
        <v>2885</v>
      </c>
      <c r="BP470" s="554" t="s">
        <v>620</v>
      </c>
      <c r="BQ470" s="553" t="s">
        <v>2408</v>
      </c>
      <c r="BR470" s="551">
        <v>9780.2442953338104</v>
      </c>
      <c r="BS470" s="551"/>
      <c r="BT470" s="551">
        <v>2881154.5513992263</v>
      </c>
      <c r="BU470" s="551">
        <v>127121.49314757111</v>
      </c>
      <c r="BV470" s="551">
        <v>12549725.520701399</v>
      </c>
      <c r="BW470" s="551">
        <v>148146.84677195825</v>
      </c>
      <c r="BX470" s="551">
        <v>58367.565986888854</v>
      </c>
      <c r="BY470" s="551">
        <v>22130528.474972561</v>
      </c>
      <c r="BZ470" s="551">
        <v>21617.617032181064</v>
      </c>
      <c r="CA470" s="551">
        <v>661.5314787596111</v>
      </c>
      <c r="CB470" s="551">
        <v>1.8587487253971262E-32</v>
      </c>
      <c r="CC470" s="551">
        <v>100.91819420357477</v>
      </c>
      <c r="CD470" s="551">
        <v>1468405.100821015</v>
      </c>
      <c r="CE470" s="551">
        <v>439.5792085102243</v>
      </c>
      <c r="CF470" s="551">
        <v>85563.652567374374</v>
      </c>
      <c r="CG470" s="551">
        <v>2130.0159208723489</v>
      </c>
      <c r="CH470" s="551">
        <v>5515.4143368479936</v>
      </c>
      <c r="CI470" s="551">
        <v>788.8947855082771</v>
      </c>
      <c r="CJ470" s="551">
        <v>7.9195959023602969</v>
      </c>
      <c r="CK470" s="551">
        <v>507062.19995075068</v>
      </c>
      <c r="CL470" s="551"/>
      <c r="CM470" s="551">
        <v>5941.6935376348256</v>
      </c>
      <c r="CN470" s="551">
        <v>91.524847190009439</v>
      </c>
      <c r="CO470" s="551">
        <v>6.2690202661204217E-2</v>
      </c>
      <c r="CP470" s="551">
        <v>31603.687185719795</v>
      </c>
      <c r="CQ470" s="551"/>
      <c r="CR470" s="551">
        <v>554.33870568389909</v>
      </c>
      <c r="CS470" s="551">
        <v>2.7651259903151817</v>
      </c>
      <c r="CT470" s="551">
        <v>6.1084419606974298E-2</v>
      </c>
      <c r="CU470" s="551">
        <v>5767.8201704918702</v>
      </c>
      <c r="CV470" s="551"/>
      <c r="CW470" s="551">
        <v>41.56140157969994</v>
      </c>
      <c r="CX470" s="551">
        <v>0.17480536784477221</v>
      </c>
      <c r="CY470" s="554"/>
    </row>
    <row r="471" spans="65:103" ht="12.75" customHeight="1" x14ac:dyDescent="0.3">
      <c r="BM471" s="562"/>
      <c r="BN471" s="591">
        <v>458</v>
      </c>
      <c r="BO471" s="549" t="s">
        <v>2883</v>
      </c>
      <c r="BP471" s="554" t="s">
        <v>620</v>
      </c>
      <c r="BQ471" s="553" t="s">
        <v>2408</v>
      </c>
      <c r="BR471" s="551">
        <v>78508.628875830938</v>
      </c>
      <c r="BS471" s="551"/>
      <c r="BT471" s="551">
        <v>747578.97361908434</v>
      </c>
      <c r="BU471" s="551">
        <v>26003.455533932738</v>
      </c>
      <c r="BV471" s="551">
        <v>3523228.2105073384</v>
      </c>
      <c r="BW471" s="551">
        <v>32966.5158325222</v>
      </c>
      <c r="BX471" s="551">
        <v>26.584582422323152</v>
      </c>
      <c r="BY471" s="551">
        <v>19384760.162676692</v>
      </c>
      <c r="BZ471" s="551">
        <v>9.8461416378974622</v>
      </c>
      <c r="CA471" s="551">
        <v>26486.434108401278</v>
      </c>
      <c r="CB471" s="551">
        <v>1.1724654938306273E-34</v>
      </c>
      <c r="CC471" s="551">
        <v>0.12893788235029166</v>
      </c>
      <c r="CD471" s="551">
        <v>255475.36027961021</v>
      </c>
      <c r="CE471" s="551">
        <v>0.60766501002620865</v>
      </c>
      <c r="CF471" s="551">
        <v>16194.256371978663</v>
      </c>
      <c r="CG471" s="551">
        <v>5.813450542387157</v>
      </c>
      <c r="CH471" s="551">
        <v>34.994816578835341</v>
      </c>
      <c r="CI471" s="551">
        <v>2.1531298305137625</v>
      </c>
      <c r="CJ471" s="551">
        <v>1339.5868047167555</v>
      </c>
      <c r="CK471" s="551">
        <v>84445.837584954672</v>
      </c>
      <c r="CL471" s="551"/>
      <c r="CM471" s="551">
        <v>1076.407988911654</v>
      </c>
      <c r="CN471" s="551">
        <v>1.0553220334961007</v>
      </c>
      <c r="CO471" s="551">
        <v>23.12983023260832</v>
      </c>
      <c r="CP471" s="551">
        <v>4353.5558024971651</v>
      </c>
      <c r="CQ471" s="551"/>
      <c r="CR471" s="551">
        <v>83.539850681131782</v>
      </c>
      <c r="CS471" s="551">
        <v>5.6136758711226115E-2</v>
      </c>
      <c r="CT471" s="551">
        <v>29.666271742613635</v>
      </c>
      <c r="CU471" s="551">
        <v>944.70564530551758</v>
      </c>
      <c r="CV471" s="551"/>
      <c r="CW471" s="551">
        <v>7.3727069370610252</v>
      </c>
      <c r="CX471" s="551">
        <v>6.924502105001314E-3</v>
      </c>
      <c r="CY471" s="554"/>
    </row>
    <row r="472" spans="65:103" ht="12.75" customHeight="1" x14ac:dyDescent="0.3">
      <c r="BM472" s="562"/>
      <c r="BN472" s="591">
        <v>459</v>
      </c>
      <c r="BO472" s="549" t="s">
        <v>2453</v>
      </c>
      <c r="BP472" s="554" t="s">
        <v>620</v>
      </c>
      <c r="BQ472" s="553" t="s">
        <v>2408</v>
      </c>
      <c r="BR472" s="551">
        <v>38544.878352235748</v>
      </c>
      <c r="BS472" s="551"/>
      <c r="BT472" s="551">
        <v>1534535.8084278384</v>
      </c>
      <c r="BU472" s="551">
        <v>65025.842498849248</v>
      </c>
      <c r="BV472" s="551">
        <v>8234772.7957462026</v>
      </c>
      <c r="BW472" s="551">
        <v>102435.52716161648</v>
      </c>
      <c r="BX472" s="551">
        <v>135891.2088771548</v>
      </c>
      <c r="BY472" s="551">
        <v>30268584.119589046</v>
      </c>
      <c r="BZ472" s="551">
        <v>50330.077361909185</v>
      </c>
      <c r="CA472" s="551">
        <v>8720.674082627047</v>
      </c>
      <c r="CB472" s="551">
        <v>1.7156200006371591E-31</v>
      </c>
      <c r="CC472" s="551">
        <v>505.26629294747266</v>
      </c>
      <c r="CD472" s="551">
        <v>1072659.274697321</v>
      </c>
      <c r="CE472" s="551">
        <v>2711.4082974930075</v>
      </c>
      <c r="CF472" s="551">
        <v>84488.269621698317</v>
      </c>
      <c r="CG472" s="551">
        <v>18717.056862086705</v>
      </c>
      <c r="CH472" s="551">
        <v>71893.269046975052</v>
      </c>
      <c r="CI472" s="551">
        <v>6932.2432822543324</v>
      </c>
      <c r="CJ472" s="551">
        <v>307.32377990517222</v>
      </c>
      <c r="CK472" s="551">
        <v>572053.56083201966</v>
      </c>
      <c r="CL472" s="551"/>
      <c r="CM472" s="551">
        <v>9075.5394687780008</v>
      </c>
      <c r="CN472" s="551">
        <v>2367.4854864252329</v>
      </c>
      <c r="CO472" s="551">
        <v>4.1535775203476426</v>
      </c>
      <c r="CP472" s="551">
        <v>52877.83244837814</v>
      </c>
      <c r="CQ472" s="551"/>
      <c r="CR472" s="551">
        <v>1120.4727546758572</v>
      </c>
      <c r="CS472" s="551">
        <v>108.88592297741504</v>
      </c>
      <c r="CT472" s="551">
        <v>4.9058672742257885</v>
      </c>
      <c r="CU472" s="551">
        <v>10302.12433551542</v>
      </c>
      <c r="CV472" s="551"/>
      <c r="CW472" s="551">
        <v>111.00051058324517</v>
      </c>
      <c r="CX472" s="551">
        <v>10.266292876115452</v>
      </c>
      <c r="CY472" s="554"/>
    </row>
    <row r="473" spans="65:103" ht="12.75" customHeight="1" x14ac:dyDescent="0.3">
      <c r="BM473" s="562"/>
      <c r="BN473" s="591">
        <v>460</v>
      </c>
      <c r="BO473" s="549" t="s">
        <v>2684</v>
      </c>
      <c r="BP473" s="554" t="s">
        <v>620</v>
      </c>
      <c r="BQ473" s="553" t="s">
        <v>2408</v>
      </c>
      <c r="BR473" s="551">
        <v>226868.9245552966</v>
      </c>
      <c r="BS473" s="551"/>
      <c r="BT473" s="551">
        <v>1543179.6549944512</v>
      </c>
      <c r="BU473" s="551">
        <v>63737.776642988109</v>
      </c>
      <c r="BV473" s="551">
        <v>9140159.9566872213</v>
      </c>
      <c r="BW473" s="551">
        <v>111800.03770115897</v>
      </c>
      <c r="BX473" s="551">
        <v>568177.88319089427</v>
      </c>
      <c r="BY473" s="551">
        <v>40607386.297108799</v>
      </c>
      <c r="BZ473" s="551">
        <v>210436.25303366454</v>
      </c>
      <c r="CA473" s="551">
        <v>402721.37826683652</v>
      </c>
      <c r="CB473" s="551">
        <v>7.024697545695143E-30</v>
      </c>
      <c r="CC473" s="551">
        <v>15210.396991772803</v>
      </c>
      <c r="CD473" s="551">
        <v>5079096.4623398846</v>
      </c>
      <c r="CE473" s="551">
        <v>90090.263346568972</v>
      </c>
      <c r="CF473" s="551">
        <v>445452.60745292372</v>
      </c>
      <c r="CG473" s="551">
        <v>639318.80134188419</v>
      </c>
      <c r="CH473" s="551">
        <v>2725042.4544558218</v>
      </c>
      <c r="CI473" s="551">
        <v>236784.74123773482</v>
      </c>
      <c r="CJ473" s="551">
        <v>118439.60450178997</v>
      </c>
      <c r="CK473" s="551">
        <v>4694368.3559111068</v>
      </c>
      <c r="CL473" s="551"/>
      <c r="CM473" s="551">
        <v>82922.507513274177</v>
      </c>
      <c r="CN473" s="551">
        <v>674859.54668466758</v>
      </c>
      <c r="CO473" s="551">
        <v>9654.9359581612662</v>
      </c>
      <c r="CP473" s="551">
        <v>1643824.5812215088</v>
      </c>
      <c r="CQ473" s="551"/>
      <c r="CR473" s="551">
        <v>38984.412516868288</v>
      </c>
      <c r="CS473" s="551">
        <v>178619.96293364378</v>
      </c>
      <c r="CT473" s="551">
        <v>18113.721622761415</v>
      </c>
      <c r="CU473" s="551">
        <v>212920.92605853561</v>
      </c>
      <c r="CV473" s="551"/>
      <c r="CW473" s="551">
        <v>2541.7825476462122</v>
      </c>
      <c r="CX473" s="551">
        <v>28764.063845624052</v>
      </c>
      <c r="CY473" s="554"/>
    </row>
    <row r="474" spans="65:103" ht="12.75" customHeight="1" x14ac:dyDescent="0.3">
      <c r="BM474" s="562"/>
      <c r="BN474" s="591">
        <v>461</v>
      </c>
      <c r="BO474" s="549" t="s">
        <v>2580</v>
      </c>
      <c r="BP474" s="554" t="s">
        <v>620</v>
      </c>
      <c r="BQ474" s="553" t="s">
        <v>2408</v>
      </c>
      <c r="BR474" s="551">
        <v>219297.24035310964</v>
      </c>
      <c r="BS474" s="551"/>
      <c r="BT474" s="551">
        <v>862377.98317578586</v>
      </c>
      <c r="BU474" s="551">
        <v>31333.980498842768</v>
      </c>
      <c r="BV474" s="551">
        <v>4754771.3833186468</v>
      </c>
      <c r="BW474" s="551">
        <v>46993.651340306133</v>
      </c>
      <c r="BX474" s="551">
        <v>101698.35400229764</v>
      </c>
      <c r="BY474" s="551">
        <v>21186830.015763838</v>
      </c>
      <c r="BZ474" s="551">
        <v>37666.057037888015</v>
      </c>
      <c r="CA474" s="551">
        <v>381450.56883740885</v>
      </c>
      <c r="CB474" s="551">
        <v>1.8270981808064574E-30</v>
      </c>
      <c r="CC474" s="551">
        <v>2300.1878784065366</v>
      </c>
      <c r="CD474" s="551">
        <v>1072738.6283458064</v>
      </c>
      <c r="CE474" s="551">
        <v>12682.220225785233</v>
      </c>
      <c r="CF474" s="551">
        <v>80442.86789803626</v>
      </c>
      <c r="CG474" s="551">
        <v>112320.47972797624</v>
      </c>
      <c r="CH474" s="551">
        <v>589192.91454805236</v>
      </c>
      <c r="CI474" s="551">
        <v>41600.177677028245</v>
      </c>
      <c r="CJ474" s="551">
        <v>109453.8843104284</v>
      </c>
      <c r="CK474" s="551">
        <v>688885.86962847819</v>
      </c>
      <c r="CL474" s="551"/>
      <c r="CM474" s="551">
        <v>10386.870868101492</v>
      </c>
      <c r="CN474" s="551">
        <v>115679.26396086879</v>
      </c>
      <c r="CO474" s="551">
        <v>9432.4848927409821</v>
      </c>
      <c r="CP474" s="551">
        <v>395939.86846438923</v>
      </c>
      <c r="CQ474" s="551"/>
      <c r="CR474" s="551">
        <v>9082.6491824826116</v>
      </c>
      <c r="CS474" s="551">
        <v>31441.838830335557</v>
      </c>
      <c r="CT474" s="551">
        <v>16003.7530465083</v>
      </c>
      <c r="CU474" s="551">
        <v>23342.073211559033</v>
      </c>
      <c r="CV474" s="551"/>
      <c r="CW474" s="551">
        <v>213.75609628279076</v>
      </c>
      <c r="CX474" s="551">
        <v>4890.123423746817</v>
      </c>
      <c r="CY474" s="554"/>
    </row>
    <row r="475" spans="65:103" ht="12.75" customHeight="1" x14ac:dyDescent="0.3">
      <c r="BM475" s="562"/>
      <c r="BN475" s="591">
        <v>462</v>
      </c>
      <c r="BO475" s="549" t="s">
        <v>2870</v>
      </c>
      <c r="BP475" s="554" t="s">
        <v>620</v>
      </c>
      <c r="BQ475" s="553" t="s">
        <v>2408</v>
      </c>
      <c r="BR475" s="551">
        <v>38393.320354400741</v>
      </c>
      <c r="BS475" s="551"/>
      <c r="BT475" s="551">
        <v>1904787.3118329935</v>
      </c>
      <c r="BU475" s="551">
        <v>76439.545042067301</v>
      </c>
      <c r="BV475" s="551">
        <v>13526693.299854619</v>
      </c>
      <c r="BW475" s="551">
        <v>150473.21571853696</v>
      </c>
      <c r="BX475" s="551">
        <v>125596.43749091035</v>
      </c>
      <c r="BY475" s="551">
        <v>33554509.279124171</v>
      </c>
      <c r="BZ475" s="551">
        <v>46517.199070707524</v>
      </c>
      <c r="CA475" s="551">
        <v>5069.8670069366581</v>
      </c>
      <c r="CB475" s="551">
        <v>1.0842972386199821E-31</v>
      </c>
      <c r="CC475" s="551">
        <v>232.49520449849544</v>
      </c>
      <c r="CD475" s="551">
        <v>875743.06717536284</v>
      </c>
      <c r="CE475" s="551">
        <v>1651.0459227659233</v>
      </c>
      <c r="CF475" s="551">
        <v>86196.140615810102</v>
      </c>
      <c r="CG475" s="551">
        <v>9497.9599067268955</v>
      </c>
      <c r="CH475" s="551">
        <v>30534.52066822545</v>
      </c>
      <c r="CI475" s="551">
        <v>3517.7629284173686</v>
      </c>
      <c r="CJ475" s="551">
        <v>104.75176143870945</v>
      </c>
      <c r="CK475" s="551">
        <v>300173.24738610466</v>
      </c>
      <c r="CL475" s="551"/>
      <c r="CM475" s="551">
        <v>5939.3695291180484</v>
      </c>
      <c r="CN475" s="551">
        <v>704.3666010252806</v>
      </c>
      <c r="CO475" s="551">
        <v>0.91235636434334089</v>
      </c>
      <c r="CP475" s="551">
        <v>18341.970653669025</v>
      </c>
      <c r="CQ475" s="551"/>
      <c r="CR475" s="551">
        <v>560.56145290718007</v>
      </c>
      <c r="CS475" s="551">
        <v>21.920731625096447</v>
      </c>
      <c r="CT475" s="551">
        <v>0.979025117881693</v>
      </c>
      <c r="CU475" s="551">
        <v>3405.7334915271585</v>
      </c>
      <c r="CV475" s="551"/>
      <c r="CW475" s="551">
        <v>40.471370330726401</v>
      </c>
      <c r="CX475" s="551">
        <v>1.7244338168238003</v>
      </c>
      <c r="CY475" s="554"/>
    </row>
    <row r="476" spans="65:103" ht="12.75" customHeight="1" x14ac:dyDescent="0.3">
      <c r="BM476" s="562"/>
      <c r="BN476" s="591">
        <v>463</v>
      </c>
      <c r="BO476" s="549" t="s">
        <v>2662</v>
      </c>
      <c r="BP476" s="554" t="s">
        <v>620</v>
      </c>
      <c r="BQ476" s="553" t="s">
        <v>2408</v>
      </c>
      <c r="BR476" s="551">
        <v>313994.74718661071</v>
      </c>
      <c r="BS476" s="551"/>
      <c r="BT476" s="551">
        <v>889850.13979097863</v>
      </c>
      <c r="BU476" s="551">
        <v>31703.779838311453</v>
      </c>
      <c r="BV476" s="551">
        <v>6568670.2524413923</v>
      </c>
      <c r="BW476" s="551">
        <v>65068.101405719754</v>
      </c>
      <c r="BX476" s="551">
        <v>125412.32348762281</v>
      </c>
      <c r="BY476" s="551">
        <v>23543005.847342759</v>
      </c>
      <c r="BZ476" s="551">
        <v>46449.008699119564</v>
      </c>
      <c r="CA476" s="551">
        <v>985415.10579898488</v>
      </c>
      <c r="CB476" s="551">
        <v>3.3182833122912264E-30</v>
      </c>
      <c r="CC476" s="551">
        <v>3858.2472068629681</v>
      </c>
      <c r="CD476" s="551">
        <v>1678840.9395326786</v>
      </c>
      <c r="CE476" s="551">
        <v>28480.698626668691</v>
      </c>
      <c r="CF476" s="551">
        <v>172280.70762335364</v>
      </c>
      <c r="CG476" s="551">
        <v>251076.63761236856</v>
      </c>
      <c r="CH476" s="551">
        <v>1339517.3463864005</v>
      </c>
      <c r="CI476" s="551">
        <v>92991.347263840173</v>
      </c>
      <c r="CJ476" s="551">
        <v>592209.06621953472</v>
      </c>
      <c r="CK476" s="551">
        <v>1850687.2492849091</v>
      </c>
      <c r="CL476" s="551"/>
      <c r="CM476" s="551">
        <v>38177.008157791191</v>
      </c>
      <c r="CN476" s="551">
        <v>541583.96281498764</v>
      </c>
      <c r="CO476" s="551">
        <v>97965.972992032344</v>
      </c>
      <c r="CP476" s="551">
        <v>2928221.1838878184</v>
      </c>
      <c r="CQ476" s="551"/>
      <c r="CR476" s="551">
        <v>93496.779039968969</v>
      </c>
      <c r="CS476" s="551">
        <v>281538.20693243988</v>
      </c>
      <c r="CT476" s="551">
        <v>208425.003754217</v>
      </c>
      <c r="CU476" s="551">
        <v>160455.39132947807</v>
      </c>
      <c r="CV476" s="551"/>
      <c r="CW476" s="551">
        <v>1984.8285624607929</v>
      </c>
      <c r="CX476" s="551">
        <v>55261.728716983533</v>
      </c>
      <c r="CY476" s="554"/>
    </row>
    <row r="477" spans="65:103" ht="12.75" customHeight="1" x14ac:dyDescent="0.3">
      <c r="BM477" s="562"/>
      <c r="BN477" s="591">
        <v>464</v>
      </c>
      <c r="BO477" s="549" t="s">
        <v>2887</v>
      </c>
      <c r="BP477" s="554" t="s">
        <v>620</v>
      </c>
      <c r="BQ477" s="553" t="s">
        <v>2408</v>
      </c>
      <c r="BR477" s="551">
        <v>28547.702236265617</v>
      </c>
      <c r="BS477" s="551"/>
      <c r="BT477" s="551">
        <v>671596.20809245366</v>
      </c>
      <c r="BU477" s="551">
        <v>24390.237493756093</v>
      </c>
      <c r="BV477" s="551">
        <v>5994751.5083944201</v>
      </c>
      <c r="BW477" s="551">
        <v>66930.46744142141</v>
      </c>
      <c r="BX477" s="551">
        <v>4911.2250930918854</v>
      </c>
      <c r="BY477" s="551">
        <v>1557259.5529007895</v>
      </c>
      <c r="BZ477" s="551">
        <v>1818.9722567006979</v>
      </c>
      <c r="CA477" s="551">
        <v>4292.3311635925156</v>
      </c>
      <c r="CB477" s="551">
        <v>7.8135831235809711E-33</v>
      </c>
      <c r="CC477" s="551">
        <v>9.5261581271677009</v>
      </c>
      <c r="CD477" s="551">
        <v>323750.45712176268</v>
      </c>
      <c r="CE477" s="551">
        <v>85.031675453088383</v>
      </c>
      <c r="CF477" s="551">
        <v>44420.989002424933</v>
      </c>
      <c r="CG477" s="551">
        <v>211.39623826377837</v>
      </c>
      <c r="CH477" s="551">
        <v>575.08535425937373</v>
      </c>
      <c r="CI477" s="551">
        <v>78.29490306065864</v>
      </c>
      <c r="CJ477" s="551">
        <v>103.62533944508213</v>
      </c>
      <c r="CK477" s="551">
        <v>164766.69407384645</v>
      </c>
      <c r="CL477" s="551"/>
      <c r="CM477" s="551">
        <v>4552.0980432046917</v>
      </c>
      <c r="CN477" s="551">
        <v>18.317814427666185</v>
      </c>
      <c r="CO477" s="551">
        <v>1.5577238950048675</v>
      </c>
      <c r="CP477" s="551">
        <v>12612.905377267001</v>
      </c>
      <c r="CQ477" s="551"/>
      <c r="CR477" s="551">
        <v>476.6583973446177</v>
      </c>
      <c r="CS477" s="551">
        <v>0.95178345416956478</v>
      </c>
      <c r="CT477" s="551">
        <v>1.1493395018676429</v>
      </c>
      <c r="CU477" s="551">
        <v>2930.0202247471971</v>
      </c>
      <c r="CV477" s="551"/>
      <c r="CW477" s="551">
        <v>53.765594902877027</v>
      </c>
      <c r="CX477" s="551">
        <v>5.4676656820722279E-2</v>
      </c>
      <c r="CY477" s="554"/>
    </row>
    <row r="478" spans="65:103" ht="12.75" customHeight="1" x14ac:dyDescent="0.3">
      <c r="BM478" s="562"/>
      <c r="BN478" s="591">
        <v>465</v>
      </c>
      <c r="BO478" s="549" t="s">
        <v>2890</v>
      </c>
      <c r="BP478" s="554" t="s">
        <v>620</v>
      </c>
      <c r="BQ478" s="553" t="s">
        <v>2408</v>
      </c>
      <c r="BR478" s="551">
        <v>253602.16363321588</v>
      </c>
      <c r="BS478" s="551"/>
      <c r="BT478" s="551">
        <v>1113439.4509794919</v>
      </c>
      <c r="BU478" s="551">
        <v>37381.211210039663</v>
      </c>
      <c r="BV478" s="551">
        <v>9590128.0746128224</v>
      </c>
      <c r="BW478" s="551">
        <v>90618.237942624284</v>
      </c>
      <c r="BX478" s="551">
        <v>1672.7591496230107</v>
      </c>
      <c r="BY478" s="551">
        <v>32814510.479293842</v>
      </c>
      <c r="BZ478" s="551">
        <v>619.54042578630037</v>
      </c>
      <c r="CA478" s="551">
        <v>215716.53029233191</v>
      </c>
      <c r="CB478" s="551">
        <v>1.2009895570785514E-32</v>
      </c>
      <c r="CC478" s="551">
        <v>11.625774280063023</v>
      </c>
      <c r="CD478" s="551">
        <v>364801.07206705841</v>
      </c>
      <c r="CE478" s="551">
        <v>100.13356740167964</v>
      </c>
      <c r="CF478" s="551">
        <v>44216.906408611314</v>
      </c>
      <c r="CG478" s="551">
        <v>925.2990439407132</v>
      </c>
      <c r="CH478" s="551">
        <v>5556.585642995301</v>
      </c>
      <c r="CI478" s="551">
        <v>342.7033496076715</v>
      </c>
      <c r="CJ478" s="551">
        <v>28281.902034074003</v>
      </c>
      <c r="CK478" s="551">
        <v>121536.6944730143</v>
      </c>
      <c r="CL478" s="551"/>
      <c r="CM478" s="551">
        <v>2960.8251467570349</v>
      </c>
      <c r="CN478" s="551">
        <v>435.42258938824762</v>
      </c>
      <c r="CO478" s="551">
        <v>1250.2854024859544</v>
      </c>
      <c r="CP478" s="551">
        <v>6862.5462946173038</v>
      </c>
      <c r="CQ478" s="551"/>
      <c r="CR478" s="551">
        <v>260.81787834826014</v>
      </c>
      <c r="CS478" s="551">
        <v>59.455729278476099</v>
      </c>
      <c r="CT478" s="551">
        <v>1704.9182888561577</v>
      </c>
      <c r="CU478" s="551">
        <v>1383.3555990065399</v>
      </c>
      <c r="CV478" s="551"/>
      <c r="CW478" s="551">
        <v>20.093631774077942</v>
      </c>
      <c r="CX478" s="551">
        <v>7.7387346937017965</v>
      </c>
      <c r="CY478" s="554"/>
    </row>
    <row r="479" spans="65:103" ht="12.75" customHeight="1" x14ac:dyDescent="0.3">
      <c r="BM479" s="562"/>
      <c r="BN479" s="591">
        <v>466</v>
      </c>
      <c r="BO479" s="549" t="s">
        <v>2824</v>
      </c>
      <c r="BP479" s="554" t="s">
        <v>620</v>
      </c>
      <c r="BQ479" s="553" t="s">
        <v>2408</v>
      </c>
      <c r="BR479" s="551">
        <v>25422.634156762448</v>
      </c>
      <c r="BS479" s="551"/>
      <c r="BT479" s="551">
        <v>2254269.8214840153</v>
      </c>
      <c r="BU479" s="551">
        <v>99711.667416614859</v>
      </c>
      <c r="BV479" s="551">
        <v>23934521.195351526</v>
      </c>
      <c r="BW479" s="551">
        <v>330825.25527086435</v>
      </c>
      <c r="BX479" s="551">
        <v>258845.20284847307</v>
      </c>
      <c r="BY479" s="551">
        <v>38532624.903796084</v>
      </c>
      <c r="BZ479" s="551">
        <v>95868.593647582646</v>
      </c>
      <c r="CA479" s="551">
        <v>4720.2711250886978</v>
      </c>
      <c r="CB479" s="551">
        <v>1.2224639471244001E-31</v>
      </c>
      <c r="CC479" s="551">
        <v>548.37845844200319</v>
      </c>
      <c r="CD479" s="551">
        <v>1629530.9212143831</v>
      </c>
      <c r="CE479" s="551">
        <v>5822.362394938973</v>
      </c>
      <c r="CF479" s="551">
        <v>270324.42488906125</v>
      </c>
      <c r="CG479" s="551">
        <v>26541.37357247388</v>
      </c>
      <c r="CH479" s="551">
        <v>72056.459830484397</v>
      </c>
      <c r="CI479" s="551">
        <v>9830.1383601755133</v>
      </c>
      <c r="CJ479" s="551">
        <v>138.33964251480285</v>
      </c>
      <c r="CK479" s="551">
        <v>881806.81393266201</v>
      </c>
      <c r="CL479" s="551"/>
      <c r="CM479" s="551">
        <v>29450.544955054629</v>
      </c>
      <c r="CN479" s="551">
        <v>2791.9443315754384</v>
      </c>
      <c r="CO479" s="551">
        <v>1.8049188783746772</v>
      </c>
      <c r="CP479" s="551">
        <v>83294.734517812802</v>
      </c>
      <c r="CQ479" s="551"/>
      <c r="CR479" s="551">
        <v>3830.4305739022557</v>
      </c>
      <c r="CS479" s="551">
        <v>139.31175895203441</v>
      </c>
      <c r="CT479" s="551">
        <v>1.9088091975838961</v>
      </c>
      <c r="CU479" s="551">
        <v>16096.641082944965</v>
      </c>
      <c r="CV479" s="551"/>
      <c r="CW479" s="551">
        <v>354.93972237793758</v>
      </c>
      <c r="CX479" s="551">
        <v>9.5565145881846991</v>
      </c>
      <c r="CY479" s="554"/>
    </row>
    <row r="480" spans="65:103" ht="12.75" customHeight="1" x14ac:dyDescent="0.3">
      <c r="BM480" s="562"/>
      <c r="BN480" s="591">
        <v>467</v>
      </c>
      <c r="BO480" s="549" t="s">
        <v>2439</v>
      </c>
      <c r="BP480" s="554" t="s">
        <v>620</v>
      </c>
      <c r="BQ480" s="553" t="s">
        <v>2408</v>
      </c>
      <c r="BR480" s="551">
        <v>83383.654756024887</v>
      </c>
      <c r="BS480" s="551"/>
      <c r="BT480" s="551">
        <v>1059707.8954820617</v>
      </c>
      <c r="BU480" s="551">
        <v>43941.11291692013</v>
      </c>
      <c r="BV480" s="551">
        <v>14136469.148801921</v>
      </c>
      <c r="BW480" s="551">
        <v>171293.50805261251</v>
      </c>
      <c r="BX480" s="551">
        <v>77710.401851320494</v>
      </c>
      <c r="BY480" s="551">
        <v>2090997.6357757596</v>
      </c>
      <c r="BZ480" s="551">
        <v>28781.630315303883</v>
      </c>
      <c r="CA480" s="551">
        <v>98295.947652781717</v>
      </c>
      <c r="CB480" s="551">
        <v>2.043435215536279E-30</v>
      </c>
      <c r="CC480" s="551">
        <v>4975.5708668735479</v>
      </c>
      <c r="CD480" s="551">
        <v>1421921.6627094196</v>
      </c>
      <c r="CE480" s="551">
        <v>66373.954895598101</v>
      </c>
      <c r="CF480" s="551">
        <v>277150.41064391396</v>
      </c>
      <c r="CG480" s="551">
        <v>46187.970205282865</v>
      </c>
      <c r="CH480" s="551">
        <v>105371.52711486474</v>
      </c>
      <c r="CI480" s="551">
        <v>17106.65563158624</v>
      </c>
      <c r="CJ480" s="551">
        <v>18189.360147518633</v>
      </c>
      <c r="CK480" s="551">
        <v>738217.93357257976</v>
      </c>
      <c r="CL480" s="551"/>
      <c r="CM480" s="551">
        <v>28901.82845708969</v>
      </c>
      <c r="CN480" s="551">
        <v>30677.102710245286</v>
      </c>
      <c r="CO480" s="551">
        <v>1248.4819786736853</v>
      </c>
      <c r="CP480" s="551">
        <v>142948.63607481227</v>
      </c>
      <c r="CQ480" s="551"/>
      <c r="CR480" s="551">
        <v>8892.2952261919181</v>
      </c>
      <c r="CS480" s="551">
        <v>8658.7891186265697</v>
      </c>
      <c r="CT480" s="551">
        <v>1608.628081998633</v>
      </c>
      <c r="CU480" s="551">
        <v>18474.535115352581</v>
      </c>
      <c r="CV480" s="551"/>
      <c r="CW480" s="551">
        <v>425.70521753850716</v>
      </c>
      <c r="CX480" s="551">
        <v>625.92856909679074</v>
      </c>
      <c r="CY480" s="554"/>
    </row>
    <row r="481" spans="65:103" ht="12.75" customHeight="1" x14ac:dyDescent="0.3">
      <c r="BM481" s="562"/>
      <c r="BN481" s="591">
        <v>468</v>
      </c>
      <c r="BO481" s="549" t="s">
        <v>2441</v>
      </c>
      <c r="BP481" s="554" t="s">
        <v>620</v>
      </c>
      <c r="BQ481" s="553" t="s">
        <v>2408</v>
      </c>
      <c r="BR481" s="551">
        <v>271937.23568465072</v>
      </c>
      <c r="BS481" s="551"/>
      <c r="BT481" s="551">
        <v>837215.63721784693</v>
      </c>
      <c r="BU481" s="551">
        <v>31868.353160270603</v>
      </c>
      <c r="BV481" s="551">
        <v>15189585.513622507</v>
      </c>
      <c r="BW481" s="551">
        <v>219968.87895777574</v>
      </c>
      <c r="BX481" s="551">
        <v>340595.39978174062</v>
      </c>
      <c r="BY481" s="551">
        <v>87351443.001047447</v>
      </c>
      <c r="BZ481" s="551">
        <v>126146.44436360762</v>
      </c>
      <c r="CA481" s="551">
        <v>1000812.2351156317</v>
      </c>
      <c r="CB481" s="551">
        <v>4.4789081573029684E-30</v>
      </c>
      <c r="CC481" s="551">
        <v>6241.1473912449601</v>
      </c>
      <c r="CD481" s="551">
        <v>4494812.6662333207</v>
      </c>
      <c r="CE481" s="551">
        <v>113233.00448313284</v>
      </c>
      <c r="CF481" s="551">
        <v>1551255.0936412415</v>
      </c>
      <c r="CG481" s="551">
        <v>860006.14305192756</v>
      </c>
      <c r="CH481" s="551">
        <v>6043084.7397394916</v>
      </c>
      <c r="CI481" s="551">
        <v>318520.79372293601</v>
      </c>
      <c r="CJ481" s="551">
        <v>769794.98590846779</v>
      </c>
      <c r="CK481" s="551">
        <v>14742372.131416053</v>
      </c>
      <c r="CL481" s="551"/>
      <c r="CM481" s="551">
        <v>1026337.5671046729</v>
      </c>
      <c r="CN481" s="551">
        <v>2374256.7464583889</v>
      </c>
      <c r="CO481" s="551">
        <v>156249.54007688581</v>
      </c>
      <c r="CP481" s="551">
        <v>17706854.261540454</v>
      </c>
      <c r="CQ481" s="551"/>
      <c r="CR481" s="551">
        <v>1407474.932610272</v>
      </c>
      <c r="CS481" s="551">
        <v>1503640.0470153214</v>
      </c>
      <c r="CT481" s="551">
        <v>357090.50401980191</v>
      </c>
      <c r="CU481" s="551">
        <v>2196334.7987682149</v>
      </c>
      <c r="CV481" s="551"/>
      <c r="CW481" s="551">
        <v>124057.56820966095</v>
      </c>
      <c r="CX481" s="551">
        <v>324355.33523706486</v>
      </c>
      <c r="CY481" s="554"/>
    </row>
    <row r="482" spans="65:103" ht="12.75" customHeight="1" x14ac:dyDescent="0.3">
      <c r="BM482" s="562"/>
      <c r="BN482" s="591">
        <v>469</v>
      </c>
      <c r="BO482" s="549" t="s">
        <v>2463</v>
      </c>
      <c r="BP482" s="554" t="s">
        <v>620</v>
      </c>
      <c r="BQ482" s="553" t="s">
        <v>2408</v>
      </c>
      <c r="BR482" s="551">
        <v>20051.050306556004</v>
      </c>
      <c r="BS482" s="551"/>
      <c r="BT482" s="551">
        <v>2101194.9477990344</v>
      </c>
      <c r="BU482" s="551">
        <v>90737.860454052279</v>
      </c>
      <c r="BV482" s="551">
        <v>33791408.812761761</v>
      </c>
      <c r="BW482" s="551">
        <v>434022.58643094881</v>
      </c>
      <c r="BX482" s="551">
        <v>21088.315161854636</v>
      </c>
      <c r="BY482" s="551">
        <v>3174725.0825030897</v>
      </c>
      <c r="BZ482" s="551">
        <v>7810.4870969831991</v>
      </c>
      <c r="CA482" s="551">
        <v>3251.273809108935</v>
      </c>
      <c r="CB482" s="551">
        <v>9.1920783836990283E-32</v>
      </c>
      <c r="CC482" s="551">
        <v>343.55403720642812</v>
      </c>
      <c r="CD482" s="551">
        <v>1089207.8836547132</v>
      </c>
      <c r="CE482" s="551">
        <v>5525.0346630985341</v>
      </c>
      <c r="CF482" s="551">
        <v>260498.10986241206</v>
      </c>
      <c r="CG482" s="551">
        <v>1761.3050096538543</v>
      </c>
      <c r="CH482" s="551">
        <v>3940.3871322568216</v>
      </c>
      <c r="CI482" s="551">
        <v>652.33518876068672</v>
      </c>
      <c r="CJ482" s="551">
        <v>79.900060904588287</v>
      </c>
      <c r="CK482" s="551">
        <v>385021.04389592865</v>
      </c>
      <c r="CL482" s="551"/>
      <c r="CM482" s="551">
        <v>18489.099550877141</v>
      </c>
      <c r="CN482" s="551">
        <v>155.35734493988096</v>
      </c>
      <c r="CO482" s="551">
        <v>0.73819105310595523</v>
      </c>
      <c r="CP482" s="551">
        <v>24464.379604783731</v>
      </c>
      <c r="CQ482" s="551"/>
      <c r="CR482" s="551">
        <v>1878.3207304261362</v>
      </c>
      <c r="CS482" s="551">
        <v>5.7270210710857841</v>
      </c>
      <c r="CT482" s="551">
        <v>0.86666020018845524</v>
      </c>
      <c r="CU482" s="551">
        <v>4487.063867951515</v>
      </c>
      <c r="CV482" s="551"/>
      <c r="CW482" s="551">
        <v>126.27376992455261</v>
      </c>
      <c r="CX482" s="551">
        <v>0.40169341560275662</v>
      </c>
      <c r="CY482" s="554"/>
    </row>
    <row r="483" spans="65:103" ht="12.75" customHeight="1" x14ac:dyDescent="0.3">
      <c r="BM483" s="562"/>
      <c r="BN483" s="591">
        <v>470</v>
      </c>
      <c r="BO483" s="549" t="s">
        <v>2624</v>
      </c>
      <c r="BP483" s="554" t="s">
        <v>620</v>
      </c>
      <c r="BQ483" s="553" t="s">
        <v>2408</v>
      </c>
      <c r="BR483" s="551">
        <v>57289.267130907028</v>
      </c>
      <c r="BS483" s="551"/>
      <c r="BT483" s="551">
        <v>3979091.6660623304</v>
      </c>
      <c r="BU483" s="551">
        <v>182917.7430682884</v>
      </c>
      <c r="BV483" s="551">
        <v>70428784.168132722</v>
      </c>
      <c r="BW483" s="551">
        <v>1064625.4572579584</v>
      </c>
      <c r="BX483" s="551">
        <v>5322918.5852593612</v>
      </c>
      <c r="BY483" s="551">
        <v>51651842.645674661</v>
      </c>
      <c r="BZ483" s="551">
        <v>1971451.3278738381</v>
      </c>
      <c r="CA483" s="551">
        <v>46772.51201277387</v>
      </c>
      <c r="CB483" s="551">
        <v>3.8846283718533918E-30</v>
      </c>
      <c r="CC483" s="551">
        <v>27437.643392613503</v>
      </c>
      <c r="CD483" s="551">
        <v>5548917.6044214042</v>
      </c>
      <c r="CE483" s="551">
        <v>485638.43880803382</v>
      </c>
      <c r="CF483" s="551">
        <v>1614802.0533165087</v>
      </c>
      <c r="CG483" s="551">
        <v>2251990.1620378275</v>
      </c>
      <c r="CH483" s="551">
        <v>5036893.9540339103</v>
      </c>
      <c r="CI483" s="551">
        <v>834070.43038438098</v>
      </c>
      <c r="CJ483" s="551">
        <v>5895.3195319653478</v>
      </c>
      <c r="CK483" s="551">
        <v>3559599.4756329884</v>
      </c>
      <c r="CL483" s="551"/>
      <c r="CM483" s="551">
        <v>208409.02107868023</v>
      </c>
      <c r="CN483" s="551">
        <v>1018794.9846774095</v>
      </c>
      <c r="CO483" s="551">
        <v>500.71395731859093</v>
      </c>
      <c r="CP483" s="551">
        <v>425844.59616764984</v>
      </c>
      <c r="CQ483" s="551"/>
      <c r="CR483" s="551">
        <v>34865.826179318807</v>
      </c>
      <c r="CS483" s="551">
        <v>123445.54074883531</v>
      </c>
      <c r="CT483" s="551">
        <v>217.52049541158863</v>
      </c>
      <c r="CU483" s="551">
        <v>85723.297384662073</v>
      </c>
      <c r="CV483" s="551"/>
      <c r="CW483" s="551">
        <v>3268.5196607842022</v>
      </c>
      <c r="CX483" s="551">
        <v>15855.092061623889</v>
      </c>
      <c r="CY483" s="554"/>
    </row>
    <row r="484" spans="65:103" ht="12.75" customHeight="1" x14ac:dyDescent="0.3">
      <c r="BM484" s="562"/>
      <c r="BN484" s="591">
        <v>471</v>
      </c>
      <c r="BO484" s="549" t="s">
        <v>2800</v>
      </c>
      <c r="BP484" s="554" t="s">
        <v>620</v>
      </c>
      <c r="BQ484" s="553" t="s">
        <v>2408</v>
      </c>
      <c r="BR484" s="551">
        <v>25780.682865564009</v>
      </c>
      <c r="BS484" s="551"/>
      <c r="BT484" s="551">
        <v>2126153.3335309303</v>
      </c>
      <c r="BU484" s="551">
        <v>95422.759982295087</v>
      </c>
      <c r="BV484" s="551">
        <v>38339389.090356514</v>
      </c>
      <c r="BW484" s="551">
        <v>566934.94931726286</v>
      </c>
      <c r="BX484" s="551">
        <v>446193.17317549151</v>
      </c>
      <c r="BY484" s="551">
        <v>19195823.097397085</v>
      </c>
      <c r="BZ484" s="551">
        <v>165256.73080573749</v>
      </c>
      <c r="CA484" s="551">
        <v>8160.261722418687</v>
      </c>
      <c r="CB484" s="551">
        <v>2.7965810730587441E-31</v>
      </c>
      <c r="CC484" s="551">
        <v>1447.1976583672413</v>
      </c>
      <c r="CD484" s="551">
        <v>1700327.199313506</v>
      </c>
      <c r="CE484" s="551">
        <v>26096.271251824721</v>
      </c>
      <c r="CF484" s="551">
        <v>505107.43702258414</v>
      </c>
      <c r="CG484" s="551">
        <v>73370.664461799519</v>
      </c>
      <c r="CH484" s="551">
        <v>168716.25864397353</v>
      </c>
      <c r="CI484" s="551">
        <v>27174.320171036848</v>
      </c>
      <c r="CJ484" s="551">
        <v>390.96155804490149</v>
      </c>
      <c r="CK484" s="551">
        <v>946173.34320982615</v>
      </c>
      <c r="CL484" s="551"/>
      <c r="CM484" s="551">
        <v>56547.338486629451</v>
      </c>
      <c r="CN484" s="551">
        <v>12616.999221835</v>
      </c>
      <c r="CO484" s="551">
        <v>14.4748954588385</v>
      </c>
      <c r="CP484" s="551">
        <v>92434.493079618464</v>
      </c>
      <c r="CQ484" s="551"/>
      <c r="CR484" s="551">
        <v>7728.7980225080646</v>
      </c>
      <c r="CS484" s="551">
        <v>1387.84422040148</v>
      </c>
      <c r="CT484" s="551">
        <v>6.6629631325884739</v>
      </c>
      <c r="CU484" s="551">
        <v>17691.147827785429</v>
      </c>
      <c r="CV484" s="551"/>
      <c r="CW484" s="551">
        <v>688.26735725597291</v>
      </c>
      <c r="CX484" s="551">
        <v>52.093246802422556</v>
      </c>
      <c r="CY484" s="554"/>
    </row>
    <row r="485" spans="65:103" ht="12.75" customHeight="1" x14ac:dyDescent="0.3">
      <c r="BM485" s="562"/>
      <c r="BN485" s="591">
        <v>472</v>
      </c>
      <c r="BO485" s="549" t="s">
        <v>2630</v>
      </c>
      <c r="BP485" s="554" t="s">
        <v>620</v>
      </c>
      <c r="BQ485" s="553" t="s">
        <v>2408</v>
      </c>
      <c r="BR485" s="551">
        <v>108928.86928383762</v>
      </c>
      <c r="BS485" s="551"/>
      <c r="BT485" s="551">
        <v>677408.84510472103</v>
      </c>
      <c r="BU485" s="551">
        <v>22052.75242747644</v>
      </c>
      <c r="BV485" s="551">
        <v>6357532.5735622551</v>
      </c>
      <c r="BW485" s="551">
        <v>43390.933011308436</v>
      </c>
      <c r="BX485" s="551">
        <v>128505.08510515488</v>
      </c>
      <c r="BY485" s="551">
        <v>6123733.9990260247</v>
      </c>
      <c r="BZ485" s="551">
        <v>47594.475964872159</v>
      </c>
      <c r="CA485" s="551">
        <v>114218.83211059487</v>
      </c>
      <c r="CB485" s="551">
        <v>1.347470943501062E-30</v>
      </c>
      <c r="CC485" s="551">
        <v>1457.3062979629156</v>
      </c>
      <c r="CD485" s="551">
        <v>260022.21263512841</v>
      </c>
      <c r="CE485" s="551">
        <v>13676.92838070988</v>
      </c>
      <c r="CF485" s="551">
        <v>25580.948335151075</v>
      </c>
      <c r="CG485" s="551">
        <v>66677.008342537418</v>
      </c>
      <c r="CH485" s="551">
        <v>166367.341071164</v>
      </c>
      <c r="CI485" s="551">
        <v>24695.18827501385</v>
      </c>
      <c r="CJ485" s="551">
        <v>18734.199236815963</v>
      </c>
      <c r="CK485" s="551">
        <v>56753.007688723206</v>
      </c>
      <c r="CL485" s="551"/>
      <c r="CM485" s="551">
        <v>1104.7858797082615</v>
      </c>
      <c r="CN485" s="551">
        <v>39253.391019282135</v>
      </c>
      <c r="CO485" s="551">
        <v>926.57827550359821</v>
      </c>
      <c r="CP485" s="551">
        <v>17718.416758275711</v>
      </c>
      <c r="CQ485" s="551"/>
      <c r="CR485" s="551">
        <v>930.69277556338238</v>
      </c>
      <c r="CS485" s="551">
        <v>6957.6077826945257</v>
      </c>
      <c r="CT485" s="551">
        <v>1501.651714792139</v>
      </c>
      <c r="CU485" s="551">
        <v>1149.8641680588837</v>
      </c>
      <c r="CV485" s="551"/>
      <c r="CW485" s="551">
        <v>10.077389080713576</v>
      </c>
      <c r="CX485" s="551">
        <v>794.87093285417711</v>
      </c>
      <c r="CY485" s="554"/>
    </row>
    <row r="486" spans="65:103" ht="12.75" customHeight="1" x14ac:dyDescent="0.3">
      <c r="BM486" s="562"/>
      <c r="BN486" s="591">
        <v>473</v>
      </c>
      <c r="BO486" s="549" t="s">
        <v>2656</v>
      </c>
      <c r="BP486" s="554" t="s">
        <v>620</v>
      </c>
      <c r="BQ486" s="553" t="s">
        <v>2408</v>
      </c>
      <c r="BR486" s="551">
        <v>50392.97743572943</v>
      </c>
      <c r="BS486" s="551"/>
      <c r="BT486" s="551">
        <v>1406957.9583694914</v>
      </c>
      <c r="BU486" s="551">
        <v>55543.626387996723</v>
      </c>
      <c r="BV486" s="551">
        <v>22594974.254325598</v>
      </c>
      <c r="BW486" s="551">
        <v>217656.35981760299</v>
      </c>
      <c r="BX486" s="551">
        <v>237023.76772074788</v>
      </c>
      <c r="BY486" s="551">
        <v>10725609.247074962</v>
      </c>
      <c r="BZ486" s="551">
        <v>87786.580637314022</v>
      </c>
      <c r="CA486" s="551">
        <v>26289.802829756765</v>
      </c>
      <c r="CB486" s="551">
        <v>8.6199759101223618E-31</v>
      </c>
      <c r="CC486" s="551">
        <v>1985.8309337702037</v>
      </c>
      <c r="CD486" s="551">
        <v>513488.85272470285</v>
      </c>
      <c r="CE486" s="551">
        <v>31891.357204432912</v>
      </c>
      <c r="CF486" s="551">
        <v>100609.30637680594</v>
      </c>
      <c r="CG486" s="551">
        <v>64087.019461894692</v>
      </c>
      <c r="CH486" s="551">
        <v>143878.74156128665</v>
      </c>
      <c r="CI486" s="551">
        <v>23735.933134035062</v>
      </c>
      <c r="CJ486" s="551">
        <v>2072.5540175025403</v>
      </c>
      <c r="CK486" s="551">
        <v>94318.053610498668</v>
      </c>
      <c r="CL486" s="551"/>
      <c r="CM486" s="551">
        <v>3680.9743130821271</v>
      </c>
      <c r="CN486" s="551">
        <v>18133.943527850515</v>
      </c>
      <c r="CO486" s="551">
        <v>79.954132184578768</v>
      </c>
      <c r="CP486" s="551">
        <v>5749.5006008568462</v>
      </c>
      <c r="CQ486" s="551"/>
      <c r="CR486" s="551">
        <v>500.20566621794836</v>
      </c>
      <c r="CS486" s="551">
        <v>2653.7949977659705</v>
      </c>
      <c r="CT486" s="551">
        <v>67.594706316043201</v>
      </c>
      <c r="CU486" s="551">
        <v>787.74288889834304</v>
      </c>
      <c r="CV486" s="551"/>
      <c r="CW486" s="551">
        <v>14.972708856349135</v>
      </c>
      <c r="CX486" s="551">
        <v>135.67119211179232</v>
      </c>
      <c r="CY486" s="554"/>
    </row>
    <row r="487" spans="65:103" ht="12.75" customHeight="1" x14ac:dyDescent="0.3">
      <c r="BM487" s="562"/>
      <c r="BN487" s="591">
        <v>474</v>
      </c>
      <c r="BO487" s="549" t="s">
        <v>2461</v>
      </c>
      <c r="BP487" s="554" t="s">
        <v>620</v>
      </c>
      <c r="BQ487" s="553" t="s">
        <v>2408</v>
      </c>
      <c r="BR487" s="551">
        <v>53870.882462991358</v>
      </c>
      <c r="BS487" s="551"/>
      <c r="BT487" s="551">
        <v>1884306.7786916932</v>
      </c>
      <c r="BU487" s="551">
        <v>82796.383283213116</v>
      </c>
      <c r="BV487" s="551">
        <v>48143865.942780435</v>
      </c>
      <c r="BW487" s="551">
        <v>724766.92889286845</v>
      </c>
      <c r="BX487" s="551">
        <v>186484.1805033992</v>
      </c>
      <c r="BY487" s="551">
        <v>8181709.1123521086</v>
      </c>
      <c r="BZ487" s="551">
        <v>69068.21500125897</v>
      </c>
      <c r="CA487" s="551">
        <v>33807.053176832349</v>
      </c>
      <c r="CB487" s="551">
        <v>9.5020205127563501E-31</v>
      </c>
      <c r="CC487" s="551">
        <v>3584.4120656734058</v>
      </c>
      <c r="CD487" s="551">
        <v>1919112.25139134</v>
      </c>
      <c r="CE487" s="551">
        <v>91581.40061104155</v>
      </c>
      <c r="CF487" s="551">
        <v>839957.639142183</v>
      </c>
      <c r="CG487" s="551">
        <v>60640.031503271945</v>
      </c>
      <c r="CH487" s="551">
        <v>136687.718597489</v>
      </c>
      <c r="CI487" s="551">
        <v>22459.27092713775</v>
      </c>
      <c r="CJ487" s="551">
        <v>3235.6045381206791</v>
      </c>
      <c r="CK487" s="551">
        <v>1155200.5948329221</v>
      </c>
      <c r="CL487" s="551"/>
      <c r="CM487" s="551">
        <v>101642.58054489452</v>
      </c>
      <c r="CN487" s="551">
        <v>20831.051506448934</v>
      </c>
      <c r="CO487" s="551">
        <v>125.89490883794575</v>
      </c>
      <c r="CP487" s="551">
        <v>128669.7239224751</v>
      </c>
      <c r="CQ487" s="551"/>
      <c r="CR487" s="551">
        <v>15962.180702885989</v>
      </c>
      <c r="CS487" s="551">
        <v>3284.9387711818986</v>
      </c>
      <c r="CT487" s="551">
        <v>135.00224575489534</v>
      </c>
      <c r="CU487" s="551">
        <v>23840.279678049719</v>
      </c>
      <c r="CV487" s="551"/>
      <c r="CW487" s="551">
        <v>1356.380870804471</v>
      </c>
      <c r="CX487" s="551">
        <v>201.36045654934085</v>
      </c>
      <c r="CY487" s="554"/>
    </row>
    <row r="488" spans="65:103" ht="12.75" customHeight="1" x14ac:dyDescent="0.3">
      <c r="BM488" s="562"/>
      <c r="BN488" s="591">
        <v>475</v>
      </c>
      <c r="BO488" s="549" t="s">
        <v>2804</v>
      </c>
      <c r="BP488" s="554" t="s">
        <v>620</v>
      </c>
      <c r="BQ488" s="553" t="s">
        <v>2408</v>
      </c>
      <c r="BR488" s="551">
        <v>9629.2815494123242</v>
      </c>
      <c r="BS488" s="551"/>
      <c r="BT488" s="551">
        <v>1516902.3979758439</v>
      </c>
      <c r="BU488" s="551">
        <v>65419.43259561203</v>
      </c>
      <c r="BV488" s="551">
        <v>49729033.291376986</v>
      </c>
      <c r="BW488" s="551">
        <v>758100.52037937252</v>
      </c>
      <c r="BX488" s="551">
        <v>251528.54262282865</v>
      </c>
      <c r="BY488" s="551">
        <v>31012497.545379102</v>
      </c>
      <c r="BZ488" s="551">
        <v>93158.719489936513</v>
      </c>
      <c r="CA488" s="551">
        <v>886.82529520313619</v>
      </c>
      <c r="CB488" s="551">
        <v>2.979955350554934E-32</v>
      </c>
      <c r="CC488" s="551">
        <v>100.6484933724697</v>
      </c>
      <c r="CD488" s="551">
        <v>1046341.1088158427</v>
      </c>
      <c r="CE488" s="551">
        <v>3299.5875570671924</v>
      </c>
      <c r="CF488" s="551">
        <v>606266.14112579869</v>
      </c>
      <c r="CG488" s="551">
        <v>12052.182413242992</v>
      </c>
      <c r="CH488" s="551">
        <v>28187.646907581606</v>
      </c>
      <c r="CI488" s="551">
        <v>4463.7712641640692</v>
      </c>
      <c r="CJ488" s="551">
        <v>14.390557304289965</v>
      </c>
      <c r="CK488" s="551">
        <v>585848.95060161594</v>
      </c>
      <c r="CL488" s="551"/>
      <c r="CM488" s="551">
        <v>68187.635218469528</v>
      </c>
      <c r="CN488" s="551">
        <v>701.95438713316605</v>
      </c>
      <c r="CO488" s="551">
        <v>0.41499984350908942</v>
      </c>
      <c r="CP488" s="551">
        <v>57004.831383549608</v>
      </c>
      <c r="CQ488" s="551"/>
      <c r="CR488" s="551">
        <v>9397.4335552180437</v>
      </c>
      <c r="CS488" s="551">
        <v>59.151608800482478</v>
      </c>
      <c r="CT488" s="551">
        <v>0.12631492879982309</v>
      </c>
      <c r="CU488" s="551">
        <v>11140.009720985026</v>
      </c>
      <c r="CV488" s="551"/>
      <c r="CW488" s="551">
        <v>835.15840541404066</v>
      </c>
      <c r="CX488" s="551">
        <v>1.5040176044481077</v>
      </c>
      <c r="CY488" s="554"/>
    </row>
    <row r="489" spans="65:103" ht="12.75" customHeight="1" x14ac:dyDescent="0.3">
      <c r="BM489" s="562"/>
      <c r="BN489" s="591">
        <v>476</v>
      </c>
      <c r="BO489" s="549" t="s">
        <v>2523</v>
      </c>
      <c r="BP489" s="554" t="s">
        <v>620</v>
      </c>
      <c r="BQ489" s="553" t="s">
        <v>2408</v>
      </c>
      <c r="BR489" s="551">
        <v>104963.60306154341</v>
      </c>
      <c r="BS489" s="551"/>
      <c r="BT489" s="551">
        <v>2382971.414012393</v>
      </c>
      <c r="BU489" s="551">
        <v>108341.46172177127</v>
      </c>
      <c r="BV489" s="551">
        <v>92854202.685466215</v>
      </c>
      <c r="BW489" s="551">
        <v>1772869.0003604551</v>
      </c>
      <c r="BX489" s="551">
        <v>5194409.1277892366</v>
      </c>
      <c r="BY489" s="551">
        <v>117812350.54542138</v>
      </c>
      <c r="BZ489" s="551">
        <v>1923855.2325145311</v>
      </c>
      <c r="CA489" s="551">
        <v>150150.8176706091</v>
      </c>
      <c r="CB489" s="551">
        <v>4.6298366959386192E-30</v>
      </c>
      <c r="CC489" s="551">
        <v>21286.920719973376</v>
      </c>
      <c r="CD489" s="551">
        <v>8033163.3600303093</v>
      </c>
      <c r="CE489" s="551">
        <v>829460.24423924484</v>
      </c>
      <c r="CF489" s="551">
        <v>6572620.5228811679</v>
      </c>
      <c r="CG489" s="551">
        <v>3929339.6977895382</v>
      </c>
      <c r="CH489" s="551">
        <v>9934570.4818468243</v>
      </c>
      <c r="CI489" s="551">
        <v>1455310.9991813099</v>
      </c>
      <c r="CJ489" s="551">
        <v>35351.373026570909</v>
      </c>
      <c r="CK489" s="551">
        <v>14792226.92553352</v>
      </c>
      <c r="CL489" s="551"/>
      <c r="CM489" s="551">
        <v>2439280.0516507407</v>
      </c>
      <c r="CN489" s="551">
        <v>3320487.241829257</v>
      </c>
      <c r="CO489" s="551">
        <v>3389.2584144300035</v>
      </c>
      <c r="CP489" s="551">
        <v>4300356.7663774593</v>
      </c>
      <c r="CQ489" s="551"/>
      <c r="CR489" s="551">
        <v>815919.98198597238</v>
      </c>
      <c r="CS489" s="551">
        <v>1122355.1986410797</v>
      </c>
      <c r="CT489" s="551">
        <v>3856.9300955204176</v>
      </c>
      <c r="CU489" s="551">
        <v>1024179.7561651899</v>
      </c>
      <c r="CV489" s="551"/>
      <c r="CW489" s="551">
        <v>135645.06527916729</v>
      </c>
      <c r="CX489" s="551">
        <v>85309.478494968149</v>
      </c>
      <c r="CY489" s="554"/>
    </row>
    <row r="490" spans="65:103" ht="12.75" customHeight="1" x14ac:dyDescent="0.3">
      <c r="BM490" s="562"/>
      <c r="BN490" s="591">
        <v>477</v>
      </c>
      <c r="BO490" s="549" t="s">
        <v>2484</v>
      </c>
      <c r="BP490" s="554" t="s">
        <v>620</v>
      </c>
      <c r="BQ490" s="553" t="s">
        <v>2408</v>
      </c>
      <c r="BR490" s="551">
        <v>50530.995816995746</v>
      </c>
      <c r="BS490" s="551"/>
      <c r="BT490" s="551">
        <v>2439345.5666439012</v>
      </c>
      <c r="BU490" s="551">
        <v>113513.49614415101</v>
      </c>
      <c r="BV490" s="551">
        <v>109135363.742075</v>
      </c>
      <c r="BW490" s="551">
        <v>2177051.0692046504</v>
      </c>
      <c r="BX490" s="551">
        <v>295240.11188027024</v>
      </c>
      <c r="BY490" s="551">
        <v>3569208.8144183755</v>
      </c>
      <c r="BZ490" s="551">
        <v>109348.1895852852</v>
      </c>
      <c r="CA490" s="551">
        <v>66978.048968943243</v>
      </c>
      <c r="CB490" s="551">
        <v>3.1138821406933469E-30</v>
      </c>
      <c r="CC490" s="551">
        <v>18806.087722745804</v>
      </c>
      <c r="CD490" s="551">
        <v>6794404.2676100265</v>
      </c>
      <c r="CE490" s="551">
        <v>841376.9874397004</v>
      </c>
      <c r="CF490" s="551">
        <v>6515421.3277974278</v>
      </c>
      <c r="CG490" s="551">
        <v>202790.9115693373</v>
      </c>
      <c r="CH490" s="551">
        <v>450798.72431065084</v>
      </c>
      <c r="CI490" s="551">
        <v>75107.745025680444</v>
      </c>
      <c r="CJ490" s="551">
        <v>14218.93370494635</v>
      </c>
      <c r="CK490" s="551">
        <v>12115132.5804458</v>
      </c>
      <c r="CL490" s="551"/>
      <c r="CM490" s="551">
        <v>2340905.5021227826</v>
      </c>
      <c r="CN490" s="551">
        <v>154520.70448492284</v>
      </c>
      <c r="CO490" s="551">
        <v>1644.1931974011713</v>
      </c>
      <c r="CP490" s="551">
        <v>3208334.0809269412</v>
      </c>
      <c r="CQ490" s="551"/>
      <c r="CR490" s="551">
        <v>714022.68130679044</v>
      </c>
      <c r="CS490" s="551">
        <v>31175.923381007771</v>
      </c>
      <c r="CT490" s="551">
        <v>965.9702330653347</v>
      </c>
      <c r="CU490" s="551">
        <v>833364.01508352975</v>
      </c>
      <c r="CV490" s="551"/>
      <c r="CW490" s="551">
        <v>129147.99326221464</v>
      </c>
      <c r="CX490" s="551">
        <v>4349.6056535037569</v>
      </c>
      <c r="CY490" s="554"/>
    </row>
    <row r="491" spans="65:103" ht="12.75" customHeight="1" x14ac:dyDescent="0.3">
      <c r="BM491" s="562"/>
      <c r="BN491" s="591">
        <v>478</v>
      </c>
      <c r="BO491" s="549" t="s">
        <v>2858</v>
      </c>
      <c r="BP491" s="554" t="s">
        <v>620</v>
      </c>
      <c r="BQ491" s="553" t="s">
        <v>2408</v>
      </c>
      <c r="BR491" s="551">
        <v>95758.934015503022</v>
      </c>
      <c r="BS491" s="551"/>
      <c r="BT491" s="551">
        <v>639453.95992895227</v>
      </c>
      <c r="BU491" s="551">
        <v>19639.269897184891</v>
      </c>
      <c r="BV491" s="551">
        <v>17067851.468519259</v>
      </c>
      <c r="BW491" s="551">
        <v>135739.163559112</v>
      </c>
      <c r="BX491" s="551">
        <v>4488.5763444978274</v>
      </c>
      <c r="BY491" s="551">
        <v>9258032.3947953917</v>
      </c>
      <c r="BZ491" s="551">
        <v>1662.4356831473435</v>
      </c>
      <c r="CA491" s="551">
        <v>41447.261832429351</v>
      </c>
      <c r="CB491" s="551">
        <v>3.5368497133231621E-33</v>
      </c>
      <c r="CC491" s="551">
        <v>2.8439413108144898</v>
      </c>
      <c r="CD491" s="551">
        <v>104692.37442096719</v>
      </c>
      <c r="CE491" s="551">
        <v>75.908463970667739</v>
      </c>
      <c r="CF491" s="551">
        <v>36179.693566298156</v>
      </c>
      <c r="CG491" s="551">
        <v>1024.4120528850026</v>
      </c>
      <c r="CH491" s="551">
        <v>4550.5995160663706</v>
      </c>
      <c r="CI491" s="551">
        <v>379.41187143888976</v>
      </c>
      <c r="CJ491" s="551">
        <v>2694.9097983941665</v>
      </c>
      <c r="CK491" s="551">
        <v>15716.560924242945</v>
      </c>
      <c r="CL491" s="551"/>
      <c r="CM491" s="551">
        <v>1078.6132431176345</v>
      </c>
      <c r="CN491" s="551">
        <v>239.07090400563729</v>
      </c>
      <c r="CO491" s="551">
        <v>58.354992879750114</v>
      </c>
      <c r="CP491" s="551">
        <v>430.57948003203285</v>
      </c>
      <c r="CQ491" s="551"/>
      <c r="CR491" s="551">
        <v>66.69772531557993</v>
      </c>
      <c r="CS491" s="551">
        <v>16.355503269519595</v>
      </c>
      <c r="CT491" s="551">
        <v>77.7492671871412</v>
      </c>
      <c r="CU491" s="551">
        <v>77.295347949126722</v>
      </c>
      <c r="CV491" s="551"/>
      <c r="CW491" s="551">
        <v>2.5713184795190323</v>
      </c>
      <c r="CX491" s="551">
        <v>1.9892971873850489</v>
      </c>
      <c r="CY491" s="554"/>
    </row>
    <row r="492" spans="65:103" ht="12.75" customHeight="1" x14ac:dyDescent="0.3">
      <c r="BM492" s="562"/>
      <c r="BN492" s="591">
        <v>479</v>
      </c>
      <c r="BO492" s="549" t="s">
        <v>2482</v>
      </c>
      <c r="BP492" s="554" t="s">
        <v>620</v>
      </c>
      <c r="BQ492" s="553" t="s">
        <v>2408</v>
      </c>
      <c r="BR492" s="551">
        <v>67440.494994236215</v>
      </c>
      <c r="BS492" s="551"/>
      <c r="BT492" s="551">
        <v>526372.17341622326</v>
      </c>
      <c r="BU492" s="551">
        <v>19339.898825120843</v>
      </c>
      <c r="BV492" s="551">
        <v>28332563.200952295</v>
      </c>
      <c r="BW492" s="551">
        <v>459674.20282575424</v>
      </c>
      <c r="BX492" s="551">
        <v>1395.1986851896302</v>
      </c>
      <c r="BY492" s="551">
        <v>5493599.7784602316</v>
      </c>
      <c r="BZ492" s="551">
        <v>516.74025377393696</v>
      </c>
      <c r="CA492" s="551">
        <v>39820.571473150383</v>
      </c>
      <c r="CB492" s="551">
        <v>1.6263292954406512E-33</v>
      </c>
      <c r="CC492" s="551">
        <v>2.0844023756866901</v>
      </c>
      <c r="CD492" s="551">
        <v>396132.18313945428</v>
      </c>
      <c r="CE492" s="551">
        <v>112.19525846526845</v>
      </c>
      <c r="CF492" s="551">
        <v>470767.05815475382</v>
      </c>
      <c r="CG492" s="551">
        <v>447.20520157198428</v>
      </c>
      <c r="CH492" s="551">
        <v>2114.6049410099522</v>
      </c>
      <c r="CI492" s="551">
        <v>165.63155613777198</v>
      </c>
      <c r="CJ492" s="551">
        <v>3650.0053657241656</v>
      </c>
      <c r="CK492" s="551">
        <v>509997.67416681797</v>
      </c>
      <c r="CL492" s="551"/>
      <c r="CM492" s="551">
        <v>122072.23976521342</v>
      </c>
      <c r="CN492" s="551">
        <v>147.12840138322548</v>
      </c>
      <c r="CO492" s="551">
        <v>128.87260854428669</v>
      </c>
      <c r="CP492" s="551">
        <v>71894.662874511749</v>
      </c>
      <c r="CQ492" s="551"/>
      <c r="CR492" s="551">
        <v>19847.240730099551</v>
      </c>
      <c r="CS492" s="551">
        <v>18.810728000171981</v>
      </c>
      <c r="CT492" s="551">
        <v>151.57963703593714</v>
      </c>
      <c r="CU492" s="551">
        <v>27121.284944870713</v>
      </c>
      <c r="CV492" s="551"/>
      <c r="CW492" s="551">
        <v>5197.6150146625132</v>
      </c>
      <c r="CX492" s="551">
        <v>1.7199538468782172</v>
      </c>
      <c r="CY492" s="554"/>
    </row>
    <row r="493" spans="65:103" ht="12.75" customHeight="1" x14ac:dyDescent="0.3">
      <c r="BM493" s="562"/>
      <c r="BN493" s="591">
        <v>480</v>
      </c>
      <c r="BO493" s="549" t="s">
        <v>2856</v>
      </c>
      <c r="BP493" s="554" t="s">
        <v>620</v>
      </c>
      <c r="BQ493" s="553" t="s">
        <v>2408</v>
      </c>
      <c r="BR493" s="551">
        <v>67373.297001596336</v>
      </c>
      <c r="BS493" s="551"/>
      <c r="BT493" s="551">
        <v>530563.73718928057</v>
      </c>
      <c r="BU493" s="551">
        <v>19533.553367545821</v>
      </c>
      <c r="BV493" s="551">
        <v>28558178.74734452</v>
      </c>
      <c r="BW493" s="551">
        <v>464277.01891169779</v>
      </c>
      <c r="BX493" s="551">
        <v>15914.746317893432</v>
      </c>
      <c r="BY493" s="551">
        <v>56466301.175530568</v>
      </c>
      <c r="BZ493" s="551">
        <v>5894.3504881086783</v>
      </c>
      <c r="CA493" s="551">
        <v>39740.069050439</v>
      </c>
      <c r="CB493" s="551">
        <v>1.1335753774463414E-32</v>
      </c>
      <c r="CC493" s="551">
        <v>15.143531025960478</v>
      </c>
      <c r="CD493" s="551">
        <v>409247.57351101225</v>
      </c>
      <c r="CE493" s="551">
        <v>815.11727167107767</v>
      </c>
      <c r="CF493" s="551">
        <v>486353.50632676721</v>
      </c>
      <c r="CG493" s="551">
        <v>6427.03420670786</v>
      </c>
      <c r="CH493" s="551">
        <v>50004.277138413039</v>
      </c>
      <c r="CI493" s="551">
        <v>2380.3830395214291</v>
      </c>
      <c r="CJ493" s="551">
        <v>3642.6778536329725</v>
      </c>
      <c r="CK493" s="551">
        <v>529857.79570067977</v>
      </c>
      <c r="CL493" s="551"/>
      <c r="CM493" s="551">
        <v>126825.92716507961</v>
      </c>
      <c r="CN493" s="551">
        <v>2114.4937934621935</v>
      </c>
      <c r="CO493" s="551">
        <v>128.61137523602324</v>
      </c>
      <c r="CP493" s="551">
        <v>76550.952243703039</v>
      </c>
      <c r="CQ493" s="551"/>
      <c r="CR493" s="551">
        <v>21132.655979638268</v>
      </c>
      <c r="CS493" s="551">
        <v>231.18826721714592</v>
      </c>
      <c r="CT493" s="551">
        <v>151.39716675213893</v>
      </c>
      <c r="CU493" s="551">
        <v>28220.570532929141</v>
      </c>
      <c r="CV493" s="551"/>
      <c r="CW493" s="551">
        <v>5408.2858324172284</v>
      </c>
      <c r="CX493" s="551">
        <v>26.140825486771035</v>
      </c>
      <c r="CY493" s="554"/>
    </row>
    <row r="494" spans="65:103" ht="12.75" customHeight="1" x14ac:dyDescent="0.3">
      <c r="BM494" s="562"/>
      <c r="BN494" s="591">
        <v>481</v>
      </c>
      <c r="BO494" s="549" t="s">
        <v>2678</v>
      </c>
      <c r="BP494" s="554" t="s">
        <v>620</v>
      </c>
      <c r="BQ494" s="553" t="s">
        <v>2408</v>
      </c>
      <c r="BR494" s="551">
        <v>110322.53950852739</v>
      </c>
      <c r="BS494" s="551"/>
      <c r="BT494" s="551">
        <v>759645.44884154841</v>
      </c>
      <c r="BU494" s="551">
        <v>30601.904206077634</v>
      </c>
      <c r="BV494" s="551">
        <v>43661704.544253059</v>
      </c>
      <c r="BW494" s="551">
        <v>785435.90231645713</v>
      </c>
      <c r="BX494" s="551">
        <v>1532940.3511325994</v>
      </c>
      <c r="BY494" s="551">
        <v>76019046.181883335</v>
      </c>
      <c r="BZ494" s="551">
        <v>567755.68560466659</v>
      </c>
      <c r="CA494" s="551">
        <v>178873.46436473791</v>
      </c>
      <c r="CB494" s="551">
        <v>2.2060981750588399E-30</v>
      </c>
      <c r="CC494" s="551">
        <v>4077.5500726061168</v>
      </c>
      <c r="CD494" s="551">
        <v>2783597.2394875009</v>
      </c>
      <c r="CE494" s="551">
        <v>234363.00027338276</v>
      </c>
      <c r="CF494" s="551">
        <v>3572224.1249422831</v>
      </c>
      <c r="CG494" s="551">
        <v>1437611.7216123103</v>
      </c>
      <c r="CH494" s="551">
        <v>5571026.8421083679</v>
      </c>
      <c r="CI494" s="551">
        <v>532448.78578233696</v>
      </c>
      <c r="CJ494" s="551">
        <v>49155.121007007561</v>
      </c>
      <c r="CK494" s="551">
        <v>5475647.1806561938</v>
      </c>
      <c r="CL494" s="551"/>
      <c r="CM494" s="551">
        <v>1415061.6666267014</v>
      </c>
      <c r="CN494" s="551">
        <v>1417973.4907849969</v>
      </c>
      <c r="CO494" s="551">
        <v>4598.9524487202234</v>
      </c>
      <c r="CP494" s="551">
        <v>2023749.2756408872</v>
      </c>
      <c r="CQ494" s="551"/>
      <c r="CR494" s="551">
        <v>603460.04706448968</v>
      </c>
      <c r="CS494" s="551">
        <v>486004.00575516914</v>
      </c>
      <c r="CT494" s="551">
        <v>6761.8547128254213</v>
      </c>
      <c r="CU494" s="551">
        <v>397823.13186717645</v>
      </c>
      <c r="CV494" s="551"/>
      <c r="CW494" s="551">
        <v>82265.767149474865</v>
      </c>
      <c r="CX494" s="551">
        <v>51168.103841207892</v>
      </c>
      <c r="CY494" s="554"/>
    </row>
    <row r="495" spans="65:103" ht="12.75" customHeight="1" x14ac:dyDescent="0.3">
      <c r="BM495" s="562"/>
      <c r="BN495" s="591">
        <v>482</v>
      </c>
      <c r="BO495" s="549" t="s">
        <v>2412</v>
      </c>
      <c r="BP495" s="554" t="s">
        <v>620</v>
      </c>
      <c r="BQ495" s="553" t="s">
        <v>2408</v>
      </c>
      <c r="BR495" s="551">
        <v>8184.9772665766213</v>
      </c>
      <c r="BS495" s="551"/>
      <c r="BT495" s="551">
        <v>508830.98822312104</v>
      </c>
      <c r="BU495" s="551">
        <v>17114.07034293457</v>
      </c>
      <c r="BV495" s="551">
        <v>25069861.222452894</v>
      </c>
      <c r="BW495" s="551">
        <v>289253.45348386205</v>
      </c>
      <c r="BX495" s="551">
        <v>5852.7193268188321</v>
      </c>
      <c r="BY495" s="551">
        <v>6983485.0026410818</v>
      </c>
      <c r="BZ495" s="551">
        <v>2167.6738247477156</v>
      </c>
      <c r="CA495" s="551">
        <v>407.51826043924638</v>
      </c>
      <c r="CB495" s="551">
        <v>4.8553177752017145E-34</v>
      </c>
      <c r="CC495" s="551">
        <v>0.48810163623276143</v>
      </c>
      <c r="CD495" s="551">
        <v>175891.17146682047</v>
      </c>
      <c r="CE495" s="551">
        <v>24.048535891139117</v>
      </c>
      <c r="CF495" s="551">
        <v>148641.22842963604</v>
      </c>
      <c r="CG495" s="551">
        <v>152.85246748521206</v>
      </c>
      <c r="CH495" s="551">
        <v>540.30377399219617</v>
      </c>
      <c r="CI495" s="551">
        <v>56.612024994522962</v>
      </c>
      <c r="CJ495" s="551">
        <v>4.0504931833365427</v>
      </c>
      <c r="CK495" s="551">
        <v>63877.118204208266</v>
      </c>
      <c r="CL495" s="551"/>
      <c r="CM495" s="551">
        <v>10783.173043311122</v>
      </c>
      <c r="CN495" s="551">
        <v>5.4530181238903532</v>
      </c>
      <c r="CO495" s="551">
        <v>8.4939907334906875E-2</v>
      </c>
      <c r="CP495" s="551">
        <v>3682.5941557742062</v>
      </c>
      <c r="CQ495" s="551"/>
      <c r="CR495" s="551">
        <v>1019.036046642255</v>
      </c>
      <c r="CS495" s="551">
        <v>0.39009882962640929</v>
      </c>
      <c r="CT495" s="551">
        <v>2.5683131782602928E-2</v>
      </c>
      <c r="CU495" s="551">
        <v>791.44759788225474</v>
      </c>
      <c r="CV495" s="551"/>
      <c r="CW495" s="551">
        <v>77.007875925511627</v>
      </c>
      <c r="CX495" s="551">
        <v>9.4377618901969103E-3</v>
      </c>
      <c r="CY495" s="554"/>
    </row>
    <row r="496" spans="65:103" ht="12.75" customHeight="1" x14ac:dyDescent="0.3">
      <c r="BM496" s="562"/>
      <c r="BN496" s="591">
        <v>483</v>
      </c>
      <c r="BO496" s="549" t="s">
        <v>2469</v>
      </c>
      <c r="BP496" s="554" t="s">
        <v>620</v>
      </c>
      <c r="BQ496" s="553" t="s">
        <v>2408</v>
      </c>
      <c r="BR496" s="551">
        <v>46804.591878757368</v>
      </c>
      <c r="BS496" s="551"/>
      <c r="BT496" s="551">
        <v>887438.63872964971</v>
      </c>
      <c r="BU496" s="551">
        <v>37613.490228055438</v>
      </c>
      <c r="BV496" s="551">
        <v>53017170.119208194</v>
      </c>
      <c r="BW496" s="551">
        <v>872183.47219754511</v>
      </c>
      <c r="BX496" s="551">
        <v>429278.3383720917</v>
      </c>
      <c r="BY496" s="551">
        <v>4998247.0773619721</v>
      </c>
      <c r="BZ496" s="551">
        <v>158991.97717484875</v>
      </c>
      <c r="CA496" s="551">
        <v>59515.307969405891</v>
      </c>
      <c r="CB496" s="551">
        <v>2.7234598602178332E-30</v>
      </c>
      <c r="CC496" s="551">
        <v>6951.9934398541282</v>
      </c>
      <c r="CD496" s="551">
        <v>2383765.3628831198</v>
      </c>
      <c r="CE496" s="551">
        <v>415324.51122026116</v>
      </c>
      <c r="CF496" s="551">
        <v>2763743.4581288616</v>
      </c>
      <c r="CG496" s="551">
        <v>282863.58355095377</v>
      </c>
      <c r="CH496" s="551">
        <v>630442.21107517404</v>
      </c>
      <c r="CI496" s="551">
        <v>104764.2902040569</v>
      </c>
      <c r="CJ496" s="551">
        <v>12050.967677292041</v>
      </c>
      <c r="CK496" s="551">
        <v>2017598.868598846</v>
      </c>
      <c r="CL496" s="551"/>
      <c r="CM496" s="551">
        <v>468431.06215536961</v>
      </c>
      <c r="CN496" s="551">
        <v>205576.71916489425</v>
      </c>
      <c r="CO496" s="551">
        <v>1375.0919426305297</v>
      </c>
      <c r="CP496" s="551">
        <v>370590.53328011947</v>
      </c>
      <c r="CQ496" s="551"/>
      <c r="CR496" s="551">
        <v>122963.57766656039</v>
      </c>
      <c r="CS496" s="551">
        <v>41785.746236002036</v>
      </c>
      <c r="CT496" s="551">
        <v>764.514842846237</v>
      </c>
      <c r="CU496" s="551">
        <v>79442.830538353097</v>
      </c>
      <c r="CV496" s="551"/>
      <c r="CW496" s="551">
        <v>11791.605514818617</v>
      </c>
      <c r="CX496" s="551">
        <v>5188.4675122816088</v>
      </c>
      <c r="CY496" s="554"/>
    </row>
    <row r="497" spans="65:103" ht="12.75" customHeight="1" x14ac:dyDescent="0.3">
      <c r="BM497" s="562"/>
      <c r="BN497" s="591">
        <v>484</v>
      </c>
      <c r="BO497" s="549" t="s">
        <v>2618</v>
      </c>
      <c r="BP497" s="554" t="s">
        <v>620</v>
      </c>
      <c r="BQ497" s="553" t="s">
        <v>2408</v>
      </c>
      <c r="BR497" s="551">
        <v>173386.98344055488</v>
      </c>
      <c r="BS497" s="551"/>
      <c r="BT497" s="551">
        <v>1165879.7895519352</v>
      </c>
      <c r="BU497" s="551">
        <v>47951.354595161858</v>
      </c>
      <c r="BV497" s="551">
        <v>90279850.344030619</v>
      </c>
      <c r="BW497" s="551">
        <v>1754814.3460403266</v>
      </c>
      <c r="BX497" s="551">
        <v>3306881.9206770258</v>
      </c>
      <c r="BY497" s="551">
        <v>118583774.54155168</v>
      </c>
      <c r="BZ497" s="551">
        <v>1224771.0817322312</v>
      </c>
      <c r="CA497" s="551">
        <v>458321.46621240943</v>
      </c>
      <c r="CB497" s="551">
        <v>7.9154973934538045E-30</v>
      </c>
      <c r="CC497" s="551">
        <v>15769.20074010684</v>
      </c>
      <c r="CD497" s="551">
        <v>8996018.1325042583</v>
      </c>
      <c r="CE497" s="551">
        <v>1221087.3673425186</v>
      </c>
      <c r="CF497" s="551">
        <v>16460788.031366862</v>
      </c>
      <c r="CG497" s="551">
        <v>5142057.971798759</v>
      </c>
      <c r="CH497" s="551">
        <v>15072060.656939872</v>
      </c>
      <c r="CI497" s="551">
        <v>1904465.9154810219</v>
      </c>
      <c r="CJ497" s="551">
        <v>223574.02163076802</v>
      </c>
      <c r="CK497" s="551">
        <v>24283344.770397529</v>
      </c>
      <c r="CL497" s="551"/>
      <c r="CM497" s="551">
        <v>8938894.1655845158</v>
      </c>
      <c r="CN497" s="551">
        <v>9003093.5798170622</v>
      </c>
      <c r="CO497" s="551">
        <v>28339.548707626735</v>
      </c>
      <c r="CP497" s="551">
        <v>13225283.863251736</v>
      </c>
      <c r="CQ497" s="551"/>
      <c r="CR497" s="551">
        <v>5628656.9042757563</v>
      </c>
      <c r="CS497" s="551">
        <v>4015275.5945160501</v>
      </c>
      <c r="CT497" s="551">
        <v>64678.77194158372</v>
      </c>
      <c r="CU497" s="551">
        <v>2875617.0550670605</v>
      </c>
      <c r="CV497" s="551"/>
      <c r="CW497" s="551">
        <v>844824.12477305986</v>
      </c>
      <c r="CX497" s="551">
        <v>672257.43777441676</v>
      </c>
      <c r="CY497" s="554"/>
    </row>
    <row r="498" spans="65:103" ht="12.75" customHeight="1" x14ac:dyDescent="0.3">
      <c r="BM498" s="562"/>
      <c r="BN498" s="591">
        <v>485</v>
      </c>
      <c r="BO498" s="549" t="s">
        <v>2694</v>
      </c>
      <c r="BP498" s="554" t="s">
        <v>620</v>
      </c>
      <c r="BQ498" s="553" t="s">
        <v>2408</v>
      </c>
      <c r="BR498" s="551">
        <v>51796.718518046939</v>
      </c>
      <c r="BS498" s="551"/>
      <c r="BT498" s="551">
        <v>855184.80512803106</v>
      </c>
      <c r="BU498" s="551">
        <v>33927.588324777011</v>
      </c>
      <c r="BV498" s="551">
        <v>57278235.842745148</v>
      </c>
      <c r="BW498" s="551">
        <v>826541.09515238646</v>
      </c>
      <c r="BX498" s="551">
        <v>1497111.1711461178</v>
      </c>
      <c r="BY498" s="551">
        <v>23125107.121383511</v>
      </c>
      <c r="BZ498" s="551">
        <v>554485.61894300685</v>
      </c>
      <c r="CA498" s="551">
        <v>48428.383957757324</v>
      </c>
      <c r="CB498" s="551">
        <v>2.1004856485090332E-30</v>
      </c>
      <c r="CC498" s="551">
        <v>3812.0466887177581</v>
      </c>
      <c r="CD498" s="551">
        <v>1426665.8725349577</v>
      </c>
      <c r="CE498" s="551">
        <v>255321.78304693144</v>
      </c>
      <c r="CF498" s="551">
        <v>1737815.7878678653</v>
      </c>
      <c r="CG498" s="551">
        <v>725398.10462528118</v>
      </c>
      <c r="CH498" s="551">
        <v>1620352.3655186861</v>
      </c>
      <c r="CI498" s="551">
        <v>268665.96467602998</v>
      </c>
      <c r="CJ498" s="551">
        <v>7048.2827535586684</v>
      </c>
      <c r="CK498" s="551">
        <v>789905.79355074617</v>
      </c>
      <c r="CL498" s="551"/>
      <c r="CM498" s="551">
        <v>191599.57018064408</v>
      </c>
      <c r="CN498" s="551">
        <v>378933.85934241186</v>
      </c>
      <c r="CO498" s="551">
        <v>690.08738179453462</v>
      </c>
      <c r="CP498" s="551">
        <v>112885.67785960156</v>
      </c>
      <c r="CQ498" s="551"/>
      <c r="CR498" s="551">
        <v>45113.258386658061</v>
      </c>
      <c r="CS498" s="551">
        <v>73615.572553808408</v>
      </c>
      <c r="CT498" s="551">
        <v>307.87301271107566</v>
      </c>
      <c r="CU498" s="551">
        <v>18758.720907382976</v>
      </c>
      <c r="CV498" s="551"/>
      <c r="CW498" s="551">
        <v>2614.2665595311955</v>
      </c>
      <c r="CX498" s="551">
        <v>5511.0832723540361</v>
      </c>
      <c r="CY498" s="554"/>
    </row>
    <row r="499" spans="65:103" ht="12.75" customHeight="1" x14ac:dyDescent="0.3">
      <c r="BM499" s="562"/>
      <c r="BN499" s="591">
        <v>486</v>
      </c>
      <c r="BO499" s="549" t="s">
        <v>2792</v>
      </c>
      <c r="BP499" s="554" t="s">
        <v>620</v>
      </c>
      <c r="BQ499" s="553" t="s">
        <v>2408</v>
      </c>
      <c r="BR499" s="551">
        <v>234701.02555851289</v>
      </c>
      <c r="BS499" s="551"/>
      <c r="BT499" s="551">
        <v>714299.3167367276</v>
      </c>
      <c r="BU499" s="551">
        <v>25743.586319282371</v>
      </c>
      <c r="BV499" s="551">
        <v>59576474.749575473</v>
      </c>
      <c r="BW499" s="551">
        <v>1030990.312732656</v>
      </c>
      <c r="BX499" s="551">
        <v>282900.85522246809</v>
      </c>
      <c r="BY499" s="551">
        <v>83954012.477882981</v>
      </c>
      <c r="BZ499" s="551">
        <v>104778.09452684002</v>
      </c>
      <c r="CA499" s="551">
        <v>869250.62511787168</v>
      </c>
      <c r="CB499" s="551">
        <v>8.5160586606461293E-31</v>
      </c>
      <c r="CC499" s="551">
        <v>1077.6225547448719</v>
      </c>
      <c r="CD499" s="551">
        <v>1255410.1174149248</v>
      </c>
      <c r="CE499" s="551">
        <v>89879.62247483668</v>
      </c>
      <c r="CF499" s="551">
        <v>2513860.4495673748</v>
      </c>
      <c r="CG499" s="551">
        <v>739148.24043536116</v>
      </c>
      <c r="CH499" s="551">
        <v>5195098.5148408273</v>
      </c>
      <c r="CI499" s="551">
        <v>273758.60756865225</v>
      </c>
      <c r="CJ499" s="551">
        <v>688037.53664844693</v>
      </c>
      <c r="CK499" s="551">
        <v>3742002.037118488</v>
      </c>
      <c r="CL499" s="551"/>
      <c r="CM499" s="551">
        <v>1506946.9641304261</v>
      </c>
      <c r="CN499" s="551">
        <v>2099917.937824599</v>
      </c>
      <c r="CO499" s="551">
        <v>166201.02932040527</v>
      </c>
      <c r="CP499" s="551">
        <v>5007861.263992087</v>
      </c>
      <c r="CQ499" s="551"/>
      <c r="CR499" s="551">
        <v>2332862.0850575054</v>
      </c>
      <c r="CS499" s="551">
        <v>1574258.6594374054</v>
      </c>
      <c r="CT499" s="551">
        <v>318245.35837513662</v>
      </c>
      <c r="CU499" s="551">
        <v>511805.65724659304</v>
      </c>
      <c r="CV499" s="551"/>
      <c r="CW499" s="551">
        <v>164390.73288475402</v>
      </c>
      <c r="CX499" s="551">
        <v>286411.09236546169</v>
      </c>
      <c r="CY499" s="554"/>
    </row>
    <row r="500" spans="65:103" ht="12.75" customHeight="1" x14ac:dyDescent="0.3">
      <c r="BM500" s="562"/>
      <c r="BN500" s="591">
        <v>487</v>
      </c>
      <c r="BO500" s="549" t="s">
        <v>2457</v>
      </c>
      <c r="BP500" s="554" t="s">
        <v>620</v>
      </c>
      <c r="BQ500" s="553" t="s">
        <v>2408</v>
      </c>
      <c r="BR500" s="551">
        <v>31688.98742492672</v>
      </c>
      <c r="BS500" s="551"/>
      <c r="BT500" s="551">
        <v>583453.78424024524</v>
      </c>
      <c r="BU500" s="551">
        <v>20964.123159726634</v>
      </c>
      <c r="BV500" s="551">
        <v>60903219.764931187</v>
      </c>
      <c r="BW500" s="551">
        <v>1108357.4620578762</v>
      </c>
      <c r="BX500" s="551">
        <v>34969.194875265763</v>
      </c>
      <c r="BY500" s="551">
        <v>66731567.249532931</v>
      </c>
      <c r="BZ500" s="551">
        <v>12951.55365750583</v>
      </c>
      <c r="CA500" s="551">
        <v>6762.9139903139585</v>
      </c>
      <c r="CB500" s="551">
        <v>4.6462090419096786E-33</v>
      </c>
      <c r="CC500" s="551">
        <v>6.0033835103068895</v>
      </c>
      <c r="CD500" s="551">
        <v>440574.70885234594</v>
      </c>
      <c r="CE500" s="551">
        <v>626.65697804581077</v>
      </c>
      <c r="CF500" s="551">
        <v>1164642.714674934</v>
      </c>
      <c r="CG500" s="551">
        <v>4523.9599077490784</v>
      </c>
      <c r="CH500" s="551">
        <v>32792.255015923969</v>
      </c>
      <c r="CI500" s="551">
        <v>1675.5407065737322</v>
      </c>
      <c r="CJ500" s="551">
        <v>254.1471179622379</v>
      </c>
      <c r="CK500" s="551">
        <v>617800.46601941751</v>
      </c>
      <c r="CL500" s="551"/>
      <c r="CM500" s="551">
        <v>328059.78275886603</v>
      </c>
      <c r="CN500" s="551">
        <v>610.20214199293662</v>
      </c>
      <c r="CO500" s="551">
        <v>10.735901521284459</v>
      </c>
      <c r="CP500" s="551">
        <v>96217.808994203835</v>
      </c>
      <c r="CQ500" s="551"/>
      <c r="CR500" s="551">
        <v>59195.792700753045</v>
      </c>
      <c r="CS500" s="551">
        <v>83.05617585994743</v>
      </c>
      <c r="CT500" s="551">
        <v>5.8451555709163259</v>
      </c>
      <c r="CU500" s="551">
        <v>36417.439681882701</v>
      </c>
      <c r="CV500" s="551"/>
      <c r="CW500" s="551">
        <v>15392.443435404255</v>
      </c>
      <c r="CX500" s="551">
        <v>4.1136437864677475</v>
      </c>
      <c r="CY500" s="554"/>
    </row>
    <row r="501" spans="65:103" ht="12.75" customHeight="1" x14ac:dyDescent="0.3">
      <c r="BM501" s="562"/>
      <c r="BN501" s="591">
        <v>488</v>
      </c>
      <c r="BO501" s="549" t="s">
        <v>2680</v>
      </c>
      <c r="BP501" s="554" t="s">
        <v>620</v>
      </c>
      <c r="BQ501" s="553" t="s">
        <v>2408</v>
      </c>
      <c r="BR501" s="551">
        <v>176771.79610324616</v>
      </c>
      <c r="BS501" s="551"/>
      <c r="BT501" s="551">
        <v>1166823.430517595</v>
      </c>
      <c r="BU501" s="551">
        <v>49597.410215958567</v>
      </c>
      <c r="BV501" s="551">
        <v>134827898.6454694</v>
      </c>
      <c r="BW501" s="551">
        <v>3275272.9855166096</v>
      </c>
      <c r="BX501" s="551">
        <v>432692611.15264326</v>
      </c>
      <c r="BY501" s="551">
        <v>6670458604.9344044</v>
      </c>
      <c r="BZ501" s="551">
        <v>160256522.6491271</v>
      </c>
      <c r="CA501" s="551">
        <v>453647.77757089416</v>
      </c>
      <c r="CB501" s="551">
        <v>1.7468542020323403E-29</v>
      </c>
      <c r="CC501" s="551">
        <v>39206.588894807137</v>
      </c>
      <c r="CD501" s="551">
        <v>21560795.57217063</v>
      </c>
      <c r="CE501" s="551">
        <v>4530370.110410573</v>
      </c>
      <c r="CF501" s="551">
        <v>71190704.289086625</v>
      </c>
      <c r="CG501" s="551">
        <v>55030315.926386334</v>
      </c>
      <c r="CH501" s="551">
        <v>451216444.06356329</v>
      </c>
      <c r="CI501" s="551">
        <v>20381598.491254199</v>
      </c>
      <c r="CJ501" s="551">
        <v>231335.67199173546</v>
      </c>
      <c r="CK501" s="551">
        <v>81275976.894026697</v>
      </c>
      <c r="CL501" s="551"/>
      <c r="CM501" s="551">
        <v>54165899.765548669</v>
      </c>
      <c r="CN501" s="551">
        <v>100723191.90421602</v>
      </c>
      <c r="CO501" s="551">
        <v>53009.407025439315</v>
      </c>
      <c r="CP501" s="551">
        <v>37865354.075391762</v>
      </c>
      <c r="CQ501" s="551"/>
      <c r="CR501" s="551">
        <v>25538640.212524973</v>
      </c>
      <c r="CS501" s="551">
        <v>39498786.063763872</v>
      </c>
      <c r="CT501" s="551">
        <v>39357.17013102163</v>
      </c>
      <c r="CU501" s="551">
        <v>13034734.153491182</v>
      </c>
      <c r="CV501" s="551"/>
      <c r="CW501" s="551">
        <v>8497892.1807383299</v>
      </c>
      <c r="CX501" s="551">
        <v>6604609.5361846387</v>
      </c>
      <c r="CY501" s="554"/>
    </row>
    <row r="502" spans="65:103" ht="12.75" customHeight="1" x14ac:dyDescent="0.3">
      <c r="BM502" s="562"/>
      <c r="BN502" s="591">
        <v>489</v>
      </c>
      <c r="BO502" s="549" t="s">
        <v>2864</v>
      </c>
      <c r="BP502" s="554" t="s">
        <v>620</v>
      </c>
      <c r="BQ502" s="553" t="s">
        <v>2408</v>
      </c>
      <c r="BR502" s="551">
        <v>21782.011196415562</v>
      </c>
      <c r="BS502" s="551"/>
      <c r="BT502" s="551">
        <v>513922.37190176663</v>
      </c>
      <c r="BU502" s="551">
        <v>16096.737064063782</v>
      </c>
      <c r="BV502" s="551">
        <v>47173323.94764737</v>
      </c>
      <c r="BW502" s="551">
        <v>579742.98602913041</v>
      </c>
      <c r="BX502" s="551">
        <v>45575.425355725689</v>
      </c>
      <c r="BY502" s="551">
        <v>21176285.920091528</v>
      </c>
      <c r="BZ502" s="551">
        <v>16879.787168787287</v>
      </c>
      <c r="CA502" s="551">
        <v>2849.6565022039144</v>
      </c>
      <c r="CB502" s="551">
        <v>4.7737430144114259E-33</v>
      </c>
      <c r="CC502" s="551">
        <v>4.1493862027246244</v>
      </c>
      <c r="CD502" s="551">
        <v>172401.14098644946</v>
      </c>
      <c r="CE502" s="551">
        <v>380.87530379479529</v>
      </c>
      <c r="CF502" s="551">
        <v>310461.52978869743</v>
      </c>
      <c r="CG502" s="551">
        <v>3566.6220565127787</v>
      </c>
      <c r="CH502" s="551">
        <v>13244.323160907597</v>
      </c>
      <c r="CI502" s="551">
        <v>1320.9711320417691</v>
      </c>
      <c r="CJ502" s="551">
        <v>57.545206720279573</v>
      </c>
      <c r="CK502" s="551">
        <v>70626.095134421514</v>
      </c>
      <c r="CL502" s="551"/>
      <c r="CM502" s="551">
        <v>25202.389556728318</v>
      </c>
      <c r="CN502" s="551">
        <v>258.51002377108745</v>
      </c>
      <c r="CO502" s="551">
        <v>0.58366580956936165</v>
      </c>
      <c r="CP502" s="551">
        <v>4528.6547548372719</v>
      </c>
      <c r="CQ502" s="551"/>
      <c r="CR502" s="551">
        <v>2677.2437858546496</v>
      </c>
      <c r="CS502" s="551">
        <v>8.8380261602636701</v>
      </c>
      <c r="CT502" s="551">
        <v>0.51623703025970946</v>
      </c>
      <c r="CU502" s="551">
        <v>1003.8958739755175</v>
      </c>
      <c r="CV502" s="551"/>
      <c r="CW502" s="551">
        <v>205.13595374430008</v>
      </c>
      <c r="CX502" s="551">
        <v>0.63112091932748748</v>
      </c>
      <c r="CY502" s="554"/>
    </row>
    <row r="503" spans="65:103" ht="12.75" customHeight="1" x14ac:dyDescent="0.3">
      <c r="BM503" s="562"/>
      <c r="BN503" s="591">
        <v>490</v>
      </c>
      <c r="BO503" s="549" t="s">
        <v>2830</v>
      </c>
      <c r="BP503" s="554" t="s">
        <v>620</v>
      </c>
      <c r="BQ503" s="553" t="s">
        <v>2408</v>
      </c>
      <c r="BR503" s="551">
        <v>18621.762043313698</v>
      </c>
      <c r="BS503" s="551"/>
      <c r="BT503" s="551">
        <v>599739.6056830684</v>
      </c>
      <c r="BU503" s="551">
        <v>21534.613205954491</v>
      </c>
      <c r="BV503" s="551">
        <v>64637387.91434478</v>
      </c>
      <c r="BW503" s="551">
        <v>1032420.9417193208</v>
      </c>
      <c r="BX503" s="551">
        <v>440193.25201479549</v>
      </c>
      <c r="BY503" s="551">
        <v>31535716.779410638</v>
      </c>
      <c r="BZ503" s="551">
        <v>163034.53778325758</v>
      </c>
      <c r="CA503" s="551">
        <v>3540.8633506278802</v>
      </c>
      <c r="CB503" s="551">
        <v>9.5140535492660219E-32</v>
      </c>
      <c r="CC503" s="551">
        <v>124.43145973190393</v>
      </c>
      <c r="CD503" s="551">
        <v>381199.24601057515</v>
      </c>
      <c r="CE503" s="551">
        <v>13410.694333382944</v>
      </c>
      <c r="CF503" s="551">
        <v>913780.24946394493</v>
      </c>
      <c r="CG503" s="551">
        <v>43614.381385560991</v>
      </c>
      <c r="CH503" s="551">
        <v>102734.69301640194</v>
      </c>
      <c r="CI503" s="551">
        <v>16153.474587244813</v>
      </c>
      <c r="CJ503" s="551">
        <v>105.02277192627834</v>
      </c>
      <c r="CK503" s="551">
        <v>250990.123899197</v>
      </c>
      <c r="CL503" s="551"/>
      <c r="CM503" s="551">
        <v>119687.49048236069</v>
      </c>
      <c r="CN503" s="551">
        <v>4643.0962040091636</v>
      </c>
      <c r="CO503" s="551">
        <v>3.0870027710338963</v>
      </c>
      <c r="CP503" s="551">
        <v>27424.246925584128</v>
      </c>
      <c r="CQ503" s="551"/>
      <c r="CR503" s="551">
        <v>18849.544699668095</v>
      </c>
      <c r="CS503" s="551">
        <v>421.19932527238262</v>
      </c>
      <c r="CT503" s="551">
        <v>1.1780070289267197</v>
      </c>
      <c r="CU503" s="551">
        <v>5785.0711801337138</v>
      </c>
      <c r="CV503" s="551"/>
      <c r="CW503" s="551">
        <v>1751.5152205771619</v>
      </c>
      <c r="CX503" s="551">
        <v>12.445040418749816</v>
      </c>
      <c r="CY503" s="554"/>
    </row>
    <row r="504" spans="65:103" ht="12.75" customHeight="1" x14ac:dyDescent="0.3">
      <c r="BM504" s="562"/>
      <c r="BN504" s="591">
        <v>491</v>
      </c>
      <c r="BO504" s="549" t="s">
        <v>2486</v>
      </c>
      <c r="BP504" s="554" t="s">
        <v>620</v>
      </c>
      <c r="BQ504" s="553" t="s">
        <v>2408</v>
      </c>
      <c r="BR504" s="551">
        <v>67706.573936339802</v>
      </c>
      <c r="BS504" s="551"/>
      <c r="BT504" s="551">
        <v>666901.0112592848</v>
      </c>
      <c r="BU504" s="551">
        <v>23372.441002210628</v>
      </c>
      <c r="BV504" s="551">
        <v>75427390.36038515</v>
      </c>
      <c r="BW504" s="551">
        <v>1192704.9106778279</v>
      </c>
      <c r="BX504" s="551">
        <v>686673.64946835465</v>
      </c>
      <c r="BY504" s="551">
        <v>38655526.712147832</v>
      </c>
      <c r="BZ504" s="551">
        <v>254323.57387716838</v>
      </c>
      <c r="CA504" s="551">
        <v>50041.299472597762</v>
      </c>
      <c r="CB504" s="551">
        <v>7.5980224035595864E-31</v>
      </c>
      <c r="CC504" s="551">
        <v>899.61535935977133</v>
      </c>
      <c r="CD504" s="551">
        <v>802674.73576761934</v>
      </c>
      <c r="CE504" s="551">
        <v>101747.69229469053</v>
      </c>
      <c r="CF504" s="551">
        <v>2048040.4655562476</v>
      </c>
      <c r="CG504" s="551">
        <v>271345.02909370494</v>
      </c>
      <c r="CH504" s="551">
        <v>652482.89195088414</v>
      </c>
      <c r="CI504" s="551">
        <v>100498.1589235944</v>
      </c>
      <c r="CJ504" s="551">
        <v>5703.0505441563782</v>
      </c>
      <c r="CK504" s="551">
        <v>631440.53477579879</v>
      </c>
      <c r="CL504" s="551"/>
      <c r="CM504" s="551">
        <v>320240.72578013147</v>
      </c>
      <c r="CN504" s="551">
        <v>110995.19205005807</v>
      </c>
      <c r="CO504" s="551">
        <v>224.55626634250996</v>
      </c>
      <c r="CP504" s="551">
        <v>97168.958745785858</v>
      </c>
      <c r="CQ504" s="551"/>
      <c r="CR504" s="551">
        <v>71087.944913196188</v>
      </c>
      <c r="CS504" s="551">
        <v>17074.590557071653</v>
      </c>
      <c r="CT504" s="551">
        <v>300.23195458599719</v>
      </c>
      <c r="CU504" s="551">
        <v>17108.457202529713</v>
      </c>
      <c r="CV504" s="551"/>
      <c r="CW504" s="551">
        <v>5505.4138983503635</v>
      </c>
      <c r="CX504" s="551">
        <v>1414.3297818127171</v>
      </c>
      <c r="CY504" s="554"/>
    </row>
    <row r="505" spans="65:103" ht="12.75" customHeight="1" x14ac:dyDescent="0.3">
      <c r="BM505" s="562"/>
      <c r="BN505" s="591">
        <v>492</v>
      </c>
      <c r="BO505" s="549" t="s">
        <v>2818</v>
      </c>
      <c r="BP505" s="554" t="s">
        <v>620</v>
      </c>
      <c r="BQ505" s="553" t="s">
        <v>2408</v>
      </c>
      <c r="BR505" s="551">
        <v>62484.153585654487</v>
      </c>
      <c r="BS505" s="551"/>
      <c r="BT505" s="551">
        <v>545674.46709375945</v>
      </c>
      <c r="BU505" s="551">
        <v>18647.626742358807</v>
      </c>
      <c r="BV505" s="551">
        <v>63925665.858941317</v>
      </c>
      <c r="BW505" s="551">
        <v>996279.38204480195</v>
      </c>
      <c r="BX505" s="551">
        <v>799970.16750435077</v>
      </c>
      <c r="BY505" s="551">
        <v>34189698.958294883</v>
      </c>
      <c r="BZ505" s="551">
        <v>296285.24722383358</v>
      </c>
      <c r="CA505" s="551">
        <v>47307.430649086251</v>
      </c>
      <c r="CB505" s="551">
        <v>6.7081049859131902E-31</v>
      </c>
      <c r="CC505" s="551">
        <v>737.46780056833666</v>
      </c>
      <c r="CD505" s="551">
        <v>666993.95220523386</v>
      </c>
      <c r="CE505" s="551">
        <v>86394.220444182094</v>
      </c>
      <c r="CF505" s="551">
        <v>1781761.1101716906</v>
      </c>
      <c r="CG505" s="551">
        <v>322829.11314602941</v>
      </c>
      <c r="CH505" s="551">
        <v>816408.35789427918</v>
      </c>
      <c r="CI505" s="551">
        <v>119566.33820223306</v>
      </c>
      <c r="CJ505" s="551">
        <v>5548.5124102201798</v>
      </c>
      <c r="CK505" s="551">
        <v>535603.82524539391</v>
      </c>
      <c r="CL505" s="551"/>
      <c r="CM505" s="551">
        <v>284210.03862874699</v>
      </c>
      <c r="CN505" s="551">
        <v>135901.28049739398</v>
      </c>
      <c r="CO505" s="551">
        <v>290.91805710685844</v>
      </c>
      <c r="CP505" s="551">
        <v>89459.714282365021</v>
      </c>
      <c r="CQ505" s="551"/>
      <c r="CR505" s="551">
        <v>68519.069718291037</v>
      </c>
      <c r="CS505" s="551">
        <v>27751.602787260847</v>
      </c>
      <c r="CT505" s="551">
        <v>286.53757714684673</v>
      </c>
      <c r="CU505" s="551">
        <v>14837.263480314739</v>
      </c>
      <c r="CV505" s="551"/>
      <c r="CW505" s="551">
        <v>4993.1614974286595</v>
      </c>
      <c r="CX505" s="551">
        <v>1644.3891293006839</v>
      </c>
      <c r="CY505" s="554"/>
    </row>
    <row r="506" spans="65:103" ht="12.75" customHeight="1" x14ac:dyDescent="0.3">
      <c r="BM506" s="562"/>
      <c r="BN506" s="591">
        <v>493</v>
      </c>
      <c r="BO506" s="549" t="s">
        <v>2541</v>
      </c>
      <c r="BP506" s="554" t="s">
        <v>620</v>
      </c>
      <c r="BQ506" s="553" t="s">
        <v>2408</v>
      </c>
      <c r="BR506" s="551">
        <v>131821.6407128865</v>
      </c>
      <c r="BS506" s="551"/>
      <c r="BT506" s="551">
        <v>426834.28952443181</v>
      </c>
      <c r="BU506" s="551">
        <v>15340.122077545233</v>
      </c>
      <c r="BV506" s="551">
        <v>63107709.388360918</v>
      </c>
      <c r="BW506" s="551">
        <v>1274255.096647803</v>
      </c>
      <c r="BX506" s="551">
        <v>648189.98823546094</v>
      </c>
      <c r="BY506" s="551">
        <v>49986525.943204522</v>
      </c>
      <c r="BZ506" s="551">
        <v>240070.36601313369</v>
      </c>
      <c r="CA506" s="551">
        <v>660372.69806287531</v>
      </c>
      <c r="CB506" s="551">
        <v>2.2900121365622316E-30</v>
      </c>
      <c r="CC506" s="551">
        <v>2905.375284162305</v>
      </c>
      <c r="CD506" s="551">
        <v>2489122.7229619836</v>
      </c>
      <c r="CE506" s="551">
        <v>429561.50336779893</v>
      </c>
      <c r="CF506" s="551">
        <v>10338174.950246949</v>
      </c>
      <c r="CG506" s="551">
        <v>810542.53728445736</v>
      </c>
      <c r="CH506" s="551">
        <v>5735665.0434080912</v>
      </c>
      <c r="CI506" s="551">
        <v>300200.93973498407</v>
      </c>
      <c r="CJ506" s="551">
        <v>974940.96008695196</v>
      </c>
      <c r="CK506" s="551">
        <v>16153687.048489388</v>
      </c>
      <c r="CL506" s="551"/>
      <c r="CM506" s="551">
        <v>13440315.040645668</v>
      </c>
      <c r="CN506" s="551">
        <v>4295054.4493058054</v>
      </c>
      <c r="CO506" s="551">
        <v>321870.35608376958</v>
      </c>
      <c r="CP506" s="551">
        <v>25373419.388841428</v>
      </c>
      <c r="CQ506" s="551"/>
      <c r="CR506" s="551">
        <v>24530867.408575326</v>
      </c>
      <c r="CS506" s="551">
        <v>5698096.4233685425</v>
      </c>
      <c r="CT506" s="551">
        <v>834180.8049035212</v>
      </c>
      <c r="CU506" s="551">
        <v>5541339.8902282612</v>
      </c>
      <c r="CV506" s="551"/>
      <c r="CW506" s="551">
        <v>3656174.4375443999</v>
      </c>
      <c r="CX506" s="551">
        <v>976225.56121192488</v>
      </c>
      <c r="CY506" s="554"/>
    </row>
    <row r="507" spans="65:103" ht="12.75" customHeight="1" x14ac:dyDescent="0.3">
      <c r="BM507" s="562"/>
      <c r="BN507" s="591">
        <v>494</v>
      </c>
      <c r="BO507" s="549" t="s">
        <v>2500</v>
      </c>
      <c r="BP507" s="554" t="s">
        <v>620</v>
      </c>
      <c r="BQ507" s="553" t="s">
        <v>2408</v>
      </c>
      <c r="BR507" s="551">
        <v>38306.993899766647</v>
      </c>
      <c r="BS507" s="551"/>
      <c r="BT507" s="551">
        <v>442139.80060060299</v>
      </c>
      <c r="BU507" s="551">
        <v>14150.257492847142</v>
      </c>
      <c r="BV507" s="551">
        <v>73702358.871279329</v>
      </c>
      <c r="BW507" s="551">
        <v>1222580.4218293529</v>
      </c>
      <c r="BX507" s="551">
        <v>142141.19494255015</v>
      </c>
      <c r="BY507" s="551">
        <v>3155647.133248664</v>
      </c>
      <c r="BZ507" s="551">
        <v>52644.887015759326</v>
      </c>
      <c r="CA507" s="551">
        <v>19834.60423531567</v>
      </c>
      <c r="CB507" s="551">
        <v>7.0572132737522054E-31</v>
      </c>
      <c r="CC507" s="551">
        <v>670.64601123021907</v>
      </c>
      <c r="CD507" s="551">
        <v>642089.0634915909</v>
      </c>
      <c r="CE507" s="551">
        <v>111793.1317835181</v>
      </c>
      <c r="CF507" s="551">
        <v>2773820.6124248216</v>
      </c>
      <c r="CG507" s="551">
        <v>38122.694721196734</v>
      </c>
      <c r="CH507" s="551">
        <v>85208.865678321803</v>
      </c>
      <c r="CI507" s="551">
        <v>14119.516563406192</v>
      </c>
      <c r="CJ507" s="551">
        <v>1581.4693063431623</v>
      </c>
      <c r="CK507" s="551">
        <v>596757.26354281849</v>
      </c>
      <c r="CL507" s="551"/>
      <c r="CM507" s="551">
        <v>507639.07928714884</v>
      </c>
      <c r="CN507" s="551">
        <v>10909.993072666683</v>
      </c>
      <c r="CO507" s="551">
        <v>117.66438746751083</v>
      </c>
      <c r="CP507" s="551">
        <v>90798.246230361809</v>
      </c>
      <c r="CQ507" s="551"/>
      <c r="CR507" s="551">
        <v>112317.49282328687</v>
      </c>
      <c r="CS507" s="551">
        <v>1793.5731514618271</v>
      </c>
      <c r="CT507" s="551">
        <v>36.355788428465395</v>
      </c>
      <c r="CU507" s="551">
        <v>19318.589637317153</v>
      </c>
      <c r="CV507" s="551"/>
      <c r="CW507" s="551">
        <v>10361.847470877239</v>
      </c>
      <c r="CX507" s="551">
        <v>74.136646451642306</v>
      </c>
      <c r="CY507" s="554"/>
    </row>
    <row r="508" spans="65:103" ht="12.75" customHeight="1" x14ac:dyDescent="0.3">
      <c r="BM508" s="562"/>
      <c r="BN508" s="591">
        <v>495</v>
      </c>
      <c r="BO508" s="549" t="s">
        <v>2658</v>
      </c>
      <c r="BP508" s="554" t="s">
        <v>620</v>
      </c>
      <c r="BQ508" s="553" t="s">
        <v>2408</v>
      </c>
      <c r="BR508" s="551">
        <v>47499.928612049633</v>
      </c>
      <c r="BS508" s="551"/>
      <c r="BT508" s="551">
        <v>408058.66749503568</v>
      </c>
      <c r="BU508" s="551">
        <v>13458.291066912991</v>
      </c>
      <c r="BV508" s="551">
        <v>76901806.045876727</v>
      </c>
      <c r="BW508" s="551">
        <v>1388865.9772699799</v>
      </c>
      <c r="BX508" s="551">
        <v>2579637.7977302861</v>
      </c>
      <c r="BY508" s="551">
        <v>32005997.779934339</v>
      </c>
      <c r="BZ508" s="551">
        <v>955421.40656677249</v>
      </c>
      <c r="CA508" s="551">
        <v>58307.195817489563</v>
      </c>
      <c r="CB508" s="551">
        <v>2.7719420537215264E-30</v>
      </c>
      <c r="CC508" s="551">
        <v>2892.3448404724736</v>
      </c>
      <c r="CD508" s="551">
        <v>2047967.017209837</v>
      </c>
      <c r="CE508" s="551">
        <v>545084.71368890186</v>
      </c>
      <c r="CF508" s="551">
        <v>10567284.132257413</v>
      </c>
      <c r="CG508" s="551">
        <v>1640916.8119971559</v>
      </c>
      <c r="CH508" s="551">
        <v>3649546.4547261014</v>
      </c>
      <c r="CI508" s="551">
        <v>607746.96740635368</v>
      </c>
      <c r="CJ508" s="551">
        <v>11380.437990640608</v>
      </c>
      <c r="CK508" s="551">
        <v>2836170.6351679531</v>
      </c>
      <c r="CL508" s="551"/>
      <c r="CM508" s="551">
        <v>2868975.6570753152</v>
      </c>
      <c r="CN508" s="551">
        <v>1149547.818010123</v>
      </c>
      <c r="CO508" s="551">
        <v>1268.8458597974634</v>
      </c>
      <c r="CP508" s="551">
        <v>625259.67248949897</v>
      </c>
      <c r="CQ508" s="551"/>
      <c r="CR508" s="551">
        <v>922902.0164258806</v>
      </c>
      <c r="CS508" s="551">
        <v>224993.52163262499</v>
      </c>
      <c r="CT508" s="551">
        <v>694.13164292828765</v>
      </c>
      <c r="CU508" s="551">
        <v>163490.3299937296</v>
      </c>
      <c r="CV508" s="551"/>
      <c r="CW508" s="551">
        <v>104002.52487492106</v>
      </c>
      <c r="CX508" s="551">
        <v>27901.11936808622</v>
      </c>
      <c r="CY508" s="554"/>
    </row>
    <row r="509" spans="65:103" ht="12.75" customHeight="1" x14ac:dyDescent="0.3">
      <c r="BM509" s="562"/>
      <c r="BN509" s="591">
        <v>496</v>
      </c>
      <c r="BO509" s="549" t="s">
        <v>2425</v>
      </c>
      <c r="BP509" s="554" t="s">
        <v>620</v>
      </c>
      <c r="BQ509" s="553" t="s">
        <v>2408</v>
      </c>
      <c r="BR509" s="551">
        <v>45432.72564953343</v>
      </c>
      <c r="BS509" s="551"/>
      <c r="BT509" s="551">
        <v>197279.36726212961</v>
      </c>
      <c r="BU509" s="551">
        <v>4754.94486351263</v>
      </c>
      <c r="BV509" s="551">
        <v>29555739.744208403</v>
      </c>
      <c r="BW509" s="551">
        <v>302590.73680921277</v>
      </c>
      <c r="BX509" s="551">
        <v>601862.47781098739</v>
      </c>
      <c r="BY509" s="551">
        <v>8812818.8787846882</v>
      </c>
      <c r="BZ509" s="551">
        <v>222912.02881888417</v>
      </c>
      <c r="CA509" s="551">
        <v>40332.261467994002</v>
      </c>
      <c r="CB509" s="551">
        <v>2.0088503370219682E-30</v>
      </c>
      <c r="CC509" s="551">
        <v>880.50131165313314</v>
      </c>
      <c r="CD509" s="551">
        <v>735864.74303840357</v>
      </c>
      <c r="CE509" s="551">
        <v>131913.78283911277</v>
      </c>
      <c r="CF509" s="551">
        <v>2341413.6354824328</v>
      </c>
      <c r="CG509" s="551">
        <v>276872.32730538247</v>
      </c>
      <c r="CH509" s="551">
        <v>615379.1946554496</v>
      </c>
      <c r="CI509" s="551">
        <v>102545.30640940089</v>
      </c>
      <c r="CJ509" s="551">
        <v>5555.9607904131499</v>
      </c>
      <c r="CK509" s="551">
        <v>528656.53958405438</v>
      </c>
      <c r="CL509" s="551"/>
      <c r="CM509" s="551">
        <v>316106.73548826465</v>
      </c>
      <c r="CN509" s="551">
        <v>136895.69936750381</v>
      </c>
      <c r="CO509" s="551">
        <v>512.11550688902503</v>
      </c>
      <c r="CP509" s="551">
        <v>72914.639748433561</v>
      </c>
      <c r="CQ509" s="551"/>
      <c r="CR509" s="551">
        <v>102509.27639169671</v>
      </c>
      <c r="CS509" s="551">
        <v>23991.055253708011</v>
      </c>
      <c r="CT509" s="551">
        <v>237.72865498535751</v>
      </c>
      <c r="CU509" s="551">
        <v>17057.683879683405</v>
      </c>
      <c r="CV509" s="551"/>
      <c r="CW509" s="551">
        <v>4900.223285120308</v>
      </c>
      <c r="CX509" s="551">
        <v>1960.9265791470591</v>
      </c>
      <c r="CY509" s="554"/>
    </row>
    <row r="510" spans="65:103" ht="12.75" customHeight="1" x14ac:dyDescent="0.3">
      <c r="BM510" s="562"/>
      <c r="BN510" s="591">
        <v>497</v>
      </c>
      <c r="BO510" s="549" t="s">
        <v>2692</v>
      </c>
      <c r="BP510" s="554" t="s">
        <v>620</v>
      </c>
      <c r="BQ510" s="553" t="s">
        <v>2408</v>
      </c>
      <c r="BR510" s="551">
        <v>17701.918237621081</v>
      </c>
      <c r="BS510" s="551"/>
      <c r="BT510" s="551">
        <v>260644.75245374584</v>
      </c>
      <c r="BU510" s="551">
        <v>6775.8712017615626</v>
      </c>
      <c r="BV510" s="551">
        <v>54076585.092902578</v>
      </c>
      <c r="BW510" s="551">
        <v>762727.44418025867</v>
      </c>
      <c r="BX510" s="551">
        <v>974964.07231866836</v>
      </c>
      <c r="BY510" s="551">
        <v>65412722.823412381</v>
      </c>
      <c r="BZ510" s="551">
        <v>361097.80456246971</v>
      </c>
      <c r="CA510" s="551">
        <v>4898.3499648326397</v>
      </c>
      <c r="CB510" s="551">
        <v>1.3404329774580551E-31</v>
      </c>
      <c r="CC510" s="551">
        <v>90.835717654715992</v>
      </c>
      <c r="CD510" s="551">
        <v>156558.89565032467</v>
      </c>
      <c r="CE510" s="551">
        <v>18845.901822258344</v>
      </c>
      <c r="CF510" s="551">
        <v>881154.3400648745</v>
      </c>
      <c r="CG510" s="551">
        <v>140094.89362054691</v>
      </c>
      <c r="CH510" s="551">
        <v>315372.24362562015</v>
      </c>
      <c r="CI510" s="551">
        <v>51886.997637239554</v>
      </c>
      <c r="CJ510" s="551">
        <v>202.93905700142398</v>
      </c>
      <c r="CK510" s="551">
        <v>144591.10559777069</v>
      </c>
      <c r="CL510" s="551"/>
      <c r="CM510" s="551">
        <v>156240.65016914075</v>
      </c>
      <c r="CN510" s="551">
        <v>20832.519110588666</v>
      </c>
      <c r="CO510" s="551">
        <v>5.8274059022222193</v>
      </c>
      <c r="CP510" s="551">
        <v>18662.403370706263</v>
      </c>
      <c r="CQ510" s="551"/>
      <c r="CR510" s="551">
        <v>34212.794988476409</v>
      </c>
      <c r="CS510" s="551">
        <v>1993.3937312064636</v>
      </c>
      <c r="CT510" s="551">
        <v>3.1571960422374237</v>
      </c>
      <c r="CU510" s="551">
        <v>5194.5105491321101</v>
      </c>
      <c r="CV510" s="551"/>
      <c r="CW510" s="551">
        <v>3171.0898805687571</v>
      </c>
      <c r="CX510" s="551">
        <v>75.125542815004152</v>
      </c>
      <c r="CY510" s="554"/>
    </row>
    <row r="511" spans="65:103" ht="12.75" customHeight="1" x14ac:dyDescent="0.3">
      <c r="BM511" s="562"/>
      <c r="BN511" s="591">
        <v>498</v>
      </c>
      <c r="BO511" s="549" t="s">
        <v>2776</v>
      </c>
      <c r="BP511" s="554" t="s">
        <v>620</v>
      </c>
      <c r="BQ511" s="553" t="s">
        <v>2408</v>
      </c>
      <c r="BR511" s="551">
        <v>47370.10497514045</v>
      </c>
      <c r="BS511" s="551"/>
      <c r="BT511" s="551">
        <v>260400.41578406587</v>
      </c>
      <c r="BU511" s="551">
        <v>5516.598303433233</v>
      </c>
      <c r="BV511" s="551">
        <v>40568639.667248785</v>
      </c>
      <c r="BW511" s="551">
        <v>373032.15321665333</v>
      </c>
      <c r="BX511" s="551">
        <v>189453.53378158054</v>
      </c>
      <c r="BY511" s="551">
        <v>11097356.49940126</v>
      </c>
      <c r="BZ511" s="551">
        <v>70167.97547465947</v>
      </c>
      <c r="CA511" s="551">
        <v>24457.028404980039</v>
      </c>
      <c r="CB511" s="551">
        <v>2.1448034245205687E-31</v>
      </c>
      <c r="CC511" s="551">
        <v>86.857722736428101</v>
      </c>
      <c r="CD511" s="551">
        <v>121439.06118431728</v>
      </c>
      <c r="CE511" s="551">
        <v>13531.851112457296</v>
      </c>
      <c r="CF511" s="551">
        <v>410585.21924645192</v>
      </c>
      <c r="CG511" s="551">
        <v>50718.446308682433</v>
      </c>
      <c r="CH511" s="551">
        <v>116880.13649146195</v>
      </c>
      <c r="CI511" s="551">
        <v>18784.609743956451</v>
      </c>
      <c r="CJ511" s="551">
        <v>1912.7750208973339</v>
      </c>
      <c r="CK511" s="551">
        <v>72776.747513420385</v>
      </c>
      <c r="CL511" s="551"/>
      <c r="CM511" s="551">
        <v>46066.216576475192</v>
      </c>
      <c r="CN511" s="551">
        <v>14237.370934769404</v>
      </c>
      <c r="CO511" s="551">
        <v>75.186568470144508</v>
      </c>
      <c r="CP511" s="551">
        <v>8338.9137211218731</v>
      </c>
      <c r="CQ511" s="551"/>
      <c r="CR511" s="551">
        <v>12433.759163713497</v>
      </c>
      <c r="CS511" s="551">
        <v>2186.7264887938054</v>
      </c>
      <c r="CT511" s="551">
        <v>62.80232642274467</v>
      </c>
      <c r="CU511" s="551">
        <v>1580.8141319030692</v>
      </c>
      <c r="CV511" s="551"/>
      <c r="CW511" s="551">
        <v>480.62057714467431</v>
      </c>
      <c r="CX511" s="551">
        <v>106.71365465774623</v>
      </c>
      <c r="CY511" s="554"/>
    </row>
    <row r="512" spans="65:103" ht="12.75" customHeight="1" x14ac:dyDescent="0.3">
      <c r="BM512" s="562"/>
      <c r="BN512" s="591">
        <v>499</v>
      </c>
      <c r="BO512" s="549" t="s">
        <v>2644</v>
      </c>
      <c r="BP512" s="554" t="s">
        <v>620</v>
      </c>
      <c r="BQ512" s="553" t="s">
        <v>2408</v>
      </c>
      <c r="BR512" s="551">
        <v>37539.878177911472</v>
      </c>
      <c r="BS512" s="551"/>
      <c r="BT512" s="551">
        <v>337828.64747159742</v>
      </c>
      <c r="BU512" s="551">
        <v>9627.0287884963855</v>
      </c>
      <c r="BV512" s="551">
        <v>84897875.715169802</v>
      </c>
      <c r="BW512" s="551">
        <v>1542383.8377762164</v>
      </c>
      <c r="BX512" s="551">
        <v>3098531.3878411893</v>
      </c>
      <c r="BY512" s="551">
        <v>35337996.474725462</v>
      </c>
      <c r="BZ512" s="551">
        <v>1147604.2177189589</v>
      </c>
      <c r="CA512" s="551">
        <v>26917.486429548437</v>
      </c>
      <c r="CB512" s="551">
        <v>1.9619874164968964E-30</v>
      </c>
      <c r="CC512" s="551">
        <v>1559.9980747061195</v>
      </c>
      <c r="CD512" s="551">
        <v>1448973.2892897713</v>
      </c>
      <c r="CE512" s="551">
        <v>392034.6117877381</v>
      </c>
      <c r="CF512" s="551">
        <v>11607283.160098681</v>
      </c>
      <c r="CG512" s="551">
        <v>1151319.9851149607</v>
      </c>
      <c r="CH512" s="551">
        <v>2559984.4404841759</v>
      </c>
      <c r="CI512" s="551">
        <v>426414.80930183735</v>
      </c>
      <c r="CJ512" s="551">
        <v>2960.163823640049</v>
      </c>
      <c r="CK512" s="551">
        <v>2877687.4898133068</v>
      </c>
      <c r="CL512" s="551"/>
      <c r="CM512" s="551">
        <v>4452591.5995592074</v>
      </c>
      <c r="CN512" s="551">
        <v>454444.59534085129</v>
      </c>
      <c r="CO512" s="551">
        <v>245.17734094530132</v>
      </c>
      <c r="CP512" s="551">
        <v>652896.11493573338</v>
      </c>
      <c r="CQ512" s="551"/>
      <c r="CR512" s="551">
        <v>1490256.3534356479</v>
      </c>
      <c r="CS512" s="551">
        <v>56145.543008352266</v>
      </c>
      <c r="CT512" s="551">
        <v>86.887892828208138</v>
      </c>
      <c r="CU512" s="551">
        <v>240642.85796155152</v>
      </c>
      <c r="CV512" s="551"/>
      <c r="CW512" s="551">
        <v>232218.11562874398</v>
      </c>
      <c r="CX512" s="551">
        <v>5573.9593300195675</v>
      </c>
      <c r="CY512" s="554"/>
    </row>
    <row r="513" spans="65:103" ht="12.75" customHeight="1" x14ac:dyDescent="0.3">
      <c r="BM513" s="562"/>
      <c r="BN513" s="591">
        <v>500</v>
      </c>
      <c r="BO513" s="549" t="s">
        <v>2778</v>
      </c>
      <c r="BP513" s="554" t="s">
        <v>620</v>
      </c>
      <c r="BQ513" s="553" t="s">
        <v>2408</v>
      </c>
      <c r="BR513" s="551">
        <v>49980.479450649073</v>
      </c>
      <c r="BS513" s="551"/>
      <c r="BT513" s="551">
        <v>176196.65703506002</v>
      </c>
      <c r="BU513" s="551">
        <v>3895.6784928737852</v>
      </c>
      <c r="BV513" s="551">
        <v>29760744.101815429</v>
      </c>
      <c r="BW513" s="551">
        <v>298854.93446025834</v>
      </c>
      <c r="BX513" s="551">
        <v>589826.9154933414</v>
      </c>
      <c r="BY513" s="551">
        <v>8786046.8433379866</v>
      </c>
      <c r="BZ513" s="551">
        <v>218454.41314568202</v>
      </c>
      <c r="CA513" s="551">
        <v>52464.826331112665</v>
      </c>
      <c r="CB513" s="551">
        <v>2.2904650836284162E-30</v>
      </c>
      <c r="CC513" s="551">
        <v>896.84746529398285</v>
      </c>
      <c r="CD513" s="551">
        <v>925563.26078403334</v>
      </c>
      <c r="CE513" s="551">
        <v>151483.28215821373</v>
      </c>
      <c r="CF513" s="551">
        <v>3550205.0303487028</v>
      </c>
      <c r="CG513" s="551">
        <v>320841.78816345386</v>
      </c>
      <c r="CH513" s="551">
        <v>713119.24057828076</v>
      </c>
      <c r="CI513" s="551">
        <v>118830.29191239036</v>
      </c>
      <c r="CJ513" s="551">
        <v>8645.7283572869055</v>
      </c>
      <c r="CK513" s="551">
        <v>1168473.0874957056</v>
      </c>
      <c r="CL513" s="551"/>
      <c r="CM513" s="551">
        <v>831956.34995889268</v>
      </c>
      <c r="CN513" s="551">
        <v>189770.16277132512</v>
      </c>
      <c r="CO513" s="551">
        <v>889.95175048624503</v>
      </c>
      <c r="CP513" s="551">
        <v>185694.56801444429</v>
      </c>
      <c r="CQ513" s="551"/>
      <c r="CR513" s="551">
        <v>312759.83641845919</v>
      </c>
      <c r="CS513" s="551">
        <v>38437.469597229931</v>
      </c>
      <c r="CT513" s="551">
        <v>446.71711037318806</v>
      </c>
      <c r="CU513" s="551">
        <v>66207.93014367795</v>
      </c>
      <c r="CV513" s="551"/>
      <c r="CW513" s="551">
        <v>22630.562483062637</v>
      </c>
      <c r="CX513" s="551">
        <v>3306.4885167794419</v>
      </c>
      <c r="CY513" s="554"/>
    </row>
    <row r="514" spans="65:103" ht="12.75" customHeight="1" x14ac:dyDescent="0.3">
      <c r="BM514" s="562"/>
      <c r="BN514" s="591">
        <v>501</v>
      </c>
      <c r="BO514" s="549" t="s">
        <v>2598</v>
      </c>
      <c r="BP514" s="554" t="s">
        <v>620</v>
      </c>
      <c r="BQ514" s="553" t="s">
        <v>2408</v>
      </c>
      <c r="BR514" s="551">
        <v>37706.754511783831</v>
      </c>
      <c r="BS514" s="551"/>
      <c r="BT514" s="551">
        <v>261089.94072998088</v>
      </c>
      <c r="BU514" s="551">
        <v>6113.3057089914046</v>
      </c>
      <c r="BV514" s="551">
        <v>61746298.895856746</v>
      </c>
      <c r="BW514" s="551">
        <v>844012.49822202872</v>
      </c>
      <c r="BX514" s="551">
        <v>204903.11539818341</v>
      </c>
      <c r="BY514" s="551">
        <v>17603790.158209041</v>
      </c>
      <c r="BZ514" s="551">
        <v>75890.042740067875</v>
      </c>
      <c r="CA514" s="551">
        <v>22006.307134005765</v>
      </c>
      <c r="CB514" s="551">
        <v>8.774796902682902E-32</v>
      </c>
      <c r="CC514" s="551">
        <v>52.106755516498822</v>
      </c>
      <c r="CD514" s="551">
        <v>126742.57821104991</v>
      </c>
      <c r="CE514" s="551">
        <v>12322.953889451075</v>
      </c>
      <c r="CF514" s="551">
        <v>874913.87768875249</v>
      </c>
      <c r="CG514" s="551">
        <v>64876.673548155632</v>
      </c>
      <c r="CH514" s="551">
        <v>187396.06319143268</v>
      </c>
      <c r="CI514" s="551">
        <v>24028.397610428008</v>
      </c>
      <c r="CJ514" s="551">
        <v>1963.6714365207115</v>
      </c>
      <c r="CK514" s="551">
        <v>187851.81728934453</v>
      </c>
      <c r="CL514" s="551"/>
      <c r="CM514" s="551">
        <v>246409.56745187726</v>
      </c>
      <c r="CN514" s="551">
        <v>20778.485154505888</v>
      </c>
      <c r="CO514" s="551">
        <v>76.70820318025072</v>
      </c>
      <c r="CP514" s="551">
        <v>34029.434341437984</v>
      </c>
      <c r="CQ514" s="551"/>
      <c r="CR514" s="551">
        <v>76251.469783847439</v>
      </c>
      <c r="CS514" s="551">
        <v>3196.7672043469756</v>
      </c>
      <c r="CT514" s="551">
        <v>76.484497534032926</v>
      </c>
      <c r="CU514" s="551">
        <v>13331.527076621345</v>
      </c>
      <c r="CV514" s="551"/>
      <c r="CW514" s="551">
        <v>9842.4959969370175</v>
      </c>
      <c r="CX514" s="551">
        <v>197.09348601710539</v>
      </c>
      <c r="CY514" s="554"/>
    </row>
    <row r="515" spans="65:103" ht="12.75" customHeight="1" x14ac:dyDescent="0.3">
      <c r="BM515" s="562"/>
      <c r="BN515" s="591">
        <v>502</v>
      </c>
      <c r="BO515" s="549" t="s">
        <v>2551</v>
      </c>
      <c r="BP515" s="554" t="s">
        <v>620</v>
      </c>
      <c r="BQ515" s="553" t="s">
        <v>2408</v>
      </c>
      <c r="BR515" s="551">
        <v>44985.353669515083</v>
      </c>
      <c r="BS515" s="551"/>
      <c r="BT515" s="551">
        <v>432029.24959722062</v>
      </c>
      <c r="BU515" s="551">
        <v>14613.627767674468</v>
      </c>
      <c r="BV515" s="551">
        <v>128210856.23936968</v>
      </c>
      <c r="BW515" s="551">
        <v>3372707.2986064297</v>
      </c>
      <c r="BX515" s="551">
        <v>7252363.0778064644</v>
      </c>
      <c r="BY515" s="551">
        <v>87983751.464675128</v>
      </c>
      <c r="BZ515" s="551">
        <v>2686060.3991875793</v>
      </c>
      <c r="CA515" s="551">
        <v>59727.909235751795</v>
      </c>
      <c r="CB515" s="551">
        <v>2.7713919176093917E-30</v>
      </c>
      <c r="CC515" s="551">
        <v>3437.1401739092485</v>
      </c>
      <c r="CD515" s="551">
        <v>3314349.3049434051</v>
      </c>
      <c r="CE515" s="551">
        <v>1020020.4850076329</v>
      </c>
      <c r="CF515" s="551">
        <v>38246252.979155459</v>
      </c>
      <c r="CG515" s="551">
        <v>4989812.2212253595</v>
      </c>
      <c r="CH515" s="551">
        <v>11106965.055280859</v>
      </c>
      <c r="CI515" s="551">
        <v>1848078.6004538364</v>
      </c>
      <c r="CJ515" s="551">
        <v>12702.357042098496</v>
      </c>
      <c r="CK515" s="551">
        <v>15273297.335785091</v>
      </c>
      <c r="CL515" s="551"/>
      <c r="CM515" s="551">
        <v>34840282.905941695</v>
      </c>
      <c r="CN515" s="551">
        <v>3808858.6944959206</v>
      </c>
      <c r="CO515" s="551">
        <v>1469.7646165113888</v>
      </c>
      <c r="CP515" s="551">
        <v>6473652.8221451184</v>
      </c>
      <c r="CQ515" s="551"/>
      <c r="CR515" s="551">
        <v>17350194.69590117</v>
      </c>
      <c r="CS515" s="551">
        <v>764184.43993482785</v>
      </c>
      <c r="CT515" s="551">
        <v>865.23137513759252</v>
      </c>
      <c r="CU515" s="551">
        <v>3308046.0521190451</v>
      </c>
      <c r="CV515" s="551"/>
      <c r="CW515" s="551">
        <v>5901215.1388589488</v>
      </c>
      <c r="CX515" s="551">
        <v>107586.20541827781</v>
      </c>
      <c r="CY515" s="554"/>
    </row>
    <row r="516" spans="65:103" ht="12.75" customHeight="1" x14ac:dyDescent="0.3">
      <c r="BM516" s="562"/>
      <c r="BN516" s="591">
        <v>503</v>
      </c>
      <c r="BO516" s="549" t="s">
        <v>2561</v>
      </c>
      <c r="BP516" s="554" t="s">
        <v>620</v>
      </c>
      <c r="BQ516" s="553" t="s">
        <v>2408</v>
      </c>
      <c r="BR516" s="551">
        <v>30096.428887526963</v>
      </c>
      <c r="BS516" s="551"/>
      <c r="BT516" s="551">
        <v>289625.62658094685</v>
      </c>
      <c r="BU516" s="551">
        <v>9793.7654146163386</v>
      </c>
      <c r="BV516" s="551">
        <v>86035383.427102193</v>
      </c>
      <c r="BW516" s="551">
        <v>2263771.1981630498</v>
      </c>
      <c r="BX516" s="551">
        <v>4887601.5824443558</v>
      </c>
      <c r="BY516" s="551">
        <v>59082667.474978462</v>
      </c>
      <c r="BZ516" s="551">
        <v>1810222.8083127248</v>
      </c>
      <c r="CA516" s="551">
        <v>39735.350443840456</v>
      </c>
      <c r="CB516" s="551">
        <v>1.8572447036364279E-30</v>
      </c>
      <c r="CC516" s="551">
        <v>2301.2077745268803</v>
      </c>
      <c r="CD516" s="551">
        <v>2220769.7801532811</v>
      </c>
      <c r="CE516" s="551">
        <v>683590.38377950341</v>
      </c>
      <c r="CF516" s="551">
        <v>25665892.806453474</v>
      </c>
      <c r="CG516" s="551">
        <v>3343923.7661198592</v>
      </c>
      <c r="CH516" s="551">
        <v>7443322.4636840606</v>
      </c>
      <c r="CI516" s="551">
        <v>1238490.2837480954</v>
      </c>
      <c r="CJ516" s="551">
        <v>8397.1844059763298</v>
      </c>
      <c r="CK516" s="551">
        <v>10240070.841900254</v>
      </c>
      <c r="CL516" s="551"/>
      <c r="CM516" s="551">
        <v>23393777.500069793</v>
      </c>
      <c r="CN516" s="551">
        <v>2536393.7029682104</v>
      </c>
      <c r="CO516" s="551">
        <v>955.7851449933047</v>
      </c>
      <c r="CP516" s="551">
        <v>4340794.4350479105</v>
      </c>
      <c r="CQ516" s="551"/>
      <c r="CR516" s="551">
        <v>11651543.972457487</v>
      </c>
      <c r="CS516" s="551">
        <v>507389.50409213256</v>
      </c>
      <c r="CT516" s="551">
        <v>569.81944831913154</v>
      </c>
      <c r="CU516" s="551">
        <v>2222540.3376559853</v>
      </c>
      <c r="CV516" s="551"/>
      <c r="CW516" s="551">
        <v>3970586.6735200468</v>
      </c>
      <c r="CX516" s="551">
        <v>71134.081231075907</v>
      </c>
      <c r="CY516" s="554"/>
    </row>
    <row r="517" spans="65:103" ht="12.75" customHeight="1" x14ac:dyDescent="0.3">
      <c r="BM517" s="562"/>
      <c r="BN517" s="591">
        <v>504</v>
      </c>
      <c r="BO517" s="549" t="s">
        <v>2612</v>
      </c>
      <c r="BP517" s="554" t="s">
        <v>620</v>
      </c>
      <c r="BQ517" s="553" t="s">
        <v>2408</v>
      </c>
      <c r="BR517" s="551">
        <v>54979.52186365809</v>
      </c>
      <c r="BS517" s="551"/>
      <c r="BT517" s="551">
        <v>262472.04102708108</v>
      </c>
      <c r="BU517" s="551">
        <v>5082.07042298534</v>
      </c>
      <c r="BV517" s="551">
        <v>46579156.433848195</v>
      </c>
      <c r="BW517" s="551">
        <v>420659.08840923663</v>
      </c>
      <c r="BX517" s="551">
        <v>144635.19714264202</v>
      </c>
      <c r="BY517" s="551">
        <v>12122696.77501414</v>
      </c>
      <c r="BZ517" s="551">
        <v>53568.591534311854</v>
      </c>
      <c r="CA517" s="551">
        <v>33023.720353234014</v>
      </c>
      <c r="CB517" s="551">
        <v>5.0830659903189948E-32</v>
      </c>
      <c r="CC517" s="551">
        <v>19.167409693386933</v>
      </c>
      <c r="CD517" s="551">
        <v>71314.740872645358</v>
      </c>
      <c r="CE517" s="551">
        <v>3401.5119135977284</v>
      </c>
      <c r="CF517" s="551">
        <v>295147.36503794458</v>
      </c>
      <c r="CG517" s="551">
        <v>45038.077691046012</v>
      </c>
      <c r="CH517" s="551">
        <v>101363.18460495464</v>
      </c>
      <c r="CI517" s="551">
        <v>16680.769515202224</v>
      </c>
      <c r="CJ517" s="551">
        <v>3015.6155239521008</v>
      </c>
      <c r="CK517" s="551">
        <v>84435.742146993027</v>
      </c>
      <c r="CL517" s="551"/>
      <c r="CM517" s="551">
        <v>64500.922809386851</v>
      </c>
      <c r="CN517" s="551">
        <v>14761.601377190302</v>
      </c>
      <c r="CO517" s="551">
        <v>94.063777729063631</v>
      </c>
      <c r="CP517" s="551">
        <v>10764.066592878309</v>
      </c>
      <c r="CQ517" s="551"/>
      <c r="CR517" s="551">
        <v>19504.930235209238</v>
      </c>
      <c r="CS517" s="551">
        <v>1747.0433820809706</v>
      </c>
      <c r="CT517" s="551">
        <v>125.82958258281467</v>
      </c>
      <c r="CU517" s="551">
        <v>5264.0074557591097</v>
      </c>
      <c r="CV517" s="551"/>
      <c r="CW517" s="551">
        <v>1929.7986998575252</v>
      </c>
      <c r="CX517" s="551">
        <v>149.22154261951658</v>
      </c>
      <c r="CY517" s="554"/>
    </row>
    <row r="518" spans="65:103" ht="12.75" customHeight="1" x14ac:dyDescent="0.3">
      <c r="BM518" s="562"/>
      <c r="BN518" s="591">
        <v>505</v>
      </c>
      <c r="BO518" s="549" t="s">
        <v>2862</v>
      </c>
      <c r="BP518" s="554" t="s">
        <v>620</v>
      </c>
      <c r="BQ518" s="553" t="s">
        <v>2408</v>
      </c>
      <c r="BR518" s="551">
        <v>54979.52186365809</v>
      </c>
      <c r="BS518" s="551"/>
      <c r="BT518" s="551">
        <v>262472.04102708108</v>
      </c>
      <c r="BU518" s="551">
        <v>5082.07042298534</v>
      </c>
      <c r="BV518" s="551">
        <v>46579156.433848195</v>
      </c>
      <c r="BW518" s="551">
        <v>420659.08840923663</v>
      </c>
      <c r="BX518" s="551">
        <v>144635.19714264202</v>
      </c>
      <c r="BY518" s="551">
        <v>12122696.77501414</v>
      </c>
      <c r="BZ518" s="551">
        <v>53568.591534311854</v>
      </c>
      <c r="CA518" s="551">
        <v>33023.720353234014</v>
      </c>
      <c r="CB518" s="551">
        <v>5.0830659903189948E-32</v>
      </c>
      <c r="CC518" s="551">
        <v>19.167409693386933</v>
      </c>
      <c r="CD518" s="551">
        <v>71314.740872645358</v>
      </c>
      <c r="CE518" s="551">
        <v>3401.5119135977284</v>
      </c>
      <c r="CF518" s="551">
        <v>295147.36503794458</v>
      </c>
      <c r="CG518" s="551">
        <v>45038.077691046012</v>
      </c>
      <c r="CH518" s="551">
        <v>101363.18460495464</v>
      </c>
      <c r="CI518" s="551">
        <v>16680.769515202224</v>
      </c>
      <c r="CJ518" s="551">
        <v>3015.6155239521008</v>
      </c>
      <c r="CK518" s="551">
        <v>84435.742146993027</v>
      </c>
      <c r="CL518" s="551"/>
      <c r="CM518" s="551">
        <v>64500.922809386851</v>
      </c>
      <c r="CN518" s="551">
        <v>14761.601377190302</v>
      </c>
      <c r="CO518" s="551">
        <v>94.063777729063631</v>
      </c>
      <c r="CP518" s="551">
        <v>10764.066592878309</v>
      </c>
      <c r="CQ518" s="551"/>
      <c r="CR518" s="551">
        <v>19504.930235209238</v>
      </c>
      <c r="CS518" s="551">
        <v>1747.0433820809706</v>
      </c>
      <c r="CT518" s="551">
        <v>125.82958258281467</v>
      </c>
      <c r="CU518" s="551">
        <v>5264.0074557591097</v>
      </c>
      <c r="CV518" s="551"/>
      <c r="CW518" s="551">
        <v>1929.7986998575252</v>
      </c>
      <c r="CX518" s="551">
        <v>149.22154261951658</v>
      </c>
      <c r="CY518" s="554"/>
    </row>
    <row r="519" spans="65:103" ht="12.75" customHeight="1" x14ac:dyDescent="0.3">
      <c r="BM519" s="562"/>
      <c r="BN519" s="600">
        <v>506</v>
      </c>
      <c r="BO519" s="601" t="s">
        <v>2860</v>
      </c>
      <c r="BP519" s="603" t="s">
        <v>620</v>
      </c>
      <c r="BQ519" s="604" t="s">
        <v>2408</v>
      </c>
      <c r="BR519" s="589">
        <v>47879.003825272535</v>
      </c>
      <c r="BS519" s="589"/>
      <c r="BT519" s="589">
        <v>283690.1124886304</v>
      </c>
      <c r="BU519" s="589">
        <v>7562.8078571576407</v>
      </c>
      <c r="BV519" s="589">
        <v>78189093.092013493</v>
      </c>
      <c r="BW519" s="589">
        <v>1394429.0498734778</v>
      </c>
      <c r="BX519" s="589">
        <v>2442730.5917116231</v>
      </c>
      <c r="BY519" s="589">
        <v>31544226.36461544</v>
      </c>
      <c r="BZ519" s="589">
        <v>904715.03396726772</v>
      </c>
      <c r="CA519" s="589">
        <v>60295.433015460003</v>
      </c>
      <c r="CB519" s="589">
        <v>2.6562810790837419E-30</v>
      </c>
      <c r="CC519" s="589">
        <v>1933.4204354912363</v>
      </c>
      <c r="CD519" s="589">
        <v>1886303.287853336</v>
      </c>
      <c r="CE519" s="589">
        <v>532878.60155042983</v>
      </c>
      <c r="CF519" s="589">
        <v>17389811.767894801</v>
      </c>
      <c r="CG519" s="589">
        <v>1594083.1692275216</v>
      </c>
      <c r="CH519" s="589">
        <v>3574950.8806566382</v>
      </c>
      <c r="CI519" s="589">
        <v>590401.17378797114</v>
      </c>
      <c r="CJ519" s="589">
        <v>12129.151614415698</v>
      </c>
      <c r="CK519" s="589">
        <v>6375974.661846119</v>
      </c>
      <c r="CL519" s="589"/>
      <c r="CM519" s="589">
        <v>11282921.581674756</v>
      </c>
      <c r="CN519" s="589">
        <v>1150961.0800150386</v>
      </c>
      <c r="CO519" s="589">
        <v>1378.6784976070264</v>
      </c>
      <c r="CP519" s="589">
        <v>1923585.3331004214</v>
      </c>
      <c r="CQ519" s="589"/>
      <c r="CR519" s="589">
        <v>5044058.788110177</v>
      </c>
      <c r="CS519" s="589">
        <v>235911.84359850845</v>
      </c>
      <c r="CT519" s="589">
        <v>777.95488309441623</v>
      </c>
      <c r="CU519" s="589">
        <v>1147429.6427774366</v>
      </c>
      <c r="CV519" s="589"/>
      <c r="CW519" s="589">
        <v>1262115.925027339</v>
      </c>
      <c r="CX519" s="589">
        <v>28605.438066918749</v>
      </c>
      <c r="CY519" s="554"/>
    </row>
    <row r="520" spans="65:103" ht="12.75" customHeight="1" x14ac:dyDescent="0.3">
      <c r="BM520" s="562"/>
      <c r="BN520" s="591">
        <v>507</v>
      </c>
      <c r="BO520" s="549" t="s">
        <v>2893</v>
      </c>
      <c r="BP520" s="554" t="s">
        <v>618</v>
      </c>
      <c r="BQ520" s="553">
        <v>3.03</v>
      </c>
      <c r="BR520" s="551">
        <v>8127.2649602741822</v>
      </c>
      <c r="BS520" s="551"/>
      <c r="BT520" s="551">
        <v>8166963.8246855177</v>
      </c>
      <c r="BU520" s="551">
        <v>318706.94728282368</v>
      </c>
      <c r="BV520" s="551">
        <v>104896.63800890793</v>
      </c>
      <c r="BW520" s="551">
        <v>1231.7386347120655</v>
      </c>
      <c r="BX520" s="551">
        <v>1600618.0032485712</v>
      </c>
      <c r="BY520" s="551">
        <v>17123485.745697234</v>
      </c>
      <c r="BZ520" s="551">
        <v>592821.48268465581</v>
      </c>
      <c r="CA520" s="551">
        <v>231.18189376317059</v>
      </c>
      <c r="CB520" s="551">
        <v>6.4370482722126516E-31</v>
      </c>
      <c r="CC520" s="551">
        <v>18278.667393714353</v>
      </c>
      <c r="CD520" s="551">
        <v>1174050.9832516266</v>
      </c>
      <c r="CE520" s="551">
        <v>234.77155011856749</v>
      </c>
      <c r="CF520" s="551">
        <v>226.87361658128711</v>
      </c>
      <c r="CG520" s="551">
        <v>23593.704556802368</v>
      </c>
      <c r="CH520" s="551">
        <v>91987.466143469559</v>
      </c>
      <c r="CI520" s="551">
        <v>8738.4090951119852</v>
      </c>
      <c r="CJ520" s="551">
        <v>0.96675521186937918</v>
      </c>
      <c r="CK520" s="551">
        <v>97456.508458233613</v>
      </c>
      <c r="CL520" s="551"/>
      <c r="CM520" s="551">
        <v>3.7383132731110584</v>
      </c>
      <c r="CN520" s="551">
        <v>354.12981885064454</v>
      </c>
      <c r="CO520" s="551">
        <v>8.4067496872266103E-4</v>
      </c>
      <c r="CP520" s="551">
        <v>1517.9542309575409</v>
      </c>
      <c r="CQ520" s="551"/>
      <c r="CR520" s="551">
        <v>6.1837417381740922E-2</v>
      </c>
      <c r="CS520" s="551">
        <v>1.1032630930681222</v>
      </c>
      <c r="CT520" s="551">
        <v>2.0539071714182414E-3</v>
      </c>
      <c r="CU520" s="551">
        <v>256.87236719548451</v>
      </c>
      <c r="CV520" s="551"/>
      <c r="CW520" s="551">
        <v>8.854030204220275E-3</v>
      </c>
      <c r="CX520" s="551">
        <v>0.19879922350178197</v>
      </c>
      <c r="CY520" s="554"/>
    </row>
    <row r="521" spans="65:103" ht="12.75" customHeight="1" x14ac:dyDescent="0.3">
      <c r="BM521" s="562"/>
      <c r="BN521" s="591">
        <v>508</v>
      </c>
      <c r="BO521" s="549" t="s">
        <v>2895</v>
      </c>
      <c r="BP521" s="554" t="s">
        <v>618</v>
      </c>
      <c r="BQ521" s="553">
        <v>3.04</v>
      </c>
      <c r="BR521" s="551">
        <v>311.02667657845888</v>
      </c>
      <c r="BS521" s="551"/>
      <c r="BT521" s="551">
        <v>5528816.4489380606</v>
      </c>
      <c r="BU521" s="551">
        <v>235796.30436918623</v>
      </c>
      <c r="BV521" s="551">
        <v>134061.48042188337</v>
      </c>
      <c r="BW521" s="551">
        <v>1681.8170362631963</v>
      </c>
      <c r="BX521" s="551">
        <v>1373991.6447512489</v>
      </c>
      <c r="BY521" s="551">
        <v>11547068.136466324</v>
      </c>
      <c r="BZ521" s="551">
        <v>508885.79435231432</v>
      </c>
      <c r="CA521" s="551">
        <v>0.70156033422882424</v>
      </c>
      <c r="CB521" s="551">
        <v>2.4981843220839162E-32</v>
      </c>
      <c r="CC521" s="551">
        <v>759.45840877071953</v>
      </c>
      <c r="CD521" s="551">
        <v>1315980.6579065833</v>
      </c>
      <c r="CE521" s="551">
        <v>18.415174303391161</v>
      </c>
      <c r="CF521" s="551">
        <v>469.31157292331284</v>
      </c>
      <c r="CG521" s="551">
        <v>1606.0163749514995</v>
      </c>
      <c r="CH521" s="551">
        <v>5040.4536926576411</v>
      </c>
      <c r="CI521" s="551">
        <v>594.82087961166644</v>
      </c>
      <c r="CJ521" s="551">
        <v>2.3215186860743161E-4</v>
      </c>
      <c r="CK521" s="551">
        <v>186453.37169014051</v>
      </c>
      <c r="CL521" s="551"/>
      <c r="CM521" s="551">
        <v>13.296905523009313</v>
      </c>
      <c r="CN521" s="551">
        <v>1.9074834641218243</v>
      </c>
      <c r="CO521" s="551">
        <v>9.0839085119518534E-8</v>
      </c>
      <c r="CP521" s="551">
        <v>4928.9330469615234</v>
      </c>
      <c r="CQ521" s="551"/>
      <c r="CR521" s="551">
        <v>0.37188441330688943</v>
      </c>
      <c r="CS521" s="551">
        <v>5.0966270555320129E-4</v>
      </c>
      <c r="CT521" s="551">
        <v>1.5698168115250224E-8</v>
      </c>
      <c r="CU521" s="551">
        <v>847.7051420977823</v>
      </c>
      <c r="CV521" s="551"/>
      <c r="CW521" s="551">
        <v>5.472577980932055E-2</v>
      </c>
      <c r="CX521" s="551">
        <v>8.0917707912345264E-5</v>
      </c>
      <c r="CY521" s="554"/>
    </row>
    <row r="522" spans="65:103" ht="12.75" customHeight="1" x14ac:dyDescent="0.3">
      <c r="BM522" s="562"/>
      <c r="BN522" s="591">
        <v>509</v>
      </c>
      <c r="BO522" s="549" t="s">
        <v>2897</v>
      </c>
      <c r="BP522" s="554" t="s">
        <v>618</v>
      </c>
      <c r="BQ522" s="553">
        <v>3.1</v>
      </c>
      <c r="BR522" s="551">
        <v>2100.212506258496</v>
      </c>
      <c r="BS522" s="551"/>
      <c r="BT522" s="551">
        <v>10535665.949153487</v>
      </c>
      <c r="BU522" s="551">
        <v>486042.90315510111</v>
      </c>
      <c r="BV522" s="551">
        <v>2124617.8164549107</v>
      </c>
      <c r="BW522" s="551">
        <v>25135.067932849171</v>
      </c>
      <c r="BX522" s="551">
        <v>7012966.9799053166</v>
      </c>
      <c r="BY522" s="551">
        <v>50390842.402699202</v>
      </c>
      <c r="BZ522" s="551">
        <v>2597395.1777427094</v>
      </c>
      <c r="CA522" s="551">
        <v>28.381026331127355</v>
      </c>
      <c r="CB522" s="551">
        <v>1.66260012134673E-31</v>
      </c>
      <c r="CC522" s="551">
        <v>5632.8735501631099</v>
      </c>
      <c r="CD522" s="551">
        <v>5759006.5335940504</v>
      </c>
      <c r="CE522" s="551">
        <v>1135.9228320518023</v>
      </c>
      <c r="CF522" s="551">
        <v>14890.971507654805</v>
      </c>
      <c r="CG522" s="551">
        <v>49109.466201374504</v>
      </c>
      <c r="CH522" s="551">
        <v>129699.94019596621</v>
      </c>
      <c r="CI522" s="551">
        <v>18188.691185694261</v>
      </c>
      <c r="CJ522" s="551">
        <v>5.6611714011457377E-2</v>
      </c>
      <c r="CK522" s="551">
        <v>1985172.0056454209</v>
      </c>
      <c r="CL522" s="551"/>
      <c r="CM522" s="551">
        <v>1032.724170639636</v>
      </c>
      <c r="CN522" s="551">
        <v>351.59855081476218</v>
      </c>
      <c r="CO522" s="551">
        <v>4.4842542028572642E-5</v>
      </c>
      <c r="CP522" s="551">
        <v>123765.2818512029</v>
      </c>
      <c r="CQ522" s="551"/>
      <c r="CR522" s="551">
        <v>71.869842689084123</v>
      </c>
      <c r="CS522" s="551">
        <v>0.72826694617930088</v>
      </c>
      <c r="CT522" s="551">
        <v>5.9502657047745856E-5</v>
      </c>
      <c r="CU522" s="551">
        <v>22500.839429647353</v>
      </c>
      <c r="CV522" s="551"/>
      <c r="CW522" s="551">
        <v>9.7830522806800779</v>
      </c>
      <c r="CX522" s="551">
        <v>9.6392489683908344E-2</v>
      </c>
      <c r="CY522" s="554"/>
    </row>
    <row r="523" spans="65:103" ht="12.75" customHeight="1" x14ac:dyDescent="0.3">
      <c r="BM523" s="562"/>
      <c r="BN523" s="591">
        <v>510</v>
      </c>
      <c r="BO523" s="549" t="s">
        <v>2899</v>
      </c>
      <c r="BP523" s="554" t="s">
        <v>618</v>
      </c>
      <c r="BQ523" s="553">
        <v>3.13</v>
      </c>
      <c r="BR523" s="551">
        <v>3730.9327465962292</v>
      </c>
      <c r="BS523" s="551"/>
      <c r="BT523" s="551">
        <v>5791144.0529910121</v>
      </c>
      <c r="BU523" s="551">
        <v>247284.98690994145</v>
      </c>
      <c r="BV523" s="551">
        <v>1181142.2611174416</v>
      </c>
      <c r="BW523" s="551">
        <v>12302.717130147499</v>
      </c>
      <c r="BX523" s="551">
        <v>3435426.8801393299</v>
      </c>
      <c r="BY523" s="551">
        <v>22376987.389582273</v>
      </c>
      <c r="BZ523" s="551">
        <v>1272380.3259775294</v>
      </c>
      <c r="CA523" s="551">
        <v>84.209792488127576</v>
      </c>
      <c r="CB523" s="551">
        <v>2.9396048946746287E-31</v>
      </c>
      <c r="CC523" s="551">
        <v>3208.6206707922424</v>
      </c>
      <c r="CD523" s="551">
        <v>1442039.4873409944</v>
      </c>
      <c r="CE523" s="551">
        <v>654.41947903373875</v>
      </c>
      <c r="CF523" s="551">
        <v>3587.1574989144524</v>
      </c>
      <c r="CG523" s="551">
        <v>40181.337309806819</v>
      </c>
      <c r="CH523" s="551">
        <v>95361.95884293766</v>
      </c>
      <c r="CI523" s="551">
        <v>14881.976781409929</v>
      </c>
      <c r="CJ523" s="551">
        <v>0.2792569992312946</v>
      </c>
      <c r="CK523" s="551">
        <v>204652.07922002082</v>
      </c>
      <c r="CL523" s="551"/>
      <c r="CM523" s="551">
        <v>101.79795322721245</v>
      </c>
      <c r="CN523" s="551">
        <v>478.2660044734198</v>
      </c>
      <c r="CO523" s="551">
        <v>2.5991536417989451E-4</v>
      </c>
      <c r="CP523" s="551">
        <v>5413.1874950199181</v>
      </c>
      <c r="CQ523" s="551"/>
      <c r="CR523" s="551">
        <v>3.5297818811091859</v>
      </c>
      <c r="CS523" s="551">
        <v>1.5343914113296642</v>
      </c>
      <c r="CT523" s="551">
        <v>4.510696518493074E-4</v>
      </c>
      <c r="CU523" s="551">
        <v>931.04255710008124</v>
      </c>
      <c r="CV523" s="551"/>
      <c r="CW523" s="551">
        <v>0.31863522901824148</v>
      </c>
      <c r="CX523" s="551">
        <v>0.18732082948473891</v>
      </c>
      <c r="CY523" s="554"/>
    </row>
    <row r="524" spans="65:103" ht="12.75" customHeight="1" x14ac:dyDescent="0.3">
      <c r="BM524" s="562"/>
      <c r="BN524" s="591">
        <v>511</v>
      </c>
      <c r="BO524" s="549" t="s">
        <v>2898</v>
      </c>
      <c r="BP524" s="554" t="s">
        <v>618</v>
      </c>
      <c r="BQ524" s="553">
        <v>3.13</v>
      </c>
      <c r="BR524" s="551">
        <v>3730.7425392955074</v>
      </c>
      <c r="BS524" s="551"/>
      <c r="BT524" s="551">
        <v>5762653.9137236401</v>
      </c>
      <c r="BU524" s="551">
        <v>246088.67333505384</v>
      </c>
      <c r="BV524" s="551">
        <v>1175331.5081460257</v>
      </c>
      <c r="BW524" s="551">
        <v>12243.199131522873</v>
      </c>
      <c r="BX524" s="551">
        <v>2903784.5066605657</v>
      </c>
      <c r="BY524" s="551">
        <v>18717835.093772229</v>
      </c>
      <c r="BZ524" s="551">
        <v>1075475.743207617</v>
      </c>
      <c r="CA524" s="551">
        <v>84.204026218451915</v>
      </c>
      <c r="CB524" s="551">
        <v>2.9394036050851183E-31</v>
      </c>
      <c r="CC524" s="551">
        <v>2993.2033875460047</v>
      </c>
      <c r="CD524" s="551">
        <v>1435328.9780077683</v>
      </c>
      <c r="CE524" s="551">
        <v>610.48369455159911</v>
      </c>
      <c r="CF524" s="551">
        <v>3570.4647147795304</v>
      </c>
      <c r="CG524" s="551">
        <v>33962.560958358961</v>
      </c>
      <c r="CH524" s="551">
        <v>79764.101723569896</v>
      </c>
      <c r="CI524" s="551">
        <v>12578.726280873685</v>
      </c>
      <c r="CJ524" s="551">
        <v>0.27922892968319163</v>
      </c>
      <c r="CK524" s="551">
        <v>203699.28459974143</v>
      </c>
      <c r="CL524" s="551"/>
      <c r="CM524" s="551">
        <v>101.32401451835591</v>
      </c>
      <c r="CN524" s="551">
        <v>404.23288401823726</v>
      </c>
      <c r="CO524" s="551">
        <v>2.598789653500852E-4</v>
      </c>
      <c r="CP524" s="551">
        <v>5387.983161352382</v>
      </c>
      <c r="CQ524" s="551"/>
      <c r="CR524" s="551">
        <v>3.5133468693186356</v>
      </c>
      <c r="CS524" s="551">
        <v>1.3073143707470911</v>
      </c>
      <c r="CT524" s="551">
        <v>4.5101314041458355E-4</v>
      </c>
      <c r="CU524" s="551">
        <v>926.70848262512447</v>
      </c>
      <c r="CV524" s="551"/>
      <c r="CW524" s="551">
        <v>0.31715195760129217</v>
      </c>
      <c r="CX524" s="551">
        <v>0.15779970193099269</v>
      </c>
      <c r="CY524" s="554"/>
    </row>
    <row r="525" spans="65:103" ht="12.75" customHeight="1" x14ac:dyDescent="0.3">
      <c r="BM525" s="562"/>
      <c r="BN525" s="591">
        <v>512</v>
      </c>
      <c r="BO525" s="549" t="s">
        <v>2901</v>
      </c>
      <c r="BP525" s="554" t="s">
        <v>618</v>
      </c>
      <c r="BQ525" s="553">
        <v>3.18</v>
      </c>
      <c r="BR525" s="551">
        <v>2460.650942835342</v>
      </c>
      <c r="BS525" s="551"/>
      <c r="BT525" s="551">
        <v>10767383.940632157</v>
      </c>
      <c r="BU525" s="551">
        <v>506541.74739559996</v>
      </c>
      <c r="BV525" s="551">
        <v>551868.64062583691</v>
      </c>
      <c r="BW525" s="551">
        <v>7375.4376013144083</v>
      </c>
      <c r="BX525" s="551">
        <v>3524445.7946986267</v>
      </c>
      <c r="BY525" s="551">
        <v>39725421.260550305</v>
      </c>
      <c r="BZ525" s="551">
        <v>1305350.2943328249</v>
      </c>
      <c r="CA525" s="551">
        <v>60.695218306236164</v>
      </c>
      <c r="CB525" s="551">
        <v>1.9684743521178844E-31</v>
      </c>
      <c r="CC525" s="551">
        <v>22600.698710610763</v>
      </c>
      <c r="CD525" s="551">
        <v>8319640.7731698537</v>
      </c>
      <c r="CE525" s="551">
        <v>1158.3702172587889</v>
      </c>
      <c r="CF525" s="551">
        <v>6056.8543168805791</v>
      </c>
      <c r="CG525" s="551">
        <v>45049.896047475653</v>
      </c>
      <c r="CH525" s="551">
        <v>186996.81863926019</v>
      </c>
      <c r="CI525" s="551">
        <v>16685.146684250241</v>
      </c>
      <c r="CJ525" s="551">
        <v>0.21990479703564944</v>
      </c>
      <c r="CK525" s="551">
        <v>4470419.086626729</v>
      </c>
      <c r="CL525" s="551"/>
      <c r="CM525" s="551">
        <v>655.80382107576884</v>
      </c>
      <c r="CN525" s="551">
        <v>585.83818275254703</v>
      </c>
      <c r="CO525" s="551">
        <v>9.2622272503958163E-4</v>
      </c>
      <c r="CP525" s="551">
        <v>421837.31130375736</v>
      </c>
      <c r="CQ525" s="551"/>
      <c r="CR525" s="551">
        <v>63.462011510788905</v>
      </c>
      <c r="CS525" s="551">
        <v>1.5250631858048866</v>
      </c>
      <c r="CT525" s="551">
        <v>1.6335688132322791E-4</v>
      </c>
      <c r="CU525" s="551">
        <v>80808.858203027092</v>
      </c>
      <c r="CV525" s="551"/>
      <c r="CW525" s="551">
        <v>11.324423409997239</v>
      </c>
      <c r="CX525" s="551">
        <v>0.29088091237363589</v>
      </c>
      <c r="CY525" s="554"/>
    </row>
    <row r="526" spans="65:103" ht="12.75" customHeight="1" x14ac:dyDescent="0.3">
      <c r="BM526" s="562"/>
      <c r="BN526" s="591">
        <v>513</v>
      </c>
      <c r="BO526" s="549" t="s">
        <v>2903</v>
      </c>
      <c r="BP526" s="554" t="s">
        <v>618</v>
      </c>
      <c r="BQ526" s="553">
        <v>3.27</v>
      </c>
      <c r="BR526" s="551">
        <v>1.056005014212608E-2</v>
      </c>
      <c r="BS526" s="551"/>
      <c r="BT526" s="551">
        <v>8849149.4916559421</v>
      </c>
      <c r="BU526" s="551">
        <v>416078.08215857483</v>
      </c>
      <c r="BV526" s="551">
        <v>77941.794050161028</v>
      </c>
      <c r="BW526" s="551">
        <v>1115.122772422294</v>
      </c>
      <c r="BX526" s="551">
        <v>214908.67799782165</v>
      </c>
      <c r="BY526" s="551">
        <v>3133091.8590487568</v>
      </c>
      <c r="BZ526" s="551">
        <v>79595.806665859855</v>
      </c>
      <c r="CA526" s="551">
        <v>1.5253487411034764E-9</v>
      </c>
      <c r="CB526" s="551">
        <v>8.4853175117307373E-37</v>
      </c>
      <c r="CC526" s="551">
        <v>0.13570339114284011</v>
      </c>
      <c r="CD526" s="551">
        <v>6712124.668052814</v>
      </c>
      <c r="CE526" s="551">
        <v>1.1952522413975421E-3</v>
      </c>
      <c r="CF526" s="551">
        <v>899.45173630060515</v>
      </c>
      <c r="CG526" s="551">
        <v>1.6086279523954698E-2</v>
      </c>
      <c r="CH526" s="551">
        <v>8.7704141982938175E-2</v>
      </c>
      <c r="CI526" s="551">
        <v>5.9578813051684061E-3</v>
      </c>
      <c r="CJ526" s="551">
        <v>3.2319679858563553E-17</v>
      </c>
      <c r="CK526" s="551">
        <v>3605661.1631803103</v>
      </c>
      <c r="CL526" s="551"/>
      <c r="CM526" s="551">
        <v>97.361506339877536</v>
      </c>
      <c r="CN526" s="551">
        <v>1.2233681472492621E-9</v>
      </c>
      <c r="CO526" s="551">
        <v>1.5780627586001274E-23</v>
      </c>
      <c r="CP526" s="551">
        <v>340213.11123112909</v>
      </c>
      <c r="CQ526" s="551"/>
      <c r="CR526" s="551">
        <v>9.2474471534399321</v>
      </c>
      <c r="CS526" s="551">
        <v>1.9718147103549794E-15</v>
      </c>
      <c r="CT526" s="551">
        <v>3.3332196032416809E-23</v>
      </c>
      <c r="CU526" s="551">
        <v>65171.916859723991</v>
      </c>
      <c r="CV526" s="551"/>
      <c r="CW526" s="551">
        <v>1.7382274207435375</v>
      </c>
      <c r="CX526" s="551">
        <v>3.5472498069182733E-16</v>
      </c>
      <c r="CY526" s="554"/>
    </row>
    <row r="527" spans="65:103" ht="12.75" customHeight="1" x14ac:dyDescent="0.3">
      <c r="BM527" s="562"/>
      <c r="BN527" s="591">
        <v>514</v>
      </c>
      <c r="BO527" s="549" t="s">
        <v>2905</v>
      </c>
      <c r="BP527" s="554" t="s">
        <v>618</v>
      </c>
      <c r="BQ527" s="553">
        <v>3.3</v>
      </c>
      <c r="BR527" s="551">
        <v>1.9346533283287275E-2</v>
      </c>
      <c r="BS527" s="551"/>
      <c r="BT527" s="551">
        <v>12753464.738654085</v>
      </c>
      <c r="BU527" s="551">
        <v>614228.60028406174</v>
      </c>
      <c r="BV527" s="551">
        <v>118375.17194727027</v>
      </c>
      <c r="BW527" s="551">
        <v>1733.2659139769528</v>
      </c>
      <c r="BX527" s="551">
        <v>256253.91648265973</v>
      </c>
      <c r="BY527" s="551">
        <v>4146069.0852255463</v>
      </c>
      <c r="BZ527" s="551">
        <v>94908.857956540596</v>
      </c>
      <c r="CA527" s="551">
        <v>5.324836370978377E-9</v>
      </c>
      <c r="CB527" s="551">
        <v>1.5545520297345238E-36</v>
      </c>
      <c r="CC527" s="551">
        <v>0.39479912355600932</v>
      </c>
      <c r="CD527" s="551">
        <v>17335629.528282519</v>
      </c>
      <c r="CE527" s="551">
        <v>3.6644484532840941E-3</v>
      </c>
      <c r="CF527" s="551">
        <v>2445.934277955188</v>
      </c>
      <c r="CG527" s="551">
        <v>3.6548715160495092E-2</v>
      </c>
      <c r="CH527" s="551">
        <v>0.22114820523414699</v>
      </c>
      <c r="CI527" s="551">
        <v>1.353656117055374E-2</v>
      </c>
      <c r="CJ527" s="551">
        <v>2.1498836413667685E-16</v>
      </c>
      <c r="CK527" s="551">
        <v>24816321.747709829</v>
      </c>
      <c r="CL527" s="551"/>
      <c r="CM527" s="551">
        <v>706.75186683624429</v>
      </c>
      <c r="CN527" s="551">
        <v>5.2964448940300583E-9</v>
      </c>
      <c r="CO527" s="551">
        <v>4.736624883495353E-22</v>
      </c>
      <c r="CP527" s="551">
        <v>5458024.5604046881</v>
      </c>
      <c r="CQ527" s="551"/>
      <c r="CR527" s="551">
        <v>155.7955412837355</v>
      </c>
      <c r="CS527" s="551">
        <v>3.7658322319418817E-14</v>
      </c>
      <c r="CT527" s="551">
        <v>1.8300499449600456E-15</v>
      </c>
      <c r="CU527" s="551">
        <v>1324790.1366393298</v>
      </c>
      <c r="CV527" s="551"/>
      <c r="CW527" s="551">
        <v>37.568318442220871</v>
      </c>
      <c r="CX527" s="551">
        <v>8.7476682121123162E-15</v>
      </c>
      <c r="CY527" s="554"/>
    </row>
    <row r="528" spans="65:103" ht="12.75" customHeight="1" x14ac:dyDescent="0.3">
      <c r="BM528" s="562"/>
      <c r="BN528" s="591">
        <v>515</v>
      </c>
      <c r="BO528" s="549" t="s">
        <v>2907</v>
      </c>
      <c r="BP528" s="554" t="s">
        <v>618</v>
      </c>
      <c r="BQ528" s="553">
        <v>3.31</v>
      </c>
      <c r="BR528" s="551">
        <v>7789.3667630622804</v>
      </c>
      <c r="BS528" s="551"/>
      <c r="BT528" s="551">
        <v>8893725.9614311438</v>
      </c>
      <c r="BU528" s="551">
        <v>410118.99682787189</v>
      </c>
      <c r="BV528" s="551">
        <v>1279176.9895808843</v>
      </c>
      <c r="BW528" s="551">
        <v>15486.06093331893</v>
      </c>
      <c r="BX528" s="551">
        <v>5188223.0342131555</v>
      </c>
      <c r="BY528" s="551">
        <v>40079033.247273251</v>
      </c>
      <c r="BZ528" s="551">
        <v>1921564.0867456128</v>
      </c>
      <c r="CA528" s="551">
        <v>494.28448331881401</v>
      </c>
      <c r="CB528" s="551">
        <v>6.1877546196598708E-31</v>
      </c>
      <c r="CC528" s="551">
        <v>25069.334176453613</v>
      </c>
      <c r="CD528" s="551">
        <v>5100203.2044666251</v>
      </c>
      <c r="CE528" s="551">
        <v>3605.7008684212765</v>
      </c>
      <c r="CF528" s="551">
        <v>9629.1635120023057</v>
      </c>
      <c r="CG528" s="551">
        <v>170605.07749772331</v>
      </c>
      <c r="CH528" s="551">
        <v>473847.59708112385</v>
      </c>
      <c r="CI528" s="551">
        <v>63187.065739897494</v>
      </c>
      <c r="CJ528" s="551">
        <v>4.6171630755380821</v>
      </c>
      <c r="CK528" s="551">
        <v>1761885.0099485258</v>
      </c>
      <c r="CL528" s="551"/>
      <c r="CM528" s="551">
        <v>669.2554636268369</v>
      </c>
      <c r="CN528" s="551">
        <v>5719.9712295880699</v>
      </c>
      <c r="CO528" s="551">
        <v>4.8521050693755383E-2</v>
      </c>
      <c r="CP528" s="551">
        <v>109889.41253296265</v>
      </c>
      <c r="CQ528" s="551"/>
      <c r="CR528" s="551">
        <v>45.558381015608717</v>
      </c>
      <c r="CS528" s="551">
        <v>45.487146292639295</v>
      </c>
      <c r="CT528" s="551">
        <v>8.9792903475893679E-3</v>
      </c>
      <c r="CU528" s="551">
        <v>19978.090027753333</v>
      </c>
      <c r="CV528" s="551"/>
      <c r="CW528" s="551">
        <v>6.5528958290422468</v>
      </c>
      <c r="CX528" s="551">
        <v>6.6695505117213214</v>
      </c>
      <c r="CY528" s="554"/>
    </row>
    <row r="529" spans="65:103" ht="12.75" customHeight="1" x14ac:dyDescent="0.3">
      <c r="BM529" s="562"/>
      <c r="BN529" s="591">
        <v>516</v>
      </c>
      <c r="BO529" s="549" t="s">
        <v>2909</v>
      </c>
      <c r="BP529" s="554" t="s">
        <v>618</v>
      </c>
      <c r="BQ529" s="553">
        <v>3.34</v>
      </c>
      <c r="BR529" s="551">
        <v>17.40501436428373</v>
      </c>
      <c r="BS529" s="551"/>
      <c r="BT529" s="551">
        <v>11251849.929579366</v>
      </c>
      <c r="BU529" s="551">
        <v>477698.76456395863</v>
      </c>
      <c r="BV529" s="551">
        <v>88407.037277323441</v>
      </c>
      <c r="BW529" s="551">
        <v>1143.8449992417063</v>
      </c>
      <c r="BX529" s="551">
        <v>451812.74950813845</v>
      </c>
      <c r="BY529" s="551">
        <v>8266829.2548320135</v>
      </c>
      <c r="BZ529" s="551">
        <v>167338.05537338453</v>
      </c>
      <c r="CA529" s="551">
        <v>1.5587185511763742E-3</v>
      </c>
      <c r="CB529" s="551">
        <v>1.3985224524049507E-33</v>
      </c>
      <c r="CC529" s="551">
        <v>120.20644624321626</v>
      </c>
      <c r="CD529" s="551">
        <v>2654414.2906105267</v>
      </c>
      <c r="CE529" s="551">
        <v>0.94447542764160131</v>
      </c>
      <c r="CF529" s="551">
        <v>317.79844720783785</v>
      </c>
      <c r="CG529" s="551">
        <v>20.967675696900226</v>
      </c>
      <c r="CH529" s="551">
        <v>143.46686591748156</v>
      </c>
      <c r="CI529" s="551">
        <v>7.7658058136667503</v>
      </c>
      <c r="CJ529" s="551">
        <v>2.0493289991053059E-8</v>
      </c>
      <c r="CK529" s="551">
        <v>376071.84439808031</v>
      </c>
      <c r="CL529" s="551"/>
      <c r="CM529" s="551">
        <v>9.0037749710840593</v>
      </c>
      <c r="CN529" s="551">
        <v>9.8945928351581525E-4</v>
      </c>
      <c r="CO529" s="551">
        <v>8.3482063686122364E-13</v>
      </c>
      <c r="CP529" s="551">
        <v>9941.2555624500819</v>
      </c>
      <c r="CQ529" s="551"/>
      <c r="CR529" s="551">
        <v>0.24392505256954736</v>
      </c>
      <c r="CS529" s="551">
        <v>2.1850315533535858E-8</v>
      </c>
      <c r="CT529" s="551">
        <v>1.2286283016721337E-13</v>
      </c>
      <c r="CU529" s="551">
        <v>1709.7482696572447</v>
      </c>
      <c r="CV529" s="551"/>
      <c r="CW529" s="551">
        <v>3.9124553906047757E-2</v>
      </c>
      <c r="CX529" s="551">
        <v>4.2982691526590312E-9</v>
      </c>
      <c r="CY529" s="554"/>
    </row>
    <row r="530" spans="65:103" ht="12.75" customHeight="1" x14ac:dyDescent="0.3">
      <c r="BM530" s="562"/>
      <c r="BN530" s="591">
        <v>517</v>
      </c>
      <c r="BO530" s="549" t="s">
        <v>2910</v>
      </c>
      <c r="BP530" s="554" t="s">
        <v>618</v>
      </c>
      <c r="BQ530" s="553">
        <v>3.37</v>
      </c>
      <c r="BR530" s="551">
        <v>18.035097626470268</v>
      </c>
      <c r="BS530" s="551"/>
      <c r="BT530" s="551">
        <v>11255489.346998231</v>
      </c>
      <c r="BU530" s="551">
        <v>478153.24495840108</v>
      </c>
      <c r="BV530" s="551">
        <v>101419.32897792195</v>
      </c>
      <c r="BW530" s="551">
        <v>1309.513848053633</v>
      </c>
      <c r="BX530" s="551">
        <v>737109.62997908925</v>
      </c>
      <c r="BY530" s="551">
        <v>12003391.943765899</v>
      </c>
      <c r="BZ530" s="551">
        <v>273003.56665892183</v>
      </c>
      <c r="CA530" s="551">
        <v>1.5770334186942683E-3</v>
      </c>
      <c r="CB530" s="551">
        <v>1.4488009959499743E-33</v>
      </c>
      <c r="CC530" s="551">
        <v>111.01535860265541</v>
      </c>
      <c r="CD530" s="551">
        <v>2656949.4393250989</v>
      </c>
      <c r="CE530" s="551">
        <v>1.0003210725553595</v>
      </c>
      <c r="CF530" s="551">
        <v>363.82813680133546</v>
      </c>
      <c r="CG530" s="551">
        <v>33.400500506132701</v>
      </c>
      <c r="CH530" s="551">
        <v>203.35897973689512</v>
      </c>
      <c r="CI530" s="551">
        <v>12.370555743012119</v>
      </c>
      <c r="CJ530" s="551">
        <v>2.3221118657186028E-8</v>
      </c>
      <c r="CK530" s="551">
        <v>376431.76871717401</v>
      </c>
      <c r="CL530" s="551"/>
      <c r="CM530" s="551">
        <v>10.307891796700744</v>
      </c>
      <c r="CN530" s="551">
        <v>1.765220129735106E-3</v>
      </c>
      <c r="CO530" s="551">
        <v>1.8716282820871231E-11</v>
      </c>
      <c r="CP530" s="551">
        <v>9950.7891728153354</v>
      </c>
      <c r="CQ530" s="551"/>
      <c r="CR530" s="551">
        <v>0.27991471275567176</v>
      </c>
      <c r="CS530" s="551">
        <v>3.8005160325973564E-6</v>
      </c>
      <c r="CT530" s="551">
        <v>2.864206800492815E-11</v>
      </c>
      <c r="CU530" s="551">
        <v>1711.3881315991907</v>
      </c>
      <c r="CV530" s="551"/>
      <c r="CW530" s="551">
        <v>4.4604267689719347E-2</v>
      </c>
      <c r="CX530" s="551">
        <v>6.3935636997802594E-7</v>
      </c>
      <c r="CY530" s="554"/>
    </row>
    <row r="531" spans="65:103" ht="12.75" customHeight="1" x14ac:dyDescent="0.3">
      <c r="BM531" s="562"/>
      <c r="BN531" s="591">
        <v>518</v>
      </c>
      <c r="BO531" s="549" t="s">
        <v>2912</v>
      </c>
      <c r="BP531" s="554" t="s">
        <v>618</v>
      </c>
      <c r="BQ531" s="553">
        <v>3.4</v>
      </c>
      <c r="BR531" s="551">
        <v>6566.6394133056092</v>
      </c>
      <c r="BS531" s="551"/>
      <c r="BT531" s="551">
        <v>7841255.8322730744</v>
      </c>
      <c r="BU531" s="551">
        <v>361649.3516032208</v>
      </c>
      <c r="BV531" s="551">
        <v>1765906.751735237</v>
      </c>
      <c r="BW531" s="551">
        <v>20747.881860560083</v>
      </c>
      <c r="BX531" s="551">
        <v>5203407.2921411376</v>
      </c>
      <c r="BY531" s="551">
        <v>37663233.30418212</v>
      </c>
      <c r="BZ531" s="551">
        <v>1927187.8859782</v>
      </c>
      <c r="CA531" s="551">
        <v>382.85978623664096</v>
      </c>
      <c r="CB531" s="551">
        <v>5.1997458789827364E-31</v>
      </c>
      <c r="CC531" s="551">
        <v>16703.760732088191</v>
      </c>
      <c r="CD531" s="551">
        <v>4482230.0903876554</v>
      </c>
      <c r="CE531" s="551">
        <v>3761.8060789139681</v>
      </c>
      <c r="CF531" s="551">
        <v>12857.313302920131</v>
      </c>
      <c r="CG531" s="551">
        <v>157210.98865907357</v>
      </c>
      <c r="CH531" s="551">
        <v>409272.94788795715</v>
      </c>
      <c r="CI531" s="551">
        <v>58226.292095953162</v>
      </c>
      <c r="CJ531" s="551">
        <v>3.2852249362242358</v>
      </c>
      <c r="CK531" s="551">
        <v>1548060.2947587995</v>
      </c>
      <c r="CL531" s="551"/>
      <c r="CM531" s="551">
        <v>893.41586242375683</v>
      </c>
      <c r="CN531" s="551">
        <v>4841.8564823893985</v>
      </c>
      <c r="CO531" s="551">
        <v>3.0894018035782157E-2</v>
      </c>
      <c r="CP531" s="551">
        <v>96554.609728035561</v>
      </c>
      <c r="CQ531" s="551"/>
      <c r="CR531" s="551">
        <v>62.709769527711586</v>
      </c>
      <c r="CS531" s="551">
        <v>36.939041652839023</v>
      </c>
      <c r="CT531" s="551">
        <v>6.2095349292471524E-3</v>
      </c>
      <c r="CU531" s="551">
        <v>17554.205078942061</v>
      </c>
      <c r="CV531" s="551"/>
      <c r="CW531" s="551">
        <v>8.3712889362499325</v>
      </c>
      <c r="CX531" s="551">
        <v>5.0833223756044985</v>
      </c>
      <c r="CY531" s="554"/>
    </row>
    <row r="532" spans="65:103" ht="12.75" customHeight="1" x14ac:dyDescent="0.3">
      <c r="BM532" s="562"/>
      <c r="BN532" s="591">
        <v>519</v>
      </c>
      <c r="BO532" s="549" t="s">
        <v>2914</v>
      </c>
      <c r="BP532" s="554" t="s">
        <v>618</v>
      </c>
      <c r="BQ532" s="553">
        <v>3.42</v>
      </c>
      <c r="BR532" s="551">
        <v>259707.43195778452</v>
      </c>
      <c r="BS532" s="551"/>
      <c r="BT532" s="551">
        <v>9865017.2111007217</v>
      </c>
      <c r="BU532" s="551">
        <v>450098.33440887899</v>
      </c>
      <c r="BV532" s="551">
        <v>254499.73969556161</v>
      </c>
      <c r="BW532" s="551">
        <v>3417.4330467821846</v>
      </c>
      <c r="BX532" s="551">
        <v>276377.39404168923</v>
      </c>
      <c r="BY532" s="551">
        <v>21832063.708871469</v>
      </c>
      <c r="BZ532" s="551">
        <v>102361.99779321818</v>
      </c>
      <c r="CA532" s="551">
        <v>530040.05484370468</v>
      </c>
      <c r="CB532" s="551">
        <v>2.0690451818027706E-29</v>
      </c>
      <c r="CC532" s="551">
        <v>364449.11003342626</v>
      </c>
      <c r="CD532" s="551">
        <v>15302210.701225426</v>
      </c>
      <c r="CE532" s="551">
        <v>9402.1329766577255</v>
      </c>
      <c r="CF532" s="551">
        <v>5809.2061824524008</v>
      </c>
      <c r="CG532" s="551">
        <v>273573.72285369138</v>
      </c>
      <c r="CH532" s="551">
        <v>1655542.1236432006</v>
      </c>
      <c r="CI532" s="551">
        <v>101323.60105692278</v>
      </c>
      <c r="CJ532" s="551">
        <v>182370.52512105842</v>
      </c>
      <c r="CK532" s="551">
        <v>10023694.759055503</v>
      </c>
      <c r="CL532" s="551"/>
      <c r="CM532" s="551">
        <v>765.61292278554004</v>
      </c>
      <c r="CN532" s="551">
        <v>337850.05518074834</v>
      </c>
      <c r="CO532" s="551">
        <v>16677.885106957856</v>
      </c>
      <c r="CP532" s="551">
        <v>2945710.2916547055</v>
      </c>
      <c r="CQ532" s="551"/>
      <c r="CR532" s="551">
        <v>230.34159281934882</v>
      </c>
      <c r="CS532" s="551">
        <v>106012.9588695548</v>
      </c>
      <c r="CT532" s="551">
        <v>28990.130856733642</v>
      </c>
      <c r="CU532" s="551">
        <v>532539.95585233113</v>
      </c>
      <c r="CV532" s="551"/>
      <c r="CW532" s="551">
        <v>38.967739960374132</v>
      </c>
      <c r="CX532" s="551">
        <v>15065.147048409162</v>
      </c>
      <c r="CY532" s="554"/>
    </row>
    <row r="533" spans="65:103" ht="12.75" customHeight="1" x14ac:dyDescent="0.3">
      <c r="BM533" s="562"/>
      <c r="BN533" s="591">
        <v>520</v>
      </c>
      <c r="BO533" s="549" t="s">
        <v>2916</v>
      </c>
      <c r="BP533" s="554" t="s">
        <v>618</v>
      </c>
      <c r="BQ533" s="553">
        <v>3.44</v>
      </c>
      <c r="BR533" s="551">
        <v>5626.0831841235986</v>
      </c>
      <c r="BS533" s="551"/>
      <c r="BT533" s="551">
        <v>16064182.183460906</v>
      </c>
      <c r="BU533" s="551">
        <v>740288.54886016552</v>
      </c>
      <c r="BV533" s="551">
        <v>694513.46825753921</v>
      </c>
      <c r="BW533" s="551">
        <v>9167.0057821295995</v>
      </c>
      <c r="BX533" s="551">
        <v>5181275.6082409099</v>
      </c>
      <c r="BY533" s="551">
        <v>53071531.341258198</v>
      </c>
      <c r="BZ533" s="551">
        <v>1918990.966015151</v>
      </c>
      <c r="CA533" s="551">
        <v>159.80905312869226</v>
      </c>
      <c r="CB533" s="551">
        <v>4.5170790798837001E-31</v>
      </c>
      <c r="CC533" s="551">
        <v>35076.141882966214</v>
      </c>
      <c r="CD533" s="551">
        <v>8881031.5387302879</v>
      </c>
      <c r="CE533" s="551">
        <v>1516.4701616315986</v>
      </c>
      <c r="CF533" s="551">
        <v>5498.6982840790906</v>
      </c>
      <c r="CG533" s="551">
        <v>76265.864277718545</v>
      </c>
      <c r="CH533" s="551">
        <v>287444.72228355595</v>
      </c>
      <c r="CI533" s="551">
        <v>28246.616399155009</v>
      </c>
      <c r="CJ533" s="551">
        <v>0.66933874459929765</v>
      </c>
      <c r="CK533" s="551">
        <v>3061739.5337332534</v>
      </c>
      <c r="CL533" s="551"/>
      <c r="CM533" s="551">
        <v>381.40172046319799</v>
      </c>
      <c r="CN533" s="551">
        <v>1146.5115603695881</v>
      </c>
      <c r="CO533" s="551">
        <v>1.057433662373773E-3</v>
      </c>
      <c r="CP533" s="551">
        <v>190846.20969880739</v>
      </c>
      <c r="CQ533" s="551"/>
      <c r="CR533" s="551">
        <v>24.629153082451108</v>
      </c>
      <c r="CS533" s="551">
        <v>3.7557062588898749</v>
      </c>
      <c r="CT533" s="551">
        <v>1.340117777765142E-3</v>
      </c>
      <c r="CU533" s="551">
        <v>34694.94887772041</v>
      </c>
      <c r="CV533" s="551"/>
      <c r="CW533" s="551">
        <v>4.0560792341015039</v>
      </c>
      <c r="CX533" s="551">
        <v>0.66496654735879057</v>
      </c>
      <c r="CY533" s="554"/>
    </row>
    <row r="534" spans="65:103" ht="12.75" customHeight="1" x14ac:dyDescent="0.3">
      <c r="BM534" s="562"/>
      <c r="BN534" s="591">
        <v>521</v>
      </c>
      <c r="BO534" s="549" t="s">
        <v>2918</v>
      </c>
      <c r="BP534" s="554" t="s">
        <v>618</v>
      </c>
      <c r="BQ534" s="553">
        <v>3.45</v>
      </c>
      <c r="BR534" s="551">
        <v>449.67332917061879</v>
      </c>
      <c r="BS534" s="551"/>
      <c r="BT534" s="551">
        <v>8118307.9207447926</v>
      </c>
      <c r="BU534" s="551">
        <v>316305.80184080359</v>
      </c>
      <c r="BV534" s="551">
        <v>77157.865216559527</v>
      </c>
      <c r="BW534" s="551">
        <v>911.96914868245767</v>
      </c>
      <c r="BX534" s="551">
        <v>962897.52638932923</v>
      </c>
      <c r="BY534" s="551">
        <v>12525621.699633285</v>
      </c>
      <c r="BZ534" s="551">
        <v>356628.71347752935</v>
      </c>
      <c r="CA534" s="551">
        <v>0.7822007358820221</v>
      </c>
      <c r="CB534" s="551">
        <v>3.6049515630101977E-32</v>
      </c>
      <c r="CC534" s="551">
        <v>1385.975630340936</v>
      </c>
      <c r="CD534" s="551">
        <v>1078489.8879778599</v>
      </c>
      <c r="CE534" s="551">
        <v>13.172562795508162</v>
      </c>
      <c r="CF534" s="551">
        <v>155.47446478658452</v>
      </c>
      <c r="CG534" s="551">
        <v>867.9599063708896</v>
      </c>
      <c r="CH534" s="551">
        <v>4212.289500895251</v>
      </c>
      <c r="CI534" s="551">
        <v>321.46663198921829</v>
      </c>
      <c r="CJ534" s="551">
        <v>1.9991928503191418E-4</v>
      </c>
      <c r="CK534" s="551">
        <v>89041.57465477995</v>
      </c>
      <c r="CL534" s="551"/>
      <c r="CM534" s="551">
        <v>2.5480292012592267</v>
      </c>
      <c r="CN534" s="551">
        <v>0.79623229672643048</v>
      </c>
      <c r="CO534" s="551">
        <v>1.1616395007779135E-8</v>
      </c>
      <c r="CP534" s="551">
        <v>1383.9853349259176</v>
      </c>
      <c r="CQ534" s="551"/>
      <c r="CR534" s="551">
        <v>4.1569792958619296E-2</v>
      </c>
      <c r="CS534" s="551">
        <v>1.532145123084469E-4</v>
      </c>
      <c r="CT534" s="551">
        <v>2.7762641332504064E-8</v>
      </c>
      <c r="CU534" s="551">
        <v>234.21858179186674</v>
      </c>
      <c r="CV534" s="551"/>
      <c r="CW534" s="551">
        <v>6.1418759124004813E-3</v>
      </c>
      <c r="CX534" s="551">
        <v>3.0563197821053252E-5</v>
      </c>
      <c r="CY534" s="554"/>
    </row>
    <row r="535" spans="65:103" ht="12.75" customHeight="1" x14ac:dyDescent="0.3">
      <c r="BM535" s="562"/>
      <c r="BN535" s="591">
        <v>522</v>
      </c>
      <c r="BO535" s="549" t="s">
        <v>2919</v>
      </c>
      <c r="BP535" s="554" t="s">
        <v>618</v>
      </c>
      <c r="BQ535" s="553">
        <v>3.46</v>
      </c>
      <c r="BR535" s="551">
        <v>24.72443604873623</v>
      </c>
      <c r="BS535" s="551"/>
      <c r="BT535" s="551">
        <v>8493271.855302915</v>
      </c>
      <c r="BU535" s="551">
        <v>391182.57763185469</v>
      </c>
      <c r="BV535" s="551">
        <v>215219.54598128505</v>
      </c>
      <c r="BW535" s="551">
        <v>2919.6835171025773</v>
      </c>
      <c r="BX535" s="551">
        <v>1727179.9208300526</v>
      </c>
      <c r="BY535" s="551">
        <v>21352671.227600195</v>
      </c>
      <c r="BZ535" s="551">
        <v>639696.26697409339</v>
      </c>
      <c r="CA535" s="551">
        <v>6.3466386570179773E-3</v>
      </c>
      <c r="CB535" s="551">
        <v>1.9865916714008949E-33</v>
      </c>
      <c r="CC535" s="551">
        <v>207.13344123182193</v>
      </c>
      <c r="CD535" s="551">
        <v>4569061.8032684606</v>
      </c>
      <c r="CE535" s="551">
        <v>5.2487623072632665</v>
      </c>
      <c r="CF535" s="551">
        <v>1705.1135708017775</v>
      </c>
      <c r="CG535" s="551">
        <v>229.74890466385932</v>
      </c>
      <c r="CH535" s="551">
        <v>1062.0467869594861</v>
      </c>
      <c r="CI535" s="551">
        <v>85.092186912540484</v>
      </c>
      <c r="CJ535" s="551">
        <v>2.3897401838320453E-7</v>
      </c>
      <c r="CK535" s="551">
        <v>1574356.6597688023</v>
      </c>
      <c r="CL535" s="551"/>
      <c r="CM535" s="551">
        <v>118.20837213700106</v>
      </c>
      <c r="CN535" s="551">
        <v>3.1050172597692497E-2</v>
      </c>
      <c r="CO535" s="551">
        <v>1.0669651257013906E-11</v>
      </c>
      <c r="CP535" s="551">
        <v>98126.640374395254</v>
      </c>
      <c r="CQ535" s="551"/>
      <c r="CR535" s="551">
        <v>7.5403248642113034</v>
      </c>
      <c r="CS535" s="551">
        <v>8.1713355923348109E-7</v>
      </c>
      <c r="CT535" s="551">
        <v>1.8334103615283703E-12</v>
      </c>
      <c r="CU535" s="551">
        <v>17838.915747870615</v>
      </c>
      <c r="CV535" s="551"/>
      <c r="CW535" s="551">
        <v>1.2839187127985789</v>
      </c>
      <c r="CX535" s="551">
        <v>1.6329434183097296E-7</v>
      </c>
      <c r="CY535" s="554"/>
    </row>
    <row r="536" spans="65:103" ht="12.75" customHeight="1" x14ac:dyDescent="0.3">
      <c r="BM536" s="562"/>
      <c r="BN536" s="591">
        <v>523</v>
      </c>
      <c r="BO536" s="549" t="s">
        <v>2921</v>
      </c>
      <c r="BP536" s="554" t="s">
        <v>618</v>
      </c>
      <c r="BQ536" s="553">
        <v>3.49</v>
      </c>
      <c r="BR536" s="551">
        <v>2122.6298108917385</v>
      </c>
      <c r="BS536" s="551"/>
      <c r="BT536" s="551">
        <v>7983278.2898490131</v>
      </c>
      <c r="BU536" s="551">
        <v>340130.03245415643</v>
      </c>
      <c r="BV536" s="551">
        <v>170790.86065260155</v>
      </c>
      <c r="BW536" s="551">
        <v>2152.8178571212784</v>
      </c>
      <c r="BX536" s="551">
        <v>2071240.5197652925</v>
      </c>
      <c r="BY536" s="551">
        <v>20299163.726652868</v>
      </c>
      <c r="BZ536" s="551">
        <v>767126.1184315898</v>
      </c>
      <c r="CA536" s="551">
        <v>24.274280953328578</v>
      </c>
      <c r="CB536" s="551">
        <v>1.7043006350820516E-31</v>
      </c>
      <c r="CC536" s="551">
        <v>6831.8910631096924</v>
      </c>
      <c r="CD536" s="551">
        <v>1930459.2085524357</v>
      </c>
      <c r="CE536" s="551">
        <v>146.15857197875403</v>
      </c>
      <c r="CF536" s="551">
        <v>610.93209362158291</v>
      </c>
      <c r="CG536" s="551">
        <v>12274.424469717582</v>
      </c>
      <c r="CH536" s="551">
        <v>44675.579012673501</v>
      </c>
      <c r="CI536" s="551">
        <v>4546.083136932436</v>
      </c>
      <c r="CJ536" s="551">
        <v>4.0789057610944854E-2</v>
      </c>
      <c r="CK536" s="551">
        <v>273604.21749875514</v>
      </c>
      <c r="CL536" s="551"/>
      <c r="CM536" s="551">
        <v>17.3150619003206</v>
      </c>
      <c r="CN536" s="551">
        <v>74.029035389469556</v>
      </c>
      <c r="CO536" s="551">
        <v>1.539870754436791E-5</v>
      </c>
      <c r="CP536" s="551">
        <v>7232.971028178802</v>
      </c>
      <c r="CQ536" s="551"/>
      <c r="CR536" s="551">
        <v>0.48171954322710497</v>
      </c>
      <c r="CS536" s="551">
        <v>9.5521899798071908E-2</v>
      </c>
      <c r="CT536" s="551">
        <v>3.4956978370842114E-5</v>
      </c>
      <c r="CU536" s="551">
        <v>1243.9649200876834</v>
      </c>
      <c r="CV536" s="551"/>
      <c r="CW536" s="551">
        <v>7.1889210137624865E-2</v>
      </c>
      <c r="CX536" s="551">
        <v>1.6667170204528157E-2</v>
      </c>
      <c r="CY536" s="554"/>
    </row>
    <row r="537" spans="65:103" ht="12.75" customHeight="1" x14ac:dyDescent="0.3">
      <c r="BM537" s="562"/>
      <c r="BN537" s="591">
        <v>524</v>
      </c>
      <c r="BO537" s="549" t="s">
        <v>2922</v>
      </c>
      <c r="BP537" s="554" t="s">
        <v>618</v>
      </c>
      <c r="BQ537" s="553">
        <v>3.59</v>
      </c>
      <c r="BR537" s="551">
        <v>95233.654836512549</v>
      </c>
      <c r="BS537" s="551"/>
      <c r="BT537" s="551">
        <v>3887639.5064404691</v>
      </c>
      <c r="BU537" s="551">
        <v>156021.97285758151</v>
      </c>
      <c r="BV537" s="551">
        <v>152728.17821223073</v>
      </c>
      <c r="BW537" s="551">
        <v>1753.087439043522</v>
      </c>
      <c r="BX537" s="551">
        <v>19106.801302936918</v>
      </c>
      <c r="BY537" s="551">
        <v>12635840.667933563</v>
      </c>
      <c r="BZ537" s="551">
        <v>7076.5930751618216</v>
      </c>
      <c r="CA537" s="551">
        <v>26608.146461607641</v>
      </c>
      <c r="CB537" s="551">
        <v>8.6055036133692516E-31</v>
      </c>
      <c r="CC537" s="551">
        <v>3087.7107967006796</v>
      </c>
      <c r="CD537" s="551">
        <v>1046141.9215147884</v>
      </c>
      <c r="CE537" s="551">
        <v>121.30251378634397</v>
      </c>
      <c r="CF537" s="551">
        <v>587.73076268510727</v>
      </c>
      <c r="CG537" s="551">
        <v>2778.6967019735584</v>
      </c>
      <c r="CH537" s="551">
        <v>12888.754388268277</v>
      </c>
      <c r="CI537" s="551">
        <v>1029.1469266568729</v>
      </c>
      <c r="CJ537" s="551">
        <v>1105.9228588460719</v>
      </c>
      <c r="CK537" s="551">
        <v>157053.73855410406</v>
      </c>
      <c r="CL537" s="551"/>
      <c r="CM537" s="551">
        <v>17.644234339542137</v>
      </c>
      <c r="CN537" s="551">
        <v>414.52909033433025</v>
      </c>
      <c r="CO537" s="551">
        <v>14.683782397534747</v>
      </c>
      <c r="CP537" s="551">
        <v>4897.7304373526704</v>
      </c>
      <c r="CQ537" s="551"/>
      <c r="CR537" s="551">
        <v>0.59768601288868373</v>
      </c>
      <c r="CS537" s="551">
        <v>18.769163755957212</v>
      </c>
      <c r="CT537" s="551">
        <v>20.017036582442756</v>
      </c>
      <c r="CU537" s="551">
        <v>796.62628497463083</v>
      </c>
      <c r="CV537" s="551"/>
      <c r="CW537" s="551">
        <v>7.7708561717400426E-2</v>
      </c>
      <c r="CX537" s="551">
        <v>2.0962147948760719</v>
      </c>
      <c r="CY537" s="554"/>
    </row>
    <row r="538" spans="65:103" ht="12.75" customHeight="1" x14ac:dyDescent="0.3">
      <c r="BM538" s="562"/>
      <c r="BN538" s="591">
        <v>525</v>
      </c>
      <c r="BO538" s="549" t="s">
        <v>2924</v>
      </c>
      <c r="BP538" s="554" t="s">
        <v>618</v>
      </c>
      <c r="BQ538" s="553">
        <v>3.64</v>
      </c>
      <c r="BR538" s="551">
        <v>1.8704970666880429</v>
      </c>
      <c r="BS538" s="551"/>
      <c r="BT538" s="551">
        <v>4096049.2883977676</v>
      </c>
      <c r="BU538" s="551">
        <v>160743.47931457922</v>
      </c>
      <c r="BV538" s="551">
        <v>160639.63741227501</v>
      </c>
      <c r="BW538" s="551">
        <v>1786.7245830633608</v>
      </c>
      <c r="BX538" s="551">
        <v>886590.25157412339</v>
      </c>
      <c r="BY538" s="551">
        <v>5689608.0877722129</v>
      </c>
      <c r="BZ538" s="551">
        <v>328366.75984226784</v>
      </c>
      <c r="CA538" s="551">
        <v>1.9350471186267683E-5</v>
      </c>
      <c r="CB538" s="551">
        <v>1.502997845244431E-34</v>
      </c>
      <c r="CC538" s="551">
        <v>1.1504898752866715</v>
      </c>
      <c r="CD538" s="551">
        <v>545443.23436401261</v>
      </c>
      <c r="CE538" s="551">
        <v>4.5120130008210253E-2</v>
      </c>
      <c r="CF538" s="551">
        <v>303.1403947641752</v>
      </c>
      <c r="CG538" s="551">
        <v>4.7528702181450724</v>
      </c>
      <c r="CH538" s="551">
        <v>11.406644305734245</v>
      </c>
      <c r="CI538" s="551">
        <v>1.7603223030166941</v>
      </c>
      <c r="CJ538" s="551">
        <v>2.9365240290059357E-11</v>
      </c>
      <c r="CK538" s="551">
        <v>45034.241624776674</v>
      </c>
      <c r="CL538" s="551"/>
      <c r="CM538" s="551">
        <v>4.9682025271684571</v>
      </c>
      <c r="CN538" s="551">
        <v>2.5888186302736557E-5</v>
      </c>
      <c r="CO538" s="551">
        <v>8.149612080069753E-17</v>
      </c>
      <c r="CP538" s="551">
        <v>700.01291958676643</v>
      </c>
      <c r="CQ538" s="551"/>
      <c r="CR538" s="551">
        <v>8.9233471490055213E-2</v>
      </c>
      <c r="CS538" s="551">
        <v>5.7519746977190923E-11</v>
      </c>
      <c r="CT538" s="551">
        <v>1.2725806996365887E-17</v>
      </c>
      <c r="CU538" s="551">
        <v>118.46725056977243</v>
      </c>
      <c r="CV538" s="551"/>
      <c r="CW538" s="551">
        <v>1.0364716235923407E-2</v>
      </c>
      <c r="CX538" s="551">
        <v>6.5373438699800492E-12</v>
      </c>
      <c r="CY538" s="554"/>
    </row>
    <row r="539" spans="65:103" ht="12.75" customHeight="1" x14ac:dyDescent="0.3">
      <c r="BM539" s="562"/>
      <c r="BN539" s="591">
        <v>526</v>
      </c>
      <c r="BO539" s="549" t="s">
        <v>2926</v>
      </c>
      <c r="BP539" s="554" t="s">
        <v>618</v>
      </c>
      <c r="BQ539" s="553">
        <v>3.68</v>
      </c>
      <c r="BR539" s="551">
        <v>1526.2901063030156</v>
      </c>
      <c r="BS539" s="551"/>
      <c r="BT539" s="551">
        <v>9933251.9191598501</v>
      </c>
      <c r="BU539" s="551">
        <v>458508.86682857323</v>
      </c>
      <c r="BV539" s="551">
        <v>2206243.1831319439</v>
      </c>
      <c r="BW539" s="551">
        <v>25963.284526926345</v>
      </c>
      <c r="BX539" s="551">
        <v>2346925.9949593851</v>
      </c>
      <c r="BY539" s="551">
        <v>14840591.349127144</v>
      </c>
      <c r="BZ539" s="551">
        <v>869231.84998495772</v>
      </c>
      <c r="CA539" s="551">
        <v>14.955261229551509</v>
      </c>
      <c r="CB539" s="551">
        <v>1.2131940386277247E-31</v>
      </c>
      <c r="CC539" s="551">
        <v>2196.9227697996544</v>
      </c>
      <c r="CD539" s="551">
        <v>5414024.5540396711</v>
      </c>
      <c r="CE539" s="551">
        <v>487.95157156829561</v>
      </c>
      <c r="CF539" s="551">
        <v>15328.586871674623</v>
      </c>
      <c r="CG539" s="551">
        <v>11916.666686516881</v>
      </c>
      <c r="CH539" s="551">
        <v>27825.565388812494</v>
      </c>
      <c r="CI539" s="551">
        <v>4413.5802542655128</v>
      </c>
      <c r="CJ539" s="551">
        <v>2.165889243084286E-2</v>
      </c>
      <c r="CK539" s="551">
        <v>1866213.2417195656</v>
      </c>
      <c r="CL539" s="551"/>
      <c r="CM539" s="551">
        <v>1063.0483260416454</v>
      </c>
      <c r="CN539" s="551">
        <v>61.944205702817463</v>
      </c>
      <c r="CO539" s="551">
        <v>1.3800918853368389E-5</v>
      </c>
      <c r="CP539" s="551">
        <v>116352.00904675186</v>
      </c>
      <c r="CQ539" s="551"/>
      <c r="CR539" s="551">
        <v>74.509083297187374</v>
      </c>
      <c r="CS539" s="551">
        <v>0.11257516126726137</v>
      </c>
      <c r="CT539" s="551">
        <v>1.801957892445374E-5</v>
      </c>
      <c r="CU539" s="551">
        <v>21153.207397502727</v>
      </c>
      <c r="CV539" s="551"/>
      <c r="CW539" s="551">
        <v>9.9710599647446951</v>
      </c>
      <c r="CX539" s="551">
        <v>1.2948735208166483E-2</v>
      </c>
      <c r="CY539" s="554"/>
    </row>
    <row r="540" spans="65:103" ht="12.75" customHeight="1" x14ac:dyDescent="0.3">
      <c r="BM540" s="562"/>
      <c r="BN540" s="591">
        <v>527</v>
      </c>
      <c r="BO540" s="549" t="s">
        <v>2928</v>
      </c>
      <c r="BP540" s="554" t="s">
        <v>618</v>
      </c>
      <c r="BQ540" s="553">
        <v>3.72</v>
      </c>
      <c r="BR540" s="551">
        <v>33483.005382550378</v>
      </c>
      <c r="BS540" s="551"/>
      <c r="BT540" s="551">
        <v>8659178.0092117991</v>
      </c>
      <c r="BU540" s="551">
        <v>405487.20979204192</v>
      </c>
      <c r="BV540" s="551">
        <v>5936307.6284656851</v>
      </c>
      <c r="BW540" s="551">
        <v>72211.216518969697</v>
      </c>
      <c r="BX540" s="551">
        <v>2130499.5667587058</v>
      </c>
      <c r="BY540" s="551">
        <v>43850504.770405449</v>
      </c>
      <c r="BZ540" s="551">
        <v>789073.91361433535</v>
      </c>
      <c r="CA540" s="551">
        <v>11430.916976302848</v>
      </c>
      <c r="CB540" s="551">
        <v>9.8244172943235704E-31</v>
      </c>
      <c r="CC540" s="551">
        <v>26004.760998652404</v>
      </c>
      <c r="CD540" s="551">
        <v>7209244.0563528799</v>
      </c>
      <c r="CE540" s="551">
        <v>17827.588360985654</v>
      </c>
      <c r="CF540" s="551">
        <v>64192.93518017279</v>
      </c>
      <c r="CG540" s="551">
        <v>377481.71863715834</v>
      </c>
      <c r="CH540" s="551">
        <v>961668.44482679956</v>
      </c>
      <c r="CI540" s="551">
        <v>139808.04393968827</v>
      </c>
      <c r="CJ540" s="551">
        <v>585.8453268267009</v>
      </c>
      <c r="CK540" s="551">
        <v>3928716.3651045356</v>
      </c>
      <c r="CL540" s="551"/>
      <c r="CM540" s="551">
        <v>7048.756783903521</v>
      </c>
      <c r="CN540" s="551">
        <v>69438.68353385698</v>
      </c>
      <c r="CO540" s="551">
        <v>11.095449574035962</v>
      </c>
      <c r="CP540" s="551">
        <v>375823.04408500169</v>
      </c>
      <c r="CQ540" s="551"/>
      <c r="CR540" s="551">
        <v>775.98528373692932</v>
      </c>
      <c r="CS540" s="551">
        <v>4519.3356815162388</v>
      </c>
      <c r="CT540" s="551">
        <v>13.134159631603382</v>
      </c>
      <c r="CU540" s="551">
        <v>71761.68667147329</v>
      </c>
      <c r="CV540" s="551"/>
      <c r="CW540" s="551">
        <v>103.29847305574947</v>
      </c>
      <c r="CX540" s="551">
        <v>382.38918667716968</v>
      </c>
      <c r="CY540" s="554"/>
    </row>
    <row r="541" spans="65:103" ht="12.75" customHeight="1" x14ac:dyDescent="0.3">
      <c r="BM541" s="562"/>
      <c r="BN541" s="591">
        <v>528</v>
      </c>
      <c r="BO541" s="549" t="s">
        <v>2930</v>
      </c>
      <c r="BP541" s="554" t="s">
        <v>618</v>
      </c>
      <c r="BQ541" s="553">
        <v>3.75</v>
      </c>
      <c r="BR541" s="551">
        <v>917631.98480314633</v>
      </c>
      <c r="BS541" s="551"/>
      <c r="BT541" s="551">
        <v>13138696.821466265</v>
      </c>
      <c r="BU541" s="551">
        <v>507928.76438400673</v>
      </c>
      <c r="BV541" s="551">
        <v>119184.59775691322</v>
      </c>
      <c r="BW541" s="551">
        <v>1399.2333562633278</v>
      </c>
      <c r="BX541" s="551">
        <v>57330.228876901558</v>
      </c>
      <c r="BY541" s="551">
        <v>2576594.2959557045</v>
      </c>
      <c r="BZ541" s="551">
        <v>21233.418102556127</v>
      </c>
      <c r="CA541" s="551">
        <v>1574936.4097129018</v>
      </c>
      <c r="CB541" s="551">
        <v>8.9715268171248187E-29</v>
      </c>
      <c r="CC541" s="551">
        <v>330726.09425906651</v>
      </c>
      <c r="CD541" s="551">
        <v>14220557.044261482</v>
      </c>
      <c r="CE541" s="551">
        <v>3000.1039713147802</v>
      </c>
      <c r="CF541" s="551">
        <v>1958.7272031253585</v>
      </c>
      <c r="CG541" s="551">
        <v>35403.133461060323</v>
      </c>
      <c r="CH541" s="551">
        <v>96712.74407099557</v>
      </c>
      <c r="CI541" s="551">
        <v>13112.271652244563</v>
      </c>
      <c r="CJ541" s="551">
        <v>440632.76757470588</v>
      </c>
      <c r="CK541" s="551">
        <v>5037454.7087798696</v>
      </c>
      <c r="CL541" s="551"/>
      <c r="CM541" s="551">
        <v>137.73273691622308</v>
      </c>
      <c r="CN541" s="551">
        <v>35551.597849189158</v>
      </c>
      <c r="CO541" s="551">
        <v>30875.228124818124</v>
      </c>
      <c r="CP541" s="551">
        <v>1633272.8504425192</v>
      </c>
      <c r="CQ541" s="551"/>
      <c r="CR541" s="551">
        <v>46.800632737643255</v>
      </c>
      <c r="CS541" s="551">
        <v>10468.13655897339</v>
      </c>
      <c r="CT541" s="551">
        <v>54376.442156148274</v>
      </c>
      <c r="CU541" s="551">
        <v>272677.33721852326</v>
      </c>
      <c r="CV541" s="551"/>
      <c r="CW541" s="551">
        <v>6.8498174445330529</v>
      </c>
      <c r="CX541" s="551">
        <v>1078.3371707172294</v>
      </c>
      <c r="CY541" s="554"/>
    </row>
    <row r="542" spans="65:103" ht="12.75" customHeight="1" x14ac:dyDescent="0.3">
      <c r="BM542" s="562"/>
      <c r="BN542" s="591">
        <v>529</v>
      </c>
      <c r="BO542" s="549" t="s">
        <v>2932</v>
      </c>
      <c r="BP542" s="554" t="s">
        <v>618</v>
      </c>
      <c r="BQ542" s="553">
        <v>3.78</v>
      </c>
      <c r="BR542" s="551">
        <v>81735.68022281889</v>
      </c>
      <c r="BS542" s="551"/>
      <c r="BT542" s="551">
        <v>16987615.75469384</v>
      </c>
      <c r="BU542" s="551">
        <v>781683.41734055767</v>
      </c>
      <c r="BV542" s="551">
        <v>494194.80559676781</v>
      </c>
      <c r="BW542" s="551">
        <v>6655.3266241819383</v>
      </c>
      <c r="BX542" s="551">
        <v>2749722.6489205877</v>
      </c>
      <c r="BY542" s="551">
        <v>42749362.397923157</v>
      </c>
      <c r="BZ542" s="551">
        <v>1018415.7958965143</v>
      </c>
      <c r="CA542" s="551">
        <v>37985.872027378056</v>
      </c>
      <c r="CB542" s="551">
        <v>6.5960555932123065E-30</v>
      </c>
      <c r="CC542" s="551">
        <v>512897.25765474688</v>
      </c>
      <c r="CD542" s="551">
        <v>12579375.523456031</v>
      </c>
      <c r="CE542" s="551">
        <v>14920.937946678383</v>
      </c>
      <c r="CF542" s="551">
        <v>5355.0997104218413</v>
      </c>
      <c r="CG542" s="551">
        <v>661447.04556164646</v>
      </c>
      <c r="CH542" s="551">
        <v>3003538.7018639385</v>
      </c>
      <c r="CI542" s="551">
        <v>244980.38724505421</v>
      </c>
      <c r="CJ542" s="551">
        <v>2682.0288198801954</v>
      </c>
      <c r="CK542" s="551">
        <v>4706952.0130612124</v>
      </c>
      <c r="CL542" s="551"/>
      <c r="CM542" s="551">
        <v>403.15020938009786</v>
      </c>
      <c r="CN542" s="551">
        <v>167625.49595669206</v>
      </c>
      <c r="CO542" s="551">
        <v>40.616255203550651</v>
      </c>
      <c r="CP542" s="551">
        <v>329503.21852306457</v>
      </c>
      <c r="CQ542" s="551"/>
      <c r="CR542" s="551">
        <v>28.960267037045568</v>
      </c>
      <c r="CS542" s="551">
        <v>8834.5529090776909</v>
      </c>
      <c r="CT542" s="551">
        <v>94.149265104660245</v>
      </c>
      <c r="CU542" s="551">
        <v>59732.138101150922</v>
      </c>
      <c r="CV542" s="551"/>
      <c r="CW542" s="551">
        <v>4.8811371680525211</v>
      </c>
      <c r="CX542" s="551">
        <v>1600.288400169155</v>
      </c>
      <c r="CY542" s="554"/>
    </row>
    <row r="543" spans="65:103" ht="12.75" customHeight="1" x14ac:dyDescent="0.3">
      <c r="BM543" s="562"/>
      <c r="BN543" s="591">
        <v>530</v>
      </c>
      <c r="BO543" s="549" t="s">
        <v>2934</v>
      </c>
      <c r="BP543" s="554" t="s">
        <v>618</v>
      </c>
      <c r="BQ543" s="553">
        <v>3.85</v>
      </c>
      <c r="BR543" s="551">
        <v>194.6904541035789</v>
      </c>
      <c r="BS543" s="551"/>
      <c r="BT543" s="551">
        <v>14754020.328754019</v>
      </c>
      <c r="BU543" s="551">
        <v>679999.42510649282</v>
      </c>
      <c r="BV543" s="551">
        <v>651840.84888637834</v>
      </c>
      <c r="BW543" s="551">
        <v>8593.5420129530212</v>
      </c>
      <c r="BX543" s="551">
        <v>4950332.8691463731</v>
      </c>
      <c r="BY543" s="551">
        <v>49471239.758513607</v>
      </c>
      <c r="BZ543" s="551">
        <v>1833456.6182023606</v>
      </c>
      <c r="CA543" s="551">
        <v>0.20527161322221979</v>
      </c>
      <c r="CB543" s="551">
        <v>1.5641526911628419E-32</v>
      </c>
      <c r="CC543" s="551">
        <v>1211.5056917761392</v>
      </c>
      <c r="CD543" s="551">
        <v>7948855.8120072782</v>
      </c>
      <c r="CE543" s="551">
        <v>53.524997320152742</v>
      </c>
      <c r="CF543" s="551">
        <v>5022.7120680795215</v>
      </c>
      <c r="CG543" s="551">
        <v>2704.6877293181155</v>
      </c>
      <c r="CH543" s="551">
        <v>10101.465737580445</v>
      </c>
      <c r="CI543" s="551">
        <v>1001.7361960437458</v>
      </c>
      <c r="CJ543" s="551">
        <v>3.250348897422218E-5</v>
      </c>
      <c r="CK543" s="551">
        <v>2739014.0900787879</v>
      </c>
      <c r="CL543" s="551"/>
      <c r="CM543" s="551">
        <v>348.21366541092391</v>
      </c>
      <c r="CN543" s="551">
        <v>1.5371699007055026</v>
      </c>
      <c r="CO543" s="551">
        <v>4.7964390008700799E-8</v>
      </c>
      <c r="CP543" s="551">
        <v>170722.39767263702</v>
      </c>
      <c r="CQ543" s="551"/>
      <c r="CR543" s="551">
        <v>22.498765611833999</v>
      </c>
      <c r="CS543" s="551">
        <v>1.7851135297161226E-3</v>
      </c>
      <c r="CT543" s="551">
        <v>1.1356258892854126E-8</v>
      </c>
      <c r="CU543" s="551">
        <v>31036.565074665064</v>
      </c>
      <c r="CV543" s="551"/>
      <c r="CW543" s="551">
        <v>3.6991188921099196</v>
      </c>
      <c r="CX543" s="551">
        <v>2.5933753958612134E-4</v>
      </c>
      <c r="CY543" s="554"/>
    </row>
    <row r="544" spans="65:103" ht="12.75" customHeight="1" x14ac:dyDescent="0.3">
      <c r="BM544" s="562"/>
      <c r="BN544" s="591">
        <v>531</v>
      </c>
      <c r="BO544" s="549" t="s">
        <v>2938</v>
      </c>
      <c r="BP544" s="554" t="s">
        <v>618</v>
      </c>
      <c r="BQ544" s="553">
        <v>3.86</v>
      </c>
      <c r="BR544" s="551">
        <v>41870.915337603386</v>
      </c>
      <c r="BS544" s="551"/>
      <c r="BT544" s="551">
        <v>4447293.2438929174</v>
      </c>
      <c r="BU544" s="551">
        <v>203761.32168598217</v>
      </c>
      <c r="BV544" s="551">
        <v>9806695.9095194377</v>
      </c>
      <c r="BW544" s="551">
        <v>130660.97414479767</v>
      </c>
      <c r="BX544" s="551">
        <v>2395249.291298911</v>
      </c>
      <c r="BY544" s="551">
        <v>23379206.230097812</v>
      </c>
      <c r="BZ544" s="551">
        <v>887129.36714774428</v>
      </c>
      <c r="CA544" s="551">
        <v>35057.614637204118</v>
      </c>
      <c r="CB544" s="551">
        <v>2.8662732885076444E-30</v>
      </c>
      <c r="CC544" s="551">
        <v>37783.936397950485</v>
      </c>
      <c r="CD544" s="551">
        <v>3780056.5430897879</v>
      </c>
      <c r="CE544" s="551">
        <v>83317.099682632324</v>
      </c>
      <c r="CF544" s="551">
        <v>121197.16002914657</v>
      </c>
      <c r="CG544" s="551">
        <v>1039247.8120164569</v>
      </c>
      <c r="CH544" s="551">
        <v>2372654.7939683353</v>
      </c>
      <c r="CI544" s="551">
        <v>384906.59704313212</v>
      </c>
      <c r="CJ544" s="551">
        <v>4538.1822259152304</v>
      </c>
      <c r="CK544" s="551">
        <v>1550650.8898035923</v>
      </c>
      <c r="CL544" s="551"/>
      <c r="CM544" s="551">
        <v>10000.257316320089</v>
      </c>
      <c r="CN544" s="551">
        <v>482861.23619297286</v>
      </c>
      <c r="CO544" s="551">
        <v>406.18257026702491</v>
      </c>
      <c r="CP544" s="551">
        <v>138927.32073139917</v>
      </c>
      <c r="CQ544" s="551"/>
      <c r="CR544" s="551">
        <v>1246.4736274687646</v>
      </c>
      <c r="CS544" s="551">
        <v>57382.797901574973</v>
      </c>
      <c r="CT544" s="551">
        <v>154.31132793625596</v>
      </c>
      <c r="CU544" s="551">
        <v>27161.470922850545</v>
      </c>
      <c r="CV544" s="551"/>
      <c r="CW544" s="551">
        <v>114.45043978805606</v>
      </c>
      <c r="CX544" s="551">
        <v>7968.9191416126259</v>
      </c>
      <c r="CY544" s="554"/>
    </row>
    <row r="545" spans="65:103" ht="12.75" customHeight="1" x14ac:dyDescent="0.3">
      <c r="BM545" s="562"/>
      <c r="BN545" s="591">
        <v>532</v>
      </c>
      <c r="BO545" s="549" t="s">
        <v>2936</v>
      </c>
      <c r="BP545" s="554" t="s">
        <v>618</v>
      </c>
      <c r="BQ545" s="553">
        <v>3.86</v>
      </c>
      <c r="BR545" s="551">
        <v>1547.3004252081776</v>
      </c>
      <c r="BS545" s="551"/>
      <c r="BT545" s="551">
        <v>7536476.8418667316</v>
      </c>
      <c r="BU545" s="551">
        <v>347927.53741957125</v>
      </c>
      <c r="BV545" s="551">
        <v>2184070.9185248921</v>
      </c>
      <c r="BW545" s="551">
        <v>25371.354735741341</v>
      </c>
      <c r="BX545" s="551">
        <v>731060.99899081257</v>
      </c>
      <c r="BY545" s="551">
        <v>4446826.8498603478</v>
      </c>
      <c r="BZ545" s="551">
        <v>270763.33295956021</v>
      </c>
      <c r="CA545" s="551">
        <v>19.900477666086573</v>
      </c>
      <c r="CB545" s="551">
        <v>1.2406369683991016E-31</v>
      </c>
      <c r="CC545" s="551">
        <v>1681.3459603237177</v>
      </c>
      <c r="CD545" s="551">
        <v>4123788.8232916114</v>
      </c>
      <c r="CE545" s="551">
        <v>487.25404362985688</v>
      </c>
      <c r="CF545" s="551">
        <v>15035.61774198497</v>
      </c>
      <c r="CG545" s="551">
        <v>4872.3778684690797</v>
      </c>
      <c r="CH545" s="551">
        <v>10994.93009934037</v>
      </c>
      <c r="CI545" s="551">
        <v>1804.5843957292886</v>
      </c>
      <c r="CJ545" s="551">
        <v>3.7588842614667113E-2</v>
      </c>
      <c r="CK545" s="551">
        <v>1421692.3660869515</v>
      </c>
      <c r="CL545" s="551"/>
      <c r="CM545" s="551">
        <v>1042.8872664805697</v>
      </c>
      <c r="CN545" s="551">
        <v>33.032395529506822</v>
      </c>
      <c r="CO545" s="551">
        <v>7.8490931840600073E-5</v>
      </c>
      <c r="CP545" s="551">
        <v>88646.972437389253</v>
      </c>
      <c r="CQ545" s="551"/>
      <c r="CR545" s="551">
        <v>74.657429420938797</v>
      </c>
      <c r="CS545" s="551">
        <v>6.2979804568852493E-2</v>
      </c>
      <c r="CT545" s="551">
        <v>1.6649180157693962E-5</v>
      </c>
      <c r="CU545" s="551">
        <v>16116.647790576741</v>
      </c>
      <c r="CV545" s="551"/>
      <c r="CW545" s="551">
        <v>9.5083952545277413</v>
      </c>
      <c r="CX545" s="551">
        <v>7.3640225546648137E-3</v>
      </c>
      <c r="CY545" s="554"/>
    </row>
    <row r="546" spans="65:103" ht="12.75" customHeight="1" x14ac:dyDescent="0.3">
      <c r="BM546" s="562"/>
      <c r="BN546" s="591">
        <v>533</v>
      </c>
      <c r="BO546" s="549" t="s">
        <v>2940</v>
      </c>
      <c r="BP546" s="554" t="s">
        <v>618</v>
      </c>
      <c r="BQ546" s="553">
        <v>3.92</v>
      </c>
      <c r="BR546" s="551">
        <v>45315.381428172179</v>
      </c>
      <c r="BS546" s="551"/>
      <c r="BT546" s="551">
        <v>5064764.7186862333</v>
      </c>
      <c r="BU546" s="551">
        <v>215101.3073110962</v>
      </c>
      <c r="BV546" s="551">
        <v>2513921.9527553436</v>
      </c>
      <c r="BW546" s="551">
        <v>24571.388724472901</v>
      </c>
      <c r="BX546" s="551">
        <v>311009.74912416242</v>
      </c>
      <c r="BY546" s="551">
        <v>2644896.6196049694</v>
      </c>
      <c r="BZ546" s="551">
        <v>115188.79597191195</v>
      </c>
      <c r="CA546" s="551">
        <v>16200.68288297441</v>
      </c>
      <c r="CB546" s="551">
        <v>3.034871915055173E-30</v>
      </c>
      <c r="CC546" s="551">
        <v>19273.478314819458</v>
      </c>
      <c r="CD546" s="551">
        <v>1893353.76338508</v>
      </c>
      <c r="CE546" s="551">
        <v>9566.489843608535</v>
      </c>
      <c r="CF546" s="551">
        <v>10814.051270686674</v>
      </c>
      <c r="CG546" s="551">
        <v>57613.850109164334</v>
      </c>
      <c r="CH546" s="551">
        <v>128650.12040292501</v>
      </c>
      <c r="CI546" s="551">
        <v>21338.463003394198</v>
      </c>
      <c r="CJ546" s="551">
        <v>867.10635752844917</v>
      </c>
      <c r="CK546" s="551">
        <v>311294.4466585287</v>
      </c>
      <c r="CL546" s="551"/>
      <c r="CM546" s="551">
        <v>355.50812929656837</v>
      </c>
      <c r="CN546" s="551">
        <v>11068.011535779302</v>
      </c>
      <c r="CO546" s="551">
        <v>16.401165463472783</v>
      </c>
      <c r="CP546" s="551">
        <v>11803.033644654608</v>
      </c>
      <c r="CQ546" s="551"/>
      <c r="CR546" s="551">
        <v>20.616240215121593</v>
      </c>
      <c r="CS546" s="551">
        <v>647.30339584940054</v>
      </c>
      <c r="CT546" s="551">
        <v>21.389372524113277</v>
      </c>
      <c r="CU546" s="551">
        <v>2033.8613565243986</v>
      </c>
      <c r="CV546" s="551"/>
      <c r="CW546" s="551">
        <v>1.3976413543443329</v>
      </c>
      <c r="CX546" s="551">
        <v>66.909957067840693</v>
      </c>
      <c r="CY546" s="554"/>
    </row>
    <row r="547" spans="65:103" ht="12.75" customHeight="1" x14ac:dyDescent="0.3">
      <c r="BM547" s="562"/>
      <c r="BN547" s="591">
        <v>534</v>
      </c>
      <c r="BO547" s="549" t="s">
        <v>2944</v>
      </c>
      <c r="BP547" s="554" t="s">
        <v>618</v>
      </c>
      <c r="BQ547" s="553">
        <v>3.97</v>
      </c>
      <c r="BR547" s="551">
        <v>259707.43195778452</v>
      </c>
      <c r="BS547" s="551"/>
      <c r="BT547" s="551">
        <v>9865017.2111007217</v>
      </c>
      <c r="BU547" s="551">
        <v>450098.33440887899</v>
      </c>
      <c r="BV547" s="551">
        <v>254499.73969556161</v>
      </c>
      <c r="BW547" s="551">
        <v>3417.4330467821846</v>
      </c>
      <c r="BX547" s="551">
        <v>276377.39404168923</v>
      </c>
      <c r="BY547" s="551">
        <v>21832063.708871469</v>
      </c>
      <c r="BZ547" s="551">
        <v>102361.99779321818</v>
      </c>
      <c r="CA547" s="551">
        <v>530040.05484370468</v>
      </c>
      <c r="CB547" s="551">
        <v>2.0690451818027706E-29</v>
      </c>
      <c r="CC547" s="551">
        <v>364449.11003342626</v>
      </c>
      <c r="CD547" s="551">
        <v>15302210.701225426</v>
      </c>
      <c r="CE547" s="551">
        <v>9402.1329766577255</v>
      </c>
      <c r="CF547" s="551">
        <v>5809.2061824524008</v>
      </c>
      <c r="CG547" s="551">
        <v>273573.72285369138</v>
      </c>
      <c r="CH547" s="551">
        <v>1655542.1236432006</v>
      </c>
      <c r="CI547" s="551">
        <v>101323.60105692278</v>
      </c>
      <c r="CJ547" s="551">
        <v>182370.52512105842</v>
      </c>
      <c r="CK547" s="551">
        <v>10023694.759055503</v>
      </c>
      <c r="CL547" s="551"/>
      <c r="CM547" s="551">
        <v>765.61292278554004</v>
      </c>
      <c r="CN547" s="551">
        <v>337850.05518074834</v>
      </c>
      <c r="CO547" s="551">
        <v>16677.885106957856</v>
      </c>
      <c r="CP547" s="551">
        <v>2945710.2916547055</v>
      </c>
      <c r="CQ547" s="551"/>
      <c r="CR547" s="551">
        <v>230.34159281934882</v>
      </c>
      <c r="CS547" s="551">
        <v>106012.9588695548</v>
      </c>
      <c r="CT547" s="551">
        <v>28990.130856733642</v>
      </c>
      <c r="CU547" s="551">
        <v>532539.95585233113</v>
      </c>
      <c r="CV547" s="551"/>
      <c r="CW547" s="551">
        <v>38.967739960374132</v>
      </c>
      <c r="CX547" s="551">
        <v>15065.147048409162</v>
      </c>
      <c r="CY547" s="554"/>
    </row>
    <row r="548" spans="65:103" ht="12.75" customHeight="1" x14ac:dyDescent="0.3">
      <c r="BM548" s="562"/>
      <c r="BN548" s="591">
        <v>535</v>
      </c>
      <c r="BO548" s="549" t="s">
        <v>2942</v>
      </c>
      <c r="BP548" s="554" t="s">
        <v>618</v>
      </c>
      <c r="BQ548" s="553">
        <v>3.97</v>
      </c>
      <c r="BR548" s="551">
        <v>1501.8162776237093</v>
      </c>
      <c r="BS548" s="551"/>
      <c r="BT548" s="551">
        <v>11162567.765425829</v>
      </c>
      <c r="BU548" s="551">
        <v>525867.40445143497</v>
      </c>
      <c r="BV548" s="551">
        <v>1046679.9592433673</v>
      </c>
      <c r="BW548" s="551">
        <v>13451.673077739595</v>
      </c>
      <c r="BX548" s="551">
        <v>2467200.8701199377</v>
      </c>
      <c r="BY548" s="551">
        <v>17134571.9256103</v>
      </c>
      <c r="BZ548" s="551">
        <v>913778.10004442104</v>
      </c>
      <c r="CA548" s="551">
        <v>17.325311596131179</v>
      </c>
      <c r="CB548" s="551">
        <v>1.2025903745696873E-31</v>
      </c>
      <c r="CC548" s="551">
        <v>4723.3725064351447</v>
      </c>
      <c r="CD548" s="551">
        <v>8566737.1535965838</v>
      </c>
      <c r="CE548" s="551">
        <v>442.89624452176201</v>
      </c>
      <c r="CF548" s="551">
        <v>10956.844497075985</v>
      </c>
      <c r="CG548" s="551">
        <v>14749.158749488473</v>
      </c>
      <c r="CH548" s="551">
        <v>37972.738518745573</v>
      </c>
      <c r="CI548" s="551">
        <v>5462.6513886994344</v>
      </c>
      <c r="CJ548" s="551">
        <v>2.9748203573002962E-2</v>
      </c>
      <c r="CK548" s="551">
        <v>4602749.061403512</v>
      </c>
      <c r="CL548" s="551"/>
      <c r="CM548" s="551">
        <v>1186.2309109545761</v>
      </c>
      <c r="CN548" s="551">
        <v>90.897218980525608</v>
      </c>
      <c r="CO548" s="551">
        <v>4.1977376810525505E-5</v>
      </c>
      <c r="CP548" s="551">
        <v>434345.23413274717</v>
      </c>
      <c r="CQ548" s="551"/>
      <c r="CR548" s="551">
        <v>116.51871746567406</v>
      </c>
      <c r="CS548" s="551">
        <v>0.24360130200458252</v>
      </c>
      <c r="CT548" s="551">
        <v>3.4915953628116029E-5</v>
      </c>
      <c r="CU548" s="551">
        <v>83205.898266360702</v>
      </c>
      <c r="CV548" s="551"/>
      <c r="CW548" s="551">
        <v>19.968339672532064</v>
      </c>
      <c r="CX548" s="551">
        <v>3.038417341559977E-2</v>
      </c>
      <c r="CY548" s="554"/>
    </row>
    <row r="549" spans="65:103" ht="12.75" customHeight="1" x14ac:dyDescent="0.3">
      <c r="BM549" s="562"/>
      <c r="BN549" s="591">
        <v>536</v>
      </c>
      <c r="BO549" s="549" t="s">
        <v>2946</v>
      </c>
      <c r="BP549" s="554" t="s">
        <v>618</v>
      </c>
      <c r="BQ549" s="553">
        <v>3.99</v>
      </c>
      <c r="BR549" s="551">
        <v>412535.80993425444</v>
      </c>
      <c r="BS549" s="551"/>
      <c r="BT549" s="551">
        <v>9644113.7566447742</v>
      </c>
      <c r="BU549" s="551">
        <v>405394.49176216731</v>
      </c>
      <c r="BV549" s="551">
        <v>123675.23884700576</v>
      </c>
      <c r="BW549" s="551">
        <v>1566.4993697431419</v>
      </c>
      <c r="BX549" s="551">
        <v>125981.11173732637</v>
      </c>
      <c r="BY549" s="551">
        <v>13970987.049718365</v>
      </c>
      <c r="BZ549" s="551">
        <v>46659.671013824569</v>
      </c>
      <c r="CA549" s="551">
        <v>740266.75084861694</v>
      </c>
      <c r="CB549" s="551">
        <v>3.2835180363153834E-29</v>
      </c>
      <c r="CC549" s="551">
        <v>284408.88878326089</v>
      </c>
      <c r="CD549" s="551">
        <v>9779182.4191688485</v>
      </c>
      <c r="CE549" s="551">
        <v>3647.2337570931531</v>
      </c>
      <c r="CF549" s="551">
        <v>1889.4044452407677</v>
      </c>
      <c r="CG549" s="551">
        <v>116757.68476726953</v>
      </c>
      <c r="CH549" s="551">
        <v>657744.84674427786</v>
      </c>
      <c r="CI549" s="551">
        <v>43243.586950840559</v>
      </c>
      <c r="CJ549" s="551">
        <v>218571.10327713855</v>
      </c>
      <c r="CK549" s="551">
        <v>4006164.8199467277</v>
      </c>
      <c r="CL549" s="551"/>
      <c r="CM549" s="551">
        <v>154.78229206343906</v>
      </c>
      <c r="CN549" s="551">
        <v>123735.30437871262</v>
      </c>
      <c r="CO549" s="551">
        <v>16915.088473416556</v>
      </c>
      <c r="CP549" s="551">
        <v>1258870.2199779048</v>
      </c>
      <c r="CQ549" s="551"/>
      <c r="CR549" s="551">
        <v>50.348094716972312</v>
      </c>
      <c r="CS549" s="551">
        <v>32476.164950746017</v>
      </c>
      <c r="CT549" s="551">
        <v>29228.264631992617</v>
      </c>
      <c r="CU549" s="551">
        <v>208613.45718962525</v>
      </c>
      <c r="CV549" s="551"/>
      <c r="CW549" s="551">
        <v>7.5691864527539643</v>
      </c>
      <c r="CX549" s="551">
        <v>4637.3292473112251</v>
      </c>
      <c r="CY549" s="554"/>
    </row>
    <row r="550" spans="65:103" ht="12.75" customHeight="1" x14ac:dyDescent="0.3">
      <c r="BM550" s="562"/>
      <c r="BN550" s="591">
        <v>537</v>
      </c>
      <c r="BO550" s="549" t="s">
        <v>2948</v>
      </c>
      <c r="BP550" s="554" t="s">
        <v>618</v>
      </c>
      <c r="BQ550" s="553">
        <v>4</v>
      </c>
      <c r="BR550" s="551">
        <v>37.3757870761441</v>
      </c>
      <c r="BS550" s="551"/>
      <c r="BT550" s="551">
        <v>8536329.211290855</v>
      </c>
      <c r="BU550" s="551">
        <v>402128.19381984638</v>
      </c>
      <c r="BV550" s="551">
        <v>103370.08231675443</v>
      </c>
      <c r="BW550" s="551">
        <v>1471.4061532984574</v>
      </c>
      <c r="BX550" s="551">
        <v>194281.25739186909</v>
      </c>
      <c r="BY550" s="551">
        <v>1412326.8351640124</v>
      </c>
      <c r="BZ550" s="551">
        <v>71956.021256247768</v>
      </c>
      <c r="CA550" s="551">
        <v>1.4379202977707988E-2</v>
      </c>
      <c r="CB550" s="551">
        <v>3.003050474102111E-33</v>
      </c>
      <c r="CC550" s="551">
        <v>145.33172243720512</v>
      </c>
      <c r="CD550" s="551">
        <v>6489193.5555568943</v>
      </c>
      <c r="CE550" s="551">
        <v>1.759884341351198</v>
      </c>
      <c r="CF550" s="551">
        <v>1187.213365580222</v>
      </c>
      <c r="CG550" s="551">
        <v>38.732351422490282</v>
      </c>
      <c r="CH550" s="551">
        <v>105.27346836227636</v>
      </c>
      <c r="CI550" s="551">
        <v>14.345315341663065</v>
      </c>
      <c r="CJ550" s="551">
        <v>8.1146883301019944E-7</v>
      </c>
      <c r="CK550" s="551">
        <v>3485923.9495946667</v>
      </c>
      <c r="CL550" s="551"/>
      <c r="CM550" s="551">
        <v>128.51101865638984</v>
      </c>
      <c r="CN550" s="551">
        <v>7.8453902019659377E-3</v>
      </c>
      <c r="CO550" s="551">
        <v>5.4289117422047596E-11</v>
      </c>
      <c r="CP550" s="551">
        <v>328916.84054613562</v>
      </c>
      <c r="CQ550" s="551"/>
      <c r="CR550" s="551">
        <v>12.226161865234692</v>
      </c>
      <c r="CS550" s="551">
        <v>3.8655773253714755E-7</v>
      </c>
      <c r="CT550" s="551">
        <v>9.3302788623569065E-12</v>
      </c>
      <c r="CU550" s="551">
        <v>63008.030645303617</v>
      </c>
      <c r="CV550" s="551"/>
      <c r="CW550" s="551">
        <v>2.2874397492816652</v>
      </c>
      <c r="CX550" s="551">
        <v>5.4571369635301221E-8</v>
      </c>
      <c r="CY550" s="554"/>
    </row>
    <row r="551" spans="65:103" ht="12.75" customHeight="1" x14ac:dyDescent="0.3">
      <c r="BM551" s="562"/>
      <c r="BN551" s="591">
        <v>538</v>
      </c>
      <c r="BO551" s="549" t="s">
        <v>2950</v>
      </c>
      <c r="BP551" s="554" t="s">
        <v>618</v>
      </c>
      <c r="BQ551" s="553">
        <v>4.04</v>
      </c>
      <c r="BR551" s="551">
        <v>192522.61574524883</v>
      </c>
      <c r="BS551" s="551"/>
      <c r="BT551" s="551">
        <v>12505619.91971704</v>
      </c>
      <c r="BU551" s="551">
        <v>527969.56545783847</v>
      </c>
      <c r="BV551" s="551">
        <v>101846.56925866971</v>
      </c>
      <c r="BW551" s="551">
        <v>1309.5122434189129</v>
      </c>
      <c r="BX551" s="551">
        <v>269246.68116164493</v>
      </c>
      <c r="BY551" s="551">
        <v>8956432.8658195008</v>
      </c>
      <c r="BZ551" s="551">
        <v>99720.993022831448</v>
      </c>
      <c r="CA551" s="551">
        <v>257632.23261131431</v>
      </c>
      <c r="CB551" s="551">
        <v>1.2437908636315788E-29</v>
      </c>
      <c r="CC551" s="551">
        <v>916806.53669880528</v>
      </c>
      <c r="CD551" s="551">
        <v>6018173.1507595228</v>
      </c>
      <c r="CE551" s="551">
        <v>7466.5311304942279</v>
      </c>
      <c r="CF551" s="551">
        <v>746.33766220033249</v>
      </c>
      <c r="CG551" s="551">
        <v>186205.08009918919</v>
      </c>
      <c r="CH551" s="551">
        <v>1268006.21904884</v>
      </c>
      <c r="CI551" s="551">
        <v>68964.844481181193</v>
      </c>
      <c r="CJ551" s="551">
        <v>55484.893178019796</v>
      </c>
      <c r="CK551" s="551">
        <v>1829612.5233651474</v>
      </c>
      <c r="CL551" s="551"/>
      <c r="CM551" s="551">
        <v>45.373315198785988</v>
      </c>
      <c r="CN551" s="551">
        <v>143936.10223460433</v>
      </c>
      <c r="CO551" s="551">
        <v>6453.3167326593129</v>
      </c>
      <c r="CP551" s="551">
        <v>313206.41958518</v>
      </c>
      <c r="CQ551" s="551"/>
      <c r="CR551" s="551">
        <v>7.9650538160725857</v>
      </c>
      <c r="CS551" s="551">
        <v>19172.112106895151</v>
      </c>
      <c r="CT551" s="551">
        <v>3798.8219034745307</v>
      </c>
      <c r="CU551" s="551">
        <v>62108.184810764709</v>
      </c>
      <c r="CV551" s="551"/>
      <c r="CW551" s="551">
        <v>1.4706138011933145</v>
      </c>
      <c r="CX551" s="551">
        <v>5036.1215020249438</v>
      </c>
      <c r="CY551" s="554"/>
    </row>
    <row r="552" spans="65:103" ht="12.75" customHeight="1" x14ac:dyDescent="0.3">
      <c r="BM552" s="562"/>
      <c r="BN552" s="591">
        <v>539</v>
      </c>
      <c r="BO552" s="549" t="s">
        <v>2952</v>
      </c>
      <c r="BP552" s="554" t="s">
        <v>618</v>
      </c>
      <c r="BQ552" s="553">
        <v>4.0599999999999996</v>
      </c>
      <c r="BR552" s="551">
        <v>159.50610100727502</v>
      </c>
      <c r="BS552" s="551"/>
      <c r="BT552" s="551">
        <v>6820002.5566133987</v>
      </c>
      <c r="BU552" s="551">
        <v>265886.94332951657</v>
      </c>
      <c r="BV552" s="551">
        <v>70162.751435466751</v>
      </c>
      <c r="BW552" s="551">
        <v>828.21769025151434</v>
      </c>
      <c r="BX552" s="551">
        <v>962959.08848226606</v>
      </c>
      <c r="BY552" s="551">
        <v>11701762.767559474</v>
      </c>
      <c r="BZ552" s="551">
        <v>356651.51425269083</v>
      </c>
      <c r="CA552" s="551">
        <v>0.11356119542431374</v>
      </c>
      <c r="CB552" s="551">
        <v>1.2804525054429164E-32</v>
      </c>
      <c r="CC552" s="551">
        <v>454.33872540973726</v>
      </c>
      <c r="CD552" s="551">
        <v>904025.74120433501</v>
      </c>
      <c r="CE552" s="551">
        <v>4.6741412182489892</v>
      </c>
      <c r="CF552" s="551">
        <v>140.79858565681022</v>
      </c>
      <c r="CG552" s="551">
        <v>355.27036719200339</v>
      </c>
      <c r="CH552" s="551">
        <v>1612.9156481403891</v>
      </c>
      <c r="CI552" s="551">
        <v>131.58161747851972</v>
      </c>
      <c r="CJ552" s="551">
        <v>1.1901961579472601E-5</v>
      </c>
      <c r="CK552" s="551">
        <v>74636.359251564892</v>
      </c>
      <c r="CL552" s="551"/>
      <c r="CM552" s="551">
        <v>2.3074714509726189</v>
      </c>
      <c r="CN552" s="551">
        <v>0.13364454250587227</v>
      </c>
      <c r="CO552" s="551">
        <v>3.9004587368037632E-10</v>
      </c>
      <c r="CP552" s="551">
        <v>1160.0842048697004</v>
      </c>
      <c r="CQ552" s="551"/>
      <c r="CR552" s="551">
        <v>3.7749792617621444E-2</v>
      </c>
      <c r="CS552" s="551">
        <v>1.4774954497117895E-5</v>
      </c>
      <c r="CT552" s="551">
        <v>8.7043285029717326E-10</v>
      </c>
      <c r="CU552" s="551">
        <v>196.32672378128095</v>
      </c>
      <c r="CV552" s="551"/>
      <c r="CW552" s="551">
        <v>5.5360120631486138E-3</v>
      </c>
      <c r="CX552" s="551">
        <v>2.6680680665598036E-6</v>
      </c>
      <c r="CY552" s="554"/>
    </row>
    <row r="553" spans="65:103" ht="12.75" customHeight="1" x14ac:dyDescent="0.3">
      <c r="BM553" s="562"/>
      <c r="BN553" s="591">
        <v>540</v>
      </c>
      <c r="BO553" s="549" t="s">
        <v>2954</v>
      </c>
      <c r="BP553" s="554" t="s">
        <v>618</v>
      </c>
      <c r="BQ553" s="553">
        <v>4.08</v>
      </c>
      <c r="BR553" s="551">
        <v>46773.783726948423</v>
      </c>
      <c r="BS553" s="551"/>
      <c r="BT553" s="551">
        <v>4227850.8398969332</v>
      </c>
      <c r="BU553" s="551">
        <v>193406.8751832885</v>
      </c>
      <c r="BV553" s="551">
        <v>11124815.916304281</v>
      </c>
      <c r="BW553" s="551">
        <v>152754.27219839342</v>
      </c>
      <c r="BX553" s="551">
        <v>2066234.0709393143</v>
      </c>
      <c r="BY553" s="551">
        <v>22299153.384487629</v>
      </c>
      <c r="BZ553" s="551">
        <v>765271.87812567188</v>
      </c>
      <c r="CA553" s="551">
        <v>48794.38288627439</v>
      </c>
      <c r="CB553" s="551">
        <v>3.0668540647495502E-30</v>
      </c>
      <c r="CC553" s="551">
        <v>38159.466817689558</v>
      </c>
      <c r="CD553" s="551">
        <v>3756708.9288723231</v>
      </c>
      <c r="CE553" s="551">
        <v>100409.65490198482</v>
      </c>
      <c r="CF553" s="551">
        <v>148353.91393073971</v>
      </c>
      <c r="CG553" s="551">
        <v>1116979.8426601342</v>
      </c>
      <c r="CH553" s="551">
        <v>2541617.8980167215</v>
      </c>
      <c r="CI553" s="551">
        <v>413696.23802227201</v>
      </c>
      <c r="CJ553" s="551">
        <v>7984.4272797783915</v>
      </c>
      <c r="CK553" s="551">
        <v>1629325.3984810454</v>
      </c>
      <c r="CL553" s="551"/>
      <c r="CM553" s="551">
        <v>12941.214539859946</v>
      </c>
      <c r="CN553" s="551">
        <v>656028.83875306847</v>
      </c>
      <c r="CO553" s="551">
        <v>813.0949239389339</v>
      </c>
      <c r="CP553" s="551">
        <v>173677.90900568108</v>
      </c>
      <c r="CQ553" s="551"/>
      <c r="CR553" s="551">
        <v>1947.8027716667225</v>
      </c>
      <c r="CS553" s="551">
        <v>98951.512046387594</v>
      </c>
      <c r="CT553" s="551">
        <v>370.78288261650715</v>
      </c>
      <c r="CU553" s="551">
        <v>35174.235878904619</v>
      </c>
      <c r="CV553" s="551"/>
      <c r="CW553" s="551">
        <v>180.19309907677962</v>
      </c>
      <c r="CX553" s="551">
        <v>13959.620100826965</v>
      </c>
      <c r="CY553" s="554"/>
    </row>
    <row r="554" spans="65:103" ht="12.75" customHeight="1" x14ac:dyDescent="0.3">
      <c r="BM554" s="562"/>
      <c r="BN554" s="591">
        <v>541</v>
      </c>
      <c r="BO554" s="549" t="s">
        <v>2956</v>
      </c>
      <c r="BP554" s="554" t="s">
        <v>618</v>
      </c>
      <c r="BQ554" s="553">
        <v>4.08</v>
      </c>
      <c r="BR554" s="551">
        <v>18301.750482695908</v>
      </c>
      <c r="BS554" s="551"/>
      <c r="BT554" s="551">
        <v>6178009.0931061627</v>
      </c>
      <c r="BU554" s="551">
        <v>284632.78677518631</v>
      </c>
      <c r="BV554" s="551">
        <v>1894819.4509903872</v>
      </c>
      <c r="BW554" s="551">
        <v>21920.055529340654</v>
      </c>
      <c r="BX554" s="551">
        <v>3818739.9472595658</v>
      </c>
      <c r="BY554" s="551">
        <v>29465227.621295925</v>
      </c>
      <c r="BZ554" s="551">
        <v>1414348.1286146534</v>
      </c>
      <c r="CA554" s="551">
        <v>4141.2072510081362</v>
      </c>
      <c r="CB554" s="551">
        <v>1.4113186333728564E-30</v>
      </c>
      <c r="CC554" s="551">
        <v>39070.355736946258</v>
      </c>
      <c r="CD554" s="551">
        <v>4023075.2772489609</v>
      </c>
      <c r="CE554" s="551">
        <v>11983.030275900481</v>
      </c>
      <c r="CF554" s="551">
        <v>15491.193842272887</v>
      </c>
      <c r="CG554" s="551">
        <v>447767.85306341131</v>
      </c>
      <c r="CH554" s="551">
        <v>1126931.4798138789</v>
      </c>
      <c r="CI554" s="551">
        <v>165839.9455790412</v>
      </c>
      <c r="CJ554" s="551">
        <v>139.25457103741411</v>
      </c>
      <c r="CK554" s="551">
        <v>1419527.5496074683</v>
      </c>
      <c r="CL554" s="551"/>
      <c r="CM554" s="551">
        <v>1099.7062286915948</v>
      </c>
      <c r="CN554" s="551">
        <v>54042.95157555124</v>
      </c>
      <c r="CO554" s="551">
        <v>4.6871172676528516</v>
      </c>
      <c r="CP554" s="551">
        <v>90034.716312132412</v>
      </c>
      <c r="CQ554" s="551"/>
      <c r="CR554" s="551">
        <v>80.460583341996795</v>
      </c>
      <c r="CS554" s="551">
        <v>1607.5575319578991</v>
      </c>
      <c r="CT554" s="551">
        <v>1.0141589634593768</v>
      </c>
      <c r="CU554" s="551">
        <v>16394.013649089073</v>
      </c>
      <c r="CV554" s="551"/>
      <c r="CW554" s="551">
        <v>10.150974924408217</v>
      </c>
      <c r="CX554" s="551">
        <v>224.22236197912449</v>
      </c>
      <c r="CY554" s="554"/>
    </row>
    <row r="555" spans="65:103" ht="12.75" customHeight="1" x14ac:dyDescent="0.3">
      <c r="BM555" s="562"/>
      <c r="BN555" s="591">
        <v>542</v>
      </c>
      <c r="BO555" s="549" t="s">
        <v>2960</v>
      </c>
      <c r="BP555" s="554" t="s">
        <v>618</v>
      </c>
      <c r="BQ555" s="553">
        <v>4.09</v>
      </c>
      <c r="BR555" s="551">
        <v>54919.281618118221</v>
      </c>
      <c r="BS555" s="551"/>
      <c r="BT555" s="551">
        <v>180463.91497654858</v>
      </c>
      <c r="BU555" s="551">
        <v>4046.4058869442943</v>
      </c>
      <c r="BV555" s="551">
        <v>29473902.21398852</v>
      </c>
      <c r="BW555" s="551">
        <v>309862.70883002231</v>
      </c>
      <c r="BX555" s="551">
        <v>739251.42904618732</v>
      </c>
      <c r="BY555" s="551">
        <v>9043219.3210689444</v>
      </c>
      <c r="BZ555" s="551">
        <v>273796.82557266194</v>
      </c>
      <c r="CA555" s="551">
        <v>71238.28753491168</v>
      </c>
      <c r="CB555" s="551">
        <v>3.3065895217774999E-30</v>
      </c>
      <c r="CC555" s="551">
        <v>1339.4893084008593</v>
      </c>
      <c r="CD555" s="551">
        <v>1326006.5821833722</v>
      </c>
      <c r="CE555" s="551">
        <v>218769.36947544606</v>
      </c>
      <c r="CF555" s="551">
        <v>5077098.0836040368</v>
      </c>
      <c r="CG555" s="551">
        <v>496911.7736359979</v>
      </c>
      <c r="CH555" s="551">
        <v>1104601.2208093626</v>
      </c>
      <c r="CI555" s="551">
        <v>184041.3976429622</v>
      </c>
      <c r="CJ555" s="551">
        <v>14767.840488733425</v>
      </c>
      <c r="CK555" s="551">
        <v>1878931.9388756175</v>
      </c>
      <c r="CL555" s="551"/>
      <c r="CM555" s="551">
        <v>1335615.2402784743</v>
      </c>
      <c r="CN555" s="551">
        <v>369731.50953113701</v>
      </c>
      <c r="CO555" s="551">
        <v>1696.2236275559439</v>
      </c>
      <c r="CP555" s="551">
        <v>324287.88858986512</v>
      </c>
      <c r="CQ555" s="551"/>
      <c r="CR555" s="551">
        <v>543413.69889546174</v>
      </c>
      <c r="CS555" s="551">
        <v>74146.385502807694</v>
      </c>
      <c r="CT555" s="551">
        <v>960.20107553867774</v>
      </c>
      <c r="CU555" s="551">
        <v>140394.33785679014</v>
      </c>
      <c r="CV555" s="551"/>
      <c r="CW555" s="551">
        <v>47973.34316641678</v>
      </c>
      <c r="CX555" s="551">
        <v>9952.6652127458947</v>
      </c>
      <c r="CY555" s="554"/>
    </row>
    <row r="556" spans="65:103" ht="12.75" customHeight="1" x14ac:dyDescent="0.3">
      <c r="BM556" s="562"/>
      <c r="BN556" s="591">
        <v>543</v>
      </c>
      <c r="BO556" s="549" t="s">
        <v>2958</v>
      </c>
      <c r="BP556" s="554" t="s">
        <v>618</v>
      </c>
      <c r="BQ556" s="553">
        <v>4.09</v>
      </c>
      <c r="BR556" s="551">
        <v>41960.450636848065</v>
      </c>
      <c r="BS556" s="551"/>
      <c r="BT556" s="551">
        <v>14589827.993977185</v>
      </c>
      <c r="BU556" s="551">
        <v>671726.748620386</v>
      </c>
      <c r="BV556" s="551">
        <v>501252.38737024966</v>
      </c>
      <c r="BW556" s="551">
        <v>6697.1846397903546</v>
      </c>
      <c r="BX556" s="551">
        <v>3226069.3394228891</v>
      </c>
      <c r="BY556" s="551">
        <v>41509269.250952616</v>
      </c>
      <c r="BZ556" s="551">
        <v>1194840.4960825506</v>
      </c>
      <c r="CA556" s="551">
        <v>10913.081747189221</v>
      </c>
      <c r="CB556" s="551">
        <v>3.3604982336400787E-30</v>
      </c>
      <c r="CC556" s="551">
        <v>267578.31794967724</v>
      </c>
      <c r="CD556" s="551">
        <v>9606022.134508701</v>
      </c>
      <c r="CE556" s="551">
        <v>9192.9987616138551</v>
      </c>
      <c r="CF556" s="551">
        <v>4788.6513393167397</v>
      </c>
      <c r="CG556" s="551">
        <v>434704.47822264431</v>
      </c>
      <c r="CH556" s="551">
        <v>1814852.8096068823</v>
      </c>
      <c r="CI556" s="551">
        <v>161001.6586009794</v>
      </c>
      <c r="CJ556" s="551">
        <v>424.71710533957304</v>
      </c>
      <c r="CK556" s="551">
        <v>3415704.8259442355</v>
      </c>
      <c r="CL556" s="551"/>
      <c r="CM556" s="551">
        <v>342.58499638312873</v>
      </c>
      <c r="CN556" s="551">
        <v>60722.565719241175</v>
      </c>
      <c r="CO556" s="551">
        <v>3.4786852037616089</v>
      </c>
      <c r="CP556" s="551">
        <v>218559.49814305533</v>
      </c>
      <c r="CQ556" s="551"/>
      <c r="CR556" s="551">
        <v>22.576338708911358</v>
      </c>
      <c r="CS556" s="551">
        <v>1762.0955429191613</v>
      </c>
      <c r="CT556" s="551">
        <v>8.3336698169580181</v>
      </c>
      <c r="CU556" s="551">
        <v>39705.05237899832</v>
      </c>
      <c r="CV556" s="551"/>
      <c r="CW556" s="551">
        <v>3.7753927055707726</v>
      </c>
      <c r="CX556" s="551">
        <v>318.9996797457228</v>
      </c>
      <c r="CY556" s="554"/>
    </row>
    <row r="557" spans="65:103" ht="12.75" customHeight="1" x14ac:dyDescent="0.3">
      <c r="BM557" s="562"/>
      <c r="BN557" s="591">
        <v>544</v>
      </c>
      <c r="BO557" s="549" t="s">
        <v>2964</v>
      </c>
      <c r="BP557" s="554" t="s">
        <v>618</v>
      </c>
      <c r="BQ557" s="553">
        <v>4.0999999999999996</v>
      </c>
      <c r="BR557" s="551">
        <v>429238.59744425386</v>
      </c>
      <c r="BS557" s="551"/>
      <c r="BT557" s="551">
        <v>11707540.427750003</v>
      </c>
      <c r="BU557" s="551">
        <v>453293.97667481471</v>
      </c>
      <c r="BV557" s="551">
        <v>115987.14654411082</v>
      </c>
      <c r="BW557" s="551">
        <v>1360.9868896596186</v>
      </c>
      <c r="BX557" s="551">
        <v>279468.45046898222</v>
      </c>
      <c r="BY557" s="551">
        <v>14283093.272226745</v>
      </c>
      <c r="BZ557" s="551">
        <v>103506.83350703045</v>
      </c>
      <c r="CA557" s="551">
        <v>498867.71919050836</v>
      </c>
      <c r="CB557" s="551">
        <v>3.0990099250060078E-29</v>
      </c>
      <c r="CC557" s="551">
        <v>334118.72999377333</v>
      </c>
      <c r="CD557" s="551">
        <v>5905014.6617893362</v>
      </c>
      <c r="CE557" s="551">
        <v>3310.1297696195752</v>
      </c>
      <c r="CF557" s="551">
        <v>886.47190912360884</v>
      </c>
      <c r="CG557" s="551">
        <v>171331.31554751322</v>
      </c>
      <c r="CH557" s="551">
        <v>888804.19712833385</v>
      </c>
      <c r="CI557" s="551">
        <v>63456.042795375273</v>
      </c>
      <c r="CJ557" s="551">
        <v>91704.539298790158</v>
      </c>
      <c r="CK557" s="551">
        <v>1423383.1975222817</v>
      </c>
      <c r="CL557" s="551"/>
      <c r="CM557" s="551">
        <v>42.416449747535523</v>
      </c>
      <c r="CN557" s="551">
        <v>113043.56258453237</v>
      </c>
      <c r="CO557" s="551">
        <v>4376.1676573586001</v>
      </c>
      <c r="CP557" s="551">
        <v>284731.3422732859</v>
      </c>
      <c r="CQ557" s="551"/>
      <c r="CR557" s="551">
        <v>8.9187186390325515</v>
      </c>
      <c r="CS557" s="551">
        <v>18432.315402643228</v>
      </c>
      <c r="CT557" s="551">
        <v>7499.8367048688424</v>
      </c>
      <c r="CU557" s="551">
        <v>44704.082068115313</v>
      </c>
      <c r="CV557" s="551"/>
      <c r="CW557" s="551">
        <v>1.217804904695271</v>
      </c>
      <c r="CX557" s="551">
        <v>2564.0710737921922</v>
      </c>
      <c r="CY557" s="554"/>
    </row>
    <row r="558" spans="65:103" ht="12.75" customHeight="1" x14ac:dyDescent="0.3">
      <c r="BM558" s="562"/>
      <c r="BN558" s="591">
        <v>545</v>
      </c>
      <c r="BO558" s="549" t="s">
        <v>2962</v>
      </c>
      <c r="BP558" s="554" t="s">
        <v>618</v>
      </c>
      <c r="BQ558" s="553">
        <v>4.0999999999999996</v>
      </c>
      <c r="BR558" s="551">
        <v>185.54670186617565</v>
      </c>
      <c r="BS558" s="551"/>
      <c r="BT558" s="551">
        <v>13538521.471427871</v>
      </c>
      <c r="BU558" s="551">
        <v>574947.06269957009</v>
      </c>
      <c r="BV558" s="551">
        <v>113188.25598323724</v>
      </c>
      <c r="BW558" s="551">
        <v>1463.183629526859</v>
      </c>
      <c r="BX558" s="551">
        <v>694414.76235194074</v>
      </c>
      <c r="BY558" s="551">
        <v>12036772.426611893</v>
      </c>
      <c r="BZ558" s="551">
        <v>257190.65272294098</v>
      </c>
      <c r="CA558" s="551">
        <v>0.14321122313003548</v>
      </c>
      <c r="CB558" s="551">
        <v>1.4910990101616261E-32</v>
      </c>
      <c r="CC558" s="551">
        <v>1215.2370806874644</v>
      </c>
      <c r="CD558" s="551">
        <v>3198096.7758620968</v>
      </c>
      <c r="CE558" s="551">
        <v>10.159939994885393</v>
      </c>
      <c r="CF558" s="551">
        <v>406.94206055359905</v>
      </c>
      <c r="CG558" s="551">
        <v>277.74180240279327</v>
      </c>
      <c r="CH558" s="551">
        <v>1799.8035171259357</v>
      </c>
      <c r="CI558" s="551">
        <v>102.86733422325673</v>
      </c>
      <c r="CJ558" s="551">
        <v>1.6521032483975399E-5</v>
      </c>
      <c r="CK558" s="551">
        <v>453100.65399644885</v>
      </c>
      <c r="CL558" s="551"/>
      <c r="CM558" s="551">
        <v>11.529390434134129</v>
      </c>
      <c r="CN558" s="551">
        <v>0.11500190541967208</v>
      </c>
      <c r="CO558" s="551">
        <v>2.0041060330233612E-9</v>
      </c>
      <c r="CP558" s="551">
        <v>11977.480497210965</v>
      </c>
      <c r="CQ558" s="551"/>
      <c r="CR558" s="551">
        <v>0.31266984591925845</v>
      </c>
      <c r="CS558" s="551">
        <v>4.3591952633558711E-5</v>
      </c>
      <c r="CT558" s="551">
        <v>3.9511563698455133E-9</v>
      </c>
      <c r="CU558" s="551">
        <v>2059.9488318456379</v>
      </c>
      <c r="CV558" s="551"/>
      <c r="CW558" s="551">
        <v>5.0007422952790412E-2</v>
      </c>
      <c r="CX558" s="551">
        <v>7.9602826955374452E-6</v>
      </c>
      <c r="CY558" s="554"/>
    </row>
    <row r="559" spans="65:103" ht="12.75" customHeight="1" x14ac:dyDescent="0.3">
      <c r="BM559" s="562"/>
      <c r="BN559" s="591">
        <v>546</v>
      </c>
      <c r="BO559" s="549" t="s">
        <v>2966</v>
      </c>
      <c r="BP559" s="554" t="s">
        <v>618</v>
      </c>
      <c r="BQ559" s="553">
        <v>4.17</v>
      </c>
      <c r="BR559" s="551">
        <v>4830.6561723775394</v>
      </c>
      <c r="BS559" s="551"/>
      <c r="BT559" s="551">
        <v>8793479.0226150099</v>
      </c>
      <c r="BU559" s="551">
        <v>405511.62830720044</v>
      </c>
      <c r="BV559" s="551">
        <v>345398.16865766211</v>
      </c>
      <c r="BW559" s="551">
        <v>4588.0311339403252</v>
      </c>
      <c r="BX559" s="551">
        <v>1712582.7257967764</v>
      </c>
      <c r="BY559" s="551">
        <v>13911001.611321446</v>
      </c>
      <c r="BZ559" s="551">
        <v>634289.89844325068</v>
      </c>
      <c r="CA559" s="551">
        <v>196.32813568977622</v>
      </c>
      <c r="CB559" s="551">
        <v>3.8535059469817219E-31</v>
      </c>
      <c r="CC559" s="551">
        <v>18830.847341102988</v>
      </c>
      <c r="CD559" s="551">
        <v>4930741.7623646231</v>
      </c>
      <c r="CE559" s="551">
        <v>739.65493852452175</v>
      </c>
      <c r="CF559" s="551">
        <v>2789.3647358012126</v>
      </c>
      <c r="CG559" s="551">
        <v>36068.365776550105</v>
      </c>
      <c r="CH559" s="551">
        <v>106829.27723190437</v>
      </c>
      <c r="CI559" s="551">
        <v>13358.653991314852</v>
      </c>
      <c r="CJ559" s="551">
        <v>1.1731204588326214</v>
      </c>
      <c r="CK559" s="551">
        <v>1700730.8085514123</v>
      </c>
      <c r="CL559" s="551"/>
      <c r="CM559" s="551">
        <v>193.57387835005107</v>
      </c>
      <c r="CN559" s="551">
        <v>773.55319971886058</v>
      </c>
      <c r="CO559" s="551">
        <v>7.933746683864951E-3</v>
      </c>
      <c r="CP559" s="551">
        <v>106019.92042336552</v>
      </c>
      <c r="CQ559" s="551"/>
      <c r="CR559" s="551">
        <v>12.46888628724208</v>
      </c>
      <c r="CS559" s="551">
        <v>3.8161603552706826</v>
      </c>
      <c r="CT559" s="551">
        <v>1.4832535395718747E-3</v>
      </c>
      <c r="CU559" s="551">
        <v>19273.940998421756</v>
      </c>
      <c r="CV559" s="551"/>
      <c r="CW559" s="551">
        <v>2.0679140394720985</v>
      </c>
      <c r="CX559" s="551">
        <v>0.58589771458043927</v>
      </c>
      <c r="CY559" s="554"/>
    </row>
    <row r="560" spans="65:103" ht="12.75" customHeight="1" x14ac:dyDescent="0.3">
      <c r="BM560" s="562"/>
      <c r="BN560" s="591">
        <v>547</v>
      </c>
      <c r="BO560" s="549" t="s">
        <v>2968</v>
      </c>
      <c r="BP560" s="554" t="s">
        <v>618</v>
      </c>
      <c r="BQ560" s="553">
        <v>4.21</v>
      </c>
      <c r="BR560" s="551">
        <v>3.1310790728671885</v>
      </c>
      <c r="BS560" s="551"/>
      <c r="BT560" s="551">
        <v>9175841.2813712135</v>
      </c>
      <c r="BU560" s="551">
        <v>357360.20772898209</v>
      </c>
      <c r="BV560" s="551">
        <v>82388.00697305506</v>
      </c>
      <c r="BW560" s="551">
        <v>974.63588723437954</v>
      </c>
      <c r="BX560" s="551">
        <v>945318.4605770515</v>
      </c>
      <c r="BY560" s="551">
        <v>12926504.645075735</v>
      </c>
      <c r="BZ560" s="551">
        <v>350117.94836187089</v>
      </c>
      <c r="CA560" s="551">
        <v>3.4393142220233041E-5</v>
      </c>
      <c r="CB560" s="551">
        <v>2.5159298255630689E-34</v>
      </c>
      <c r="CC560" s="551">
        <v>10.282804542887799</v>
      </c>
      <c r="CD560" s="551">
        <v>1212576.8554714061</v>
      </c>
      <c r="CE560" s="551">
        <v>9.2327204275203245E-2</v>
      </c>
      <c r="CF560" s="551">
        <v>165.35429712260066</v>
      </c>
      <c r="CG560" s="551">
        <v>5.3808941615741617</v>
      </c>
      <c r="CH560" s="551">
        <v>27.516918812325272</v>
      </c>
      <c r="CI560" s="551">
        <v>1.9929237635459858</v>
      </c>
      <c r="CJ560" s="551">
        <v>5.9543017272058694E-11</v>
      </c>
      <c r="CK560" s="551">
        <v>100109.73081219224</v>
      </c>
      <c r="CL560" s="551"/>
      <c r="CM560" s="551">
        <v>2.7098871343989273</v>
      </c>
      <c r="CN560" s="551">
        <v>3.3436213363125219E-5</v>
      </c>
      <c r="CO560" s="551">
        <v>5.6127553553375552E-14</v>
      </c>
      <c r="CP560" s="551">
        <v>1556.0170014652044</v>
      </c>
      <c r="CQ560" s="551"/>
      <c r="CR560" s="551">
        <v>4.4127906959359704E-2</v>
      </c>
      <c r="CS560" s="551">
        <v>2.3606403252735572E-8</v>
      </c>
      <c r="CT560" s="551">
        <v>1.3278305727207084E-14</v>
      </c>
      <c r="CU560" s="551">
        <v>263.33232452856845</v>
      </c>
      <c r="CV560" s="551"/>
      <c r="CW560" s="551">
        <v>6.5527955473048041E-3</v>
      </c>
      <c r="CX560" s="551">
        <v>3.6500688863160657E-9</v>
      </c>
      <c r="CY560" s="554"/>
    </row>
    <row r="561" spans="65:103" ht="12.75" customHeight="1" x14ac:dyDescent="0.3">
      <c r="BM561" s="562"/>
      <c r="BN561" s="591">
        <v>548</v>
      </c>
      <c r="BO561" s="549" t="s">
        <v>2970</v>
      </c>
      <c r="BP561" s="554" t="s">
        <v>618</v>
      </c>
      <c r="BQ561" s="553">
        <v>4.2300000000000004</v>
      </c>
      <c r="BR561" s="551">
        <v>7789.2384293774803</v>
      </c>
      <c r="BS561" s="551"/>
      <c r="BT561" s="551">
        <v>6838365.2026759982</v>
      </c>
      <c r="BU561" s="551">
        <v>291234.64572914352</v>
      </c>
      <c r="BV561" s="551">
        <v>408426.89006144577</v>
      </c>
      <c r="BW561" s="551">
        <v>4815.3121535325854</v>
      </c>
      <c r="BX561" s="551">
        <v>3468501.8136489233</v>
      </c>
      <c r="BY561" s="551">
        <v>29777386.834054869</v>
      </c>
      <c r="BZ561" s="551">
        <v>1284630.3013514527</v>
      </c>
      <c r="CA561" s="551">
        <v>344.84616360238067</v>
      </c>
      <c r="CB561" s="551">
        <v>5.5583399330757615E-31</v>
      </c>
      <c r="CC561" s="551">
        <v>13536.991540650877</v>
      </c>
      <c r="CD561" s="551">
        <v>1748532.7812082523</v>
      </c>
      <c r="CE561" s="551">
        <v>808.50776345968984</v>
      </c>
      <c r="CF561" s="551">
        <v>1445.5236139784031</v>
      </c>
      <c r="CG561" s="551">
        <v>79574.058038240168</v>
      </c>
      <c r="CH561" s="551">
        <v>230240.97213655442</v>
      </c>
      <c r="CI561" s="551">
        <v>29471.873347496348</v>
      </c>
      <c r="CJ561" s="551">
        <v>2.2466194716485219</v>
      </c>
      <c r="CK561" s="551">
        <v>248843.76051825812</v>
      </c>
      <c r="CL561" s="551"/>
      <c r="CM561" s="551">
        <v>41.137935895763398</v>
      </c>
      <c r="CN561" s="551">
        <v>1860.7125271164014</v>
      </c>
      <c r="CO561" s="551">
        <v>3.8434058967509628E-3</v>
      </c>
      <c r="CP561" s="551">
        <v>6589.5236039351776</v>
      </c>
      <c r="CQ561" s="551"/>
      <c r="CR561" s="551">
        <v>1.2220804776519882</v>
      </c>
      <c r="CS561" s="551">
        <v>10.714559964598152</v>
      </c>
      <c r="CT561" s="551">
        <v>7.1100842769628546E-3</v>
      </c>
      <c r="CU561" s="551">
        <v>1133.1922708607647</v>
      </c>
      <c r="CV561" s="551"/>
      <c r="CW561" s="551">
        <v>0.15513301351422543</v>
      </c>
      <c r="CX561" s="551">
        <v>1.4870318263626783</v>
      </c>
      <c r="CY561" s="554"/>
    </row>
    <row r="562" spans="65:103" ht="12.75" customHeight="1" x14ac:dyDescent="0.3">
      <c r="BM562" s="562"/>
      <c r="BN562" s="591">
        <v>549</v>
      </c>
      <c r="BO562" s="549" t="s">
        <v>2974</v>
      </c>
      <c r="BP562" s="554" t="s">
        <v>618</v>
      </c>
      <c r="BQ562" s="553">
        <v>4.26</v>
      </c>
      <c r="BR562" s="551">
        <v>14.121939311045521</v>
      </c>
      <c r="BS562" s="551"/>
      <c r="BT562" s="551">
        <v>9850413.8077739794</v>
      </c>
      <c r="BU562" s="551">
        <v>419422.40904516197</v>
      </c>
      <c r="BV562" s="551">
        <v>164839.4279993347</v>
      </c>
      <c r="BW562" s="551">
        <v>2096.914074970869</v>
      </c>
      <c r="BX562" s="551">
        <v>2003629.5484325301</v>
      </c>
      <c r="BY562" s="551">
        <v>21842806.735286664</v>
      </c>
      <c r="BZ562" s="551">
        <v>742085.01793797431</v>
      </c>
      <c r="CA562" s="551">
        <v>9.131446779438114E-4</v>
      </c>
      <c r="CB562" s="551">
        <v>1.1347364174101398E-33</v>
      </c>
      <c r="CC562" s="551">
        <v>54.378598404295005</v>
      </c>
      <c r="CD562" s="551">
        <v>2330565.3309622328</v>
      </c>
      <c r="CE562" s="551">
        <v>0.90998583727470539</v>
      </c>
      <c r="CF562" s="551">
        <v>582.58633059918725</v>
      </c>
      <c r="CG562" s="551">
        <v>67.136882361630711</v>
      </c>
      <c r="CH562" s="551">
        <v>273.70170657176817</v>
      </c>
      <c r="CI562" s="551">
        <v>24.865511985789158</v>
      </c>
      <c r="CJ562" s="551">
        <v>9.077623831106861E-9</v>
      </c>
      <c r="CK562" s="551">
        <v>330194.73541303026</v>
      </c>
      <c r="CL562" s="551"/>
      <c r="CM562" s="551">
        <v>16.505881007274152</v>
      </c>
      <c r="CN562" s="551">
        <v>2.3955068392281509E-3</v>
      </c>
      <c r="CO562" s="551">
        <v>9.8019469721005152E-12</v>
      </c>
      <c r="CP562" s="551">
        <v>8728.6501926043165</v>
      </c>
      <c r="CQ562" s="551"/>
      <c r="CR562" s="551">
        <v>0.45514139270071152</v>
      </c>
      <c r="CS562" s="551">
        <v>2.0475475081847686E-6</v>
      </c>
      <c r="CT562" s="551">
        <v>2.3132397751126228E-12</v>
      </c>
      <c r="CU562" s="551">
        <v>1501.1998251366444</v>
      </c>
      <c r="CV562" s="551"/>
      <c r="CW562" s="551">
        <v>6.9553519742259706E-2</v>
      </c>
      <c r="CX562" s="551">
        <v>2.8907012394930074E-7</v>
      </c>
      <c r="CY562" s="554"/>
    </row>
    <row r="563" spans="65:103" ht="12.75" customHeight="1" x14ac:dyDescent="0.3">
      <c r="BM563" s="562"/>
      <c r="BN563" s="591">
        <v>550</v>
      </c>
      <c r="BO563" s="549" t="s">
        <v>2972</v>
      </c>
      <c r="BP563" s="554" t="s">
        <v>618</v>
      </c>
      <c r="BQ563" s="553">
        <v>4.26</v>
      </c>
      <c r="BR563" s="551">
        <v>859689.01013401779</v>
      </c>
      <c r="BS563" s="551"/>
      <c r="BT563" s="551">
        <v>2293377.6351492079</v>
      </c>
      <c r="BU563" s="551">
        <v>76141.960919679492</v>
      </c>
      <c r="BV563" s="551">
        <v>19420.575864783706</v>
      </c>
      <c r="BW563" s="551">
        <v>196.36370604166854</v>
      </c>
      <c r="BX563" s="551">
        <v>4.5702696951348392</v>
      </c>
      <c r="BY563" s="551">
        <v>82733800.390272662</v>
      </c>
      <c r="BZ563" s="551">
        <v>1.6926924796795704</v>
      </c>
      <c r="CA563" s="551">
        <v>1697115.9557584343</v>
      </c>
      <c r="CB563" s="551">
        <v>4.5787878879999453E-33</v>
      </c>
      <c r="CC563" s="551">
        <v>3.9834759173007503</v>
      </c>
      <c r="CD563" s="551">
        <v>1260970.5576370028</v>
      </c>
      <c r="CE563" s="551">
        <v>3.3732515339735966E-2</v>
      </c>
      <c r="CF563" s="551">
        <v>162.59684470710471</v>
      </c>
      <c r="CG563" s="551">
        <v>3.4542233026996949</v>
      </c>
      <c r="CH563" s="551">
        <v>24.369078386875458</v>
      </c>
      <c r="CI563" s="551">
        <v>1.2793419639628492</v>
      </c>
      <c r="CJ563" s="551">
        <v>563763.80318686855</v>
      </c>
      <c r="CK563" s="551">
        <v>1247298.9471221624</v>
      </c>
      <c r="CL563" s="551"/>
      <c r="CM563" s="551">
        <v>32.45877145682573</v>
      </c>
      <c r="CN563" s="551">
        <v>4.1185063196847871</v>
      </c>
      <c r="CO563" s="551">
        <v>64429.139199303019</v>
      </c>
      <c r="CP563" s="551">
        <v>129744.59081709452</v>
      </c>
      <c r="CQ563" s="551"/>
      <c r="CR563" s="551">
        <v>3.3856937495991684</v>
      </c>
      <c r="CS563" s="551">
        <v>1.0180856670443716</v>
      </c>
      <c r="CT563" s="551">
        <v>94895.426232434635</v>
      </c>
      <c r="CU563" s="551">
        <v>50588.377363539541</v>
      </c>
      <c r="CV563" s="551"/>
      <c r="CW563" s="551">
        <v>1.3096969494509416</v>
      </c>
      <c r="CX563" s="551">
        <v>0.31626911403621055</v>
      </c>
      <c r="CY563" s="554"/>
    </row>
    <row r="564" spans="65:103" ht="12.75" customHeight="1" x14ac:dyDescent="0.3">
      <c r="BM564" s="562"/>
      <c r="BN564" s="591">
        <v>551</v>
      </c>
      <c r="BO564" s="549" t="s">
        <v>2976</v>
      </c>
      <c r="BP564" s="554" t="s">
        <v>618</v>
      </c>
      <c r="BQ564" s="553">
        <v>4.3</v>
      </c>
      <c r="BR564" s="551">
        <v>548.74196892013197</v>
      </c>
      <c r="BS564" s="551"/>
      <c r="BT564" s="551">
        <v>9952103.5953139476</v>
      </c>
      <c r="BU564" s="551">
        <v>424306.45643906825</v>
      </c>
      <c r="BV564" s="551">
        <v>278235.47761246224</v>
      </c>
      <c r="BW564" s="551">
        <v>3464.0491610397671</v>
      </c>
      <c r="BX564" s="551">
        <v>3219490.4641187158</v>
      </c>
      <c r="BY564" s="551">
        <v>28345167.671458736</v>
      </c>
      <c r="BZ564" s="551">
        <v>1192403.8755995249</v>
      </c>
      <c r="CA564" s="551">
        <v>1.2372290988906853</v>
      </c>
      <c r="CB564" s="551">
        <v>4.4031935482981106E-32</v>
      </c>
      <c r="CC564" s="551">
        <v>1471.2339347302379</v>
      </c>
      <c r="CD564" s="551">
        <v>2367878.5807993878</v>
      </c>
      <c r="CE564" s="551">
        <v>41.131954926803253</v>
      </c>
      <c r="CF564" s="551">
        <v>966.5711759491046</v>
      </c>
      <c r="CG564" s="551">
        <v>3761.5564400797084</v>
      </c>
      <c r="CH564" s="551">
        <v>12357.716098729454</v>
      </c>
      <c r="CI564" s="551">
        <v>1393.169051881373</v>
      </c>
      <c r="CJ564" s="551">
        <v>4.1109797143795744E-4</v>
      </c>
      <c r="CK564" s="551">
        <v>335492.67977636249</v>
      </c>
      <c r="CL564" s="551"/>
      <c r="CM564" s="551">
        <v>27.385808968621699</v>
      </c>
      <c r="CN564" s="551">
        <v>4.4860741309403593</v>
      </c>
      <c r="CO564" s="551">
        <v>4.5733119054106597E-8</v>
      </c>
      <c r="CP564" s="551">
        <v>8868.8746006196525</v>
      </c>
      <c r="CQ564" s="551"/>
      <c r="CR564" s="551">
        <v>0.77110013304686142</v>
      </c>
      <c r="CS564" s="551">
        <v>1.5844575662224887E-3</v>
      </c>
      <c r="CT564" s="551">
        <v>8.5317662351288295E-8</v>
      </c>
      <c r="CU564" s="551">
        <v>1525.3189994433694</v>
      </c>
      <c r="CV564" s="551"/>
      <c r="CW564" s="551">
        <v>0.11148737588984653</v>
      </c>
      <c r="CX564" s="551">
        <v>2.4280740973697693E-4</v>
      </c>
      <c r="CY564" s="554"/>
    </row>
    <row r="565" spans="65:103" ht="12.75" customHeight="1" x14ac:dyDescent="0.3">
      <c r="BM565" s="562"/>
      <c r="BN565" s="591">
        <v>552</v>
      </c>
      <c r="BO565" s="549" t="s">
        <v>2978</v>
      </c>
      <c r="BP565" s="554" t="s">
        <v>618</v>
      </c>
      <c r="BQ565" s="553">
        <v>4.3099999999999996</v>
      </c>
      <c r="BR565" s="551">
        <v>96192.55195417667</v>
      </c>
      <c r="BS565" s="551"/>
      <c r="BT565" s="551">
        <v>10493514.217149757</v>
      </c>
      <c r="BU565" s="551">
        <v>482672.59336988081</v>
      </c>
      <c r="BV565" s="551">
        <v>593066.74755639303</v>
      </c>
      <c r="BW565" s="551">
        <v>7679.9317467342589</v>
      </c>
      <c r="BX565" s="551">
        <v>469281.19851309969</v>
      </c>
      <c r="BY565" s="551">
        <v>5184251.2592261555</v>
      </c>
      <c r="BZ565" s="551">
        <v>173807.85130114801</v>
      </c>
      <c r="CA565" s="551">
        <v>81281.716737471768</v>
      </c>
      <c r="CB565" s="551">
        <v>7.527622314573715E-30</v>
      </c>
      <c r="CC565" s="551">
        <v>135825.91761266234</v>
      </c>
      <c r="CD565" s="551">
        <v>9319696.5686573926</v>
      </c>
      <c r="CE565" s="551">
        <v>7676.535574779472</v>
      </c>
      <c r="CF565" s="551">
        <v>7414.4082894627199</v>
      </c>
      <c r="CG565" s="551">
        <v>204748.2550910392</v>
      </c>
      <c r="CH565" s="551">
        <v>498609.14025718666</v>
      </c>
      <c r="CI565" s="551">
        <v>75832.687070755244</v>
      </c>
      <c r="CJ565" s="551">
        <v>10630.120810616678</v>
      </c>
      <c r="CK565" s="551">
        <v>3861829.6892689243</v>
      </c>
      <c r="CL565" s="551"/>
      <c r="CM565" s="551">
        <v>618.13754343263622</v>
      </c>
      <c r="CN565" s="551">
        <v>96110.137206093481</v>
      </c>
      <c r="CO565" s="551">
        <v>319.7895069422442</v>
      </c>
      <c r="CP565" s="551">
        <v>363694.6161455253</v>
      </c>
      <c r="CQ565" s="551"/>
      <c r="CR565" s="551">
        <v>60.810677572905874</v>
      </c>
      <c r="CS565" s="551">
        <v>12856.59547627376</v>
      </c>
      <c r="CT565" s="551">
        <v>694.2588718842386</v>
      </c>
      <c r="CU565" s="551">
        <v>67244.660477230442</v>
      </c>
      <c r="CV565" s="551"/>
      <c r="CW565" s="551">
        <v>9.9607655976329301</v>
      </c>
      <c r="CX565" s="551">
        <v>1479.1331159275444</v>
      </c>
      <c r="CY565" s="554"/>
    </row>
    <row r="566" spans="65:103" ht="12.75" customHeight="1" x14ac:dyDescent="0.3">
      <c r="BM566" s="562"/>
      <c r="BN566" s="591">
        <v>553</v>
      </c>
      <c r="BO566" s="549" t="s">
        <v>2980</v>
      </c>
      <c r="BP566" s="554" t="s">
        <v>618</v>
      </c>
      <c r="BQ566" s="553">
        <v>4.34</v>
      </c>
      <c r="BR566" s="551">
        <v>104842.66720543349</v>
      </c>
      <c r="BS566" s="551"/>
      <c r="BT566" s="551">
        <v>10166998.410131287</v>
      </c>
      <c r="BU566" s="551">
        <v>466295.99879313004</v>
      </c>
      <c r="BV566" s="551">
        <v>1649333.3829884981</v>
      </c>
      <c r="BW566" s="551">
        <v>19685.418706229531</v>
      </c>
      <c r="BX566" s="551">
        <v>6149583.6483252859</v>
      </c>
      <c r="BY566" s="551">
        <v>140943876.62438595</v>
      </c>
      <c r="BZ566" s="551">
        <v>2277623.5734538087</v>
      </c>
      <c r="CA566" s="551">
        <v>142359.36860532212</v>
      </c>
      <c r="CB566" s="551">
        <v>6.9627749426072487E-30</v>
      </c>
      <c r="CC566" s="551">
        <v>549260.41909143596</v>
      </c>
      <c r="CD566" s="551">
        <v>9095129.0672368053</v>
      </c>
      <c r="CE566" s="551">
        <v>89103.342856730131</v>
      </c>
      <c r="CF566" s="551">
        <v>19198.258653210767</v>
      </c>
      <c r="CG566" s="551">
        <v>4130639.5078464481</v>
      </c>
      <c r="CH566" s="551">
        <v>20192370.654279795</v>
      </c>
      <c r="CI566" s="551">
        <v>1529866.4843875733</v>
      </c>
      <c r="CJ566" s="551">
        <v>31673.84526337195</v>
      </c>
      <c r="CK566" s="551">
        <v>4383831.3675288092</v>
      </c>
      <c r="CL566" s="551"/>
      <c r="CM566" s="551">
        <v>1861.7410797746875</v>
      </c>
      <c r="CN566" s="551">
        <v>3298645.8218686255</v>
      </c>
      <c r="CO566" s="551">
        <v>3741.732898443378</v>
      </c>
      <c r="CP566" s="551">
        <v>621239.2379642314</v>
      </c>
      <c r="CQ566" s="551"/>
      <c r="CR566" s="551">
        <v>290.14572396667569</v>
      </c>
      <c r="CS566" s="551">
        <v>499264.87536032527</v>
      </c>
      <c r="CT566" s="551">
        <v>2281.8761250631023</v>
      </c>
      <c r="CU566" s="551">
        <v>123970.02125712649</v>
      </c>
      <c r="CV566" s="551"/>
      <c r="CW566" s="551">
        <v>44.954911121397124</v>
      </c>
      <c r="CX566" s="551">
        <v>109899.86723228288</v>
      </c>
      <c r="CY566" s="554"/>
    </row>
    <row r="567" spans="65:103" ht="12.75" customHeight="1" x14ac:dyDescent="0.3">
      <c r="BM567" s="562"/>
      <c r="BN567" s="591">
        <v>554</v>
      </c>
      <c r="BO567" s="549" t="s">
        <v>2982</v>
      </c>
      <c r="BP567" s="554" t="s">
        <v>618</v>
      </c>
      <c r="BQ567" s="553">
        <v>4.3600000000000003</v>
      </c>
      <c r="BR567" s="551">
        <v>571.96537283853252</v>
      </c>
      <c r="BS567" s="551"/>
      <c r="BT567" s="551">
        <v>8514625.4225958474</v>
      </c>
      <c r="BU567" s="551">
        <v>392902.39430429117</v>
      </c>
      <c r="BV567" s="551">
        <v>2267367.157417485</v>
      </c>
      <c r="BW567" s="551">
        <v>26422.559446488893</v>
      </c>
      <c r="BX567" s="551">
        <v>6196359.4072358524</v>
      </c>
      <c r="BY567" s="551">
        <v>42432142.669318065</v>
      </c>
      <c r="BZ567" s="551">
        <v>2294947.9286058713</v>
      </c>
      <c r="CA567" s="551">
        <v>2.542164548804664</v>
      </c>
      <c r="CB567" s="551">
        <v>4.5924566225871663E-32</v>
      </c>
      <c r="CC567" s="551">
        <v>1359.2226963081789</v>
      </c>
      <c r="CD567" s="551">
        <v>4611344.3860912807</v>
      </c>
      <c r="CE567" s="551">
        <v>361.94861761588118</v>
      </c>
      <c r="CF567" s="551">
        <v>15505.5712227813</v>
      </c>
      <c r="CG567" s="551">
        <v>14271.479991998565</v>
      </c>
      <c r="CH567" s="551">
        <v>36443.037202734697</v>
      </c>
      <c r="CI567" s="551">
        <v>5285.7333303698379</v>
      </c>
      <c r="CJ567" s="551">
        <v>1.6679501603928328E-3</v>
      </c>
      <c r="CK567" s="551">
        <v>1589568.9528345368</v>
      </c>
      <c r="CL567" s="551"/>
      <c r="CM567" s="551">
        <v>1075.3441871314876</v>
      </c>
      <c r="CN567" s="551">
        <v>33.608728296975784</v>
      </c>
      <c r="CO567" s="551">
        <v>1.4289891504958029E-6</v>
      </c>
      <c r="CP567" s="551">
        <v>99110.634139649963</v>
      </c>
      <c r="CQ567" s="551"/>
      <c r="CR567" s="551">
        <v>76.447177014319223</v>
      </c>
      <c r="CS567" s="551">
        <v>3.1112074678039676E-2</v>
      </c>
      <c r="CT567" s="551">
        <v>4.910935092453106E-7</v>
      </c>
      <c r="CU567" s="551">
        <v>18018.885764631712</v>
      </c>
      <c r="CV567" s="551"/>
      <c r="CW567" s="551">
        <v>9.894620250996768</v>
      </c>
      <c r="CX567" s="551">
        <v>3.8430023382786788E-3</v>
      </c>
      <c r="CY567" s="554"/>
    </row>
    <row r="568" spans="65:103" ht="12.75" customHeight="1" x14ac:dyDescent="0.3">
      <c r="BM568" s="562"/>
      <c r="BN568" s="591">
        <v>555</v>
      </c>
      <c r="BO568" s="549" t="s">
        <v>2984</v>
      </c>
      <c r="BP568" s="554" t="s">
        <v>618</v>
      </c>
      <c r="BQ568" s="553">
        <v>4.4000000000000004</v>
      </c>
      <c r="BR568" s="551">
        <v>151711.63464495348</v>
      </c>
      <c r="BS568" s="551"/>
      <c r="BT568" s="551">
        <v>10230358.762715496</v>
      </c>
      <c r="BU568" s="551">
        <v>468376.13063182612</v>
      </c>
      <c r="BV568" s="551">
        <v>5764540.8008073475</v>
      </c>
      <c r="BW568" s="551">
        <v>66084.958073357615</v>
      </c>
      <c r="BX568" s="551">
        <v>1981220.0666212358</v>
      </c>
      <c r="BY568" s="551">
        <v>43772522.31869749</v>
      </c>
      <c r="BZ568" s="551">
        <v>733785.20985971647</v>
      </c>
      <c r="CA568" s="551">
        <v>190433.47829371228</v>
      </c>
      <c r="CB568" s="551">
        <v>9.3429314661075151E-30</v>
      </c>
      <c r="CC568" s="551">
        <v>129634.63441603327</v>
      </c>
      <c r="CD568" s="551">
        <v>10005919.187302686</v>
      </c>
      <c r="CE568" s="551">
        <v>73045.741270818573</v>
      </c>
      <c r="CF568" s="551">
        <v>70588.6473213641</v>
      </c>
      <c r="CG568" s="551">
        <v>1303238.3106084412</v>
      </c>
      <c r="CH568" s="551">
        <v>3403186.9764199234</v>
      </c>
      <c r="CI568" s="551">
        <v>482680.85578090418</v>
      </c>
      <c r="CJ568" s="551">
        <v>38162.030463183684</v>
      </c>
      <c r="CK568" s="551">
        <v>4675790.3913902007</v>
      </c>
      <c r="CL568" s="551"/>
      <c r="CM568" s="551">
        <v>6636.320673458089</v>
      </c>
      <c r="CN568" s="551">
        <v>937379.96629257186</v>
      </c>
      <c r="CO568" s="551">
        <v>2076.5738545587101</v>
      </c>
      <c r="CP568" s="551">
        <v>668091.47115999507</v>
      </c>
      <c r="CQ568" s="551"/>
      <c r="CR568" s="551">
        <v>1156.6024245483643</v>
      </c>
      <c r="CS568" s="551">
        <v>208164.44808813269</v>
      </c>
      <c r="CT568" s="551">
        <v>3599.3538689496172</v>
      </c>
      <c r="CU568" s="551">
        <v>118478.96826830652</v>
      </c>
      <c r="CV568" s="551"/>
      <c r="CW568" s="551">
        <v>125.49837855009503</v>
      </c>
      <c r="CX568" s="551">
        <v>21550.097079892566</v>
      </c>
      <c r="CY568" s="554"/>
    </row>
    <row r="569" spans="65:103" ht="12.75" customHeight="1" x14ac:dyDescent="0.3">
      <c r="BM569" s="562"/>
      <c r="BN569" s="591">
        <v>556</v>
      </c>
      <c r="BO569" s="549" t="s">
        <v>2987</v>
      </c>
      <c r="BP569" s="554" t="s">
        <v>618</v>
      </c>
      <c r="BQ569" s="553">
        <v>4.41</v>
      </c>
      <c r="BR569" s="551">
        <v>124825.39904147481</v>
      </c>
      <c r="BS569" s="551"/>
      <c r="BT569" s="551">
        <v>7847206.7874557171</v>
      </c>
      <c r="BU569" s="551">
        <v>331946.51386811183</v>
      </c>
      <c r="BV569" s="551">
        <v>308282.08086610964</v>
      </c>
      <c r="BW569" s="551">
        <v>3729.8032657724825</v>
      </c>
      <c r="BX569" s="551">
        <v>852191.70501451322</v>
      </c>
      <c r="BY569" s="551">
        <v>19178896.618454777</v>
      </c>
      <c r="BZ569" s="551">
        <v>315626.55741278263</v>
      </c>
      <c r="CA569" s="551">
        <v>93572.972417927827</v>
      </c>
      <c r="CB569" s="551">
        <v>6.6135617759090962E-30</v>
      </c>
      <c r="CC569" s="551">
        <v>108361.02498879471</v>
      </c>
      <c r="CD569" s="551">
        <v>3380616.2426163685</v>
      </c>
      <c r="CE569" s="551">
        <v>4257.0258657808636</v>
      </c>
      <c r="CF569" s="551">
        <v>1899.2568042217526</v>
      </c>
      <c r="CG569" s="551">
        <v>331157.43200276076</v>
      </c>
      <c r="CH569" s="551">
        <v>1082476.1096049151</v>
      </c>
      <c r="CI569" s="551">
        <v>122650.90074176321</v>
      </c>
      <c r="CJ569" s="551">
        <v>10860.206185446154</v>
      </c>
      <c r="CK569" s="551">
        <v>697364.93430528406</v>
      </c>
      <c r="CL569" s="551"/>
      <c r="CM569" s="551">
        <v>78.345605996657142</v>
      </c>
      <c r="CN569" s="551">
        <v>137951.30293863933</v>
      </c>
      <c r="CO569" s="551">
        <v>331.04849046495974</v>
      </c>
      <c r="CP569" s="551">
        <v>60253.447622312247</v>
      </c>
      <c r="CQ569" s="551"/>
      <c r="CR569" s="551">
        <v>7.3529246521053011</v>
      </c>
      <c r="CS569" s="551">
        <v>16340.642566981092</v>
      </c>
      <c r="CT569" s="551">
        <v>581.78490023941106</v>
      </c>
      <c r="CU569" s="551">
        <v>9361.3124103821065</v>
      </c>
      <c r="CV569" s="551"/>
      <c r="CW569" s="551">
        <v>0.91316861735383048</v>
      </c>
      <c r="CX569" s="551">
        <v>1883.1038271269213</v>
      </c>
      <c r="CY569" s="554"/>
    </row>
    <row r="570" spans="65:103" ht="12.75" customHeight="1" x14ac:dyDescent="0.3">
      <c r="BM570" s="562"/>
      <c r="BN570" s="591">
        <v>557</v>
      </c>
      <c r="BO570" s="549" t="s">
        <v>2985</v>
      </c>
      <c r="BP570" s="554" t="s">
        <v>618</v>
      </c>
      <c r="BQ570" s="553">
        <v>4.41</v>
      </c>
      <c r="BR570" s="551">
        <v>130147.80548721376</v>
      </c>
      <c r="BS570" s="551"/>
      <c r="BT570" s="551">
        <v>6686246.9728570161</v>
      </c>
      <c r="BU570" s="551">
        <v>281898.20132285875</v>
      </c>
      <c r="BV570" s="551">
        <v>373519.23784358375</v>
      </c>
      <c r="BW570" s="551">
        <v>4384.6169187597088</v>
      </c>
      <c r="BX570" s="551">
        <v>464927.04707771965</v>
      </c>
      <c r="BY570" s="551">
        <v>16616556.746324442</v>
      </c>
      <c r="BZ570" s="551">
        <v>172195.20262137763</v>
      </c>
      <c r="CA570" s="551">
        <v>109383.23776289113</v>
      </c>
      <c r="CB570" s="551">
        <v>5.4519319348729273E-30</v>
      </c>
      <c r="CC570" s="551">
        <v>59085.825676538494</v>
      </c>
      <c r="CD570" s="551">
        <v>2822674.6521141892</v>
      </c>
      <c r="CE570" s="551">
        <v>3300.7594041398652</v>
      </c>
      <c r="CF570" s="551">
        <v>2195.1802064957815</v>
      </c>
      <c r="CG570" s="551">
        <v>202752.85819383009</v>
      </c>
      <c r="CH570" s="551">
        <v>653711.64473188831</v>
      </c>
      <c r="CI570" s="551">
        <v>75093.651182900008</v>
      </c>
      <c r="CJ570" s="551">
        <v>14298.155527828543</v>
      </c>
      <c r="CK570" s="551">
        <v>594842.23986995651</v>
      </c>
      <c r="CL570" s="551"/>
      <c r="CM570" s="551">
        <v>92.507283071274173</v>
      </c>
      <c r="CN570" s="551">
        <v>95126.141849717926</v>
      </c>
      <c r="CO570" s="551">
        <v>534.12357620120576</v>
      </c>
      <c r="CP570" s="551">
        <v>59033.155105929582</v>
      </c>
      <c r="CQ570" s="551"/>
      <c r="CR570" s="551">
        <v>10.239454449415261</v>
      </c>
      <c r="CS570" s="551">
        <v>13662.541680651233</v>
      </c>
      <c r="CT570" s="551">
        <v>843.43459077206694</v>
      </c>
      <c r="CU570" s="551">
        <v>8993.532103530697</v>
      </c>
      <c r="CV570" s="551"/>
      <c r="CW570" s="551">
        <v>1.1678219783527934</v>
      </c>
      <c r="CX570" s="551">
        <v>1437.7207462441588</v>
      </c>
      <c r="CY570" s="554"/>
    </row>
    <row r="571" spans="65:103" ht="12.75" customHeight="1" x14ac:dyDescent="0.3">
      <c r="BM571" s="562"/>
      <c r="BN571" s="591">
        <v>558</v>
      </c>
      <c r="BO571" s="549" t="s">
        <v>2989</v>
      </c>
      <c r="BP571" s="554" t="s">
        <v>618</v>
      </c>
      <c r="BQ571" s="553">
        <v>4.41</v>
      </c>
      <c r="BR571" s="551">
        <v>130147.80548721376</v>
      </c>
      <c r="BS571" s="551"/>
      <c r="BT571" s="551">
        <v>6686246.9728570161</v>
      </c>
      <c r="BU571" s="551">
        <v>281898.20132285875</v>
      </c>
      <c r="BV571" s="551">
        <v>373519.23784358375</v>
      </c>
      <c r="BW571" s="551">
        <v>4384.6169187597088</v>
      </c>
      <c r="BX571" s="551">
        <v>464927.04707771965</v>
      </c>
      <c r="BY571" s="551">
        <v>16616556.746324442</v>
      </c>
      <c r="BZ571" s="551">
        <v>172195.20262137763</v>
      </c>
      <c r="CA571" s="551">
        <v>109383.23776289113</v>
      </c>
      <c r="CB571" s="551">
        <v>5.4519319348729273E-30</v>
      </c>
      <c r="CC571" s="551">
        <v>59085.825676538494</v>
      </c>
      <c r="CD571" s="551">
        <v>2822674.6521141892</v>
      </c>
      <c r="CE571" s="551">
        <v>3300.7594041398652</v>
      </c>
      <c r="CF571" s="551">
        <v>2195.1802064957815</v>
      </c>
      <c r="CG571" s="551">
        <v>202752.85819383009</v>
      </c>
      <c r="CH571" s="551">
        <v>653711.64473188831</v>
      </c>
      <c r="CI571" s="551">
        <v>75093.651182900008</v>
      </c>
      <c r="CJ571" s="551">
        <v>14298.155527828543</v>
      </c>
      <c r="CK571" s="551">
        <v>594842.23986995651</v>
      </c>
      <c r="CL571" s="551"/>
      <c r="CM571" s="551">
        <v>92.507283071274173</v>
      </c>
      <c r="CN571" s="551">
        <v>95126.141849717926</v>
      </c>
      <c r="CO571" s="551">
        <v>534.12357620120576</v>
      </c>
      <c r="CP571" s="551">
        <v>59033.155105929582</v>
      </c>
      <c r="CQ571" s="551"/>
      <c r="CR571" s="551">
        <v>10.239454449415261</v>
      </c>
      <c r="CS571" s="551">
        <v>13662.541680651233</v>
      </c>
      <c r="CT571" s="551">
        <v>843.43459077206694</v>
      </c>
      <c r="CU571" s="551">
        <v>8993.532103530697</v>
      </c>
      <c r="CV571" s="551"/>
      <c r="CW571" s="551">
        <v>1.1678219783527934</v>
      </c>
      <c r="CX571" s="551">
        <v>1437.7207462441588</v>
      </c>
      <c r="CY571" s="554"/>
    </row>
    <row r="572" spans="65:103" ht="12.75" customHeight="1" x14ac:dyDescent="0.3">
      <c r="BM572" s="562"/>
      <c r="BN572" s="591">
        <v>559</v>
      </c>
      <c r="BO572" s="549" t="s">
        <v>2991</v>
      </c>
      <c r="BP572" s="554" t="s">
        <v>618</v>
      </c>
      <c r="BQ572" s="553">
        <v>4.43</v>
      </c>
      <c r="BR572" s="551">
        <v>0.39307047004687151</v>
      </c>
      <c r="BS572" s="551"/>
      <c r="BT572" s="551">
        <v>9013826.8673184458</v>
      </c>
      <c r="BU572" s="551">
        <v>350507.40593755204</v>
      </c>
      <c r="BV572" s="551">
        <v>68613.692560162861</v>
      </c>
      <c r="BW572" s="551">
        <v>813.164046261105</v>
      </c>
      <c r="BX572" s="551">
        <v>521697.16967189236</v>
      </c>
      <c r="BY572" s="551">
        <v>8536675.2482927125</v>
      </c>
      <c r="BZ572" s="551">
        <v>193221.17395255261</v>
      </c>
      <c r="CA572" s="551">
        <v>6.0210711594781324E-7</v>
      </c>
      <c r="CB572" s="551">
        <v>3.1584427586960558E-35</v>
      </c>
      <c r="CC572" s="551">
        <v>1.5619559381035346</v>
      </c>
      <c r="CD572" s="551">
        <v>1189292.1515146778</v>
      </c>
      <c r="CE572" s="551">
        <v>1.1889685269874677E-2</v>
      </c>
      <c r="CF572" s="551">
        <v>137.9556610972939</v>
      </c>
      <c r="CG572" s="551">
        <v>0.41411438155638453</v>
      </c>
      <c r="CH572" s="551">
        <v>2.5341684257971759</v>
      </c>
      <c r="CI572" s="551">
        <v>0.153375696872735</v>
      </c>
      <c r="CJ572" s="551">
        <v>1.5090311663152197E-13</v>
      </c>
      <c r="CK572" s="551">
        <v>98187.114286494208</v>
      </c>
      <c r="CL572" s="551"/>
      <c r="CM572" s="551">
        <v>2.2608642600962519</v>
      </c>
      <c r="CN572" s="551">
        <v>3.7251899107092762E-7</v>
      </c>
      <c r="CO572" s="551">
        <v>2.6347008136589511E-16</v>
      </c>
      <c r="CP572" s="551">
        <v>1526.1298813552901</v>
      </c>
      <c r="CQ572" s="551"/>
      <c r="CR572" s="551">
        <v>3.663653219484761E-2</v>
      </c>
      <c r="CS572" s="551">
        <v>3.765430394593525E-10</v>
      </c>
      <c r="CT572" s="551">
        <v>3.8229540247417968E-17</v>
      </c>
      <c r="CU572" s="551">
        <v>258.27434091672052</v>
      </c>
      <c r="CV572" s="551"/>
      <c r="CW572" s="551">
        <v>5.5130400078590843E-3</v>
      </c>
      <c r="CX572" s="551">
        <v>6.2377678511011011E-11</v>
      </c>
      <c r="CY572" s="554"/>
    </row>
    <row r="573" spans="65:103" ht="12.75" customHeight="1" x14ac:dyDescent="0.3">
      <c r="BM573" s="562"/>
      <c r="BN573" s="591">
        <v>560</v>
      </c>
      <c r="BO573" s="549" t="s">
        <v>2993</v>
      </c>
      <c r="BP573" s="554" t="s">
        <v>618</v>
      </c>
      <c r="BQ573" s="553">
        <v>4.4400000000000004</v>
      </c>
      <c r="BR573" s="551">
        <v>10.044586687724513</v>
      </c>
      <c r="BS573" s="551"/>
      <c r="BT573" s="551">
        <v>6879123.981766344</v>
      </c>
      <c r="BU573" s="551">
        <v>268297.45242685225</v>
      </c>
      <c r="BV573" s="551">
        <v>74642.269954866075</v>
      </c>
      <c r="BW573" s="551">
        <v>880.23180716433376</v>
      </c>
      <c r="BX573" s="551">
        <v>1076158.2742266175</v>
      </c>
      <c r="BY573" s="551">
        <v>12538707.675622962</v>
      </c>
      <c r="BZ573" s="551">
        <v>398577.1386024509</v>
      </c>
      <c r="CA573" s="551">
        <v>4.3804069787432083E-4</v>
      </c>
      <c r="CB573" s="551">
        <v>8.0711115064375109E-34</v>
      </c>
      <c r="CC573" s="551">
        <v>27.184593281411779</v>
      </c>
      <c r="CD573" s="551">
        <v>910463.69527313183</v>
      </c>
      <c r="CE573" s="551">
        <v>0.29496775399058328</v>
      </c>
      <c r="CF573" s="551">
        <v>149.35272336704026</v>
      </c>
      <c r="CG573" s="551">
        <v>24.319633787634398</v>
      </c>
      <c r="CH573" s="551">
        <v>105.96588281778807</v>
      </c>
      <c r="CI573" s="551">
        <v>9.0072717731979228</v>
      </c>
      <c r="CJ573" s="551">
        <v>2.8658252905075329E-9</v>
      </c>
      <c r="CK573" s="551">
        <v>75167.680613029937</v>
      </c>
      <c r="CL573" s="551"/>
      <c r="CM573" s="551">
        <v>2.4476534441955509</v>
      </c>
      <c r="CN573" s="551">
        <v>5.7107866424454872E-4</v>
      </c>
      <c r="CO573" s="551">
        <v>7.7409583697172898E-13</v>
      </c>
      <c r="CP573" s="551">
        <v>1168.3437547017747</v>
      </c>
      <c r="CQ573" s="551"/>
      <c r="CR573" s="551">
        <v>4.0122681530106549E-2</v>
      </c>
      <c r="CS573" s="551">
        <v>1.3767636734462208E-7</v>
      </c>
      <c r="CT573" s="551">
        <v>2.3524726804824365E-13</v>
      </c>
      <c r="CU573" s="551">
        <v>197.72454181890646</v>
      </c>
      <c r="CV573" s="551"/>
      <c r="CW573" s="551">
        <v>5.8528029752436435E-3</v>
      </c>
      <c r="CX573" s="551">
        <v>1.988364591867244E-8</v>
      </c>
      <c r="CY573" s="554"/>
    </row>
    <row r="574" spans="65:103" ht="12.75" customHeight="1" x14ac:dyDescent="0.3">
      <c r="BM574" s="562"/>
      <c r="BN574" s="591">
        <v>561</v>
      </c>
      <c r="BO574" s="549" t="s">
        <v>2994</v>
      </c>
      <c r="BP574" s="554" t="s">
        <v>618</v>
      </c>
      <c r="BQ574" s="553">
        <v>4.45</v>
      </c>
      <c r="BR574" s="551">
        <v>12550.022609032832</v>
      </c>
      <c r="BS574" s="551"/>
      <c r="BT574" s="551">
        <v>4583458.3081745468</v>
      </c>
      <c r="BU574" s="551">
        <v>195483.64474224212</v>
      </c>
      <c r="BV574" s="551">
        <v>790598.38593744533</v>
      </c>
      <c r="BW574" s="551">
        <v>8369.4292490922016</v>
      </c>
      <c r="BX574" s="551">
        <v>2435711.5396904438</v>
      </c>
      <c r="BY574" s="551">
        <v>17022188.374483917</v>
      </c>
      <c r="BZ574" s="551">
        <v>902115.38507053466</v>
      </c>
      <c r="CA574" s="551">
        <v>1274.6008448023877</v>
      </c>
      <c r="CB574" s="551">
        <v>9.6819591973647926E-31</v>
      </c>
      <c r="CC574" s="551">
        <v>11223.858660267895</v>
      </c>
      <c r="CD574" s="551">
        <v>1310087.6474503404</v>
      </c>
      <c r="CE574" s="551">
        <v>1935.9976559559652</v>
      </c>
      <c r="CF574" s="551">
        <v>2804.5021080671286</v>
      </c>
      <c r="CG574" s="551">
        <v>128190.01683220013</v>
      </c>
      <c r="CH574" s="551">
        <v>307798.6311391464</v>
      </c>
      <c r="CI574" s="551">
        <v>47477.784011925993</v>
      </c>
      <c r="CJ574" s="551">
        <v>19.10343878798189</v>
      </c>
      <c r="CK574" s="551">
        <v>189657.0967001651</v>
      </c>
      <c r="CL574" s="551"/>
      <c r="CM574" s="551">
        <v>81.185255119977541</v>
      </c>
      <c r="CN574" s="551">
        <v>6895.9675482079474</v>
      </c>
      <c r="CO574" s="551">
        <v>0.12846532578160508</v>
      </c>
      <c r="CP574" s="551">
        <v>5104.424345251884</v>
      </c>
      <c r="CQ574" s="551"/>
      <c r="CR574" s="551">
        <v>2.7896044782500122</v>
      </c>
      <c r="CS574" s="551">
        <v>99.549766294028927</v>
      </c>
      <c r="CT574" s="551">
        <v>0.12436864455435229</v>
      </c>
      <c r="CU574" s="551">
        <v>878.43969215116852</v>
      </c>
      <c r="CV574" s="551"/>
      <c r="CW574" s="551">
        <v>0.26586535011525864</v>
      </c>
      <c r="CX574" s="551">
        <v>12.22519330011578</v>
      </c>
      <c r="CY574" s="554"/>
    </row>
    <row r="575" spans="65:103" ht="12.75" customHeight="1" x14ac:dyDescent="0.3">
      <c r="BM575" s="562"/>
      <c r="BN575" s="591">
        <v>562</v>
      </c>
      <c r="BO575" s="549" t="s">
        <v>2996</v>
      </c>
      <c r="BP575" s="554" t="s">
        <v>618</v>
      </c>
      <c r="BQ575" s="553">
        <v>4.46</v>
      </c>
      <c r="BR575" s="551">
        <v>9921.7017179144823</v>
      </c>
      <c r="BS575" s="551"/>
      <c r="BT575" s="551">
        <v>7221049.9598012036</v>
      </c>
      <c r="BU575" s="551">
        <v>332789.01700995193</v>
      </c>
      <c r="BV575" s="551">
        <v>4580265.7678321283</v>
      </c>
      <c r="BW575" s="551">
        <v>53088.077154592807</v>
      </c>
      <c r="BX575" s="551">
        <v>5356990.5922615286</v>
      </c>
      <c r="BY575" s="551">
        <v>37557032.106266066</v>
      </c>
      <c r="BZ575" s="551">
        <v>1984070.5897264921</v>
      </c>
      <c r="CA575" s="551">
        <v>902.45865523256509</v>
      </c>
      <c r="CB575" s="551">
        <v>7.3954826629932481E-31</v>
      </c>
      <c r="CC575" s="551">
        <v>14979.024566518554</v>
      </c>
      <c r="CD575" s="551">
        <v>4250355.2608016683</v>
      </c>
      <c r="CE575" s="551">
        <v>9501.0994023686562</v>
      </c>
      <c r="CF575" s="551">
        <v>33901.838174713652</v>
      </c>
      <c r="CG575" s="551">
        <v>252499.50254029004</v>
      </c>
      <c r="CH575" s="551">
        <v>602136.75411722006</v>
      </c>
      <c r="CI575" s="551">
        <v>93518.334274181499</v>
      </c>
      <c r="CJ575" s="551">
        <v>12.102898636458244</v>
      </c>
      <c r="CK575" s="551">
        <v>1472663.2939551948</v>
      </c>
      <c r="CL575" s="551"/>
      <c r="CM575" s="551">
        <v>2363.1570203768342</v>
      </c>
      <c r="CN575" s="551">
        <v>12154.196788661531</v>
      </c>
      <c r="CO575" s="551">
        <v>0.17751424174933575</v>
      </c>
      <c r="CP575" s="551">
        <v>92002.817856129346</v>
      </c>
      <c r="CQ575" s="551"/>
      <c r="CR575" s="551">
        <v>182.18490250393577</v>
      </c>
      <c r="CS575" s="551">
        <v>156.59269019434859</v>
      </c>
      <c r="CT575" s="551">
        <v>3.547620601291071E-2</v>
      </c>
      <c r="CU575" s="551">
        <v>16729.480775533768</v>
      </c>
      <c r="CV575" s="551"/>
      <c r="CW575" s="551">
        <v>19.771685251184373</v>
      </c>
      <c r="CX575" s="551">
        <v>19.263485343418811</v>
      </c>
      <c r="CY575" s="554"/>
    </row>
    <row r="576" spans="65:103" ht="12.75" customHeight="1" x14ac:dyDescent="0.3">
      <c r="BM576" s="562"/>
      <c r="BN576" s="591">
        <v>563</v>
      </c>
      <c r="BO576" s="549" t="s">
        <v>2998</v>
      </c>
      <c r="BP576" s="554" t="s">
        <v>618</v>
      </c>
      <c r="BQ576" s="553">
        <v>4.47</v>
      </c>
      <c r="BR576" s="551">
        <v>16.980869117733562</v>
      </c>
      <c r="BS576" s="551"/>
      <c r="BT576" s="551">
        <v>8261719.9087938769</v>
      </c>
      <c r="BU576" s="551">
        <v>351551.76933665446</v>
      </c>
      <c r="BV576" s="551">
        <v>113488.70491326142</v>
      </c>
      <c r="BW576" s="551">
        <v>1452.195197782168</v>
      </c>
      <c r="BX576" s="551">
        <v>1294774.7230234945</v>
      </c>
      <c r="BY576" s="551">
        <v>15732873.751809269</v>
      </c>
      <c r="BZ576" s="551">
        <v>479546.19371240522</v>
      </c>
      <c r="CA576" s="551">
        <v>1.6551218697149462E-3</v>
      </c>
      <c r="CB576" s="551">
        <v>1.3644306700857614E-33</v>
      </c>
      <c r="CC576" s="551">
        <v>75.498916962726526</v>
      </c>
      <c r="CD576" s="551">
        <v>1953534.6215028756</v>
      </c>
      <c r="CE576" s="551">
        <v>1.0371053973075899</v>
      </c>
      <c r="CF576" s="551">
        <v>403.4844713483696</v>
      </c>
      <c r="CG576" s="551">
        <v>65.397743822394432</v>
      </c>
      <c r="CH576" s="551">
        <v>297.15848716528808</v>
      </c>
      <c r="CI576" s="551">
        <v>24.221386600886824</v>
      </c>
      <c r="CJ576" s="551">
        <v>2.4566160046206426E-8</v>
      </c>
      <c r="CK576" s="551">
        <v>276775.52262462128</v>
      </c>
      <c r="CL576" s="551"/>
      <c r="CM576" s="551">
        <v>11.431503283865746</v>
      </c>
      <c r="CN576" s="551">
        <v>3.4839644975634197E-3</v>
      </c>
      <c r="CO576" s="551">
        <v>1.9969365791663631E-11</v>
      </c>
      <c r="CP576" s="551">
        <v>7316.4836055982314</v>
      </c>
      <c r="CQ576" s="551"/>
      <c r="CR576" s="551">
        <v>0.31337965054985006</v>
      </c>
      <c r="CS576" s="551">
        <v>2.3207293421620675E-6</v>
      </c>
      <c r="CT576" s="551">
        <v>5.392901226639718E-12</v>
      </c>
      <c r="CU576" s="551">
        <v>1258.3273764801231</v>
      </c>
      <c r="CV576" s="551"/>
      <c r="CW576" s="551">
        <v>4.8655104716016979E-2</v>
      </c>
      <c r="CX576" s="551">
        <v>3.4719666508057762E-7</v>
      </c>
      <c r="CY576" s="554"/>
    </row>
    <row r="577" spans="65:103" ht="12.75" customHeight="1" x14ac:dyDescent="0.3">
      <c r="BM577" s="562"/>
      <c r="BN577" s="591">
        <v>564</v>
      </c>
      <c r="BO577" s="549" t="s">
        <v>3000</v>
      </c>
      <c r="BP577" s="554" t="s">
        <v>618</v>
      </c>
      <c r="BQ577" s="553">
        <v>4.47</v>
      </c>
      <c r="BR577" s="551">
        <v>40835.609656818175</v>
      </c>
      <c r="BS577" s="551"/>
      <c r="BT577" s="551">
        <v>5403099.8935335875</v>
      </c>
      <c r="BU577" s="551">
        <v>248183.08744219609</v>
      </c>
      <c r="BV577" s="551">
        <v>5219343.7733426504</v>
      </c>
      <c r="BW577" s="551">
        <v>62118.064148112906</v>
      </c>
      <c r="BX577" s="551">
        <v>118818.33829055943</v>
      </c>
      <c r="BY577" s="551">
        <v>1075264.7096717651</v>
      </c>
      <c r="BZ577" s="551">
        <v>44006.791959466442</v>
      </c>
      <c r="CA577" s="551">
        <v>27409.521063810662</v>
      </c>
      <c r="CB577" s="551">
        <v>2.7590151050400494E-30</v>
      </c>
      <c r="CC577" s="551">
        <v>30932.435927109502</v>
      </c>
      <c r="CD577" s="551">
        <v>4240966.4137272751</v>
      </c>
      <c r="CE577" s="551">
        <v>29880.442714690293</v>
      </c>
      <c r="CF577" s="551">
        <v>53073.846903298923</v>
      </c>
      <c r="CG577" s="551">
        <v>41327.997626812095</v>
      </c>
      <c r="CH577" s="551">
        <v>92034.970028489188</v>
      </c>
      <c r="CI577" s="551">
        <v>15306.66578770818</v>
      </c>
      <c r="CJ577" s="551">
        <v>2812.6464846497688</v>
      </c>
      <c r="CK577" s="551">
        <v>1645318.0004574987</v>
      </c>
      <c r="CL577" s="551"/>
      <c r="CM577" s="551">
        <v>4142.2864548817197</v>
      </c>
      <c r="CN577" s="551">
        <v>15221.649669440327</v>
      </c>
      <c r="CO577" s="551">
        <v>220.32656182529146</v>
      </c>
      <c r="CP577" s="551">
        <v>128269.22632956591</v>
      </c>
      <c r="CQ577" s="551"/>
      <c r="CR577" s="551">
        <v>415.58671909714138</v>
      </c>
      <c r="CS577" s="551">
        <v>1509.0809724041449</v>
      </c>
      <c r="CT577" s="551">
        <v>71.377225818732072</v>
      </c>
      <c r="CU577" s="551">
        <v>24192.670928250835</v>
      </c>
      <c r="CV577" s="551"/>
      <c r="CW577" s="551">
        <v>42.874764738892935</v>
      </c>
      <c r="CX577" s="551">
        <v>190.8820876431252</v>
      </c>
      <c r="CY577" s="554"/>
    </row>
    <row r="578" spans="65:103" ht="12.75" customHeight="1" x14ac:dyDescent="0.3">
      <c r="BM578" s="562"/>
      <c r="BN578" s="591">
        <v>565</v>
      </c>
      <c r="BO578" s="549" t="s">
        <v>3002</v>
      </c>
      <c r="BP578" s="554" t="s">
        <v>618</v>
      </c>
      <c r="BQ578" s="553">
        <v>4.4800000000000004</v>
      </c>
      <c r="BR578" s="551">
        <v>24073.879615105045</v>
      </c>
      <c r="BS578" s="551"/>
      <c r="BT578" s="551">
        <v>5508904.9118456123</v>
      </c>
      <c r="BU578" s="551">
        <v>248643.34637960928</v>
      </c>
      <c r="BV578" s="551">
        <v>12744912.896911606</v>
      </c>
      <c r="BW578" s="551">
        <v>168697.48347109827</v>
      </c>
      <c r="BX578" s="551">
        <v>201925.94366377423</v>
      </c>
      <c r="BY578" s="551">
        <v>28511705.477836177</v>
      </c>
      <c r="BZ578" s="551">
        <v>74787.386542138571</v>
      </c>
      <c r="CA578" s="551">
        <v>3866.2789445395947</v>
      </c>
      <c r="CB578" s="551">
        <v>1.3717946157269412E-31</v>
      </c>
      <c r="CC578" s="551">
        <v>1190.7164631549545</v>
      </c>
      <c r="CD578" s="551">
        <v>2954834.7092332682</v>
      </c>
      <c r="CE578" s="551">
        <v>2754.7358051501337</v>
      </c>
      <c r="CF578" s="551">
        <v>100238.59209964078</v>
      </c>
      <c r="CG578" s="551">
        <v>17153.371697394043</v>
      </c>
      <c r="CH578" s="551">
        <v>42759.959181257145</v>
      </c>
      <c r="CI578" s="551">
        <v>6353.1006286644579</v>
      </c>
      <c r="CJ578" s="551">
        <v>93.668427824712012</v>
      </c>
      <c r="CK578" s="551">
        <v>1023068.2730121051</v>
      </c>
      <c r="CL578" s="551"/>
      <c r="CM578" s="551">
        <v>6980.7575181475841</v>
      </c>
      <c r="CN578" s="551">
        <v>1491.6028359206396</v>
      </c>
      <c r="CO578" s="551">
        <v>0.82147792799364938</v>
      </c>
      <c r="CP578" s="551">
        <v>63990.085504102848</v>
      </c>
      <c r="CQ578" s="551"/>
      <c r="CR578" s="551">
        <v>609.94731545675222</v>
      </c>
      <c r="CS578" s="551">
        <v>51.65390681475629</v>
      </c>
      <c r="CT578" s="551">
        <v>0.99815404684855236</v>
      </c>
      <c r="CU578" s="551">
        <v>11645.666013725628</v>
      </c>
      <c r="CV578" s="551"/>
      <c r="CW578" s="551">
        <v>51.731587632368161</v>
      </c>
      <c r="CX578" s="551">
        <v>3.8720341695450435</v>
      </c>
      <c r="CY578" s="554"/>
    </row>
    <row r="579" spans="65:103" ht="12.75" customHeight="1" x14ac:dyDescent="0.3">
      <c r="BM579" s="562"/>
      <c r="BN579" s="591">
        <v>566</v>
      </c>
      <c r="BO579" s="549" t="s">
        <v>3004</v>
      </c>
      <c r="BP579" s="554" t="s">
        <v>618</v>
      </c>
      <c r="BQ579" s="553">
        <v>4.5</v>
      </c>
      <c r="BR579" s="551">
        <v>15172.164734360362</v>
      </c>
      <c r="BS579" s="551"/>
      <c r="BT579" s="551">
        <v>10335719.284871299</v>
      </c>
      <c r="BU579" s="551">
        <v>475384.90663255751</v>
      </c>
      <c r="BV579" s="551">
        <v>888432.8023576804</v>
      </c>
      <c r="BW579" s="551">
        <v>11159.518419559899</v>
      </c>
      <c r="BX579" s="551">
        <v>3345725.1041313973</v>
      </c>
      <c r="BY579" s="551">
        <v>38322735.227411672</v>
      </c>
      <c r="BZ579" s="551">
        <v>1239157.4459745914</v>
      </c>
      <c r="CA579" s="551">
        <v>1647.6900756632097</v>
      </c>
      <c r="CB579" s="551">
        <v>8.4708355830684327E-31</v>
      </c>
      <c r="CC579" s="551">
        <v>43303.382423488452</v>
      </c>
      <c r="CD579" s="551">
        <v>5981664.3050884306</v>
      </c>
      <c r="CE579" s="551">
        <v>3722.2513825795372</v>
      </c>
      <c r="CF579" s="551">
        <v>7020.8889744846056</v>
      </c>
      <c r="CG579" s="551">
        <v>188291.11686183073</v>
      </c>
      <c r="CH579" s="551">
        <v>585339.42598010669</v>
      </c>
      <c r="CI579" s="551">
        <v>69737.450689566904</v>
      </c>
      <c r="CJ579" s="551">
        <v>26.477195006984413</v>
      </c>
      <c r="CK579" s="551">
        <v>2071465.1308845305</v>
      </c>
      <c r="CL579" s="551"/>
      <c r="CM579" s="551">
        <v>489.17425240075283</v>
      </c>
      <c r="CN579" s="551">
        <v>10860.00274559422</v>
      </c>
      <c r="CO579" s="551">
        <v>0.10537402248473644</v>
      </c>
      <c r="CP579" s="551">
        <v>129382.21696198298</v>
      </c>
      <c r="CQ579" s="551"/>
      <c r="CR579" s="551">
        <v>32.449245707814441</v>
      </c>
      <c r="CS579" s="551">
        <v>162.98740646265949</v>
      </c>
      <c r="CT579" s="551">
        <v>0.20379919089955695</v>
      </c>
      <c r="CU579" s="551">
        <v>23513.316919015797</v>
      </c>
      <c r="CV579" s="551"/>
      <c r="CW579" s="551">
        <v>5.0012805795869237</v>
      </c>
      <c r="CX579" s="551">
        <v>21.056614282048876</v>
      </c>
      <c r="CY579" s="554"/>
    </row>
    <row r="580" spans="65:103" ht="12.75" customHeight="1" x14ac:dyDescent="0.3">
      <c r="BM580" s="562"/>
      <c r="BN580" s="591">
        <v>567</v>
      </c>
      <c r="BO580" s="549" t="s">
        <v>3006</v>
      </c>
      <c r="BP580" s="554" t="s">
        <v>618</v>
      </c>
      <c r="BQ580" s="553">
        <v>4.51</v>
      </c>
      <c r="BR580" s="551">
        <v>502.15248297930805</v>
      </c>
      <c r="BS580" s="551"/>
      <c r="BT580" s="551">
        <v>8257922.043888174</v>
      </c>
      <c r="BU580" s="551">
        <v>352022.79945317772</v>
      </c>
      <c r="BV580" s="551">
        <v>216695.62718091044</v>
      </c>
      <c r="BW580" s="551">
        <v>2706.4940820456413</v>
      </c>
      <c r="BX580" s="551">
        <v>2551449.0993040223</v>
      </c>
      <c r="BY580" s="551">
        <v>22973312.863552831</v>
      </c>
      <c r="BZ580" s="551">
        <v>944981.14789037872</v>
      </c>
      <c r="CA580" s="551">
        <v>1.2616778201871688</v>
      </c>
      <c r="CB580" s="551">
        <v>4.0281892933169281E-32</v>
      </c>
      <c r="CC580" s="551">
        <v>1405.9115077617016</v>
      </c>
      <c r="CD580" s="551">
        <v>1965397.2768159532</v>
      </c>
      <c r="CE580" s="551">
        <v>36.892437869495438</v>
      </c>
      <c r="CF580" s="551">
        <v>755.53857688108621</v>
      </c>
      <c r="CG580" s="551">
        <v>3321.9894848769172</v>
      </c>
      <c r="CH580" s="551">
        <v>11158.34706600814</v>
      </c>
      <c r="CI580" s="551">
        <v>1230.36647588034</v>
      </c>
      <c r="CJ580" s="551">
        <v>4.6648080923745474E-4</v>
      </c>
      <c r="CK580" s="551">
        <v>278467.19971294183</v>
      </c>
      <c r="CL580" s="551"/>
      <c r="CM580" s="551">
        <v>21.40664823304564</v>
      </c>
      <c r="CN580" s="551">
        <v>4.4084632242972495</v>
      </c>
      <c r="CO580" s="551">
        <v>9.2861177355730075E-8</v>
      </c>
      <c r="CP580" s="551">
        <v>7361.3633969087577</v>
      </c>
      <c r="CQ580" s="551"/>
      <c r="CR580" s="551">
        <v>0.6008800338196314</v>
      </c>
      <c r="CS580" s="551">
        <v>1.5411360068468645E-3</v>
      </c>
      <c r="CT580" s="551">
        <v>8.6705540576974049E-8</v>
      </c>
      <c r="CU580" s="551">
        <v>1266.0483693395004</v>
      </c>
      <c r="CV580" s="551"/>
      <c r="CW580" s="551">
        <v>8.758269754544637E-2</v>
      </c>
      <c r="CX580" s="551">
        <v>2.4526696770099795E-4</v>
      </c>
      <c r="CY580" s="554"/>
    </row>
    <row r="581" spans="65:103" ht="12.75" customHeight="1" x14ac:dyDescent="0.3">
      <c r="BM581" s="562"/>
      <c r="BN581" s="591">
        <v>568</v>
      </c>
      <c r="BO581" s="549" t="s">
        <v>3008</v>
      </c>
      <c r="BP581" s="554" t="s">
        <v>618</v>
      </c>
      <c r="BQ581" s="553">
        <v>4.57</v>
      </c>
      <c r="BR581" s="551">
        <v>22405.707040908906</v>
      </c>
      <c r="BS581" s="551"/>
      <c r="BT581" s="551">
        <v>3916517.2730997973</v>
      </c>
      <c r="BU581" s="551">
        <v>163336.4253917319</v>
      </c>
      <c r="BV581" s="551">
        <v>120207.00725231401</v>
      </c>
      <c r="BW581" s="551">
        <v>1456.3167734119718</v>
      </c>
      <c r="BX581" s="551">
        <v>17307.099469565634</v>
      </c>
      <c r="BY581" s="551">
        <v>4492317.9282419877</v>
      </c>
      <c r="BZ581" s="551">
        <v>6410.0368405798645</v>
      </c>
      <c r="CA581" s="551">
        <v>3181.8979385886219</v>
      </c>
      <c r="CB581" s="551">
        <v>1.1404823961260701E-31</v>
      </c>
      <c r="CC581" s="551">
        <v>925.9782201688148</v>
      </c>
      <c r="CD581" s="551">
        <v>931107.74299060006</v>
      </c>
      <c r="CE581" s="551">
        <v>28.420421222659396</v>
      </c>
      <c r="CF581" s="551">
        <v>415.09045539563203</v>
      </c>
      <c r="CG581" s="551">
        <v>1233.1746669065294</v>
      </c>
      <c r="CH581" s="551">
        <v>4232.241426841435</v>
      </c>
      <c r="CI581" s="551">
        <v>456.73135811352932</v>
      </c>
      <c r="CJ581" s="551">
        <v>66.938423066937418</v>
      </c>
      <c r="CK581" s="551">
        <v>132482.34428071551</v>
      </c>
      <c r="CL581" s="551"/>
      <c r="CM581" s="551">
        <v>11.810508231759396</v>
      </c>
      <c r="CN581" s="551">
        <v>93.114535597715644</v>
      </c>
      <c r="CO581" s="551">
        <v>0.51825736567526026</v>
      </c>
      <c r="CP581" s="551">
        <v>3526.3011507309066</v>
      </c>
      <c r="CQ581" s="551"/>
      <c r="CR581" s="551">
        <v>0.33646706425342454</v>
      </c>
      <c r="CS581" s="551">
        <v>2.7808038536641706</v>
      </c>
      <c r="CT581" s="551">
        <v>0.59680325506667431</v>
      </c>
      <c r="CU581" s="551">
        <v>605.19996961985521</v>
      </c>
      <c r="CV581" s="551"/>
      <c r="CW581" s="551">
        <v>4.7935417354301436E-2</v>
      </c>
      <c r="CX581" s="551">
        <v>0.21281563688596467</v>
      </c>
      <c r="CY581" s="554"/>
    </row>
    <row r="582" spans="65:103" ht="12.75" customHeight="1" x14ac:dyDescent="0.3">
      <c r="BM582" s="562"/>
      <c r="BN582" s="591">
        <v>569</v>
      </c>
      <c r="BO582" s="549" t="s">
        <v>3010</v>
      </c>
      <c r="BP582" s="554" t="s">
        <v>618</v>
      </c>
      <c r="BQ582" s="553">
        <v>4.59</v>
      </c>
      <c r="BR582" s="551">
        <v>46446.351311329869</v>
      </c>
      <c r="BS582" s="551"/>
      <c r="BT582" s="551">
        <v>1176114.8127591754</v>
      </c>
      <c r="BU582" s="551">
        <v>49945.469674788983</v>
      </c>
      <c r="BV582" s="551">
        <v>120337384.99639477</v>
      </c>
      <c r="BW582" s="551">
        <v>3580835.9031207268</v>
      </c>
      <c r="BX582" s="551">
        <v>7456061.2182471426</v>
      </c>
      <c r="BY582" s="551">
        <v>90917915.930238336</v>
      </c>
      <c r="BZ582" s="551">
        <v>2761504.1549063488</v>
      </c>
      <c r="CA582" s="551">
        <v>61314.864347464762</v>
      </c>
      <c r="CB582" s="551">
        <v>2.8662907654369987E-30</v>
      </c>
      <c r="CC582" s="551">
        <v>10222.578311349465</v>
      </c>
      <c r="CD582" s="551">
        <v>4618288.3086419413</v>
      </c>
      <c r="CE582" s="551">
        <v>1045950.8957485995</v>
      </c>
      <c r="CF582" s="551">
        <v>16555388.000380866</v>
      </c>
      <c r="CG582" s="551">
        <v>5100610.0806709854</v>
      </c>
      <c r="CH582" s="551">
        <v>11453517.714263378</v>
      </c>
      <c r="CI582" s="551">
        <v>1889114.8446929567</v>
      </c>
      <c r="CJ582" s="551">
        <v>12957.7858570723</v>
      </c>
      <c r="CK582" s="551">
        <v>10188038.969793545</v>
      </c>
      <c r="CL582" s="551"/>
      <c r="CM582" s="551">
        <v>7323881.0413926356</v>
      </c>
      <c r="CN582" s="551">
        <v>3868929.418747338</v>
      </c>
      <c r="CO582" s="551">
        <v>1495.0267087163857</v>
      </c>
      <c r="CP582" s="551">
        <v>3062184.9956474276</v>
      </c>
      <c r="CQ582" s="551"/>
      <c r="CR582" s="551">
        <v>2541629.4204269601</v>
      </c>
      <c r="CS582" s="551">
        <v>765468.87469558802</v>
      </c>
      <c r="CT582" s="551">
        <v>874.02985067735062</v>
      </c>
      <c r="CU582" s="551">
        <v>870795.32729311846</v>
      </c>
      <c r="CV582" s="551"/>
      <c r="CW582" s="551">
        <v>500496.07767232944</v>
      </c>
      <c r="CX582" s="551">
        <v>108828.06370267218</v>
      </c>
      <c r="CY582" s="554"/>
    </row>
    <row r="583" spans="65:103" ht="12.75" customHeight="1" x14ac:dyDescent="0.3">
      <c r="BM583" s="562"/>
      <c r="BN583" s="591">
        <v>570</v>
      </c>
      <c r="BO583" s="549" t="s">
        <v>3012</v>
      </c>
      <c r="BP583" s="554" t="s">
        <v>618</v>
      </c>
      <c r="BQ583" s="553">
        <v>4.59</v>
      </c>
      <c r="BR583" s="551">
        <v>198977.58578060588</v>
      </c>
      <c r="BS583" s="551"/>
      <c r="BT583" s="551">
        <v>7924239.6148504149</v>
      </c>
      <c r="BU583" s="551">
        <v>305802.24215564027</v>
      </c>
      <c r="BV583" s="551">
        <v>122984.28378559444</v>
      </c>
      <c r="BW583" s="551">
        <v>1418.9379476281688</v>
      </c>
      <c r="BX583" s="551">
        <v>362626.87237862922</v>
      </c>
      <c r="BY583" s="551">
        <v>13908425.572512973</v>
      </c>
      <c r="BZ583" s="551">
        <v>134306.24902912194</v>
      </c>
      <c r="CA583" s="551">
        <v>141924.15839159611</v>
      </c>
      <c r="CB583" s="551">
        <v>9.1312284659654051E-30</v>
      </c>
      <c r="CC583" s="551">
        <v>98422.969318603704</v>
      </c>
      <c r="CD583" s="551">
        <v>2324511.6551523316</v>
      </c>
      <c r="CE583" s="551">
        <v>1527.5255391085893</v>
      </c>
      <c r="CF583" s="551">
        <v>539.29261177897024</v>
      </c>
      <c r="CG583" s="551">
        <v>133951.43960415415</v>
      </c>
      <c r="CH583" s="551">
        <v>534716.50395788159</v>
      </c>
      <c r="CI583" s="551">
        <v>49611.644297834886</v>
      </c>
      <c r="CJ583" s="551">
        <v>15598.088232669385</v>
      </c>
      <c r="CK583" s="551">
        <v>357702.34212813643</v>
      </c>
      <c r="CL583" s="551"/>
      <c r="CM583" s="551">
        <v>16.473342476464811</v>
      </c>
      <c r="CN583" s="551">
        <v>52840.398704803301</v>
      </c>
      <c r="CO583" s="551">
        <v>475.69165487475277</v>
      </c>
      <c r="CP583" s="551">
        <v>36286.728705233829</v>
      </c>
      <c r="CQ583" s="551"/>
      <c r="CR583" s="551">
        <v>1.7911865275702092</v>
      </c>
      <c r="CS583" s="551">
        <v>5871.6504887538031</v>
      </c>
      <c r="CT583" s="551">
        <v>765.02387542711904</v>
      </c>
      <c r="CU583" s="551">
        <v>5259.8360493275677</v>
      </c>
      <c r="CV583" s="551"/>
      <c r="CW583" s="551">
        <v>0.21442836873104837</v>
      </c>
      <c r="CX583" s="551">
        <v>689.11224710249803</v>
      </c>
      <c r="CY583" s="554"/>
    </row>
    <row r="584" spans="65:103" ht="12.75" customHeight="1" x14ac:dyDescent="0.3">
      <c r="BM584" s="562"/>
      <c r="BN584" s="591">
        <v>571</v>
      </c>
      <c r="BO584" s="549" t="s">
        <v>3016</v>
      </c>
      <c r="BP584" s="554" t="s">
        <v>618</v>
      </c>
      <c r="BQ584" s="553">
        <v>4.62</v>
      </c>
      <c r="BR584" s="551">
        <v>93066.826397603189</v>
      </c>
      <c r="BS584" s="551"/>
      <c r="BT584" s="551">
        <v>7913283.0655416772</v>
      </c>
      <c r="BU584" s="551">
        <v>362624.36570340209</v>
      </c>
      <c r="BV584" s="551">
        <v>2922566.7610856276</v>
      </c>
      <c r="BW584" s="551">
        <v>33462.24096871465</v>
      </c>
      <c r="BX584" s="551">
        <v>444361.47643064248</v>
      </c>
      <c r="BY584" s="551">
        <v>8205372.9477498261</v>
      </c>
      <c r="BZ584" s="551">
        <v>164578.32460394164</v>
      </c>
      <c r="CA584" s="551">
        <v>96301.02654727707</v>
      </c>
      <c r="CB584" s="551">
        <v>5.0450511865664942E-30</v>
      </c>
      <c r="CC584" s="551">
        <v>63185.464060518614</v>
      </c>
      <c r="CD584" s="551">
        <v>6682357.6897234628</v>
      </c>
      <c r="CE584" s="551">
        <v>23335.919556720881</v>
      </c>
      <c r="CF584" s="551">
        <v>30831.72070069367</v>
      </c>
      <c r="CG584" s="551">
        <v>237678.99870493548</v>
      </c>
      <c r="CH584" s="551">
        <v>555403.60543075588</v>
      </c>
      <c r="CI584" s="551">
        <v>88029.258779605734</v>
      </c>
      <c r="CJ584" s="551">
        <v>15587.620936957019</v>
      </c>
      <c r="CK584" s="551">
        <v>2831881.6652714936</v>
      </c>
      <c r="CL584" s="551"/>
      <c r="CM584" s="551">
        <v>2628.7331178582167</v>
      </c>
      <c r="CN584" s="551">
        <v>138084.00787968279</v>
      </c>
      <c r="CO584" s="551">
        <v>686.56319166887158</v>
      </c>
      <c r="CP584" s="551">
        <v>311827.50548813248</v>
      </c>
      <c r="CQ584" s="551"/>
      <c r="CR584" s="551">
        <v>339.35149193811253</v>
      </c>
      <c r="CS584" s="551">
        <v>26587.353415679987</v>
      </c>
      <c r="CT584" s="551">
        <v>1198.9899144958897</v>
      </c>
      <c r="CU584" s="551">
        <v>55208.344075620204</v>
      </c>
      <c r="CV584" s="551"/>
      <c r="CW584" s="551">
        <v>40.119323503747417</v>
      </c>
      <c r="CX584" s="551">
        <v>2500.7644020585799</v>
      </c>
      <c r="CY584" s="554"/>
    </row>
    <row r="585" spans="65:103" ht="12.75" customHeight="1" x14ac:dyDescent="0.3">
      <c r="BM585" s="562"/>
      <c r="BN585" s="591">
        <v>572</v>
      </c>
      <c r="BO585" s="549" t="s">
        <v>3014</v>
      </c>
      <c r="BP585" s="554" t="s">
        <v>618</v>
      </c>
      <c r="BQ585" s="553">
        <v>4.62</v>
      </c>
      <c r="BR585" s="551">
        <v>3.667504300191752</v>
      </c>
      <c r="BS585" s="551"/>
      <c r="BT585" s="551">
        <v>4815235.7490392728</v>
      </c>
      <c r="BU585" s="551">
        <v>188388.82970670404</v>
      </c>
      <c r="BV585" s="551">
        <v>96240.859286216233</v>
      </c>
      <c r="BW585" s="551">
        <v>1113.8729282019726</v>
      </c>
      <c r="BX585" s="551">
        <v>1525151.4335956736</v>
      </c>
      <c r="BY585" s="551">
        <v>12868502.793038376</v>
      </c>
      <c r="BZ585" s="551">
        <v>564870.90133173089</v>
      </c>
      <c r="CA585" s="551">
        <v>7.1989816195980883E-5</v>
      </c>
      <c r="CB585" s="551">
        <v>2.9469332915065364E-34</v>
      </c>
      <c r="CC585" s="551">
        <v>5.8213561153650843</v>
      </c>
      <c r="CD585" s="551">
        <v>639258.24843381846</v>
      </c>
      <c r="CE585" s="551">
        <v>0.11634992427226142</v>
      </c>
      <c r="CF585" s="551">
        <v>188.98478698785149</v>
      </c>
      <c r="CG585" s="551">
        <v>15.513575050538858</v>
      </c>
      <c r="CH585" s="551">
        <v>48.951507475605482</v>
      </c>
      <c r="CI585" s="551">
        <v>5.7457685372366107</v>
      </c>
      <c r="CJ585" s="551">
        <v>2.0849852111274128E-10</v>
      </c>
      <c r="CK585" s="551">
        <v>52777.937930921107</v>
      </c>
      <c r="CL585" s="551"/>
      <c r="CM585" s="551">
        <v>3.0971991535455055</v>
      </c>
      <c r="CN585" s="551">
        <v>1.6126772541486187E-4</v>
      </c>
      <c r="CO585" s="551">
        <v>2.1272221520531435E-14</v>
      </c>
      <c r="CP585" s="551">
        <v>820.35004568899387</v>
      </c>
      <c r="CQ585" s="551"/>
      <c r="CR585" s="551">
        <v>5.2382474639681799E-2</v>
      </c>
      <c r="CS585" s="551">
        <v>1.17317953510741E-8</v>
      </c>
      <c r="CT585" s="551">
        <v>3.1147642309421616E-15</v>
      </c>
      <c r="CU585" s="551">
        <v>138.83205272677623</v>
      </c>
      <c r="CV585" s="551"/>
      <c r="CW585" s="551">
        <v>7.0430843216377544E-3</v>
      </c>
      <c r="CX585" s="551">
        <v>1.3970837614725578E-9</v>
      </c>
      <c r="CY585" s="554"/>
    </row>
    <row r="586" spans="65:103" ht="12.75" customHeight="1" x14ac:dyDescent="0.3">
      <c r="BM586" s="562"/>
      <c r="BN586" s="591">
        <v>573</v>
      </c>
      <c r="BO586" s="549" t="s">
        <v>3018</v>
      </c>
      <c r="BP586" s="554" t="s">
        <v>618</v>
      </c>
      <c r="BQ586" s="553">
        <v>4.62</v>
      </c>
      <c r="BR586" s="551">
        <v>52891.281880226714</v>
      </c>
      <c r="BS586" s="551"/>
      <c r="BT586" s="551">
        <v>3118347.9864318399</v>
      </c>
      <c r="BU586" s="551">
        <v>146351.17768015616</v>
      </c>
      <c r="BV586" s="551">
        <v>67078967.621077761</v>
      </c>
      <c r="BW586" s="551">
        <v>1714581.593165918</v>
      </c>
      <c r="BX586" s="551">
        <v>7096171.5228246097</v>
      </c>
      <c r="BY586" s="551">
        <v>86714844.80894722</v>
      </c>
      <c r="BZ586" s="551">
        <v>2628211.6751202252</v>
      </c>
      <c r="CA586" s="551">
        <v>74247.835900566934</v>
      </c>
      <c r="CB586" s="551">
        <v>3.3457037916775362E-30</v>
      </c>
      <c r="CC586" s="551">
        <v>37848.309604747294</v>
      </c>
      <c r="CD586" s="551">
        <v>7994890.4543514559</v>
      </c>
      <c r="CE586" s="551">
        <v>814157.22220098146</v>
      </c>
      <c r="CF586" s="551">
        <v>4683218.8950221119</v>
      </c>
      <c r="CG586" s="551">
        <v>5148858.3940814743</v>
      </c>
      <c r="CH586" s="551">
        <v>12547445.251426054</v>
      </c>
      <c r="CI586" s="551">
        <v>1906984.5904005456</v>
      </c>
      <c r="CJ586" s="551">
        <v>17084.580135694239</v>
      </c>
      <c r="CK586" s="551">
        <v>14007796.052064771</v>
      </c>
      <c r="CL586" s="551"/>
      <c r="CM586" s="551">
        <v>1654488.1975606342</v>
      </c>
      <c r="CN586" s="551">
        <v>4252409.8321108166</v>
      </c>
      <c r="CO586" s="551">
        <v>2048.3784887666202</v>
      </c>
      <c r="CP586" s="551">
        <v>3713173.4800037672</v>
      </c>
      <c r="CQ586" s="551"/>
      <c r="CR586" s="551">
        <v>497774.78629706317</v>
      </c>
      <c r="CS586" s="551">
        <v>905315.75454878283</v>
      </c>
      <c r="CT586" s="551">
        <v>1371.056598626906</v>
      </c>
      <c r="CU586" s="551">
        <v>953936.53505328821</v>
      </c>
      <c r="CV586" s="551"/>
      <c r="CW586" s="551">
        <v>92146.0265446017</v>
      </c>
      <c r="CX586" s="551">
        <v>128729.00086611309</v>
      </c>
      <c r="CY586" s="554"/>
    </row>
    <row r="587" spans="65:103" ht="12.75" customHeight="1" x14ac:dyDescent="0.3">
      <c r="BM587" s="562"/>
      <c r="BN587" s="591">
        <v>574</v>
      </c>
      <c r="BO587" s="549" t="s">
        <v>3020</v>
      </c>
      <c r="BP587" s="554" t="s">
        <v>618</v>
      </c>
      <c r="BQ587" s="553">
        <v>4.63</v>
      </c>
      <c r="BR587" s="551">
        <v>162810.71211483565</v>
      </c>
      <c r="BS587" s="551"/>
      <c r="BT587" s="551">
        <v>5584181.6372728841</v>
      </c>
      <c r="BU587" s="551">
        <v>209958.4378452526</v>
      </c>
      <c r="BV587" s="551">
        <v>139029.09183369315</v>
      </c>
      <c r="BW587" s="551">
        <v>1528.9139734364774</v>
      </c>
      <c r="BX587" s="551">
        <v>45150.66130405834</v>
      </c>
      <c r="BY587" s="551">
        <v>11706014.87055493</v>
      </c>
      <c r="BZ587" s="551">
        <v>16722.467149651231</v>
      </c>
      <c r="CA587" s="551">
        <v>64767.811105331224</v>
      </c>
      <c r="CB587" s="551">
        <v>2.701407065178098E-30</v>
      </c>
      <c r="CC587" s="551">
        <v>9836.1863514109482</v>
      </c>
      <c r="CD587" s="551">
        <v>1084248.7729961723</v>
      </c>
      <c r="CE587" s="551">
        <v>244.89104122542074</v>
      </c>
      <c r="CF587" s="551">
        <v>394.77410784914673</v>
      </c>
      <c r="CG587" s="551">
        <v>8950.6655418072605</v>
      </c>
      <c r="CH587" s="551">
        <v>35662.850061577148</v>
      </c>
      <c r="CI587" s="551">
        <v>3315.061311780466</v>
      </c>
      <c r="CJ587" s="551">
        <v>3863.2447869102643</v>
      </c>
      <c r="CK587" s="551">
        <v>114229.12867746694</v>
      </c>
      <c r="CL587" s="551"/>
      <c r="CM587" s="551">
        <v>8.2558487925171686</v>
      </c>
      <c r="CN587" s="551">
        <v>1916.2492237773695</v>
      </c>
      <c r="CO587" s="551">
        <v>72.401967179243741</v>
      </c>
      <c r="CP587" s="551">
        <v>4493.8077230254594</v>
      </c>
      <c r="CQ587" s="551"/>
      <c r="CR587" s="551">
        <v>0.35912364745645498</v>
      </c>
      <c r="CS587" s="551">
        <v>128.13121076042606</v>
      </c>
      <c r="CT587" s="551">
        <v>100.42645470368646</v>
      </c>
      <c r="CU587" s="551">
        <v>641.66545506423859</v>
      </c>
      <c r="CV587" s="551"/>
      <c r="CW587" s="551">
        <v>3.912851331349048E-2</v>
      </c>
      <c r="CX587" s="551">
        <v>13.508288248841772</v>
      </c>
      <c r="CY587" s="554"/>
    </row>
    <row r="588" spans="65:103" ht="12.75" customHeight="1" x14ac:dyDescent="0.3">
      <c r="BM588" s="562"/>
      <c r="BN588" s="591">
        <v>575</v>
      </c>
      <c r="BO588" s="549" t="s">
        <v>3022</v>
      </c>
      <c r="BP588" s="554" t="s">
        <v>618</v>
      </c>
      <c r="BQ588" s="553">
        <v>4.6500000000000004</v>
      </c>
      <c r="BR588" s="551">
        <v>203307.61359292024</v>
      </c>
      <c r="BS588" s="551"/>
      <c r="BT588" s="551">
        <v>8205331.2460575225</v>
      </c>
      <c r="BU588" s="551">
        <v>314260.49910061387</v>
      </c>
      <c r="BV588" s="551">
        <v>139714.64535929877</v>
      </c>
      <c r="BW588" s="551">
        <v>1594.0654323633923</v>
      </c>
      <c r="BX588" s="551">
        <v>142029.52210517938</v>
      </c>
      <c r="BY588" s="551">
        <v>14060683.987966184</v>
      </c>
      <c r="BZ588" s="551">
        <v>52603.526705621967</v>
      </c>
      <c r="CA588" s="551">
        <v>107810.24294272461</v>
      </c>
      <c r="CB588" s="551">
        <v>5.5797185165966095E-30</v>
      </c>
      <c r="CC588" s="551">
        <v>35532.473469993827</v>
      </c>
      <c r="CD588" s="551">
        <v>1846323.8876954496</v>
      </c>
      <c r="CE588" s="551">
        <v>605.02212290139596</v>
      </c>
      <c r="CF588" s="551">
        <v>468.26774200785314</v>
      </c>
      <c r="CG588" s="551">
        <v>38789.49857642626</v>
      </c>
      <c r="CH588" s="551">
        <v>159663.59653637544</v>
      </c>
      <c r="CI588" s="551">
        <v>14366.48095423194</v>
      </c>
      <c r="CJ588" s="551">
        <v>8666.0767996763043</v>
      </c>
      <c r="CK588" s="551">
        <v>223170.8467752244</v>
      </c>
      <c r="CL588" s="551"/>
      <c r="CM588" s="551">
        <v>11.23545533123637</v>
      </c>
      <c r="CN588" s="551">
        <v>11191.29463829075</v>
      </c>
      <c r="CO588" s="551">
        <v>211.57073663798016</v>
      </c>
      <c r="CP588" s="551">
        <v>13477.254530146985</v>
      </c>
      <c r="CQ588" s="551"/>
      <c r="CR588" s="551">
        <v>0.73099480167810726</v>
      </c>
      <c r="CS588" s="551">
        <v>985.10052393977537</v>
      </c>
      <c r="CT588" s="551">
        <v>303.36907992963359</v>
      </c>
      <c r="CU588" s="551">
        <v>1940.4937444439247</v>
      </c>
      <c r="CV588" s="551"/>
      <c r="CW588" s="551">
        <v>8.5775739311707552E-2</v>
      </c>
      <c r="CX588" s="551">
        <v>105.3009380519841</v>
      </c>
      <c r="CY588" s="554"/>
    </row>
    <row r="589" spans="65:103" ht="12.75" customHeight="1" x14ac:dyDescent="0.3">
      <c r="BM589" s="562"/>
      <c r="BN589" s="591">
        <v>576</v>
      </c>
      <c r="BO589" s="549" t="s">
        <v>3023</v>
      </c>
      <c r="BP589" s="554" t="s">
        <v>618</v>
      </c>
      <c r="BQ589" s="553">
        <v>4.66</v>
      </c>
      <c r="BR589" s="551">
        <v>80159.581368328596</v>
      </c>
      <c r="BS589" s="551"/>
      <c r="BT589" s="551">
        <v>8209023.8767313324</v>
      </c>
      <c r="BU589" s="551">
        <v>348279.7676550991</v>
      </c>
      <c r="BV589" s="551">
        <v>319216.03806734335</v>
      </c>
      <c r="BW589" s="551">
        <v>3876.2244908420703</v>
      </c>
      <c r="BX589" s="551">
        <v>1633076.3806188391</v>
      </c>
      <c r="BY589" s="551">
        <v>21963671.535691053</v>
      </c>
      <c r="BZ589" s="551">
        <v>604843.10393290338</v>
      </c>
      <c r="CA589" s="551">
        <v>35519.393206303997</v>
      </c>
      <c r="CB589" s="551">
        <v>5.0095864635074092E-30</v>
      </c>
      <c r="CC589" s="551">
        <v>108786.66307993085</v>
      </c>
      <c r="CD589" s="551">
        <v>3106612.7897352921</v>
      </c>
      <c r="CE589" s="551">
        <v>4230.2773270492453</v>
      </c>
      <c r="CF589" s="551">
        <v>1728.7723401521635</v>
      </c>
      <c r="CG589" s="551">
        <v>375005.80515091564</v>
      </c>
      <c r="CH589" s="551">
        <v>1156929.2071683102</v>
      </c>
      <c r="CI589" s="551">
        <v>138891.03894478353</v>
      </c>
      <c r="CJ589" s="551">
        <v>2382.8293334535356</v>
      </c>
      <c r="CK589" s="551">
        <v>539508.59502598422</v>
      </c>
      <c r="CL589" s="551"/>
      <c r="CM589" s="551">
        <v>60.036562316105062</v>
      </c>
      <c r="CN589" s="551">
        <v>90296.111008192122</v>
      </c>
      <c r="CO589" s="551">
        <v>37.794000848562149</v>
      </c>
      <c r="CP589" s="551">
        <v>24883.564391091895</v>
      </c>
      <c r="CQ589" s="551"/>
      <c r="CR589" s="551">
        <v>3.0058199119090006</v>
      </c>
      <c r="CS589" s="551">
        <v>5731.8765163594844</v>
      </c>
      <c r="CT589" s="551">
        <v>76.686929803299748</v>
      </c>
      <c r="CU589" s="551">
        <v>4077.1644620671887</v>
      </c>
      <c r="CV589" s="551"/>
      <c r="CW589" s="551">
        <v>0.39434854049809043</v>
      </c>
      <c r="CX589" s="551">
        <v>726.81311010989941</v>
      </c>
      <c r="CY589" s="554"/>
    </row>
    <row r="590" spans="65:103" ht="12.75" customHeight="1" x14ac:dyDescent="0.3">
      <c r="BM590" s="562"/>
      <c r="BN590" s="591">
        <v>577</v>
      </c>
      <c r="BO590" s="549" t="s">
        <v>3025</v>
      </c>
      <c r="BP590" s="554" t="s">
        <v>618</v>
      </c>
      <c r="BQ590" s="553">
        <v>4.68</v>
      </c>
      <c r="BR590" s="551">
        <v>766.18974085307525</v>
      </c>
      <c r="BS590" s="551"/>
      <c r="BT590" s="551">
        <v>7544295.0511385007</v>
      </c>
      <c r="BU590" s="551">
        <v>322312.03125192842</v>
      </c>
      <c r="BV590" s="551">
        <v>61303.57004269243</v>
      </c>
      <c r="BW590" s="551">
        <v>797.66690130001325</v>
      </c>
      <c r="BX590" s="551">
        <v>84107.850033058217</v>
      </c>
      <c r="BY590" s="551">
        <v>558912.02740621252</v>
      </c>
      <c r="BZ590" s="551">
        <v>31151.05556779934</v>
      </c>
      <c r="CA590" s="551">
        <v>2.7998721386396865</v>
      </c>
      <c r="CB590" s="551">
        <v>6.1374223599594281E-32</v>
      </c>
      <c r="CC590" s="551">
        <v>866.60207659146965</v>
      </c>
      <c r="CD590" s="551">
        <v>1804973.7456661805</v>
      </c>
      <c r="CE590" s="551">
        <v>7.0418509272712928</v>
      </c>
      <c r="CF590" s="551">
        <v>223.34999550607148</v>
      </c>
      <c r="CG590" s="551">
        <v>159.27092688877539</v>
      </c>
      <c r="CH590" s="551">
        <v>394.14375456774616</v>
      </c>
      <c r="CI590" s="551">
        <v>58.989232181027916</v>
      </c>
      <c r="CJ590" s="551">
        <v>1.5048103289218634E-3</v>
      </c>
      <c r="CK590" s="551">
        <v>255734.19294669107</v>
      </c>
      <c r="CL590" s="551"/>
      <c r="CM590" s="551">
        <v>6.3281180086161708</v>
      </c>
      <c r="CN590" s="551">
        <v>0.30724422418855074</v>
      </c>
      <c r="CO590" s="551">
        <v>1.8547391149204735E-7</v>
      </c>
      <c r="CP590" s="551">
        <v>6760.2047992128673</v>
      </c>
      <c r="CQ590" s="551"/>
      <c r="CR590" s="551">
        <v>0.17153236519232493</v>
      </c>
      <c r="CS590" s="551">
        <v>1.7118700057033666E-4</v>
      </c>
      <c r="CT590" s="551">
        <v>4.481415497272268E-7</v>
      </c>
      <c r="CU590" s="551">
        <v>1162.6549086327832</v>
      </c>
      <c r="CV590" s="551"/>
      <c r="CW590" s="551">
        <v>2.7470963655180217E-2</v>
      </c>
      <c r="CX590" s="551">
        <v>2.1479707805091914E-5</v>
      </c>
      <c r="CY590" s="554"/>
    </row>
    <row r="591" spans="65:103" ht="12.75" customHeight="1" x14ac:dyDescent="0.3">
      <c r="BM591" s="562"/>
      <c r="BN591" s="591">
        <v>578</v>
      </c>
      <c r="BO591" s="549" t="s">
        <v>3027</v>
      </c>
      <c r="BP591" s="554" t="s">
        <v>618</v>
      </c>
      <c r="BQ591" s="553">
        <v>4.6900000000000004</v>
      </c>
      <c r="BR591" s="551">
        <v>21876.457183544284</v>
      </c>
      <c r="BS591" s="551"/>
      <c r="BT591" s="551">
        <v>1941296.9269684786</v>
      </c>
      <c r="BU591" s="551">
        <v>80900.335663414822</v>
      </c>
      <c r="BV591" s="551">
        <v>61357033.389291197</v>
      </c>
      <c r="BW591" s="551">
        <v>1201136.1616648459</v>
      </c>
      <c r="BX591" s="551">
        <v>706611.50464144221</v>
      </c>
      <c r="BY591" s="551">
        <v>25822158.118091431</v>
      </c>
      <c r="BZ591" s="551">
        <v>261707.96468201559</v>
      </c>
      <c r="CA591" s="551">
        <v>4979.7599166675736</v>
      </c>
      <c r="CB591" s="551">
        <v>2.4168183079574158E-31</v>
      </c>
      <c r="CC591" s="551">
        <v>843.20584870349262</v>
      </c>
      <c r="CD591" s="551">
        <v>1077216.6823955229</v>
      </c>
      <c r="CE591" s="551">
        <v>26650.538974343042</v>
      </c>
      <c r="CF591" s="551">
        <v>799677.71490905283</v>
      </c>
      <c r="CG591" s="551">
        <v>83353.576093098716</v>
      </c>
      <c r="CH591" s="551">
        <v>186464.78125168729</v>
      </c>
      <c r="CI591" s="551">
        <v>30871.694849295811</v>
      </c>
      <c r="CJ591" s="551">
        <v>168.61999531429225</v>
      </c>
      <c r="CK591" s="551">
        <v>410727.66015813214</v>
      </c>
      <c r="CL591" s="551"/>
      <c r="CM591" s="551">
        <v>60961.609149294934</v>
      </c>
      <c r="CN591" s="551">
        <v>10130.445864689116</v>
      </c>
      <c r="CO591" s="551">
        <v>7.001015195744789</v>
      </c>
      <c r="CP591" s="551">
        <v>28129.329942305929</v>
      </c>
      <c r="CQ591" s="551"/>
      <c r="CR591" s="551">
        <v>6672.9516114369917</v>
      </c>
      <c r="CS591" s="551">
        <v>785.77752601445331</v>
      </c>
      <c r="CT591" s="551">
        <v>1.3179818630981643</v>
      </c>
      <c r="CU591" s="551">
        <v>5174.6760187867776</v>
      </c>
      <c r="CV591" s="551"/>
      <c r="CW591" s="551">
        <v>450.31260484981209</v>
      </c>
      <c r="CX591" s="551">
        <v>27.554516170276212</v>
      </c>
      <c r="CY591" s="554"/>
    </row>
    <row r="592" spans="65:103" ht="12.75" customHeight="1" x14ac:dyDescent="0.3">
      <c r="BM592" s="562"/>
      <c r="BN592" s="591">
        <v>579</v>
      </c>
      <c r="BO592" s="549" t="s">
        <v>3029</v>
      </c>
      <c r="BP592" s="554" t="s">
        <v>618</v>
      </c>
      <c r="BQ592" s="553">
        <v>4.7</v>
      </c>
      <c r="BR592" s="551">
        <v>158027.02121594903</v>
      </c>
      <c r="BS592" s="551"/>
      <c r="BT592" s="551">
        <v>6978302.8132484034</v>
      </c>
      <c r="BU592" s="551">
        <v>331108.59976666153</v>
      </c>
      <c r="BV592" s="551">
        <v>34680538.368133791</v>
      </c>
      <c r="BW592" s="551">
        <v>647713.52182948391</v>
      </c>
      <c r="BX592" s="551">
        <v>1036763.911377402</v>
      </c>
      <c r="BY592" s="551">
        <v>24870781.197217327</v>
      </c>
      <c r="BZ592" s="551">
        <v>383986.63384348218</v>
      </c>
      <c r="CA592" s="551">
        <v>327508.84032523341</v>
      </c>
      <c r="CB592" s="551">
        <v>1.0866054820983524E-29</v>
      </c>
      <c r="CC592" s="551">
        <v>120105.46776168093</v>
      </c>
      <c r="CD592" s="551">
        <v>21783134.182709143</v>
      </c>
      <c r="CE592" s="551">
        <v>596896.1786845522</v>
      </c>
      <c r="CF592" s="551">
        <v>2130604.6668539867</v>
      </c>
      <c r="CG592" s="551">
        <v>1132157.8570491122</v>
      </c>
      <c r="CH592" s="551">
        <v>2733388.208651098</v>
      </c>
      <c r="CI592" s="551">
        <v>419317.72483300453</v>
      </c>
      <c r="CJ592" s="551">
        <v>115269.40070070361</v>
      </c>
      <c r="CK592" s="551">
        <v>41712882.60695006</v>
      </c>
      <c r="CL592" s="551"/>
      <c r="CM592" s="551">
        <v>823380.23118528666</v>
      </c>
      <c r="CN592" s="551">
        <v>1430216.0526013162</v>
      </c>
      <c r="CO592" s="551">
        <v>11055.065694217161</v>
      </c>
      <c r="CP592" s="551">
        <v>13687449.566326397</v>
      </c>
      <c r="CQ592" s="551"/>
      <c r="CR592" s="551">
        <v>298847.27727202338</v>
      </c>
      <c r="CS592" s="551">
        <v>538619.53285993589</v>
      </c>
      <c r="CT592" s="551">
        <v>20232.43848699929</v>
      </c>
      <c r="CU592" s="551">
        <v>3370761.1814593039</v>
      </c>
      <c r="CV592" s="551"/>
      <c r="CW592" s="551">
        <v>56403.010035005413</v>
      </c>
      <c r="CX592" s="551">
        <v>61204.941308547779</v>
      </c>
      <c r="CY592" s="554"/>
    </row>
    <row r="593" spans="65:103" ht="12.75" customHeight="1" x14ac:dyDescent="0.3">
      <c r="BM593" s="562"/>
      <c r="BN593" s="591">
        <v>580</v>
      </c>
      <c r="BO593" s="549" t="s">
        <v>3031</v>
      </c>
      <c r="BP593" s="554" t="s">
        <v>618</v>
      </c>
      <c r="BQ593" s="553">
        <v>4.7</v>
      </c>
      <c r="BR593" s="551">
        <v>71.810154740078943</v>
      </c>
      <c r="BS593" s="551"/>
      <c r="BT593" s="551">
        <v>8500008.2636744659</v>
      </c>
      <c r="BU593" s="551">
        <v>390880.84550690989</v>
      </c>
      <c r="BV593" s="551">
        <v>68488.787223784224</v>
      </c>
      <c r="BW593" s="551">
        <v>959.81533423125586</v>
      </c>
      <c r="BX593" s="551">
        <v>192548.79450442985</v>
      </c>
      <c r="BY593" s="551">
        <v>4038567.2116994746</v>
      </c>
      <c r="BZ593" s="551">
        <v>71314.368334974017</v>
      </c>
      <c r="CA593" s="551">
        <v>6.9673543785646719E-2</v>
      </c>
      <c r="CB593" s="551">
        <v>5.7691618592429086E-33</v>
      </c>
      <c r="CC593" s="551">
        <v>1039.9319251093686</v>
      </c>
      <c r="CD593" s="551">
        <v>4567799.9958920227</v>
      </c>
      <c r="CE593" s="551">
        <v>8.3792478944304705</v>
      </c>
      <c r="CF593" s="551">
        <v>560.81597885321912</v>
      </c>
      <c r="CG593" s="551">
        <v>96.810247993425051</v>
      </c>
      <c r="CH593" s="551">
        <v>758.90854725511485</v>
      </c>
      <c r="CI593" s="551">
        <v>35.855647404972224</v>
      </c>
      <c r="CJ593" s="551">
        <v>9.9164542756209413E-6</v>
      </c>
      <c r="CK593" s="551">
        <v>1573878.2818593355</v>
      </c>
      <c r="CL593" s="551"/>
      <c r="CM593" s="551">
        <v>38.878025328523364</v>
      </c>
      <c r="CN593" s="551">
        <v>4.9455375219224738E-2</v>
      </c>
      <c r="CO593" s="551">
        <v>1.6720103591058885E-9</v>
      </c>
      <c r="CP593" s="551">
        <v>98094.224644846967</v>
      </c>
      <c r="CQ593" s="551"/>
      <c r="CR593" s="551">
        <v>2.4473974997568524</v>
      </c>
      <c r="CS593" s="551">
        <v>4.4041318689387995E-6</v>
      </c>
      <c r="CT593" s="551">
        <v>2.8754838185405232E-10</v>
      </c>
      <c r="CU593" s="551">
        <v>17832.966799973059</v>
      </c>
      <c r="CV593" s="551"/>
      <c r="CW593" s="551">
        <v>0.43240774842306617</v>
      </c>
      <c r="CX593" s="551">
        <v>1.0658936945655847E-6</v>
      </c>
      <c r="CY593" s="554"/>
    </row>
    <row r="594" spans="65:103" ht="12.75" customHeight="1" x14ac:dyDescent="0.3">
      <c r="BM594" s="562"/>
      <c r="BN594" s="591">
        <v>581</v>
      </c>
      <c r="BO594" s="549" t="s">
        <v>3033</v>
      </c>
      <c r="BP594" s="554" t="s">
        <v>618</v>
      </c>
      <c r="BQ594" s="553">
        <v>4.71</v>
      </c>
      <c r="BR594" s="551">
        <v>245389.34472131144</v>
      </c>
      <c r="BS594" s="551"/>
      <c r="BT594" s="551">
        <v>5818882.6206544405</v>
      </c>
      <c r="BU594" s="551">
        <v>223700.95599146347</v>
      </c>
      <c r="BV594" s="551">
        <v>182892.57489835934</v>
      </c>
      <c r="BW594" s="551">
        <v>2026.5392859389456</v>
      </c>
      <c r="BX594" s="551">
        <v>230512.84042605147</v>
      </c>
      <c r="BY594" s="551">
        <v>12309839.930809187</v>
      </c>
      <c r="BZ594" s="551">
        <v>85375.126083722746</v>
      </c>
      <c r="CA594" s="551">
        <v>274085.97412059171</v>
      </c>
      <c r="CB594" s="551">
        <v>1.2540850878982458E-29</v>
      </c>
      <c r="CC594" s="551">
        <v>65501.329990392413</v>
      </c>
      <c r="CD594" s="551">
        <v>2512225.2775443965</v>
      </c>
      <c r="CE594" s="551">
        <v>2058.7641446293092</v>
      </c>
      <c r="CF594" s="551">
        <v>1137.9305907541293</v>
      </c>
      <c r="CG594" s="551">
        <v>129328.16970998255</v>
      </c>
      <c r="CH594" s="551">
        <v>450573.45219247782</v>
      </c>
      <c r="CI594" s="551">
        <v>47899.322114808354</v>
      </c>
      <c r="CJ594" s="551">
        <v>48413.57706092672</v>
      </c>
      <c r="CK594" s="551">
        <v>553199.03281704383</v>
      </c>
      <c r="CL594" s="551"/>
      <c r="CM594" s="551">
        <v>49.73960965857875</v>
      </c>
      <c r="CN594" s="551">
        <v>81993.069834764057</v>
      </c>
      <c r="CO594" s="551">
        <v>2435.7653114796108</v>
      </c>
      <c r="CP594" s="551">
        <v>109189.71166759499</v>
      </c>
      <c r="CQ594" s="551"/>
      <c r="CR594" s="551">
        <v>11.081337999048188</v>
      </c>
      <c r="CS594" s="551">
        <v>15289.405335947233</v>
      </c>
      <c r="CT594" s="551">
        <v>3828.436443323686</v>
      </c>
      <c r="CU594" s="551">
        <v>16433.918126195698</v>
      </c>
      <c r="CV594" s="551"/>
      <c r="CW594" s="551">
        <v>1.2101069877734763</v>
      </c>
      <c r="CX594" s="551">
        <v>1706.0665865775154</v>
      </c>
      <c r="CY594" s="554"/>
    </row>
    <row r="595" spans="65:103" ht="12.75" customHeight="1" x14ac:dyDescent="0.3">
      <c r="BM595" s="562"/>
      <c r="BN595" s="591">
        <v>582</v>
      </c>
      <c r="BO595" s="549" t="s">
        <v>3036</v>
      </c>
      <c r="BP595" s="554" t="s">
        <v>618</v>
      </c>
      <c r="BQ595" s="553">
        <v>4.72</v>
      </c>
      <c r="BR595" s="551">
        <v>195032.90654896441</v>
      </c>
      <c r="BS595" s="551"/>
      <c r="BT595" s="551">
        <v>1769759.0478680423</v>
      </c>
      <c r="BU595" s="551">
        <v>67761.499822652244</v>
      </c>
      <c r="BV595" s="551">
        <v>427875.77101257682</v>
      </c>
      <c r="BW595" s="551">
        <v>3931.3370176448307</v>
      </c>
      <c r="BX595" s="551">
        <v>57777.675565942314</v>
      </c>
      <c r="BY595" s="551">
        <v>10737152.275366208</v>
      </c>
      <c r="BZ595" s="551">
        <v>21399.139098497151</v>
      </c>
      <c r="CA595" s="551">
        <v>193900.15247244091</v>
      </c>
      <c r="CB595" s="551">
        <v>4.1204024297837899E-30</v>
      </c>
      <c r="CC595" s="551">
        <v>8563.72694459782</v>
      </c>
      <c r="CD595" s="551">
        <v>1271633.5847472958</v>
      </c>
      <c r="CE595" s="551">
        <v>2070.4577120682607</v>
      </c>
      <c r="CF595" s="551">
        <v>3688.8352513459517</v>
      </c>
      <c r="CG595" s="551">
        <v>30152.306655914323</v>
      </c>
      <c r="CH595" s="551">
        <v>124740.80467982945</v>
      </c>
      <c r="CI595" s="551">
        <v>11167.520983671973</v>
      </c>
      <c r="CJ595" s="551">
        <v>29924.811630461616</v>
      </c>
      <c r="CK595" s="551">
        <v>344933.00710024306</v>
      </c>
      <c r="CL595" s="551"/>
      <c r="CM595" s="551">
        <v>200.08198800038193</v>
      </c>
      <c r="CN595" s="551">
        <v>16702.345819051094</v>
      </c>
      <c r="CO595" s="551">
        <v>1370.4833783945476</v>
      </c>
      <c r="CP595" s="551">
        <v>65850.274926128623</v>
      </c>
      <c r="CQ595" s="551"/>
      <c r="CR595" s="551">
        <v>51.49998273822959</v>
      </c>
      <c r="CS595" s="551">
        <v>2500.4933156195698</v>
      </c>
      <c r="CT595" s="551">
        <v>2186.9347390194907</v>
      </c>
      <c r="CU595" s="551">
        <v>6645.9276678921169</v>
      </c>
      <c r="CV595" s="551"/>
      <c r="CW595" s="551">
        <v>2.5805733873562415</v>
      </c>
      <c r="CX595" s="551">
        <v>343.99422803438671</v>
      </c>
      <c r="CY595" s="554"/>
    </row>
    <row r="596" spans="65:103" ht="12.75" customHeight="1" x14ac:dyDescent="0.3">
      <c r="BM596" s="562"/>
      <c r="BN596" s="591">
        <v>583</v>
      </c>
      <c r="BO596" s="549" t="s">
        <v>3035</v>
      </c>
      <c r="BP596" s="554" t="s">
        <v>618</v>
      </c>
      <c r="BQ596" s="553">
        <v>4.72</v>
      </c>
      <c r="BR596" s="551">
        <v>176633.66507570317</v>
      </c>
      <c r="BS596" s="551"/>
      <c r="BT596" s="551">
        <v>4257935.3030471252</v>
      </c>
      <c r="BU596" s="551">
        <v>162417.84462677667</v>
      </c>
      <c r="BV596" s="551">
        <v>362457.25298889098</v>
      </c>
      <c r="BW596" s="551">
        <v>3604.4237228159654</v>
      </c>
      <c r="BX596" s="551">
        <v>188227.09119386078</v>
      </c>
      <c r="BY596" s="551">
        <v>10786002.663522331</v>
      </c>
      <c r="BZ596" s="551">
        <v>69713.737479207673</v>
      </c>
      <c r="CA596" s="551">
        <v>167491.03711685375</v>
      </c>
      <c r="CB596" s="551">
        <v>6.6422197986397159E-30</v>
      </c>
      <c r="CC596" s="551">
        <v>26480.63377239908</v>
      </c>
      <c r="CD596" s="551">
        <v>1476353.4360856835</v>
      </c>
      <c r="CE596" s="551">
        <v>2254.167123600937</v>
      </c>
      <c r="CF596" s="551">
        <v>1638.1830951261129</v>
      </c>
      <c r="CG596" s="551">
        <v>87704.451889902019</v>
      </c>
      <c r="CH596" s="551">
        <v>262562.67831603164</v>
      </c>
      <c r="CI596" s="551">
        <v>32483.130329593336</v>
      </c>
      <c r="CJ596" s="551">
        <v>24773.449278137956</v>
      </c>
      <c r="CK596" s="551">
        <v>273285.08319414966</v>
      </c>
      <c r="CL596" s="551"/>
      <c r="CM596" s="551">
        <v>60.192422052973306</v>
      </c>
      <c r="CN596" s="551">
        <v>46560.775079473162</v>
      </c>
      <c r="CO596" s="551">
        <v>1091.7999720661028</v>
      </c>
      <c r="CP596" s="551">
        <v>42797.374113991566</v>
      </c>
      <c r="CQ596" s="551"/>
      <c r="CR596" s="551">
        <v>12.237754298603981</v>
      </c>
      <c r="CS596" s="551">
        <v>7620.9506927716811</v>
      </c>
      <c r="CT596" s="551">
        <v>1647.8751090969693</v>
      </c>
      <c r="CU596" s="551">
        <v>6195.2550559332285</v>
      </c>
      <c r="CV596" s="551"/>
      <c r="CW596" s="551">
        <v>0.9436936227302215</v>
      </c>
      <c r="CX596" s="551">
        <v>801.62930833823953</v>
      </c>
      <c r="CY596" s="554"/>
    </row>
    <row r="597" spans="65:103" ht="12.75" customHeight="1" x14ac:dyDescent="0.3">
      <c r="BM597" s="562"/>
      <c r="BN597" s="591">
        <v>584</v>
      </c>
      <c r="BO597" s="549" t="s">
        <v>3038</v>
      </c>
      <c r="BP597" s="554" t="s">
        <v>618</v>
      </c>
      <c r="BQ597" s="553">
        <v>4.74</v>
      </c>
      <c r="BR597" s="551">
        <v>2003.3931465911512</v>
      </c>
      <c r="BS597" s="551"/>
      <c r="BT597" s="551">
        <v>5179613.2468586359</v>
      </c>
      <c r="BU597" s="551">
        <v>238909.51474926498</v>
      </c>
      <c r="BV597" s="551">
        <v>4568370.8364284793</v>
      </c>
      <c r="BW597" s="551">
        <v>54145.345881549787</v>
      </c>
      <c r="BX597" s="551">
        <v>4536303.8559816135</v>
      </c>
      <c r="BY597" s="551">
        <v>28891385.723158419</v>
      </c>
      <c r="BZ597" s="551">
        <v>1680112.5392524481</v>
      </c>
      <c r="CA597" s="551">
        <v>47.723622464137911</v>
      </c>
      <c r="CB597" s="551">
        <v>1.602938065688586E-31</v>
      </c>
      <c r="CC597" s="551">
        <v>2870.9345562420094</v>
      </c>
      <c r="CD597" s="551">
        <v>2869511.2183024306</v>
      </c>
      <c r="CE597" s="551">
        <v>2532.1376471467443</v>
      </c>
      <c r="CF597" s="551">
        <v>32516.636599641839</v>
      </c>
      <c r="CG597" s="551">
        <v>55997.397780248662</v>
      </c>
      <c r="CH597" s="551">
        <v>131409.84431049833</v>
      </c>
      <c r="CI597" s="551">
        <v>20739.77695564766</v>
      </c>
      <c r="CJ597" s="551">
        <v>0.16697662883887257</v>
      </c>
      <c r="CK597" s="551">
        <v>990579.33142426121</v>
      </c>
      <c r="CL597" s="551"/>
      <c r="CM597" s="551">
        <v>2258.2177456652557</v>
      </c>
      <c r="CN597" s="551">
        <v>703.22416860422402</v>
      </c>
      <c r="CO597" s="551">
        <v>6.7963938396896459E-4</v>
      </c>
      <c r="CP597" s="551">
        <v>61825.480141081716</v>
      </c>
      <c r="CQ597" s="551"/>
      <c r="CR597" s="551">
        <v>179.73980205846271</v>
      </c>
      <c r="CS597" s="551">
        <v>2.3616939928651202</v>
      </c>
      <c r="CT597" s="551">
        <v>1.1974649169311336E-4</v>
      </c>
      <c r="CU597" s="551">
        <v>11242.665922498665</v>
      </c>
      <c r="CV597" s="551"/>
      <c r="CW597" s="551">
        <v>18.213178768730444</v>
      </c>
      <c r="CX597" s="551">
        <v>0.29088795733996325</v>
      </c>
      <c r="CY597" s="554"/>
    </row>
    <row r="598" spans="65:103" ht="12.75" customHeight="1" x14ac:dyDescent="0.3">
      <c r="BM598" s="562"/>
      <c r="BN598" s="591">
        <v>585</v>
      </c>
      <c r="BO598" s="549" t="s">
        <v>3040</v>
      </c>
      <c r="BP598" s="554" t="s">
        <v>618</v>
      </c>
      <c r="BQ598" s="553">
        <v>4.74</v>
      </c>
      <c r="BR598" s="551">
        <v>24045.151396692807</v>
      </c>
      <c r="BS598" s="551"/>
      <c r="BT598" s="551">
        <v>297120.54857790138</v>
      </c>
      <c r="BU598" s="551">
        <v>6785.0846289927094</v>
      </c>
      <c r="BV598" s="551">
        <v>38166541.197905727</v>
      </c>
      <c r="BW598" s="551">
        <v>401026.49255085556</v>
      </c>
      <c r="BX598" s="551">
        <v>125620.74566022478</v>
      </c>
      <c r="BY598" s="551">
        <v>10534123.944155376</v>
      </c>
      <c r="BZ598" s="551">
        <v>46526.202096379551</v>
      </c>
      <c r="CA598" s="551">
        <v>5393.1514636846177</v>
      </c>
      <c r="CB598" s="551">
        <v>1.3506290991620235E-31</v>
      </c>
      <c r="CC598" s="551">
        <v>65.089368044925195</v>
      </c>
      <c r="CD598" s="551">
        <v>99028.583161655159</v>
      </c>
      <c r="CE598" s="551">
        <v>8361.0374944530304</v>
      </c>
      <c r="CF598" s="551">
        <v>292649.88971475046</v>
      </c>
      <c r="CG598" s="551">
        <v>14604.926549672029</v>
      </c>
      <c r="CH598" s="551">
        <v>33290.906196535951</v>
      </c>
      <c r="CI598" s="551">
        <v>5409.2320554340831</v>
      </c>
      <c r="CJ598" s="551">
        <v>180.11153249879703</v>
      </c>
      <c r="CK598" s="551">
        <v>39872.372148524577</v>
      </c>
      <c r="CL598" s="551"/>
      <c r="CM598" s="551">
        <v>22239.453276385262</v>
      </c>
      <c r="CN598" s="551">
        <v>1750.6605151083909</v>
      </c>
      <c r="CO598" s="551">
        <v>4.0028293032736144</v>
      </c>
      <c r="CP598" s="551">
        <v>2493.4015766941579</v>
      </c>
      <c r="CQ598" s="551"/>
      <c r="CR598" s="551">
        <v>3240.7964049882821</v>
      </c>
      <c r="CS598" s="551">
        <v>135.27254826241091</v>
      </c>
      <c r="CT598" s="551">
        <v>2.2650830175589811</v>
      </c>
      <c r="CU598" s="551">
        <v>556.84525968463799</v>
      </c>
      <c r="CV598" s="551"/>
      <c r="CW598" s="551">
        <v>149.65868057266607</v>
      </c>
      <c r="CX598" s="551">
        <v>5.0652331859862691</v>
      </c>
      <c r="CY598" s="554"/>
    </row>
    <row r="599" spans="65:103" ht="12.75" customHeight="1" x14ac:dyDescent="0.3">
      <c r="BM599" s="562"/>
      <c r="BN599" s="591">
        <v>586</v>
      </c>
      <c r="BO599" s="549" t="s">
        <v>3042</v>
      </c>
      <c r="BP599" s="554" t="s">
        <v>618</v>
      </c>
      <c r="BQ599" s="553">
        <v>4.75</v>
      </c>
      <c r="BR599" s="551">
        <v>51858.832758247496</v>
      </c>
      <c r="BS599" s="551"/>
      <c r="BT599" s="551">
        <v>1808558.5234200326</v>
      </c>
      <c r="BU599" s="551">
        <v>77570.28640255348</v>
      </c>
      <c r="BV599" s="551">
        <v>47224438.346919596</v>
      </c>
      <c r="BW599" s="551">
        <v>924351.49028675421</v>
      </c>
      <c r="BX599" s="551">
        <v>2275551.5874306397</v>
      </c>
      <c r="BY599" s="551">
        <v>24433169.867392294</v>
      </c>
      <c r="BZ599" s="551">
        <v>842796.88423356996</v>
      </c>
      <c r="CA599" s="551">
        <v>55517.106140479133</v>
      </c>
      <c r="CB599" s="551">
        <v>3.3796853112052367E-30</v>
      </c>
      <c r="CC599" s="551">
        <v>13766.661621549167</v>
      </c>
      <c r="CD599" s="551">
        <v>2569115.0896709771</v>
      </c>
      <c r="CE599" s="551">
        <v>359470.18278421712</v>
      </c>
      <c r="CF599" s="551">
        <v>1530718.4438714294</v>
      </c>
      <c r="CG599" s="551">
        <v>1262377.5400547013</v>
      </c>
      <c r="CH599" s="551">
        <v>2818819.5175312213</v>
      </c>
      <c r="CI599" s="551">
        <v>467547.23705729656</v>
      </c>
      <c r="CJ599" s="551">
        <v>9340.9140434271194</v>
      </c>
      <c r="CK599" s="551">
        <v>1341842.1587714027</v>
      </c>
      <c r="CL599" s="551"/>
      <c r="CM599" s="551">
        <v>160044.98996309654</v>
      </c>
      <c r="CN599" s="551">
        <v>762351.86991224042</v>
      </c>
      <c r="CO599" s="551">
        <v>965.0566570641538</v>
      </c>
      <c r="CP599" s="551">
        <v>175778.79630913987</v>
      </c>
      <c r="CQ599" s="551"/>
      <c r="CR599" s="551">
        <v>33325.888847679525</v>
      </c>
      <c r="CS599" s="551">
        <v>120184.73768916425</v>
      </c>
      <c r="CT599" s="551">
        <v>450.8935140324337</v>
      </c>
      <c r="CU599" s="551">
        <v>37246.308383821248</v>
      </c>
      <c r="CV599" s="551"/>
      <c r="CW599" s="551">
        <v>2614.4303874313523</v>
      </c>
      <c r="CX599" s="551">
        <v>16621.526121180785</v>
      </c>
      <c r="CY599" s="554"/>
    </row>
    <row r="600" spans="65:103" ht="12.75" customHeight="1" x14ac:dyDescent="0.3">
      <c r="BM600" s="562"/>
      <c r="BN600" s="591">
        <v>587</v>
      </c>
      <c r="BO600" s="549" t="s">
        <v>3046</v>
      </c>
      <c r="BP600" s="554" t="s">
        <v>618</v>
      </c>
      <c r="BQ600" s="553">
        <v>4.75</v>
      </c>
      <c r="BR600" s="551">
        <v>504506.98083452799</v>
      </c>
      <c r="BS600" s="551"/>
      <c r="BT600" s="551">
        <v>4169234.8802775946</v>
      </c>
      <c r="BU600" s="551">
        <v>167625.24892921094</v>
      </c>
      <c r="BV600" s="551">
        <v>179797.86615148457</v>
      </c>
      <c r="BW600" s="551">
        <v>2053.9801397050965</v>
      </c>
      <c r="BX600" s="551">
        <v>77642.564457534507</v>
      </c>
      <c r="BY600" s="551">
        <v>16565748.087503899</v>
      </c>
      <c r="BZ600" s="551">
        <v>28756.505354642406</v>
      </c>
      <c r="CA600" s="551">
        <v>991713.47472159087</v>
      </c>
      <c r="CB600" s="551">
        <v>3.2274077364321845E-29</v>
      </c>
      <c r="CC600" s="551">
        <v>91577.403966655402</v>
      </c>
      <c r="CD600" s="551">
        <v>8122830.4860719098</v>
      </c>
      <c r="CE600" s="551">
        <v>3949.267022298548</v>
      </c>
      <c r="CF600" s="551">
        <v>4976.6167695979393</v>
      </c>
      <c r="CG600" s="551">
        <v>79511.258191655914</v>
      </c>
      <c r="CH600" s="551">
        <v>369558.43462542945</v>
      </c>
      <c r="CI600" s="551">
        <v>29448.614145057749</v>
      </c>
      <c r="CJ600" s="551">
        <v>322389.45474077371</v>
      </c>
      <c r="CK600" s="551">
        <v>3903503.7720104931</v>
      </c>
      <c r="CL600" s="551"/>
      <c r="CM600" s="551">
        <v>478.24195448373894</v>
      </c>
      <c r="CN600" s="551">
        <v>92774.130929556923</v>
      </c>
      <c r="CO600" s="551">
        <v>27076.248786185806</v>
      </c>
      <c r="CP600" s="551">
        <v>1588671.7179611833</v>
      </c>
      <c r="CQ600" s="551"/>
      <c r="CR600" s="551">
        <v>212.7695879754387</v>
      </c>
      <c r="CS600" s="551">
        <v>26417.668014344061</v>
      </c>
      <c r="CT600" s="551">
        <v>52638.473089599509</v>
      </c>
      <c r="CU600" s="551">
        <v>230384.13039130461</v>
      </c>
      <c r="CV600" s="551"/>
      <c r="CW600" s="551">
        <v>24.272905394238911</v>
      </c>
      <c r="CX600" s="551">
        <v>4246.1208560756377</v>
      </c>
      <c r="CY600" s="554"/>
    </row>
    <row r="601" spans="65:103" ht="12.75" customHeight="1" x14ac:dyDescent="0.3">
      <c r="BM601" s="562"/>
      <c r="BN601" s="591">
        <v>588</v>
      </c>
      <c r="BO601" s="549" t="s">
        <v>3044</v>
      </c>
      <c r="BP601" s="554" t="s">
        <v>618</v>
      </c>
      <c r="BQ601" s="553">
        <v>4.75</v>
      </c>
      <c r="BR601" s="551">
        <v>635.40356325160326</v>
      </c>
      <c r="BS601" s="551"/>
      <c r="BT601" s="551">
        <v>7909576.2860836321</v>
      </c>
      <c r="BU601" s="551">
        <v>336999.14557526843</v>
      </c>
      <c r="BV601" s="551">
        <v>203893.35955564384</v>
      </c>
      <c r="BW601" s="551">
        <v>2547.5962334118849</v>
      </c>
      <c r="BX601" s="551">
        <v>2331523.3618986071</v>
      </c>
      <c r="BY601" s="551">
        <v>21652120.220467255</v>
      </c>
      <c r="BZ601" s="551">
        <v>863527.17107355781</v>
      </c>
      <c r="CA601" s="551">
        <v>2.1056826718541606</v>
      </c>
      <c r="CB601" s="551">
        <v>4.9075379984067298E-32</v>
      </c>
      <c r="CC601" s="551">
        <v>1733.4072956136254</v>
      </c>
      <c r="CD601" s="551">
        <v>1884019.2152304698</v>
      </c>
      <c r="CE601" s="551">
        <v>44.68383946214184</v>
      </c>
      <c r="CF601" s="551">
        <v>712.12647263592942</v>
      </c>
      <c r="CG601" s="551">
        <v>4003.8844882830517</v>
      </c>
      <c r="CH601" s="551">
        <v>13536.439306297725</v>
      </c>
      <c r="CI601" s="551">
        <v>1482.9201808455744</v>
      </c>
      <c r="CJ601" s="551">
        <v>1.0263995227306727E-3</v>
      </c>
      <c r="CK601" s="551">
        <v>266940.03349301202</v>
      </c>
      <c r="CL601" s="551"/>
      <c r="CM601" s="551">
        <v>20.176874981199639</v>
      </c>
      <c r="CN601" s="551">
        <v>7.0050092513362445</v>
      </c>
      <c r="CO601" s="551">
        <v>2.2258351613056491E-7</v>
      </c>
      <c r="CP601" s="551">
        <v>7056.6365600093141</v>
      </c>
      <c r="CQ601" s="551"/>
      <c r="CR601" s="551">
        <v>0.56588429671721951</v>
      </c>
      <c r="CS601" s="551">
        <v>3.059904940799797E-3</v>
      </c>
      <c r="CT601" s="551">
        <v>2.4728966243725443E-7</v>
      </c>
      <c r="CU601" s="551">
        <v>1213.6396308380245</v>
      </c>
      <c r="CV601" s="551"/>
      <c r="CW601" s="551">
        <v>8.266389932599183E-2</v>
      </c>
      <c r="CX601" s="551">
        <v>4.8562837905881081E-4</v>
      </c>
      <c r="CY601" s="554"/>
    </row>
    <row r="602" spans="65:103" ht="12.75" customHeight="1" x14ac:dyDescent="0.3">
      <c r="BM602" s="562"/>
      <c r="BN602" s="591">
        <v>589</v>
      </c>
      <c r="BO602" s="549" t="s">
        <v>3048</v>
      </c>
      <c r="BP602" s="554" t="s">
        <v>618</v>
      </c>
      <c r="BQ602" s="553">
        <v>4.75</v>
      </c>
      <c r="BR602" s="551">
        <v>11148.195084048662</v>
      </c>
      <c r="BS602" s="551"/>
      <c r="BT602" s="551">
        <v>579142.0733625131</v>
      </c>
      <c r="BU602" s="551">
        <v>17582.240251501011</v>
      </c>
      <c r="BV602" s="551">
        <v>75032347.452690288</v>
      </c>
      <c r="BW602" s="551">
        <v>1287082.9705390802</v>
      </c>
      <c r="BX602" s="551">
        <v>244787.79256803024</v>
      </c>
      <c r="BY602" s="551">
        <v>24535028.833091274</v>
      </c>
      <c r="BZ602" s="551">
        <v>90662.145395566709</v>
      </c>
      <c r="CA602" s="551">
        <v>1151.7351853874306</v>
      </c>
      <c r="CB602" s="551">
        <v>4.4298678678533529E-32</v>
      </c>
      <c r="CC602" s="551">
        <v>45.138449012732941</v>
      </c>
      <c r="CD602" s="551">
        <v>240043.38836792877</v>
      </c>
      <c r="CE602" s="551">
        <v>5848.0361651758858</v>
      </c>
      <c r="CF602" s="551">
        <v>878601.79629977525</v>
      </c>
      <c r="CG602" s="551">
        <v>13114.320661902224</v>
      </c>
      <c r="CH602" s="551">
        <v>29698.738618735482</v>
      </c>
      <c r="CI602" s="551">
        <v>4857.1558007045269</v>
      </c>
      <c r="CJ602" s="551">
        <v>17.890993760237883</v>
      </c>
      <c r="CK602" s="551">
        <v>137836.10121006682</v>
      </c>
      <c r="CL602" s="551"/>
      <c r="CM602" s="551">
        <v>98437.856463344215</v>
      </c>
      <c r="CN602" s="551">
        <v>731.19175136205081</v>
      </c>
      <c r="CO602" s="551">
        <v>0.34875435372219343</v>
      </c>
      <c r="CP602" s="551">
        <v>12814.908645778483</v>
      </c>
      <c r="CQ602" s="551"/>
      <c r="CR602" s="551">
        <v>15213.970936659669</v>
      </c>
      <c r="CS602" s="551">
        <v>34.771726393858977</v>
      </c>
      <c r="CT602" s="551">
        <v>8.6188982446205084E-2</v>
      </c>
      <c r="CU602" s="551">
        <v>2828.162536606796</v>
      </c>
      <c r="CV602" s="551"/>
      <c r="CW602" s="551">
        <v>1155.0034225543707</v>
      </c>
      <c r="CX602" s="551">
        <v>0.95225340194593777</v>
      </c>
      <c r="CY602" s="554"/>
    </row>
    <row r="603" spans="65:103" ht="12.75" customHeight="1" x14ac:dyDescent="0.3">
      <c r="BM603" s="562"/>
      <c r="BN603" s="591">
        <v>590</v>
      </c>
      <c r="BO603" s="549" t="s">
        <v>3050</v>
      </c>
      <c r="BP603" s="554" t="s">
        <v>618</v>
      </c>
      <c r="BQ603" s="553">
        <v>4.75</v>
      </c>
      <c r="BR603" s="551">
        <v>28566.690833918768</v>
      </c>
      <c r="BS603" s="551"/>
      <c r="BT603" s="551">
        <v>6838245.2247824613</v>
      </c>
      <c r="BU603" s="551">
        <v>314696.24042069231</v>
      </c>
      <c r="BV603" s="551">
        <v>6809768.4589148983</v>
      </c>
      <c r="BW603" s="551">
        <v>81443.488925329919</v>
      </c>
      <c r="BX603" s="551">
        <v>5553052.2589041898</v>
      </c>
      <c r="BY603" s="551">
        <v>42117683.688148476</v>
      </c>
      <c r="BZ603" s="551">
        <v>2056686.0218163671</v>
      </c>
      <c r="CA603" s="551">
        <v>8875.4013741376148</v>
      </c>
      <c r="CB603" s="551">
        <v>2.1681501995327122E-30</v>
      </c>
      <c r="CC603" s="551">
        <v>39568.812810859461</v>
      </c>
      <c r="CD603" s="551">
        <v>4739118.0908346931</v>
      </c>
      <c r="CE603" s="551">
        <v>39404.034891812516</v>
      </c>
      <c r="CF603" s="551">
        <v>61324.264826099126</v>
      </c>
      <c r="CG603" s="551">
        <v>894042.81859235198</v>
      </c>
      <c r="CH603" s="551">
        <v>2106271.5097425557</v>
      </c>
      <c r="CI603" s="551">
        <v>331126.96984901914</v>
      </c>
      <c r="CJ603" s="551">
        <v>411.90144957951526</v>
      </c>
      <c r="CK603" s="551">
        <v>1702510.2259415926</v>
      </c>
      <c r="CL603" s="551"/>
      <c r="CM603" s="551">
        <v>4431.9774357911783</v>
      </c>
      <c r="CN603" s="551">
        <v>148924.89151541417</v>
      </c>
      <c r="CO603" s="551">
        <v>18.060296572430929</v>
      </c>
      <c r="CP603" s="551">
        <v>110535.69678324879</v>
      </c>
      <c r="CQ603" s="551"/>
      <c r="CR603" s="551">
        <v>371.4298363870268</v>
      </c>
      <c r="CS603" s="551">
        <v>6352.4913769850064</v>
      </c>
      <c r="CT603" s="551">
        <v>4.2415767320493805</v>
      </c>
      <c r="CU603" s="551">
        <v>20205.939805866601</v>
      </c>
      <c r="CV603" s="551"/>
      <c r="CW603" s="551">
        <v>36.911296040991836</v>
      </c>
      <c r="CX603" s="551">
        <v>842.941266974325</v>
      </c>
      <c r="CY603" s="554"/>
    </row>
    <row r="604" spans="65:103" ht="12.75" customHeight="1" x14ac:dyDescent="0.3">
      <c r="BM604" s="562"/>
      <c r="BN604" s="591">
        <v>591</v>
      </c>
      <c r="BO604" s="549" t="s">
        <v>3052</v>
      </c>
      <c r="BP604" s="554" t="s">
        <v>618</v>
      </c>
      <c r="BQ604" s="553">
        <v>4.76</v>
      </c>
      <c r="BR604" s="551">
        <v>103872.58989980425</v>
      </c>
      <c r="BS604" s="551"/>
      <c r="BT604" s="551">
        <v>6910927.643858443</v>
      </c>
      <c r="BU604" s="551">
        <v>292083.04716902488</v>
      </c>
      <c r="BV604" s="551">
        <v>506792.70717906981</v>
      </c>
      <c r="BW604" s="551">
        <v>5819.1785275442699</v>
      </c>
      <c r="BX604" s="551">
        <v>874168.68415474216</v>
      </c>
      <c r="BY604" s="551">
        <v>18666932.765815966</v>
      </c>
      <c r="BZ604" s="551">
        <v>323766.17931657116</v>
      </c>
      <c r="CA604" s="551">
        <v>70809.436616009509</v>
      </c>
      <c r="CB604" s="551">
        <v>4.8374712748531944E-30</v>
      </c>
      <c r="CC604" s="551">
        <v>59845.393450866097</v>
      </c>
      <c r="CD604" s="551">
        <v>2741182.8106106217</v>
      </c>
      <c r="CE604" s="551">
        <v>4388.5872522647187</v>
      </c>
      <c r="CF604" s="551">
        <v>2730.6330008170389</v>
      </c>
      <c r="CG604" s="551">
        <v>308926.45671127061</v>
      </c>
      <c r="CH604" s="551">
        <v>868676.56146592251</v>
      </c>
      <c r="CI604" s="551">
        <v>114417.20618935939</v>
      </c>
      <c r="CJ604" s="551">
        <v>7417.1619939607053</v>
      </c>
      <c r="CK604" s="551">
        <v>528585.37504240358</v>
      </c>
      <c r="CL604" s="551"/>
      <c r="CM604" s="551">
        <v>105.2939176631165</v>
      </c>
      <c r="CN604" s="551">
        <v>116146.30122191759</v>
      </c>
      <c r="CO604" s="551">
        <v>209.79855382375695</v>
      </c>
      <c r="CP604" s="551">
        <v>38940.684160292498</v>
      </c>
      <c r="CQ604" s="551"/>
      <c r="CR604" s="551">
        <v>8.8736588760998192</v>
      </c>
      <c r="CS604" s="551">
        <v>13555.407772596065</v>
      </c>
      <c r="CT604" s="551">
        <v>357.64524830706506</v>
      </c>
      <c r="CU604" s="551">
        <v>6042.8270188473871</v>
      </c>
      <c r="CV604" s="551"/>
      <c r="CW604" s="551">
        <v>0.97032174337360944</v>
      </c>
      <c r="CX604" s="551">
        <v>1377.1043951941742</v>
      </c>
      <c r="CY604" s="554"/>
    </row>
    <row r="605" spans="65:103" ht="12.75" customHeight="1" x14ac:dyDescent="0.3">
      <c r="BM605" s="562"/>
      <c r="BN605" s="591">
        <v>592</v>
      </c>
      <c r="BO605" s="549" t="s">
        <v>3054</v>
      </c>
      <c r="BP605" s="554" t="s">
        <v>618</v>
      </c>
      <c r="BQ605" s="553">
        <v>4.76</v>
      </c>
      <c r="BR605" s="551">
        <v>557550.27039832971</v>
      </c>
      <c r="BS605" s="551"/>
      <c r="BT605" s="551">
        <v>11186075.609270824</v>
      </c>
      <c r="BU605" s="551">
        <v>433252.42448037077</v>
      </c>
      <c r="BV605" s="551">
        <v>111487.60213385374</v>
      </c>
      <c r="BW605" s="551">
        <v>1308.4474597651674</v>
      </c>
      <c r="BX605" s="551">
        <v>65386.476823625853</v>
      </c>
      <c r="BY605" s="551">
        <v>1928386.0078997342</v>
      </c>
      <c r="BZ605" s="551">
        <v>24217.213638379944</v>
      </c>
      <c r="CA605" s="551">
        <v>873136.51848294318</v>
      </c>
      <c r="CB605" s="551">
        <v>5.0249097241624861E-29</v>
      </c>
      <c r="CC605" s="551">
        <v>219194.94281795135</v>
      </c>
      <c r="CD605" s="551">
        <v>8491728.9919127338</v>
      </c>
      <c r="CE605" s="551">
        <v>2184.6373498840999</v>
      </c>
      <c r="CF605" s="551">
        <v>1282.2757128028304</v>
      </c>
      <c r="CG605" s="551">
        <v>38776.206378683673</v>
      </c>
      <c r="CH605" s="551">
        <v>100144.83074830868</v>
      </c>
      <c r="CI605" s="551">
        <v>14361.557918030991</v>
      </c>
      <c r="CJ605" s="551">
        <v>221445.25992526903</v>
      </c>
      <c r="CK605" s="551">
        <v>2670255.8718662043</v>
      </c>
      <c r="CL605" s="551"/>
      <c r="CM605" s="551">
        <v>80.039918661306558</v>
      </c>
      <c r="CN605" s="551">
        <v>35298.252819518995</v>
      </c>
      <c r="CO605" s="551">
        <v>14203.889907686103</v>
      </c>
      <c r="CP605" s="551">
        <v>770844.36128765706</v>
      </c>
      <c r="CQ605" s="551"/>
      <c r="CR605" s="551">
        <v>24.292193848416254</v>
      </c>
      <c r="CS605" s="551">
        <v>9755.1695478946294</v>
      </c>
      <c r="CT605" s="551">
        <v>24951.228588546695</v>
      </c>
      <c r="CU605" s="551">
        <v>129781.45195309924</v>
      </c>
      <c r="CV605" s="551"/>
      <c r="CW605" s="551">
        <v>3.5549187040152348</v>
      </c>
      <c r="CX605" s="551">
        <v>965.13531289801858</v>
      </c>
      <c r="CY605" s="554"/>
    </row>
    <row r="606" spans="65:103" ht="12.75" customHeight="1" x14ac:dyDescent="0.3">
      <c r="BM606" s="562"/>
      <c r="BN606" s="591">
        <v>593</v>
      </c>
      <c r="BO606" s="549" t="s">
        <v>3056</v>
      </c>
      <c r="BP606" s="554" t="s">
        <v>618</v>
      </c>
      <c r="BQ606" s="553">
        <v>4.7699999999999996</v>
      </c>
      <c r="BR606" s="551">
        <v>306179.61212953704</v>
      </c>
      <c r="BS606" s="551"/>
      <c r="BT606" s="551">
        <v>6836876.2745963288</v>
      </c>
      <c r="BU606" s="551">
        <v>263417.14697829593</v>
      </c>
      <c r="BV606" s="551">
        <v>137702.56833697468</v>
      </c>
      <c r="BW606" s="551">
        <v>1568.9528495842519</v>
      </c>
      <c r="BX606" s="551">
        <v>218977.1142177899</v>
      </c>
      <c r="BY606" s="551">
        <v>12719223.356995247</v>
      </c>
      <c r="BZ606" s="551">
        <v>81102.634895477735</v>
      </c>
      <c r="CA606" s="551">
        <v>374856.9218584334</v>
      </c>
      <c r="CB606" s="551">
        <v>1.806118626328744E-29</v>
      </c>
      <c r="CC606" s="551">
        <v>106089.59504775591</v>
      </c>
      <c r="CD606" s="551">
        <v>3421382.6162467031</v>
      </c>
      <c r="CE606" s="551">
        <v>2136.7667228654259</v>
      </c>
      <c r="CF606" s="551">
        <v>1018.9139292668335</v>
      </c>
      <c r="CG606" s="551">
        <v>136867.12823183462</v>
      </c>
      <c r="CH606" s="551">
        <v>537261.04713330814</v>
      </c>
      <c r="CI606" s="551">
        <v>50691.52897475355</v>
      </c>
      <c r="CJ606" s="551">
        <v>73073.536049347706</v>
      </c>
      <c r="CK606" s="551">
        <v>835898.7062824195</v>
      </c>
      <c r="CL606" s="551"/>
      <c r="CM606" s="551">
        <v>49.414645378327961</v>
      </c>
      <c r="CN606" s="551">
        <v>95762.924195696047</v>
      </c>
      <c r="CO606" s="551">
        <v>3954.0094559406307</v>
      </c>
      <c r="CP606" s="551">
        <v>186125.5655634827</v>
      </c>
      <c r="CQ606" s="551"/>
      <c r="CR606" s="551">
        <v>11.978455906029707</v>
      </c>
      <c r="CS606" s="551">
        <v>18833.438789749518</v>
      </c>
      <c r="CT606" s="551">
        <v>6360.4749511077989</v>
      </c>
      <c r="CU606" s="551">
        <v>28514.619738346719</v>
      </c>
      <c r="CV606" s="551"/>
      <c r="CW606" s="551">
        <v>1.4560702675822905</v>
      </c>
      <c r="CX606" s="551">
        <v>2228.7533640965021</v>
      </c>
      <c r="CY606" s="554"/>
    </row>
    <row r="607" spans="65:103" ht="12.75" customHeight="1" x14ac:dyDescent="0.3">
      <c r="BM607" s="562"/>
      <c r="BN607" s="591">
        <v>594</v>
      </c>
      <c r="BO607" s="549" t="s">
        <v>3058</v>
      </c>
      <c r="BP607" s="554" t="s">
        <v>618</v>
      </c>
      <c r="BQ607" s="553">
        <v>4.7699999999999996</v>
      </c>
      <c r="BR607" s="551">
        <v>4173.9526027307829</v>
      </c>
      <c r="BS607" s="551"/>
      <c r="BT607" s="551">
        <v>1622142.7354502908</v>
      </c>
      <c r="BU607" s="551">
        <v>67047.126351837273</v>
      </c>
      <c r="BV607" s="551">
        <v>67320455.579492316</v>
      </c>
      <c r="BW607" s="551">
        <v>1359702.4993201676</v>
      </c>
      <c r="BX607" s="551">
        <v>4305879.572510005</v>
      </c>
      <c r="BY607" s="551">
        <v>33707196.775959328</v>
      </c>
      <c r="BZ607" s="551">
        <v>1594770.2120407426</v>
      </c>
      <c r="CA607" s="551">
        <v>161.19822457599463</v>
      </c>
      <c r="CB607" s="551">
        <v>2.3164992231409706E-31</v>
      </c>
      <c r="CC607" s="551">
        <v>665.79688503023146</v>
      </c>
      <c r="CD607" s="551">
        <v>913424.35907230352</v>
      </c>
      <c r="CE607" s="551">
        <v>27631.19955112951</v>
      </c>
      <c r="CF607" s="551">
        <v>926203.29278027243</v>
      </c>
      <c r="CG607" s="551">
        <v>86173.378126916286</v>
      </c>
      <c r="CH607" s="551">
        <v>192178.21870752648</v>
      </c>
      <c r="CI607" s="551">
        <v>31916.06597293196</v>
      </c>
      <c r="CJ607" s="551">
        <v>0.91535660194472945</v>
      </c>
      <c r="CK607" s="551">
        <v>355954.58718394313</v>
      </c>
      <c r="CL607" s="551"/>
      <c r="CM607" s="551">
        <v>71998.332142760191</v>
      </c>
      <c r="CN607" s="551">
        <v>1756.3329038024183</v>
      </c>
      <c r="CO607" s="551">
        <v>4.6077483355979228E-3</v>
      </c>
      <c r="CP607" s="551">
        <v>24526.121746656023</v>
      </c>
      <c r="CQ607" s="551"/>
      <c r="CR607" s="551">
        <v>7987.5996072896414</v>
      </c>
      <c r="CS607" s="551">
        <v>11.381344385547839</v>
      </c>
      <c r="CT607" s="551">
        <v>1.6103879965679603E-3</v>
      </c>
      <c r="CU607" s="551">
        <v>4623.50652144582</v>
      </c>
      <c r="CV607" s="551"/>
      <c r="CW607" s="551">
        <v>545.60891502067079</v>
      </c>
      <c r="CX607" s="551">
        <v>1.095161783243082</v>
      </c>
      <c r="CY607" s="554"/>
    </row>
    <row r="608" spans="65:103" ht="12.75" customHeight="1" x14ac:dyDescent="0.3">
      <c r="BM608" s="562"/>
      <c r="BN608" s="591">
        <v>595</v>
      </c>
      <c r="BO608" s="549" t="s">
        <v>3060</v>
      </c>
      <c r="BP608" s="554" t="s">
        <v>618</v>
      </c>
      <c r="BQ608" s="553">
        <v>4.79</v>
      </c>
      <c r="BR608" s="551">
        <v>300394.64912444685</v>
      </c>
      <c r="BS608" s="551"/>
      <c r="BT608" s="551">
        <v>4946506.9005438229</v>
      </c>
      <c r="BU608" s="551">
        <v>188276.55478132129</v>
      </c>
      <c r="BV608" s="551">
        <v>174220.81466264295</v>
      </c>
      <c r="BW608" s="551">
        <v>1895.5569212415724</v>
      </c>
      <c r="BX608" s="551">
        <v>123648.06989023852</v>
      </c>
      <c r="BY608" s="551">
        <v>11172625.553629505</v>
      </c>
      <c r="BZ608" s="551">
        <v>45795.581440829075</v>
      </c>
      <c r="CA608" s="551">
        <v>366960.506924154</v>
      </c>
      <c r="CB608" s="551">
        <v>1.4764717773342951E-29</v>
      </c>
      <c r="CC608" s="551">
        <v>54899.307684633663</v>
      </c>
      <c r="CD608" s="551">
        <v>2691656.6022104891</v>
      </c>
      <c r="CE608" s="551">
        <v>1933.6073519235224</v>
      </c>
      <c r="CF608" s="551">
        <v>1354.9717615801223</v>
      </c>
      <c r="CG608" s="551">
        <v>73933.024177483487</v>
      </c>
      <c r="CH608" s="551">
        <v>273679.59846640151</v>
      </c>
      <c r="CI608" s="551">
        <v>27382.601547216109</v>
      </c>
      <c r="CJ608" s="551">
        <v>71046.301023809196</v>
      </c>
      <c r="CK608" s="551">
        <v>662781.54689670133</v>
      </c>
      <c r="CL608" s="551"/>
      <c r="CM608" s="551">
        <v>66.228358531776479</v>
      </c>
      <c r="CN608" s="551">
        <v>51376.471153138977</v>
      </c>
      <c r="CO608" s="551">
        <v>3951.576889252332</v>
      </c>
      <c r="CP608" s="551">
        <v>153063.21882952144</v>
      </c>
      <c r="CQ608" s="551"/>
      <c r="CR608" s="551">
        <v>17.464297375699239</v>
      </c>
      <c r="CS608" s="551">
        <v>10225.752200886247</v>
      </c>
      <c r="CT608" s="551">
        <v>6230.812728617263</v>
      </c>
      <c r="CU608" s="551">
        <v>22303.001444052443</v>
      </c>
      <c r="CV608" s="551"/>
      <c r="CW608" s="551">
        <v>1.7960528791463761</v>
      </c>
      <c r="CX608" s="551">
        <v>1214.3726516100944</v>
      </c>
      <c r="CY608" s="554"/>
    </row>
    <row r="609" spans="65:103" ht="12.75" customHeight="1" x14ac:dyDescent="0.3">
      <c r="BM609" s="562"/>
      <c r="BN609" s="591">
        <v>596</v>
      </c>
      <c r="BO609" s="549" t="s">
        <v>3062</v>
      </c>
      <c r="BP609" s="554" t="s">
        <v>618</v>
      </c>
      <c r="BQ609" s="553">
        <v>4.8</v>
      </c>
      <c r="BR609" s="551">
        <v>18775.735121272293</v>
      </c>
      <c r="BS609" s="551"/>
      <c r="BT609" s="551">
        <v>1505984.4184163574</v>
      </c>
      <c r="BU609" s="551">
        <v>60385.217425899929</v>
      </c>
      <c r="BV609" s="551">
        <v>61460024.180933267</v>
      </c>
      <c r="BW609" s="551">
        <v>1201373.9997117275</v>
      </c>
      <c r="BX609" s="551">
        <v>375369.00964212237</v>
      </c>
      <c r="BY609" s="551">
        <v>24832709.945873089</v>
      </c>
      <c r="BZ609" s="551">
        <v>139025.55912671195</v>
      </c>
      <c r="CA609" s="551">
        <v>3359.8716647357555</v>
      </c>
      <c r="CB609" s="551">
        <v>1.3073621420319146E-31</v>
      </c>
      <c r="CC609" s="551">
        <v>351.09397029718201</v>
      </c>
      <c r="CD609" s="551">
        <v>779262.67322643183</v>
      </c>
      <c r="CE609" s="551">
        <v>14328.331449096688</v>
      </c>
      <c r="CF609" s="551">
        <v>775178.06051531306</v>
      </c>
      <c r="CG609" s="551">
        <v>34841.044280018701</v>
      </c>
      <c r="CH609" s="551">
        <v>78877.16841611157</v>
      </c>
      <c r="CI609" s="551">
        <v>12904.090474081</v>
      </c>
      <c r="CJ609" s="551">
        <v>89.678124133956217</v>
      </c>
      <c r="CK609" s="551">
        <v>304117.98510490701</v>
      </c>
      <c r="CL609" s="551"/>
      <c r="CM609" s="551">
        <v>60356.534543506757</v>
      </c>
      <c r="CN609" s="551">
        <v>3337.7872002903891</v>
      </c>
      <c r="CO609" s="551">
        <v>2.2440267385708625</v>
      </c>
      <c r="CP609" s="551">
        <v>21063.14721341019</v>
      </c>
      <c r="CQ609" s="551"/>
      <c r="CR609" s="551">
        <v>6727.7884844072769</v>
      </c>
      <c r="CS609" s="551">
        <v>223.09046180981915</v>
      </c>
      <c r="CT609" s="551">
        <v>0.77284000763145044</v>
      </c>
      <c r="CU609" s="551">
        <v>3946.9413436080276</v>
      </c>
      <c r="CV609" s="551"/>
      <c r="CW609" s="551">
        <v>457.14371768605486</v>
      </c>
      <c r="CX609" s="551">
        <v>7.3192515864311467</v>
      </c>
      <c r="CY609" s="554"/>
    </row>
    <row r="610" spans="65:103" ht="12.75" customHeight="1" x14ac:dyDescent="0.3">
      <c r="BM610" s="562"/>
      <c r="BN610" s="591">
        <v>597</v>
      </c>
      <c r="BO610" s="549" t="s">
        <v>3064</v>
      </c>
      <c r="BP610" s="554" t="s">
        <v>618</v>
      </c>
      <c r="BQ610" s="553">
        <v>4.8</v>
      </c>
      <c r="BR610" s="551">
        <v>161106.42233510196</v>
      </c>
      <c r="BS610" s="551"/>
      <c r="BT610" s="551">
        <v>5406485.163393246</v>
      </c>
      <c r="BU610" s="551">
        <v>208353.11047891833</v>
      </c>
      <c r="BV610" s="551">
        <v>360791.80815182958</v>
      </c>
      <c r="BW610" s="551">
        <v>3736.6675416797907</v>
      </c>
      <c r="BX610" s="551">
        <v>459996.82292659284</v>
      </c>
      <c r="BY610" s="551">
        <v>13259599.657130027</v>
      </c>
      <c r="BZ610" s="551">
        <v>170369.1936765158</v>
      </c>
      <c r="CA610" s="551">
        <v>142373.04394317034</v>
      </c>
      <c r="CB610" s="551">
        <v>7.5941409887898373E-30</v>
      </c>
      <c r="CC610" s="551">
        <v>42189.840035710404</v>
      </c>
      <c r="CD610" s="551">
        <v>1770558.0530599414</v>
      </c>
      <c r="CE610" s="551">
        <v>2815.4611012687687</v>
      </c>
      <c r="CF610" s="551">
        <v>1587.6861142896814</v>
      </c>
      <c r="CG610" s="551">
        <v>208083.52983628449</v>
      </c>
      <c r="CH610" s="551">
        <v>561483.40002797428</v>
      </c>
      <c r="CI610" s="551">
        <v>77067.974013438681</v>
      </c>
      <c r="CJ610" s="551">
        <v>19574.098052435605</v>
      </c>
      <c r="CK610" s="551">
        <v>309520.67773984012</v>
      </c>
      <c r="CL610" s="551"/>
      <c r="CM610" s="551">
        <v>55.093597777976449</v>
      </c>
      <c r="CN610" s="551">
        <v>102682.24395719433</v>
      </c>
      <c r="CO610" s="551">
        <v>755.638118593635</v>
      </c>
      <c r="CP610" s="551">
        <v>42622.208105274061</v>
      </c>
      <c r="CQ610" s="551"/>
      <c r="CR610" s="551">
        <v>9.4384649257553495</v>
      </c>
      <c r="CS610" s="551">
        <v>16263.676697687159</v>
      </c>
      <c r="CT610" s="551">
        <v>1221.9640805508359</v>
      </c>
      <c r="CU610" s="551">
        <v>6421.9254970642123</v>
      </c>
      <c r="CV610" s="551"/>
      <c r="CW610" s="551">
        <v>0.82785531749356511</v>
      </c>
      <c r="CX610" s="551">
        <v>1576.2137694542964</v>
      </c>
      <c r="CY610" s="554"/>
    </row>
    <row r="611" spans="65:103" ht="12.75" customHeight="1" x14ac:dyDescent="0.3">
      <c r="BM611" s="562"/>
      <c r="BN611" s="591">
        <v>598</v>
      </c>
      <c r="BO611" s="549" t="s">
        <v>3066</v>
      </c>
      <c r="BP611" s="554" t="s">
        <v>618</v>
      </c>
      <c r="BQ611" s="553">
        <v>4.8099999999999996</v>
      </c>
      <c r="BR611" s="551">
        <v>1.8934331795375245</v>
      </c>
      <c r="BS611" s="551"/>
      <c r="BT611" s="551">
        <v>12701090.832541304</v>
      </c>
      <c r="BU611" s="551">
        <v>585402.41403018055</v>
      </c>
      <c r="BV611" s="551">
        <v>186664.18427402273</v>
      </c>
      <c r="BW611" s="551">
        <v>2585.2615852235867</v>
      </c>
      <c r="BX611" s="551">
        <v>1015171.8326543559</v>
      </c>
      <c r="BY611" s="551">
        <v>10166832.903050721</v>
      </c>
      <c r="BZ611" s="551">
        <v>375989.56764976145</v>
      </c>
      <c r="CA611" s="551">
        <v>2.2617947556125493E-5</v>
      </c>
      <c r="CB611" s="551">
        <v>1.5214339385364923E-34</v>
      </c>
      <c r="CC611" s="551">
        <v>11.862381000742939</v>
      </c>
      <c r="CD611" s="551">
        <v>6836029.6577559626</v>
      </c>
      <c r="CE611" s="551">
        <v>0.17433791335293511</v>
      </c>
      <c r="CF611" s="551">
        <v>1509.4680553140406</v>
      </c>
      <c r="CG611" s="551">
        <v>6.2840735496176441</v>
      </c>
      <c r="CH611" s="551">
        <v>23.535474004373157</v>
      </c>
      <c r="CI611" s="551">
        <v>2.3274346480065349</v>
      </c>
      <c r="CJ611" s="551">
        <v>8.4343891969268444E-11</v>
      </c>
      <c r="CK611" s="551">
        <v>2355442.391431022</v>
      </c>
      <c r="CL611" s="551"/>
      <c r="CM611" s="551">
        <v>104.64340666447669</v>
      </c>
      <c r="CN611" s="551">
        <v>8.4109559659903508E-5</v>
      </c>
      <c r="CO611" s="551">
        <v>2.8255091939581586E-12</v>
      </c>
      <c r="CP611" s="551">
        <v>146807.8276430112</v>
      </c>
      <c r="CQ611" s="551"/>
      <c r="CR611" s="551">
        <v>6.6221863565465346</v>
      </c>
      <c r="CS611" s="551">
        <v>2.0012951100600039E-6</v>
      </c>
      <c r="CT611" s="551">
        <v>5.2110200564166048E-13</v>
      </c>
      <c r="CU611" s="551">
        <v>26688.851215185521</v>
      </c>
      <c r="CV611" s="551"/>
      <c r="CW611" s="551">
        <v>1.1527845822635387</v>
      </c>
      <c r="CX611" s="551">
        <v>2.8372887983056596E-7</v>
      </c>
      <c r="CY611" s="554"/>
    </row>
    <row r="612" spans="65:103" ht="12.75" customHeight="1" x14ac:dyDescent="0.3">
      <c r="BM612" s="562"/>
      <c r="BN612" s="591">
        <v>599</v>
      </c>
      <c r="BO612" s="549" t="s">
        <v>3068</v>
      </c>
      <c r="BP612" s="554" t="s">
        <v>618</v>
      </c>
      <c r="BQ612" s="553">
        <v>4.8099999999999996</v>
      </c>
      <c r="BR612" s="551">
        <v>311578.75828841282</v>
      </c>
      <c r="BS612" s="551"/>
      <c r="BT612" s="551">
        <v>6825572.5660675876</v>
      </c>
      <c r="BU612" s="551">
        <v>263038.55681346433</v>
      </c>
      <c r="BV612" s="551">
        <v>139621.94055060527</v>
      </c>
      <c r="BW612" s="551">
        <v>1589.9958666990351</v>
      </c>
      <c r="BX612" s="551">
        <v>224018.98364891968</v>
      </c>
      <c r="BY612" s="551">
        <v>12779703.868432345</v>
      </c>
      <c r="BZ612" s="551">
        <v>82969.993944044327</v>
      </c>
      <c r="CA612" s="551">
        <v>392433.99413833243</v>
      </c>
      <c r="CB612" s="551">
        <v>1.8881212959805189E-29</v>
      </c>
      <c r="CC612" s="551">
        <v>110067.14467599103</v>
      </c>
      <c r="CD612" s="551">
        <v>3534763.1157063898</v>
      </c>
      <c r="CE612" s="551">
        <v>2251.5017138525459</v>
      </c>
      <c r="CF612" s="551">
        <v>1068.3336336351269</v>
      </c>
      <c r="CG612" s="551">
        <v>143932.61958700829</v>
      </c>
      <c r="CH612" s="551">
        <v>562603.20397862152</v>
      </c>
      <c r="CI612" s="551">
        <v>53308.377624817869</v>
      </c>
      <c r="CJ612" s="551">
        <v>78910.753953096442</v>
      </c>
      <c r="CK612" s="551">
        <v>888386.96823377814</v>
      </c>
      <c r="CL612" s="551"/>
      <c r="CM612" s="551">
        <v>53.298485915230309</v>
      </c>
      <c r="CN612" s="551">
        <v>103880.12350809836</v>
      </c>
      <c r="CO612" s="551">
        <v>4384.1813843387617</v>
      </c>
      <c r="CP612" s="551">
        <v>205388.69658182928</v>
      </c>
      <c r="CQ612" s="551"/>
      <c r="CR612" s="551">
        <v>13.428730906607026</v>
      </c>
      <c r="CS612" s="551">
        <v>20990.956180886289</v>
      </c>
      <c r="CT612" s="551">
        <v>7092.9508091904345</v>
      </c>
      <c r="CU612" s="551">
        <v>31632.238029087097</v>
      </c>
      <c r="CV612" s="551"/>
      <c r="CW612" s="551">
        <v>1.6366566659357069</v>
      </c>
      <c r="CX612" s="551">
        <v>2495.4564662695866</v>
      </c>
      <c r="CY612" s="554"/>
    </row>
    <row r="613" spans="65:103" ht="12.75" customHeight="1" x14ac:dyDescent="0.3">
      <c r="BM613" s="562"/>
      <c r="BN613" s="591">
        <v>600</v>
      </c>
      <c r="BO613" s="549" t="s">
        <v>3070</v>
      </c>
      <c r="BP613" s="554" t="s">
        <v>618</v>
      </c>
      <c r="BQ613" s="553">
        <v>4.82</v>
      </c>
      <c r="BR613" s="551">
        <v>706498.34131325479</v>
      </c>
      <c r="BS613" s="551"/>
      <c r="BT613" s="551">
        <v>1993659.3822978407</v>
      </c>
      <c r="BU613" s="551">
        <v>67929.071515890799</v>
      </c>
      <c r="BV613" s="551">
        <v>18279.95980467763</v>
      </c>
      <c r="BW613" s="551">
        <v>189.39962962146362</v>
      </c>
      <c r="BX613" s="551">
        <v>11.417342157081256</v>
      </c>
      <c r="BY613" s="551">
        <v>67259120.899994075</v>
      </c>
      <c r="BZ613" s="551">
        <v>4.2286452433634283</v>
      </c>
      <c r="CA613" s="551">
        <v>1397884.7124636376</v>
      </c>
      <c r="CB613" s="551">
        <v>3.8341618662799956E-33</v>
      </c>
      <c r="CC613" s="551">
        <v>3.6801019358328362</v>
      </c>
      <c r="CD613" s="551">
        <v>1580010.9556427924</v>
      </c>
      <c r="CE613" s="551">
        <v>3.3743033570059741E-2</v>
      </c>
      <c r="CF613" s="551">
        <v>220.26908591455913</v>
      </c>
      <c r="CG613" s="551">
        <v>6.2760536715943713</v>
      </c>
      <c r="CH613" s="551">
        <v>44.317074032543715</v>
      </c>
      <c r="CI613" s="551">
        <v>2.3244643228127297</v>
      </c>
      <c r="CJ613" s="551">
        <v>470541.77842956979</v>
      </c>
      <c r="CK613" s="551">
        <v>5090616.7526270822</v>
      </c>
      <c r="CL613" s="551"/>
      <c r="CM613" s="551">
        <v>143.36861726198629</v>
      </c>
      <c r="CN613" s="551">
        <v>7.5825824001770421</v>
      </c>
      <c r="CO613" s="551">
        <v>55076.240749513818</v>
      </c>
      <c r="CP613" s="551">
        <v>841047.78073942405</v>
      </c>
      <c r="CQ613" s="551"/>
      <c r="CR613" s="551">
        <v>23.737065169730414</v>
      </c>
      <c r="CS613" s="551">
        <v>3.6351919025738186</v>
      </c>
      <c r="CT613" s="551">
        <v>81664.023956289253</v>
      </c>
      <c r="CU613" s="551">
        <v>1656649.7623139371</v>
      </c>
      <c r="CV613" s="551"/>
      <c r="CW613" s="551">
        <v>46.472387463171053</v>
      </c>
      <c r="CX613" s="551">
        <v>0.41848622620931142</v>
      </c>
      <c r="CY613" s="554"/>
    </row>
    <row r="614" spans="65:103" ht="12.75" customHeight="1" x14ac:dyDescent="0.3">
      <c r="BM614" s="562"/>
      <c r="BN614" s="591">
        <v>601</v>
      </c>
      <c r="BO614" s="549" t="s">
        <v>3071</v>
      </c>
      <c r="BP614" s="554" t="s">
        <v>618</v>
      </c>
      <c r="BQ614" s="553">
        <v>4.84</v>
      </c>
      <c r="BR614" s="551">
        <v>6687.4505074565659</v>
      </c>
      <c r="BS614" s="551"/>
      <c r="BT614" s="551">
        <v>9054790.9904037509</v>
      </c>
      <c r="BU614" s="551">
        <v>417780.95064939902</v>
      </c>
      <c r="BV614" s="551">
        <v>3068458.1581451641</v>
      </c>
      <c r="BW614" s="551">
        <v>35440.711440346044</v>
      </c>
      <c r="BX614" s="551">
        <v>728327.862159251</v>
      </c>
      <c r="BY614" s="551">
        <v>4605079.6489460934</v>
      </c>
      <c r="BZ614" s="551">
        <v>269751.06005898176</v>
      </c>
      <c r="CA614" s="551">
        <v>314.47309663978473</v>
      </c>
      <c r="CB614" s="551">
        <v>5.1740682264764763E-31</v>
      </c>
      <c r="CC614" s="551">
        <v>6732.9291631825026</v>
      </c>
      <c r="CD614" s="551">
        <v>5131105.5995987216</v>
      </c>
      <c r="CE614" s="551">
        <v>2281.6331642415539</v>
      </c>
      <c r="CF614" s="551">
        <v>21763.801418261683</v>
      </c>
      <c r="CG614" s="551">
        <v>17747.949893159253</v>
      </c>
      <c r="CH614" s="551">
        <v>39908.779396777645</v>
      </c>
      <c r="CI614" s="551">
        <v>6573.3147752441655</v>
      </c>
      <c r="CJ614" s="551">
        <v>2.1765452373552856</v>
      </c>
      <c r="CK614" s="551">
        <v>1771224.3475224439</v>
      </c>
      <c r="CL614" s="551"/>
      <c r="CM614" s="551">
        <v>1511.4788747276339</v>
      </c>
      <c r="CN614" s="551">
        <v>440.89588965803802</v>
      </c>
      <c r="CO614" s="551">
        <v>1.0901041175072276E-2</v>
      </c>
      <c r="CP614" s="551">
        <v>110472.07185100261</v>
      </c>
      <c r="CQ614" s="551"/>
      <c r="CR614" s="551">
        <v>109.6841777017047</v>
      </c>
      <c r="CS614" s="551">
        <v>3.0993602459038239</v>
      </c>
      <c r="CT614" s="551">
        <v>5.2803434965231575E-3</v>
      </c>
      <c r="CU614" s="551">
        <v>20085.162286162096</v>
      </c>
      <c r="CV614" s="551"/>
      <c r="CW614" s="551">
        <v>13.548007750687649</v>
      </c>
      <c r="CX614" s="551">
        <v>0.35540487663030745</v>
      </c>
      <c r="CY614" s="554"/>
    </row>
    <row r="615" spans="65:103" ht="12.75" customHeight="1" x14ac:dyDescent="0.3">
      <c r="BM615" s="562"/>
      <c r="BN615" s="591">
        <v>602</v>
      </c>
      <c r="BO615" s="549" t="s">
        <v>3075</v>
      </c>
      <c r="BP615" s="554" t="s">
        <v>618</v>
      </c>
      <c r="BQ615" s="553">
        <v>4.84</v>
      </c>
      <c r="BR615" s="551">
        <v>420658.56260567036</v>
      </c>
      <c r="BS615" s="551"/>
      <c r="BT615" s="551">
        <v>42546981.955668867</v>
      </c>
      <c r="BU615" s="551">
        <v>2066155.6010329307</v>
      </c>
      <c r="BV615" s="551">
        <v>400728.57422662398</v>
      </c>
      <c r="BW615" s="551">
        <v>5914.4456304051737</v>
      </c>
      <c r="BX615" s="551">
        <v>138453.76621553861</v>
      </c>
      <c r="BY615" s="551">
        <v>5466432.0170665784</v>
      </c>
      <c r="BZ615" s="551">
        <v>51279.172672421708</v>
      </c>
      <c r="CA615" s="551">
        <v>522028.69181363593</v>
      </c>
      <c r="CB615" s="551">
        <v>2.9034263989547809E-29</v>
      </c>
      <c r="CC615" s="551">
        <v>1165987.4200720184</v>
      </c>
      <c r="CD615" s="551">
        <v>214335893.95501629</v>
      </c>
      <c r="CE615" s="551">
        <v>10981.847711277798</v>
      </c>
      <c r="CF615" s="551">
        <v>30677.214988248797</v>
      </c>
      <c r="CG615" s="551">
        <v>89993.924159476956</v>
      </c>
      <c r="CH615" s="551">
        <v>365723.71860609989</v>
      </c>
      <c r="CI615" s="551">
        <v>33331.083022028506</v>
      </c>
      <c r="CJ615" s="551">
        <v>158085.74162201447</v>
      </c>
      <c r="CK615" s="551">
        <v>4093012388.0348525</v>
      </c>
      <c r="CL615" s="551"/>
      <c r="CM615" s="551">
        <v>118346.20100478875</v>
      </c>
      <c r="CN615" s="551">
        <v>97817.187696526555</v>
      </c>
      <c r="CO615" s="551">
        <v>16380.706434963584</v>
      </c>
      <c r="CP615" s="551">
        <v>2633779080.8197484</v>
      </c>
      <c r="CQ615" s="551"/>
      <c r="CR615" s="551">
        <v>76319.802965747847</v>
      </c>
      <c r="CS615" s="551">
        <v>36745.853548353327</v>
      </c>
      <c r="CT615" s="551">
        <v>150776.87114859899</v>
      </c>
      <c r="CU615" s="551">
        <v>6040889763.9572258</v>
      </c>
      <c r="CV615" s="551"/>
      <c r="CW615" s="551">
        <v>173959.52877305189</v>
      </c>
      <c r="CX615" s="551">
        <v>24858.276894529299</v>
      </c>
      <c r="CY615" s="554"/>
    </row>
    <row r="616" spans="65:103" ht="12.75" customHeight="1" x14ac:dyDescent="0.3">
      <c r="BM616" s="562"/>
      <c r="BN616" s="591">
        <v>603</v>
      </c>
      <c r="BO616" s="549" t="s">
        <v>3073</v>
      </c>
      <c r="BP616" s="554" t="s">
        <v>618</v>
      </c>
      <c r="BQ616" s="553">
        <v>4.84</v>
      </c>
      <c r="BR616" s="551">
        <v>344347.80425243883</v>
      </c>
      <c r="BS616" s="551"/>
      <c r="BT616" s="551">
        <v>3893098.7429270926</v>
      </c>
      <c r="BU616" s="551">
        <v>145312.79445821425</v>
      </c>
      <c r="BV616" s="551">
        <v>163728.72564503367</v>
      </c>
      <c r="BW616" s="551">
        <v>1721.8486369744776</v>
      </c>
      <c r="BX616" s="551">
        <v>75299.265697977477</v>
      </c>
      <c r="BY616" s="551">
        <v>10559954.976643266</v>
      </c>
      <c r="BZ616" s="551">
        <v>27888.616925176822</v>
      </c>
      <c r="CA616" s="551">
        <v>431005.76383296435</v>
      </c>
      <c r="CB616" s="551">
        <v>1.536515222944604E-29</v>
      </c>
      <c r="CC616" s="551">
        <v>41619.287135750266</v>
      </c>
      <c r="CD616" s="551">
        <v>2613250.275912784</v>
      </c>
      <c r="CE616" s="551">
        <v>1750.3467789947979</v>
      </c>
      <c r="CF616" s="551">
        <v>1548.253697284551</v>
      </c>
      <c r="CG616" s="551">
        <v>45037.391877744987</v>
      </c>
      <c r="CH616" s="551">
        <v>170617.32535834162</v>
      </c>
      <c r="CI616" s="551">
        <v>16680.51551027592</v>
      </c>
      <c r="CJ616" s="551">
        <v>85302.672856821329</v>
      </c>
      <c r="CK616" s="551">
        <v>681520.8600530487</v>
      </c>
      <c r="CL616" s="551"/>
      <c r="CM616" s="551">
        <v>80.149699043921174</v>
      </c>
      <c r="CN616" s="551">
        <v>31993.109272418842</v>
      </c>
      <c r="CO616" s="551">
        <v>4817.9781160117036</v>
      </c>
      <c r="CP616" s="551">
        <v>172666.42147277817</v>
      </c>
      <c r="CQ616" s="551"/>
      <c r="CR616" s="551">
        <v>23.657973019799094</v>
      </c>
      <c r="CS616" s="551">
        <v>6324.1594796791978</v>
      </c>
      <c r="CT616" s="551">
        <v>7862.8988960997185</v>
      </c>
      <c r="CU616" s="551">
        <v>23139.543944080007</v>
      </c>
      <c r="CV616" s="551"/>
      <c r="CW616" s="551">
        <v>2.1347503083422619</v>
      </c>
      <c r="CX616" s="551">
        <v>806.14467052788802</v>
      </c>
      <c r="CY616" s="554"/>
    </row>
    <row r="617" spans="65:103" ht="12.75" customHeight="1" x14ac:dyDescent="0.3">
      <c r="BM617" s="562"/>
      <c r="BN617" s="591">
        <v>604</v>
      </c>
      <c r="BO617" s="549" t="s">
        <v>3076</v>
      </c>
      <c r="BP617" s="554" t="s">
        <v>618</v>
      </c>
      <c r="BQ617" s="553">
        <v>4.88</v>
      </c>
      <c r="BR617" s="551">
        <v>198282.22588426148</v>
      </c>
      <c r="BS617" s="551"/>
      <c r="BT617" s="551">
        <v>6170843.2286994634</v>
      </c>
      <c r="BU617" s="551">
        <v>238136.50435742032</v>
      </c>
      <c r="BV617" s="551">
        <v>244420.33500152579</v>
      </c>
      <c r="BW617" s="551">
        <v>2671.1503514996189</v>
      </c>
      <c r="BX617" s="551">
        <v>470179.56432346866</v>
      </c>
      <c r="BY617" s="551">
        <v>14185311.918014888</v>
      </c>
      <c r="BZ617" s="551">
        <v>174140.57937906252</v>
      </c>
      <c r="CA617" s="551">
        <v>192101.91553231917</v>
      </c>
      <c r="CB617" s="551">
        <v>1.0558004087980481E-29</v>
      </c>
      <c r="CC617" s="551">
        <v>67864.470655917059</v>
      </c>
      <c r="CD617" s="551">
        <v>2288276.7001113221</v>
      </c>
      <c r="CE617" s="551">
        <v>2688.0372807520434</v>
      </c>
      <c r="CF617" s="551">
        <v>1283.3671024784842</v>
      </c>
      <c r="CG617" s="551">
        <v>232758.28829517783</v>
      </c>
      <c r="CH617" s="551">
        <v>699019.48451265832</v>
      </c>
      <c r="CI617" s="551">
        <v>86206.77344265845</v>
      </c>
      <c r="CJ617" s="551">
        <v>29192.494045545827</v>
      </c>
      <c r="CK617" s="551">
        <v>442581.58799046883</v>
      </c>
      <c r="CL617" s="551"/>
      <c r="CM617" s="551">
        <v>49.27173029374309</v>
      </c>
      <c r="CN617" s="551">
        <v>126954.56302114972</v>
      </c>
      <c r="CO617" s="551">
        <v>1221.3742817912334</v>
      </c>
      <c r="CP617" s="551">
        <v>70389.503610693049</v>
      </c>
      <c r="CQ617" s="551"/>
      <c r="CR617" s="551">
        <v>9.06514419232896</v>
      </c>
      <c r="CS617" s="551">
        <v>20984.747729334213</v>
      </c>
      <c r="CT617" s="551">
        <v>2009.9419135111057</v>
      </c>
      <c r="CU617" s="551">
        <v>10707.658832222951</v>
      </c>
      <c r="CV617" s="551"/>
      <c r="CW617" s="551">
        <v>0.94392910783828576</v>
      </c>
      <c r="CX617" s="551">
        <v>2204.1355604809919</v>
      </c>
      <c r="CY617" s="554"/>
    </row>
    <row r="618" spans="65:103" ht="12.75" customHeight="1" x14ac:dyDescent="0.3">
      <c r="BM618" s="562"/>
      <c r="BN618" s="591">
        <v>605</v>
      </c>
      <c r="BO618" s="549" t="s">
        <v>3078</v>
      </c>
      <c r="BP618" s="554" t="s">
        <v>618</v>
      </c>
      <c r="BQ618" s="553">
        <v>4.88</v>
      </c>
      <c r="BR618" s="551">
        <v>80879.936833689673</v>
      </c>
      <c r="BS618" s="551"/>
      <c r="BT618" s="551">
        <v>6296471.1186126955</v>
      </c>
      <c r="BU618" s="551">
        <v>266282.27985389589</v>
      </c>
      <c r="BV618" s="551">
        <v>864854.02065285598</v>
      </c>
      <c r="BW618" s="551">
        <v>9305.3568403562203</v>
      </c>
      <c r="BX618" s="551">
        <v>1116251.5818179597</v>
      </c>
      <c r="BY618" s="551">
        <v>18468305.395673923</v>
      </c>
      <c r="BZ618" s="551">
        <v>413426.5117844292</v>
      </c>
      <c r="CA618" s="551">
        <v>45802.049783387054</v>
      </c>
      <c r="CB618" s="551">
        <v>3.8054755688632782E-30</v>
      </c>
      <c r="CC618" s="551">
        <v>39921.579417168148</v>
      </c>
      <c r="CD618" s="551">
        <v>2357721.5331927235</v>
      </c>
      <c r="CE618" s="551">
        <v>5483.4426807245309</v>
      </c>
      <c r="CF618" s="551">
        <v>4119.5832123316341</v>
      </c>
      <c r="CG618" s="551">
        <v>327618.92040372413</v>
      </c>
      <c r="CH618" s="551">
        <v>824339.61580322566</v>
      </c>
      <c r="CI618" s="551">
        <v>121340.34089026814</v>
      </c>
      <c r="CJ618" s="551">
        <v>3944.6991196433469</v>
      </c>
      <c r="CK618" s="551">
        <v>423454.20746093628</v>
      </c>
      <c r="CL618" s="551"/>
      <c r="CM618" s="551">
        <v>147.95285130234427</v>
      </c>
      <c r="CN618" s="551">
        <v>101274.84774439377</v>
      </c>
      <c r="CO618" s="551">
        <v>89.721317377489271</v>
      </c>
      <c r="CP618" s="551">
        <v>24364.621355668274</v>
      </c>
      <c r="CQ618" s="551"/>
      <c r="CR618" s="551">
        <v>10.509412017366461</v>
      </c>
      <c r="CS618" s="551">
        <v>10115.429232312932</v>
      </c>
      <c r="CT618" s="551">
        <v>158.18012910334943</v>
      </c>
      <c r="CU618" s="551">
        <v>3861.0193397365283</v>
      </c>
      <c r="CV618" s="551"/>
      <c r="CW618" s="551">
        <v>0.98960515511725455</v>
      </c>
      <c r="CX618" s="551">
        <v>966.21121282985837</v>
      </c>
      <c r="CY618" s="554"/>
    </row>
    <row r="619" spans="65:103" ht="12.75" customHeight="1" x14ac:dyDescent="0.3">
      <c r="BM619" s="562"/>
      <c r="BN619" s="591">
        <v>606</v>
      </c>
      <c r="BO619" s="549" t="s">
        <v>3080</v>
      </c>
      <c r="BP619" s="554" t="s">
        <v>618</v>
      </c>
      <c r="BQ619" s="553">
        <v>4.8899999999999997</v>
      </c>
      <c r="BR619" s="551">
        <v>140223.35575190053</v>
      </c>
      <c r="BS619" s="551"/>
      <c r="BT619" s="551">
        <v>4720336.7082177037</v>
      </c>
      <c r="BU619" s="551">
        <v>181424.87647625362</v>
      </c>
      <c r="BV619" s="551">
        <v>644922.34721327492</v>
      </c>
      <c r="BW619" s="551">
        <v>6046.420091955657</v>
      </c>
      <c r="BX619" s="551">
        <v>375118.30120808585</v>
      </c>
      <c r="BY619" s="551">
        <v>12140693.976889994</v>
      </c>
      <c r="BZ619" s="551">
        <v>138932.70415114285</v>
      </c>
      <c r="CA619" s="551">
        <v>118664.65085517742</v>
      </c>
      <c r="CB619" s="551">
        <v>5.6963055358165153E-30</v>
      </c>
      <c r="CC619" s="551">
        <v>26109.621631557591</v>
      </c>
      <c r="CD619" s="551">
        <v>1412211.1026762051</v>
      </c>
      <c r="CE619" s="551">
        <v>3567.2621485157856</v>
      </c>
      <c r="CF619" s="551">
        <v>2353.2664734711539</v>
      </c>
      <c r="CG619" s="551">
        <v>162498.58638841365</v>
      </c>
      <c r="CH619" s="551">
        <v>406611.97878444876</v>
      </c>
      <c r="CI619" s="551">
        <v>60184.661625338384</v>
      </c>
      <c r="CJ619" s="551">
        <v>15545.151593985758</v>
      </c>
      <c r="CK619" s="551">
        <v>231991.38459527469</v>
      </c>
      <c r="CL619" s="551"/>
      <c r="CM619" s="551">
        <v>76.734188464347753</v>
      </c>
      <c r="CN619" s="551">
        <v>76405.889930830162</v>
      </c>
      <c r="CO619" s="551">
        <v>590.14335283655907</v>
      </c>
      <c r="CP619" s="551">
        <v>29480.851557829381</v>
      </c>
      <c r="CQ619" s="551"/>
      <c r="CR619" s="551">
        <v>13.948912129655143</v>
      </c>
      <c r="CS619" s="551">
        <v>12055.248258149126</v>
      </c>
      <c r="CT619" s="551">
        <v>922.26468847201522</v>
      </c>
      <c r="CU619" s="551">
        <v>4404.1982548096857</v>
      </c>
      <c r="CV619" s="551"/>
      <c r="CW619" s="551">
        <v>0.91945012804219184</v>
      </c>
      <c r="CX619" s="551">
        <v>1099.2040426455239</v>
      </c>
      <c r="CY619" s="554"/>
    </row>
    <row r="620" spans="65:103" ht="12.75" customHeight="1" x14ac:dyDescent="0.3">
      <c r="BM620" s="562"/>
      <c r="BN620" s="591">
        <v>607</v>
      </c>
      <c r="BO620" s="549" t="s">
        <v>3081</v>
      </c>
      <c r="BP620" s="554" t="s">
        <v>618</v>
      </c>
      <c r="BQ620" s="553">
        <v>4.91</v>
      </c>
      <c r="BR620" s="551">
        <v>57036.042185564474</v>
      </c>
      <c r="BS620" s="551"/>
      <c r="BT620" s="551">
        <v>19488126.504298799</v>
      </c>
      <c r="BU620" s="551">
        <v>935279.80408560997</v>
      </c>
      <c r="BV620" s="551">
        <v>353668.70949144423</v>
      </c>
      <c r="BW620" s="551">
        <v>5071.6239696163721</v>
      </c>
      <c r="BX620" s="551">
        <v>493217.63893878419</v>
      </c>
      <c r="BY620" s="551">
        <v>8351970.8452463858</v>
      </c>
      <c r="BZ620" s="551">
        <v>182673.19960695703</v>
      </c>
      <c r="CA620" s="551">
        <v>23744.352671446039</v>
      </c>
      <c r="CB620" s="551">
        <v>3.0217729634539174E-30</v>
      </c>
      <c r="CC620" s="551">
        <v>266772.28651280189</v>
      </c>
      <c r="CD620" s="551">
        <v>28209811.868283611</v>
      </c>
      <c r="CE620" s="551">
        <v>4841.3586743832193</v>
      </c>
      <c r="CF620" s="551">
        <v>7648.489651149348</v>
      </c>
      <c r="CG620" s="551">
        <v>106374.66274337667</v>
      </c>
      <c r="CH620" s="551">
        <v>376529.20918557217</v>
      </c>
      <c r="CI620" s="551">
        <v>39398.023238287657</v>
      </c>
      <c r="CJ620" s="551">
        <v>1503.161495192418</v>
      </c>
      <c r="CK620" s="551">
        <v>35352239.189868242</v>
      </c>
      <c r="CL620" s="551"/>
      <c r="CM620" s="551">
        <v>1934.4015420144431</v>
      </c>
      <c r="CN620" s="551">
        <v>24170.584890713973</v>
      </c>
      <c r="CO620" s="551">
        <v>25.638913317587562</v>
      </c>
      <c r="CP620" s="551">
        <v>6950021.0180715825</v>
      </c>
      <c r="CQ620" s="551"/>
      <c r="CR620" s="551">
        <v>382.13134903428193</v>
      </c>
      <c r="CS620" s="551">
        <v>1455.8415426209349</v>
      </c>
      <c r="CT620" s="551">
        <v>45.280615082533089</v>
      </c>
      <c r="CU620" s="551">
        <v>1601276.3434181672</v>
      </c>
      <c r="CV620" s="551"/>
      <c r="CW620" s="551">
        <v>86.833399923596801</v>
      </c>
      <c r="CX620" s="551">
        <v>189.64714840151811</v>
      </c>
      <c r="CY620" s="554"/>
    </row>
    <row r="621" spans="65:103" ht="12.75" customHeight="1" x14ac:dyDescent="0.3">
      <c r="BM621" s="562"/>
      <c r="BN621" s="591">
        <v>608</v>
      </c>
      <c r="BO621" s="549" t="s">
        <v>3084</v>
      </c>
      <c r="BP621" s="554" t="s">
        <v>618</v>
      </c>
      <c r="BQ621" s="553">
        <v>4.95</v>
      </c>
      <c r="BR621" s="551">
        <v>124323.672874975</v>
      </c>
      <c r="BS621" s="551"/>
      <c r="BT621" s="551">
        <v>4179836.6981412065</v>
      </c>
      <c r="BU621" s="551">
        <v>160229.4665810134</v>
      </c>
      <c r="BV621" s="551">
        <v>894440.19504331821</v>
      </c>
      <c r="BW621" s="551">
        <v>7855.5459470650021</v>
      </c>
      <c r="BX621" s="551">
        <v>295751.49377968622</v>
      </c>
      <c r="BY621" s="551">
        <v>11029295.837208033</v>
      </c>
      <c r="BZ621" s="551">
        <v>109537.59028877266</v>
      </c>
      <c r="CA621" s="551">
        <v>100058.80958149867</v>
      </c>
      <c r="CB621" s="551">
        <v>4.3965986062201576E-30</v>
      </c>
      <c r="CC621" s="551">
        <v>18396.9284343041</v>
      </c>
      <c r="CD621" s="551">
        <v>1157990.743262111</v>
      </c>
      <c r="CE621" s="551">
        <v>3936.7452475582404</v>
      </c>
      <c r="CF621" s="551">
        <v>2838.6318958916713</v>
      </c>
      <c r="CG621" s="551">
        <v>121719.90215258491</v>
      </c>
      <c r="CH621" s="551">
        <v>297273.12406820193</v>
      </c>
      <c r="CI621" s="551">
        <v>45081.445241698093</v>
      </c>
      <c r="CJ621" s="551">
        <v>12418.646337084227</v>
      </c>
      <c r="CK621" s="551">
        <v>179655.85242332728</v>
      </c>
      <c r="CL621" s="551"/>
      <c r="CM621" s="551">
        <v>87.41371305321637</v>
      </c>
      <c r="CN621" s="551">
        <v>54223.079324933402</v>
      </c>
      <c r="CO621" s="551">
        <v>457.54389215484696</v>
      </c>
      <c r="CP621" s="551">
        <v>20874.349192893071</v>
      </c>
      <c r="CQ621" s="551"/>
      <c r="CR621" s="551">
        <v>16.112062781582658</v>
      </c>
      <c r="CS621" s="551">
        <v>8221.8233045254219</v>
      </c>
      <c r="CT621" s="551">
        <v>695.70551202088552</v>
      </c>
      <c r="CU621" s="551">
        <v>3084.2881913754841</v>
      </c>
      <c r="CV621" s="551"/>
      <c r="CW621" s="551">
        <v>0.87357252185931167</v>
      </c>
      <c r="CX621" s="551">
        <v>735.91510196228057</v>
      </c>
      <c r="CY621" s="554"/>
    </row>
    <row r="622" spans="65:103" ht="12.75" customHeight="1" x14ac:dyDescent="0.3">
      <c r="BM622" s="562"/>
      <c r="BN622" s="591">
        <v>609</v>
      </c>
      <c r="BO622" s="549" t="s">
        <v>3082</v>
      </c>
      <c r="BP622" s="554" t="s">
        <v>618</v>
      </c>
      <c r="BQ622" s="553">
        <v>4.95</v>
      </c>
      <c r="BR622" s="551">
        <v>1302.7149235705226</v>
      </c>
      <c r="BS622" s="551"/>
      <c r="BT622" s="551">
        <v>746187.90648071654</v>
      </c>
      <c r="BU622" s="551">
        <v>28909.720734070441</v>
      </c>
      <c r="BV622" s="551">
        <v>152918608.94210619</v>
      </c>
      <c r="BW622" s="551">
        <v>4530847.5939504271</v>
      </c>
      <c r="BX622" s="551">
        <v>22613321.086900655</v>
      </c>
      <c r="BY622" s="551">
        <v>136476845.17947382</v>
      </c>
      <c r="BZ622" s="551">
        <v>8375304.1062595006</v>
      </c>
      <c r="CA622" s="551">
        <v>20.783191663740471</v>
      </c>
      <c r="CB622" s="551">
        <v>1.043788222205364E-31</v>
      </c>
      <c r="CC622" s="551">
        <v>190.83005854158284</v>
      </c>
      <c r="CD622" s="551">
        <v>872821.87960087694</v>
      </c>
      <c r="CE622" s="551">
        <v>39107.397537638419</v>
      </c>
      <c r="CF622" s="551">
        <v>6839607.6003535297</v>
      </c>
      <c r="CG622" s="551">
        <v>186950.09683752331</v>
      </c>
      <c r="CH622" s="551">
        <v>417772.01783225825</v>
      </c>
      <c r="CI622" s="551">
        <v>69240.776606490108</v>
      </c>
      <c r="CJ622" s="551">
        <v>4.8678908936871511E-2</v>
      </c>
      <c r="CK622" s="551">
        <v>2086919.0697457918</v>
      </c>
      <c r="CL622" s="551"/>
      <c r="CM622" s="551">
        <v>3254340.7836554712</v>
      </c>
      <c r="CN622" s="551">
        <v>1571.6576207876824</v>
      </c>
      <c r="CO622" s="551">
        <v>1.3345854273693553E-4</v>
      </c>
      <c r="CP622" s="551">
        <v>650999.995557299</v>
      </c>
      <c r="CQ622" s="551"/>
      <c r="CR622" s="551">
        <v>1183184.1541022186</v>
      </c>
      <c r="CS622" s="551">
        <v>3.6635244257946233</v>
      </c>
      <c r="CT622" s="551">
        <v>2.3329390327762797E-5</v>
      </c>
      <c r="CU622" s="551">
        <v>221406.15604616786</v>
      </c>
      <c r="CV622" s="551"/>
      <c r="CW622" s="551">
        <v>272741.95787326468</v>
      </c>
      <c r="CX622" s="551">
        <v>0.42836274667575108</v>
      </c>
      <c r="CY622" s="554"/>
    </row>
    <row r="623" spans="65:103" ht="12.75" customHeight="1" x14ac:dyDescent="0.3">
      <c r="BM623" s="562"/>
      <c r="BN623" s="591">
        <v>610</v>
      </c>
      <c r="BO623" s="549" t="s">
        <v>3086</v>
      </c>
      <c r="BP623" s="554" t="s">
        <v>618</v>
      </c>
      <c r="BQ623" s="553">
        <v>4.96</v>
      </c>
      <c r="BR623" s="551">
        <v>159003.73065690132</v>
      </c>
      <c r="BS623" s="551"/>
      <c r="BT623" s="551">
        <v>11773661.093723668</v>
      </c>
      <c r="BU623" s="551">
        <v>551685.47934008983</v>
      </c>
      <c r="BV623" s="551">
        <v>2725272.1415947042</v>
      </c>
      <c r="BW623" s="551">
        <v>32938.364249813269</v>
      </c>
      <c r="BX623" s="551">
        <v>2411543.648385141</v>
      </c>
      <c r="BY623" s="551">
        <v>55092204.024680443</v>
      </c>
      <c r="BZ623" s="551">
        <v>893164.31421671878</v>
      </c>
      <c r="CA623" s="551">
        <v>257386.41106405921</v>
      </c>
      <c r="CB623" s="551">
        <v>1.2581832090896664E-29</v>
      </c>
      <c r="CC623" s="551">
        <v>337506.68044327677</v>
      </c>
      <c r="CD623" s="551">
        <v>17471684.20858356</v>
      </c>
      <c r="CE623" s="551">
        <v>78123.325148580683</v>
      </c>
      <c r="CF623" s="551">
        <v>52157.317898634807</v>
      </c>
      <c r="CG623" s="551">
        <v>2055796.4474053592</v>
      </c>
      <c r="CH623" s="551">
        <v>6907663.847023841</v>
      </c>
      <c r="CI623" s="551">
        <v>761406.0916316146</v>
      </c>
      <c r="CJ623" s="551">
        <v>69223.018164875946</v>
      </c>
      <c r="CK623" s="551">
        <v>12970911.250837184</v>
      </c>
      <c r="CL623" s="551"/>
      <c r="CM623" s="551">
        <v>7802.4128925930581</v>
      </c>
      <c r="CN623" s="551">
        <v>1984488.9418682947</v>
      </c>
      <c r="CO623" s="551">
        <v>4777.9136457141249</v>
      </c>
      <c r="CP623" s="551">
        <v>2552940.0785592026</v>
      </c>
      <c r="CQ623" s="551"/>
      <c r="CR623" s="551">
        <v>1656.2206243737833</v>
      </c>
      <c r="CS623" s="551">
        <v>504314.48319641309</v>
      </c>
      <c r="CT623" s="551">
        <v>8926.6987716078038</v>
      </c>
      <c r="CU623" s="551">
        <v>495574.0284281575</v>
      </c>
      <c r="CV623" s="551"/>
      <c r="CW623" s="551">
        <v>262.21582171639278</v>
      </c>
      <c r="CX623" s="551">
        <v>66063.350665598889</v>
      </c>
      <c r="CY623" s="554"/>
    </row>
    <row r="624" spans="65:103" ht="12.75" customHeight="1" x14ac:dyDescent="0.3">
      <c r="BM624" s="562"/>
      <c r="BN624" s="591">
        <v>611</v>
      </c>
      <c r="BO624" s="549" t="s">
        <v>3088</v>
      </c>
      <c r="BP624" s="554" t="s">
        <v>618</v>
      </c>
      <c r="BQ624" s="553">
        <v>5.03</v>
      </c>
      <c r="BR624" s="551">
        <v>378666.99237586302</v>
      </c>
      <c r="BS624" s="551"/>
      <c r="BT624" s="551">
        <v>7294384.9939557379</v>
      </c>
      <c r="BU624" s="551">
        <v>304934.41902107582</v>
      </c>
      <c r="BV624" s="551">
        <v>301718.21559180773</v>
      </c>
      <c r="BW624" s="551">
        <v>3594.5663044582384</v>
      </c>
      <c r="BX624" s="551">
        <v>234330.54228015593</v>
      </c>
      <c r="BY624" s="551">
        <v>18532087.081397831</v>
      </c>
      <c r="BZ624" s="551">
        <v>86789.089733391083</v>
      </c>
      <c r="CA624" s="551">
        <v>624955.62407758215</v>
      </c>
      <c r="CB624" s="551">
        <v>2.5664482158233121E-29</v>
      </c>
      <c r="CC624" s="551">
        <v>148359.99769757799</v>
      </c>
      <c r="CD624" s="551">
        <v>7539747.0697158342</v>
      </c>
      <c r="CE624" s="551">
        <v>6136.6261593827712</v>
      </c>
      <c r="CF624" s="551">
        <v>4443.9261477834498</v>
      </c>
      <c r="CG624" s="551">
        <v>201154.93298196193</v>
      </c>
      <c r="CH624" s="551">
        <v>859309.65645421227</v>
      </c>
      <c r="CI624" s="551">
        <v>74501.827030356275</v>
      </c>
      <c r="CJ624" s="551">
        <v>168805.17521953612</v>
      </c>
      <c r="CK624" s="551">
        <v>2910600.06112422</v>
      </c>
      <c r="CL624" s="551"/>
      <c r="CM624" s="551">
        <v>343.05129342718305</v>
      </c>
      <c r="CN624" s="551">
        <v>195016.30300769629</v>
      </c>
      <c r="CO624" s="551">
        <v>12406.835121330419</v>
      </c>
      <c r="CP624" s="551">
        <v>852839.77765570779</v>
      </c>
      <c r="CQ624" s="551"/>
      <c r="CR624" s="551">
        <v>109.56407711131612</v>
      </c>
      <c r="CS624" s="551">
        <v>49957.450582272519</v>
      </c>
      <c r="CT624" s="551">
        <v>20884.503231466126</v>
      </c>
      <c r="CU624" s="551">
        <v>136051.50759093824</v>
      </c>
      <c r="CV624" s="551"/>
      <c r="CW624" s="551">
        <v>13.850188652011445</v>
      </c>
      <c r="CX624" s="551">
        <v>6624.5269431200295</v>
      </c>
      <c r="CY624" s="554"/>
    </row>
    <row r="625" spans="65:103" ht="12.75" customHeight="1" x14ac:dyDescent="0.3">
      <c r="BM625" s="562"/>
      <c r="BN625" s="591">
        <v>612</v>
      </c>
      <c r="BO625" s="549" t="s">
        <v>3090</v>
      </c>
      <c r="BP625" s="554" t="s">
        <v>618</v>
      </c>
      <c r="BQ625" s="553">
        <v>5.13</v>
      </c>
      <c r="BR625" s="551">
        <v>10442.075612000295</v>
      </c>
      <c r="BS625" s="551"/>
      <c r="BT625" s="551">
        <v>9983637.1572928131</v>
      </c>
      <c r="BU625" s="551">
        <v>460426.39688114991</v>
      </c>
      <c r="BV625" s="551">
        <v>1932148.9077577805</v>
      </c>
      <c r="BW625" s="551">
        <v>22910.818736654124</v>
      </c>
      <c r="BX625" s="551">
        <v>6253891.3471826706</v>
      </c>
      <c r="BY625" s="551">
        <v>46786981.12038333</v>
      </c>
      <c r="BZ625" s="551">
        <v>2316256.0545120998</v>
      </c>
      <c r="CA625" s="551">
        <v>769.04134339709674</v>
      </c>
      <c r="CB625" s="551">
        <v>8.2764231964587193E-31</v>
      </c>
      <c r="CC625" s="551">
        <v>28313.963935835909</v>
      </c>
      <c r="CD625" s="551">
        <v>5789660.8435989199</v>
      </c>
      <c r="CE625" s="551">
        <v>5479.6457073719394</v>
      </c>
      <c r="CF625" s="551">
        <v>14404.6769508568</v>
      </c>
      <c r="CG625" s="551">
        <v>238678.60534363458</v>
      </c>
      <c r="CH625" s="551">
        <v>634891.50149421976</v>
      </c>
      <c r="CI625" s="551">
        <v>88399.483460605406</v>
      </c>
      <c r="CJ625" s="551">
        <v>8.3538148710860689</v>
      </c>
      <c r="CK625" s="551">
        <v>2001812.704040172</v>
      </c>
      <c r="CL625" s="551"/>
      <c r="CM625" s="551">
        <v>1002.039714372547</v>
      </c>
      <c r="CN625" s="551">
        <v>9305.7698108362474</v>
      </c>
      <c r="CO625" s="551">
        <v>3.8656709101506974E-2</v>
      </c>
      <c r="CP625" s="551">
        <v>124898.9292082499</v>
      </c>
      <c r="CQ625" s="551"/>
      <c r="CR625" s="551">
        <v>69.583786063055229</v>
      </c>
      <c r="CS625" s="551">
        <v>90.349999792064509</v>
      </c>
      <c r="CT625" s="551">
        <v>4.0279278381592468E-2</v>
      </c>
      <c r="CU625" s="551">
        <v>22707.160445143349</v>
      </c>
      <c r="CV625" s="551"/>
      <c r="CW625" s="551">
        <v>9.5393622776763785</v>
      </c>
      <c r="CX625" s="551">
        <v>12.41213802386325</v>
      </c>
      <c r="CY625" s="554"/>
    </row>
    <row r="626" spans="65:103" ht="12.75" customHeight="1" x14ac:dyDescent="0.3">
      <c r="BM626" s="562"/>
      <c r="BN626" s="591">
        <v>613</v>
      </c>
      <c r="BO626" s="549" t="s">
        <v>3092</v>
      </c>
      <c r="BP626" s="554" t="s">
        <v>618</v>
      </c>
      <c r="BQ626" s="553">
        <v>5.14</v>
      </c>
      <c r="BR626" s="551">
        <v>140353.22584111465</v>
      </c>
      <c r="BS626" s="551"/>
      <c r="BT626" s="551">
        <v>9439652.3876247313</v>
      </c>
      <c r="BU626" s="551">
        <v>441259.69802824146</v>
      </c>
      <c r="BV626" s="551">
        <v>5910700.4545148266</v>
      </c>
      <c r="BW626" s="551">
        <v>71366.266656575157</v>
      </c>
      <c r="BX626" s="551">
        <v>2014129.8665193848</v>
      </c>
      <c r="BY626" s="551">
        <v>51218263.634225197</v>
      </c>
      <c r="BZ626" s="551">
        <v>745974.02463680902</v>
      </c>
      <c r="CA626" s="551">
        <v>217662.0919151507</v>
      </c>
      <c r="CB626" s="551">
        <v>9.145667089724171E-30</v>
      </c>
      <c r="CC626" s="551">
        <v>163621.37136700191</v>
      </c>
      <c r="CD626" s="551">
        <v>13265463.241501557</v>
      </c>
      <c r="CE626" s="551">
        <v>102452.59829431388</v>
      </c>
      <c r="CF626" s="551">
        <v>107273.17623231083</v>
      </c>
      <c r="CG626" s="551">
        <v>1663424.0223361882</v>
      </c>
      <c r="CH626" s="551">
        <v>4850561.2657607878</v>
      </c>
      <c r="CI626" s="551">
        <v>616082.9712356251</v>
      </c>
      <c r="CJ626" s="551">
        <v>55377.516216778204</v>
      </c>
      <c r="CK626" s="551">
        <v>9528122.9438613392</v>
      </c>
      <c r="CL626" s="551"/>
      <c r="CM626" s="551">
        <v>15525.382169055243</v>
      </c>
      <c r="CN626" s="551">
        <v>1518998.3376253976</v>
      </c>
      <c r="CO626" s="551">
        <v>3786.8213763823733</v>
      </c>
      <c r="CP626" s="551">
        <v>1791404.9508817475</v>
      </c>
      <c r="CQ626" s="551"/>
      <c r="CR626" s="551">
        <v>3338.6095170010185</v>
      </c>
      <c r="CS626" s="551">
        <v>403746.4759369386</v>
      </c>
      <c r="CT626" s="551">
        <v>6707.2278078025183</v>
      </c>
      <c r="CU626" s="551">
        <v>338907.97856907296</v>
      </c>
      <c r="CV626" s="551"/>
      <c r="CW626" s="551">
        <v>446.66529811144937</v>
      </c>
      <c r="CX626" s="551">
        <v>46259.842248649002</v>
      </c>
      <c r="CY626" s="554"/>
    </row>
    <row r="627" spans="65:103" ht="12.75" customHeight="1" x14ac:dyDescent="0.3">
      <c r="BM627" s="562"/>
      <c r="BN627" s="591">
        <v>614</v>
      </c>
      <c r="BO627" s="549" t="s">
        <v>3098</v>
      </c>
      <c r="BP627" s="554" t="s">
        <v>618</v>
      </c>
      <c r="BQ627" s="553">
        <v>5.2</v>
      </c>
      <c r="BR627" s="551">
        <v>108749.66025843448</v>
      </c>
      <c r="BS627" s="551"/>
      <c r="BT627" s="551">
        <v>9162158.7694149371</v>
      </c>
      <c r="BU627" s="551">
        <v>428855.36152395135</v>
      </c>
      <c r="BV627" s="551">
        <v>10745027.954883315</v>
      </c>
      <c r="BW627" s="551">
        <v>138022.41978753119</v>
      </c>
      <c r="BX627" s="551">
        <v>3059174.2126504318</v>
      </c>
      <c r="BY627" s="551">
        <v>52660294.630009979</v>
      </c>
      <c r="BZ627" s="551">
        <v>1133027.4861668267</v>
      </c>
      <c r="CA627" s="551">
        <v>147804.97897588572</v>
      </c>
      <c r="CB627" s="551">
        <v>7.3430191496329672E-30</v>
      </c>
      <c r="CC627" s="551">
        <v>134560.84736800587</v>
      </c>
      <c r="CD627" s="551">
        <v>11874830.910148539</v>
      </c>
      <c r="CE627" s="551">
        <v>157807.79431901686</v>
      </c>
      <c r="CF627" s="551">
        <v>191089.23938391014</v>
      </c>
      <c r="CG627" s="551">
        <v>2169325.5759621593</v>
      </c>
      <c r="CH627" s="551">
        <v>5509396.2955458555</v>
      </c>
      <c r="CI627" s="551">
        <v>803453.91702302161</v>
      </c>
      <c r="CJ627" s="551">
        <v>32379.732718201871</v>
      </c>
      <c r="CK627" s="551">
        <v>8046459.2867820151</v>
      </c>
      <c r="CL627" s="551"/>
      <c r="CM627" s="551">
        <v>26089.236024651447</v>
      </c>
      <c r="CN627" s="551">
        <v>1705739.031954187</v>
      </c>
      <c r="CO627" s="551">
        <v>2299.0335686390299</v>
      </c>
      <c r="CP627" s="551">
        <v>1270510.6715527782</v>
      </c>
      <c r="CQ627" s="551"/>
      <c r="CR627" s="551">
        <v>4922.363585168363</v>
      </c>
      <c r="CS627" s="551">
        <v>410861.37837362976</v>
      </c>
      <c r="CT627" s="551">
        <v>3371.8560000112811</v>
      </c>
      <c r="CU627" s="551">
        <v>247984.77344952914</v>
      </c>
      <c r="CV627" s="551"/>
      <c r="CW627" s="551">
        <v>615.33002899370626</v>
      </c>
      <c r="CX627" s="551">
        <v>43488.866016885011</v>
      </c>
      <c r="CY627" s="554"/>
    </row>
    <row r="628" spans="65:103" ht="12.75" customHeight="1" x14ac:dyDescent="0.3">
      <c r="BM628" s="562"/>
      <c r="BN628" s="591">
        <v>615</v>
      </c>
      <c r="BO628" s="549" t="s">
        <v>3096</v>
      </c>
      <c r="BP628" s="554" t="s">
        <v>618</v>
      </c>
      <c r="BQ628" s="553">
        <v>5.2</v>
      </c>
      <c r="BR628" s="551">
        <v>61888.216849702832</v>
      </c>
      <c r="BS628" s="551"/>
      <c r="BT628" s="551">
        <v>5366966.9514948698</v>
      </c>
      <c r="BU628" s="551">
        <v>245928.06927005184</v>
      </c>
      <c r="BV628" s="551">
        <v>1898572.8936253744</v>
      </c>
      <c r="BW628" s="551">
        <v>21755.521037052044</v>
      </c>
      <c r="BX628" s="551">
        <v>1376365.1611476783</v>
      </c>
      <c r="BY628" s="551">
        <v>22223014.509259693</v>
      </c>
      <c r="BZ628" s="551">
        <v>509764.87449913996</v>
      </c>
      <c r="CA628" s="551">
        <v>70004.628728711876</v>
      </c>
      <c r="CB628" s="551">
        <v>3.3382998704080723E-30</v>
      </c>
      <c r="CC628" s="551">
        <v>71000.693774976608</v>
      </c>
      <c r="CD628" s="551">
        <v>4509436.1582927303</v>
      </c>
      <c r="CE628" s="551">
        <v>25116.605682138656</v>
      </c>
      <c r="CF628" s="551">
        <v>19945.899932888926</v>
      </c>
      <c r="CG628" s="551">
        <v>806495.68814786861</v>
      </c>
      <c r="CH628" s="551">
        <v>2160881.8556719609</v>
      </c>
      <c r="CI628" s="551">
        <v>298702.10672143288</v>
      </c>
      <c r="CJ628" s="551">
        <v>12641.740493494575</v>
      </c>
      <c r="CK628" s="551">
        <v>1961400.320400516</v>
      </c>
      <c r="CL628" s="551"/>
      <c r="CM628" s="551">
        <v>1745.4269603099779</v>
      </c>
      <c r="CN628" s="551">
        <v>522740.10350848135</v>
      </c>
      <c r="CO628" s="551">
        <v>1234.8132046296823</v>
      </c>
      <c r="CP628" s="551">
        <v>235311.73672188702</v>
      </c>
      <c r="CQ628" s="551"/>
      <c r="CR628" s="551">
        <v>244.55698928954854</v>
      </c>
      <c r="CS628" s="551">
        <v>102164.01242883237</v>
      </c>
      <c r="CT628" s="551">
        <v>863.55679300122665</v>
      </c>
      <c r="CU628" s="551">
        <v>41743.100968790583</v>
      </c>
      <c r="CV628" s="551"/>
      <c r="CW628" s="551">
        <v>29.221425605470422</v>
      </c>
      <c r="CX628" s="551">
        <v>10758.50511471061</v>
      </c>
      <c r="CY628" s="554"/>
    </row>
    <row r="629" spans="65:103" ht="12.75" customHeight="1" x14ac:dyDescent="0.3">
      <c r="BM629" s="562"/>
      <c r="BN629" s="591">
        <v>616</v>
      </c>
      <c r="BO629" s="549" t="s">
        <v>3094</v>
      </c>
      <c r="BP629" s="554" t="s">
        <v>618</v>
      </c>
      <c r="BQ629" s="553">
        <v>5.2</v>
      </c>
      <c r="BR629" s="551">
        <v>1512.945215854339</v>
      </c>
      <c r="BS629" s="551"/>
      <c r="BT629" s="551">
        <v>5303843.6757750772</v>
      </c>
      <c r="BU629" s="551">
        <v>244838.05982956811</v>
      </c>
      <c r="BV629" s="551">
        <v>317633.22114064096</v>
      </c>
      <c r="BW629" s="551">
        <v>4111.5782303274245</v>
      </c>
      <c r="BX629" s="551">
        <v>469467.77507948392</v>
      </c>
      <c r="BY629" s="551">
        <v>3014768.9808018599</v>
      </c>
      <c r="BZ629" s="551">
        <v>173876.95373314217</v>
      </c>
      <c r="CA629" s="551">
        <v>28.336355680322637</v>
      </c>
      <c r="CB629" s="551">
        <v>1.2116309817436829E-31</v>
      </c>
      <c r="CC629" s="551">
        <v>2488.2138010321414</v>
      </c>
      <c r="CD629" s="551">
        <v>2918594.9681161772</v>
      </c>
      <c r="CE629" s="551">
        <v>149.01256764377413</v>
      </c>
      <c r="CF629" s="551">
        <v>2450.6058295027474</v>
      </c>
      <c r="CG629" s="551">
        <v>4556.4338603008546</v>
      </c>
      <c r="CH629" s="551">
        <v>10815.38907281601</v>
      </c>
      <c r="CI629" s="551">
        <v>1687.5680964077239</v>
      </c>
      <c r="CJ629" s="551">
        <v>7.7928637616016302E-2</v>
      </c>
      <c r="CK629" s="551">
        <v>1005934.7242931703</v>
      </c>
      <c r="CL629" s="551"/>
      <c r="CM629" s="551">
        <v>169.9364537488043</v>
      </c>
      <c r="CN629" s="551">
        <v>44.976102139742139</v>
      </c>
      <c r="CO629" s="551">
        <v>2.5032379879555807E-4</v>
      </c>
      <c r="CP629" s="551">
        <v>62702.140845068599</v>
      </c>
      <c r="CQ629" s="551"/>
      <c r="CR629" s="551">
        <v>11.087273308065271</v>
      </c>
      <c r="CS629" s="551">
        <v>0.11792345930306121</v>
      </c>
      <c r="CT629" s="551">
        <v>4.3867808932708387E-5</v>
      </c>
      <c r="CU629" s="551">
        <v>11399.013955326891</v>
      </c>
      <c r="CV629" s="551"/>
      <c r="CW629" s="551">
        <v>1.7761068978725887</v>
      </c>
      <c r="CX629" s="551">
        <v>1.4666119059380998E-2</v>
      </c>
      <c r="CY629" s="554"/>
    </row>
    <row r="630" spans="65:103" ht="12.75" customHeight="1" x14ac:dyDescent="0.3">
      <c r="BM630" s="562"/>
      <c r="BN630" s="591">
        <v>617</v>
      </c>
      <c r="BO630" s="549" t="s">
        <v>3100</v>
      </c>
      <c r="BP630" s="554" t="s">
        <v>618</v>
      </c>
      <c r="BQ630" s="553">
        <v>5.21</v>
      </c>
      <c r="BR630" s="551">
        <v>75361.580848839352</v>
      </c>
      <c r="BS630" s="551"/>
      <c r="BT630" s="551">
        <v>13911968.611165289</v>
      </c>
      <c r="BU630" s="551">
        <v>640156.9062961759</v>
      </c>
      <c r="BV630" s="551">
        <v>518671.59996662592</v>
      </c>
      <c r="BW630" s="551">
        <v>6895.100401770861</v>
      </c>
      <c r="BX630" s="551">
        <v>2687589.2544083619</v>
      </c>
      <c r="BY630" s="551">
        <v>39388175.977779523</v>
      </c>
      <c r="BZ630" s="551">
        <v>995403.42755865224</v>
      </c>
      <c r="CA630" s="551">
        <v>38942.447689009503</v>
      </c>
      <c r="CB630" s="551">
        <v>6.0438109482572917E-30</v>
      </c>
      <c r="CC630" s="551">
        <v>410205.25336045597</v>
      </c>
      <c r="CD630" s="551">
        <v>10604047.423620997</v>
      </c>
      <c r="CE630" s="551">
        <v>15293.436969403978</v>
      </c>
      <c r="CF630" s="551">
        <v>5710.7851943706492</v>
      </c>
      <c r="CG630" s="551">
        <v>719215.33512058377</v>
      </c>
      <c r="CH630" s="551">
        <v>2980402.8714957885</v>
      </c>
      <c r="CI630" s="551">
        <v>266376.05004466057</v>
      </c>
      <c r="CJ630" s="551">
        <v>3070.0829067466943</v>
      </c>
      <c r="CK630" s="551">
        <v>4026433.3961463487</v>
      </c>
      <c r="CL630" s="551"/>
      <c r="CM630" s="551">
        <v>436.27759179616174</v>
      </c>
      <c r="CN630" s="551">
        <v>203511.73306681513</v>
      </c>
      <c r="CO630" s="551">
        <v>53.026400483449422</v>
      </c>
      <c r="CP630" s="551">
        <v>291723.20203254349</v>
      </c>
      <c r="CQ630" s="551"/>
      <c r="CR630" s="551">
        <v>32.618654887936202</v>
      </c>
      <c r="CS630" s="551">
        <v>12376.418534371951</v>
      </c>
      <c r="CT630" s="551">
        <v>120.31933374515418</v>
      </c>
      <c r="CU630" s="551">
        <v>52868.995666177994</v>
      </c>
      <c r="CV630" s="551"/>
      <c r="CW630" s="551">
        <v>5.4123746789196261</v>
      </c>
      <c r="CX630" s="551">
        <v>2134.9443933340458</v>
      </c>
      <c r="CY630" s="554"/>
    </row>
    <row r="631" spans="65:103" ht="12.75" customHeight="1" x14ac:dyDescent="0.3">
      <c r="BM631" s="562"/>
      <c r="BN631" s="591">
        <v>618</v>
      </c>
      <c r="BO631" s="549" t="s">
        <v>3102</v>
      </c>
      <c r="BP631" s="554" t="s">
        <v>618</v>
      </c>
      <c r="BQ631" s="553">
        <v>5.31</v>
      </c>
      <c r="BR631" s="551">
        <v>258195.01621336566</v>
      </c>
      <c r="BS631" s="551"/>
      <c r="BT631" s="551">
        <v>4217297.3871488618</v>
      </c>
      <c r="BU631" s="551">
        <v>191767.46569622649</v>
      </c>
      <c r="BV631" s="551">
        <v>6352621.9885420697</v>
      </c>
      <c r="BW631" s="551">
        <v>82264.550531695233</v>
      </c>
      <c r="BX631" s="551">
        <v>984227.89004752587</v>
      </c>
      <c r="BY631" s="551">
        <v>44386084.844152316</v>
      </c>
      <c r="BZ631" s="551">
        <v>364528.84816575039</v>
      </c>
      <c r="CA631" s="551">
        <v>646091.32756847807</v>
      </c>
      <c r="CB631" s="551">
        <v>1.9015319060916027E-29</v>
      </c>
      <c r="CC631" s="551">
        <v>115185.82434596405</v>
      </c>
      <c r="CD631" s="551">
        <v>15302790.283738686</v>
      </c>
      <c r="CE631" s="551">
        <v>173507.32787739427</v>
      </c>
      <c r="CF631" s="551">
        <v>328230.11974479246</v>
      </c>
      <c r="CG631" s="551">
        <v>1471057.7941473247</v>
      </c>
      <c r="CH631" s="551">
        <v>5679929.2712661969</v>
      </c>
      <c r="CI631" s="551">
        <v>544836.22005456465</v>
      </c>
      <c r="CJ631" s="551">
        <v>286953.68483919365</v>
      </c>
      <c r="CK631" s="551">
        <v>16727685.995292533</v>
      </c>
      <c r="CL631" s="551"/>
      <c r="CM631" s="551">
        <v>72290.132239553001</v>
      </c>
      <c r="CN631" s="551">
        <v>2345045.5626481343</v>
      </c>
      <c r="CO631" s="551">
        <v>32992.169161863552</v>
      </c>
      <c r="CP631" s="551">
        <v>6983628.667510232</v>
      </c>
      <c r="CQ631" s="551"/>
      <c r="CR631" s="551">
        <v>36702.203425834479</v>
      </c>
      <c r="CS631" s="551">
        <v>908353.19578876998</v>
      </c>
      <c r="CT631" s="551">
        <v>65319.702566945816</v>
      </c>
      <c r="CU631" s="551">
        <v>1325764.1400362067</v>
      </c>
      <c r="CV631" s="551"/>
      <c r="CW631" s="551">
        <v>4294.6260605437055</v>
      </c>
      <c r="CX631" s="551">
        <v>145451.41966416873</v>
      </c>
      <c r="CY631" s="554"/>
    </row>
    <row r="632" spans="65:103" ht="12.75" customHeight="1" x14ac:dyDescent="0.3">
      <c r="BM632" s="562"/>
      <c r="BN632" s="591">
        <v>619</v>
      </c>
      <c r="BO632" s="549" t="s">
        <v>3104</v>
      </c>
      <c r="BP632" s="554" t="s">
        <v>618</v>
      </c>
      <c r="BQ632" s="553">
        <v>5.39</v>
      </c>
      <c r="BR632" s="551">
        <v>544.40564065573255</v>
      </c>
      <c r="BS632" s="551"/>
      <c r="BT632" s="551">
        <v>12603918.880626682</v>
      </c>
      <c r="BU632" s="551">
        <v>536505.84100213018</v>
      </c>
      <c r="BV632" s="551">
        <v>192507.40430082058</v>
      </c>
      <c r="BW632" s="551">
        <v>2455.8853191628755</v>
      </c>
      <c r="BX632" s="551">
        <v>2285811.0928783128</v>
      </c>
      <c r="BY632" s="551">
        <v>26180854.334499329</v>
      </c>
      <c r="BZ632" s="551">
        <v>846596.70106604148</v>
      </c>
      <c r="CA632" s="551">
        <v>1.0851039560856803</v>
      </c>
      <c r="CB632" s="551">
        <v>4.3749184804319884E-32</v>
      </c>
      <c r="CC632" s="551">
        <v>2237.747976788799</v>
      </c>
      <c r="CD632" s="551">
        <v>2991380.2510514711</v>
      </c>
      <c r="CE632" s="551">
        <v>34.178501033767795</v>
      </c>
      <c r="CF632" s="551">
        <v>684.66047162400719</v>
      </c>
      <c r="CG632" s="551">
        <v>2360.9541692987277</v>
      </c>
      <c r="CH632" s="551">
        <v>10101.817555061691</v>
      </c>
      <c r="CI632" s="551">
        <v>874.42747011063966</v>
      </c>
      <c r="CJ632" s="551">
        <v>3.1929062326417488E-4</v>
      </c>
      <c r="CK632" s="551">
        <v>423822.37056001998</v>
      </c>
      <c r="CL632" s="551"/>
      <c r="CM632" s="551">
        <v>19.398013547288265</v>
      </c>
      <c r="CN632" s="551">
        <v>2.4934808077576744</v>
      </c>
      <c r="CO632" s="551">
        <v>2.9381516535054066E-8</v>
      </c>
      <c r="CP632" s="551">
        <v>11203.65675596111</v>
      </c>
      <c r="CQ632" s="551"/>
      <c r="CR632" s="551">
        <v>0.53337611902349047</v>
      </c>
      <c r="CS632" s="551">
        <v>8.0728270544814552E-4</v>
      </c>
      <c r="CT632" s="551">
        <v>6.7366356738827245E-8</v>
      </c>
      <c r="CU632" s="551">
        <v>1926.8642881260052</v>
      </c>
      <c r="CV632" s="551"/>
      <c r="CW632" s="551">
        <v>8.2136313768690225E-2</v>
      </c>
      <c r="CX632" s="551">
        <v>1.4151285751402604E-4</v>
      </c>
      <c r="CY632" s="554"/>
    </row>
    <row r="633" spans="65:103" ht="12.75" customHeight="1" x14ac:dyDescent="0.3">
      <c r="BM633" s="562"/>
      <c r="BN633" s="591">
        <v>620</v>
      </c>
      <c r="BO633" s="549" t="s">
        <v>3106</v>
      </c>
      <c r="BP633" s="554" t="s">
        <v>618</v>
      </c>
      <c r="BQ633" s="553">
        <v>5.48</v>
      </c>
      <c r="BR633" s="551">
        <v>115013.28499835303</v>
      </c>
      <c r="BS633" s="551"/>
      <c r="BT633" s="551">
        <v>12771719.596604988</v>
      </c>
      <c r="BU633" s="551">
        <v>587146.95635248662</v>
      </c>
      <c r="BV633" s="551">
        <v>1198252.5566378317</v>
      </c>
      <c r="BW633" s="551">
        <v>14943.514184751737</v>
      </c>
      <c r="BX633" s="551">
        <v>3006686.1907719043</v>
      </c>
      <c r="BY633" s="551">
        <v>45419424.901842803</v>
      </c>
      <c r="BZ633" s="551">
        <v>1113587.4780636681</v>
      </c>
      <c r="CA633" s="551">
        <v>96775.584339211069</v>
      </c>
      <c r="CB633" s="551">
        <v>8.6334040600819504E-30</v>
      </c>
      <c r="CC633" s="551">
        <v>309039.78474439523</v>
      </c>
      <c r="CD633" s="551">
        <v>11167069.654798651</v>
      </c>
      <c r="CE633" s="551">
        <v>28994.350320000212</v>
      </c>
      <c r="CF633" s="551">
        <v>14210.6896734395</v>
      </c>
      <c r="CG633" s="551">
        <v>1313520.9667946184</v>
      </c>
      <c r="CH633" s="551">
        <v>4253426.3687589029</v>
      </c>
      <c r="CI633" s="551">
        <v>486489.24696096982</v>
      </c>
      <c r="CJ633" s="551">
        <v>12708.433447839587</v>
      </c>
      <c r="CK633" s="551">
        <v>4653376.6539748618</v>
      </c>
      <c r="CL633" s="551"/>
      <c r="CM633" s="551">
        <v>1191.4056887634754</v>
      </c>
      <c r="CN633" s="551">
        <v>619108.66371170687</v>
      </c>
      <c r="CO633" s="551">
        <v>389.08656932154383</v>
      </c>
      <c r="CP633" s="551">
        <v>444081.47038789542</v>
      </c>
      <c r="CQ633" s="551"/>
      <c r="CR633" s="551">
        <v>121.24582271498626</v>
      </c>
      <c r="CS633" s="551">
        <v>73656.765428024795</v>
      </c>
      <c r="CT633" s="551">
        <v>811.60167298355555</v>
      </c>
      <c r="CU633" s="551">
        <v>79939.32658475895</v>
      </c>
      <c r="CV633" s="551"/>
      <c r="CW633" s="551">
        <v>18.315495815429692</v>
      </c>
      <c r="CX633" s="551">
        <v>10033.824028786405</v>
      </c>
      <c r="CY633" s="554"/>
    </row>
    <row r="634" spans="65:103" ht="12.75" customHeight="1" x14ac:dyDescent="0.3">
      <c r="BM634" s="562"/>
      <c r="BN634" s="591">
        <v>621</v>
      </c>
      <c r="BO634" s="549" t="s">
        <v>3108</v>
      </c>
      <c r="BP634" s="554" t="s">
        <v>618</v>
      </c>
      <c r="BQ634" s="553">
        <v>5.64</v>
      </c>
      <c r="BR634" s="551">
        <v>54.995669878879703</v>
      </c>
      <c r="BS634" s="551"/>
      <c r="BT634" s="551">
        <v>17692126.778501213</v>
      </c>
      <c r="BU634" s="551">
        <v>851965.41892828816</v>
      </c>
      <c r="BV634" s="551">
        <v>276485.30609724642</v>
      </c>
      <c r="BW634" s="551">
        <v>3996.4229473529126</v>
      </c>
      <c r="BX634" s="551">
        <v>1057309.4554713238</v>
      </c>
      <c r="BY634" s="551">
        <v>18560894.859067198</v>
      </c>
      <c r="BZ634" s="551">
        <v>391596.09461900865</v>
      </c>
      <c r="CA634" s="551">
        <v>3.2307895950755346E-2</v>
      </c>
      <c r="CB634" s="551">
        <v>4.4186033692033766E-33</v>
      </c>
      <c r="CC634" s="551">
        <v>1216.066298290732</v>
      </c>
      <c r="CD634" s="551">
        <v>24052182.036377959</v>
      </c>
      <c r="CE634" s="551">
        <v>19.004185699484438</v>
      </c>
      <c r="CF634" s="551">
        <v>5641.2320317534632</v>
      </c>
      <c r="CG634" s="551">
        <v>321.87021196505083</v>
      </c>
      <c r="CH634" s="551">
        <v>2112.336996593147</v>
      </c>
      <c r="CI634" s="551">
        <v>119.21118961668549</v>
      </c>
      <c r="CJ634" s="551">
        <v>2.7841711648651001E-6</v>
      </c>
      <c r="CK634" s="551">
        <v>34431516.827588782</v>
      </c>
      <c r="CL634" s="551"/>
      <c r="CM634" s="551">
        <v>1630.0463406550266</v>
      </c>
      <c r="CN634" s="551">
        <v>9.9556976105001999E-2</v>
      </c>
      <c r="CO634" s="551">
        <v>2.9996991756870143E-10</v>
      </c>
      <c r="CP634" s="551">
        <v>7572813.7765870122</v>
      </c>
      <c r="CQ634" s="551"/>
      <c r="CR634" s="551">
        <v>359.69945136271411</v>
      </c>
      <c r="CS634" s="551">
        <v>5.8336965416338134E-6</v>
      </c>
      <c r="CT634" s="551">
        <v>5.1729575974575175E-11</v>
      </c>
      <c r="CU634" s="551">
        <v>1838105.0196210076</v>
      </c>
      <c r="CV634" s="551"/>
      <c r="CW634" s="551">
        <v>86.481983877523774</v>
      </c>
      <c r="CX634" s="551">
        <v>1.3432602982311442E-6</v>
      </c>
      <c r="CY634" s="554"/>
    </row>
    <row r="635" spans="65:103" ht="12.75" customHeight="1" x14ac:dyDescent="0.3">
      <c r="BM635" s="562"/>
      <c r="BN635" s="591">
        <v>622</v>
      </c>
      <c r="BO635" s="549" t="s">
        <v>3110</v>
      </c>
      <c r="BP635" s="554" t="s">
        <v>618</v>
      </c>
      <c r="BQ635" s="553">
        <v>5.75</v>
      </c>
      <c r="BR635" s="551">
        <v>10119.611638073418</v>
      </c>
      <c r="BS635" s="551"/>
      <c r="BT635" s="551">
        <v>7772182.6329904487</v>
      </c>
      <c r="BU635" s="551">
        <v>363163.02757998317</v>
      </c>
      <c r="BV635" s="551">
        <v>11524609.183690885</v>
      </c>
      <c r="BW635" s="551">
        <v>152971.49811937197</v>
      </c>
      <c r="BX635" s="551">
        <v>1036512.4671052198</v>
      </c>
      <c r="BY635" s="551">
        <v>39937792.595644243</v>
      </c>
      <c r="BZ635" s="551">
        <v>383893.50633526628</v>
      </c>
      <c r="CA635" s="551">
        <v>975.59742299379707</v>
      </c>
      <c r="CB635" s="551">
        <v>1.0792380500847672E-31</v>
      </c>
      <c r="CC635" s="551">
        <v>2308.1542781972876</v>
      </c>
      <c r="CD635" s="551">
        <v>5932276.9239964504</v>
      </c>
      <c r="CE635" s="551">
        <v>3422.5361456351884</v>
      </c>
      <c r="CF635" s="551">
        <v>124939.65786796068</v>
      </c>
      <c r="CG635" s="551">
        <v>51794.689245697889</v>
      </c>
      <c r="CH635" s="551">
        <v>123388.69243039838</v>
      </c>
      <c r="CI635" s="551">
        <v>19183.21823914738</v>
      </c>
      <c r="CJ635" s="551">
        <v>14.040411992995054</v>
      </c>
      <c r="CK635" s="551">
        <v>3195507.8986145342</v>
      </c>
      <c r="CL635" s="551"/>
      <c r="CM635" s="551">
        <v>13559.854747396275</v>
      </c>
      <c r="CN635" s="551">
        <v>2675.4577326553704</v>
      </c>
      <c r="CO635" s="551">
        <v>0.1696140452434696</v>
      </c>
      <c r="CP635" s="551">
        <v>302158.80241178832</v>
      </c>
      <c r="CQ635" s="551"/>
      <c r="CR635" s="551">
        <v>1557.5531866198232</v>
      </c>
      <c r="CS635" s="551">
        <v>66.303674216723664</v>
      </c>
      <c r="CT635" s="551">
        <v>7.4799069174693367E-2</v>
      </c>
      <c r="CU635" s="551">
        <v>57910.35839396614</v>
      </c>
      <c r="CV635" s="551"/>
      <c r="CW635" s="551">
        <v>184.43305741164937</v>
      </c>
      <c r="CX635" s="551">
        <v>3.9918844641356328</v>
      </c>
      <c r="CY635" s="554"/>
    </row>
    <row r="636" spans="65:103" ht="12.75" customHeight="1" x14ac:dyDescent="0.3">
      <c r="BM636" s="562"/>
      <c r="BN636" s="591">
        <v>623</v>
      </c>
      <c r="BO636" s="549" t="s">
        <v>3112</v>
      </c>
      <c r="BP636" s="554" t="s">
        <v>618</v>
      </c>
      <c r="BQ636" s="553">
        <v>5.8</v>
      </c>
      <c r="BR636" s="551">
        <v>187469.8446106198</v>
      </c>
      <c r="BS636" s="551"/>
      <c r="BT636" s="551">
        <v>9890604.0392830558</v>
      </c>
      <c r="BU636" s="551">
        <v>460973.86383036501</v>
      </c>
      <c r="BV636" s="551">
        <v>5250782.3441499323</v>
      </c>
      <c r="BW636" s="551">
        <v>62725.318743432508</v>
      </c>
      <c r="BX636" s="551">
        <v>1650140.0392434993</v>
      </c>
      <c r="BY636" s="551">
        <v>56000228.900468841</v>
      </c>
      <c r="BZ636" s="551">
        <v>611162.97749759199</v>
      </c>
      <c r="CA636" s="551">
        <v>294666.4884414206</v>
      </c>
      <c r="CB636" s="551">
        <v>1.1552939496778285E-29</v>
      </c>
      <c r="CC636" s="551">
        <v>172421.22762290103</v>
      </c>
      <c r="CD636" s="551">
        <v>15129689.650673477</v>
      </c>
      <c r="CE636" s="551">
        <v>91536.000649017151</v>
      </c>
      <c r="CF636" s="551">
        <v>102935.83652900289</v>
      </c>
      <c r="CG636" s="551">
        <v>1416455.6413289553</v>
      </c>
      <c r="CH636" s="551">
        <v>4655207.8218271993</v>
      </c>
      <c r="CI636" s="551">
        <v>524613.2004922058</v>
      </c>
      <c r="CJ636" s="551">
        <v>76122.240132819497</v>
      </c>
      <c r="CK636" s="551">
        <v>11179267.916109933</v>
      </c>
      <c r="CL636" s="551"/>
      <c r="CM636" s="551">
        <v>15325.657859079069</v>
      </c>
      <c r="CN636" s="551">
        <v>1313371.0721216048</v>
      </c>
      <c r="CO636" s="551">
        <v>5421.6504163523177</v>
      </c>
      <c r="CP636" s="551">
        <v>2220384.6027895822</v>
      </c>
      <c r="CQ636" s="551"/>
      <c r="CR636" s="551">
        <v>3443.6440173562787</v>
      </c>
      <c r="CS636" s="551">
        <v>344426.06031602196</v>
      </c>
      <c r="CT636" s="551">
        <v>9178.2063916032967</v>
      </c>
      <c r="CU636" s="551">
        <v>413013.74795024592</v>
      </c>
      <c r="CV636" s="551"/>
      <c r="CW636" s="551">
        <v>464.76737055666229</v>
      </c>
      <c r="CX636" s="551">
        <v>41182.956597350727</v>
      </c>
      <c r="CY636" s="554"/>
    </row>
    <row r="637" spans="65:103" ht="12.75" customHeight="1" x14ac:dyDescent="0.3">
      <c r="BM637" s="562"/>
      <c r="BN637" s="591">
        <v>624</v>
      </c>
      <c r="BO637" s="549" t="s">
        <v>3114</v>
      </c>
      <c r="BP637" s="554" t="s">
        <v>618</v>
      </c>
      <c r="BQ637" s="553">
        <v>5.98</v>
      </c>
      <c r="BR637" s="551">
        <v>183105.11119704129</v>
      </c>
      <c r="BS637" s="551"/>
      <c r="BT637" s="551">
        <v>4256527.1517349584</v>
      </c>
      <c r="BU637" s="551">
        <v>194379.42963209903</v>
      </c>
      <c r="BV637" s="551">
        <v>8003453.1921321684</v>
      </c>
      <c r="BW637" s="551">
        <v>108098.06432186777</v>
      </c>
      <c r="BX637" s="551">
        <v>952782.57625065127</v>
      </c>
      <c r="BY637" s="551">
        <v>40957522.979293615</v>
      </c>
      <c r="BZ637" s="551">
        <v>352882.43564838939</v>
      </c>
      <c r="CA637" s="551">
        <v>334950.53452838858</v>
      </c>
      <c r="CB637" s="551">
        <v>9.8838706382895702E-30</v>
      </c>
      <c r="CC637" s="551">
        <v>69070.03778687607</v>
      </c>
      <c r="CD637" s="551">
        <v>9503119.074746443</v>
      </c>
      <c r="CE637" s="551">
        <v>129870.8535620975</v>
      </c>
      <c r="CF637" s="551">
        <v>264243.18122154596</v>
      </c>
      <c r="CG637" s="551">
        <v>1011449.8726407724</v>
      </c>
      <c r="CH637" s="551">
        <v>3500142.4848720795</v>
      </c>
      <c r="CI637" s="551">
        <v>374611.06394102675</v>
      </c>
      <c r="CJ637" s="551">
        <v>102414.19128522454</v>
      </c>
      <c r="CK637" s="551">
        <v>8139219.5689402949</v>
      </c>
      <c r="CL637" s="551"/>
      <c r="CM637" s="551">
        <v>45597.496147762817</v>
      </c>
      <c r="CN637" s="551">
        <v>1110011.5152086876</v>
      </c>
      <c r="CO637" s="551">
        <v>8940.2514441907642</v>
      </c>
      <c r="CP637" s="551">
        <v>2199171.0497724339</v>
      </c>
      <c r="CQ637" s="551"/>
      <c r="CR637" s="551">
        <v>15211.858621845922</v>
      </c>
      <c r="CS637" s="551">
        <v>339502.50285355572</v>
      </c>
      <c r="CT637" s="551">
        <v>15234.26344603737</v>
      </c>
      <c r="CU637" s="551">
        <v>392844.76436451951</v>
      </c>
      <c r="CV637" s="551"/>
      <c r="CW637" s="551">
        <v>1621.341310505682</v>
      </c>
      <c r="CX637" s="551">
        <v>43837.237654429286</v>
      </c>
      <c r="CY637" s="554"/>
    </row>
    <row r="638" spans="65:103" ht="12.75" customHeight="1" x14ac:dyDescent="0.3">
      <c r="BM638" s="562"/>
      <c r="BN638" s="591">
        <v>625</v>
      </c>
      <c r="BO638" s="549" t="s">
        <v>3116</v>
      </c>
      <c r="BP638" s="554" t="s">
        <v>618</v>
      </c>
      <c r="BQ638" s="553">
        <v>6.07</v>
      </c>
      <c r="BR638" s="551">
        <v>66073.582043656512</v>
      </c>
      <c r="BS638" s="551"/>
      <c r="BT638" s="551">
        <v>14097535.870020296</v>
      </c>
      <c r="BU638" s="551">
        <v>662685.89343004278</v>
      </c>
      <c r="BV638" s="551">
        <v>2066753.9134255045</v>
      </c>
      <c r="BW638" s="551">
        <v>25704.02381628747</v>
      </c>
      <c r="BX638" s="551">
        <v>5710338.9720664881</v>
      </c>
      <c r="BY638" s="551">
        <v>66433880.437117249</v>
      </c>
      <c r="BZ638" s="551">
        <v>2114940.360024624</v>
      </c>
      <c r="CA638" s="551">
        <v>34497.05679367121</v>
      </c>
      <c r="CB638" s="551">
        <v>5.1740044215055472E-30</v>
      </c>
      <c r="CC638" s="551">
        <v>289710.42483221111</v>
      </c>
      <c r="CD638" s="551">
        <v>14341878.102570828</v>
      </c>
      <c r="CE638" s="551">
        <v>42472.68173691658</v>
      </c>
      <c r="CF638" s="551">
        <v>27814.382347169165</v>
      </c>
      <c r="CG638" s="551">
        <v>1545839.6399364274</v>
      </c>
      <c r="CH638" s="551">
        <v>4928929.8250984354</v>
      </c>
      <c r="CI638" s="551">
        <v>572533.19997645461</v>
      </c>
      <c r="CJ638" s="551">
        <v>2744.8596182606261</v>
      </c>
      <c r="CK638" s="551">
        <v>8175931.3517965898</v>
      </c>
      <c r="CL638" s="551"/>
      <c r="CM638" s="551">
        <v>3195.074537802825</v>
      </c>
      <c r="CN638" s="551">
        <v>441475.07539829682</v>
      </c>
      <c r="CO638" s="551">
        <v>47.589685499634449</v>
      </c>
      <c r="CP638" s="551">
        <v>823506.99904569343</v>
      </c>
      <c r="CQ638" s="551"/>
      <c r="CR638" s="551">
        <v>340.17221745801987</v>
      </c>
      <c r="CS638" s="551">
        <v>30146.766679607023</v>
      </c>
      <c r="CT638" s="551">
        <v>109.22874160632711</v>
      </c>
      <c r="CU638" s="551">
        <v>157620.70480854888</v>
      </c>
      <c r="CV638" s="551"/>
      <c r="CW638" s="551">
        <v>55.922523702590951</v>
      </c>
      <c r="CX638" s="551">
        <v>4429.4756400394617</v>
      </c>
      <c r="CY638" s="554"/>
    </row>
    <row r="639" spans="65:103" ht="12.75" customHeight="1" x14ac:dyDescent="0.3">
      <c r="BM639" s="562"/>
      <c r="BN639" s="591">
        <v>626</v>
      </c>
      <c r="BO639" s="549" t="s">
        <v>3118</v>
      </c>
      <c r="BP639" s="554" t="s">
        <v>618</v>
      </c>
      <c r="BQ639" s="553">
        <v>6.14</v>
      </c>
      <c r="BR639" s="551">
        <v>55232.064649770975</v>
      </c>
      <c r="BS639" s="551"/>
      <c r="BT639" s="551">
        <v>4729586.6412078189</v>
      </c>
      <c r="BU639" s="551">
        <v>221212.64450972906</v>
      </c>
      <c r="BV639" s="551">
        <v>7709124.5499289809</v>
      </c>
      <c r="BW639" s="551">
        <v>104026.17101326471</v>
      </c>
      <c r="BX639" s="551">
        <v>2015275.8020399138</v>
      </c>
      <c r="BY639" s="551">
        <v>28810273.094375946</v>
      </c>
      <c r="BZ639" s="551">
        <v>746398.44519996783</v>
      </c>
      <c r="CA639" s="551">
        <v>80124.924120594209</v>
      </c>
      <c r="CB639" s="551">
        <v>3.5920919783924325E-30</v>
      </c>
      <c r="CC639" s="551">
        <v>66965.029520543496</v>
      </c>
      <c r="CD639" s="551">
        <v>5997137.9942246331</v>
      </c>
      <c r="CE639" s="551">
        <v>109151.55852429963</v>
      </c>
      <c r="CF639" s="551">
        <v>141008.96084851099</v>
      </c>
      <c r="CG639" s="551">
        <v>1517416.4217756751</v>
      </c>
      <c r="CH639" s="551">
        <v>3754518.6651025121</v>
      </c>
      <c r="CI639" s="551">
        <v>562006.08213913883</v>
      </c>
      <c r="CJ639" s="551">
        <v>18952.916848415411</v>
      </c>
      <c r="CK639" s="551">
        <v>4108357.5107125975</v>
      </c>
      <c r="CL639" s="551"/>
      <c r="CM639" s="551">
        <v>19462.627246545868</v>
      </c>
      <c r="CN639" s="551">
        <v>1288299.5679343392</v>
      </c>
      <c r="CO639" s="551">
        <v>1997.8150321834801</v>
      </c>
      <c r="CP639" s="551">
        <v>661310.95345830265</v>
      </c>
      <c r="CQ639" s="551"/>
      <c r="CR639" s="551">
        <v>3830.6889235936146</v>
      </c>
      <c r="CS639" s="551">
        <v>305945.91459774668</v>
      </c>
      <c r="CT639" s="551">
        <v>1974.1675575924507</v>
      </c>
      <c r="CU639" s="551">
        <v>137317.12905740901</v>
      </c>
      <c r="CV639" s="551"/>
      <c r="CW639" s="551">
        <v>484.55580737564605</v>
      </c>
      <c r="CX639" s="551">
        <v>37399.422393608998</v>
      </c>
      <c r="CY639" s="554"/>
    </row>
    <row r="640" spans="65:103" ht="12.75" customHeight="1" x14ac:dyDescent="0.3">
      <c r="BM640" s="562"/>
      <c r="BN640" s="591">
        <v>627</v>
      </c>
      <c r="BO640" s="549" t="s">
        <v>3120</v>
      </c>
      <c r="BP640" s="554" t="s">
        <v>618</v>
      </c>
      <c r="BQ640" s="553">
        <v>6.23</v>
      </c>
      <c r="BR640" s="551">
        <v>239155.9714511956</v>
      </c>
      <c r="BS640" s="551"/>
      <c r="BT640" s="551">
        <v>8665294.4994735047</v>
      </c>
      <c r="BU640" s="551">
        <v>402668.02902930113</v>
      </c>
      <c r="BV640" s="551">
        <v>4083624.57525298</v>
      </c>
      <c r="BW640" s="551">
        <v>48467.995558472227</v>
      </c>
      <c r="BX640" s="551">
        <v>1359610.1815728056</v>
      </c>
      <c r="BY640" s="551">
        <v>52854869.817766629</v>
      </c>
      <c r="BZ640" s="551">
        <v>503559.32650844625</v>
      </c>
      <c r="CA640" s="551">
        <v>489756.72065138823</v>
      </c>
      <c r="CB640" s="551">
        <v>1.7879216639854273E-29</v>
      </c>
      <c r="CC640" s="551">
        <v>221490.83418203518</v>
      </c>
      <c r="CD640" s="551">
        <v>18334182.355103765</v>
      </c>
      <c r="CE640" s="551">
        <v>104380.22778267917</v>
      </c>
      <c r="CF640" s="551">
        <v>110341.64682723384</v>
      </c>
      <c r="CG640" s="551">
        <v>1560890.6186815712</v>
      </c>
      <c r="CH640" s="551">
        <v>5821073.1707771774</v>
      </c>
      <c r="CI640" s="551">
        <v>578107.63654872996</v>
      </c>
      <c r="CJ640" s="551">
        <v>171707.99175651459</v>
      </c>
      <c r="CK640" s="551">
        <v>16247268.015816793</v>
      </c>
      <c r="CL640" s="551"/>
      <c r="CM640" s="551">
        <v>19702.859001661065</v>
      </c>
      <c r="CN640" s="551">
        <v>1964202.3684140863</v>
      </c>
      <c r="CO640" s="551">
        <v>15997.776929385365</v>
      </c>
      <c r="CP640" s="551">
        <v>4700017.876676511</v>
      </c>
      <c r="CQ640" s="551"/>
      <c r="CR640" s="551">
        <v>6398.951432492644</v>
      </c>
      <c r="CS640" s="551">
        <v>643417.25196563243</v>
      </c>
      <c r="CT640" s="551">
        <v>28587.082175887932</v>
      </c>
      <c r="CU640" s="551">
        <v>896942.53581559495</v>
      </c>
      <c r="CV640" s="551"/>
      <c r="CW640" s="551">
        <v>902.30654145360813</v>
      </c>
      <c r="CX640" s="551">
        <v>87625.028578447018</v>
      </c>
      <c r="CY640" s="554"/>
    </row>
    <row r="641" spans="65:103" ht="12.75" customHeight="1" x14ac:dyDescent="0.3">
      <c r="BM641" s="562"/>
      <c r="BN641" s="591">
        <v>628</v>
      </c>
      <c r="BO641" s="549" t="s">
        <v>3122</v>
      </c>
      <c r="BP641" s="554" t="s">
        <v>618</v>
      </c>
      <c r="BQ641" s="553">
        <v>6.23</v>
      </c>
      <c r="BR641" s="551">
        <v>239155.9714511956</v>
      </c>
      <c r="BS641" s="551"/>
      <c r="BT641" s="551">
        <v>8665294.4994735047</v>
      </c>
      <c r="BU641" s="551">
        <v>402668.02902930113</v>
      </c>
      <c r="BV641" s="551">
        <v>4083624.57525298</v>
      </c>
      <c r="BW641" s="551">
        <v>48467.995558472227</v>
      </c>
      <c r="BX641" s="551">
        <v>1359610.1815728056</v>
      </c>
      <c r="BY641" s="551">
        <v>52854869.817766629</v>
      </c>
      <c r="BZ641" s="551">
        <v>503559.32650844625</v>
      </c>
      <c r="CA641" s="551">
        <v>489756.72065138823</v>
      </c>
      <c r="CB641" s="551">
        <v>1.7879216639854273E-29</v>
      </c>
      <c r="CC641" s="551">
        <v>221490.83418203518</v>
      </c>
      <c r="CD641" s="551">
        <v>18334182.355103765</v>
      </c>
      <c r="CE641" s="551">
        <v>104380.22778267917</v>
      </c>
      <c r="CF641" s="551">
        <v>110341.64682723384</v>
      </c>
      <c r="CG641" s="551">
        <v>1560890.6186815712</v>
      </c>
      <c r="CH641" s="551">
        <v>5821073.1707771774</v>
      </c>
      <c r="CI641" s="551">
        <v>578107.63654872996</v>
      </c>
      <c r="CJ641" s="551">
        <v>171707.99175651459</v>
      </c>
      <c r="CK641" s="551">
        <v>16247268.015816793</v>
      </c>
      <c r="CL641" s="551"/>
      <c r="CM641" s="551">
        <v>19702.859001661065</v>
      </c>
      <c r="CN641" s="551">
        <v>1964202.3684140863</v>
      </c>
      <c r="CO641" s="551">
        <v>15997.776929385365</v>
      </c>
      <c r="CP641" s="551">
        <v>4700017.876676511</v>
      </c>
      <c r="CQ641" s="551"/>
      <c r="CR641" s="551">
        <v>6398.951432492644</v>
      </c>
      <c r="CS641" s="551">
        <v>643417.25196563243</v>
      </c>
      <c r="CT641" s="551">
        <v>28587.082175887932</v>
      </c>
      <c r="CU641" s="551">
        <v>896942.53581559495</v>
      </c>
      <c r="CV641" s="551"/>
      <c r="CW641" s="551">
        <v>902.30654145360813</v>
      </c>
      <c r="CX641" s="551">
        <v>87625.028578447018</v>
      </c>
      <c r="CY641" s="554"/>
    </row>
    <row r="642" spans="65:103" ht="12.75" customHeight="1" x14ac:dyDescent="0.3">
      <c r="BM642" s="562"/>
      <c r="BN642" s="591">
        <v>629</v>
      </c>
      <c r="BO642" s="549" t="s">
        <v>3124</v>
      </c>
      <c r="BP642" s="554" t="s">
        <v>618</v>
      </c>
      <c r="BQ642" s="553">
        <v>6.28</v>
      </c>
      <c r="BR642" s="551">
        <v>49386.145543919272</v>
      </c>
      <c r="BS642" s="551"/>
      <c r="BT642" s="551">
        <v>12555548.380556643</v>
      </c>
      <c r="BU642" s="551">
        <v>590175.00004546135</v>
      </c>
      <c r="BV642" s="551">
        <v>6095384.6458883639</v>
      </c>
      <c r="BW642" s="551">
        <v>73232.201318444655</v>
      </c>
      <c r="BX642" s="551">
        <v>7567177.5195941804</v>
      </c>
      <c r="BY642" s="551">
        <v>71295950.069572821</v>
      </c>
      <c r="BZ642" s="551">
        <v>2802658.3405904365</v>
      </c>
      <c r="CA642" s="551">
        <v>19056.305562629739</v>
      </c>
      <c r="CB642" s="551">
        <v>3.5607145727470816E-30</v>
      </c>
      <c r="CC642" s="551">
        <v>119226.97639346091</v>
      </c>
      <c r="CD642" s="551">
        <v>11971802.567182118</v>
      </c>
      <c r="CE642" s="551">
        <v>57881.524506711889</v>
      </c>
      <c r="CF642" s="551">
        <v>74276.397312408953</v>
      </c>
      <c r="CG642" s="551">
        <v>1513559.0606551545</v>
      </c>
      <c r="CH642" s="551">
        <v>3919459.5397292287</v>
      </c>
      <c r="CI642" s="551">
        <v>560577.4298722794</v>
      </c>
      <c r="CJ642" s="551">
        <v>1106.4427045964192</v>
      </c>
      <c r="CK642" s="551">
        <v>6656694.7689829161</v>
      </c>
      <c r="CL642" s="551"/>
      <c r="CM642" s="551">
        <v>8321.8616289432211</v>
      </c>
      <c r="CN642" s="551">
        <v>315422.92098078772</v>
      </c>
      <c r="CO642" s="551">
        <v>15.675940140041934</v>
      </c>
      <c r="CP642" s="551">
        <v>647014.6752631506</v>
      </c>
      <c r="CQ642" s="551"/>
      <c r="CR642" s="551">
        <v>909.82144283881792</v>
      </c>
      <c r="CS642" s="551">
        <v>17776.685708590325</v>
      </c>
      <c r="CT642" s="551">
        <v>31.625781968857012</v>
      </c>
      <c r="CU642" s="551">
        <v>123890.61938859533</v>
      </c>
      <c r="CV642" s="551"/>
      <c r="CW642" s="551">
        <v>128.14589093912761</v>
      </c>
      <c r="CX642" s="551">
        <v>2175.785128269853</v>
      </c>
      <c r="CY642" s="554"/>
    </row>
    <row r="643" spans="65:103" ht="12.75" customHeight="1" x14ac:dyDescent="0.3">
      <c r="BM643" s="562"/>
      <c r="BN643" s="591">
        <v>630</v>
      </c>
      <c r="BO643" s="549" t="s">
        <v>3126</v>
      </c>
      <c r="BP643" s="554" t="s">
        <v>618</v>
      </c>
      <c r="BQ643" s="553">
        <v>6.33</v>
      </c>
      <c r="BR643" s="551">
        <v>276202.76655054966</v>
      </c>
      <c r="BS643" s="551"/>
      <c r="BT643" s="551">
        <v>5013917.949720474</v>
      </c>
      <c r="BU643" s="551">
        <v>228839.69952708911</v>
      </c>
      <c r="BV643" s="551">
        <v>3708099.7024222282</v>
      </c>
      <c r="BW643" s="551">
        <v>44209.024248865899</v>
      </c>
      <c r="BX643" s="551">
        <v>800148.04112844809</v>
      </c>
      <c r="BY643" s="551">
        <v>45534271.770483576</v>
      </c>
      <c r="BZ643" s="551">
        <v>296351.12634386949</v>
      </c>
      <c r="CA643" s="551">
        <v>620175.93253081571</v>
      </c>
      <c r="CB643" s="551">
        <v>1.9193614835929212E-29</v>
      </c>
      <c r="CC643" s="551">
        <v>129562.00921333738</v>
      </c>
      <c r="CD643" s="551">
        <v>16043688.58530212</v>
      </c>
      <c r="CE643" s="551">
        <v>95819.048621644542</v>
      </c>
      <c r="CF643" s="551">
        <v>154972.19651455479</v>
      </c>
      <c r="CG643" s="551">
        <v>1072903.454763795</v>
      </c>
      <c r="CH643" s="551">
        <v>4677942.9886361491</v>
      </c>
      <c r="CI643" s="551">
        <v>397371.64991251647</v>
      </c>
      <c r="CJ643" s="551">
        <v>240688.16024760148</v>
      </c>
      <c r="CK643" s="551">
        <v>16095767.24778283</v>
      </c>
      <c r="CL643" s="551"/>
      <c r="CM643" s="551">
        <v>31327.363842015857</v>
      </c>
      <c r="CN643" s="551">
        <v>1494528.2136740899</v>
      </c>
      <c r="CO643" s="551">
        <v>24766.640174542972</v>
      </c>
      <c r="CP643" s="551">
        <v>5751011.9317609426</v>
      </c>
      <c r="CQ643" s="551"/>
      <c r="CR643" s="551">
        <v>12948.754093656124</v>
      </c>
      <c r="CS643" s="551">
        <v>510180.50301416451</v>
      </c>
      <c r="CT643" s="551">
        <v>46202.844535563985</v>
      </c>
      <c r="CU643" s="551">
        <v>1060770.406536784</v>
      </c>
      <c r="CV643" s="551"/>
      <c r="CW643" s="551">
        <v>1645.2218183972277</v>
      </c>
      <c r="CX643" s="551">
        <v>79672.955528355771</v>
      </c>
      <c r="CY643" s="554"/>
    </row>
    <row r="644" spans="65:103" ht="12.75" customHeight="1" x14ac:dyDescent="0.3">
      <c r="BM644" s="562"/>
      <c r="BN644" s="591">
        <v>631</v>
      </c>
      <c r="BO644" s="549" t="s">
        <v>3128</v>
      </c>
      <c r="BP644" s="554" t="s">
        <v>618</v>
      </c>
      <c r="BQ644" s="553">
        <v>6.35</v>
      </c>
      <c r="BR644" s="551">
        <v>160168.87212084755</v>
      </c>
      <c r="BS644" s="551"/>
      <c r="BT644" s="551">
        <v>8110202.4521622304</v>
      </c>
      <c r="BU644" s="551">
        <v>377697.11531150062</v>
      </c>
      <c r="BV644" s="551">
        <v>8402304.9274592288</v>
      </c>
      <c r="BW644" s="551">
        <v>105700.33661547687</v>
      </c>
      <c r="BX644" s="551">
        <v>1691311.1604714189</v>
      </c>
      <c r="BY644" s="551">
        <v>50340637.891420834</v>
      </c>
      <c r="BZ644" s="551">
        <v>626411.5409153403</v>
      </c>
      <c r="CA644" s="551">
        <v>273776.11080312816</v>
      </c>
      <c r="CB644" s="551">
        <v>1.0151859454043014E-29</v>
      </c>
      <c r="CC644" s="551">
        <v>135159.83599015468</v>
      </c>
      <c r="CD644" s="551">
        <v>12846597.622025955</v>
      </c>
      <c r="CE644" s="551">
        <v>140027.84303268362</v>
      </c>
      <c r="CF644" s="551">
        <v>179759.07651450115</v>
      </c>
      <c r="CG644" s="551">
        <v>1569081.7670404301</v>
      </c>
      <c r="CH644" s="551">
        <v>4590059.5467016893</v>
      </c>
      <c r="CI644" s="551">
        <v>581141.39520015905</v>
      </c>
      <c r="CJ644" s="551">
        <v>77592.812858937279</v>
      </c>
      <c r="CK644" s="551">
        <v>9840829.8625986278</v>
      </c>
      <c r="CL644" s="551"/>
      <c r="CM644" s="551">
        <v>27745.146934206809</v>
      </c>
      <c r="CN644" s="551">
        <v>1596155.4220196567</v>
      </c>
      <c r="CO644" s="551">
        <v>6069.5115458211649</v>
      </c>
      <c r="CP644" s="551">
        <v>2149530.6912354999</v>
      </c>
      <c r="CQ644" s="551"/>
      <c r="CR644" s="551">
        <v>7178.4595258716308</v>
      </c>
      <c r="CS644" s="551">
        <v>472338.01054926694</v>
      </c>
      <c r="CT644" s="551">
        <v>10469.164528250349</v>
      </c>
      <c r="CU644" s="551">
        <v>405290.59161134739</v>
      </c>
      <c r="CV644" s="551"/>
      <c r="CW644" s="551">
        <v>883.84479720848276</v>
      </c>
      <c r="CX644" s="551">
        <v>54636.14793348228</v>
      </c>
      <c r="CY644" s="554"/>
    </row>
    <row r="645" spans="65:103" ht="12.75" customHeight="1" x14ac:dyDescent="0.3">
      <c r="BM645" s="562"/>
      <c r="BN645" s="591">
        <v>632</v>
      </c>
      <c r="BO645" s="549" t="s">
        <v>3130</v>
      </c>
      <c r="BP645" s="554" t="s">
        <v>618</v>
      </c>
      <c r="BQ645" s="553">
        <v>6.51</v>
      </c>
      <c r="BR645" s="551">
        <v>33069.45918628158</v>
      </c>
      <c r="BS645" s="551"/>
      <c r="BT645" s="551">
        <v>345860.52472069475</v>
      </c>
      <c r="BU645" s="551">
        <v>11953.833999302975</v>
      </c>
      <c r="BV645" s="551">
        <v>93809412.616901249</v>
      </c>
      <c r="BW645" s="551">
        <v>2551075.7660392085</v>
      </c>
      <c r="BX645" s="551">
        <v>5317627.8247855389</v>
      </c>
      <c r="BY645" s="551">
        <v>64635643.449675247</v>
      </c>
      <c r="BZ645" s="551">
        <v>1969491.7869576064</v>
      </c>
      <c r="CA645" s="551">
        <v>43908.834726240646</v>
      </c>
      <c r="CB645" s="551">
        <v>2.0372687815073422E-30</v>
      </c>
      <c r="CC645" s="551">
        <v>2807.6737560768647</v>
      </c>
      <c r="CD645" s="551">
        <v>2486520.1536791879</v>
      </c>
      <c r="CE645" s="551">
        <v>761538.84890494891</v>
      </c>
      <c r="CF645" s="551">
        <v>26532497.047344573</v>
      </c>
      <c r="CG645" s="551">
        <v>3658821.7167061795</v>
      </c>
      <c r="CH645" s="551">
        <v>8159653.9496277198</v>
      </c>
      <c r="CI645" s="551">
        <v>1355119.154335622</v>
      </c>
      <c r="CJ645" s="551">
        <v>9338.5498235065206</v>
      </c>
      <c r="CK645" s="551">
        <v>10434366.996851994</v>
      </c>
      <c r="CL645" s="551"/>
      <c r="CM645" s="551">
        <v>22043966.918022551</v>
      </c>
      <c r="CN645" s="551">
        <v>2793009.622716886</v>
      </c>
      <c r="CO645" s="551">
        <v>1080.5682915145389</v>
      </c>
      <c r="CP645" s="551">
        <v>4265646.8254496995</v>
      </c>
      <c r="CQ645" s="551"/>
      <c r="CR645" s="551">
        <v>10559918.850009996</v>
      </c>
      <c r="CS645" s="551">
        <v>559514.87335780868</v>
      </c>
      <c r="CT645" s="551">
        <v>636.1496120573488</v>
      </c>
      <c r="CU645" s="551">
        <v>1959192.7792046783</v>
      </c>
      <c r="CV645" s="551"/>
      <c r="CW645" s="551">
        <v>3247600.7628950682</v>
      </c>
      <c r="CX645" s="551">
        <v>78944.958297678226</v>
      </c>
      <c r="CY645" s="554"/>
    </row>
    <row r="646" spans="65:103" ht="12.75" customHeight="1" x14ac:dyDescent="0.3">
      <c r="BM646" s="562"/>
      <c r="BN646" s="591">
        <v>633</v>
      </c>
      <c r="BO646" s="549" t="s">
        <v>3132</v>
      </c>
      <c r="BP646" s="554" t="s">
        <v>618</v>
      </c>
      <c r="BQ646" s="553">
        <v>6.61</v>
      </c>
      <c r="BR646" s="551">
        <v>58254.295248647795</v>
      </c>
      <c r="BS646" s="551"/>
      <c r="BT646" s="551">
        <v>3521652.4100750466</v>
      </c>
      <c r="BU646" s="551">
        <v>163400.73300729613</v>
      </c>
      <c r="BV646" s="551">
        <v>119897590.19953679</v>
      </c>
      <c r="BW646" s="551">
        <v>3293450.5855093789</v>
      </c>
      <c r="BX646" s="551">
        <v>9796168.7308349516</v>
      </c>
      <c r="BY646" s="551">
        <v>117248178.22823043</v>
      </c>
      <c r="BZ646" s="551">
        <v>3628210.6410499816</v>
      </c>
      <c r="CA646" s="551">
        <v>73062.776606549451</v>
      </c>
      <c r="CB646" s="551">
        <v>3.6448218930898653E-30</v>
      </c>
      <c r="CC646" s="551">
        <v>33613.392224820353</v>
      </c>
      <c r="CD646" s="551">
        <v>8836874.2312712595</v>
      </c>
      <c r="CE646" s="551">
        <v>1144395.9417056506</v>
      </c>
      <c r="CF646" s="551">
        <v>8905654.2389419824</v>
      </c>
      <c r="CG646" s="551">
        <v>6366826.4449493494</v>
      </c>
      <c r="CH646" s="551">
        <v>14471655.920614904</v>
      </c>
      <c r="CI646" s="551">
        <v>2358083.8684997582</v>
      </c>
      <c r="CJ646" s="551">
        <v>14599.998192654439</v>
      </c>
      <c r="CK646" s="551">
        <v>15529121.468431223</v>
      </c>
      <c r="CL646" s="551"/>
      <c r="CM646" s="551">
        <v>3153131.2622369588</v>
      </c>
      <c r="CN646" s="551">
        <v>4566498.2565236446</v>
      </c>
      <c r="CO646" s="551">
        <v>1640.1734146193014</v>
      </c>
      <c r="CP646" s="551">
        <v>4036357.8589795092</v>
      </c>
      <c r="CQ646" s="551"/>
      <c r="CR646" s="551">
        <v>935326.76418047317</v>
      </c>
      <c r="CS646" s="551">
        <v>845785.33819323278</v>
      </c>
      <c r="CT646" s="551">
        <v>908.53393265073009</v>
      </c>
      <c r="CU646" s="551">
        <v>1041574.7132752999</v>
      </c>
      <c r="CV646" s="551"/>
      <c r="CW646" s="551">
        <v>171693.00773646359</v>
      </c>
      <c r="CX646" s="551">
        <v>120818.78193139513</v>
      </c>
      <c r="CY646" s="554"/>
    </row>
    <row r="647" spans="65:103" ht="12.75" customHeight="1" x14ac:dyDescent="0.3">
      <c r="BM647" s="562"/>
      <c r="BN647" s="591">
        <v>634</v>
      </c>
      <c r="BO647" s="549" t="s">
        <v>3134</v>
      </c>
      <c r="BP647" s="554" t="s">
        <v>618</v>
      </c>
      <c r="BQ647" s="553">
        <v>6.67</v>
      </c>
      <c r="BR647" s="551">
        <v>40328.428932561947</v>
      </c>
      <c r="BS647" s="551"/>
      <c r="BT647" s="551">
        <v>729430.7108166645</v>
      </c>
      <c r="BU647" s="551">
        <v>29145.686706395813</v>
      </c>
      <c r="BV647" s="551">
        <v>109074432.81426378</v>
      </c>
      <c r="BW647" s="551">
        <v>3209990.2311658892</v>
      </c>
      <c r="BX647" s="551">
        <v>6449956.5940721165</v>
      </c>
      <c r="BY647" s="551">
        <v>78695959.30338268</v>
      </c>
      <c r="BZ647" s="551">
        <v>2388872.812619301</v>
      </c>
      <c r="CA647" s="551">
        <v>53531.077138922163</v>
      </c>
      <c r="CB647" s="551">
        <v>2.4850438822639678E-30</v>
      </c>
      <c r="CC647" s="551">
        <v>6181.6689908983917</v>
      </c>
      <c r="CD647" s="551">
        <v>3551240.9782597334</v>
      </c>
      <c r="CE647" s="551">
        <v>924367.49512899772</v>
      </c>
      <c r="CF647" s="551">
        <v>19555979.180665884</v>
      </c>
      <c r="CG647" s="551">
        <v>4436596.4972951738</v>
      </c>
      <c r="CH647" s="551">
        <v>9938062.5076099653</v>
      </c>
      <c r="CI647" s="551">
        <v>1643183.8878871012</v>
      </c>
      <c r="CJ647" s="551">
        <v>11382.755237145346</v>
      </c>
      <c r="CK647" s="551">
        <v>9135008.0269843843</v>
      </c>
      <c r="CL647" s="551"/>
      <c r="CM647" s="551">
        <v>10052813.520408595</v>
      </c>
      <c r="CN647" s="551">
        <v>3386062.7526052422</v>
      </c>
      <c r="CO647" s="551">
        <v>1317.1959136643534</v>
      </c>
      <c r="CP647" s="551">
        <v>2981698.7520184489</v>
      </c>
      <c r="CQ647" s="551"/>
      <c r="CR647" s="551">
        <v>3806228.4887698605</v>
      </c>
      <c r="CS647" s="551">
        <v>675821.58693565638</v>
      </c>
      <c r="CT647" s="551">
        <v>775.11388611739903</v>
      </c>
      <c r="CU647" s="551">
        <v>921795.68999491259</v>
      </c>
      <c r="CV647" s="551"/>
      <c r="CW647" s="551">
        <v>806201.17435866164</v>
      </c>
      <c r="CX647" s="551">
        <v>95818.51573918965</v>
      </c>
      <c r="CY647" s="554"/>
    </row>
    <row r="648" spans="65:103" ht="12.75" customHeight="1" x14ac:dyDescent="0.3">
      <c r="BM648" s="562"/>
      <c r="BN648" s="591">
        <v>635</v>
      </c>
      <c r="BO648" s="549" t="s">
        <v>3135</v>
      </c>
      <c r="BP648" s="554" t="s">
        <v>618</v>
      </c>
      <c r="BQ648" s="553">
        <v>6.79</v>
      </c>
      <c r="BR648" s="551">
        <v>275868.19001649093</v>
      </c>
      <c r="BS648" s="551"/>
      <c r="BT648" s="551">
        <v>7996580.1769712977</v>
      </c>
      <c r="BU648" s="551">
        <v>361761.29715020733</v>
      </c>
      <c r="BV648" s="551">
        <v>969317.26382812124</v>
      </c>
      <c r="BW648" s="551">
        <v>11662.735476036441</v>
      </c>
      <c r="BX648" s="551">
        <v>456418.73326906865</v>
      </c>
      <c r="BY648" s="551">
        <v>33678639.977189019</v>
      </c>
      <c r="BZ648" s="551">
        <v>169043.97528484027</v>
      </c>
      <c r="CA648" s="551">
        <v>430951.13677384</v>
      </c>
      <c r="CB648" s="551">
        <v>1.5920668844077737E-29</v>
      </c>
      <c r="CC648" s="551">
        <v>147652.65681125098</v>
      </c>
      <c r="CD648" s="551">
        <v>11798896.676206905</v>
      </c>
      <c r="CE648" s="551">
        <v>17897.934633282439</v>
      </c>
      <c r="CF648" s="551">
        <v>19019.089649403617</v>
      </c>
      <c r="CG648" s="551">
        <v>391785.92766653112</v>
      </c>
      <c r="CH648" s="551">
        <v>1841149.461884266</v>
      </c>
      <c r="CI648" s="551">
        <v>145105.8991357522</v>
      </c>
      <c r="CJ648" s="551">
        <v>109686.71339524888</v>
      </c>
      <c r="CK648" s="551">
        <v>6687187.257159994</v>
      </c>
      <c r="CL648" s="551"/>
      <c r="CM648" s="551">
        <v>2168.7330780380271</v>
      </c>
      <c r="CN648" s="551">
        <v>357913.83086678159</v>
      </c>
      <c r="CO648" s="551">
        <v>7835.7238271222413</v>
      </c>
      <c r="CP648" s="551">
        <v>1454771.8247617984</v>
      </c>
      <c r="CQ648" s="551"/>
      <c r="CR648" s="551">
        <v>509.82479984965994</v>
      </c>
      <c r="CS648" s="551">
        <v>86324.74527817301</v>
      </c>
      <c r="CT648" s="551">
        <v>12848.671203242253</v>
      </c>
      <c r="CU648" s="551">
        <v>245042.10644952187</v>
      </c>
      <c r="CV648" s="551"/>
      <c r="CW648" s="551">
        <v>69.665721209644644</v>
      </c>
      <c r="CX648" s="551">
        <v>11692.943429826953</v>
      </c>
      <c r="CY648" s="554"/>
    </row>
    <row r="649" spans="65:103" ht="12.75" customHeight="1" x14ac:dyDescent="0.3">
      <c r="BM649" s="562"/>
      <c r="BN649" s="591">
        <v>636</v>
      </c>
      <c r="BO649" s="549" t="s">
        <v>3137</v>
      </c>
      <c r="BP649" s="554" t="s">
        <v>618</v>
      </c>
      <c r="BQ649" s="553">
        <v>6.8</v>
      </c>
      <c r="BR649" s="551">
        <v>123093.46543058602</v>
      </c>
      <c r="BS649" s="551"/>
      <c r="BT649" s="551">
        <v>5770084.6682287278</v>
      </c>
      <c r="BU649" s="551">
        <v>268787.80954591214</v>
      </c>
      <c r="BV649" s="551">
        <v>5284869.7538191704</v>
      </c>
      <c r="BW649" s="551">
        <v>65583.281062456459</v>
      </c>
      <c r="BX649" s="551">
        <v>1172050.4080573672</v>
      </c>
      <c r="BY649" s="551">
        <v>34889984.871167153</v>
      </c>
      <c r="BZ649" s="551">
        <v>434092.74372495071</v>
      </c>
      <c r="CA649" s="551">
        <v>257377.22324248563</v>
      </c>
      <c r="CB649" s="551">
        <v>8.4964208456210247E-30</v>
      </c>
      <c r="CC649" s="551">
        <v>118139.71489475074</v>
      </c>
      <c r="CD649" s="551">
        <v>10004384.73060739</v>
      </c>
      <c r="CE649" s="551">
        <v>108205.17234520045</v>
      </c>
      <c r="CF649" s="551">
        <v>122051.73604279466</v>
      </c>
      <c r="CG649" s="551">
        <v>1339319.5003476467</v>
      </c>
      <c r="CH649" s="551">
        <v>4062379.0068753553</v>
      </c>
      <c r="CI649" s="551">
        <v>496044.25938801724</v>
      </c>
      <c r="CJ649" s="551">
        <v>92592.896907257105</v>
      </c>
      <c r="CK649" s="551">
        <v>8515265.3999084644</v>
      </c>
      <c r="CL649" s="551"/>
      <c r="CM649" s="551">
        <v>20931.892962205358</v>
      </c>
      <c r="CN649" s="551">
        <v>1729399.8154095043</v>
      </c>
      <c r="CO649" s="551">
        <v>8950.5135669987994</v>
      </c>
      <c r="CP649" s="551">
        <v>2419667.9425597209</v>
      </c>
      <c r="CQ649" s="551"/>
      <c r="CR649" s="551">
        <v>6984.2816135683424</v>
      </c>
      <c r="CS649" s="551">
        <v>623790.77051505796</v>
      </c>
      <c r="CT649" s="551">
        <v>16382.424733803538</v>
      </c>
      <c r="CU649" s="551">
        <v>470268.62517948309</v>
      </c>
      <c r="CV649" s="551"/>
      <c r="CW649" s="551">
        <v>903.84092065083917</v>
      </c>
      <c r="CX649" s="551">
        <v>78378.704888204695</v>
      </c>
      <c r="CY649" s="554"/>
    </row>
    <row r="650" spans="65:103" ht="12.75" customHeight="1" x14ac:dyDescent="0.3">
      <c r="BM650" s="562"/>
      <c r="BN650" s="591">
        <v>637</v>
      </c>
      <c r="BO650" s="549" t="s">
        <v>3139</v>
      </c>
      <c r="BP650" s="554" t="s">
        <v>618</v>
      </c>
      <c r="BQ650" s="553">
        <v>6.84</v>
      </c>
      <c r="BR650" s="551">
        <v>264269.1310886009</v>
      </c>
      <c r="BS650" s="551"/>
      <c r="BT650" s="551">
        <v>2366984.3829625105</v>
      </c>
      <c r="BU650" s="551">
        <v>102557.73659669851</v>
      </c>
      <c r="BV650" s="551">
        <v>1166326.8875759081</v>
      </c>
      <c r="BW650" s="551">
        <v>12921.756294221013</v>
      </c>
      <c r="BX650" s="551">
        <v>187348.12022240719</v>
      </c>
      <c r="BY650" s="551">
        <v>35674230.23283197</v>
      </c>
      <c r="BZ650" s="551">
        <v>69388.192674965627</v>
      </c>
      <c r="CA650" s="551">
        <v>496337.28915158054</v>
      </c>
      <c r="CB650" s="551">
        <v>1.1380964685176508E-29</v>
      </c>
      <c r="CC650" s="551">
        <v>36779.029337367181</v>
      </c>
      <c r="CD650" s="551">
        <v>8521857.0487166326</v>
      </c>
      <c r="CE650" s="551">
        <v>18122.794186510648</v>
      </c>
      <c r="CF650" s="551">
        <v>53685.545143578536</v>
      </c>
      <c r="CG650" s="551">
        <v>216822.2330412521</v>
      </c>
      <c r="CH650" s="551">
        <v>1279431.1091836176</v>
      </c>
      <c r="CI650" s="551">
        <v>80304.530756019289</v>
      </c>
      <c r="CJ650" s="551">
        <v>153776.08374251993</v>
      </c>
      <c r="CK650" s="551">
        <v>7968720.5867132219</v>
      </c>
      <c r="CL650" s="551"/>
      <c r="CM650" s="551">
        <v>10115.376782619624</v>
      </c>
      <c r="CN650" s="551">
        <v>241112.29690659826</v>
      </c>
      <c r="CO650" s="551">
        <v>13030.886853446596</v>
      </c>
      <c r="CP650" s="551">
        <v>2621299.7786096139</v>
      </c>
      <c r="CQ650" s="551"/>
      <c r="CR650" s="551">
        <v>3746.3045905502349</v>
      </c>
      <c r="CS650" s="551">
        <v>64772.241544843659</v>
      </c>
      <c r="CT650" s="551">
        <v>24227.963200201226</v>
      </c>
      <c r="CU650" s="551">
        <v>394601.28892775002</v>
      </c>
      <c r="CV650" s="551"/>
      <c r="CW650" s="551">
        <v>413.89129013789375</v>
      </c>
      <c r="CX650" s="551">
        <v>11027.334474550898</v>
      </c>
      <c r="CY650" s="554"/>
    </row>
    <row r="651" spans="65:103" ht="12.75" customHeight="1" x14ac:dyDescent="0.3">
      <c r="BM651" s="562"/>
      <c r="BN651" s="591">
        <v>638</v>
      </c>
      <c r="BO651" s="549" t="s">
        <v>3141</v>
      </c>
      <c r="BP651" s="554" t="s">
        <v>618</v>
      </c>
      <c r="BQ651" s="553">
        <v>6.86</v>
      </c>
      <c r="BR651" s="551">
        <v>465.86734526857958</v>
      </c>
      <c r="BS651" s="551"/>
      <c r="BT651" s="551">
        <v>9403428.5852198172</v>
      </c>
      <c r="BU651" s="551">
        <v>433889.69294136815</v>
      </c>
      <c r="BV651" s="551">
        <v>1976231.1729277496</v>
      </c>
      <c r="BW651" s="551">
        <v>23324.213259264452</v>
      </c>
      <c r="BX651" s="551">
        <v>6472884.5907721911</v>
      </c>
      <c r="BY651" s="551">
        <v>45542987.741676897</v>
      </c>
      <c r="BZ651" s="551">
        <v>2397364.663248959</v>
      </c>
      <c r="CA651" s="551">
        <v>1.5530482418439475</v>
      </c>
      <c r="CB651" s="551">
        <v>3.7411442054766796E-32</v>
      </c>
      <c r="CC651" s="551">
        <v>1244.8798924660248</v>
      </c>
      <c r="CD651" s="551">
        <v>5085739.0970615158</v>
      </c>
      <c r="CE651" s="551">
        <v>261.62483478729922</v>
      </c>
      <c r="CF651" s="551">
        <v>13669.472357905397</v>
      </c>
      <c r="CG651" s="551">
        <v>11181.988233658889</v>
      </c>
      <c r="CH651" s="551">
        <v>29361.692423997629</v>
      </c>
      <c r="CI651" s="551">
        <v>4141.477123577366</v>
      </c>
      <c r="CJ651" s="551">
        <v>7.5960816781524938E-4</v>
      </c>
      <c r="CK651" s="551">
        <v>1752924.7426379411</v>
      </c>
      <c r="CL651" s="551"/>
      <c r="CM651" s="551">
        <v>947.91918119036961</v>
      </c>
      <c r="CN651" s="551">
        <v>19.630319398766527</v>
      </c>
      <c r="CO651" s="551">
        <v>4.4101135068279556E-7</v>
      </c>
      <c r="CP651" s="551">
        <v>109286.72332943742</v>
      </c>
      <c r="CQ651" s="551"/>
      <c r="CR651" s="551">
        <v>66.16664598968454</v>
      </c>
      <c r="CS651" s="551">
        <v>8.596236300643486E-3</v>
      </c>
      <c r="CT651" s="551">
        <v>7.6269693368395678E-8</v>
      </c>
      <c r="CU651" s="551">
        <v>19868.642725387195</v>
      </c>
      <c r="CV651" s="551"/>
      <c r="CW651" s="551">
        <v>8.9419720843962924</v>
      </c>
      <c r="CX651" s="551">
        <v>1.1769770738235491E-3</v>
      </c>
      <c r="CY651" s="554"/>
    </row>
    <row r="652" spans="65:103" ht="12.75" customHeight="1" x14ac:dyDescent="0.3">
      <c r="BM652" s="562"/>
      <c r="BN652" s="591">
        <v>639</v>
      </c>
      <c r="BO652" s="549" t="s">
        <v>3143</v>
      </c>
      <c r="BP652" s="554" t="s">
        <v>618</v>
      </c>
      <c r="BQ652" s="553">
        <v>6.87</v>
      </c>
      <c r="BR652" s="551">
        <v>34053.969966059216</v>
      </c>
      <c r="BS652" s="551"/>
      <c r="BT652" s="551">
        <v>13963427.512042956</v>
      </c>
      <c r="BU652" s="551">
        <v>641372.58082587144</v>
      </c>
      <c r="BV652" s="551">
        <v>253695.12786330975</v>
      </c>
      <c r="BW652" s="551">
        <v>3477.67058066965</v>
      </c>
      <c r="BX652" s="551">
        <v>1499281.8256746728</v>
      </c>
      <c r="BY652" s="551">
        <v>39346963.607159734</v>
      </c>
      <c r="BZ652" s="551">
        <v>555289.56506469357</v>
      </c>
      <c r="CA652" s="551">
        <v>11451.602935065344</v>
      </c>
      <c r="CB652" s="551">
        <v>2.5557525606984707E-30</v>
      </c>
      <c r="CC652" s="551">
        <v>468782.45657240116</v>
      </c>
      <c r="CD652" s="551">
        <v>8981238.4466687627</v>
      </c>
      <c r="CE652" s="551">
        <v>8517.0940413906792</v>
      </c>
      <c r="CF652" s="551">
        <v>2434.9176794976611</v>
      </c>
      <c r="CG652" s="551">
        <v>261264.35652668739</v>
      </c>
      <c r="CH652" s="551">
        <v>2089823.6306934278</v>
      </c>
      <c r="CI652" s="551">
        <v>96764.576491365704</v>
      </c>
      <c r="CJ652" s="551">
        <v>576.1421583616002</v>
      </c>
      <c r="CK652" s="551">
        <v>3216194.9337636358</v>
      </c>
      <c r="CL652" s="551"/>
      <c r="CM652" s="551">
        <v>175.43232883371189</v>
      </c>
      <c r="CN652" s="551">
        <v>47178.832963052962</v>
      </c>
      <c r="CO652" s="551">
        <v>26.943494016399203</v>
      </c>
      <c r="CP652" s="551">
        <v>207966.99668389503</v>
      </c>
      <c r="CQ652" s="551"/>
      <c r="CR652" s="551">
        <v>11.548511610171463</v>
      </c>
      <c r="CS652" s="551">
        <v>1417.0403243409978</v>
      </c>
      <c r="CT652" s="551">
        <v>6.4884865523610848</v>
      </c>
      <c r="CU652" s="551">
        <v>37888.626445328307</v>
      </c>
      <c r="CV652" s="551"/>
      <c r="CW652" s="551">
        <v>1.9997818912860292</v>
      </c>
      <c r="CX652" s="551">
        <v>372.43066368209725</v>
      </c>
      <c r="CY652" s="554"/>
    </row>
    <row r="653" spans="65:103" ht="12.75" customHeight="1" x14ac:dyDescent="0.3">
      <c r="BM653" s="562"/>
      <c r="BN653" s="591">
        <v>640</v>
      </c>
      <c r="BO653" s="549" t="s">
        <v>3145</v>
      </c>
      <c r="BP653" s="554" t="s">
        <v>618</v>
      </c>
      <c r="BQ653" s="553">
        <v>6.88</v>
      </c>
      <c r="BR653" s="551">
        <v>71926.03417343575</v>
      </c>
      <c r="BS653" s="551"/>
      <c r="BT653" s="551">
        <v>9159809.090656409</v>
      </c>
      <c r="BU653" s="551">
        <v>428273.77773227834</v>
      </c>
      <c r="BV653" s="551">
        <v>4649926.7124733785</v>
      </c>
      <c r="BW653" s="551">
        <v>55640.231929996327</v>
      </c>
      <c r="BX653" s="551">
        <v>1501113.989852661</v>
      </c>
      <c r="BY653" s="551">
        <v>45496747.383346297</v>
      </c>
      <c r="BZ653" s="551">
        <v>555968.1443898743</v>
      </c>
      <c r="CA653" s="551">
        <v>50364.494407655729</v>
      </c>
      <c r="CB653" s="551">
        <v>2.4057722254641613E-30</v>
      </c>
      <c r="CC653" s="551">
        <v>53857.090491131639</v>
      </c>
      <c r="CD653" s="551">
        <v>8526458.1691409871</v>
      </c>
      <c r="CE653" s="551">
        <v>27340.255812347135</v>
      </c>
      <c r="CF653" s="551">
        <v>55386.779992047661</v>
      </c>
      <c r="CG653" s="551">
        <v>552259.66255685908</v>
      </c>
      <c r="CH653" s="551">
        <v>1571879.848337953</v>
      </c>
      <c r="CI653" s="551">
        <v>204540.6157617995</v>
      </c>
      <c r="CJ653" s="551">
        <v>5426.2181346562911</v>
      </c>
      <c r="CK653" s="551">
        <v>4849753.0247524716</v>
      </c>
      <c r="CL653" s="551"/>
      <c r="CM653" s="551">
        <v>6347.8545241111888</v>
      </c>
      <c r="CN653" s="551">
        <v>213559.919493044</v>
      </c>
      <c r="CO653" s="551">
        <v>183.80553431166956</v>
      </c>
      <c r="CP653" s="551">
        <v>506184.20218577771</v>
      </c>
      <c r="CQ653" s="551"/>
      <c r="CR653" s="551">
        <v>747.37734033802826</v>
      </c>
      <c r="CS653" s="551">
        <v>27667.535105971376</v>
      </c>
      <c r="CT653" s="551">
        <v>262.74066436334641</v>
      </c>
      <c r="CU653" s="551">
        <v>95160.146344964262</v>
      </c>
      <c r="CV653" s="551"/>
      <c r="CW653" s="551">
        <v>102.64853692424157</v>
      </c>
      <c r="CX653" s="551">
        <v>2572.435986744591</v>
      </c>
      <c r="CY653" s="554"/>
    </row>
    <row r="654" spans="65:103" ht="12.75" customHeight="1" x14ac:dyDescent="0.3">
      <c r="BM654" s="562"/>
      <c r="BN654" s="591">
        <v>641</v>
      </c>
      <c r="BO654" s="549" t="s">
        <v>3147</v>
      </c>
      <c r="BP654" s="554" t="s">
        <v>618</v>
      </c>
      <c r="BQ654" s="553">
        <v>6.93</v>
      </c>
      <c r="BR654" s="551">
        <v>37590.310850418129</v>
      </c>
      <c r="BS654" s="551"/>
      <c r="BT654" s="551">
        <v>6941894.4972239686</v>
      </c>
      <c r="BU654" s="551">
        <v>293306.43806974794</v>
      </c>
      <c r="BV654" s="551">
        <v>509063.5709847238</v>
      </c>
      <c r="BW654" s="551">
        <v>5843.5521778785915</v>
      </c>
      <c r="BX654" s="551">
        <v>1077417.0637274128</v>
      </c>
      <c r="BY654" s="551">
        <v>19153762.727289513</v>
      </c>
      <c r="BZ654" s="551">
        <v>399043.35693607869</v>
      </c>
      <c r="CA654" s="551">
        <v>7833.2460833824607</v>
      </c>
      <c r="CB654" s="551">
        <v>1.212971774104709E-30</v>
      </c>
      <c r="CC654" s="551">
        <v>19004.191871494175</v>
      </c>
      <c r="CD654" s="551">
        <v>1911185.261059239</v>
      </c>
      <c r="CE654" s="551">
        <v>1393.6169415496606</v>
      </c>
      <c r="CF654" s="551">
        <v>1903.8298081845062</v>
      </c>
      <c r="CG654" s="551">
        <v>116349.62697346103</v>
      </c>
      <c r="CH654" s="551">
        <v>311310.25734273484</v>
      </c>
      <c r="CI654" s="551">
        <v>43092.454434615203</v>
      </c>
      <c r="CJ654" s="551">
        <v>242.71951863033294</v>
      </c>
      <c r="CK654" s="551">
        <v>281454.33583692531</v>
      </c>
      <c r="CL654" s="551"/>
      <c r="CM654" s="551">
        <v>56.065549791579016</v>
      </c>
      <c r="CN654" s="551">
        <v>12939.91973684402</v>
      </c>
      <c r="CO654" s="551">
        <v>2.1574377063526344</v>
      </c>
      <c r="CP654" s="551">
        <v>8058.9179643177913</v>
      </c>
      <c r="CQ654" s="551"/>
      <c r="CR654" s="551">
        <v>1.8364363767072474</v>
      </c>
      <c r="CS654" s="551">
        <v>472.01649338948602</v>
      </c>
      <c r="CT654" s="551">
        <v>3.3975419527127078</v>
      </c>
      <c r="CU654" s="551">
        <v>1357.7114652930793</v>
      </c>
      <c r="CV654" s="551"/>
      <c r="CW654" s="551">
        <v>0.21801334903226768</v>
      </c>
      <c r="CX654" s="551">
        <v>43.856538354478012</v>
      </c>
      <c r="CY654" s="554"/>
    </row>
    <row r="655" spans="65:103" ht="12.75" customHeight="1" x14ac:dyDescent="0.3">
      <c r="BM655" s="562"/>
      <c r="BN655" s="591">
        <v>642</v>
      </c>
      <c r="BO655" s="549" t="s">
        <v>3148</v>
      </c>
      <c r="BP655" s="554" t="s">
        <v>618</v>
      </c>
      <c r="BQ655" s="553">
        <v>6.95</v>
      </c>
      <c r="BR655" s="551">
        <v>2984.8559774992295</v>
      </c>
      <c r="BS655" s="551"/>
      <c r="BT655" s="551">
        <v>4547671.8116519926</v>
      </c>
      <c r="BU655" s="551">
        <v>193822.12526971524</v>
      </c>
      <c r="BV655" s="551">
        <v>124839.29356044327</v>
      </c>
      <c r="BW655" s="551">
        <v>1555.2406089165443</v>
      </c>
      <c r="BX655" s="551">
        <v>1422986.1436533586</v>
      </c>
      <c r="BY655" s="551">
        <v>12794249.632587513</v>
      </c>
      <c r="BZ655" s="551">
        <v>527031.90505679941</v>
      </c>
      <c r="CA655" s="551">
        <v>81.793845856935661</v>
      </c>
      <c r="CB655" s="551">
        <v>2.3866860956435136E-31</v>
      </c>
      <c r="CC655" s="551">
        <v>8081.4399342289962</v>
      </c>
      <c r="CD655" s="551">
        <v>1133485.0582472917</v>
      </c>
      <c r="CE655" s="551">
        <v>221.84565952084739</v>
      </c>
      <c r="CF655" s="551">
        <v>454.75767787945296</v>
      </c>
      <c r="CG655" s="551">
        <v>20206.747276250713</v>
      </c>
      <c r="CH655" s="551">
        <v>66794.232891965134</v>
      </c>
      <c r="CI655" s="551">
        <v>7483.9804726854454</v>
      </c>
      <c r="CJ655" s="551">
        <v>0.32927553089155837</v>
      </c>
      <c r="CK655" s="551">
        <v>160902.21776110167</v>
      </c>
      <c r="CL655" s="551"/>
      <c r="CM655" s="551">
        <v>12.90905494445831</v>
      </c>
      <c r="CN655" s="551">
        <v>291.9704472363502</v>
      </c>
      <c r="CO655" s="551">
        <v>1.5377108937682379E-3</v>
      </c>
      <c r="CP655" s="551">
        <v>4255.2783556421382</v>
      </c>
      <c r="CQ655" s="551"/>
      <c r="CR655" s="551">
        <v>0.36329971509525566</v>
      </c>
      <c r="CS655" s="551">
        <v>0.92153646200771777</v>
      </c>
      <c r="CT655" s="551">
        <v>2.7194996696456138E-4</v>
      </c>
      <c r="CU655" s="551">
        <v>731.84362269272515</v>
      </c>
      <c r="CV655" s="551"/>
      <c r="CW655" s="551">
        <v>5.2651302936263675E-2</v>
      </c>
      <c r="CX655" s="551">
        <v>0.15301306731546691</v>
      </c>
      <c r="CY655" s="554"/>
    </row>
    <row r="656" spans="65:103" ht="12.75" customHeight="1" x14ac:dyDescent="0.3">
      <c r="BM656" s="562"/>
      <c r="BN656" s="591">
        <v>643</v>
      </c>
      <c r="BO656" s="549" t="s">
        <v>3150</v>
      </c>
      <c r="BP656" s="554" t="s">
        <v>618</v>
      </c>
      <c r="BQ656" s="553">
        <v>7.03</v>
      </c>
      <c r="BR656" s="551">
        <v>44622.711338334448</v>
      </c>
      <c r="BS656" s="551"/>
      <c r="BT656" s="551">
        <v>13633417.737099735</v>
      </c>
      <c r="BU656" s="551">
        <v>627801.88124868029</v>
      </c>
      <c r="BV656" s="551">
        <v>1171894.7846826368</v>
      </c>
      <c r="BW656" s="551">
        <v>14737.461286384878</v>
      </c>
      <c r="BX656" s="551">
        <v>352574.96860959817</v>
      </c>
      <c r="BY656" s="551">
        <v>2882485.6916539092</v>
      </c>
      <c r="BZ656" s="551">
        <v>130583.32170725852</v>
      </c>
      <c r="CA656" s="551">
        <v>10342.11854424085</v>
      </c>
      <c r="CB656" s="551">
        <v>2.9257962934801051E-30</v>
      </c>
      <c r="CC656" s="551">
        <v>40730.272569490713</v>
      </c>
      <c r="CD656" s="551">
        <v>8755849.8890908659</v>
      </c>
      <c r="CE656" s="551">
        <v>3501.0732395442956</v>
      </c>
      <c r="CF656" s="551">
        <v>10277.047793582511</v>
      </c>
      <c r="CG656" s="551">
        <v>42335.109928369107</v>
      </c>
      <c r="CH656" s="551">
        <v>96034.14703556434</v>
      </c>
      <c r="CI656" s="551">
        <v>15679.670343840407</v>
      </c>
      <c r="CJ656" s="551">
        <v>356.3953912341434</v>
      </c>
      <c r="CK656" s="551">
        <v>3082256.1866744822</v>
      </c>
      <c r="CL656" s="551"/>
      <c r="CM656" s="551">
        <v>727.87146804651297</v>
      </c>
      <c r="CN656" s="551">
        <v>5236.3288722504885</v>
      </c>
      <c r="CO656" s="551">
        <v>2.7949018484710133</v>
      </c>
      <c r="CP656" s="551">
        <v>195572.11982099336</v>
      </c>
      <c r="CQ656" s="551"/>
      <c r="CR656" s="551">
        <v>49.049768342849347</v>
      </c>
      <c r="CS656" s="551">
        <v>197.02155507463326</v>
      </c>
      <c r="CT656" s="551">
        <v>6.0225905488871678</v>
      </c>
      <c r="CU656" s="551">
        <v>35535.004306111121</v>
      </c>
      <c r="CV656" s="551"/>
      <c r="CW656" s="551">
        <v>7.5582925005346313</v>
      </c>
      <c r="CX656" s="551">
        <v>20.259081676468256</v>
      </c>
      <c r="CY656" s="554"/>
    </row>
    <row r="657" spans="65:103" ht="12.75" customHeight="1" x14ac:dyDescent="0.3">
      <c r="BM657" s="562"/>
      <c r="BN657" s="591">
        <v>644</v>
      </c>
      <c r="BO657" s="549" t="s">
        <v>3152</v>
      </c>
      <c r="BP657" s="554" t="s">
        <v>618</v>
      </c>
      <c r="BQ657" s="553">
        <v>7.07</v>
      </c>
      <c r="BR657" s="551">
        <v>285614.57417053881</v>
      </c>
      <c r="BS657" s="551"/>
      <c r="BT657" s="551">
        <v>1712926.3448646618</v>
      </c>
      <c r="BU657" s="551">
        <v>69665.206064440281</v>
      </c>
      <c r="BV657" s="551">
        <v>1009913.6945611148</v>
      </c>
      <c r="BW657" s="551">
        <v>10575.10796993953</v>
      </c>
      <c r="BX657" s="551">
        <v>98851.755371057981</v>
      </c>
      <c r="BY657" s="551">
        <v>39804013.241260573</v>
      </c>
      <c r="BZ657" s="551">
        <v>36611.761248539995</v>
      </c>
      <c r="CA657" s="551">
        <v>460675.58133012941</v>
      </c>
      <c r="CB657" s="551">
        <v>7.6639128176080421E-30</v>
      </c>
      <c r="CC657" s="551">
        <v>15212.677589291952</v>
      </c>
      <c r="CD657" s="551">
        <v>5429048.2500075651</v>
      </c>
      <c r="CE657" s="551">
        <v>8969.1488921450255</v>
      </c>
      <c r="CF657" s="551">
        <v>41206.202250183873</v>
      </c>
      <c r="CG657" s="551">
        <v>100752.78393909938</v>
      </c>
      <c r="CH657" s="551">
        <v>633904.40316524077</v>
      </c>
      <c r="CI657" s="551">
        <v>37315.845903370129</v>
      </c>
      <c r="CJ657" s="551">
        <v>119971.13756762184</v>
      </c>
      <c r="CK657" s="551">
        <v>4742048.9204441598</v>
      </c>
      <c r="CL657" s="551"/>
      <c r="CM657" s="551">
        <v>7252.242047705905</v>
      </c>
      <c r="CN657" s="551">
        <v>94176.445491721461</v>
      </c>
      <c r="CO657" s="551">
        <v>8728.754508847207</v>
      </c>
      <c r="CP657" s="551">
        <v>1518393.5300854696</v>
      </c>
      <c r="CQ657" s="551"/>
      <c r="CR657" s="551">
        <v>2645.3091538631443</v>
      </c>
      <c r="CS657" s="551">
        <v>21413.678635771608</v>
      </c>
      <c r="CT657" s="551">
        <v>15775.554843587148</v>
      </c>
      <c r="CU657" s="551">
        <v>185970.32933325332</v>
      </c>
      <c r="CV657" s="551"/>
      <c r="CW657" s="551">
        <v>231.28864292476328</v>
      </c>
      <c r="CX657" s="551">
        <v>3630.0072549787074</v>
      </c>
      <c r="CY657" s="554"/>
    </row>
    <row r="658" spans="65:103" ht="12.75" customHeight="1" x14ac:dyDescent="0.3">
      <c r="BM658" s="562"/>
      <c r="BN658" s="591">
        <v>645</v>
      </c>
      <c r="BO658" s="549" t="s">
        <v>3154</v>
      </c>
      <c r="BP658" s="554" t="s">
        <v>618</v>
      </c>
      <c r="BQ658" s="553">
        <v>7.09</v>
      </c>
      <c r="BR658" s="551">
        <v>42617.353450461735</v>
      </c>
      <c r="BS658" s="551"/>
      <c r="BT658" s="551">
        <v>7536856.8515979638</v>
      </c>
      <c r="BU658" s="551">
        <v>346665.9379419749</v>
      </c>
      <c r="BV658" s="551">
        <v>5385677.5348246051</v>
      </c>
      <c r="BW658" s="551">
        <v>62688.024344415804</v>
      </c>
      <c r="BX658" s="551">
        <v>4414342.9797998266</v>
      </c>
      <c r="BY658" s="551">
        <v>36873612.519568413</v>
      </c>
      <c r="BZ658" s="551">
        <v>1634941.844370306</v>
      </c>
      <c r="CA658" s="551">
        <v>20145.457387636416</v>
      </c>
      <c r="CB658" s="551">
        <v>3.1365610003720484E-30</v>
      </c>
      <c r="CC658" s="551">
        <v>60716.159566463568</v>
      </c>
      <c r="CD658" s="551">
        <v>5588607.2539148079</v>
      </c>
      <c r="CE658" s="551">
        <v>43386.475690937259</v>
      </c>
      <c r="CF658" s="551">
        <v>50529.733273568694</v>
      </c>
      <c r="CG658" s="551">
        <v>1081322.4503489784</v>
      </c>
      <c r="CH658" s="551">
        <v>2562352.933939903</v>
      </c>
      <c r="CI658" s="551">
        <v>400489.79642554751</v>
      </c>
      <c r="CJ658" s="551">
        <v>1437.0304783115218</v>
      </c>
      <c r="CK658" s="551">
        <v>2076985.0852552063</v>
      </c>
      <c r="CL658" s="551"/>
      <c r="CM658" s="551">
        <v>3778.0179056551724</v>
      </c>
      <c r="CN658" s="551">
        <v>276852.03641619277</v>
      </c>
      <c r="CO658" s="551">
        <v>87.279997687489285</v>
      </c>
      <c r="CP658" s="551">
        <v>143994.55329270483</v>
      </c>
      <c r="CQ658" s="551"/>
      <c r="CR658" s="551">
        <v>327.06679903655242</v>
      </c>
      <c r="CS658" s="551">
        <v>17832.642832059912</v>
      </c>
      <c r="CT658" s="551">
        <v>23.865474577058482</v>
      </c>
      <c r="CU658" s="551">
        <v>26621.838423561403</v>
      </c>
      <c r="CV658" s="551"/>
      <c r="CW658" s="551">
        <v>35.198849279364623</v>
      </c>
      <c r="CX658" s="551">
        <v>2453.7656779599356</v>
      </c>
      <c r="CY658" s="554"/>
    </row>
    <row r="659" spans="65:103" ht="12.75" customHeight="1" x14ac:dyDescent="0.3">
      <c r="BM659" s="562"/>
      <c r="BN659" s="591">
        <v>646</v>
      </c>
      <c r="BO659" s="549" t="s">
        <v>3156</v>
      </c>
      <c r="BP659" s="554" t="s">
        <v>618</v>
      </c>
      <c r="BQ659" s="553">
        <v>7.15</v>
      </c>
      <c r="BR659" s="551">
        <v>1036.0137196229587</v>
      </c>
      <c r="BS659" s="551"/>
      <c r="BT659" s="551">
        <v>55012243.960814983</v>
      </c>
      <c r="BU659" s="551">
        <v>2683225.5072805136</v>
      </c>
      <c r="BV659" s="551">
        <v>1108960.0201699005</v>
      </c>
      <c r="BW659" s="551">
        <v>16104.687432029839</v>
      </c>
      <c r="BX659" s="551">
        <v>3752169.0561152427</v>
      </c>
      <c r="BY659" s="551">
        <v>59896242.272759363</v>
      </c>
      <c r="BZ659" s="551">
        <v>1389692.2430056452</v>
      </c>
      <c r="CA659" s="551">
        <v>4.4579001356558203</v>
      </c>
      <c r="CB659" s="551">
        <v>8.3508317035142686E-32</v>
      </c>
      <c r="CC659" s="551">
        <v>26303.077946234425</v>
      </c>
      <c r="CD659" s="551">
        <v>178322062.36933967</v>
      </c>
      <c r="CE659" s="551">
        <v>530.22854095105799</v>
      </c>
      <c r="CF659" s="551">
        <v>53514.344375843699</v>
      </c>
      <c r="CG659" s="551">
        <v>8366.531671726867</v>
      </c>
      <c r="CH659" s="551">
        <v>49813.851011644467</v>
      </c>
      <c r="CI659" s="551">
        <v>3098.7154339729113</v>
      </c>
      <c r="CJ659" s="551">
        <v>7.5314437419403524E-2</v>
      </c>
      <c r="CK659" s="551">
        <v>3436290327.7225323</v>
      </c>
      <c r="CL659" s="551"/>
      <c r="CM659" s="551">
        <v>208326.75424592005</v>
      </c>
      <c r="CN659" s="551">
        <v>507.33755994867784</v>
      </c>
      <c r="CO659" s="551">
        <v>9.1718248048850513E-3</v>
      </c>
      <c r="CP659" s="551">
        <v>2206976789.6516261</v>
      </c>
      <c r="CQ659" s="551"/>
      <c r="CR659" s="551">
        <v>134395.99955068849</v>
      </c>
      <c r="CS659" s="551">
        <v>198.48592556542138</v>
      </c>
      <c r="CT659" s="551">
        <v>0.23829833129664874</v>
      </c>
      <c r="CU659" s="551">
        <v>5267752902.4125185</v>
      </c>
      <c r="CV659" s="551"/>
      <c r="CW659" s="551">
        <v>316730.37066969753</v>
      </c>
      <c r="CX659" s="551">
        <v>458.15985115989315</v>
      </c>
      <c r="CY659" s="554"/>
    </row>
    <row r="660" spans="65:103" ht="12.75" customHeight="1" x14ac:dyDescent="0.3">
      <c r="BM660" s="562"/>
      <c r="BN660" s="591">
        <v>647</v>
      </c>
      <c r="BO660" s="549" t="s">
        <v>3157</v>
      </c>
      <c r="BP660" s="554" t="s">
        <v>618</v>
      </c>
      <c r="BQ660" s="553">
        <v>7.19</v>
      </c>
      <c r="BR660" s="551">
        <v>172453.91675841034</v>
      </c>
      <c r="BS660" s="551"/>
      <c r="BT660" s="551">
        <v>10383393.083527679</v>
      </c>
      <c r="BU660" s="551">
        <v>475350.12173046498</v>
      </c>
      <c r="BV660" s="551">
        <v>2843919.7980876155</v>
      </c>
      <c r="BW660" s="551">
        <v>32837.841807186174</v>
      </c>
      <c r="BX660" s="551">
        <v>1595716.1258022909</v>
      </c>
      <c r="BY660" s="551">
        <v>41481665.367133491</v>
      </c>
      <c r="BZ660" s="551">
        <v>591005.97251936677</v>
      </c>
      <c r="CA660" s="551">
        <v>242071.92066660759</v>
      </c>
      <c r="CB660" s="551">
        <v>1.12365761897746E-29</v>
      </c>
      <c r="CC660" s="551">
        <v>174507.82611057931</v>
      </c>
      <c r="CD660" s="551">
        <v>11012805.704510162</v>
      </c>
      <c r="CE660" s="551">
        <v>47796.15464856293</v>
      </c>
      <c r="CF660" s="551">
        <v>38038.990109172519</v>
      </c>
      <c r="CG660" s="551">
        <v>1184349.1568780914</v>
      </c>
      <c r="CH660" s="551">
        <v>3523982.5516696624</v>
      </c>
      <c r="CI660" s="551">
        <v>438647.83588077436</v>
      </c>
      <c r="CJ660" s="551">
        <v>55113.274640649492</v>
      </c>
      <c r="CK660" s="551">
        <v>5483788.9258291284</v>
      </c>
      <c r="CL660" s="551"/>
      <c r="CM660" s="551">
        <v>3810.8276304381125</v>
      </c>
      <c r="CN660" s="551">
        <v>967821.37739125744</v>
      </c>
      <c r="CO660" s="551">
        <v>3341.1586245086519</v>
      </c>
      <c r="CP660" s="551">
        <v>923859.50884612685</v>
      </c>
      <c r="CQ660" s="551"/>
      <c r="CR660" s="551">
        <v>733.68035173251405</v>
      </c>
      <c r="CS660" s="551">
        <v>229048.80660059321</v>
      </c>
      <c r="CT660" s="551">
        <v>5882.6634844017453</v>
      </c>
      <c r="CU660" s="551">
        <v>163460.29382448285</v>
      </c>
      <c r="CV660" s="551"/>
      <c r="CW660" s="551">
        <v>91.923987301536584</v>
      </c>
      <c r="CX660" s="551">
        <v>26062.924924641145</v>
      </c>
      <c r="CY660" s="554"/>
    </row>
    <row r="661" spans="65:103" ht="12.75" customHeight="1" x14ac:dyDescent="0.3">
      <c r="BM661" s="562"/>
      <c r="BN661" s="591">
        <v>648</v>
      </c>
      <c r="BO661" s="549" t="s">
        <v>3159</v>
      </c>
      <c r="BP661" s="554" t="s">
        <v>618</v>
      </c>
      <c r="BQ661" s="553">
        <v>7.23</v>
      </c>
      <c r="BR661" s="551">
        <v>29689.209530756696</v>
      </c>
      <c r="BS661" s="551"/>
      <c r="BT661" s="551">
        <v>12723727.844791433</v>
      </c>
      <c r="BU661" s="551">
        <v>583749.07995140972</v>
      </c>
      <c r="BV661" s="551">
        <v>899378.93385488144</v>
      </c>
      <c r="BW661" s="551">
        <v>11434.48178377275</v>
      </c>
      <c r="BX661" s="551">
        <v>1990190.5546567524</v>
      </c>
      <c r="BY661" s="551">
        <v>40631945.941047944</v>
      </c>
      <c r="BZ661" s="551">
        <v>737107.61283583392</v>
      </c>
      <c r="CA661" s="551">
        <v>5053.8094457048755</v>
      </c>
      <c r="CB661" s="551">
        <v>9.7502873451795418E-31</v>
      </c>
      <c r="CC661" s="551">
        <v>49865.627959643032</v>
      </c>
      <c r="CD661" s="551">
        <v>7310983.3895488121</v>
      </c>
      <c r="CE661" s="551">
        <v>3524.7606564224698</v>
      </c>
      <c r="CF661" s="551">
        <v>7160.3801410890073</v>
      </c>
      <c r="CG661" s="551">
        <v>175590.53579586864</v>
      </c>
      <c r="CH661" s="551">
        <v>585014.43140835408</v>
      </c>
      <c r="CI661" s="551">
        <v>65033.53177624759</v>
      </c>
      <c r="CJ661" s="551">
        <v>127.89423620356058</v>
      </c>
      <c r="CK661" s="551">
        <v>2537637.2303799568</v>
      </c>
      <c r="CL661" s="551"/>
      <c r="CM661" s="551">
        <v>500.04193297330215</v>
      </c>
      <c r="CN661" s="551">
        <v>15949.125272910675</v>
      </c>
      <c r="CO661" s="551">
        <v>0.87893034249699276</v>
      </c>
      <c r="CP661" s="551">
        <v>159004.07005795033</v>
      </c>
      <c r="CQ661" s="551"/>
      <c r="CR661" s="551">
        <v>33.000399580842227</v>
      </c>
      <c r="CS661" s="551">
        <v>422.80232044119634</v>
      </c>
      <c r="CT661" s="551">
        <v>1.4744569479395322</v>
      </c>
      <c r="CU661" s="551">
        <v>28862.314988973292</v>
      </c>
      <c r="CV661" s="551"/>
      <c r="CW661" s="551">
        <v>5.191920046398371</v>
      </c>
      <c r="CX661" s="551">
        <v>46.843441934944238</v>
      </c>
      <c r="CY661" s="554"/>
    </row>
    <row r="662" spans="65:103" ht="12.75" customHeight="1" x14ac:dyDescent="0.3">
      <c r="BM662" s="562"/>
      <c r="BN662" s="591">
        <v>649</v>
      </c>
      <c r="BO662" s="549" t="s">
        <v>3161</v>
      </c>
      <c r="BP662" s="554" t="s">
        <v>618</v>
      </c>
      <c r="BQ662" s="553">
        <v>7.33</v>
      </c>
      <c r="BR662" s="551">
        <v>847.86250950899159</v>
      </c>
      <c r="BS662" s="551"/>
      <c r="BT662" s="551">
        <v>9847364.440809356</v>
      </c>
      <c r="BU662" s="551">
        <v>419595.48359966662</v>
      </c>
      <c r="BV662" s="551">
        <v>283027.60009139631</v>
      </c>
      <c r="BW662" s="551">
        <v>3516.3461572490442</v>
      </c>
      <c r="BX662" s="551">
        <v>3103117.559470016</v>
      </c>
      <c r="BY662" s="551">
        <v>27964900.333602577</v>
      </c>
      <c r="BZ662" s="551">
        <v>1149302.7998037094</v>
      </c>
      <c r="CA662" s="551">
        <v>2.9557208919053366</v>
      </c>
      <c r="CB662" s="551">
        <v>6.4702085793747108E-32</v>
      </c>
      <c r="CC662" s="551">
        <v>2120.299066148561</v>
      </c>
      <c r="CD662" s="551">
        <v>2346593.9505127026</v>
      </c>
      <c r="CE662" s="551">
        <v>60.940484103656601</v>
      </c>
      <c r="CF662" s="551">
        <v>983.26089567515919</v>
      </c>
      <c r="CG662" s="551">
        <v>5605.7626951048351</v>
      </c>
      <c r="CH662" s="551">
        <v>18246.885863813292</v>
      </c>
      <c r="CI662" s="551">
        <v>2076.2084055943824</v>
      </c>
      <c r="CJ662" s="551">
        <v>1.516545736533206E-3</v>
      </c>
      <c r="CK662" s="551">
        <v>332483.33900018834</v>
      </c>
      <c r="CL662" s="551"/>
      <c r="CM662" s="551">
        <v>27.859205365562463</v>
      </c>
      <c r="CN662" s="551">
        <v>10.323583043572624</v>
      </c>
      <c r="CO662" s="551">
        <v>1.9765783518260116E-7</v>
      </c>
      <c r="CP662" s="551">
        <v>8789.3390634011084</v>
      </c>
      <c r="CQ662" s="551"/>
      <c r="CR662" s="551">
        <v>0.7855325709680071</v>
      </c>
      <c r="CS662" s="551">
        <v>4.9516271285640042E-3</v>
      </c>
      <c r="CT662" s="551">
        <v>4.3603520491830923E-7</v>
      </c>
      <c r="CU662" s="551">
        <v>1511.6401863462831</v>
      </c>
      <c r="CV662" s="551"/>
      <c r="CW662" s="551">
        <v>0.11315970142137916</v>
      </c>
      <c r="CX662" s="551">
        <v>7.5647402937817202E-4</v>
      </c>
      <c r="CY662" s="554"/>
    </row>
    <row r="663" spans="65:103" ht="12.75" customHeight="1" x14ac:dyDescent="0.3">
      <c r="BM663" s="562"/>
      <c r="BN663" s="591">
        <v>650</v>
      </c>
      <c r="BO663" s="549" t="s">
        <v>3165</v>
      </c>
      <c r="BP663" s="554" t="s">
        <v>618</v>
      </c>
      <c r="BQ663" s="553">
        <v>7.38</v>
      </c>
      <c r="BR663" s="551">
        <v>14.008421105082745</v>
      </c>
      <c r="BS663" s="551"/>
      <c r="BT663" s="551">
        <v>9225694.8310660273</v>
      </c>
      <c r="BU663" s="551">
        <v>391817.03560507629</v>
      </c>
      <c r="BV663" s="551">
        <v>78192.492203963033</v>
      </c>
      <c r="BW663" s="551">
        <v>1010.5878286886309</v>
      </c>
      <c r="BX663" s="551">
        <v>496780.65888579696</v>
      </c>
      <c r="BY663" s="551">
        <v>8508577.3869632222</v>
      </c>
      <c r="BZ663" s="551">
        <v>183992.83662436923</v>
      </c>
      <c r="CA663" s="551">
        <v>1.1906726675025075E-3</v>
      </c>
      <c r="CB663" s="551">
        <v>1.1255955197798849E-33</v>
      </c>
      <c r="CC663" s="551">
        <v>90.726585338997381</v>
      </c>
      <c r="CD663" s="551">
        <v>2177191.3540306757</v>
      </c>
      <c r="CE663" s="551">
        <v>0.76895431148702065</v>
      </c>
      <c r="CF663" s="551">
        <v>280.77430065179823</v>
      </c>
      <c r="CG663" s="551">
        <v>21.880959669292483</v>
      </c>
      <c r="CH663" s="551">
        <v>140.14555872076372</v>
      </c>
      <c r="CI663" s="551">
        <v>8.1040591367749926</v>
      </c>
      <c r="CJ663" s="551">
        <v>1.4853955024467601E-8</v>
      </c>
      <c r="CK663" s="551">
        <v>308460.22927156778</v>
      </c>
      <c r="CL663" s="551"/>
      <c r="CM663" s="551">
        <v>7.9548243363953901</v>
      </c>
      <c r="CN663" s="551">
        <v>9.7976008233123611E-4</v>
      </c>
      <c r="CO663" s="551">
        <v>4.8720095038552042E-13</v>
      </c>
      <c r="CP663" s="551">
        <v>8153.9875608183766</v>
      </c>
      <c r="CQ663" s="551"/>
      <c r="CR663" s="551">
        <v>0.21578060233030436</v>
      </c>
      <c r="CS663" s="551">
        <v>1.7612004508586431E-8</v>
      </c>
      <c r="CT663" s="551">
        <v>7.2911570827982117E-14</v>
      </c>
      <c r="CU663" s="551">
        <v>1402.3648216312381</v>
      </c>
      <c r="CV663" s="551"/>
      <c r="CW663" s="551">
        <v>3.4488740985524562E-2</v>
      </c>
      <c r="CX663" s="551">
        <v>3.4596432571380249E-9</v>
      </c>
      <c r="CY663" s="554"/>
    </row>
    <row r="664" spans="65:103" ht="12.75" customHeight="1" x14ac:dyDescent="0.3">
      <c r="BM664" s="562"/>
      <c r="BN664" s="591">
        <v>651</v>
      </c>
      <c r="BO664" s="549" t="s">
        <v>3163</v>
      </c>
      <c r="BP664" s="554" t="s">
        <v>618</v>
      </c>
      <c r="BQ664" s="553">
        <v>7.38</v>
      </c>
      <c r="BR664" s="551">
        <v>14.008421103174408</v>
      </c>
      <c r="BS664" s="551"/>
      <c r="BT664" s="551">
        <v>9220867.6175478585</v>
      </c>
      <c r="BU664" s="551">
        <v>391614.21700047445</v>
      </c>
      <c r="BV664" s="551">
        <v>78247.350034316361</v>
      </c>
      <c r="BW664" s="551">
        <v>1011.2781137245935</v>
      </c>
      <c r="BX664" s="551">
        <v>498624.58941222721</v>
      </c>
      <c r="BY664" s="551">
        <v>8531310.1432833094</v>
      </c>
      <c r="BZ664" s="551">
        <v>184675.77385638043</v>
      </c>
      <c r="CA664" s="551">
        <v>1.190672667142053E-3</v>
      </c>
      <c r="CB664" s="551">
        <v>1.1255955194391314E-33</v>
      </c>
      <c r="CC664" s="551">
        <v>90.633843092802906</v>
      </c>
      <c r="CD664" s="551">
        <v>2176064.4903804315</v>
      </c>
      <c r="CE664" s="551">
        <v>0.76910962607701139</v>
      </c>
      <c r="CF664" s="551">
        <v>280.96610103053609</v>
      </c>
      <c r="CG664" s="551">
        <v>21.962176534207618</v>
      </c>
      <c r="CH664" s="551">
        <v>140.51999200024218</v>
      </c>
      <c r="CI664" s="551">
        <v>8.1341394571139283</v>
      </c>
      <c r="CJ664" s="551">
        <v>1.4853950395576993E-8</v>
      </c>
      <c r="CK664" s="551">
        <v>308300.58296090184</v>
      </c>
      <c r="CL664" s="551"/>
      <c r="CM664" s="551">
        <v>7.9602584916679797</v>
      </c>
      <c r="CN664" s="551">
        <v>9.8339641019306884E-4</v>
      </c>
      <c r="CO664" s="551">
        <v>4.8706198216110115E-13</v>
      </c>
      <c r="CP664" s="551">
        <v>8149.7675344172894</v>
      </c>
      <c r="CQ664" s="551"/>
      <c r="CR664" s="551">
        <v>0.21593259094976874</v>
      </c>
      <c r="CS664" s="551">
        <v>1.7675820012164959E-8</v>
      </c>
      <c r="CT664" s="551">
        <v>7.2893463535071687E-14</v>
      </c>
      <c r="CU664" s="551">
        <v>1401.6390413713766</v>
      </c>
      <c r="CV664" s="551"/>
      <c r="CW664" s="551">
        <v>3.4511001041561289E-2</v>
      </c>
      <c r="CX664" s="551">
        <v>3.4711015865923136E-9</v>
      </c>
      <c r="CY664" s="554"/>
    </row>
    <row r="665" spans="65:103" ht="12.75" customHeight="1" x14ac:dyDescent="0.3">
      <c r="BM665" s="562"/>
      <c r="BN665" s="591">
        <v>652</v>
      </c>
      <c r="BO665" s="549" t="s">
        <v>3167</v>
      </c>
      <c r="BP665" s="554" t="s">
        <v>618</v>
      </c>
      <c r="BQ665" s="553">
        <v>7.4</v>
      </c>
      <c r="BR665" s="551">
        <v>3647.836569597222</v>
      </c>
      <c r="BS665" s="551"/>
      <c r="BT665" s="551">
        <v>5444805.1512422869</v>
      </c>
      <c r="BU665" s="551">
        <v>232513.79944771461</v>
      </c>
      <c r="BV665" s="551">
        <v>1139760.5017725371</v>
      </c>
      <c r="BW665" s="551">
        <v>11841.735447490672</v>
      </c>
      <c r="BX665" s="551">
        <v>3272784.0718392148</v>
      </c>
      <c r="BY665" s="551">
        <v>21144089.70818872</v>
      </c>
      <c r="BZ665" s="551">
        <v>1212142.248829338</v>
      </c>
      <c r="CA665" s="551">
        <v>85.889540899850061</v>
      </c>
      <c r="CB665" s="551">
        <v>2.8970996180466044E-31</v>
      </c>
      <c r="CC665" s="551">
        <v>3138.9915024248126</v>
      </c>
      <c r="CD665" s="551">
        <v>1358983.0884949577</v>
      </c>
      <c r="CE665" s="551">
        <v>657.08476804668544</v>
      </c>
      <c r="CF665" s="551">
        <v>3460.5942206001982</v>
      </c>
      <c r="CG665" s="551">
        <v>39931.971478252308</v>
      </c>
      <c r="CH665" s="551">
        <v>94602.783538884352</v>
      </c>
      <c r="CI665" s="551">
        <v>14789.619066019379</v>
      </c>
      <c r="CJ665" s="551">
        <v>0.29703846474899342</v>
      </c>
      <c r="CK665" s="551">
        <v>192889.85411971665</v>
      </c>
      <c r="CL665" s="551"/>
      <c r="CM665" s="551">
        <v>98.218904450373145</v>
      </c>
      <c r="CN665" s="551">
        <v>495.67477466775114</v>
      </c>
      <c r="CO665" s="551">
        <v>1.0943420529313009E-3</v>
      </c>
      <c r="CP665" s="551">
        <v>5102.2852469832933</v>
      </c>
      <c r="CQ665" s="551"/>
      <c r="CR665" s="551">
        <v>3.4202291318620786</v>
      </c>
      <c r="CS665" s="551">
        <v>1.6412621241683212</v>
      </c>
      <c r="CT665" s="551">
        <v>2.4437402328699576E-4</v>
      </c>
      <c r="CU665" s="551">
        <v>877.57434450378764</v>
      </c>
      <c r="CV665" s="551"/>
      <c r="CW665" s="551">
        <v>0.30615341308095911</v>
      </c>
      <c r="CX665" s="551">
        <v>0.20290938847853873</v>
      </c>
      <c r="CY665" s="554"/>
    </row>
    <row r="666" spans="65:103" ht="12.75" customHeight="1" x14ac:dyDescent="0.3">
      <c r="BM666" s="562"/>
      <c r="BN666" s="591">
        <v>653</v>
      </c>
      <c r="BO666" s="549" t="s">
        <v>3169</v>
      </c>
      <c r="BP666" s="554" t="s">
        <v>618</v>
      </c>
      <c r="BQ666" s="553">
        <v>7.4</v>
      </c>
      <c r="BR666" s="551">
        <v>3929.4822592064893</v>
      </c>
      <c r="BS666" s="551"/>
      <c r="BT666" s="551">
        <v>9369041.2930371333</v>
      </c>
      <c r="BU666" s="551">
        <v>399011.03202049516</v>
      </c>
      <c r="BV666" s="551">
        <v>203715.29896716366</v>
      </c>
      <c r="BW666" s="551">
        <v>2564.9633381782483</v>
      </c>
      <c r="BX666" s="551">
        <v>2380625.4295214647</v>
      </c>
      <c r="BY666" s="551">
        <v>23785765.514399786</v>
      </c>
      <c r="BZ666" s="551">
        <v>881713.12204498681</v>
      </c>
      <c r="CA666" s="551">
        <v>70.495510541317813</v>
      </c>
      <c r="CB666" s="551">
        <v>3.049204887638209E-31</v>
      </c>
      <c r="CC666" s="551">
        <v>12048.109841227433</v>
      </c>
      <c r="CD666" s="551">
        <v>2289675.864694153</v>
      </c>
      <c r="CE666" s="551">
        <v>261.96749715671734</v>
      </c>
      <c r="CF666" s="551">
        <v>735.93637493090898</v>
      </c>
      <c r="CG666" s="551">
        <v>22131.746349971378</v>
      </c>
      <c r="CH666" s="551">
        <v>80046.708256112266</v>
      </c>
      <c r="CI666" s="551">
        <v>8196.9430925819906</v>
      </c>
      <c r="CJ666" s="551">
        <v>0.18586954197655622</v>
      </c>
      <c r="CK666" s="551">
        <v>324668.42090585426</v>
      </c>
      <c r="CL666" s="551"/>
      <c r="CM666" s="551">
        <v>20.867730365284348</v>
      </c>
      <c r="CN666" s="551">
        <v>209.4431245147608</v>
      </c>
      <c r="CO666" s="551">
        <v>1.035629362983133E-4</v>
      </c>
      <c r="CP666" s="551">
        <v>8583.6420853578729</v>
      </c>
      <c r="CQ666" s="551"/>
      <c r="CR666" s="551">
        <v>0.58098790828221225</v>
      </c>
      <c r="CS666" s="551">
        <v>0.42796253005815893</v>
      </c>
      <c r="CT666" s="551">
        <v>2.491024252250473E-4</v>
      </c>
      <c r="CU666" s="551">
        <v>1476.2543941987219</v>
      </c>
      <c r="CV666" s="551"/>
      <c r="CW666" s="551">
        <v>8.6552523744757109E-2</v>
      </c>
      <c r="CX666" s="551">
        <v>7.2977754261747282E-2</v>
      </c>
      <c r="CY666" s="554"/>
    </row>
    <row r="667" spans="65:103" ht="12.75" customHeight="1" x14ac:dyDescent="0.3">
      <c r="BM667" s="562"/>
      <c r="BN667" s="591">
        <v>654</v>
      </c>
      <c r="BO667" s="549" t="s">
        <v>3171</v>
      </c>
      <c r="BP667" s="554" t="s">
        <v>618</v>
      </c>
      <c r="BQ667" s="553">
        <v>7.49</v>
      </c>
      <c r="BR667" s="551">
        <v>179277.20518618333</v>
      </c>
      <c r="BS667" s="551"/>
      <c r="BT667" s="551">
        <v>10337835.507784134</v>
      </c>
      <c r="BU667" s="551">
        <v>469466.59899066278</v>
      </c>
      <c r="BV667" s="551">
        <v>704922.38683360687</v>
      </c>
      <c r="BW667" s="551">
        <v>8894.3342976683889</v>
      </c>
      <c r="BX667" s="551">
        <v>345490.65252510563</v>
      </c>
      <c r="BY667" s="551">
        <v>33533068.151792124</v>
      </c>
      <c r="BZ667" s="551">
        <v>127959.50093522429</v>
      </c>
      <c r="CA667" s="551">
        <v>142688.30334378415</v>
      </c>
      <c r="CB667" s="551">
        <v>5.7718348463706397E-30</v>
      </c>
      <c r="CC667" s="551">
        <v>76509.820203558993</v>
      </c>
      <c r="CD667" s="551">
        <v>8230096.1712859366</v>
      </c>
      <c r="CE667" s="551">
        <v>5217.0964640995044</v>
      </c>
      <c r="CF667" s="551">
        <v>7796.2124256292063</v>
      </c>
      <c r="CG667" s="551">
        <v>145170.41731446225</v>
      </c>
      <c r="CH667" s="551">
        <v>711524.70996428397</v>
      </c>
      <c r="CI667" s="551">
        <v>53766.821227578592</v>
      </c>
      <c r="CJ667" s="551">
        <v>17519.226222208366</v>
      </c>
      <c r="CK667" s="551">
        <v>3294509.918180123</v>
      </c>
      <c r="CL667" s="551"/>
      <c r="CM667" s="551">
        <v>627.89394741064143</v>
      </c>
      <c r="CN667" s="551">
        <v>63974.710210535748</v>
      </c>
      <c r="CO667" s="551">
        <v>648.65242733126263</v>
      </c>
      <c r="CP667" s="551">
        <v>299758.88813762326</v>
      </c>
      <c r="CQ667" s="551"/>
      <c r="CR667" s="551">
        <v>60.087980232752678</v>
      </c>
      <c r="CS667" s="551">
        <v>8088.7883179299934</v>
      </c>
      <c r="CT667" s="551">
        <v>950.90403890259415</v>
      </c>
      <c r="CU667" s="551">
        <v>51359.811163358259</v>
      </c>
      <c r="CV667" s="551"/>
      <c r="CW667" s="551">
        <v>8.9566302649454972</v>
      </c>
      <c r="CX667" s="551">
        <v>966.96837055754213</v>
      </c>
      <c r="CY667" s="554"/>
    </row>
    <row r="668" spans="65:103" ht="12.75" customHeight="1" x14ac:dyDescent="0.3">
      <c r="BM668" s="562"/>
      <c r="BN668" s="591">
        <v>655</v>
      </c>
      <c r="BO668" s="549" t="s">
        <v>3173</v>
      </c>
      <c r="BP668" s="554" t="s">
        <v>618</v>
      </c>
      <c r="BQ668" s="553">
        <v>7.5</v>
      </c>
      <c r="BR668" s="551">
        <v>117277.62262190881</v>
      </c>
      <c r="BS668" s="551"/>
      <c r="BT668" s="551">
        <v>9750278.4945760667</v>
      </c>
      <c r="BU668" s="551">
        <v>455536.84362248535</v>
      </c>
      <c r="BV668" s="551">
        <v>5176285.4893922023</v>
      </c>
      <c r="BW668" s="551">
        <v>61985.496266904345</v>
      </c>
      <c r="BX668" s="551">
        <v>1675585.743564059</v>
      </c>
      <c r="BY668" s="551">
        <v>50777663.779260896</v>
      </c>
      <c r="BZ668" s="551">
        <v>620587.31243113289</v>
      </c>
      <c r="CA668" s="551">
        <v>128945.24835007143</v>
      </c>
      <c r="CB668" s="551">
        <v>5.5243057396287685E-30</v>
      </c>
      <c r="CC668" s="551">
        <v>104296.44362864111</v>
      </c>
      <c r="CD668" s="551">
        <v>11052762.533888914</v>
      </c>
      <c r="CE668" s="551">
        <v>55369.512578586087</v>
      </c>
      <c r="CF668" s="551">
        <v>75198.195313387201</v>
      </c>
      <c r="CG668" s="551">
        <v>980665.29038968997</v>
      </c>
      <c r="CH668" s="551">
        <v>2921271.9204985779</v>
      </c>
      <c r="CI668" s="551">
        <v>363209.36681099643</v>
      </c>
      <c r="CJ668" s="551">
        <v>22448.00624545239</v>
      </c>
      <c r="CK668" s="551">
        <v>6927824.5525119891</v>
      </c>
      <c r="CL668" s="551"/>
      <c r="CM668" s="551">
        <v>9497.3543523833614</v>
      </c>
      <c r="CN668" s="551">
        <v>612769.14799615298</v>
      </c>
      <c r="CO668" s="551">
        <v>1107.6958920317613</v>
      </c>
      <c r="CP668" s="551">
        <v>922926.89900042</v>
      </c>
      <c r="CQ668" s="551"/>
      <c r="CR668" s="551">
        <v>1431.387918204352</v>
      </c>
      <c r="CS668" s="551">
        <v>117426.81463468734</v>
      </c>
      <c r="CT668" s="551">
        <v>1802.2435815987812</v>
      </c>
      <c r="CU668" s="551">
        <v>170892.68014649817</v>
      </c>
      <c r="CV668" s="551"/>
      <c r="CW668" s="551">
        <v>192.30677427386084</v>
      </c>
      <c r="CX668" s="551">
        <v>12423.789039759857</v>
      </c>
      <c r="CY668" s="554"/>
    </row>
    <row r="669" spans="65:103" ht="12.75" customHeight="1" x14ac:dyDescent="0.3">
      <c r="BM669" s="562"/>
      <c r="BN669" s="591">
        <v>656</v>
      </c>
      <c r="BO669" s="549" t="s">
        <v>3175</v>
      </c>
      <c r="BP669" s="554" t="s">
        <v>618</v>
      </c>
      <c r="BQ669" s="553">
        <v>7.53</v>
      </c>
      <c r="BR669" s="551">
        <v>2559.3770518362126</v>
      </c>
      <c r="BS669" s="551"/>
      <c r="BT669" s="551">
        <v>7440323.3613613471</v>
      </c>
      <c r="BU669" s="551">
        <v>316770.60832493257</v>
      </c>
      <c r="BV669" s="551">
        <v>389090.21924451768</v>
      </c>
      <c r="BW669" s="551">
        <v>4637.526732439781</v>
      </c>
      <c r="BX669" s="551">
        <v>2809575.3813211042</v>
      </c>
      <c r="BY669" s="551">
        <v>23722101.258790456</v>
      </c>
      <c r="BZ669" s="551">
        <v>1040583.4745633715</v>
      </c>
      <c r="CA669" s="551">
        <v>32.981041996784001</v>
      </c>
      <c r="CB669" s="551">
        <v>1.7141558082613027E-31</v>
      </c>
      <c r="CC669" s="551">
        <v>3781.2317431495858</v>
      </c>
      <c r="CD669" s="551">
        <v>1800107.9841206372</v>
      </c>
      <c r="CE669" s="551">
        <v>197.73875630147495</v>
      </c>
      <c r="CF669" s="551">
        <v>1317.6804725952659</v>
      </c>
      <c r="CG669" s="551">
        <v>18761.574911274525</v>
      </c>
      <c r="CH669" s="551">
        <v>52197.705049011762</v>
      </c>
      <c r="CI669" s="551">
        <v>6948.7314486201931</v>
      </c>
      <c r="CJ669" s="551">
        <v>6.2445783067367214E-2</v>
      </c>
      <c r="CK669" s="551">
        <v>255152.41644772544</v>
      </c>
      <c r="CL669" s="551"/>
      <c r="CM669" s="551">
        <v>37.348780014444571</v>
      </c>
      <c r="CN669" s="551">
        <v>127.50044207740063</v>
      </c>
      <c r="CO669" s="551">
        <v>2.7990832752990082E-5</v>
      </c>
      <c r="CP669" s="551">
        <v>6745.6237148938144</v>
      </c>
      <c r="CQ669" s="551"/>
      <c r="CR669" s="551">
        <v>1.0952792232781705</v>
      </c>
      <c r="CS669" s="551">
        <v>0.2246137877935302</v>
      </c>
      <c r="CT669" s="551">
        <v>5.8416221847721736E-5</v>
      </c>
      <c r="CU669" s="551">
        <v>1160.1514423140311</v>
      </c>
      <c r="CV669" s="551"/>
      <c r="CW669" s="551">
        <v>0.14292064465351512</v>
      </c>
      <c r="CX669" s="551">
        <v>2.9221715236727633E-2</v>
      </c>
      <c r="CY669" s="554"/>
    </row>
    <row r="670" spans="65:103" ht="12.75" customHeight="1" x14ac:dyDescent="0.3">
      <c r="BM670" s="562"/>
      <c r="BN670" s="591">
        <v>657</v>
      </c>
      <c r="BO670" s="549" t="s">
        <v>3177</v>
      </c>
      <c r="BP670" s="554" t="s">
        <v>618</v>
      </c>
      <c r="BQ670" s="553">
        <v>7.53</v>
      </c>
      <c r="BR670" s="551">
        <v>5650.3006417814395</v>
      </c>
      <c r="BS670" s="551"/>
      <c r="BT670" s="551">
        <v>5249074.1754076062</v>
      </c>
      <c r="BU670" s="551">
        <v>224094.5883383617</v>
      </c>
      <c r="BV670" s="551">
        <v>685878.42965996079</v>
      </c>
      <c r="BW670" s="551">
        <v>7490.5382659592497</v>
      </c>
      <c r="BX670" s="551">
        <v>2921217.9274378512</v>
      </c>
      <c r="BY670" s="551">
        <v>19622549.09984149</v>
      </c>
      <c r="BZ670" s="551">
        <v>1081932.5657177228</v>
      </c>
      <c r="CA670" s="551">
        <v>221.46073068917943</v>
      </c>
      <c r="CB670" s="551">
        <v>4.5053516690967331E-31</v>
      </c>
      <c r="CC670" s="551">
        <v>5993.5847852937795</v>
      </c>
      <c r="CD670" s="551">
        <v>1349542.3976848389</v>
      </c>
      <c r="CE670" s="551">
        <v>783.16106482757209</v>
      </c>
      <c r="CF670" s="551">
        <v>2255.4759234367043</v>
      </c>
      <c r="CG670" s="551">
        <v>59331.813107475107</v>
      </c>
      <c r="CH670" s="551">
        <v>145394.14877125464</v>
      </c>
      <c r="CI670" s="551">
        <v>21974.74559536115</v>
      </c>
      <c r="CJ670" s="551">
        <v>1.2759967327730333</v>
      </c>
      <c r="CK670" s="551">
        <v>191968.64354861857</v>
      </c>
      <c r="CL670" s="551"/>
      <c r="CM670" s="551">
        <v>64.156217153815689</v>
      </c>
      <c r="CN670" s="551">
        <v>1226.9987188964083</v>
      </c>
      <c r="CO670" s="551">
        <v>8.4440740930283135E-3</v>
      </c>
      <c r="CP670" s="551">
        <v>5081.8577146472826</v>
      </c>
      <c r="CQ670" s="551"/>
      <c r="CR670" s="551">
        <v>2.0821346794373294</v>
      </c>
      <c r="CS670" s="551">
        <v>6.5585916932971999</v>
      </c>
      <c r="CT670" s="551">
        <v>1.5155858235324688E-3</v>
      </c>
      <c r="CU670" s="551">
        <v>874.07872721782917</v>
      </c>
      <c r="CV670" s="551"/>
      <c r="CW670" s="551">
        <v>0.21600522021630172</v>
      </c>
      <c r="CX670" s="551">
        <v>0.84831382773983233</v>
      </c>
      <c r="CY670" s="554"/>
    </row>
    <row r="671" spans="65:103" ht="12.75" customHeight="1" x14ac:dyDescent="0.3">
      <c r="BM671" s="562"/>
      <c r="BN671" s="591">
        <v>658</v>
      </c>
      <c r="BO671" s="549" t="s">
        <v>3181</v>
      </c>
      <c r="BP671" s="554" t="s">
        <v>618</v>
      </c>
      <c r="BQ671" s="553">
        <v>7.55</v>
      </c>
      <c r="BR671" s="551">
        <v>87429.427298737646</v>
      </c>
      <c r="BS671" s="551"/>
      <c r="BT671" s="551">
        <v>8526351.5445416756</v>
      </c>
      <c r="BU671" s="551">
        <v>388139.92195973708</v>
      </c>
      <c r="BV671" s="551">
        <v>1259411.4267785579</v>
      </c>
      <c r="BW671" s="551">
        <v>15021.725093228943</v>
      </c>
      <c r="BX671" s="551">
        <v>396357.3659938146</v>
      </c>
      <c r="BY671" s="551">
        <v>30410501.113590237</v>
      </c>
      <c r="BZ671" s="551">
        <v>146799.02444215355</v>
      </c>
      <c r="CA671" s="551">
        <v>45401.98052324872</v>
      </c>
      <c r="CB671" s="551">
        <v>1.8120609694652031E-30</v>
      </c>
      <c r="CC671" s="551">
        <v>27099.121836690872</v>
      </c>
      <c r="CD671" s="551">
        <v>5391184.4049678324</v>
      </c>
      <c r="CE671" s="551">
        <v>4002.7605615957978</v>
      </c>
      <c r="CF671" s="551">
        <v>10432.434990123309</v>
      </c>
      <c r="CG671" s="551">
        <v>110500.35244453224</v>
      </c>
      <c r="CH671" s="551">
        <v>412907.07912714838</v>
      </c>
      <c r="CI671" s="551">
        <v>40926.056460937863</v>
      </c>
      <c r="CJ671" s="551">
        <v>3580.9621296290852</v>
      </c>
      <c r="CK671" s="551">
        <v>1949593.3655257965</v>
      </c>
      <c r="CL671" s="551"/>
      <c r="CM671" s="551">
        <v>759.02948970399905</v>
      </c>
      <c r="CN671" s="551">
        <v>31281.836999155745</v>
      </c>
      <c r="CO671" s="551">
        <v>87.984396728009557</v>
      </c>
      <c r="CP671" s="551">
        <v>134226.12652258997</v>
      </c>
      <c r="CQ671" s="551"/>
      <c r="CR671" s="551">
        <v>57.129523839470437</v>
      </c>
      <c r="CS671" s="551">
        <v>2769.379855976822</v>
      </c>
      <c r="CT671" s="551">
        <v>124.06027696314825</v>
      </c>
      <c r="CU671" s="551">
        <v>23904.16210189553</v>
      </c>
      <c r="CV671" s="551"/>
      <c r="CW671" s="551">
        <v>8.0166748850141953</v>
      </c>
      <c r="CX671" s="551">
        <v>288.3179070111637</v>
      </c>
      <c r="CY671" s="554"/>
    </row>
    <row r="672" spans="65:103" ht="12.75" customHeight="1" x14ac:dyDescent="0.3">
      <c r="BM672" s="562"/>
      <c r="BN672" s="591">
        <v>659</v>
      </c>
      <c r="BO672" s="549" t="s">
        <v>3179</v>
      </c>
      <c r="BP672" s="554" t="s">
        <v>618</v>
      </c>
      <c r="BQ672" s="553">
        <v>7.55</v>
      </c>
      <c r="BR672" s="551">
        <v>5412.7152764136799</v>
      </c>
      <c r="BS672" s="551"/>
      <c r="BT672" s="551">
        <v>6782848.1905555818</v>
      </c>
      <c r="BU672" s="551">
        <v>312876.1357824991</v>
      </c>
      <c r="BV672" s="551">
        <v>2578230.593866928</v>
      </c>
      <c r="BW672" s="551">
        <v>29700.782548941854</v>
      </c>
      <c r="BX672" s="551">
        <v>5069090.5509241195</v>
      </c>
      <c r="BY672" s="551">
        <v>34593896.688217171</v>
      </c>
      <c r="BZ672" s="551">
        <v>1877440.9447867116</v>
      </c>
      <c r="CA672" s="551">
        <v>289.23261334336024</v>
      </c>
      <c r="CB672" s="551">
        <v>4.3076940900846773E-31</v>
      </c>
      <c r="CC672" s="551">
        <v>10811.837935651449</v>
      </c>
      <c r="CD672" s="551">
        <v>3866827.0439061122</v>
      </c>
      <c r="CE672" s="551">
        <v>4109.6911737522387</v>
      </c>
      <c r="CF672" s="551">
        <v>18353.55529724092</v>
      </c>
      <c r="CG672" s="551">
        <v>140365.57821148561</v>
      </c>
      <c r="CH672" s="551">
        <v>346550.80615407205</v>
      </c>
      <c r="CI672" s="551">
        <v>51987.251189439114</v>
      </c>
      <c r="CJ672" s="551">
        <v>2.273809557655265</v>
      </c>
      <c r="CK672" s="551">
        <v>1335469.6437781078</v>
      </c>
      <c r="CL672" s="551"/>
      <c r="CM672" s="551">
        <v>1275.2705947039271</v>
      </c>
      <c r="CN672" s="551">
        <v>3960.6922665468501</v>
      </c>
      <c r="CO672" s="551">
        <v>2.0318954884256155E-2</v>
      </c>
      <c r="CP672" s="551">
        <v>83307.616135923978</v>
      </c>
      <c r="CQ672" s="551"/>
      <c r="CR672" s="551">
        <v>93.50591209101772</v>
      </c>
      <c r="CS672" s="551">
        <v>28.634814694820498</v>
      </c>
      <c r="CT672" s="551">
        <v>3.6928755684723911E-3</v>
      </c>
      <c r="CU672" s="551">
        <v>15146.561507783199</v>
      </c>
      <c r="CV672" s="551"/>
      <c r="CW672" s="551">
        <v>11.28627262491127</v>
      </c>
      <c r="CX672" s="551">
        <v>3.7512461294057076</v>
      </c>
      <c r="CY672" s="554"/>
    </row>
    <row r="673" spans="65:103" ht="12.75" customHeight="1" x14ac:dyDescent="0.3">
      <c r="BM673" s="562"/>
      <c r="BN673" s="591">
        <v>660</v>
      </c>
      <c r="BO673" s="549" t="s">
        <v>3183</v>
      </c>
      <c r="BP673" s="554" t="s">
        <v>618</v>
      </c>
      <c r="BQ673" s="553">
        <v>7.58</v>
      </c>
      <c r="BR673" s="551">
        <v>62968.502457076385</v>
      </c>
      <c r="BS673" s="551"/>
      <c r="BT673" s="551">
        <v>13986491.359988689</v>
      </c>
      <c r="BU673" s="551">
        <v>641915.87413813954</v>
      </c>
      <c r="BV673" s="551">
        <v>1489918.9299695818</v>
      </c>
      <c r="BW673" s="551">
        <v>18368.778066602266</v>
      </c>
      <c r="BX673" s="551">
        <v>2688685.7211018498</v>
      </c>
      <c r="BY673" s="551">
        <v>48971045.890938751</v>
      </c>
      <c r="BZ673" s="551">
        <v>995809.5263340181</v>
      </c>
      <c r="CA673" s="551">
        <v>21450.042871865659</v>
      </c>
      <c r="CB673" s="551">
        <v>2.6059450385004994E-30</v>
      </c>
      <c r="CC673" s="551">
        <v>96785.25754809317</v>
      </c>
      <c r="CD673" s="551">
        <v>8797021.1339363288</v>
      </c>
      <c r="CE673" s="551">
        <v>10310.10448949378</v>
      </c>
      <c r="CF673" s="551">
        <v>12586.58146392187</v>
      </c>
      <c r="CG673" s="551">
        <v>475059.54548243381</v>
      </c>
      <c r="CH673" s="551">
        <v>1457468.8315872885</v>
      </c>
      <c r="CI673" s="551">
        <v>175947.97980830877</v>
      </c>
      <c r="CJ673" s="551">
        <v>1098.0607222758535</v>
      </c>
      <c r="CK673" s="551">
        <v>3126403.4262776435</v>
      </c>
      <c r="CL673" s="551"/>
      <c r="CM673" s="551">
        <v>899.97848480939638</v>
      </c>
      <c r="CN673" s="551">
        <v>87287.066220758497</v>
      </c>
      <c r="CO673" s="551">
        <v>14.861527221257759</v>
      </c>
      <c r="CP673" s="551">
        <v>203178.24265052442</v>
      </c>
      <c r="CQ673" s="551"/>
      <c r="CR673" s="551">
        <v>62.765177940862074</v>
      </c>
      <c r="CS673" s="551">
        <v>4725.5572153088615</v>
      </c>
      <c r="CT673" s="551">
        <v>25.845900140611448</v>
      </c>
      <c r="CU673" s="551">
        <v>36601.281090468809</v>
      </c>
      <c r="CV673" s="551"/>
      <c r="CW673" s="551">
        <v>9.3356553230197346</v>
      </c>
      <c r="CX673" s="551">
        <v>513.57076866975729</v>
      </c>
      <c r="CY673" s="554"/>
    </row>
    <row r="674" spans="65:103" ht="12.75" customHeight="1" x14ac:dyDescent="0.3">
      <c r="BM674" s="562"/>
      <c r="BN674" s="591">
        <v>661</v>
      </c>
      <c r="BO674" s="549" t="s">
        <v>3185</v>
      </c>
      <c r="BP674" s="554" t="s">
        <v>618</v>
      </c>
      <c r="BQ674" s="553">
        <v>7.6</v>
      </c>
      <c r="BR674" s="551">
        <v>342939.50157503941</v>
      </c>
      <c r="BS674" s="551"/>
      <c r="BT674" s="551">
        <v>3282567.4431378534</v>
      </c>
      <c r="BU674" s="551">
        <v>138671.29113296678</v>
      </c>
      <c r="BV674" s="551">
        <v>246486.33422308892</v>
      </c>
      <c r="BW674" s="551">
        <v>2872.7344900616949</v>
      </c>
      <c r="BX674" s="551">
        <v>62316.070631049559</v>
      </c>
      <c r="BY674" s="551">
        <v>29363888.174904104</v>
      </c>
      <c r="BZ674" s="551">
        <v>23080.026159647983</v>
      </c>
      <c r="CA674" s="551">
        <v>480809.17134618387</v>
      </c>
      <c r="CB674" s="551">
        <v>1.2737072500473115E-29</v>
      </c>
      <c r="CC674" s="551">
        <v>37259.931641285133</v>
      </c>
      <c r="CD674" s="551">
        <v>7275864.6084831469</v>
      </c>
      <c r="CE674" s="551">
        <v>2797.8294803545832</v>
      </c>
      <c r="CF674" s="551">
        <v>7536.3930901050644</v>
      </c>
      <c r="CG674" s="551">
        <v>47209.178622467982</v>
      </c>
      <c r="CH674" s="551">
        <v>283053.56189058709</v>
      </c>
      <c r="CI674" s="551">
        <v>17484.880971284438</v>
      </c>
      <c r="CJ674" s="551">
        <v>106707.42748432136</v>
      </c>
      <c r="CK674" s="551">
        <v>4259222.0919605996</v>
      </c>
      <c r="CL674" s="551"/>
      <c r="CM674" s="551">
        <v>887.61701594149429</v>
      </c>
      <c r="CN674" s="551">
        <v>37605.555344798209</v>
      </c>
      <c r="CO674" s="551">
        <v>6665.7562056927245</v>
      </c>
      <c r="CP674" s="551">
        <v>1000259.4958810112</v>
      </c>
      <c r="CQ674" s="551"/>
      <c r="CR674" s="551">
        <v>220.09405716055619</v>
      </c>
      <c r="CS674" s="551">
        <v>7623.2946963853337</v>
      </c>
      <c r="CT674" s="551">
        <v>11494.92377561277</v>
      </c>
      <c r="CU674" s="551">
        <v>135555.78798675953</v>
      </c>
      <c r="CV674" s="551"/>
      <c r="CW674" s="551">
        <v>25.685949977575596</v>
      </c>
      <c r="CX674" s="551">
        <v>1169.8268188956122</v>
      </c>
      <c r="CY674" s="554"/>
    </row>
    <row r="675" spans="65:103" ht="12.75" customHeight="1" x14ac:dyDescent="0.3">
      <c r="BM675" s="562"/>
      <c r="BN675" s="591">
        <v>662</v>
      </c>
      <c r="BO675" s="549" t="s">
        <v>3187</v>
      </c>
      <c r="BP675" s="554" t="s">
        <v>618</v>
      </c>
      <c r="BQ675" s="553">
        <v>7.6</v>
      </c>
      <c r="BR675" s="551">
        <v>5780.2118038501558</v>
      </c>
      <c r="BS675" s="551"/>
      <c r="BT675" s="551">
        <v>9271430.1467573289</v>
      </c>
      <c r="BU675" s="551">
        <v>436552.25117996975</v>
      </c>
      <c r="BV675" s="551">
        <v>10378303.100570647</v>
      </c>
      <c r="BW675" s="551">
        <v>133283.27324720792</v>
      </c>
      <c r="BX675" s="551">
        <v>1191708.2406759774</v>
      </c>
      <c r="BY675" s="551">
        <v>7358682.2425764427</v>
      </c>
      <c r="BZ675" s="551">
        <v>441373.42247258429</v>
      </c>
      <c r="CA675" s="551">
        <v>277.64543116727816</v>
      </c>
      <c r="CB675" s="551">
        <v>4.6046744381982741E-31</v>
      </c>
      <c r="CC675" s="551">
        <v>7001.7163418958598</v>
      </c>
      <c r="CD675" s="551">
        <v>7355227.7025526352</v>
      </c>
      <c r="CE675" s="551">
        <v>7837.6187136381313</v>
      </c>
      <c r="CF675" s="551">
        <v>112280.81186444427</v>
      </c>
      <c r="CG675" s="551">
        <v>29663.009577796911</v>
      </c>
      <c r="CH675" s="551">
        <v>66485.740858708567</v>
      </c>
      <c r="CI675" s="551">
        <v>10986.29984362848</v>
      </c>
      <c r="CJ675" s="551">
        <v>1.9614643216215144</v>
      </c>
      <c r="CK675" s="551">
        <v>3961231.7617562287</v>
      </c>
      <c r="CL675" s="551"/>
      <c r="CM675" s="551">
        <v>12183.984334138047</v>
      </c>
      <c r="CN675" s="551">
        <v>752.15742829783449</v>
      </c>
      <c r="CO675" s="551">
        <v>1.5815176392151745E-2</v>
      </c>
      <c r="CP675" s="551">
        <v>374368.4220438035</v>
      </c>
      <c r="CQ675" s="551"/>
      <c r="CR675" s="551">
        <v>1371.4100405658303</v>
      </c>
      <c r="CS675" s="551">
        <v>5.2749010540167696</v>
      </c>
      <c r="CT675" s="551">
        <v>2.859367759887009E-3</v>
      </c>
      <c r="CU675" s="551">
        <v>71743.089423017722</v>
      </c>
      <c r="CV675" s="551"/>
      <c r="CW675" s="551">
        <v>169.54827916439362</v>
      </c>
      <c r="CX675" s="551">
        <v>0.62053378682371241</v>
      </c>
      <c r="CY675" s="554"/>
    </row>
    <row r="676" spans="65:103" ht="12.75" customHeight="1" x14ac:dyDescent="0.3">
      <c r="BM676" s="562"/>
      <c r="BN676" s="591">
        <v>663</v>
      </c>
      <c r="BO676" s="549" t="s">
        <v>3189</v>
      </c>
      <c r="BP676" s="554" t="s">
        <v>618</v>
      </c>
      <c r="BQ676" s="553">
        <v>7.68</v>
      </c>
      <c r="BR676" s="551">
        <v>914215.44490847376</v>
      </c>
      <c r="BS676" s="551"/>
      <c r="BT676" s="551">
        <v>2425944.2672644006</v>
      </c>
      <c r="BU676" s="551">
        <v>84816.948588315427</v>
      </c>
      <c r="BV676" s="551">
        <v>42616.808995634412</v>
      </c>
      <c r="BW676" s="551">
        <v>444.35780951009281</v>
      </c>
      <c r="BX676" s="551">
        <v>7933.4351389928233</v>
      </c>
      <c r="BY676" s="551">
        <v>17712933.647719651</v>
      </c>
      <c r="BZ676" s="551">
        <v>2938.3093107380828</v>
      </c>
      <c r="CA676" s="551">
        <v>3422721.0020518354</v>
      </c>
      <c r="CB676" s="551">
        <v>4.8712713524115674E-29</v>
      </c>
      <c r="CC676" s="551">
        <v>56275.635863391479</v>
      </c>
      <c r="CD676" s="551">
        <v>10746970.15705744</v>
      </c>
      <c r="CE676" s="551">
        <v>988.59980299648055</v>
      </c>
      <c r="CF676" s="551">
        <v>2815.1803367978428</v>
      </c>
      <c r="CG676" s="551">
        <v>15358.195564109636</v>
      </c>
      <c r="CH676" s="551">
        <v>82121.428055496566</v>
      </c>
      <c r="CI676" s="551">
        <v>5688.2205792998648</v>
      </c>
      <c r="CJ676" s="551">
        <v>2539116.8937665075</v>
      </c>
      <c r="CK676" s="551">
        <v>10936620.479939107</v>
      </c>
      <c r="CL676" s="551"/>
      <c r="CM676" s="551">
        <v>572.8920113593681</v>
      </c>
      <c r="CN676" s="551">
        <v>40893.571698600674</v>
      </c>
      <c r="CO676" s="551">
        <v>347319.33815721306</v>
      </c>
      <c r="CP676" s="551">
        <v>13768906.402155584</v>
      </c>
      <c r="CQ676" s="551"/>
      <c r="CR676" s="551">
        <v>753.55660084680198</v>
      </c>
      <c r="CS676" s="551">
        <v>19131.356173203993</v>
      </c>
      <c r="CT676" s="551">
        <v>1295899.2785556901</v>
      </c>
      <c r="CU676" s="551">
        <v>1702889.0505677308</v>
      </c>
      <c r="CV676" s="551"/>
      <c r="CW676" s="551">
        <v>82.453224835440821</v>
      </c>
      <c r="CX676" s="551">
        <v>5841.091304259382</v>
      </c>
      <c r="CY676" s="554"/>
    </row>
    <row r="677" spans="65:103" ht="12.75" customHeight="1" x14ac:dyDescent="0.3">
      <c r="BM677" s="562"/>
      <c r="BN677" s="591">
        <v>664</v>
      </c>
      <c r="BO677" s="549" t="s">
        <v>3191</v>
      </c>
      <c r="BP677" s="554" t="s">
        <v>618</v>
      </c>
      <c r="BQ677" s="553">
        <v>7.69</v>
      </c>
      <c r="BR677" s="551">
        <v>1109.0206461850414</v>
      </c>
      <c r="BS677" s="551"/>
      <c r="BT677" s="551">
        <v>3677733.774569632</v>
      </c>
      <c r="BU677" s="551">
        <v>169630.16064989922</v>
      </c>
      <c r="BV677" s="551">
        <v>3552656.3000038043</v>
      </c>
      <c r="BW677" s="551">
        <v>42456.951073103693</v>
      </c>
      <c r="BX677" s="551">
        <v>3280052.3042565668</v>
      </c>
      <c r="BY677" s="551">
        <v>20742076.464008007</v>
      </c>
      <c r="BZ677" s="551">
        <v>1214834.1867616915</v>
      </c>
      <c r="CA677" s="551">
        <v>20.348064060849516</v>
      </c>
      <c r="CB677" s="551">
        <v>8.882116845808091E-32</v>
      </c>
      <c r="CC677" s="551">
        <v>1540.1068958847043</v>
      </c>
      <c r="CD677" s="551">
        <v>2025227.7742783965</v>
      </c>
      <c r="CE677" s="551">
        <v>1487.7288030410432</v>
      </c>
      <c r="CF677" s="551">
        <v>25344.843215085311</v>
      </c>
      <c r="CG677" s="551">
        <v>31186.219031278772</v>
      </c>
      <c r="CH677" s="551">
        <v>72913.191054822164</v>
      </c>
      <c r="CI677" s="551">
        <v>11550.451493066212</v>
      </c>
      <c r="CJ677" s="551">
        <v>5.4818661302971208E-2</v>
      </c>
      <c r="CK677" s="551">
        <v>699131.95983246854</v>
      </c>
      <c r="CL677" s="551"/>
      <c r="CM677" s="551">
        <v>1760.1490086315716</v>
      </c>
      <c r="CN677" s="551">
        <v>301.55859385331507</v>
      </c>
      <c r="CO677" s="551">
        <v>3.0215279103008647E-5</v>
      </c>
      <c r="CP677" s="551">
        <v>43640.643013640125</v>
      </c>
      <c r="CQ677" s="551"/>
      <c r="CR677" s="551">
        <v>141.39378686770675</v>
      </c>
      <c r="CS677" s="551">
        <v>0.78658588592604917</v>
      </c>
      <c r="CT677" s="551">
        <v>7.4978101737716558E-5</v>
      </c>
      <c r="CU677" s="551">
        <v>7936.1013517578358</v>
      </c>
      <c r="CV677" s="551"/>
      <c r="CW677" s="551">
        <v>14.064527203703502</v>
      </c>
      <c r="CX677" s="551">
        <v>9.5832041937412155E-2</v>
      </c>
      <c r="CY677" s="554"/>
    </row>
    <row r="678" spans="65:103" ht="12.75" customHeight="1" x14ac:dyDescent="0.3">
      <c r="BM678" s="562"/>
      <c r="BN678" s="591">
        <v>665</v>
      </c>
      <c r="BO678" s="549" t="s">
        <v>3193</v>
      </c>
      <c r="BP678" s="554" t="s">
        <v>618</v>
      </c>
      <c r="BQ678" s="553">
        <v>7.7</v>
      </c>
      <c r="BR678" s="551">
        <v>293949.5328489549</v>
      </c>
      <c r="BS678" s="551"/>
      <c r="BT678" s="551">
        <v>8204345.4676776882</v>
      </c>
      <c r="BU678" s="551">
        <v>371865.41141091834</v>
      </c>
      <c r="BV678" s="551">
        <v>1119121.7416729538</v>
      </c>
      <c r="BW678" s="551">
        <v>13369.897319805801</v>
      </c>
      <c r="BX678" s="551">
        <v>563253.84934036247</v>
      </c>
      <c r="BY678" s="551">
        <v>34834224.139976189</v>
      </c>
      <c r="BZ678" s="551">
        <v>208612.53679272684</v>
      </c>
      <c r="CA678" s="551">
        <v>533513.13499407342</v>
      </c>
      <c r="CB678" s="551">
        <v>1.9894372323275755E-29</v>
      </c>
      <c r="CC678" s="551">
        <v>190093.43844796761</v>
      </c>
      <c r="CD678" s="551">
        <v>13837805.364901127</v>
      </c>
      <c r="CE678" s="551">
        <v>25929.880787517246</v>
      </c>
      <c r="CF678" s="551">
        <v>24875.940485863892</v>
      </c>
      <c r="CG678" s="551">
        <v>563351.41045698151</v>
      </c>
      <c r="CH678" s="551">
        <v>2544609.0271961903</v>
      </c>
      <c r="CI678" s="551">
        <v>208648.67053962275</v>
      </c>
      <c r="CJ678" s="551">
        <v>161326.78714522943</v>
      </c>
      <c r="CK678" s="551">
        <v>8673746.8265565708</v>
      </c>
      <c r="CL678" s="551"/>
      <c r="CM678" s="551">
        <v>3137.130938288793</v>
      </c>
      <c r="CN678" s="551">
        <v>611426.71452974982</v>
      </c>
      <c r="CO678" s="551">
        <v>13277.057923552045</v>
      </c>
      <c r="CP678" s="551">
        <v>2315367.7405761918</v>
      </c>
      <c r="CQ678" s="551"/>
      <c r="CR678" s="551">
        <v>911.08276115294086</v>
      </c>
      <c r="CS678" s="551">
        <v>170942.96597733832</v>
      </c>
      <c r="CT678" s="551">
        <v>22683.654493128066</v>
      </c>
      <c r="CU678" s="551">
        <v>401210.28015208477</v>
      </c>
      <c r="CV678" s="551"/>
      <c r="CW678" s="551">
        <v>125.90411009477386</v>
      </c>
      <c r="CX678" s="551">
        <v>23834.263608796227</v>
      </c>
      <c r="CY678" s="554"/>
    </row>
    <row r="679" spans="65:103" ht="12.75" customHeight="1" x14ac:dyDescent="0.3">
      <c r="BM679" s="562"/>
      <c r="BN679" s="591">
        <v>666</v>
      </c>
      <c r="BO679" s="549" t="s">
        <v>3195</v>
      </c>
      <c r="BP679" s="554" t="s">
        <v>618</v>
      </c>
      <c r="BQ679" s="553">
        <v>7.71</v>
      </c>
      <c r="BR679" s="551">
        <v>833.42451221797512</v>
      </c>
      <c r="BS679" s="551"/>
      <c r="BT679" s="551">
        <v>20554615.032025151</v>
      </c>
      <c r="BU679" s="551">
        <v>946282.54604505678</v>
      </c>
      <c r="BV679" s="551">
        <v>378960.37905494543</v>
      </c>
      <c r="BW679" s="551">
        <v>5204.0275578028113</v>
      </c>
      <c r="BX679" s="551">
        <v>2836289.875806822</v>
      </c>
      <c r="BY679" s="551">
        <v>40450936.187381685</v>
      </c>
      <c r="BZ679" s="551">
        <v>1050477.7317803046</v>
      </c>
      <c r="CA679" s="551">
        <v>3.1869844368242579</v>
      </c>
      <c r="CB679" s="551">
        <v>6.6877267596973403E-32</v>
      </c>
      <c r="CC679" s="551">
        <v>8186.0780826880682</v>
      </c>
      <c r="CD679" s="551">
        <v>11086770.936996959</v>
      </c>
      <c r="CE679" s="551">
        <v>150.92470709645818</v>
      </c>
      <c r="CF679" s="551">
        <v>3048.5536124657801</v>
      </c>
      <c r="CG679" s="551">
        <v>5620.3412934387798</v>
      </c>
      <c r="CH679" s="551">
        <v>29887.742110753923</v>
      </c>
      <c r="CI679" s="551">
        <v>2081.6078864588058</v>
      </c>
      <c r="CJ679" s="551">
        <v>1.8484356163006004E-3</v>
      </c>
      <c r="CK679" s="551">
        <v>3820146.2035981789</v>
      </c>
      <c r="CL679" s="551"/>
      <c r="CM679" s="551">
        <v>211.34303576403886</v>
      </c>
      <c r="CN679" s="551">
        <v>11.700131140088338</v>
      </c>
      <c r="CO679" s="551">
        <v>1.044202616849532E-6</v>
      </c>
      <c r="CP679" s="551">
        <v>238099.89248212357</v>
      </c>
      <c r="CQ679" s="551"/>
      <c r="CR679" s="551">
        <v>13.412794954331355</v>
      </c>
      <c r="CS679" s="551">
        <v>1.9985825868384155E-2</v>
      </c>
      <c r="CT679" s="551">
        <v>1.9846109087953447E-6</v>
      </c>
      <c r="CU679" s="551">
        <v>43285.274915199712</v>
      </c>
      <c r="CV679" s="551"/>
      <c r="CW679" s="551">
        <v>2.3163130861658874</v>
      </c>
      <c r="CX679" s="551">
        <v>3.5605165736214911E-3</v>
      </c>
      <c r="CY679" s="554"/>
    </row>
    <row r="680" spans="65:103" ht="12.75" customHeight="1" x14ac:dyDescent="0.3">
      <c r="BM680" s="562"/>
      <c r="BN680" s="591">
        <v>667</v>
      </c>
      <c r="BO680" s="549" t="s">
        <v>3197</v>
      </c>
      <c r="BP680" s="554" t="s">
        <v>618</v>
      </c>
      <c r="BQ680" s="553">
        <v>7.73</v>
      </c>
      <c r="BR680" s="551">
        <v>55264.405907820896</v>
      </c>
      <c r="BS680" s="551"/>
      <c r="BT680" s="551">
        <v>10989827.594978433</v>
      </c>
      <c r="BU680" s="551">
        <v>467521.87465899176</v>
      </c>
      <c r="BV680" s="551">
        <v>337303.32162321382</v>
      </c>
      <c r="BW680" s="551">
        <v>4168.4513810681456</v>
      </c>
      <c r="BX680" s="551">
        <v>2848202.9104367658</v>
      </c>
      <c r="BY680" s="551">
        <v>30001999.249362439</v>
      </c>
      <c r="BZ680" s="551">
        <v>1054889.9668284322</v>
      </c>
      <c r="CA680" s="551">
        <v>12087.168788775836</v>
      </c>
      <c r="CB680" s="551">
        <v>4.0694605921091481E-30</v>
      </c>
      <c r="CC680" s="551">
        <v>115981.87076189737</v>
      </c>
      <c r="CD680" s="551">
        <v>3556802.4793299278</v>
      </c>
      <c r="CE680" s="551">
        <v>3559.7528639974144</v>
      </c>
      <c r="CF680" s="551">
        <v>1585.632567242305</v>
      </c>
      <c r="CG680" s="551">
        <v>322812.99113889446</v>
      </c>
      <c r="CH680" s="551">
        <v>1043975.9859095085</v>
      </c>
      <c r="CI680" s="551">
        <v>119560.3670884794</v>
      </c>
      <c r="CJ680" s="551">
        <v>393.9715686234789</v>
      </c>
      <c r="CK680" s="551">
        <v>544911.145623688</v>
      </c>
      <c r="CL680" s="551"/>
      <c r="CM680" s="551">
        <v>48.577624482017896</v>
      </c>
      <c r="CN680" s="551">
        <v>37765.475237086597</v>
      </c>
      <c r="CO680" s="551">
        <v>2.7777358730821384</v>
      </c>
      <c r="CP680" s="551">
        <v>16410.155727353085</v>
      </c>
      <c r="CQ680" s="551"/>
      <c r="CR680" s="551">
        <v>1.5657984628963304</v>
      </c>
      <c r="CS680" s="551">
        <v>1043.5331017721451</v>
      </c>
      <c r="CT680" s="551">
        <v>6.3724060808921594</v>
      </c>
      <c r="CU680" s="551">
        <v>2802.1540836893746</v>
      </c>
      <c r="CV680" s="551"/>
      <c r="CW680" s="551">
        <v>0.22194717818158652</v>
      </c>
      <c r="CX680" s="551">
        <v>154.34765873140034</v>
      </c>
      <c r="CY680" s="554"/>
    </row>
    <row r="681" spans="65:103" ht="12.75" customHeight="1" x14ac:dyDescent="0.3">
      <c r="BM681" s="562"/>
      <c r="BN681" s="591">
        <v>668</v>
      </c>
      <c r="BO681" s="549" t="s">
        <v>3199</v>
      </c>
      <c r="BP681" s="554" t="s">
        <v>618</v>
      </c>
      <c r="BQ681" s="553">
        <v>7.74</v>
      </c>
      <c r="BR681" s="551">
        <v>7618.023893009984</v>
      </c>
      <c r="BS681" s="551"/>
      <c r="BT681" s="551">
        <v>6517957.5574966911</v>
      </c>
      <c r="BU681" s="551">
        <v>275337.46953053714</v>
      </c>
      <c r="BV681" s="551">
        <v>360112.43329109479</v>
      </c>
      <c r="BW681" s="551">
        <v>4239.3998594907107</v>
      </c>
      <c r="BX681" s="551">
        <v>1016304.4564342373</v>
      </c>
      <c r="BY681" s="551">
        <v>17532510.154638212</v>
      </c>
      <c r="BZ681" s="551">
        <v>376409.0579386063</v>
      </c>
      <c r="CA681" s="551">
        <v>321.53196251845247</v>
      </c>
      <c r="CB681" s="551">
        <v>2.0865887747294918E-31</v>
      </c>
      <c r="CC681" s="551">
        <v>4316.402977211058</v>
      </c>
      <c r="CD681" s="551">
        <v>1578509.689280258</v>
      </c>
      <c r="CE681" s="551">
        <v>238.47813758784042</v>
      </c>
      <c r="CF681" s="551">
        <v>1215.2239516019204</v>
      </c>
      <c r="CG681" s="551">
        <v>22228.232584605052</v>
      </c>
      <c r="CH681" s="551">
        <v>61450.468873808983</v>
      </c>
      <c r="CI681" s="551">
        <v>8232.6787350389077</v>
      </c>
      <c r="CJ681" s="551">
        <v>1.9972397323142688</v>
      </c>
      <c r="CK681" s="551">
        <v>224039.22999203877</v>
      </c>
      <c r="CL681" s="551"/>
      <c r="CM681" s="551">
        <v>34.490380179804596</v>
      </c>
      <c r="CN681" s="551">
        <v>495.58098392063692</v>
      </c>
      <c r="CO681" s="551">
        <v>3.4396249062320777E-3</v>
      </c>
      <c r="CP681" s="551">
        <v>5927.4448424707971</v>
      </c>
      <c r="CQ681" s="551"/>
      <c r="CR681" s="551">
        <v>1.0168141780762852</v>
      </c>
      <c r="CS681" s="551">
        <v>3.5838149588410038</v>
      </c>
      <c r="CT681" s="551">
        <v>5.6114040977883811E-3</v>
      </c>
      <c r="CU681" s="551">
        <v>1019.1831828315318</v>
      </c>
      <c r="CV681" s="551"/>
      <c r="CW681" s="551">
        <v>0.13118406635133378</v>
      </c>
      <c r="CX681" s="551">
        <v>0.33789912280316231</v>
      </c>
      <c r="CY681" s="554"/>
    </row>
    <row r="682" spans="65:103" ht="12.75" customHeight="1" x14ac:dyDescent="0.3">
      <c r="BM682" s="562"/>
      <c r="BN682" s="591">
        <v>669</v>
      </c>
      <c r="BO682" s="549" t="s">
        <v>3201</v>
      </c>
      <c r="BP682" s="554" t="s">
        <v>618</v>
      </c>
      <c r="BQ682" s="553">
        <v>7.8</v>
      </c>
      <c r="BR682" s="551">
        <v>98.031729008504684</v>
      </c>
      <c r="BS682" s="551"/>
      <c r="BT682" s="551">
        <v>6220335.4760545846</v>
      </c>
      <c r="BU682" s="551">
        <v>265356.26995772566</v>
      </c>
      <c r="BV682" s="551">
        <v>232257.10590110539</v>
      </c>
      <c r="BW682" s="551">
        <v>2843.5133792686479</v>
      </c>
      <c r="BX682" s="551">
        <v>2404115.3787506074</v>
      </c>
      <c r="BY682" s="551">
        <v>19369251.405232966</v>
      </c>
      <c r="BZ682" s="551">
        <v>890413.1032409654</v>
      </c>
      <c r="CA682" s="551">
        <v>6.0610458469358579E-2</v>
      </c>
      <c r="CB682" s="551">
        <v>7.8621496587880878E-33</v>
      </c>
      <c r="CC682" s="551">
        <v>216.38226002876607</v>
      </c>
      <c r="CD682" s="551">
        <v>1476175.0469154825</v>
      </c>
      <c r="CE682" s="551">
        <v>8.0793580468586015</v>
      </c>
      <c r="CF682" s="551">
        <v>790.92223762329274</v>
      </c>
      <c r="CG682" s="551">
        <v>770.25531535794357</v>
      </c>
      <c r="CH682" s="551">
        <v>2317.2211017248242</v>
      </c>
      <c r="CI682" s="551">
        <v>285.27974642886795</v>
      </c>
      <c r="CJ682" s="551">
        <v>5.5333116990191559E-6</v>
      </c>
      <c r="CK682" s="551">
        <v>209152.68353408185</v>
      </c>
      <c r="CL682" s="551"/>
      <c r="CM682" s="551">
        <v>22.409198545181489</v>
      </c>
      <c r="CN682" s="551">
        <v>0.25239219785604172</v>
      </c>
      <c r="CO682" s="551">
        <v>1.0523017970615374E-9</v>
      </c>
      <c r="CP682" s="551">
        <v>5529.1195024110002</v>
      </c>
      <c r="CQ682" s="551"/>
      <c r="CR682" s="551">
        <v>0.64138535753514514</v>
      </c>
      <c r="CS682" s="551">
        <v>5.3714379934803061E-5</v>
      </c>
      <c r="CT682" s="551">
        <v>4.1178500431402301E-10</v>
      </c>
      <c r="CU682" s="551">
        <v>950.93067209513447</v>
      </c>
      <c r="CV682" s="551"/>
      <c r="CW682" s="551">
        <v>8.8911226119611775E-2</v>
      </c>
      <c r="CX682" s="551">
        <v>6.9158732707323895E-6</v>
      </c>
      <c r="CY682" s="554"/>
    </row>
    <row r="683" spans="65:103" ht="12.75" customHeight="1" x14ac:dyDescent="0.3">
      <c r="BM683" s="562"/>
      <c r="BN683" s="591">
        <v>670</v>
      </c>
      <c r="BO683" s="549" t="s">
        <v>3203</v>
      </c>
      <c r="BP683" s="554" t="s">
        <v>618</v>
      </c>
      <c r="BQ683" s="553">
        <v>7.84</v>
      </c>
      <c r="BR683" s="551">
        <v>164887.80691364521</v>
      </c>
      <c r="BS683" s="551"/>
      <c r="BT683" s="551">
        <v>9159178.4575606026</v>
      </c>
      <c r="BU683" s="551">
        <v>425672.13167646487</v>
      </c>
      <c r="BV683" s="551">
        <v>6982955.358172005</v>
      </c>
      <c r="BW683" s="551">
        <v>84981.115416842513</v>
      </c>
      <c r="BX683" s="551">
        <v>1411643.2768011813</v>
      </c>
      <c r="BY683" s="551">
        <v>55986996.345526055</v>
      </c>
      <c r="BZ683" s="551">
        <v>522830.84325969662</v>
      </c>
      <c r="CA683" s="551">
        <v>200005.82889285855</v>
      </c>
      <c r="CB683" s="551">
        <v>7.5821852170614345E-30</v>
      </c>
      <c r="CC683" s="551">
        <v>98160.369924772691</v>
      </c>
      <c r="CD683" s="551">
        <v>11866719.72053152</v>
      </c>
      <c r="CE683" s="551">
        <v>74837.441403985446</v>
      </c>
      <c r="CF683" s="551">
        <v>118453.50014084169</v>
      </c>
      <c r="CG683" s="551">
        <v>941592.04283005965</v>
      </c>
      <c r="CH683" s="551">
        <v>2989223.278016611</v>
      </c>
      <c r="CI683" s="551">
        <v>348737.79364076274</v>
      </c>
      <c r="CJ683" s="551">
        <v>38675.335149800354</v>
      </c>
      <c r="CK683" s="551">
        <v>7857443.6342803258</v>
      </c>
      <c r="CL683" s="551"/>
      <c r="CM683" s="551">
        <v>15803.757102753709</v>
      </c>
      <c r="CN683" s="551">
        <v>653518.47287499835</v>
      </c>
      <c r="CO683" s="551">
        <v>2177.6759638007557</v>
      </c>
      <c r="CP683" s="551">
        <v>1188330.2537012673</v>
      </c>
      <c r="CQ683" s="551"/>
      <c r="CR683" s="551">
        <v>2770.777778591641</v>
      </c>
      <c r="CS683" s="551">
        <v>135374.96581820847</v>
      </c>
      <c r="CT683" s="551">
        <v>3425.7185319487894</v>
      </c>
      <c r="CU683" s="551">
        <v>217647.40520245073</v>
      </c>
      <c r="CV683" s="551"/>
      <c r="CW683" s="551">
        <v>347.89071012797496</v>
      </c>
      <c r="CX683" s="551">
        <v>14985.981417483299</v>
      </c>
      <c r="CY683" s="554"/>
    </row>
    <row r="684" spans="65:103" ht="12.75" customHeight="1" x14ac:dyDescent="0.3">
      <c r="BM684" s="562"/>
      <c r="BN684" s="591">
        <v>671</v>
      </c>
      <c r="BO684" s="549" t="s">
        <v>3206</v>
      </c>
      <c r="BP684" s="554" t="s">
        <v>618</v>
      </c>
      <c r="BQ684" s="553">
        <v>7.89</v>
      </c>
      <c r="BR684" s="551">
        <v>317488.14230729814</v>
      </c>
      <c r="BS684" s="551"/>
      <c r="BT684" s="551">
        <v>7488524.9924677825</v>
      </c>
      <c r="BU684" s="551">
        <v>338485.20565831667</v>
      </c>
      <c r="BV684" s="551">
        <v>1372238.3794384752</v>
      </c>
      <c r="BW684" s="551">
        <v>16005.447749549698</v>
      </c>
      <c r="BX684" s="551">
        <v>599343.33629164065</v>
      </c>
      <c r="BY684" s="551">
        <v>35622985.566550203</v>
      </c>
      <c r="BZ684" s="551">
        <v>221979.01344134836</v>
      </c>
      <c r="CA684" s="551">
        <v>636056.76658515993</v>
      </c>
      <c r="CB684" s="551">
        <v>2.3089659319988732E-29</v>
      </c>
      <c r="CC684" s="551">
        <v>191790.94525663884</v>
      </c>
      <c r="CD684" s="551">
        <v>14932618.157642813</v>
      </c>
      <c r="CE684" s="551">
        <v>35144.824404627325</v>
      </c>
      <c r="CF684" s="551">
        <v>35304.82805316319</v>
      </c>
      <c r="CG684" s="551">
        <v>672491.41696335364</v>
      </c>
      <c r="CH684" s="551">
        <v>2962503.6918500452</v>
      </c>
      <c r="CI684" s="551">
        <v>249070.89517161247</v>
      </c>
      <c r="CJ684" s="551">
        <v>215543.80646248921</v>
      </c>
      <c r="CK684" s="551">
        <v>10212308.786820266</v>
      </c>
      <c r="CL684" s="551"/>
      <c r="CM684" s="551">
        <v>4857.7328146573436</v>
      </c>
      <c r="CN684" s="551">
        <v>817956.24427286291</v>
      </c>
      <c r="CO684" s="551">
        <v>19509.986273328534</v>
      </c>
      <c r="CP684" s="551">
        <v>3179594.9130509137</v>
      </c>
      <c r="CQ684" s="551"/>
      <c r="CR684" s="551">
        <v>1676.9290194003772</v>
      </c>
      <c r="CS684" s="551">
        <v>250402.19741541336</v>
      </c>
      <c r="CT684" s="551">
        <v>34485.583765362011</v>
      </c>
      <c r="CU684" s="551">
        <v>558432.23572510039</v>
      </c>
      <c r="CV684" s="551"/>
      <c r="CW684" s="551">
        <v>224.15055084561297</v>
      </c>
      <c r="CX684" s="551">
        <v>36252.764119802334</v>
      </c>
      <c r="CY684" s="554"/>
    </row>
    <row r="685" spans="65:103" ht="12.75" customHeight="1" x14ac:dyDescent="0.3">
      <c r="BM685" s="562"/>
      <c r="BN685" s="591">
        <v>672</v>
      </c>
      <c r="BO685" s="549" t="s">
        <v>3205</v>
      </c>
      <c r="BP685" s="554" t="s">
        <v>618</v>
      </c>
      <c r="BQ685" s="553">
        <v>7.89</v>
      </c>
      <c r="BR685" s="551">
        <v>317488.14230729814</v>
      </c>
      <c r="BS685" s="551"/>
      <c r="BT685" s="551">
        <v>7488524.9924677825</v>
      </c>
      <c r="BU685" s="551">
        <v>338485.20565831667</v>
      </c>
      <c r="BV685" s="551">
        <v>1372238.3794384752</v>
      </c>
      <c r="BW685" s="551">
        <v>16005.447749549698</v>
      </c>
      <c r="BX685" s="551">
        <v>599343.33629164065</v>
      </c>
      <c r="BY685" s="551">
        <v>35622985.566550203</v>
      </c>
      <c r="BZ685" s="551">
        <v>221979.01344134836</v>
      </c>
      <c r="CA685" s="551">
        <v>636056.76658515993</v>
      </c>
      <c r="CB685" s="551">
        <v>2.3089659319988732E-29</v>
      </c>
      <c r="CC685" s="551">
        <v>191790.94525663884</v>
      </c>
      <c r="CD685" s="551">
        <v>14932618.157642813</v>
      </c>
      <c r="CE685" s="551">
        <v>35144.824404627325</v>
      </c>
      <c r="CF685" s="551">
        <v>35304.82805316319</v>
      </c>
      <c r="CG685" s="551">
        <v>672491.41696335364</v>
      </c>
      <c r="CH685" s="551">
        <v>2962503.6918500452</v>
      </c>
      <c r="CI685" s="551">
        <v>249070.89517161247</v>
      </c>
      <c r="CJ685" s="551">
        <v>215543.80646248921</v>
      </c>
      <c r="CK685" s="551">
        <v>10212308.786820266</v>
      </c>
      <c r="CL685" s="551"/>
      <c r="CM685" s="551">
        <v>4857.7328146573436</v>
      </c>
      <c r="CN685" s="551">
        <v>817956.24427286291</v>
      </c>
      <c r="CO685" s="551">
        <v>19509.986273328534</v>
      </c>
      <c r="CP685" s="551">
        <v>3179594.9130509137</v>
      </c>
      <c r="CQ685" s="551"/>
      <c r="CR685" s="551">
        <v>1676.9290194003772</v>
      </c>
      <c r="CS685" s="551">
        <v>250402.19741541336</v>
      </c>
      <c r="CT685" s="551">
        <v>34485.583765362011</v>
      </c>
      <c r="CU685" s="551">
        <v>558432.23572510039</v>
      </c>
      <c r="CV685" s="551"/>
      <c r="CW685" s="551">
        <v>224.15055084561297</v>
      </c>
      <c r="CX685" s="551">
        <v>36252.764119802334</v>
      </c>
      <c r="CY685" s="554"/>
    </row>
    <row r="686" spans="65:103" ht="12.75" customHeight="1" x14ac:dyDescent="0.3">
      <c r="BM686" s="562"/>
      <c r="BN686" s="591">
        <v>673</v>
      </c>
      <c r="BO686" s="549" t="s">
        <v>3208</v>
      </c>
      <c r="BP686" s="554" t="s">
        <v>618</v>
      </c>
      <c r="BQ686" s="553">
        <v>7.9</v>
      </c>
      <c r="BR686" s="551">
        <v>258.15281009224884</v>
      </c>
      <c r="BS686" s="551"/>
      <c r="BT686" s="551">
        <v>16025253.504437108</v>
      </c>
      <c r="BU686" s="551">
        <v>752929.92409056262</v>
      </c>
      <c r="BV686" s="551">
        <v>171617.41542088438</v>
      </c>
      <c r="BW686" s="551">
        <v>2443.5588393581252</v>
      </c>
      <c r="BX686" s="551">
        <v>667970.40912549547</v>
      </c>
      <c r="BY686" s="551">
        <v>13355617.264972884</v>
      </c>
      <c r="BZ686" s="551">
        <v>247396.44782425748</v>
      </c>
      <c r="CA686" s="551">
        <v>0.59054849829477518</v>
      </c>
      <c r="CB686" s="551">
        <v>2.0734784341575932E-32</v>
      </c>
      <c r="CC686" s="551">
        <v>4530.4936934242569</v>
      </c>
      <c r="CD686" s="551">
        <v>12163467.292840341</v>
      </c>
      <c r="CE686" s="551">
        <v>48.517898205529704</v>
      </c>
      <c r="CF686" s="551">
        <v>1973.7658890741923</v>
      </c>
      <c r="CG686" s="551">
        <v>791.83451318472885</v>
      </c>
      <c r="CH686" s="551">
        <v>5912.3963139967327</v>
      </c>
      <c r="CI686" s="551">
        <v>293.27204192026988</v>
      </c>
      <c r="CJ686" s="551">
        <v>1.9819676835584708E-4</v>
      </c>
      <c r="CK686" s="551">
        <v>6534077.2600197112</v>
      </c>
      <c r="CL686" s="551"/>
      <c r="CM686" s="551">
        <v>213.65200344904682</v>
      </c>
      <c r="CN686" s="551">
        <v>0.95384779913221851</v>
      </c>
      <c r="CO686" s="551">
        <v>7.988680861905997E-8</v>
      </c>
      <c r="CP686" s="551">
        <v>616526.28048760886</v>
      </c>
      <c r="CQ686" s="551"/>
      <c r="CR686" s="551">
        <v>20.31213781362024</v>
      </c>
      <c r="CS686" s="551">
        <v>2.0480732030390031E-4</v>
      </c>
      <c r="CT686" s="551">
        <v>1.3735984132343481E-8</v>
      </c>
      <c r="CU686" s="551">
        <v>118103.08492153756</v>
      </c>
      <c r="CV686" s="551"/>
      <c r="CW686" s="551">
        <v>3.8077379007506122</v>
      </c>
      <c r="CX686" s="551">
        <v>4.8802423534962552E-5</v>
      </c>
      <c r="CY686" s="554"/>
    </row>
    <row r="687" spans="65:103" ht="12.75" customHeight="1" x14ac:dyDescent="0.3">
      <c r="BM687" s="562"/>
      <c r="BN687" s="591">
        <v>674</v>
      </c>
      <c r="BO687" s="549" t="s">
        <v>3210</v>
      </c>
      <c r="BP687" s="554" t="s">
        <v>618</v>
      </c>
      <c r="BQ687" s="553">
        <v>7.91</v>
      </c>
      <c r="BR687" s="551">
        <v>59172.988777493912</v>
      </c>
      <c r="BS687" s="551"/>
      <c r="BT687" s="551">
        <v>8183159.4163575349</v>
      </c>
      <c r="BU687" s="551">
        <v>345651.66796725389</v>
      </c>
      <c r="BV687" s="551">
        <v>203653.64834765813</v>
      </c>
      <c r="BW687" s="551">
        <v>2527.1265649917696</v>
      </c>
      <c r="BX687" s="551">
        <v>687198.66830653429</v>
      </c>
      <c r="BY687" s="551">
        <v>17633038.931979693</v>
      </c>
      <c r="BZ687" s="551">
        <v>254518.02529871635</v>
      </c>
      <c r="CA687" s="551">
        <v>17833.271295006507</v>
      </c>
      <c r="CB687" s="551">
        <v>2.0015634269544974E-30</v>
      </c>
      <c r="CC687" s="551">
        <v>53045.159147735954</v>
      </c>
      <c r="CD687" s="551">
        <v>2390749.2624051287</v>
      </c>
      <c r="CE687" s="551">
        <v>1320.1307267733901</v>
      </c>
      <c r="CF687" s="551">
        <v>873.96163987712282</v>
      </c>
      <c r="CG687" s="551">
        <v>107324.97129567403</v>
      </c>
      <c r="CH687" s="551">
        <v>389649.56766020739</v>
      </c>
      <c r="CI687" s="551">
        <v>39749.989368768154</v>
      </c>
      <c r="CJ687" s="551">
        <v>805.82192937172647</v>
      </c>
      <c r="CK687" s="551">
        <v>366151.93411860056</v>
      </c>
      <c r="CL687" s="551"/>
      <c r="CM687" s="551">
        <v>26.766289800765154</v>
      </c>
      <c r="CN687" s="551">
        <v>17406.541980302478</v>
      </c>
      <c r="CO687" s="551">
        <v>10.012066957412067</v>
      </c>
      <c r="CP687" s="551">
        <v>11918.691279008435</v>
      </c>
      <c r="CQ687" s="551"/>
      <c r="CR687" s="551">
        <v>0.92286684759835069</v>
      </c>
      <c r="CS687" s="551">
        <v>810.46599071950118</v>
      </c>
      <c r="CT687" s="551">
        <v>16.454996590860315</v>
      </c>
      <c r="CU687" s="551">
        <v>1946.5674556240524</v>
      </c>
      <c r="CV687" s="551"/>
      <c r="CW687" s="551">
        <v>0.12856762276832898</v>
      </c>
      <c r="CX687" s="551">
        <v>92.411634955265924</v>
      </c>
      <c r="CY687" s="554"/>
    </row>
    <row r="688" spans="65:103" ht="12.75" customHeight="1" x14ac:dyDescent="0.3">
      <c r="BM688" s="562"/>
      <c r="BN688" s="591">
        <v>675</v>
      </c>
      <c r="BO688" s="549" t="s">
        <v>3212</v>
      </c>
      <c r="BP688" s="554" t="s">
        <v>618</v>
      </c>
      <c r="BQ688" s="553">
        <v>7.97</v>
      </c>
      <c r="BR688" s="551">
        <v>17494.821975015562</v>
      </c>
      <c r="BS688" s="551"/>
      <c r="BT688" s="551">
        <v>5969601.2069114801</v>
      </c>
      <c r="BU688" s="551">
        <v>275027.55466387584</v>
      </c>
      <c r="BV688" s="551">
        <v>1502921.8538571824</v>
      </c>
      <c r="BW688" s="551">
        <v>17533.695666760428</v>
      </c>
      <c r="BX688" s="551">
        <v>3536959.8705376913</v>
      </c>
      <c r="BY688" s="551">
        <v>27870038.486334167</v>
      </c>
      <c r="BZ688" s="551">
        <v>1309985.1372361812</v>
      </c>
      <c r="CA688" s="551">
        <v>3968.5825155044927</v>
      </c>
      <c r="CB688" s="551">
        <v>1.3489283854217709E-30</v>
      </c>
      <c r="CC688" s="551">
        <v>41038.648144295097</v>
      </c>
      <c r="CD688" s="551">
        <v>3881996.8730941019</v>
      </c>
      <c r="CE688" s="551">
        <v>10331.993547141346</v>
      </c>
      <c r="CF688" s="551">
        <v>12374.351332784447</v>
      </c>
      <c r="CG688" s="551">
        <v>415771.30280364037</v>
      </c>
      <c r="CH688" s="551">
        <v>1068236.3603014848</v>
      </c>
      <c r="CI688" s="551">
        <v>153989.37140875566</v>
      </c>
      <c r="CJ688" s="551">
        <v>133.79020374061764</v>
      </c>
      <c r="CK688" s="551">
        <v>1369753.6184561416</v>
      </c>
      <c r="CL688" s="551"/>
      <c r="CM688" s="551">
        <v>878.4524572837048</v>
      </c>
      <c r="CN688" s="551">
        <v>50309.160006691374</v>
      </c>
      <c r="CO688" s="551">
        <v>4.5128878502280223</v>
      </c>
      <c r="CP688" s="551">
        <v>86878.432029297823</v>
      </c>
      <c r="CQ688" s="551"/>
      <c r="CR688" s="551">
        <v>63.243958503431237</v>
      </c>
      <c r="CS688" s="551">
        <v>1479.5346517974069</v>
      </c>
      <c r="CT688" s="551">
        <v>0.97701062108648307</v>
      </c>
      <c r="CU688" s="551">
        <v>15817.53266893784</v>
      </c>
      <c r="CV688" s="551"/>
      <c r="CW688" s="551">
        <v>8.2839824630795924</v>
      </c>
      <c r="CX688" s="551">
        <v>210.56916717553298</v>
      </c>
      <c r="CY688" s="554"/>
    </row>
    <row r="689" spans="65:103" ht="12.75" customHeight="1" x14ac:dyDescent="0.3">
      <c r="BM689" s="562"/>
      <c r="BN689" s="591">
        <v>676</v>
      </c>
      <c r="BO689" s="549" t="s">
        <v>3214</v>
      </c>
      <c r="BP689" s="554" t="s">
        <v>618</v>
      </c>
      <c r="BQ689" s="553">
        <v>8.01</v>
      </c>
      <c r="BR689" s="551">
        <v>43363.2406009099</v>
      </c>
      <c r="BS689" s="551"/>
      <c r="BT689" s="551">
        <v>7600444.2106360225</v>
      </c>
      <c r="BU689" s="551">
        <v>355236.26890716399</v>
      </c>
      <c r="BV689" s="551">
        <v>18775813.964682981</v>
      </c>
      <c r="BW689" s="551">
        <v>273293.81284895074</v>
      </c>
      <c r="BX689" s="551">
        <v>2788671.4107431178</v>
      </c>
      <c r="BY689" s="551">
        <v>46122244.96419166</v>
      </c>
      <c r="BZ689" s="551">
        <v>1032841.2632381914</v>
      </c>
      <c r="CA689" s="551">
        <v>20855.648239646081</v>
      </c>
      <c r="CB689" s="551">
        <v>1.6469935492127032E-30</v>
      </c>
      <c r="CC689" s="551">
        <v>27610.164264003259</v>
      </c>
      <c r="CD689" s="551">
        <v>6842907.518850036</v>
      </c>
      <c r="CE689" s="551">
        <v>68206.974933098303</v>
      </c>
      <c r="CF689" s="551">
        <v>263222.60006733867</v>
      </c>
      <c r="CG689" s="551">
        <v>695620.15637637954</v>
      </c>
      <c r="CH689" s="551">
        <v>1633311.1613524805</v>
      </c>
      <c r="CI689" s="551">
        <v>257637.09495421452</v>
      </c>
      <c r="CJ689" s="551">
        <v>1515.7049959460869</v>
      </c>
      <c r="CK689" s="551">
        <v>3812630.6661759219</v>
      </c>
      <c r="CL689" s="551"/>
      <c r="CM689" s="551">
        <v>29546.300377774849</v>
      </c>
      <c r="CN689" s="551">
        <v>181454.10680669924</v>
      </c>
      <c r="CO689" s="551">
        <v>41.207185351736513</v>
      </c>
      <c r="CP689" s="551">
        <v>376112.20081472938</v>
      </c>
      <c r="CQ689" s="551"/>
      <c r="CR689" s="551">
        <v>3663.8106544342195</v>
      </c>
      <c r="CS689" s="551">
        <v>16858.497915651249</v>
      </c>
      <c r="CT689" s="551">
        <v>48.723355867397686</v>
      </c>
      <c r="CU689" s="551">
        <v>71553.088286925704</v>
      </c>
      <c r="CV689" s="551"/>
      <c r="CW689" s="551">
        <v>400.54131041356453</v>
      </c>
      <c r="CX689" s="551">
        <v>1411.3077491169263</v>
      </c>
      <c r="CY689" s="554"/>
    </row>
    <row r="690" spans="65:103" ht="12.75" customHeight="1" x14ac:dyDescent="0.3">
      <c r="BM690" s="562"/>
      <c r="BN690" s="591">
        <v>677</v>
      </c>
      <c r="BO690" s="549" t="s">
        <v>3216</v>
      </c>
      <c r="BP690" s="554" t="s">
        <v>618</v>
      </c>
      <c r="BQ690" s="553">
        <v>8.0500000000000007</v>
      </c>
      <c r="BR690" s="551">
        <v>38728.959092360747</v>
      </c>
      <c r="BS690" s="551"/>
      <c r="BT690" s="551">
        <v>9612844.4634207319</v>
      </c>
      <c r="BU690" s="551">
        <v>407451.60515904729</v>
      </c>
      <c r="BV690" s="551">
        <v>235112.04510381917</v>
      </c>
      <c r="BW690" s="551">
        <v>2930.1282979242328</v>
      </c>
      <c r="BX690" s="551">
        <v>1544142.7778740458</v>
      </c>
      <c r="BY690" s="551">
        <v>22717954.648465212</v>
      </c>
      <c r="BZ690" s="551">
        <v>571904.732545943</v>
      </c>
      <c r="CA690" s="551">
        <v>6589.5557840210304</v>
      </c>
      <c r="CB690" s="551">
        <v>1.9741660039383749E-30</v>
      </c>
      <c r="CC690" s="551">
        <v>64826.540946016547</v>
      </c>
      <c r="CD690" s="551">
        <v>2731366.9713941249</v>
      </c>
      <c r="CE690" s="551">
        <v>1585.5349243215294</v>
      </c>
      <c r="CF690" s="551">
        <v>982.11119474832981</v>
      </c>
      <c r="CG690" s="551">
        <v>136146.78607033269</v>
      </c>
      <c r="CH690" s="551">
        <v>478252.03804354259</v>
      </c>
      <c r="CI690" s="551">
        <v>50424.735581604655</v>
      </c>
      <c r="CJ690" s="551">
        <v>166.54278576948238</v>
      </c>
      <c r="CK690" s="551">
        <v>402761.82633963105</v>
      </c>
      <c r="CL690" s="551"/>
      <c r="CM690" s="551">
        <v>28.959927270120247</v>
      </c>
      <c r="CN690" s="551">
        <v>12350.391794314039</v>
      </c>
      <c r="CO690" s="551">
        <v>1.0207366955343449</v>
      </c>
      <c r="CP690" s="551">
        <v>11311.998718214169</v>
      </c>
      <c r="CQ690" s="551"/>
      <c r="CR690" s="551">
        <v>0.8608568533713532</v>
      </c>
      <c r="CS690" s="551">
        <v>286.52238066040383</v>
      </c>
      <c r="CT690" s="551">
        <v>1.9885340785907826</v>
      </c>
      <c r="CU690" s="551">
        <v>1922.3274319920413</v>
      </c>
      <c r="CV690" s="551"/>
      <c r="CW690" s="551">
        <v>0.12504577656818003</v>
      </c>
      <c r="CX690" s="551">
        <v>38.008165642951198</v>
      </c>
      <c r="CY690" s="554"/>
    </row>
    <row r="691" spans="65:103" ht="12.75" customHeight="1" x14ac:dyDescent="0.3">
      <c r="BM691" s="562"/>
      <c r="BN691" s="591">
        <v>678</v>
      </c>
      <c r="BO691" s="549" t="s">
        <v>3218</v>
      </c>
      <c r="BP691" s="554" t="s">
        <v>618</v>
      </c>
      <c r="BQ691" s="553">
        <v>8.11</v>
      </c>
      <c r="BR691" s="551">
        <v>9777.0957215021717</v>
      </c>
      <c r="BS691" s="551"/>
      <c r="BT691" s="551">
        <v>8589941.7318117525</v>
      </c>
      <c r="BU691" s="551">
        <v>363669.72873301012</v>
      </c>
      <c r="BV691" s="551">
        <v>320734.30993711541</v>
      </c>
      <c r="BW691" s="551">
        <v>3897.0239499223367</v>
      </c>
      <c r="BX691" s="551">
        <v>1624637.9344458773</v>
      </c>
      <c r="BY691" s="551">
        <v>22683472.745032649</v>
      </c>
      <c r="BZ691" s="551">
        <v>601717.75349847286</v>
      </c>
      <c r="CA691" s="551">
        <v>420.14150014275293</v>
      </c>
      <c r="CB691" s="551">
        <v>3.8414028996187623E-31</v>
      </c>
      <c r="CC691" s="551">
        <v>10258.99282831916</v>
      </c>
      <c r="CD691" s="551">
        <v>2110891.0076056989</v>
      </c>
      <c r="CE691" s="551">
        <v>383.05393542486394</v>
      </c>
      <c r="CF691" s="551">
        <v>1130.9977381090196</v>
      </c>
      <c r="CG691" s="551">
        <v>36177.718263468698</v>
      </c>
      <c r="CH691" s="551">
        <v>109342.07162027327</v>
      </c>
      <c r="CI691" s="551">
        <v>13399.154912395814</v>
      </c>
      <c r="CJ691" s="551">
        <v>2.6573010456345294</v>
      </c>
      <c r="CK691" s="551">
        <v>299824.62599059666</v>
      </c>
      <c r="CL691" s="551"/>
      <c r="CM691" s="551">
        <v>32.124041915356145</v>
      </c>
      <c r="CN691" s="551">
        <v>821.27765021758921</v>
      </c>
      <c r="CO691" s="551">
        <v>4.2949801552019072E-3</v>
      </c>
      <c r="CP691" s="551">
        <v>7934.5767190843617</v>
      </c>
      <c r="CQ691" s="551"/>
      <c r="CR691" s="551">
        <v>0.92042165549882349</v>
      </c>
      <c r="CS691" s="551">
        <v>5.3550685957961441</v>
      </c>
      <c r="CT691" s="551">
        <v>7.80157412270285E-3</v>
      </c>
      <c r="CU691" s="551">
        <v>1364.2427440858069</v>
      </c>
      <c r="CV691" s="551"/>
      <c r="CW691" s="551">
        <v>0.12755556073736357</v>
      </c>
      <c r="CX691" s="551">
        <v>0.59876330418789814</v>
      </c>
      <c r="CY691" s="554"/>
    </row>
    <row r="692" spans="65:103" ht="12.75" customHeight="1" x14ac:dyDescent="0.3">
      <c r="BM692" s="562"/>
      <c r="BN692" s="591">
        <v>679</v>
      </c>
      <c r="BO692" s="549" t="s">
        <v>3220</v>
      </c>
      <c r="BP692" s="554" t="s">
        <v>618</v>
      </c>
      <c r="BQ692" s="553">
        <v>8.15</v>
      </c>
      <c r="BR692" s="551">
        <v>170590.47041450592</v>
      </c>
      <c r="BS692" s="551"/>
      <c r="BT692" s="551">
        <v>10438897.68411673</v>
      </c>
      <c r="BU692" s="551">
        <v>477964.06922920421</v>
      </c>
      <c r="BV692" s="551">
        <v>2859122.0187134128</v>
      </c>
      <c r="BW692" s="551">
        <v>33018.416904429039</v>
      </c>
      <c r="BX692" s="551">
        <v>1632351.9440802515</v>
      </c>
      <c r="BY692" s="551">
        <v>41648351.961322524</v>
      </c>
      <c r="BZ692" s="551">
        <v>604574.79410379671</v>
      </c>
      <c r="CA692" s="551">
        <v>237345.26638681811</v>
      </c>
      <c r="CB692" s="551">
        <v>1.1133881036814489E-29</v>
      </c>
      <c r="CC692" s="551">
        <v>175051.44183795268</v>
      </c>
      <c r="CD692" s="551">
        <v>10995599.553170362</v>
      </c>
      <c r="CE692" s="551">
        <v>47945.046202334626</v>
      </c>
      <c r="CF692" s="551">
        <v>37979.558876279385</v>
      </c>
      <c r="CG692" s="551">
        <v>1199631.1827455901</v>
      </c>
      <c r="CH692" s="551">
        <v>3551100.7888040785</v>
      </c>
      <c r="CI692" s="551">
        <v>444307.84546132968</v>
      </c>
      <c r="CJ692" s="551">
        <v>53507.096027769738</v>
      </c>
      <c r="CK692" s="551">
        <v>5447040.7293581208</v>
      </c>
      <c r="CL692" s="551"/>
      <c r="CM692" s="551">
        <v>3785.2903524037811</v>
      </c>
      <c r="CN692" s="551">
        <v>970693.69382287632</v>
      </c>
      <c r="CO692" s="551">
        <v>3205.0407221231012</v>
      </c>
      <c r="CP692" s="551">
        <v>905234.92880061362</v>
      </c>
      <c r="CQ692" s="551"/>
      <c r="CR692" s="551">
        <v>718.88969546083831</v>
      </c>
      <c r="CS692" s="551">
        <v>227724.55176357378</v>
      </c>
      <c r="CT692" s="551">
        <v>5659.3776918574677</v>
      </c>
      <c r="CU692" s="551">
        <v>160254.32201510464</v>
      </c>
      <c r="CV692" s="551"/>
      <c r="CW692" s="551">
        <v>90.121068042069169</v>
      </c>
      <c r="CX692" s="551">
        <v>25857.482189762966</v>
      </c>
      <c r="CY692" s="554"/>
    </row>
    <row r="693" spans="65:103" ht="12.75" customHeight="1" x14ac:dyDescent="0.3">
      <c r="BM693" s="562"/>
      <c r="BN693" s="591">
        <v>680</v>
      </c>
      <c r="BO693" s="549" t="s">
        <v>3222</v>
      </c>
      <c r="BP693" s="554" t="s">
        <v>618</v>
      </c>
      <c r="BQ693" s="553">
        <v>8.1999999999999993</v>
      </c>
      <c r="BR693" s="551">
        <v>2972.1836837895185</v>
      </c>
      <c r="BS693" s="551"/>
      <c r="BT693" s="551">
        <v>10858188.950882977</v>
      </c>
      <c r="BU693" s="551">
        <v>500989.81346616609</v>
      </c>
      <c r="BV693" s="551">
        <v>4436311.0436422629</v>
      </c>
      <c r="BW693" s="551">
        <v>51077.407549649441</v>
      </c>
      <c r="BX693" s="551">
        <v>8448511.8178545218</v>
      </c>
      <c r="BY693" s="551">
        <v>56277746.990958594</v>
      </c>
      <c r="BZ693" s="551">
        <v>3129078.4510572297</v>
      </c>
      <c r="CA693" s="551">
        <v>52.727581169460692</v>
      </c>
      <c r="CB693" s="551">
        <v>2.3692816366032607E-31</v>
      </c>
      <c r="CC693" s="551">
        <v>5753.4809004638328</v>
      </c>
      <c r="CD693" s="551">
        <v>5968125.8265782129</v>
      </c>
      <c r="CE693" s="551">
        <v>2350.6895094173992</v>
      </c>
      <c r="CF693" s="551">
        <v>30423.412508397323</v>
      </c>
      <c r="CG693" s="551">
        <v>77667.785385723226</v>
      </c>
      <c r="CH693" s="551">
        <v>190672.51106902631</v>
      </c>
      <c r="CI693" s="551">
        <v>28765.846439156747</v>
      </c>
      <c r="CJ693" s="551">
        <v>0.13755604954716802</v>
      </c>
      <c r="CK693" s="551">
        <v>2058147.2193685528</v>
      </c>
      <c r="CL693" s="551"/>
      <c r="CM693" s="551">
        <v>2110.8043509532745</v>
      </c>
      <c r="CN693" s="551">
        <v>727.25451009975143</v>
      </c>
      <c r="CO693" s="551">
        <v>3.2042289589356062E-4</v>
      </c>
      <c r="CP693" s="551">
        <v>128356.24314780768</v>
      </c>
      <c r="CQ693" s="551"/>
      <c r="CR693" s="551">
        <v>155.74912925715759</v>
      </c>
      <c r="CS693" s="551">
        <v>1.8311979468125255</v>
      </c>
      <c r="CT693" s="551">
        <v>1.1184062769632862E-4</v>
      </c>
      <c r="CU693" s="551">
        <v>23336.933703927418</v>
      </c>
      <c r="CV693" s="551"/>
      <c r="CW693" s="551">
        <v>18.524190976737199</v>
      </c>
      <c r="CX693" s="551">
        <v>0.2330707159620084</v>
      </c>
      <c r="CY693" s="554"/>
    </row>
    <row r="694" spans="65:103" ht="12.75" customHeight="1" x14ac:dyDescent="0.3">
      <c r="BM694" s="562"/>
      <c r="BN694" s="591">
        <v>681</v>
      </c>
      <c r="BO694" s="549" t="s">
        <v>3224</v>
      </c>
      <c r="BP694" s="554" t="s">
        <v>618</v>
      </c>
      <c r="BQ694" s="553">
        <v>8.24</v>
      </c>
      <c r="BR694" s="551">
        <v>9155.607827144082</v>
      </c>
      <c r="BS694" s="551"/>
      <c r="BT694" s="551">
        <v>10988965.939509496</v>
      </c>
      <c r="BU694" s="551">
        <v>502922.44190819387</v>
      </c>
      <c r="BV694" s="551">
        <v>1459939.885576291</v>
      </c>
      <c r="BW694" s="551">
        <v>17646.32699163512</v>
      </c>
      <c r="BX694" s="551">
        <v>684700.69771640748</v>
      </c>
      <c r="BY694" s="551">
        <v>36005560.963230394</v>
      </c>
      <c r="BZ694" s="551">
        <v>253592.85100607693</v>
      </c>
      <c r="CA694" s="551">
        <v>487.58761425854561</v>
      </c>
      <c r="CB694" s="551">
        <v>8.4857774780824407E-32</v>
      </c>
      <c r="CC694" s="551">
        <v>3111.6467507901848</v>
      </c>
      <c r="CD694" s="551">
        <v>5914155.0822687363</v>
      </c>
      <c r="CE694" s="551">
        <v>413.39806004578776</v>
      </c>
      <c r="CF694" s="551">
        <v>10375.666878672107</v>
      </c>
      <c r="CG694" s="551">
        <v>18902.854810804543</v>
      </c>
      <c r="CH694" s="551">
        <v>54500.678161687552</v>
      </c>
      <c r="CI694" s="551">
        <v>7001.0573373350162</v>
      </c>
      <c r="CJ694" s="551">
        <v>3.8790630095415728</v>
      </c>
      <c r="CK694" s="551">
        <v>2038545.4713472794</v>
      </c>
      <c r="CL694" s="551"/>
      <c r="CM694" s="551">
        <v>719.54421424021518</v>
      </c>
      <c r="CN694" s="551">
        <v>539.76562495483608</v>
      </c>
      <c r="CO694" s="551">
        <v>1.1089378223744678E-2</v>
      </c>
      <c r="CP694" s="551">
        <v>127079.1566131337</v>
      </c>
      <c r="CQ694" s="551"/>
      <c r="CR694" s="551">
        <v>48.724560055747325</v>
      </c>
      <c r="CS694" s="551">
        <v>6.1162293854808834</v>
      </c>
      <c r="CT694" s="551">
        <v>1.4444298368189E-2</v>
      </c>
      <c r="CU694" s="551">
        <v>23102.655334150153</v>
      </c>
      <c r="CV694" s="551"/>
      <c r="CW694" s="551">
        <v>7.0918419268558992</v>
      </c>
      <c r="CX694" s="551">
        <v>0.49616012234165119</v>
      </c>
      <c r="CY694" s="554"/>
    </row>
    <row r="695" spans="65:103" ht="12.75" customHeight="1" x14ac:dyDescent="0.3">
      <c r="BM695" s="562"/>
      <c r="BN695" s="591">
        <v>682</v>
      </c>
      <c r="BO695" s="549" t="s">
        <v>3226</v>
      </c>
      <c r="BP695" s="554" t="s">
        <v>618</v>
      </c>
      <c r="BQ695" s="553">
        <v>8.3000000000000007</v>
      </c>
      <c r="BR695" s="551">
        <v>528.71616769226705</v>
      </c>
      <c r="BS695" s="551"/>
      <c r="BT695" s="551">
        <v>8026677.8189010303</v>
      </c>
      <c r="BU695" s="551">
        <v>343053.72102580406</v>
      </c>
      <c r="BV695" s="551">
        <v>166311.91764704112</v>
      </c>
      <c r="BW695" s="551">
        <v>2105.8657669767695</v>
      </c>
      <c r="BX695" s="551">
        <v>375603.27539225249</v>
      </c>
      <c r="BY695" s="551">
        <v>2376852.4715151815</v>
      </c>
      <c r="BZ695" s="551">
        <v>139112.3242193528</v>
      </c>
      <c r="CA695" s="551">
        <v>1.2241425953941307</v>
      </c>
      <c r="CB695" s="551">
        <v>4.246586267470727E-32</v>
      </c>
      <c r="CC695" s="551">
        <v>460.14461373683906</v>
      </c>
      <c r="CD695" s="551">
        <v>1915803.1872528149</v>
      </c>
      <c r="CE695" s="551">
        <v>9.53414785446172</v>
      </c>
      <c r="CF695" s="551">
        <v>588.01640982597382</v>
      </c>
      <c r="CG695" s="551">
        <v>450.64782623901181</v>
      </c>
      <c r="CH695" s="551">
        <v>1064.9285061463956</v>
      </c>
      <c r="CI695" s="551">
        <v>166.90660231074509</v>
      </c>
      <c r="CJ695" s="551">
        <v>4.1583008599315526E-4</v>
      </c>
      <c r="CK695" s="551">
        <v>271437.05006194708</v>
      </c>
      <c r="CL695" s="551"/>
      <c r="CM695" s="551">
        <v>16.660066032342943</v>
      </c>
      <c r="CN695" s="551">
        <v>0.54944576968775927</v>
      </c>
      <c r="CO695" s="551">
        <v>1.6524804335388851E-7</v>
      </c>
      <c r="CP695" s="551">
        <v>7175.4503566011599</v>
      </c>
      <c r="CQ695" s="551"/>
      <c r="CR695" s="551">
        <v>0.46289690774834685</v>
      </c>
      <c r="CS695" s="551">
        <v>1.802258697333824E-4</v>
      </c>
      <c r="CT695" s="551">
        <v>2.9844894046459128E-8</v>
      </c>
      <c r="CU695" s="551">
        <v>1234.0729566840246</v>
      </c>
      <c r="CV695" s="551"/>
      <c r="CW695" s="551">
        <v>6.9313034761434897E-2</v>
      </c>
      <c r="CX695" s="551">
        <v>2.2162468081477044E-5</v>
      </c>
      <c r="CY695" s="554"/>
    </row>
    <row r="696" spans="65:103" ht="12.75" customHeight="1" x14ac:dyDescent="0.3">
      <c r="BM696" s="562"/>
      <c r="BN696" s="591">
        <v>683</v>
      </c>
      <c r="BO696" s="549" t="s">
        <v>3228</v>
      </c>
      <c r="BP696" s="554" t="s">
        <v>618</v>
      </c>
      <c r="BQ696" s="553">
        <v>8.33</v>
      </c>
      <c r="BR696" s="551">
        <v>20172.254336898459</v>
      </c>
      <c r="BS696" s="551"/>
      <c r="BT696" s="551">
        <v>9072733.2261205651</v>
      </c>
      <c r="BU696" s="551">
        <v>386184.7243734909</v>
      </c>
      <c r="BV696" s="551">
        <v>300737.6044580274</v>
      </c>
      <c r="BW696" s="551">
        <v>3701.7164814630819</v>
      </c>
      <c r="BX696" s="551">
        <v>2730101.7268869258</v>
      </c>
      <c r="BY696" s="551">
        <v>25992502.586626872</v>
      </c>
      <c r="BZ696" s="551">
        <v>1011148.7877358989</v>
      </c>
      <c r="CA696" s="551">
        <v>1838.7643935755116</v>
      </c>
      <c r="CB696" s="551">
        <v>1.4518177742074605E-30</v>
      </c>
      <c r="CC696" s="551">
        <v>41717.237146318628</v>
      </c>
      <c r="CD696" s="551">
        <v>2487959.7051821495</v>
      </c>
      <c r="CE696" s="551">
        <v>1382.8183471626057</v>
      </c>
      <c r="CF696" s="551">
        <v>1192.3984643398005</v>
      </c>
      <c r="CG696" s="551">
        <v>128958.33914730007</v>
      </c>
      <c r="CH696" s="551">
        <v>403569.7079109081</v>
      </c>
      <c r="CI696" s="551">
        <v>47762.347832333362</v>
      </c>
      <c r="CJ696" s="551">
        <v>24.748043793521347</v>
      </c>
      <c r="CK696" s="551">
        <v>358556.48353472905</v>
      </c>
      <c r="CL696" s="551"/>
      <c r="CM696" s="551">
        <v>34.36395289710179</v>
      </c>
      <c r="CN696" s="551">
        <v>6229.7106725052972</v>
      </c>
      <c r="CO696" s="551">
        <v>7.1472224931051972E-2</v>
      </c>
      <c r="CP696" s="551">
        <v>9602.0120608215329</v>
      </c>
      <c r="CQ696" s="551"/>
      <c r="CR696" s="551">
        <v>0.98920564985640014</v>
      </c>
      <c r="CS696" s="551">
        <v>71.454496620802985</v>
      </c>
      <c r="CT696" s="551">
        <v>0.16613074225165883</v>
      </c>
      <c r="CU696" s="551">
        <v>1649.9594697465034</v>
      </c>
      <c r="CV696" s="551"/>
      <c r="CW696" s="551">
        <v>0.13954668475631485</v>
      </c>
      <c r="CX696" s="551">
        <v>10.477451616409102</v>
      </c>
      <c r="CY696" s="554"/>
    </row>
    <row r="697" spans="65:103" ht="12.75" customHeight="1" x14ac:dyDescent="0.3">
      <c r="BM697" s="562"/>
      <c r="BN697" s="591">
        <v>684</v>
      </c>
      <c r="BO697" s="549" t="s">
        <v>3230</v>
      </c>
      <c r="BP697" s="554" t="s">
        <v>618</v>
      </c>
      <c r="BQ697" s="553">
        <v>8.36</v>
      </c>
      <c r="BR697" s="551">
        <v>28641.219209503412</v>
      </c>
      <c r="BS697" s="551"/>
      <c r="BT697" s="551">
        <v>9131195.7553575877</v>
      </c>
      <c r="BU697" s="551">
        <v>389165.54540039267</v>
      </c>
      <c r="BV697" s="551">
        <v>419538.25473213533</v>
      </c>
      <c r="BW697" s="551">
        <v>5056.7243552972723</v>
      </c>
      <c r="BX697" s="551">
        <v>3397729.678013735</v>
      </c>
      <c r="BY697" s="551">
        <v>28702168.743692305</v>
      </c>
      <c r="BZ697" s="551">
        <v>1258418.3992643461</v>
      </c>
      <c r="CA697" s="551">
        <v>3643.1254230585018</v>
      </c>
      <c r="CB697" s="551">
        <v>2.2455474635609164E-30</v>
      </c>
      <c r="CC697" s="551">
        <v>51727.348728974743</v>
      </c>
      <c r="CD697" s="551">
        <v>2688249.9865556913</v>
      </c>
      <c r="CE697" s="551">
        <v>2376.6440003152425</v>
      </c>
      <c r="CF697" s="551">
        <v>1746.52398456264</v>
      </c>
      <c r="CG697" s="551">
        <v>223960.2002007518</v>
      </c>
      <c r="CH697" s="551">
        <v>644089.14166637661</v>
      </c>
      <c r="CI697" s="551">
        <v>82948.222296574735</v>
      </c>
      <c r="CJ697" s="551">
        <v>68.571707974119477</v>
      </c>
      <c r="CK697" s="551">
        <v>393520.33568938932</v>
      </c>
      <c r="CL697" s="551"/>
      <c r="CM697" s="551">
        <v>51.125551724780877</v>
      </c>
      <c r="CN697" s="551">
        <v>15130.223600925592</v>
      </c>
      <c r="CO697" s="551">
        <v>0.26918753756632929</v>
      </c>
      <c r="CP697" s="551">
        <v>10755.308587631753</v>
      </c>
      <c r="CQ697" s="551"/>
      <c r="CR697" s="551">
        <v>1.534487387524359</v>
      </c>
      <c r="CS697" s="551">
        <v>246.57535922758868</v>
      </c>
      <c r="CT697" s="551">
        <v>0.65291054193744436</v>
      </c>
      <c r="CU697" s="551">
        <v>1848.9973287362607</v>
      </c>
      <c r="CV697" s="551"/>
      <c r="CW697" s="551">
        <v>0.20516839350283567</v>
      </c>
      <c r="CX697" s="551">
        <v>35.298060286079192</v>
      </c>
      <c r="CY697" s="554"/>
    </row>
    <row r="698" spans="65:103" ht="12.75" customHeight="1" x14ac:dyDescent="0.3">
      <c r="BM698" s="562"/>
      <c r="BN698" s="591">
        <v>685</v>
      </c>
      <c r="BO698" s="549" t="s">
        <v>3232</v>
      </c>
      <c r="BP698" s="554" t="s">
        <v>618</v>
      </c>
      <c r="BQ698" s="553">
        <v>8.4499999999999993</v>
      </c>
      <c r="BR698" s="551">
        <v>245144.01403994145</v>
      </c>
      <c r="BS698" s="551"/>
      <c r="BT698" s="551">
        <v>2913127.6976206498</v>
      </c>
      <c r="BU698" s="551">
        <v>122522.42005556967</v>
      </c>
      <c r="BV698" s="551">
        <v>213503.60864011163</v>
      </c>
      <c r="BW698" s="551">
        <v>2481.8172128082765</v>
      </c>
      <c r="BX698" s="551">
        <v>41810.508886151729</v>
      </c>
      <c r="BY698" s="551">
        <v>25834454.598630376</v>
      </c>
      <c r="BZ698" s="551">
        <v>15485.373661537677</v>
      </c>
      <c r="CA698" s="551">
        <v>241923.83647384334</v>
      </c>
      <c r="CB698" s="551">
        <v>6.088314228610027E-30</v>
      </c>
      <c r="CC698" s="551">
        <v>17919.067950090572</v>
      </c>
      <c r="CD698" s="551">
        <v>4094568.3102291776</v>
      </c>
      <c r="CE698" s="551">
        <v>1313.291440652082</v>
      </c>
      <c r="CF698" s="551">
        <v>4146.9839180197159</v>
      </c>
      <c r="CG698" s="551">
        <v>22243.26961975302</v>
      </c>
      <c r="CH698" s="551">
        <v>133775.82223848853</v>
      </c>
      <c r="CI698" s="551">
        <v>8238.248007315935</v>
      </c>
      <c r="CJ698" s="551">
        <v>36891.762193451097</v>
      </c>
      <c r="CK698" s="551">
        <v>1975213.0211538312</v>
      </c>
      <c r="CL698" s="551"/>
      <c r="CM698" s="551">
        <v>402.48959122676411</v>
      </c>
      <c r="CN698" s="551">
        <v>12174.552897418058</v>
      </c>
      <c r="CO698" s="551">
        <v>1669.1026079066287</v>
      </c>
      <c r="CP698" s="551">
        <v>297636.21637545736</v>
      </c>
      <c r="CQ698" s="551"/>
      <c r="CR698" s="551">
        <v>63.972564908831991</v>
      </c>
      <c r="CS698" s="551">
        <v>1787.5235707590041</v>
      </c>
      <c r="CT698" s="551">
        <v>2626.1705011322165</v>
      </c>
      <c r="CU698" s="551">
        <v>41099.72169532143</v>
      </c>
      <c r="CV698" s="551"/>
      <c r="CW698" s="551">
        <v>7.6272188528613887</v>
      </c>
      <c r="CX698" s="551">
        <v>250.30104675565991</v>
      </c>
      <c r="CY698" s="554"/>
    </row>
    <row r="699" spans="65:103" ht="12.75" customHeight="1" x14ac:dyDescent="0.3">
      <c r="BM699" s="562"/>
      <c r="BN699" s="591">
        <v>686</v>
      </c>
      <c r="BO699" s="549" t="s">
        <v>3234</v>
      </c>
      <c r="BP699" s="554" t="s">
        <v>618</v>
      </c>
      <c r="BQ699" s="553">
        <v>8.69</v>
      </c>
      <c r="BR699" s="551">
        <v>174341.30571038491</v>
      </c>
      <c r="BS699" s="551"/>
      <c r="BT699" s="551">
        <v>11049714.604872335</v>
      </c>
      <c r="BU699" s="551">
        <v>502102.75857820275</v>
      </c>
      <c r="BV699" s="551">
        <v>1429910.3206346212</v>
      </c>
      <c r="BW699" s="551">
        <v>17194.656691655306</v>
      </c>
      <c r="BX699" s="551">
        <v>561525.98082481418</v>
      </c>
      <c r="BY699" s="551">
        <v>41141445.72820656</v>
      </c>
      <c r="BZ699" s="551">
        <v>207972.58549067186</v>
      </c>
      <c r="CA699" s="551">
        <v>128692.16232752359</v>
      </c>
      <c r="CB699" s="551">
        <v>5.4022564978507828E-30</v>
      </c>
      <c r="CC699" s="551">
        <v>68183.216049884562</v>
      </c>
      <c r="CD699" s="551">
        <v>8433063.9116953369</v>
      </c>
      <c r="CE699" s="551">
        <v>8823.3848393513763</v>
      </c>
      <c r="CF699" s="551">
        <v>14439.637737800316</v>
      </c>
      <c r="CG699" s="551">
        <v>224100.5315745534</v>
      </c>
      <c r="CH699" s="551">
        <v>916091.59328374604</v>
      </c>
      <c r="CI699" s="551">
        <v>83000.196879464216</v>
      </c>
      <c r="CJ699" s="551">
        <v>14625.151906572008</v>
      </c>
      <c r="CK699" s="551">
        <v>3301895.6347294757</v>
      </c>
      <c r="CL699" s="551"/>
      <c r="CM699" s="551">
        <v>1137.4915336676279</v>
      </c>
      <c r="CN699" s="551">
        <v>91410.23587971479</v>
      </c>
      <c r="CO699" s="551">
        <v>502.72898573267491</v>
      </c>
      <c r="CP699" s="551">
        <v>281602.14040465315</v>
      </c>
      <c r="CQ699" s="551"/>
      <c r="CR699" s="551">
        <v>105.21883911245136</v>
      </c>
      <c r="CS699" s="551">
        <v>11029.798711325959</v>
      </c>
      <c r="CT699" s="551">
        <v>734.13042340210745</v>
      </c>
      <c r="CU699" s="551">
        <v>48669.63273757475</v>
      </c>
      <c r="CV699" s="551"/>
      <c r="CW699" s="551">
        <v>14.615289744241753</v>
      </c>
      <c r="CX699" s="551">
        <v>1244.4373938574606</v>
      </c>
      <c r="CY699" s="554"/>
    </row>
    <row r="700" spans="65:103" ht="12.75" customHeight="1" x14ac:dyDescent="0.3">
      <c r="BM700" s="562"/>
      <c r="BN700" s="591">
        <v>687</v>
      </c>
      <c r="BO700" s="549" t="s">
        <v>3236</v>
      </c>
      <c r="BP700" s="554" t="s">
        <v>618</v>
      </c>
      <c r="BQ700" s="553">
        <v>8.86</v>
      </c>
      <c r="BR700" s="551">
        <v>0.18703548957498298</v>
      </c>
      <c r="BS700" s="551"/>
      <c r="BT700" s="551">
        <v>9652050.7030755486</v>
      </c>
      <c r="BU700" s="551">
        <v>409742.46205817035</v>
      </c>
      <c r="BV700" s="551">
        <v>74432.284217863838</v>
      </c>
      <c r="BW700" s="551">
        <v>963.27575855393388</v>
      </c>
      <c r="BX700" s="551">
        <v>356255.33007993293</v>
      </c>
      <c r="BY700" s="551">
        <v>6629181.6094291434</v>
      </c>
      <c r="BZ700" s="551">
        <v>131946.4185481233</v>
      </c>
      <c r="CA700" s="551">
        <v>2.1166039683709109E-7</v>
      </c>
      <c r="CB700" s="551">
        <v>1.5028861002580597E-35</v>
      </c>
      <c r="CC700" s="551">
        <v>1.3128392982403096</v>
      </c>
      <c r="CD700" s="551">
        <v>2276505.8088473245</v>
      </c>
      <c r="CE700" s="551">
        <v>1.0124027606679136E-2</v>
      </c>
      <c r="CF700" s="551">
        <v>267.59526567672663</v>
      </c>
      <c r="CG700" s="551">
        <v>0.20891780136940785</v>
      </c>
      <c r="CH700" s="551">
        <v>1.4538481282579416</v>
      </c>
      <c r="CI700" s="551">
        <v>7.7376963470151078E-2</v>
      </c>
      <c r="CJ700" s="551">
        <v>3.5231784200718582E-14</v>
      </c>
      <c r="CK700" s="551">
        <v>322530.47719904233</v>
      </c>
      <c r="CL700" s="551"/>
      <c r="CM700" s="551">
        <v>7.5814310572995538</v>
      </c>
      <c r="CN700" s="551">
        <v>1.2481711301022222E-7</v>
      </c>
      <c r="CO700" s="551">
        <v>2.9269687124750286E-18</v>
      </c>
      <c r="CP700" s="551">
        <v>8525.9164417367156</v>
      </c>
      <c r="CQ700" s="551"/>
      <c r="CR700" s="551">
        <v>0.20533035195683874</v>
      </c>
      <c r="CS700" s="551">
        <v>5.5806235387903203E-12</v>
      </c>
      <c r="CT700" s="551">
        <v>3.7825991477717242E-19</v>
      </c>
      <c r="CU700" s="551">
        <v>1466.3309436492273</v>
      </c>
      <c r="CV700" s="551"/>
      <c r="CW700" s="551">
        <v>3.2961524029811388E-2</v>
      </c>
      <c r="CX700" s="551">
        <v>9.8077875782449798E-13</v>
      </c>
      <c r="CY700" s="554"/>
    </row>
    <row r="701" spans="65:103" ht="12.75" customHeight="1" x14ac:dyDescent="0.3">
      <c r="BM701" s="562"/>
      <c r="BN701" s="591">
        <v>688</v>
      </c>
      <c r="BO701" s="549" t="s">
        <v>3238</v>
      </c>
      <c r="BP701" s="554" t="s">
        <v>618</v>
      </c>
      <c r="BQ701" s="553">
        <v>8.8800000000000008</v>
      </c>
      <c r="BR701" s="551">
        <v>60.296364087225534</v>
      </c>
      <c r="BS701" s="551"/>
      <c r="BT701" s="551">
        <v>6733189.8462160761</v>
      </c>
      <c r="BU701" s="551">
        <v>324504.39547763381</v>
      </c>
      <c r="BV701" s="551">
        <v>1337443.8803321428</v>
      </c>
      <c r="BW701" s="551">
        <v>16979.604204898544</v>
      </c>
      <c r="BX701" s="551">
        <v>5342519.8078799369</v>
      </c>
      <c r="BY701" s="551">
        <v>56468995.632541433</v>
      </c>
      <c r="BZ701" s="551">
        <v>1978711.0399555322</v>
      </c>
      <c r="CA701" s="551">
        <v>7.9356416529365328E-2</v>
      </c>
      <c r="CB701" s="551">
        <v>4.8438552070439557E-33</v>
      </c>
      <c r="CC701" s="551">
        <v>733.27163397862932</v>
      </c>
      <c r="CD701" s="551">
        <v>9165505.2298619375</v>
      </c>
      <c r="CE701" s="551">
        <v>145.6530532904859</v>
      </c>
      <c r="CF701" s="551">
        <v>23979.128373888198</v>
      </c>
      <c r="CG701" s="551">
        <v>3643.6407908893193</v>
      </c>
      <c r="CH701" s="551">
        <v>14390.87094582546</v>
      </c>
      <c r="CI701" s="551">
        <v>1349.4965892182661</v>
      </c>
      <c r="CJ701" s="551">
        <v>1.5321020674128064E-5</v>
      </c>
      <c r="CK701" s="551">
        <v>13123806.366701087</v>
      </c>
      <c r="CL701" s="551"/>
      <c r="CM701" s="551">
        <v>6930.4154965156913</v>
      </c>
      <c r="CN701" s="551">
        <v>2.5249039460719898</v>
      </c>
      <c r="CO701" s="551">
        <v>6.0060098748146286E-10</v>
      </c>
      <c r="CP701" s="551">
        <v>2886960.6152411643</v>
      </c>
      <c r="CQ701" s="551"/>
      <c r="CR701" s="551">
        <v>1559.7943187775384</v>
      </c>
      <c r="CS701" s="551">
        <v>3.57418163292813E-4</v>
      </c>
      <c r="CT701" s="551">
        <v>1.5118370340066882E-9</v>
      </c>
      <c r="CU701" s="551">
        <v>700798.21757159883</v>
      </c>
      <c r="CV701" s="551"/>
      <c r="CW701" s="551">
        <v>355.04596813477929</v>
      </c>
      <c r="CX701" s="551">
        <v>6.5958365805494912E-5</v>
      </c>
      <c r="CY701" s="554"/>
    </row>
    <row r="702" spans="65:103" ht="12.75" customHeight="1" x14ac:dyDescent="0.3">
      <c r="BM702" s="562"/>
      <c r="BN702" s="591">
        <v>689</v>
      </c>
      <c r="BO702" s="549" t="s">
        <v>3240</v>
      </c>
      <c r="BP702" s="554" t="s">
        <v>618</v>
      </c>
      <c r="BQ702" s="553">
        <v>8.93</v>
      </c>
      <c r="BR702" s="551">
        <v>451506.70437710808</v>
      </c>
      <c r="BS702" s="551"/>
      <c r="BT702" s="551">
        <v>10380868.954665465</v>
      </c>
      <c r="BU702" s="551">
        <v>436372.07238699438</v>
      </c>
      <c r="BV702" s="551">
        <v>132456.42422540567</v>
      </c>
      <c r="BW702" s="551">
        <v>1677.9937124313808</v>
      </c>
      <c r="BX702" s="551">
        <v>135062.12929617416</v>
      </c>
      <c r="BY702" s="551">
        <v>15086422.669079738</v>
      </c>
      <c r="BZ702" s="551">
        <v>50023.010850434854</v>
      </c>
      <c r="CA702" s="551">
        <v>807934.99107698223</v>
      </c>
      <c r="CB702" s="551">
        <v>3.6659206655829877E-29</v>
      </c>
      <c r="CC702" s="551">
        <v>310630.88502964575</v>
      </c>
      <c r="CD702" s="551">
        <v>10824426.387290115</v>
      </c>
      <c r="CE702" s="551">
        <v>3963.5464492120564</v>
      </c>
      <c r="CF702" s="551">
        <v>2081.1734489783171</v>
      </c>
      <c r="CG702" s="551">
        <v>124820.28675643119</v>
      </c>
      <c r="CH702" s="551">
        <v>704628.6077318599</v>
      </c>
      <c r="CI702" s="551">
        <v>46229.735835715233</v>
      </c>
      <c r="CJ702" s="551">
        <v>237655.85843641788</v>
      </c>
      <c r="CK702" s="551">
        <v>4445498.2223483482</v>
      </c>
      <c r="CL702" s="551"/>
      <c r="CM702" s="551">
        <v>170.92040380136106</v>
      </c>
      <c r="CN702" s="551">
        <v>131783.46986275667</v>
      </c>
      <c r="CO702" s="551">
        <v>18250.867895620428</v>
      </c>
      <c r="CP702" s="551">
        <v>1388330.0739239086</v>
      </c>
      <c r="CQ702" s="551"/>
      <c r="CR702" s="551">
        <v>55.248503811620218</v>
      </c>
      <c r="CS702" s="551">
        <v>34310.141442487802</v>
      </c>
      <c r="CT702" s="551">
        <v>31574.408376772684</v>
      </c>
      <c r="CU702" s="551">
        <v>230408.8037792434</v>
      </c>
      <c r="CV702" s="551"/>
      <c r="CW702" s="551">
        <v>8.3211417537589689</v>
      </c>
      <c r="CX702" s="551">
        <v>4908.0288437204681</v>
      </c>
      <c r="CY702" s="554"/>
    </row>
    <row r="703" spans="65:103" ht="12.75" customHeight="1" x14ac:dyDescent="0.3">
      <c r="BM703" s="562"/>
      <c r="BN703" s="591">
        <v>690</v>
      </c>
      <c r="BO703" s="549" t="s">
        <v>3242</v>
      </c>
      <c r="BP703" s="554" t="s">
        <v>618</v>
      </c>
      <c r="BQ703" s="553">
        <v>8.9499999999999993</v>
      </c>
      <c r="BR703" s="551">
        <v>351645.80192435981</v>
      </c>
      <c r="BS703" s="551"/>
      <c r="BT703" s="551">
        <v>1427371.3811044293</v>
      </c>
      <c r="BU703" s="551">
        <v>52856.839818682056</v>
      </c>
      <c r="BV703" s="551">
        <v>225413.61449385961</v>
      </c>
      <c r="BW703" s="551">
        <v>2176.4558409680412</v>
      </c>
      <c r="BX703" s="551">
        <v>16737.284424150257</v>
      </c>
      <c r="BY703" s="551">
        <v>28678367.461738769</v>
      </c>
      <c r="BZ703" s="551">
        <v>6198.994231166761</v>
      </c>
      <c r="CA703" s="551">
        <v>591654.0585551156</v>
      </c>
      <c r="CB703" s="551">
        <v>5.552703641457773E-30</v>
      </c>
      <c r="CC703" s="551">
        <v>7362.4333057009371</v>
      </c>
      <c r="CD703" s="551">
        <v>2834999.3470004029</v>
      </c>
      <c r="CE703" s="551">
        <v>1162.6915916052014</v>
      </c>
      <c r="CF703" s="551">
        <v>5836.7572759606774</v>
      </c>
      <c r="CG703" s="551">
        <v>16377.389893698897</v>
      </c>
      <c r="CH703" s="551">
        <v>98962.053222491217</v>
      </c>
      <c r="CI703" s="551">
        <v>6065.6999606292193</v>
      </c>
      <c r="CJ703" s="551">
        <v>161406.2637011176</v>
      </c>
      <c r="CK703" s="551">
        <v>1883047.4462301172</v>
      </c>
      <c r="CL703" s="551"/>
      <c r="CM703" s="551">
        <v>779.99638977570953</v>
      </c>
      <c r="CN703" s="551">
        <v>16036.178438648818</v>
      </c>
      <c r="CO703" s="551">
        <v>12433.100788121297</v>
      </c>
      <c r="CP703" s="551">
        <v>885180.84376425145</v>
      </c>
      <c r="CQ703" s="551"/>
      <c r="CR703" s="551">
        <v>402.53351619964985</v>
      </c>
      <c r="CS703" s="551">
        <v>3917.8305732311564</v>
      </c>
      <c r="CT703" s="551">
        <v>22458.497337768793</v>
      </c>
      <c r="CU703" s="551">
        <v>65901.315955388331</v>
      </c>
      <c r="CV703" s="551"/>
      <c r="CW703" s="551">
        <v>23.368235676936393</v>
      </c>
      <c r="CX703" s="551">
        <v>651.0873422732036</v>
      </c>
      <c r="CY703" s="554"/>
    </row>
    <row r="704" spans="65:103" ht="12.75" customHeight="1" x14ac:dyDescent="0.3">
      <c r="BM704" s="562"/>
      <c r="BN704" s="591">
        <v>691</v>
      </c>
      <c r="BO704" s="549" t="s">
        <v>3244</v>
      </c>
      <c r="BP704" s="554" t="s">
        <v>618</v>
      </c>
      <c r="BQ704" s="553">
        <v>8.99</v>
      </c>
      <c r="BR704" s="551">
        <v>5.2026381954261147</v>
      </c>
      <c r="BS704" s="551"/>
      <c r="BT704" s="551">
        <v>10903680.442294452</v>
      </c>
      <c r="BU704" s="551">
        <v>501867.11974409258</v>
      </c>
      <c r="BV704" s="551">
        <v>169374.35718037162</v>
      </c>
      <c r="BW704" s="551">
        <v>2338.6404957564514</v>
      </c>
      <c r="BX704" s="551">
        <v>1179158.9432194245</v>
      </c>
      <c r="BY704" s="551">
        <v>18141021.196633831</v>
      </c>
      <c r="BZ704" s="551">
        <v>436725.53452571289</v>
      </c>
      <c r="CA704" s="551">
        <v>2.4308143462501656E-4</v>
      </c>
      <c r="CB704" s="551">
        <v>4.18044124713693E-34</v>
      </c>
      <c r="CC704" s="551">
        <v>55.777284895082282</v>
      </c>
      <c r="CD704" s="551">
        <v>5860712.4945319528</v>
      </c>
      <c r="CE704" s="551">
        <v>0.86642687525268647</v>
      </c>
      <c r="CF704" s="551">
        <v>1365.5108129704852</v>
      </c>
      <c r="CG704" s="551">
        <v>28.549532809205797</v>
      </c>
      <c r="CH704" s="551">
        <v>164.25592198435641</v>
      </c>
      <c r="CI704" s="551">
        <v>10.573901040446589</v>
      </c>
      <c r="CJ704" s="551">
        <v>1.6660483160655063E-9</v>
      </c>
      <c r="CK704" s="551">
        <v>2019387.012358166</v>
      </c>
      <c r="CL704" s="551"/>
      <c r="CM704" s="551">
        <v>94.663734792916173</v>
      </c>
      <c r="CN704" s="551">
        <v>7.023255407933945E-4</v>
      </c>
      <c r="CO704" s="551">
        <v>1.9862521023729571E-14</v>
      </c>
      <c r="CP704" s="551">
        <v>125862.64154739384</v>
      </c>
      <c r="CQ704" s="551"/>
      <c r="CR704" s="551">
        <v>5.9945132359853179</v>
      </c>
      <c r="CS704" s="551">
        <v>4.6739741006159578E-9</v>
      </c>
      <c r="CT704" s="551">
        <v>3.1888996013904816E-15</v>
      </c>
      <c r="CU704" s="551">
        <v>22881.135658393305</v>
      </c>
      <c r="CV704" s="551"/>
      <c r="CW704" s="551">
        <v>1.0416332955112759</v>
      </c>
      <c r="CX704" s="551">
        <v>9.571776152885138E-10</v>
      </c>
      <c r="CY704" s="554"/>
    </row>
    <row r="705" spans="65:103" ht="12.75" customHeight="1" x14ac:dyDescent="0.3">
      <c r="BM705" s="562"/>
      <c r="BN705" s="591">
        <v>692</v>
      </c>
      <c r="BO705" s="549" t="s">
        <v>3246</v>
      </c>
      <c r="BP705" s="554" t="s">
        <v>618</v>
      </c>
      <c r="BQ705" s="553">
        <v>9.1</v>
      </c>
      <c r="BR705" s="551">
        <v>56.062838248485555</v>
      </c>
      <c r="BS705" s="551"/>
      <c r="BT705" s="551">
        <v>13943219.648247056</v>
      </c>
      <c r="BU705" s="551">
        <v>592253.1837380447</v>
      </c>
      <c r="BV705" s="551">
        <v>122201.62815896497</v>
      </c>
      <c r="BW705" s="551">
        <v>1578.5393701456592</v>
      </c>
      <c r="BX705" s="551">
        <v>837744.56719144527</v>
      </c>
      <c r="BY705" s="551">
        <v>13966912.737269431</v>
      </c>
      <c r="BZ705" s="551">
        <v>310275.76562646125</v>
      </c>
      <c r="CA705" s="551">
        <v>1.2438242806152126E-2</v>
      </c>
      <c r="CB705" s="551">
        <v>4.497992012473924E-33</v>
      </c>
      <c r="CC705" s="551">
        <v>352.57115259159292</v>
      </c>
      <c r="CD705" s="551">
        <v>3291641.6502686739</v>
      </c>
      <c r="CE705" s="551">
        <v>3.0900157908644976</v>
      </c>
      <c r="CF705" s="551">
        <v>438.66255851640392</v>
      </c>
      <c r="CG705" s="551">
        <v>96.315029172293464</v>
      </c>
      <c r="CH705" s="551">
        <v>599.85639012677609</v>
      </c>
      <c r="CI705" s="551">
        <v>35.672233026775345</v>
      </c>
      <c r="CJ705" s="551">
        <v>4.3139939589368375E-7</v>
      </c>
      <c r="CK705" s="551">
        <v>466353.65420826874</v>
      </c>
      <c r="CL705" s="551"/>
      <c r="CM705" s="551">
        <v>12.428079609670347</v>
      </c>
      <c r="CN705" s="551">
        <v>1.1989973358144175E-2</v>
      </c>
      <c r="CO705" s="551">
        <v>1.4298369970510923E-10</v>
      </c>
      <c r="CP705" s="551">
        <v>12327.824996229738</v>
      </c>
      <c r="CQ705" s="551"/>
      <c r="CR705" s="551">
        <v>0.33731979049692151</v>
      </c>
      <c r="CS705" s="551">
        <v>1.251626447441611E-5</v>
      </c>
      <c r="CT705" s="551">
        <v>2.6661009079610872E-10</v>
      </c>
      <c r="CU705" s="551">
        <v>2120.2029753191696</v>
      </c>
      <c r="CV705" s="551"/>
      <c r="CW705" s="551">
        <v>5.3826577954195237E-2</v>
      </c>
      <c r="CX705" s="551">
        <v>2.1321979093312606E-6</v>
      </c>
      <c r="CY705" s="554"/>
    </row>
    <row r="706" spans="65:103" ht="12.75" customHeight="1" x14ac:dyDescent="0.3">
      <c r="BM706" s="562"/>
      <c r="BN706" s="591">
        <v>693</v>
      </c>
      <c r="BO706" s="549" t="s">
        <v>3247</v>
      </c>
      <c r="BP706" s="554" t="s">
        <v>618</v>
      </c>
      <c r="BQ706" s="553">
        <v>9.1199999999999992</v>
      </c>
      <c r="BR706" s="551">
        <v>104224.06704281794</v>
      </c>
      <c r="BS706" s="551"/>
      <c r="BT706" s="551">
        <v>8198570.9220844088</v>
      </c>
      <c r="BU706" s="551">
        <v>344383.82984745572</v>
      </c>
      <c r="BV706" s="551">
        <v>660041.08465086145</v>
      </c>
      <c r="BW706" s="551">
        <v>7464.2717399693656</v>
      </c>
      <c r="BX706" s="551">
        <v>372256.85269683448</v>
      </c>
      <c r="BY706" s="551">
        <v>21138829.771002814</v>
      </c>
      <c r="BZ706" s="551">
        <v>137872.90840623499</v>
      </c>
      <c r="CA706" s="551">
        <v>45668.366769046283</v>
      </c>
      <c r="CB706" s="551">
        <v>2.3079218214476298E-30</v>
      </c>
      <c r="CC706" s="551">
        <v>20663.388570885691</v>
      </c>
      <c r="CD706" s="551">
        <v>2441732.833771091</v>
      </c>
      <c r="CE706" s="551">
        <v>1663.544236490194</v>
      </c>
      <c r="CF706" s="551">
        <v>2646.1401215826454</v>
      </c>
      <c r="CG706" s="551">
        <v>84664.191512028119</v>
      </c>
      <c r="CH706" s="551">
        <v>255366.05304907111</v>
      </c>
      <c r="CI706" s="551">
        <v>31357.107967417825</v>
      </c>
      <c r="CJ706" s="551">
        <v>3019.8646914098244</v>
      </c>
      <c r="CK706" s="551">
        <v>387027.91437014559</v>
      </c>
      <c r="CL706" s="551"/>
      <c r="CM706" s="551">
        <v>83.872387691465747</v>
      </c>
      <c r="CN706" s="551">
        <v>20094.417666359204</v>
      </c>
      <c r="CO706" s="551">
        <v>61.22550119143299</v>
      </c>
      <c r="CP706" s="551">
        <v>15128.052193913018</v>
      </c>
      <c r="CQ706" s="551"/>
      <c r="CR706" s="551">
        <v>3.7870837089607798</v>
      </c>
      <c r="CS706" s="551">
        <v>1589.7644061563738</v>
      </c>
      <c r="CT706" s="551">
        <v>87.597222746290882</v>
      </c>
      <c r="CU706" s="551">
        <v>2418.983326560437</v>
      </c>
      <c r="CV706" s="551"/>
      <c r="CW706" s="551">
        <v>0.41711481119797933</v>
      </c>
      <c r="CX706" s="551">
        <v>147.57718066273455</v>
      </c>
      <c r="CY706" s="554"/>
    </row>
    <row r="707" spans="65:103" ht="12.75" customHeight="1" x14ac:dyDescent="0.3">
      <c r="BM707" s="562"/>
      <c r="BN707" s="591">
        <v>694</v>
      </c>
      <c r="BO707" s="549" t="s">
        <v>3249</v>
      </c>
      <c r="BP707" s="554" t="s">
        <v>618</v>
      </c>
      <c r="BQ707" s="553">
        <v>9.1300000000000008</v>
      </c>
      <c r="BR707" s="551">
        <v>33096.570014309931</v>
      </c>
      <c r="BS707" s="551"/>
      <c r="BT707" s="551">
        <v>5988529.7928916309</v>
      </c>
      <c r="BU707" s="551">
        <v>253099.08342963425</v>
      </c>
      <c r="BV707" s="551">
        <v>1391816.1323736759</v>
      </c>
      <c r="BW707" s="551">
        <v>14167.484715045563</v>
      </c>
      <c r="BX707" s="551">
        <v>1261813.0504924636</v>
      </c>
      <c r="BY707" s="551">
        <v>18319814.995889015</v>
      </c>
      <c r="BZ707" s="551">
        <v>467338.16684906068</v>
      </c>
      <c r="CA707" s="551">
        <v>6820.9854984287549</v>
      </c>
      <c r="CB707" s="551">
        <v>1.1562208132878569E-30</v>
      </c>
      <c r="CC707" s="551">
        <v>11197.886056751262</v>
      </c>
      <c r="CD707" s="551">
        <v>1673065.431301628</v>
      </c>
      <c r="CE707" s="551">
        <v>2602.541692414803</v>
      </c>
      <c r="CF707" s="551">
        <v>4682.5789734293539</v>
      </c>
      <c r="CG707" s="551">
        <v>134760.9383757528</v>
      </c>
      <c r="CH707" s="551">
        <v>319737.21469396021</v>
      </c>
      <c r="CI707" s="551">
        <v>49911.458657686213</v>
      </c>
      <c r="CJ707" s="551">
        <v>208.74988337310975</v>
      </c>
      <c r="CK707" s="551">
        <v>246715.45393385753</v>
      </c>
      <c r="CL707" s="551"/>
      <c r="CM707" s="551">
        <v>138.07511115699305</v>
      </c>
      <c r="CN707" s="551">
        <v>14802.899720482255</v>
      </c>
      <c r="CO707" s="551">
        <v>1.7595102297372187</v>
      </c>
      <c r="CP707" s="551">
        <v>7067.4258537018277</v>
      </c>
      <c r="CQ707" s="551"/>
      <c r="CR707" s="551">
        <v>5.2976217591561827</v>
      </c>
      <c r="CS707" s="551">
        <v>564.83614225410577</v>
      </c>
      <c r="CT707" s="551">
        <v>2.9192914482640262</v>
      </c>
      <c r="CU707" s="551">
        <v>1194.0182607230499</v>
      </c>
      <c r="CV707" s="551"/>
      <c r="CW707" s="551">
        <v>0.45015847528564529</v>
      </c>
      <c r="CX707" s="551">
        <v>48.25683854347438</v>
      </c>
      <c r="CY707" s="554"/>
    </row>
    <row r="708" spans="65:103" ht="12.75" customHeight="1" x14ac:dyDescent="0.3">
      <c r="BM708" s="562"/>
      <c r="BN708" s="591">
        <v>695</v>
      </c>
      <c r="BO708" s="549" t="s">
        <v>3251</v>
      </c>
      <c r="BP708" s="554" t="s">
        <v>618</v>
      </c>
      <c r="BQ708" s="553">
        <v>9.17</v>
      </c>
      <c r="BR708" s="551">
        <v>88925.052060478061</v>
      </c>
      <c r="BS708" s="551"/>
      <c r="BT708" s="551">
        <v>12524885.663270822</v>
      </c>
      <c r="BU708" s="551">
        <v>574825.10224222031</v>
      </c>
      <c r="BV708" s="551">
        <v>1235996.4556154606</v>
      </c>
      <c r="BW708" s="551">
        <v>15328.336430102174</v>
      </c>
      <c r="BX708" s="551">
        <v>2164809.3032272048</v>
      </c>
      <c r="BY708" s="551">
        <v>42909365.024402969</v>
      </c>
      <c r="BZ708" s="551">
        <v>801781.22341748304</v>
      </c>
      <c r="CA708" s="551">
        <v>51500.900932680051</v>
      </c>
      <c r="CB708" s="551">
        <v>4.3493888251045586E-30</v>
      </c>
      <c r="CC708" s="551">
        <v>148266.32467661411</v>
      </c>
      <c r="CD708" s="551">
        <v>8876773.7101904117</v>
      </c>
      <c r="CE708" s="551">
        <v>14631.403169198227</v>
      </c>
      <c r="CF708" s="551">
        <v>11835.441190105621</v>
      </c>
      <c r="CG708" s="551">
        <v>651206.6863487243</v>
      </c>
      <c r="CH708" s="551">
        <v>2094832.2411962592</v>
      </c>
      <c r="CI708" s="551">
        <v>241187.66161063869</v>
      </c>
      <c r="CJ708" s="551">
        <v>4560.7678212556648</v>
      </c>
      <c r="CK708" s="551">
        <v>3330200.0132379225</v>
      </c>
      <c r="CL708" s="551"/>
      <c r="CM708" s="551">
        <v>893.33619623829122</v>
      </c>
      <c r="CN708" s="551">
        <v>206988.22666422435</v>
      </c>
      <c r="CO708" s="551">
        <v>105.3948064461279</v>
      </c>
      <c r="CP708" s="551">
        <v>246844.64050613221</v>
      </c>
      <c r="CQ708" s="551"/>
      <c r="CR708" s="551">
        <v>70.785876485247442</v>
      </c>
      <c r="CS708" s="551">
        <v>18744.470374635195</v>
      </c>
      <c r="CT708" s="551">
        <v>187.13364429759852</v>
      </c>
      <c r="CU708" s="551">
        <v>43663.531071763879</v>
      </c>
      <c r="CV708" s="551"/>
      <c r="CW708" s="551">
        <v>10.441155782058466</v>
      </c>
      <c r="CX708" s="551">
        <v>2151.5441693924704</v>
      </c>
      <c r="CY708" s="554"/>
    </row>
    <row r="709" spans="65:103" ht="12.75" customHeight="1" x14ac:dyDescent="0.3">
      <c r="BM709" s="562"/>
      <c r="BN709" s="591">
        <v>696</v>
      </c>
      <c r="BO709" s="549" t="s">
        <v>3253</v>
      </c>
      <c r="BP709" s="554" t="s">
        <v>618</v>
      </c>
      <c r="BQ709" s="553">
        <v>9.2100000000000009</v>
      </c>
      <c r="BR709" s="551">
        <v>108154.15485642524</v>
      </c>
      <c r="BS709" s="551"/>
      <c r="BT709" s="551">
        <v>7775819.6112981178</v>
      </c>
      <c r="BU709" s="551">
        <v>354256.38131891628</v>
      </c>
      <c r="BV709" s="551">
        <v>1163970.1539401975</v>
      </c>
      <c r="BW709" s="551">
        <v>13880.769305827922</v>
      </c>
      <c r="BX709" s="551">
        <v>469030.59522650979</v>
      </c>
      <c r="BY709" s="551">
        <v>28096532.993161172</v>
      </c>
      <c r="BZ709" s="551">
        <v>173715.03526907772</v>
      </c>
      <c r="CA709" s="551">
        <v>85002.839787647215</v>
      </c>
      <c r="CB709" s="551">
        <v>3.2748377905598848E-30</v>
      </c>
      <c r="CC709" s="551">
        <v>48443.941141792267</v>
      </c>
      <c r="CD709" s="551">
        <v>5707415.5237715924</v>
      </c>
      <c r="CE709" s="551">
        <v>7251.6216228000121</v>
      </c>
      <c r="CF709" s="551">
        <v>11181.636012175941</v>
      </c>
      <c r="CG709" s="551">
        <v>198326.07537625064</v>
      </c>
      <c r="CH709" s="551">
        <v>746161.79535939591</v>
      </c>
      <c r="CI709" s="551">
        <v>73454.101991203905</v>
      </c>
      <c r="CJ709" s="551">
        <v>10336.137846913676</v>
      </c>
      <c r="CK709" s="551">
        <v>2226422.1089435886</v>
      </c>
      <c r="CL709" s="551"/>
      <c r="CM709" s="551">
        <v>877.57933499067303</v>
      </c>
      <c r="CN709" s="551">
        <v>86558.222777987161</v>
      </c>
      <c r="CO709" s="551">
        <v>380.21350792562248</v>
      </c>
      <c r="CP709" s="551">
        <v>192315.45425276016</v>
      </c>
      <c r="CQ709" s="551"/>
      <c r="CR709" s="551">
        <v>82.939598151957284</v>
      </c>
      <c r="CS709" s="551">
        <v>11437.316618576911</v>
      </c>
      <c r="CT709" s="551">
        <v>560.70669296657684</v>
      </c>
      <c r="CU709" s="551">
        <v>33188.044842145551</v>
      </c>
      <c r="CV709" s="551"/>
      <c r="CW709" s="551">
        <v>11.254656409732741</v>
      </c>
      <c r="CX709" s="551">
        <v>1251.9542474520117</v>
      </c>
      <c r="CY709" s="554"/>
    </row>
    <row r="710" spans="65:103" ht="12.75" customHeight="1" x14ac:dyDescent="0.3">
      <c r="BM710" s="562"/>
      <c r="BN710" s="591">
        <v>697</v>
      </c>
      <c r="BO710" s="549" t="s">
        <v>3255</v>
      </c>
      <c r="BP710" s="554" t="s">
        <v>618</v>
      </c>
      <c r="BQ710" s="553">
        <v>9.23</v>
      </c>
      <c r="BR710" s="551">
        <v>464.24419669774551</v>
      </c>
      <c r="BS710" s="551"/>
      <c r="BT710" s="551">
        <v>7171996.6233999394</v>
      </c>
      <c r="BU710" s="551">
        <v>330907.56264189188</v>
      </c>
      <c r="BV710" s="551">
        <v>1314235.9855554549</v>
      </c>
      <c r="BW710" s="551">
        <v>15647.134986283587</v>
      </c>
      <c r="BX710" s="551">
        <v>4752149.7151622688</v>
      </c>
      <c r="BY710" s="551">
        <v>34084629.263726838</v>
      </c>
      <c r="BZ710" s="551">
        <v>1760055.4500600989</v>
      </c>
      <c r="CA710" s="551">
        <v>2.0455183783465243</v>
      </c>
      <c r="CB710" s="551">
        <v>3.7274059795211011E-32</v>
      </c>
      <c r="CC710" s="551">
        <v>1330.1050402256569</v>
      </c>
      <c r="CD710" s="551">
        <v>3883015.0598989814</v>
      </c>
      <c r="CE710" s="551">
        <v>243.73574057882885</v>
      </c>
      <c r="CF710" s="551">
        <v>9180.5186183918959</v>
      </c>
      <c r="CG710" s="551">
        <v>10850.393974657902</v>
      </c>
      <c r="CH710" s="551">
        <v>29024.330830514926</v>
      </c>
      <c r="CI710" s="551">
        <v>4018.664435058482</v>
      </c>
      <c r="CJ710" s="551">
        <v>1.322357467157628E-3</v>
      </c>
      <c r="CK710" s="551">
        <v>1338324.8402563429</v>
      </c>
      <c r="CL710" s="551"/>
      <c r="CM710" s="551">
        <v>636.60672908506194</v>
      </c>
      <c r="CN710" s="551">
        <v>25.176459076497238</v>
      </c>
      <c r="CO710" s="551">
        <v>1.0099437418030789E-6</v>
      </c>
      <c r="CP710" s="551">
        <v>83434.987050510899</v>
      </c>
      <c r="CQ710" s="551"/>
      <c r="CR710" s="551">
        <v>44.003891956175117</v>
      </c>
      <c r="CS710" s="551">
        <v>1.4323290170862594E-2</v>
      </c>
      <c r="CT710" s="551">
        <v>1.743226112412158E-7</v>
      </c>
      <c r="CU710" s="551">
        <v>15168.611929566961</v>
      </c>
      <c r="CV710" s="551"/>
      <c r="CW710" s="551">
        <v>6.0885681414165846</v>
      </c>
      <c r="CX710" s="551">
        <v>1.997644136886292E-3</v>
      </c>
      <c r="CY710" s="554"/>
    </row>
    <row r="711" spans="65:103" ht="12.75" customHeight="1" x14ac:dyDescent="0.3">
      <c r="BM711" s="562"/>
      <c r="BN711" s="591">
        <v>698</v>
      </c>
      <c r="BO711" s="549" t="s">
        <v>3257</v>
      </c>
      <c r="BP711" s="554" t="s">
        <v>618</v>
      </c>
      <c r="BQ711" s="553">
        <v>9.3000000000000007</v>
      </c>
      <c r="BR711" s="551">
        <v>641634.4380731706</v>
      </c>
      <c r="BS711" s="551"/>
      <c r="BT711" s="551">
        <v>1221045.7577546884</v>
      </c>
      <c r="BU711" s="551">
        <v>42557.529730665636</v>
      </c>
      <c r="BV711" s="551">
        <v>42015.960239992484</v>
      </c>
      <c r="BW711" s="551">
        <v>425.51843552720175</v>
      </c>
      <c r="BX711" s="551">
        <v>386.77121067149392</v>
      </c>
      <c r="BY711" s="551">
        <v>32685754.511475701</v>
      </c>
      <c r="BZ711" s="551">
        <v>143.2485965449977</v>
      </c>
      <c r="CA711" s="551">
        <v>5618665.9756072862</v>
      </c>
      <c r="CB711" s="551">
        <v>2.5759058032316537E-30</v>
      </c>
      <c r="CC711" s="551">
        <v>2728.4830240627734</v>
      </c>
      <c r="CD711" s="551">
        <v>1932475.6782886661</v>
      </c>
      <c r="CE711" s="551">
        <v>93.8865996842908</v>
      </c>
      <c r="CF711" s="551">
        <v>966.10873859912351</v>
      </c>
      <c r="CG711" s="551">
        <v>1551.8999887489613</v>
      </c>
      <c r="CH711" s="551">
        <v>11026.685481832646</v>
      </c>
      <c r="CI711" s="551">
        <v>574.77777361072606</v>
      </c>
      <c r="CJ711" s="551">
        <v>28121311.93915296</v>
      </c>
      <c r="CK711" s="551">
        <v>15495266.665855208</v>
      </c>
      <c r="CL711" s="551"/>
      <c r="CM711" s="551">
        <v>1560.9705340476162</v>
      </c>
      <c r="CN711" s="551">
        <v>27878.5222038797</v>
      </c>
      <c r="CO711" s="551">
        <v>13429087.673406344</v>
      </c>
      <c r="CP711" s="551">
        <v>85287606.502448574</v>
      </c>
      <c r="CQ711" s="551"/>
      <c r="CR711" s="551">
        <v>8751.2484869806831</v>
      </c>
      <c r="CS711" s="551">
        <v>43318.635119992949</v>
      </c>
      <c r="CT711" s="551">
        <v>42200692.515988536</v>
      </c>
      <c r="CU711" s="551">
        <v>5963893.0824792115</v>
      </c>
      <c r="CV711" s="551"/>
      <c r="CW711" s="551">
        <v>580.87148218996913</v>
      </c>
      <c r="CX711" s="551">
        <v>12169.393510573243</v>
      </c>
      <c r="CY711" s="554"/>
    </row>
    <row r="712" spans="65:103" ht="12.75" customHeight="1" x14ac:dyDescent="0.3">
      <c r="BM712" s="562"/>
      <c r="BN712" s="591">
        <v>699</v>
      </c>
      <c r="BO712" s="549" t="s">
        <v>3260</v>
      </c>
      <c r="BP712" s="554" t="s">
        <v>618</v>
      </c>
      <c r="BQ712" s="553">
        <v>9.32</v>
      </c>
      <c r="BR712" s="551">
        <v>13101.115434480276</v>
      </c>
      <c r="BS712" s="551"/>
      <c r="BT712" s="551">
        <v>10390260.80645632</v>
      </c>
      <c r="BU712" s="551">
        <v>439507.6224163532</v>
      </c>
      <c r="BV712" s="551">
        <v>258581.60801422887</v>
      </c>
      <c r="BW712" s="551">
        <v>3213.3257005719474</v>
      </c>
      <c r="BX712" s="551">
        <v>1397991.8921411529</v>
      </c>
      <c r="BY712" s="551">
        <v>24012134.979268648</v>
      </c>
      <c r="BZ712" s="551">
        <v>517774.7748670936</v>
      </c>
      <c r="CA712" s="551">
        <v>648.03649819654174</v>
      </c>
      <c r="CB712" s="551">
        <v>4.7369182865815203E-31</v>
      </c>
      <c r="CC712" s="551">
        <v>16405.841742224871</v>
      </c>
      <c r="CD712" s="551">
        <v>2554287.8602720769</v>
      </c>
      <c r="CE712" s="551">
        <v>408.29090025299541</v>
      </c>
      <c r="CF712" s="551">
        <v>933.74476453287082</v>
      </c>
      <c r="CG712" s="551">
        <v>35833.938483017642</v>
      </c>
      <c r="CH712" s="551">
        <v>123611.16532807828</v>
      </c>
      <c r="CI712" s="551">
        <v>13271.829067784311</v>
      </c>
      <c r="CJ712" s="551">
        <v>4.7208699506146914</v>
      </c>
      <c r="CK712" s="551">
        <v>362999.65653350012</v>
      </c>
      <c r="CL712" s="551"/>
      <c r="CM712" s="551">
        <v>26.535853286539545</v>
      </c>
      <c r="CN712" s="551">
        <v>936.95939303253556</v>
      </c>
      <c r="CO712" s="551">
        <v>8.9351584320455698E-3</v>
      </c>
      <c r="CP712" s="551">
        <v>9610.5318164743567</v>
      </c>
      <c r="CQ712" s="551"/>
      <c r="CR712" s="551">
        <v>0.74414556041350943</v>
      </c>
      <c r="CS712" s="551">
        <v>6.7569995621298391</v>
      </c>
      <c r="CT712" s="551">
        <v>1.5842033203361604E-2</v>
      </c>
      <c r="CU712" s="551">
        <v>1652.1336782774263</v>
      </c>
      <c r="CV712" s="551"/>
      <c r="CW712" s="551">
        <v>0.10912074939808852</v>
      </c>
      <c r="CX712" s="551">
        <v>0.80669283957648019</v>
      </c>
      <c r="CY712" s="554"/>
    </row>
    <row r="713" spans="65:103" ht="12.75" customHeight="1" x14ac:dyDescent="0.3">
      <c r="BM713" s="562"/>
      <c r="BN713" s="591">
        <v>700</v>
      </c>
      <c r="BO713" s="549" t="s">
        <v>3262</v>
      </c>
      <c r="BP713" s="554" t="s">
        <v>618</v>
      </c>
      <c r="BQ713" s="553">
        <v>9.32</v>
      </c>
      <c r="BR713" s="551">
        <v>88204.51843403776</v>
      </c>
      <c r="BS713" s="551"/>
      <c r="BT713" s="551">
        <v>8318874.2815459268</v>
      </c>
      <c r="BU713" s="551">
        <v>381561.6633073886</v>
      </c>
      <c r="BV713" s="551">
        <v>5355574.5271479702</v>
      </c>
      <c r="BW713" s="551">
        <v>61821.040925936017</v>
      </c>
      <c r="BX713" s="551">
        <v>2879821.2442967962</v>
      </c>
      <c r="BY713" s="551">
        <v>36476439.889196366</v>
      </c>
      <c r="BZ713" s="551">
        <v>1066600.4608506649</v>
      </c>
      <c r="CA713" s="551">
        <v>105315.18445288551</v>
      </c>
      <c r="CB713" s="551">
        <v>5.3954238069940114E-30</v>
      </c>
      <c r="CC713" s="551">
        <v>105826.54691079615</v>
      </c>
      <c r="CD713" s="551">
        <v>7105411.6589774042</v>
      </c>
      <c r="CE713" s="551">
        <v>68129.64588114513</v>
      </c>
      <c r="CF713" s="551">
        <v>57561.331130296399</v>
      </c>
      <c r="CG713" s="551">
        <v>1781778.8637334912</v>
      </c>
      <c r="CH713" s="551">
        <v>4287920.1660538288</v>
      </c>
      <c r="CI713" s="551">
        <v>659918.09767907101</v>
      </c>
      <c r="CJ713" s="551">
        <v>19983.27214919385</v>
      </c>
      <c r="CK713" s="551">
        <v>3136599.2520123213</v>
      </c>
      <c r="CL713" s="551"/>
      <c r="CM713" s="551">
        <v>5112.0049556180711</v>
      </c>
      <c r="CN713" s="551">
        <v>1213481.2450332926</v>
      </c>
      <c r="CO713" s="551">
        <v>2187.8031511072913</v>
      </c>
      <c r="CP713" s="551">
        <v>374900.74966073281</v>
      </c>
      <c r="CQ713" s="551"/>
      <c r="CR713" s="551">
        <v>755.10673899283017</v>
      </c>
      <c r="CS713" s="551">
        <v>213734.46340528471</v>
      </c>
      <c r="CT713" s="551">
        <v>1178.6173140103551</v>
      </c>
      <c r="CU713" s="551">
        <v>74313.156104962312</v>
      </c>
      <c r="CV713" s="551"/>
      <c r="CW713" s="551">
        <v>89.053963472794095</v>
      </c>
      <c r="CX713" s="551">
        <v>29622.860574616003</v>
      </c>
      <c r="CY713" s="554"/>
    </row>
    <row r="714" spans="65:103" ht="12.75" customHeight="1" x14ac:dyDescent="0.3">
      <c r="BM714" s="562"/>
      <c r="BN714" s="591">
        <v>701</v>
      </c>
      <c r="BO714" s="549" t="s">
        <v>3259</v>
      </c>
      <c r="BP714" s="554" t="s">
        <v>618</v>
      </c>
      <c r="BQ714" s="553">
        <v>9.32</v>
      </c>
      <c r="BR714" s="551">
        <v>55.634779552241454</v>
      </c>
      <c r="BS714" s="551"/>
      <c r="BT714" s="551">
        <v>36675418.256533049</v>
      </c>
      <c r="BU714" s="551">
        <v>1765024.8374934387</v>
      </c>
      <c r="BV714" s="551">
        <v>346068.35670495796</v>
      </c>
      <c r="BW714" s="551">
        <v>5061.6376117782002</v>
      </c>
      <c r="BX714" s="551">
        <v>324446.01434986165</v>
      </c>
      <c r="BY714" s="551">
        <v>2339901.3694721125</v>
      </c>
      <c r="BZ714" s="551">
        <v>120165.19049994875</v>
      </c>
      <c r="CA714" s="551">
        <v>1.0125071554911096E-2</v>
      </c>
      <c r="CB714" s="551">
        <v>4.4707425213871705E-33</v>
      </c>
      <c r="CC714" s="551">
        <v>288.09145356639272</v>
      </c>
      <c r="CD714" s="551">
        <v>46465781.813247152</v>
      </c>
      <c r="CE714" s="551">
        <v>2.7184239650410706</v>
      </c>
      <c r="CF714" s="551">
        <v>6662.5960125472002</v>
      </c>
      <c r="CG714" s="551">
        <v>30.597973440505683</v>
      </c>
      <c r="CH714" s="551">
        <v>82.472942405520143</v>
      </c>
      <c r="CI714" s="551">
        <v>11.332582755742848</v>
      </c>
      <c r="CJ714" s="551">
        <v>2.6245586612904181E-6</v>
      </c>
      <c r="CK714" s="551">
        <v>57399190.909971908</v>
      </c>
      <c r="CL714" s="551"/>
      <c r="CM714" s="551">
        <v>1661.0027163284653</v>
      </c>
      <c r="CN714" s="551">
        <v>2.8467839044065611E-2</v>
      </c>
      <c r="CO714" s="551">
        <v>8.9958238787931521E-8</v>
      </c>
      <c r="CP714" s="551">
        <v>11212797.283349555</v>
      </c>
      <c r="CQ714" s="551"/>
      <c r="CR714" s="551">
        <v>325.43835810229291</v>
      </c>
      <c r="CS714" s="551">
        <v>4.2119141846881742E-3</v>
      </c>
      <c r="CT714" s="551">
        <v>2.2785034137933427E-7</v>
      </c>
      <c r="CU714" s="551">
        <v>2586343.2508713198</v>
      </c>
      <c r="CV714" s="551"/>
      <c r="CW714" s="551">
        <v>74.427924359457748</v>
      </c>
      <c r="CX714" s="551">
        <v>5.9425120430769724E-4</v>
      </c>
      <c r="CY714" s="554"/>
    </row>
    <row r="715" spans="65:103" ht="12.75" customHeight="1" x14ac:dyDescent="0.3">
      <c r="BM715" s="562"/>
      <c r="BN715" s="591">
        <v>702</v>
      </c>
      <c r="BO715" s="549" t="s">
        <v>3264</v>
      </c>
      <c r="BP715" s="554" t="s">
        <v>618</v>
      </c>
      <c r="BQ715" s="553">
        <v>9.34</v>
      </c>
      <c r="BR715" s="551">
        <v>5546.947375333104</v>
      </c>
      <c r="BS715" s="551"/>
      <c r="BT715" s="551">
        <v>7615311.8178857351</v>
      </c>
      <c r="BU715" s="551">
        <v>320029.64607999724</v>
      </c>
      <c r="BV715" s="551">
        <v>935209.09836778115</v>
      </c>
      <c r="BW715" s="551">
        <v>10122.103878667662</v>
      </c>
      <c r="BX715" s="551">
        <v>4615.3170771904579</v>
      </c>
      <c r="BY715" s="551">
        <v>367798.01108966977</v>
      </c>
      <c r="BZ715" s="551">
        <v>1709.3766952557251</v>
      </c>
      <c r="CA715" s="551">
        <v>133.09926931981826</v>
      </c>
      <c r="CB715" s="551">
        <v>2.5554008674651621E-32</v>
      </c>
      <c r="CC715" s="551">
        <v>163.35136291225953</v>
      </c>
      <c r="CD715" s="551">
        <v>1783886.6495990357</v>
      </c>
      <c r="CE715" s="551">
        <v>20.060594297337119</v>
      </c>
      <c r="CF715" s="551">
        <v>2821.0958259936124</v>
      </c>
      <c r="CG715" s="551">
        <v>57.362892113801578</v>
      </c>
      <c r="CH715" s="551">
        <v>127.75684585918704</v>
      </c>
      <c r="CI715" s="551">
        <v>21.245515597704287</v>
      </c>
      <c r="CJ715" s="551">
        <v>0.47222495997435365</v>
      </c>
      <c r="CK715" s="551">
        <v>252810.83328544817</v>
      </c>
      <c r="CL715" s="551"/>
      <c r="CM715" s="551">
        <v>79.94730901342804</v>
      </c>
      <c r="CN715" s="551">
        <v>0.73047938128035395</v>
      </c>
      <c r="CO715" s="551">
        <v>5.6371764329333303E-4</v>
      </c>
      <c r="CP715" s="551">
        <v>6684.3150176362969</v>
      </c>
      <c r="CQ715" s="551"/>
      <c r="CR715" s="551">
        <v>2.5696627915372559</v>
      </c>
      <c r="CS715" s="551">
        <v>4.2329979677425767E-3</v>
      </c>
      <c r="CT715" s="551">
        <v>7.4624893861145204E-4</v>
      </c>
      <c r="CU715" s="551">
        <v>1149.6288638021131</v>
      </c>
      <c r="CV715" s="551"/>
      <c r="CW715" s="551">
        <v>0.27148101393041141</v>
      </c>
      <c r="CX715" s="551">
        <v>2.6306028831593842E-4</v>
      </c>
      <c r="CY715" s="554"/>
    </row>
    <row r="716" spans="65:103" ht="12.75" customHeight="1" x14ac:dyDescent="0.3">
      <c r="BM716" s="562"/>
      <c r="BN716" s="591">
        <v>703</v>
      </c>
      <c r="BO716" s="549" t="s">
        <v>3266</v>
      </c>
      <c r="BP716" s="554" t="s">
        <v>618</v>
      </c>
      <c r="BQ716" s="553">
        <v>9.3699999999999992</v>
      </c>
      <c r="BR716" s="551">
        <v>502.1695651249766</v>
      </c>
      <c r="BS716" s="551"/>
      <c r="BT716" s="551">
        <v>8121197.0077401362</v>
      </c>
      <c r="BU716" s="551">
        <v>346404.21073331346</v>
      </c>
      <c r="BV716" s="551">
        <v>335917.70542345336</v>
      </c>
      <c r="BW716" s="551">
        <v>4083.4121238978855</v>
      </c>
      <c r="BX716" s="551">
        <v>3241509.4641845999</v>
      </c>
      <c r="BY716" s="551">
        <v>25791356.756392211</v>
      </c>
      <c r="BZ716" s="551">
        <v>1200559.0608091108</v>
      </c>
      <c r="CA716" s="551">
        <v>1.201899197657466</v>
      </c>
      <c r="CB716" s="551">
        <v>3.9464530778698079E-32</v>
      </c>
      <c r="CC716" s="551">
        <v>1015.165993482799</v>
      </c>
      <c r="CD716" s="551">
        <v>1933905.7774530752</v>
      </c>
      <c r="CE716" s="551">
        <v>41.990390188743199</v>
      </c>
      <c r="CF716" s="551">
        <v>1139.8438664199257</v>
      </c>
      <c r="CG716" s="551">
        <v>4020.3461019886149</v>
      </c>
      <c r="CH716" s="551">
        <v>11780.603882212916</v>
      </c>
      <c r="CI716" s="551">
        <v>1489.0170748105982</v>
      </c>
      <c r="CJ716" s="551">
        <v>4.2312751556137287E-4</v>
      </c>
      <c r="CK716" s="551">
        <v>274012.49326036649</v>
      </c>
      <c r="CL716" s="551"/>
      <c r="CM716" s="551">
        <v>32.295862796027137</v>
      </c>
      <c r="CN716" s="551">
        <v>5.0800772938758847</v>
      </c>
      <c r="CO716" s="551">
        <v>9.9869353542386724E-8</v>
      </c>
      <c r="CP716" s="551">
        <v>7243.7944943588782</v>
      </c>
      <c r="CQ716" s="551"/>
      <c r="CR716" s="551">
        <v>0.93060816269625746</v>
      </c>
      <c r="CS716" s="551">
        <v>1.7919344996871467E-3</v>
      </c>
      <c r="CT716" s="551">
        <v>6.7637406080052147E-8</v>
      </c>
      <c r="CU716" s="551">
        <v>1245.8315700059397</v>
      </c>
      <c r="CV716" s="551"/>
      <c r="CW716" s="551">
        <v>0.1268269832414908</v>
      </c>
      <c r="CX716" s="551">
        <v>2.5564833655698928E-4</v>
      </c>
      <c r="CY716" s="554"/>
    </row>
    <row r="717" spans="65:103" ht="12.75" customHeight="1" x14ac:dyDescent="0.3">
      <c r="BM717" s="562"/>
      <c r="BN717" s="591">
        <v>704</v>
      </c>
      <c r="BO717" s="549" t="s">
        <v>3268</v>
      </c>
      <c r="BP717" s="554" t="s">
        <v>618</v>
      </c>
      <c r="BQ717" s="553">
        <v>9.41</v>
      </c>
      <c r="BR717" s="551">
        <v>151810.64779232451</v>
      </c>
      <c r="BS717" s="551"/>
      <c r="BT717" s="551">
        <v>8453904.6023563482</v>
      </c>
      <c r="BU717" s="551">
        <v>356394.51571197895</v>
      </c>
      <c r="BV717" s="551">
        <v>598814.06438345695</v>
      </c>
      <c r="BW717" s="551">
        <v>6881.0967784569493</v>
      </c>
      <c r="BX717" s="551">
        <v>642107.4884963535</v>
      </c>
      <c r="BY717" s="551">
        <v>21946251.094617419</v>
      </c>
      <c r="BZ717" s="551">
        <v>237817.58833198281</v>
      </c>
      <c r="CA717" s="551">
        <v>113023.07535626947</v>
      </c>
      <c r="CB717" s="551">
        <v>6.107208007334837E-30</v>
      </c>
      <c r="CC717" s="551">
        <v>60931.539231483701</v>
      </c>
      <c r="CD717" s="551">
        <v>3385856.6586853038</v>
      </c>
      <c r="CE717" s="551">
        <v>4315.9539139080089</v>
      </c>
      <c r="CF717" s="551">
        <v>3268.6259635410784</v>
      </c>
      <c r="CG717" s="551">
        <v>248025.008636785</v>
      </c>
      <c r="CH717" s="551">
        <v>748445.44755996286</v>
      </c>
      <c r="CI717" s="551">
        <v>91861.114309920318</v>
      </c>
      <c r="CJ717" s="551">
        <v>12984.376322814749</v>
      </c>
      <c r="CK717" s="551">
        <v>670386.96783190977</v>
      </c>
      <c r="CL717" s="551"/>
      <c r="CM717" s="551">
        <v>129.41520489523725</v>
      </c>
      <c r="CN717" s="551">
        <v>102271.14131548058</v>
      </c>
      <c r="CO717" s="551">
        <v>428.2583078385382</v>
      </c>
      <c r="CP717" s="551">
        <v>55141.766843976759</v>
      </c>
      <c r="CQ717" s="551"/>
      <c r="CR717" s="551">
        <v>12.134984276186401</v>
      </c>
      <c r="CS717" s="551">
        <v>13278.197316714623</v>
      </c>
      <c r="CT717" s="551">
        <v>668.92338659604081</v>
      </c>
      <c r="CU717" s="551">
        <v>8445.2075129249642</v>
      </c>
      <c r="CV717" s="551"/>
      <c r="CW717" s="551">
        <v>1.3203946304015752</v>
      </c>
      <c r="CX717" s="551">
        <v>1329.1873859860866</v>
      </c>
      <c r="CY717" s="554"/>
    </row>
    <row r="718" spans="65:103" ht="12.75" customHeight="1" x14ac:dyDescent="0.3">
      <c r="BM718" s="562"/>
      <c r="BN718" s="591">
        <v>705</v>
      </c>
      <c r="BO718" s="549" t="s">
        <v>3270</v>
      </c>
      <c r="BP718" s="554" t="s">
        <v>618</v>
      </c>
      <c r="BQ718" s="553">
        <v>9.42</v>
      </c>
      <c r="BR718" s="551">
        <v>239.29074251562361</v>
      </c>
      <c r="BS718" s="551"/>
      <c r="BT718" s="551">
        <v>6435206.6656767912</v>
      </c>
      <c r="BU718" s="551">
        <v>274877.19398372574</v>
      </c>
      <c r="BV718" s="551">
        <v>743051.16213707638</v>
      </c>
      <c r="BW718" s="551">
        <v>8229.3021920721822</v>
      </c>
      <c r="BX718" s="551">
        <v>3627566.1839647549</v>
      </c>
      <c r="BY718" s="551">
        <v>24068671.327487715</v>
      </c>
      <c r="BZ718" s="551">
        <v>1343543.0310980573</v>
      </c>
      <c r="CA718" s="551">
        <v>0.31709499368504163</v>
      </c>
      <c r="CB718" s="551">
        <v>1.9221278661179439E-32</v>
      </c>
      <c r="CC718" s="551">
        <v>271.68208341994608</v>
      </c>
      <c r="CD718" s="551">
        <v>1531773.3232176888</v>
      </c>
      <c r="CE718" s="551">
        <v>31.370194976602502</v>
      </c>
      <c r="CF718" s="551">
        <v>2292.9195004914327</v>
      </c>
      <c r="CG718" s="551">
        <v>2491.0206262361421</v>
      </c>
      <c r="CH718" s="551">
        <v>6175.4818285559004</v>
      </c>
      <c r="CI718" s="551">
        <v>922.60023193931204</v>
      </c>
      <c r="CJ718" s="551">
        <v>6.1649858080960391E-5</v>
      </c>
      <c r="CK718" s="551">
        <v>217064.28277511313</v>
      </c>
      <c r="CL718" s="551"/>
      <c r="CM718" s="551">
        <v>64.974210534267641</v>
      </c>
      <c r="CN718" s="551">
        <v>1.7382957755883044</v>
      </c>
      <c r="CO718" s="551">
        <v>1.4193134486585273E-8</v>
      </c>
      <c r="CP718" s="551">
        <v>5739.0980425005546</v>
      </c>
      <c r="CQ718" s="551"/>
      <c r="CR718" s="551">
        <v>2.0714130788916272</v>
      </c>
      <c r="CS718" s="551">
        <v>3.1913669911974628E-4</v>
      </c>
      <c r="CT718" s="551">
        <v>2.5640048546770803E-9</v>
      </c>
      <c r="CU718" s="551">
        <v>987.06218709960388</v>
      </c>
      <c r="CV718" s="551"/>
      <c r="CW718" s="551">
        <v>0.22277546117712355</v>
      </c>
      <c r="CX718" s="551">
        <v>4.1126500575689792E-5</v>
      </c>
      <c r="CY718" s="554"/>
    </row>
    <row r="719" spans="65:103" ht="12.75" customHeight="1" x14ac:dyDescent="0.3">
      <c r="BM719" s="562"/>
      <c r="BN719" s="591">
        <v>706</v>
      </c>
      <c r="BO719" s="549" t="s">
        <v>3272</v>
      </c>
      <c r="BP719" s="554" t="s">
        <v>618</v>
      </c>
      <c r="BQ719" s="553">
        <v>9.42</v>
      </c>
      <c r="BR719" s="551">
        <v>247.07226704391138</v>
      </c>
      <c r="BS719" s="551"/>
      <c r="BT719" s="551">
        <v>7467649.8349516988</v>
      </c>
      <c r="BU719" s="551">
        <v>318634.23477393325</v>
      </c>
      <c r="BV719" s="551">
        <v>315377.8985080765</v>
      </c>
      <c r="BW719" s="551">
        <v>3829.3369109725695</v>
      </c>
      <c r="BX719" s="551">
        <v>3070778.2141621034</v>
      </c>
      <c r="BY719" s="551">
        <v>23973981.692801308</v>
      </c>
      <c r="BZ719" s="551">
        <v>1137325.2645044827</v>
      </c>
      <c r="CA719" s="551">
        <v>0.31610728466883381</v>
      </c>
      <c r="CB719" s="551">
        <v>1.982979763368275E-32</v>
      </c>
      <c r="CC719" s="551">
        <v>503.31901846350053</v>
      </c>
      <c r="CD719" s="551">
        <v>1775000.1352033678</v>
      </c>
      <c r="CE719" s="551">
        <v>21.256445847154971</v>
      </c>
      <c r="CF719" s="551">
        <v>1066.594984612685</v>
      </c>
      <c r="CG719" s="551">
        <v>2035.9047033369268</v>
      </c>
      <c r="CH719" s="551">
        <v>5935.2983758251758</v>
      </c>
      <c r="CI719" s="551">
        <v>754.03877901367684</v>
      </c>
      <c r="CJ719" s="551">
        <v>5.9700116173514101E-5</v>
      </c>
      <c r="CK719" s="551">
        <v>251495.03967449474</v>
      </c>
      <c r="CL719" s="551"/>
      <c r="CM719" s="551">
        <v>30.220172403149494</v>
      </c>
      <c r="CN719" s="551">
        <v>1.3800720902466561</v>
      </c>
      <c r="CO719" s="551">
        <v>7.2046033676299162E-9</v>
      </c>
      <c r="CP719" s="551">
        <v>6648.5317315871089</v>
      </c>
      <c r="CQ719" s="551"/>
      <c r="CR719" s="551">
        <v>0.87204719820400445</v>
      </c>
      <c r="CS719" s="551">
        <v>4.0156083481147204E-4</v>
      </c>
      <c r="CT719" s="551">
        <v>8.5466210384247715E-9</v>
      </c>
      <c r="CU719" s="551">
        <v>1143.4548752002934</v>
      </c>
      <c r="CV719" s="551"/>
      <c r="CW719" s="551">
        <v>0.11841879869622188</v>
      </c>
      <c r="CX719" s="551">
        <v>5.3270820258181212E-5</v>
      </c>
      <c r="CY719" s="554"/>
    </row>
    <row r="720" spans="65:103" ht="12.75" customHeight="1" x14ac:dyDescent="0.3">
      <c r="BM720" s="562"/>
      <c r="BN720" s="591">
        <v>707</v>
      </c>
      <c r="BO720" s="549" t="s">
        <v>3274</v>
      </c>
      <c r="BP720" s="554" t="s">
        <v>618</v>
      </c>
      <c r="BQ720" s="553">
        <v>9.4499999999999993</v>
      </c>
      <c r="BR720" s="551">
        <v>2819.4543154170378</v>
      </c>
      <c r="BS720" s="551"/>
      <c r="BT720" s="551">
        <v>13568479.005766409</v>
      </c>
      <c r="BU720" s="551">
        <v>577285.47738275246</v>
      </c>
      <c r="BV720" s="551">
        <v>230186.0317585376</v>
      </c>
      <c r="BW720" s="551">
        <v>2924.4651473833433</v>
      </c>
      <c r="BX720" s="551">
        <v>2620015.9602840133</v>
      </c>
      <c r="BY720" s="551">
        <v>29855510.576208971</v>
      </c>
      <c r="BZ720" s="551">
        <v>970376.2815866716</v>
      </c>
      <c r="CA720" s="551">
        <v>26.126384173036325</v>
      </c>
      <c r="CB720" s="551">
        <v>2.1108161856738352E-31</v>
      </c>
      <c r="CC720" s="551">
        <v>9970.9461051701237</v>
      </c>
      <c r="CD720" s="551">
        <v>3258195.3333834042</v>
      </c>
      <c r="CE720" s="551">
        <v>169.15473840892125</v>
      </c>
      <c r="CF720" s="551">
        <v>825.28307649849603</v>
      </c>
      <c r="CG720" s="551">
        <v>12581.043548167003</v>
      </c>
      <c r="CH720" s="551">
        <v>50972.392648461449</v>
      </c>
      <c r="CI720" s="551">
        <v>4659.6457585803719</v>
      </c>
      <c r="CJ720" s="551">
        <v>3.5587584589523415E-2</v>
      </c>
      <c r="CK720" s="551">
        <v>461719.28507162363</v>
      </c>
      <c r="CL720" s="551"/>
      <c r="CM720" s="551">
        <v>23.386937921758051</v>
      </c>
      <c r="CN720" s="551">
        <v>61.509121578237242</v>
      </c>
      <c r="CO720" s="551">
        <v>1.038600342365106E-5</v>
      </c>
      <c r="CP720" s="551">
        <v>12205.67801358509</v>
      </c>
      <c r="CQ720" s="551"/>
      <c r="CR720" s="551">
        <v>0.64518013431527288</v>
      </c>
      <c r="CS720" s="551">
        <v>6.4366004249274786E-2</v>
      </c>
      <c r="CT720" s="551">
        <v>2.4917391104806658E-5</v>
      </c>
      <c r="CU720" s="551">
        <v>2099.1956362046535</v>
      </c>
      <c r="CV720" s="551"/>
      <c r="CW720" s="551">
        <v>9.8476465575544542E-2</v>
      </c>
      <c r="CX720" s="551">
        <v>1.1453180640112458E-2</v>
      </c>
      <c r="CY720" s="554"/>
    </row>
    <row r="721" spans="65:103" ht="12.75" customHeight="1" x14ac:dyDescent="0.3">
      <c r="BM721" s="562"/>
      <c r="BN721" s="591">
        <v>708</v>
      </c>
      <c r="BO721" s="549" t="s">
        <v>3278</v>
      </c>
      <c r="BP721" s="554" t="s">
        <v>618</v>
      </c>
      <c r="BQ721" s="553">
        <v>9.4700000000000006</v>
      </c>
      <c r="BR721" s="551">
        <v>23154.770532488667</v>
      </c>
      <c r="BS721" s="551"/>
      <c r="BT721" s="551">
        <v>9590173.8249452747</v>
      </c>
      <c r="BU721" s="551">
        <v>441848.68747436017</v>
      </c>
      <c r="BV721" s="551">
        <v>3344260.2891998403</v>
      </c>
      <c r="BW721" s="551">
        <v>38543.53551591924</v>
      </c>
      <c r="BX721" s="551">
        <v>6020170.741813709</v>
      </c>
      <c r="BY721" s="551">
        <v>46237605.642883867</v>
      </c>
      <c r="BZ721" s="551">
        <v>2229692.8673384106</v>
      </c>
      <c r="CA721" s="551">
        <v>4045.5879395194934</v>
      </c>
      <c r="CB721" s="551">
        <v>1.7224729916412583E-30</v>
      </c>
      <c r="CC721" s="551">
        <v>44422.302932834275</v>
      </c>
      <c r="CD721" s="551">
        <v>6011344.512303289</v>
      </c>
      <c r="CE721" s="551">
        <v>15490.829088692875</v>
      </c>
      <c r="CF721" s="551">
        <v>26219.210023321983</v>
      </c>
      <c r="CG721" s="551">
        <v>545066.94877398305</v>
      </c>
      <c r="CH721" s="551">
        <v>1357570.0218020568</v>
      </c>
      <c r="CI721" s="551">
        <v>201876.6476940678</v>
      </c>
      <c r="CJ721" s="551">
        <v>104.76847831466645</v>
      </c>
      <c r="CK721" s="551">
        <v>2102865.4507243051</v>
      </c>
      <c r="CL721" s="551"/>
      <c r="CM721" s="551">
        <v>1845.2862213425719</v>
      </c>
      <c r="CN721" s="551">
        <v>50664.352201029229</v>
      </c>
      <c r="CO721" s="551">
        <v>2.2504142987026623</v>
      </c>
      <c r="CP721" s="551">
        <v>132264.43149146871</v>
      </c>
      <c r="CQ721" s="551"/>
      <c r="CR721" s="551">
        <v>135.3778347182409</v>
      </c>
      <c r="CS721" s="551">
        <v>1219.8166649762788</v>
      </c>
      <c r="CT721" s="551">
        <v>0.82122905515429223</v>
      </c>
      <c r="CU721" s="551">
        <v>24053.961307428333</v>
      </c>
      <c r="CV721" s="551"/>
      <c r="CW721" s="551">
        <v>16.631003254995299</v>
      </c>
      <c r="CX721" s="551">
        <v>157.69674452337873</v>
      </c>
      <c r="CY721" s="554"/>
    </row>
    <row r="722" spans="65:103" ht="12.75" customHeight="1" x14ac:dyDescent="0.3">
      <c r="BM722" s="562"/>
      <c r="BN722" s="591">
        <v>709</v>
      </c>
      <c r="BO722" s="549" t="s">
        <v>3276</v>
      </c>
      <c r="BP722" s="554" t="s">
        <v>618</v>
      </c>
      <c r="BQ722" s="553">
        <v>9.4700000000000006</v>
      </c>
      <c r="BR722" s="551">
        <v>12939.837658000775</v>
      </c>
      <c r="BS722" s="551"/>
      <c r="BT722" s="551">
        <v>6113642.8878432279</v>
      </c>
      <c r="BU722" s="551">
        <v>280437.00011390611</v>
      </c>
      <c r="BV722" s="551">
        <v>23048423.615588889</v>
      </c>
      <c r="BW722" s="551">
        <v>339754.74460401369</v>
      </c>
      <c r="BX722" s="551">
        <v>6241528.1596345752</v>
      </c>
      <c r="BY722" s="551">
        <v>41157872.82342574</v>
      </c>
      <c r="BZ722" s="551">
        <v>2311677.0961609543</v>
      </c>
      <c r="CA722" s="551">
        <v>1457.4830960119273</v>
      </c>
      <c r="CB722" s="551">
        <v>9.9347630852512938E-31</v>
      </c>
      <c r="CC722" s="551">
        <v>10935.601885174214</v>
      </c>
      <c r="CD722" s="551">
        <v>3764388.3395708101</v>
      </c>
      <c r="CE722" s="551">
        <v>41227.201091859257</v>
      </c>
      <c r="CF722" s="551">
        <v>228031.39357176912</v>
      </c>
      <c r="CG722" s="551">
        <v>364304.15460776404</v>
      </c>
      <c r="CH722" s="551">
        <v>824414.22017517383</v>
      </c>
      <c r="CI722" s="551">
        <v>134927.46466954224</v>
      </c>
      <c r="CJ722" s="551">
        <v>24.233937879772277</v>
      </c>
      <c r="CK722" s="551">
        <v>1317758.7532814909</v>
      </c>
      <c r="CL722" s="551"/>
      <c r="CM722" s="551">
        <v>16052.195729303416</v>
      </c>
      <c r="CN722" s="551">
        <v>21741.436893116654</v>
      </c>
      <c r="CO722" s="551">
        <v>0.43604453367661161</v>
      </c>
      <c r="CP722" s="551">
        <v>82936.796348748394</v>
      </c>
      <c r="CQ722" s="551"/>
      <c r="CR722" s="551">
        <v>1466.2194856691874</v>
      </c>
      <c r="CS722" s="551">
        <v>355.70665622822435</v>
      </c>
      <c r="CT722" s="551">
        <v>8.6331455996500286E-2</v>
      </c>
      <c r="CU722" s="551">
        <v>15108.228874837483</v>
      </c>
      <c r="CV722" s="551"/>
      <c r="CW722" s="551">
        <v>115.99724699390505</v>
      </c>
      <c r="CX722" s="551">
        <v>42.400538422260468</v>
      </c>
      <c r="CY722" s="554"/>
    </row>
    <row r="723" spans="65:103" ht="12.75" customHeight="1" x14ac:dyDescent="0.3">
      <c r="BM723" s="562"/>
      <c r="BN723" s="591">
        <v>710</v>
      </c>
      <c r="BO723" s="549" t="s">
        <v>3280</v>
      </c>
      <c r="BP723" s="554" t="s">
        <v>618</v>
      </c>
      <c r="BQ723" s="553">
        <v>9.5399999999999991</v>
      </c>
      <c r="BR723" s="551">
        <v>69972.887160981569</v>
      </c>
      <c r="BS723" s="551"/>
      <c r="BT723" s="551">
        <v>2035826.7134016601</v>
      </c>
      <c r="BU723" s="551">
        <v>86746.202280813784</v>
      </c>
      <c r="BV723" s="551">
        <v>91460349.715421438</v>
      </c>
      <c r="BW723" s="551">
        <v>2101885.4937462229</v>
      </c>
      <c r="BX723" s="551">
        <v>3922165.4706312953</v>
      </c>
      <c r="BY723" s="551">
        <v>46696829.99653326</v>
      </c>
      <c r="BZ723" s="551">
        <v>1452653.8780115901</v>
      </c>
      <c r="CA723" s="551">
        <v>89457.638944453487</v>
      </c>
      <c r="CB723" s="551">
        <v>4.354189046260798E-30</v>
      </c>
      <c r="CC723" s="551">
        <v>16519.761160919657</v>
      </c>
      <c r="CD723" s="551">
        <v>4313645.2221880155</v>
      </c>
      <c r="CE723" s="551">
        <v>742157.04266321461</v>
      </c>
      <c r="CF723" s="551">
        <v>5226043.3767081778</v>
      </c>
      <c r="CG723" s="551">
        <v>2598436.0983082289</v>
      </c>
      <c r="CH723" s="551">
        <v>5807522.0152351577</v>
      </c>
      <c r="CI723" s="551">
        <v>962383.7401141586</v>
      </c>
      <c r="CJ723" s="551">
        <v>18251.340787853063</v>
      </c>
      <c r="CK723" s="551">
        <v>3587327.5669128117</v>
      </c>
      <c r="CL723" s="551"/>
      <c r="CM723" s="551">
        <v>870083.74798456859</v>
      </c>
      <c r="CN723" s="551">
        <v>1902799.5453082335</v>
      </c>
      <c r="CO723" s="551">
        <v>2072.0993037790654</v>
      </c>
      <c r="CP723" s="551">
        <v>630436.1048371857</v>
      </c>
      <c r="CQ723" s="551"/>
      <c r="CR723" s="551">
        <v>214990.87752361083</v>
      </c>
      <c r="CS723" s="551">
        <v>365965.38656372909</v>
      </c>
      <c r="CT723" s="551">
        <v>1166.6111830798982</v>
      </c>
      <c r="CU723" s="551">
        <v>141018.19289654904</v>
      </c>
      <c r="CV723" s="551"/>
      <c r="CW723" s="551">
        <v>22172.951783726468</v>
      </c>
      <c r="CX723" s="551">
        <v>51322.537626819249</v>
      </c>
      <c r="CY723" s="554"/>
    </row>
    <row r="724" spans="65:103" ht="12.75" customHeight="1" x14ac:dyDescent="0.3">
      <c r="BM724" s="562"/>
      <c r="BN724" s="591">
        <v>711</v>
      </c>
      <c r="BO724" s="549" t="s">
        <v>3282</v>
      </c>
      <c r="BP724" s="554" t="s">
        <v>618</v>
      </c>
      <c r="BQ724" s="553">
        <v>9.5500000000000007</v>
      </c>
      <c r="BR724" s="551">
        <v>43024.130012660476</v>
      </c>
      <c r="BS724" s="551"/>
      <c r="BT724" s="551">
        <v>6614374.168658318</v>
      </c>
      <c r="BU724" s="551">
        <v>279896.10435227887</v>
      </c>
      <c r="BV724" s="551">
        <v>1264462.6932116121</v>
      </c>
      <c r="BW724" s="551">
        <v>13138.581237320586</v>
      </c>
      <c r="BX724" s="551">
        <v>1577094.0981267465</v>
      </c>
      <c r="BY724" s="551">
        <v>20478837.609288558</v>
      </c>
      <c r="BZ724" s="551">
        <v>584108.92523212812</v>
      </c>
      <c r="CA724" s="551">
        <v>10788.856254382552</v>
      </c>
      <c r="CB724" s="551">
        <v>1.8002224102628261E-30</v>
      </c>
      <c r="CC724" s="551">
        <v>18616.299959573204</v>
      </c>
      <c r="CD724" s="551">
        <v>1970761.3000565141</v>
      </c>
      <c r="CE724" s="551">
        <v>3558.8577519635569</v>
      </c>
      <c r="CF724" s="551">
        <v>4625.4676355857673</v>
      </c>
      <c r="CG724" s="551">
        <v>204940.0604735091</v>
      </c>
      <c r="CH724" s="551">
        <v>492355.42935754103</v>
      </c>
      <c r="CI724" s="551">
        <v>75903.726101299675</v>
      </c>
      <c r="CJ724" s="551">
        <v>402.90142824601867</v>
      </c>
      <c r="CK724" s="551">
        <v>297600.02096760477</v>
      </c>
      <c r="CL724" s="551"/>
      <c r="CM724" s="551">
        <v>139.67073073087835</v>
      </c>
      <c r="CN724" s="551">
        <v>27469.699939807269</v>
      </c>
      <c r="CO724" s="551">
        <v>4.3644950412264087</v>
      </c>
      <c r="CP724" s="551">
        <v>9089.6519150853401</v>
      </c>
      <c r="CQ724" s="551"/>
      <c r="CR724" s="551">
        <v>5.5345836061820357</v>
      </c>
      <c r="CS724" s="551">
        <v>1225.2721183428755</v>
      </c>
      <c r="CT724" s="551">
        <v>6.889019763567461</v>
      </c>
      <c r="CU724" s="551">
        <v>1522.5980531165735</v>
      </c>
      <c r="CV724" s="551"/>
      <c r="CW724" s="551">
        <v>0.49685533507529972</v>
      </c>
      <c r="CX724" s="551">
        <v>111.09966106556224</v>
      </c>
      <c r="CY724" s="554"/>
    </row>
    <row r="725" spans="65:103" ht="12.75" customHeight="1" x14ac:dyDescent="0.3">
      <c r="BM725" s="562"/>
      <c r="BN725" s="591">
        <v>712</v>
      </c>
      <c r="BO725" s="549" t="s">
        <v>3284</v>
      </c>
      <c r="BP725" s="554" t="s">
        <v>618</v>
      </c>
      <c r="BQ725" s="553">
        <v>9.5500000000000007</v>
      </c>
      <c r="BR725" s="551">
        <v>120021.67884198655</v>
      </c>
      <c r="BS725" s="551"/>
      <c r="BT725" s="551">
        <v>10098066.355418442</v>
      </c>
      <c r="BU725" s="551">
        <v>456749.35398569744</v>
      </c>
      <c r="BV725" s="551">
        <v>1954294.5693729497</v>
      </c>
      <c r="BW725" s="551">
        <v>22727.84907237062</v>
      </c>
      <c r="BX725" s="551">
        <v>385903.40878137486</v>
      </c>
      <c r="BY725" s="551">
        <v>41790607.475185893</v>
      </c>
      <c r="BZ725" s="551">
        <v>142927.18843754625</v>
      </c>
      <c r="CA725" s="551">
        <v>52177.092979685345</v>
      </c>
      <c r="CB725" s="551">
        <v>2.1166183822477429E-30</v>
      </c>
      <c r="CC725" s="551">
        <v>22509.713652646838</v>
      </c>
      <c r="CD725" s="551">
        <v>6304228.3336214917</v>
      </c>
      <c r="CE725" s="551">
        <v>4356.3400755336952</v>
      </c>
      <c r="CF725" s="551">
        <v>15684.920934644439</v>
      </c>
      <c r="CG725" s="551">
        <v>92122.311887683463</v>
      </c>
      <c r="CH725" s="551">
        <v>357806.19080432598</v>
      </c>
      <c r="CI725" s="551">
        <v>34119.374773216099</v>
      </c>
      <c r="CJ725" s="551">
        <v>3424.6107192288632</v>
      </c>
      <c r="CK725" s="551">
        <v>2257691.2108058636</v>
      </c>
      <c r="CL725" s="551"/>
      <c r="CM725" s="551">
        <v>1130.1238379851529</v>
      </c>
      <c r="CN725" s="551">
        <v>21702.002868915719</v>
      </c>
      <c r="CO725" s="551">
        <v>70.634819195136416</v>
      </c>
      <c r="CP725" s="551">
        <v>150629.86961366647</v>
      </c>
      <c r="CQ725" s="551"/>
      <c r="CR725" s="551">
        <v>83.919027075301358</v>
      </c>
      <c r="CS725" s="551">
        <v>1570.4886627868107</v>
      </c>
      <c r="CT725" s="551">
        <v>98.027939138537022</v>
      </c>
      <c r="CU725" s="551">
        <v>26985.273333774934</v>
      </c>
      <c r="CV725" s="551"/>
      <c r="CW725" s="551">
        <v>11.336613361009494</v>
      </c>
      <c r="CX725" s="551">
        <v>167.63589148892081</v>
      </c>
      <c r="CY725" s="554"/>
    </row>
    <row r="726" spans="65:103" ht="12.75" customHeight="1" x14ac:dyDescent="0.3">
      <c r="BM726" s="562"/>
      <c r="BN726" s="591">
        <v>713</v>
      </c>
      <c r="BO726" s="549" t="s">
        <v>3286</v>
      </c>
      <c r="BP726" s="554" t="s">
        <v>618</v>
      </c>
      <c r="BQ726" s="553">
        <v>9.65</v>
      </c>
      <c r="BR726" s="551">
        <v>29606.5706373711</v>
      </c>
      <c r="BS726" s="551"/>
      <c r="BT726" s="551">
        <v>5807875.1042279331</v>
      </c>
      <c r="BU726" s="551">
        <v>236108.48201329104</v>
      </c>
      <c r="BV726" s="551">
        <v>140828.03105676398</v>
      </c>
      <c r="BW726" s="551">
        <v>1684.0436431712242</v>
      </c>
      <c r="BX726" s="551">
        <v>6607.3833622356969</v>
      </c>
      <c r="BY726" s="551">
        <v>14263634.044261483</v>
      </c>
      <c r="BZ726" s="551">
        <v>2447.1790230502579</v>
      </c>
      <c r="CA726" s="551">
        <v>2024.5931114608888</v>
      </c>
      <c r="CB726" s="551">
        <v>7.5916754784353991E-32</v>
      </c>
      <c r="CC726" s="551">
        <v>356.40009750422655</v>
      </c>
      <c r="CD726" s="551">
        <v>1314492.7455571389</v>
      </c>
      <c r="CE726" s="551">
        <v>8.6419082881829752</v>
      </c>
      <c r="CF726" s="551">
        <v>468.78094621471024</v>
      </c>
      <c r="CG726" s="551">
        <v>234.26891022409961</v>
      </c>
      <c r="CH726" s="551">
        <v>1148.6988463476259</v>
      </c>
      <c r="CI726" s="551">
        <v>86.766263045962816</v>
      </c>
      <c r="CJ726" s="551">
        <v>20.87133900156909</v>
      </c>
      <c r="CK726" s="551">
        <v>185978.52894287274</v>
      </c>
      <c r="CL726" s="551"/>
      <c r="CM726" s="551">
        <v>13.263042154964682</v>
      </c>
      <c r="CN726" s="551">
        <v>8.6682388562632919</v>
      </c>
      <c r="CO726" s="551">
        <v>7.4376668214210351E-2</v>
      </c>
      <c r="CP726" s="551">
        <v>4904.8605825330324</v>
      </c>
      <c r="CQ726" s="551"/>
      <c r="CR726" s="551">
        <v>0.37006816337499809</v>
      </c>
      <c r="CS726" s="551">
        <v>0.10646289640305778</v>
      </c>
      <c r="CT726" s="551">
        <v>9.4655151095028894E-2</v>
      </c>
      <c r="CU726" s="551">
        <v>844.44444050804123</v>
      </c>
      <c r="CV726" s="551"/>
      <c r="CW726" s="551">
        <v>5.4515276854504822E-2</v>
      </c>
      <c r="CX726" s="551">
        <v>1.0937464780146228E-2</v>
      </c>
      <c r="CY726" s="554"/>
    </row>
    <row r="727" spans="65:103" ht="12.75" customHeight="1" x14ac:dyDescent="0.3">
      <c r="BM727" s="562"/>
      <c r="BN727" s="591">
        <v>714</v>
      </c>
      <c r="BO727" s="549" t="s">
        <v>3288</v>
      </c>
      <c r="BP727" s="554" t="s">
        <v>618</v>
      </c>
      <c r="BQ727" s="553">
        <v>9.66</v>
      </c>
      <c r="BR727" s="551">
        <v>525317.84749698802</v>
      </c>
      <c r="BS727" s="551"/>
      <c r="BT727" s="551">
        <v>1677447.7889007118</v>
      </c>
      <c r="BU727" s="551">
        <v>60903.725202976973</v>
      </c>
      <c r="BV727" s="551">
        <v>31845.309244515945</v>
      </c>
      <c r="BW727" s="551">
        <v>344.70441503434665</v>
      </c>
      <c r="BX727" s="551">
        <v>2475.1409313673507</v>
      </c>
      <c r="BY727" s="551">
        <v>27914557.866475556</v>
      </c>
      <c r="BZ727" s="551">
        <v>916.71886346938902</v>
      </c>
      <c r="CA727" s="551">
        <v>1686656.6249890509</v>
      </c>
      <c r="CB727" s="551">
        <v>9.6360520706083397E-30</v>
      </c>
      <c r="CC727" s="551">
        <v>11500.13448925902</v>
      </c>
      <c r="CD727" s="551">
        <v>5892459.9100822173</v>
      </c>
      <c r="CE727" s="551">
        <v>218.32294369291611</v>
      </c>
      <c r="CF727" s="551">
        <v>1667.5145400785325</v>
      </c>
      <c r="CG727" s="551">
        <v>3504.5772862473841</v>
      </c>
      <c r="CH727" s="551">
        <v>25898.26226399911</v>
      </c>
      <c r="CI727" s="551">
        <v>1297.9915874990306</v>
      </c>
      <c r="CJ727" s="551">
        <v>1016070.8270739404</v>
      </c>
      <c r="CK727" s="551">
        <v>8631326.8944811486</v>
      </c>
      <c r="CL727" s="551"/>
      <c r="CM727" s="551">
        <v>492.192209883315</v>
      </c>
      <c r="CN727" s="551">
        <v>7577.685961468278</v>
      </c>
      <c r="CO727" s="551">
        <v>156821.62537643241</v>
      </c>
      <c r="CP727" s="551">
        <v>10505070.473868996</v>
      </c>
      <c r="CQ727" s="551"/>
      <c r="CR727" s="551">
        <v>605.9930733438689</v>
      </c>
      <c r="CS727" s="551">
        <v>3843.0354810429312</v>
      </c>
      <c r="CT727" s="551">
        <v>361879.67039607861</v>
      </c>
      <c r="CU727" s="551">
        <v>805215.27929516532</v>
      </c>
      <c r="CV727" s="551"/>
      <c r="CW727" s="551">
        <v>44.945599386285963</v>
      </c>
      <c r="CX727" s="551">
        <v>777.94780235706571</v>
      </c>
      <c r="CY727" s="554"/>
    </row>
    <row r="728" spans="65:103" ht="12.75" customHeight="1" x14ac:dyDescent="0.3">
      <c r="BM728" s="562"/>
      <c r="BN728" s="591">
        <v>715</v>
      </c>
      <c r="BO728" s="549" t="s">
        <v>3290</v>
      </c>
      <c r="BP728" s="554" t="s">
        <v>618</v>
      </c>
      <c r="BQ728" s="553">
        <v>9.6999999999999993</v>
      </c>
      <c r="BR728" s="551">
        <v>48198.483396989766</v>
      </c>
      <c r="BS728" s="551"/>
      <c r="BT728" s="551">
        <v>10413798.154712323</v>
      </c>
      <c r="BU728" s="551">
        <v>472727.35554690484</v>
      </c>
      <c r="BV728" s="551">
        <v>2549513.7032319084</v>
      </c>
      <c r="BW728" s="551">
        <v>29348.397827946977</v>
      </c>
      <c r="BX728" s="551">
        <v>265425.58179414703</v>
      </c>
      <c r="BY728" s="551">
        <v>40418075.416369773</v>
      </c>
      <c r="BZ728" s="551">
        <v>98305.771034869264</v>
      </c>
      <c r="CA728" s="551">
        <v>9185.2086150368414</v>
      </c>
      <c r="CB728" s="551">
        <v>3.9022781298290786E-31</v>
      </c>
      <c r="CC728" s="551">
        <v>5011.1337396370363</v>
      </c>
      <c r="CD728" s="551">
        <v>5679715.8821210535</v>
      </c>
      <c r="CE728" s="551">
        <v>1226.829438032767</v>
      </c>
      <c r="CF728" s="551">
        <v>17630.729351948652</v>
      </c>
      <c r="CG728" s="551">
        <v>27258.424847913775</v>
      </c>
      <c r="CH728" s="551">
        <v>90847.02383422108</v>
      </c>
      <c r="CI728" s="551">
        <v>10095.712906634728</v>
      </c>
      <c r="CJ728" s="551">
        <v>263.02105259229529</v>
      </c>
      <c r="CK728" s="551">
        <v>1962246.2558110522</v>
      </c>
      <c r="CL728" s="551"/>
      <c r="CM728" s="551">
        <v>1225.4794271912012</v>
      </c>
      <c r="CN728" s="551">
        <v>2801.598514591522</v>
      </c>
      <c r="CO728" s="551">
        <v>2.4784626819290749</v>
      </c>
      <c r="CP728" s="551">
        <v>122522.43220097697</v>
      </c>
      <c r="CQ728" s="551"/>
      <c r="CR728" s="551">
        <v>86.665651832243043</v>
      </c>
      <c r="CS728" s="551">
        <v>97.408775026815405</v>
      </c>
      <c r="CT728" s="551">
        <v>3.2947354541179674</v>
      </c>
      <c r="CU728" s="551">
        <v>22268.181333838369</v>
      </c>
      <c r="CV728" s="551"/>
      <c r="CW728" s="551">
        <v>11.390893194268219</v>
      </c>
      <c r="CX728" s="551">
        <v>9.1457326019764889</v>
      </c>
      <c r="CY728" s="554"/>
    </row>
    <row r="729" spans="65:103" ht="12.75" customHeight="1" x14ac:dyDescent="0.3">
      <c r="BM729" s="562"/>
      <c r="BN729" s="591">
        <v>716</v>
      </c>
      <c r="BO729" s="549" t="s">
        <v>3292</v>
      </c>
      <c r="BP729" s="554" t="s">
        <v>618</v>
      </c>
      <c r="BQ729" s="553">
        <v>9.7100000000000009</v>
      </c>
      <c r="BR729" s="551">
        <v>154344.89588263683</v>
      </c>
      <c r="BS729" s="551"/>
      <c r="BT729" s="551">
        <v>12431075.850192297</v>
      </c>
      <c r="BU729" s="551">
        <v>567077.99015607394</v>
      </c>
      <c r="BV729" s="551">
        <v>1567044.2876748545</v>
      </c>
      <c r="BW729" s="551">
        <v>18955.166939642117</v>
      </c>
      <c r="BX729" s="551">
        <v>794738.8452115095</v>
      </c>
      <c r="BY729" s="551">
        <v>43574769.657204106</v>
      </c>
      <c r="BZ729" s="551">
        <v>294347.72044870723</v>
      </c>
      <c r="CA729" s="551">
        <v>109791.69970694435</v>
      </c>
      <c r="CB729" s="551">
        <v>5.0334790372457661E-30</v>
      </c>
      <c r="CC729" s="551">
        <v>80889.809481085817</v>
      </c>
      <c r="CD729" s="551">
        <v>9043805.266694475</v>
      </c>
      <c r="CE729" s="551">
        <v>10196.857891143991</v>
      </c>
      <c r="CF729" s="551">
        <v>15114.926127941191</v>
      </c>
      <c r="CG729" s="551">
        <v>301050.3819975623</v>
      </c>
      <c r="CH729" s="551">
        <v>1124485.9087077633</v>
      </c>
      <c r="CI729" s="551">
        <v>111500.1414805786</v>
      </c>
      <c r="CJ729" s="551">
        <v>12022.1449484883</v>
      </c>
      <c r="CK729" s="551">
        <v>3477229.2156510982</v>
      </c>
      <c r="CL729" s="551"/>
      <c r="CM729" s="551">
        <v>1169.2361138417773</v>
      </c>
      <c r="CN729" s="551">
        <v>118319.21763724527</v>
      </c>
      <c r="CO729" s="551">
        <v>393.38922483183933</v>
      </c>
      <c r="CP729" s="551">
        <v>283172.07984567742</v>
      </c>
      <c r="CQ729" s="551"/>
      <c r="CR729" s="551">
        <v>103.1192604880721</v>
      </c>
      <c r="CS729" s="551">
        <v>14059.081077556993</v>
      </c>
      <c r="CT729" s="551">
        <v>582.56816852145153</v>
      </c>
      <c r="CU729" s="551">
        <v>49288.727285974019</v>
      </c>
      <c r="CV729" s="551"/>
      <c r="CW729" s="551">
        <v>14.480108614055332</v>
      </c>
      <c r="CX729" s="551">
        <v>1521.2510717099074</v>
      </c>
      <c r="CY729" s="554"/>
    </row>
    <row r="730" spans="65:103" ht="12.75" customHeight="1" x14ac:dyDescent="0.3">
      <c r="BM730" s="562"/>
      <c r="BN730" s="591">
        <v>717</v>
      </c>
      <c r="BO730" s="549" t="s">
        <v>3293</v>
      </c>
      <c r="BP730" s="554" t="s">
        <v>618</v>
      </c>
      <c r="BQ730" s="553">
        <v>9.7200000000000006</v>
      </c>
      <c r="BR730" s="551">
        <v>98710.688041091038</v>
      </c>
      <c r="BS730" s="551"/>
      <c r="BT730" s="551">
        <v>17816918.698295858</v>
      </c>
      <c r="BU730" s="551">
        <v>750655.53409972007</v>
      </c>
      <c r="BV730" s="551">
        <v>179343.43834812634</v>
      </c>
      <c r="BW730" s="551">
        <v>2291.011323984756</v>
      </c>
      <c r="BX730" s="551">
        <v>273024.45454257214</v>
      </c>
      <c r="BY730" s="551">
        <v>18388453.261167847</v>
      </c>
      <c r="BZ730" s="551">
        <v>101120.16834910082</v>
      </c>
      <c r="CA730" s="551">
        <v>22632.560426829299</v>
      </c>
      <c r="CB730" s="551">
        <v>2.2155833839497304E-30</v>
      </c>
      <c r="CC730" s="551">
        <v>83835.598982522904</v>
      </c>
      <c r="CD730" s="551">
        <v>4696640.7052518763</v>
      </c>
      <c r="CE730" s="551">
        <v>843.88130361387505</v>
      </c>
      <c r="CF730" s="551">
        <v>716.71069829150099</v>
      </c>
      <c r="CG730" s="551">
        <v>32403.948180288124</v>
      </c>
      <c r="CH730" s="551">
        <v>191245.54216749809</v>
      </c>
      <c r="CI730" s="551">
        <v>12001.462288995603</v>
      </c>
      <c r="CJ730" s="551">
        <v>772.35327471280448</v>
      </c>
      <c r="CK730" s="551">
        <v>689106.05530921347</v>
      </c>
      <c r="CL730" s="551"/>
      <c r="CM730" s="551">
        <v>21.028730853935443</v>
      </c>
      <c r="CN730" s="551">
        <v>3969.0254898857238</v>
      </c>
      <c r="CO730" s="551">
        <v>7.7772904880791165</v>
      </c>
      <c r="CP730" s="551">
        <v>19699.719534747517</v>
      </c>
      <c r="CQ730" s="551"/>
      <c r="CR730" s="551">
        <v>0.61887161367018639</v>
      </c>
      <c r="CS730" s="551">
        <v>131.92504574101633</v>
      </c>
      <c r="CT730" s="551">
        <v>11.55436308614113</v>
      </c>
      <c r="CU730" s="551">
        <v>3310.4136576183778</v>
      </c>
      <c r="CV730" s="551"/>
      <c r="CW730" s="551">
        <v>9.5788302801058267E-2</v>
      </c>
      <c r="CX730" s="551">
        <v>16.825488361377971</v>
      </c>
      <c r="CY730" s="554"/>
    </row>
    <row r="731" spans="65:103" ht="12.75" customHeight="1" x14ac:dyDescent="0.3">
      <c r="BM731" s="562"/>
      <c r="BN731" s="591">
        <v>718</v>
      </c>
      <c r="BO731" s="549" t="s">
        <v>3295</v>
      </c>
      <c r="BP731" s="554" t="s">
        <v>618</v>
      </c>
      <c r="BQ731" s="553">
        <v>9.82</v>
      </c>
      <c r="BR731" s="551">
        <v>13185.568958479931</v>
      </c>
      <c r="BS731" s="551"/>
      <c r="BT731" s="551">
        <v>12890741.719135217</v>
      </c>
      <c r="BU731" s="551">
        <v>547297.8942879492</v>
      </c>
      <c r="BV731" s="551">
        <v>153227.67757248215</v>
      </c>
      <c r="BW731" s="551">
        <v>1964.3781329756503</v>
      </c>
      <c r="BX731" s="551">
        <v>1330088.5658884789</v>
      </c>
      <c r="BY731" s="551">
        <v>20382817.155052111</v>
      </c>
      <c r="BZ731" s="551">
        <v>492625.39477351075</v>
      </c>
      <c r="CA731" s="551">
        <v>655.60884292755225</v>
      </c>
      <c r="CB731" s="551">
        <v>8.9733093148268084E-31</v>
      </c>
      <c r="CC731" s="551">
        <v>53778.907998808674</v>
      </c>
      <c r="CD731" s="551">
        <v>3259879.0811894373</v>
      </c>
      <c r="CE731" s="551">
        <v>639.25081694945698</v>
      </c>
      <c r="CF731" s="551">
        <v>585.02282304270511</v>
      </c>
      <c r="CG731" s="551">
        <v>34270.754300974819</v>
      </c>
      <c r="CH731" s="551">
        <v>171158.01626444602</v>
      </c>
      <c r="CI731" s="551">
        <v>12692.871963324002</v>
      </c>
      <c r="CJ731" s="551">
        <v>4.8006700521790098</v>
      </c>
      <c r="CK731" s="551">
        <v>464191.33236041007</v>
      </c>
      <c r="CL731" s="551"/>
      <c r="CM731" s="551">
        <v>16.65860175674527</v>
      </c>
      <c r="CN731" s="551">
        <v>900.70873420076623</v>
      </c>
      <c r="CO731" s="551">
        <v>7.6961922377092569E-3</v>
      </c>
      <c r="CP731" s="551">
        <v>12295.815439016536</v>
      </c>
      <c r="CQ731" s="551"/>
      <c r="CR731" s="551">
        <v>0.4559311674377467</v>
      </c>
      <c r="CS731" s="551">
        <v>4.8354132128696063</v>
      </c>
      <c r="CT731" s="551">
        <v>1.7379766760520589E-2</v>
      </c>
      <c r="CU731" s="551">
        <v>2114.2169867595476</v>
      </c>
      <c r="CV731" s="551"/>
      <c r="CW731" s="551">
        <v>7.1484686575732356E-2</v>
      </c>
      <c r="CX731" s="551">
        <v>0.90381518693949026</v>
      </c>
      <c r="CY731" s="554"/>
    </row>
    <row r="732" spans="65:103" ht="12.75" customHeight="1" x14ac:dyDescent="0.3">
      <c r="BM732" s="562"/>
      <c r="BN732" s="591">
        <v>719</v>
      </c>
      <c r="BO732" s="549" t="s">
        <v>3297</v>
      </c>
      <c r="BP732" s="554" t="s">
        <v>618</v>
      </c>
      <c r="BQ732" s="553">
        <v>9.9</v>
      </c>
      <c r="BR732" s="551">
        <v>3.9179044041331178E-2</v>
      </c>
      <c r="BS732" s="551"/>
      <c r="BT732" s="551">
        <v>2763644.6345802234</v>
      </c>
      <c r="BU732" s="551">
        <v>117461.91428231436</v>
      </c>
      <c r="BV732" s="551">
        <v>27902.429297546085</v>
      </c>
      <c r="BW732" s="551">
        <v>359.55094264997842</v>
      </c>
      <c r="BX732" s="551">
        <v>244383.12897329501</v>
      </c>
      <c r="BY732" s="551">
        <v>3642865.0608122363</v>
      </c>
      <c r="BZ732" s="551">
        <v>90512.269990109256</v>
      </c>
      <c r="CA732" s="551">
        <v>2.9023967990686408E-8</v>
      </c>
      <c r="CB732" s="551">
        <v>3.1481535467143751E-36</v>
      </c>
      <c r="CC732" s="551">
        <v>0.2202005042009183</v>
      </c>
      <c r="CD732" s="551">
        <v>652611.99739968451</v>
      </c>
      <c r="CE732" s="551">
        <v>2.2231979187452111E-3</v>
      </c>
      <c r="CF732" s="551">
        <v>99.882272600196956</v>
      </c>
      <c r="CG732" s="551">
        <v>9.3815082120384183E-2</v>
      </c>
      <c r="CH732" s="551">
        <v>0.5229855408740719</v>
      </c>
      <c r="CI732" s="551">
        <v>3.4746326711253384E-2</v>
      </c>
      <c r="CJ732" s="551">
        <v>3.1538649008834905E-15</v>
      </c>
      <c r="CK732" s="551">
        <v>92461.054600530711</v>
      </c>
      <c r="CL732" s="551"/>
      <c r="CM732" s="551">
        <v>2.8298449920596092</v>
      </c>
      <c r="CN732" s="551">
        <v>3.6590017562933862E-8</v>
      </c>
      <c r="CO732" s="551">
        <v>7.0062481963691511E-23</v>
      </c>
      <c r="CP732" s="551">
        <v>2444.167089730819</v>
      </c>
      <c r="CQ732" s="551"/>
      <c r="CR732" s="551">
        <v>7.7014912181264633E-2</v>
      </c>
      <c r="CS732" s="551">
        <v>2.669586625304542E-15</v>
      </c>
      <c r="CT732" s="551">
        <v>1.7623351272287903E-22</v>
      </c>
      <c r="CU732" s="551">
        <v>420.36053647675635</v>
      </c>
      <c r="CV732" s="551"/>
      <c r="CW732" s="551">
        <v>1.2197816619361933E-2</v>
      </c>
      <c r="CX732" s="551">
        <v>5.7694348855500998E-16</v>
      </c>
      <c r="CY732" s="554"/>
    </row>
    <row r="733" spans="65:103" ht="12.75" customHeight="1" x14ac:dyDescent="0.3">
      <c r="BM733" s="562"/>
      <c r="BN733" s="591">
        <v>720</v>
      </c>
      <c r="BO733" s="549" t="s">
        <v>3299</v>
      </c>
      <c r="BP733" s="554" t="s">
        <v>618</v>
      </c>
      <c r="BQ733" s="553">
        <v>9.91</v>
      </c>
      <c r="BR733" s="551">
        <v>4560.0587216684116</v>
      </c>
      <c r="BS733" s="551"/>
      <c r="BT733" s="551">
        <v>9245606.4008345585</v>
      </c>
      <c r="BU733" s="551">
        <v>426322.19043272128</v>
      </c>
      <c r="BV733" s="551">
        <v>8533527.8490952626</v>
      </c>
      <c r="BW733" s="551">
        <v>101517.81817559639</v>
      </c>
      <c r="BX733" s="551">
        <v>7879754.5930997534</v>
      </c>
      <c r="BY733" s="551">
        <v>51236192.832658172</v>
      </c>
      <c r="BZ733" s="551">
        <v>2918427.6270739846</v>
      </c>
      <c r="CA733" s="551">
        <v>137.94330695507222</v>
      </c>
      <c r="CB733" s="551">
        <v>3.5528983647277489E-31</v>
      </c>
      <c r="CC733" s="551">
        <v>6240.8520937390558</v>
      </c>
      <c r="CD733" s="551">
        <v>5154408.5429579681</v>
      </c>
      <c r="CE733" s="551">
        <v>5760.1938515573711</v>
      </c>
      <c r="CF733" s="551">
        <v>61369.58396836312</v>
      </c>
      <c r="CG733" s="551">
        <v>123521.19820239331</v>
      </c>
      <c r="CH733" s="551">
        <v>289396.34636358131</v>
      </c>
      <c r="CI733" s="551">
        <v>45748.591926812325</v>
      </c>
      <c r="CJ733" s="551">
        <v>0.61431644180353473</v>
      </c>
      <c r="CK733" s="551">
        <v>1779855.8919307783</v>
      </c>
      <c r="CL733" s="551"/>
      <c r="CM733" s="551">
        <v>4263.2023631898855</v>
      </c>
      <c r="CN733" s="551">
        <v>1974.4068861938536</v>
      </c>
      <c r="CO733" s="551">
        <v>1.2886450049283532E-3</v>
      </c>
      <c r="CP733" s="551">
        <v>111097.80518341971</v>
      </c>
      <c r="CQ733" s="551"/>
      <c r="CR733" s="551">
        <v>340.90239085762369</v>
      </c>
      <c r="CS733" s="551">
        <v>8.8056336091377663</v>
      </c>
      <c r="CT733" s="551">
        <v>1.2008749720361885E-3</v>
      </c>
      <c r="CU733" s="551">
        <v>20202.952695432126</v>
      </c>
      <c r="CV733" s="551"/>
      <c r="CW733" s="551">
        <v>34.224831755054332</v>
      </c>
      <c r="CX733" s="551">
        <v>1.0516416448068797</v>
      </c>
      <c r="CY733" s="554"/>
    </row>
    <row r="734" spans="65:103" ht="12.75" customHeight="1" x14ac:dyDescent="0.3">
      <c r="BM734" s="562"/>
      <c r="BN734" s="591">
        <v>721</v>
      </c>
      <c r="BO734" s="549" t="s">
        <v>3301</v>
      </c>
      <c r="BP734" s="554" t="s">
        <v>618</v>
      </c>
      <c r="BQ734" s="553">
        <v>9.93</v>
      </c>
      <c r="BR734" s="551">
        <v>72576.849308795296</v>
      </c>
      <c r="BS734" s="551"/>
      <c r="BT734" s="551">
        <v>4342130.0289102709</v>
      </c>
      <c r="BU734" s="551">
        <v>174436.27399656721</v>
      </c>
      <c r="BV734" s="551">
        <v>574482.87303493975</v>
      </c>
      <c r="BW734" s="551">
        <v>5895.7160288633813</v>
      </c>
      <c r="BX734" s="551">
        <v>43487.005544781481</v>
      </c>
      <c r="BY734" s="551">
        <v>16622571.398146957</v>
      </c>
      <c r="BZ734" s="551">
        <v>16106.29834991906</v>
      </c>
      <c r="CA734" s="551">
        <v>13838.349970833078</v>
      </c>
      <c r="CB734" s="551">
        <v>4.7337962960462076E-31</v>
      </c>
      <c r="CC734" s="551">
        <v>1691.1897084250684</v>
      </c>
      <c r="CD734" s="551">
        <v>1060668.3615018346</v>
      </c>
      <c r="CE734" s="551">
        <v>223.75182596431461</v>
      </c>
      <c r="CF734" s="551">
        <v>1792.4595948253536</v>
      </c>
      <c r="CG734" s="551">
        <v>4336.9705122560426</v>
      </c>
      <c r="CH734" s="551">
        <v>16834.399539749666</v>
      </c>
      <c r="CI734" s="551">
        <v>1606.2853749096446</v>
      </c>
      <c r="CJ734" s="551">
        <v>391.40592670722236</v>
      </c>
      <c r="CK734" s="551">
        <v>153283.4280256214</v>
      </c>
      <c r="CL734" s="551"/>
      <c r="CM734" s="551">
        <v>51.799025501078908</v>
      </c>
      <c r="CN734" s="551">
        <v>440.28431336797553</v>
      </c>
      <c r="CO734" s="551">
        <v>3.5689528565870345</v>
      </c>
      <c r="CP734" s="551">
        <v>4228.48401111974</v>
      </c>
      <c r="CQ734" s="551"/>
      <c r="CR734" s="551">
        <v>1.7548395460028703</v>
      </c>
      <c r="CS734" s="551">
        <v>13.593964696029234</v>
      </c>
      <c r="CT734" s="551">
        <v>4.7877925682169451</v>
      </c>
      <c r="CU734" s="551">
        <v>716.8842429640406</v>
      </c>
      <c r="CV734" s="551"/>
      <c r="CW734" s="551">
        <v>0.17877999430509672</v>
      </c>
      <c r="CX734" s="551">
        <v>1.4848643687899137</v>
      </c>
      <c r="CY734" s="554"/>
    </row>
    <row r="735" spans="65:103" ht="12.75" customHeight="1" x14ac:dyDescent="0.3">
      <c r="BM735" s="562"/>
      <c r="BN735" s="591">
        <v>722</v>
      </c>
      <c r="BO735" s="549" t="s">
        <v>3303</v>
      </c>
      <c r="BP735" s="554" t="s">
        <v>618</v>
      </c>
      <c r="BQ735" s="553">
        <v>9.98</v>
      </c>
      <c r="BR735" s="551">
        <v>103461.44316155797</v>
      </c>
      <c r="BS735" s="551"/>
      <c r="BT735" s="551">
        <v>8920007.2447292767</v>
      </c>
      <c r="BU735" s="551">
        <v>374373.94342884864</v>
      </c>
      <c r="BV735" s="551">
        <v>212608.70954682678</v>
      </c>
      <c r="BW735" s="551">
        <v>2626.9395047111871</v>
      </c>
      <c r="BX735" s="551">
        <v>161635.24128684285</v>
      </c>
      <c r="BY735" s="551">
        <v>16844383.930776902</v>
      </c>
      <c r="BZ735" s="551">
        <v>59864.904180312165</v>
      </c>
      <c r="CA735" s="551">
        <v>38433.07948472826</v>
      </c>
      <c r="CB735" s="551">
        <v>1.9156696816950772E-30</v>
      </c>
      <c r="CC735" s="551">
        <v>23401.729358464992</v>
      </c>
      <c r="CD735" s="551">
        <v>2518947.122120053</v>
      </c>
      <c r="CE735" s="551">
        <v>557.78110303747144</v>
      </c>
      <c r="CF735" s="551">
        <v>883.75831458384232</v>
      </c>
      <c r="CG735" s="551">
        <v>31120.32949251715</v>
      </c>
      <c r="CH735" s="551">
        <v>134716.95166302522</v>
      </c>
      <c r="CI735" s="551">
        <v>11526.047960191541</v>
      </c>
      <c r="CJ735" s="551">
        <v>2144.248886534328</v>
      </c>
      <c r="CK735" s="551">
        <v>386187.62585138524</v>
      </c>
      <c r="CL735" s="551"/>
      <c r="CM735" s="551">
        <v>27.094519451032998</v>
      </c>
      <c r="CN735" s="551">
        <v>6231.8623355864493</v>
      </c>
      <c r="CO735" s="551">
        <v>37.119190701664849</v>
      </c>
      <c r="CP735" s="551">
        <v>13173.036683487033</v>
      </c>
      <c r="CQ735" s="551"/>
      <c r="CR735" s="551">
        <v>0.97704365156582273</v>
      </c>
      <c r="CS735" s="551">
        <v>384.04574015834544</v>
      </c>
      <c r="CT735" s="551">
        <v>52.021536888531699</v>
      </c>
      <c r="CU735" s="551">
        <v>2144.90966487881</v>
      </c>
      <c r="CV735" s="551"/>
      <c r="CW735" s="551">
        <v>0.13639518315758051</v>
      </c>
      <c r="CX735" s="551">
        <v>40.951941738611474</v>
      </c>
      <c r="CY735" s="554"/>
    </row>
    <row r="736" spans="65:103" ht="12.75" customHeight="1" x14ac:dyDescent="0.3">
      <c r="BM736" s="562"/>
      <c r="BN736" s="591">
        <v>723</v>
      </c>
      <c r="BO736" s="549" t="s">
        <v>3305</v>
      </c>
      <c r="BP736" s="554" t="s">
        <v>618</v>
      </c>
      <c r="BQ736" s="553">
        <v>10</v>
      </c>
      <c r="BR736" s="551">
        <v>80135.895332159736</v>
      </c>
      <c r="BS736" s="551"/>
      <c r="BT736" s="551">
        <v>8217066.9116657898</v>
      </c>
      <c r="BU736" s="551">
        <v>343828.20769732108</v>
      </c>
      <c r="BV736" s="551">
        <v>727149.74046464451</v>
      </c>
      <c r="BW736" s="551">
        <v>8113.7913220988712</v>
      </c>
      <c r="BX736" s="551">
        <v>213488.18550782572</v>
      </c>
      <c r="BY736" s="551">
        <v>21416579.508099414</v>
      </c>
      <c r="BZ736" s="551">
        <v>79069.698336231711</v>
      </c>
      <c r="CA736" s="551">
        <v>22638.829225028414</v>
      </c>
      <c r="CB736" s="551">
        <v>1.0670266914449818E-30</v>
      </c>
      <c r="CC736" s="551">
        <v>8307.5276671051179</v>
      </c>
      <c r="CD736" s="551">
        <v>2150998.8590840511</v>
      </c>
      <c r="CE736" s="551">
        <v>735.15484928839714</v>
      </c>
      <c r="CF736" s="551">
        <v>2538.0052430201949</v>
      </c>
      <c r="CG736" s="551">
        <v>31332.779103767771</v>
      </c>
      <c r="CH736" s="551">
        <v>97273.25175984847</v>
      </c>
      <c r="CI736" s="551">
        <v>11604.733001395467</v>
      </c>
      <c r="CJ736" s="551">
        <v>954.83916576403089</v>
      </c>
      <c r="CK736" s="551">
        <v>316675.71128868731</v>
      </c>
      <c r="CL736" s="551"/>
      <c r="CM736" s="551">
        <v>74.718518407935974</v>
      </c>
      <c r="CN736" s="551">
        <v>4743.2807794996024</v>
      </c>
      <c r="CO736" s="551">
        <v>12.739390319805201</v>
      </c>
      <c r="CP736" s="551">
        <v>9294.8088534173185</v>
      </c>
      <c r="CQ736" s="551"/>
      <c r="CR736" s="551">
        <v>2.5599680690085851</v>
      </c>
      <c r="CS736" s="551">
        <v>240.9939458247552</v>
      </c>
      <c r="CT736" s="551">
        <v>17.467728731092134</v>
      </c>
      <c r="CU736" s="551">
        <v>1561.42880131795</v>
      </c>
      <c r="CV736" s="551"/>
      <c r="CW736" s="551">
        <v>0.28918687630019291</v>
      </c>
      <c r="CX736" s="551">
        <v>22.250378702663024</v>
      </c>
      <c r="CY736" s="554"/>
    </row>
    <row r="737" spans="65:103" ht="12.75" customHeight="1" x14ac:dyDescent="0.3">
      <c r="BM737" s="562"/>
      <c r="BN737" s="591">
        <v>724</v>
      </c>
      <c r="BO737" s="549" t="s">
        <v>3309</v>
      </c>
      <c r="BP737" s="554" t="s">
        <v>618</v>
      </c>
      <c r="BQ737" s="553">
        <v>10.14</v>
      </c>
      <c r="BR737" s="551">
        <v>205323.68369887353</v>
      </c>
      <c r="BS737" s="551"/>
      <c r="BT737" s="551">
        <v>2445750.5796956192</v>
      </c>
      <c r="BU737" s="551">
        <v>95296.474177962242</v>
      </c>
      <c r="BV737" s="551">
        <v>340169.52991034155</v>
      </c>
      <c r="BW737" s="551">
        <v>3367.5214179772343</v>
      </c>
      <c r="BX737" s="551">
        <v>55544.806170926313</v>
      </c>
      <c r="BY737" s="551">
        <v>12647003.963008372</v>
      </c>
      <c r="BZ737" s="551">
        <v>20572.150433676405</v>
      </c>
      <c r="CA737" s="551">
        <v>165980.16960597961</v>
      </c>
      <c r="CB737" s="551">
        <v>4.2744494111286657E-30</v>
      </c>
      <c r="CC737" s="551">
        <v>10247.39551219936</v>
      </c>
      <c r="CD737" s="551">
        <v>1462551.0659246997</v>
      </c>
      <c r="CE737" s="551">
        <v>1425.2686856662322</v>
      </c>
      <c r="CF737" s="551">
        <v>2584.1313027957899</v>
      </c>
      <c r="CG737" s="551">
        <v>23534.008535946676</v>
      </c>
      <c r="CH737" s="551">
        <v>99577.173211005109</v>
      </c>
      <c r="CI737" s="551">
        <v>8716.2994577580266</v>
      </c>
      <c r="CJ737" s="551">
        <v>20572.446999841428</v>
      </c>
      <c r="CK737" s="551">
        <v>344437.21410474979</v>
      </c>
      <c r="CL737" s="551"/>
      <c r="CM737" s="551">
        <v>121.69410742983109</v>
      </c>
      <c r="CN737" s="551">
        <v>10469.581213518493</v>
      </c>
      <c r="CO737" s="551">
        <v>769.46174151730645</v>
      </c>
      <c r="CP737" s="551">
        <v>44820.385032136233</v>
      </c>
      <c r="CQ737" s="551"/>
      <c r="CR737" s="551">
        <v>19.584182769733513</v>
      </c>
      <c r="CS737" s="551">
        <v>1292.4524667819469</v>
      </c>
      <c r="CT737" s="551">
        <v>1176.3146689981963</v>
      </c>
      <c r="CU737" s="551">
        <v>5085.5012949924349</v>
      </c>
      <c r="CV737" s="551"/>
      <c r="CW737" s="551">
        <v>1.3154206431251059</v>
      </c>
      <c r="CX737" s="551">
        <v>168.4906583761076</v>
      </c>
      <c r="CY737" s="554"/>
    </row>
    <row r="738" spans="65:103" ht="12.75" customHeight="1" x14ac:dyDescent="0.3">
      <c r="BM738" s="562"/>
      <c r="BN738" s="591">
        <v>725</v>
      </c>
      <c r="BO738" s="549" t="s">
        <v>3307</v>
      </c>
      <c r="BP738" s="554" t="s">
        <v>618</v>
      </c>
      <c r="BQ738" s="553">
        <v>10.14</v>
      </c>
      <c r="BR738" s="551">
        <v>312435.5653353844</v>
      </c>
      <c r="BS738" s="551"/>
      <c r="BT738" s="551">
        <v>8732214.4580878057</v>
      </c>
      <c r="BU738" s="551">
        <v>394451.97238101007</v>
      </c>
      <c r="BV738" s="551">
        <v>164622.45574216006</v>
      </c>
      <c r="BW738" s="551">
        <v>2216.4003561365025</v>
      </c>
      <c r="BX738" s="551">
        <v>104639.04392229865</v>
      </c>
      <c r="BY738" s="551">
        <v>19784004.124158278</v>
      </c>
      <c r="BZ738" s="551">
        <v>38755.201452703193</v>
      </c>
      <c r="CA738" s="551">
        <v>576293.30436292035</v>
      </c>
      <c r="CB738" s="551">
        <v>2.0932816559317475E-29</v>
      </c>
      <c r="CC738" s="551">
        <v>218612.98100520278</v>
      </c>
      <c r="CD738" s="551">
        <v>14576361.283548176</v>
      </c>
      <c r="CE738" s="551">
        <v>4121.3607342016103</v>
      </c>
      <c r="CF738" s="551">
        <v>4095.1819996002441</v>
      </c>
      <c r="CG738" s="551">
        <v>92030.676891471769</v>
      </c>
      <c r="CH738" s="551">
        <v>609404.1889707637</v>
      </c>
      <c r="CI738" s="551">
        <v>34085.435885730272</v>
      </c>
      <c r="CJ738" s="551">
        <v>174356.85251665441</v>
      </c>
      <c r="CK738" s="551">
        <v>9148878.8235268891</v>
      </c>
      <c r="CL738" s="551"/>
      <c r="CM738" s="551">
        <v>517.1435729438582</v>
      </c>
      <c r="CN738" s="551">
        <v>99938.244963893332</v>
      </c>
      <c r="CO738" s="551">
        <v>14340.923359751097</v>
      </c>
      <c r="CP738" s="551">
        <v>2451623.9359218748</v>
      </c>
      <c r="CQ738" s="551"/>
      <c r="CR738" s="551">
        <v>141.15132247052156</v>
      </c>
      <c r="CS738" s="551">
        <v>27312.562599408819</v>
      </c>
      <c r="CT738" s="551">
        <v>24456.317829735228</v>
      </c>
      <c r="CU738" s="551">
        <v>419524.20344195067</v>
      </c>
      <c r="CV738" s="551"/>
      <c r="CW738" s="551">
        <v>22.924839706507615</v>
      </c>
      <c r="CX738" s="551">
        <v>4004.2715962626939</v>
      </c>
      <c r="CY738" s="554"/>
    </row>
    <row r="739" spans="65:103" ht="12.75" customHeight="1" x14ac:dyDescent="0.3">
      <c r="BM739" s="562"/>
      <c r="BN739" s="591">
        <v>726</v>
      </c>
      <c r="BO739" s="549" t="s">
        <v>3311</v>
      </c>
      <c r="BP739" s="554" t="s">
        <v>618</v>
      </c>
      <c r="BQ739" s="553">
        <v>10.16</v>
      </c>
      <c r="BR739" s="551">
        <v>29870.952086364156</v>
      </c>
      <c r="BS739" s="551"/>
      <c r="BT739" s="551">
        <v>492801.43050482689</v>
      </c>
      <c r="BU739" s="551">
        <v>15153.177909128161</v>
      </c>
      <c r="BV739" s="551">
        <v>32153484.703594882</v>
      </c>
      <c r="BW739" s="551">
        <v>423180.96022114932</v>
      </c>
      <c r="BX739" s="551">
        <v>373153.31548701233</v>
      </c>
      <c r="BY739" s="551">
        <v>9769285.3239075243</v>
      </c>
      <c r="BZ739" s="551">
        <v>138204.93166185642</v>
      </c>
      <c r="CA739" s="551">
        <v>11154.572368012326</v>
      </c>
      <c r="CB739" s="551">
        <v>5.0890684042777195E-31</v>
      </c>
      <c r="CC739" s="551">
        <v>471.28301557889205</v>
      </c>
      <c r="CD739" s="551">
        <v>236358.1952417258</v>
      </c>
      <c r="CE739" s="551">
        <v>30749.487104688003</v>
      </c>
      <c r="CF739" s="551">
        <v>330037.33150350832</v>
      </c>
      <c r="CG739" s="551">
        <v>72208.788438631876</v>
      </c>
      <c r="CH739" s="551">
        <v>160768.45075656282</v>
      </c>
      <c r="CI739" s="551">
        <v>26743.995718011804</v>
      </c>
      <c r="CJ739" s="551">
        <v>624.82395282160019</v>
      </c>
      <c r="CK739" s="551">
        <v>58092.85599386425</v>
      </c>
      <c r="CL739" s="551"/>
      <c r="CM739" s="551">
        <v>15778.005043793522</v>
      </c>
      <c r="CN739" s="551">
        <v>14517.721408914183</v>
      </c>
      <c r="CO739" s="551">
        <v>37.948320573677513</v>
      </c>
      <c r="CP739" s="551">
        <v>3672.7234913130937</v>
      </c>
      <c r="CQ739" s="551"/>
      <c r="CR739" s="551">
        <v>2268.860862224542</v>
      </c>
      <c r="CS739" s="551">
        <v>1657.9932905734099</v>
      </c>
      <c r="CT739" s="551">
        <v>7.9985941983823379</v>
      </c>
      <c r="CU739" s="551">
        <v>506.7180927071476</v>
      </c>
      <c r="CV739" s="551"/>
      <c r="CW739" s="551">
        <v>66.692095314175219</v>
      </c>
      <c r="CX739" s="551">
        <v>66.408195210400848</v>
      </c>
      <c r="CY739" s="554"/>
    </row>
    <row r="740" spans="65:103" ht="12.75" customHeight="1" x14ac:dyDescent="0.3">
      <c r="BM740" s="562"/>
      <c r="BN740" s="591">
        <v>727</v>
      </c>
      <c r="BO740" s="549" t="s">
        <v>3313</v>
      </c>
      <c r="BP740" s="554" t="s">
        <v>618</v>
      </c>
      <c r="BQ740" s="553">
        <v>10.17</v>
      </c>
      <c r="BR740" s="551">
        <v>32623.801306690406</v>
      </c>
      <c r="BS740" s="551"/>
      <c r="BT740" s="551">
        <v>11621164.024966808</v>
      </c>
      <c r="BU740" s="551">
        <v>530893.66130960442</v>
      </c>
      <c r="BV740" s="551">
        <v>620275.85668719513</v>
      </c>
      <c r="BW740" s="551">
        <v>8008.2008897918258</v>
      </c>
      <c r="BX740" s="551">
        <v>2929.2011151808688</v>
      </c>
      <c r="BY740" s="551">
        <v>184040.63626557673</v>
      </c>
      <c r="BZ740" s="551">
        <v>1084.8893019188408</v>
      </c>
      <c r="CA740" s="551">
        <v>5379.9546978551061</v>
      </c>
      <c r="CB740" s="551">
        <v>3.1509262885623311E-31</v>
      </c>
      <c r="CC740" s="551">
        <v>3485.3398814180955</v>
      </c>
      <c r="CD740" s="551">
        <v>6342822.7010941664</v>
      </c>
      <c r="CE740" s="551">
        <v>186.0288845547752</v>
      </c>
      <c r="CF740" s="551">
        <v>4783.8768947998369</v>
      </c>
      <c r="CG740" s="551">
        <v>241.3790812258826</v>
      </c>
      <c r="CH740" s="551">
        <v>539.01833618547994</v>
      </c>
      <c r="CI740" s="551">
        <v>89.399659713289822</v>
      </c>
      <c r="CJ740" s="551">
        <v>132.24533195996253</v>
      </c>
      <c r="CK740" s="551">
        <v>2189711.4165958939</v>
      </c>
      <c r="CL740" s="551"/>
      <c r="CM740" s="551">
        <v>332.27811479053832</v>
      </c>
      <c r="CN740" s="551">
        <v>21.296342250304338</v>
      </c>
      <c r="CO740" s="551">
        <v>1.0443865997996575</v>
      </c>
      <c r="CP740" s="551">
        <v>136655.29386761936</v>
      </c>
      <c r="CQ740" s="551"/>
      <c r="CR740" s="551">
        <v>21.620369558304834</v>
      </c>
      <c r="CS740" s="551">
        <v>0.77517580321346702</v>
      </c>
      <c r="CT740" s="551">
        <v>1.4266255678409421</v>
      </c>
      <c r="CU740" s="551">
        <v>24834.945716217106</v>
      </c>
      <c r="CV740" s="551"/>
      <c r="CW740" s="551">
        <v>3.4987285612511072</v>
      </c>
      <c r="CX740" s="551">
        <v>5.3327722026635258E-2</v>
      </c>
      <c r="CY740" s="554"/>
    </row>
    <row r="741" spans="65:103" ht="12.75" customHeight="1" x14ac:dyDescent="0.3">
      <c r="BM741" s="562"/>
      <c r="BN741" s="591">
        <v>728</v>
      </c>
      <c r="BO741" s="549" t="s">
        <v>3315</v>
      </c>
      <c r="BP741" s="554" t="s">
        <v>618</v>
      </c>
      <c r="BQ741" s="553">
        <v>10.19</v>
      </c>
      <c r="BR741" s="551">
        <v>37069.681871818051</v>
      </c>
      <c r="BS741" s="551"/>
      <c r="BT741" s="551">
        <v>8160841.8923363956</v>
      </c>
      <c r="BU741" s="551">
        <v>340631.70950145234</v>
      </c>
      <c r="BV741" s="551">
        <v>552096.30410675693</v>
      </c>
      <c r="BW741" s="551">
        <v>6308.422847731993</v>
      </c>
      <c r="BX741" s="551">
        <v>80624.346351190106</v>
      </c>
      <c r="BY741" s="551">
        <v>20170674.453127876</v>
      </c>
      <c r="BZ741" s="551">
        <v>29860.869018959293</v>
      </c>
      <c r="CA741" s="551">
        <v>4310.8529380694636</v>
      </c>
      <c r="CB741" s="551">
        <v>2.0006001349284953E-31</v>
      </c>
      <c r="CC741" s="551">
        <v>1598.9385877033485</v>
      </c>
      <c r="CD741" s="551">
        <v>1933741.7090871753</v>
      </c>
      <c r="CE741" s="551">
        <v>108.17120297278124</v>
      </c>
      <c r="CF741" s="551">
        <v>1790.623133276709</v>
      </c>
      <c r="CG741" s="551">
        <v>4871.9592652314559</v>
      </c>
      <c r="CH741" s="551">
        <v>16300.93415867031</v>
      </c>
      <c r="CI741" s="551">
        <v>1804.4293574931312</v>
      </c>
      <c r="CJ741" s="551">
        <v>74.253433531267532</v>
      </c>
      <c r="CK741" s="551">
        <v>274765.5939091192</v>
      </c>
      <c r="CL741" s="551"/>
      <c r="CM741" s="551">
        <v>50.878173569496326</v>
      </c>
      <c r="CN741" s="551">
        <v>301.20393198651595</v>
      </c>
      <c r="CO741" s="551">
        <v>0.415061248284118</v>
      </c>
      <c r="CP741" s="551">
        <v>7288.7758019282755</v>
      </c>
      <c r="CQ741" s="551"/>
      <c r="CR741" s="551">
        <v>1.5316830272254682</v>
      </c>
      <c r="CS741" s="551">
        <v>6.2736051830179447</v>
      </c>
      <c r="CT741" s="551">
        <v>0.55049942729749757</v>
      </c>
      <c r="CU741" s="551">
        <v>1252.5339302931955</v>
      </c>
      <c r="CV741" s="551"/>
      <c r="CW741" s="551">
        <v>0.18899961398867093</v>
      </c>
      <c r="CX741" s="551">
        <v>0.58213890615678421</v>
      </c>
      <c r="CY741" s="554"/>
    </row>
    <row r="742" spans="65:103" ht="12.75" customHeight="1" x14ac:dyDescent="0.3">
      <c r="BM742" s="562"/>
      <c r="BN742" s="591">
        <v>729</v>
      </c>
      <c r="BO742" s="549" t="s">
        <v>3319</v>
      </c>
      <c r="BP742" s="554" t="s">
        <v>618</v>
      </c>
      <c r="BQ742" s="553">
        <v>10.199999999999999</v>
      </c>
      <c r="BR742" s="551">
        <v>60958.165625913665</v>
      </c>
      <c r="BS742" s="551"/>
      <c r="BT742" s="551">
        <v>390966.40649434848</v>
      </c>
      <c r="BU742" s="551">
        <v>10947.430308747218</v>
      </c>
      <c r="BV742" s="551">
        <v>97027518.674947783</v>
      </c>
      <c r="BW742" s="551">
        <v>1804231.260127008</v>
      </c>
      <c r="BX742" s="551">
        <v>3282128.0583186089</v>
      </c>
      <c r="BY742" s="551">
        <v>39863020.277520299</v>
      </c>
      <c r="BZ742" s="551">
        <v>1215602.984562448</v>
      </c>
      <c r="CA742" s="551">
        <v>80410.346719025474</v>
      </c>
      <c r="CB742" s="551">
        <v>3.7363536888951446E-30</v>
      </c>
      <c r="CC742" s="551">
        <v>3024.65447095942</v>
      </c>
      <c r="CD742" s="551">
        <v>2659549.9328623251</v>
      </c>
      <c r="CE742" s="551">
        <v>750639.21935840719</v>
      </c>
      <c r="CF742" s="551">
        <v>21915842.30915286</v>
      </c>
      <c r="CG742" s="551">
        <v>2243541.2444173652</v>
      </c>
      <c r="CH742" s="551">
        <v>4991365.9050077023</v>
      </c>
      <c r="CI742" s="551">
        <v>830941.20163606131</v>
      </c>
      <c r="CJ742" s="551">
        <v>16979.483337019454</v>
      </c>
      <c r="CK742" s="551">
        <v>6939487.5564558096</v>
      </c>
      <c r="CL742" s="551"/>
      <c r="CM742" s="551">
        <v>11032298.959099829</v>
      </c>
      <c r="CN742" s="551">
        <v>1700396.6848611976</v>
      </c>
      <c r="CO742" s="551">
        <v>1960.2390726456672</v>
      </c>
      <c r="CP742" s="551">
        <v>1936250.9797410886</v>
      </c>
      <c r="CQ742" s="551"/>
      <c r="CR742" s="551">
        <v>4533467.2637715302</v>
      </c>
      <c r="CS742" s="551">
        <v>341780.0812432731</v>
      </c>
      <c r="CT742" s="551">
        <v>1142.2293925420697</v>
      </c>
      <c r="CU742" s="551">
        <v>829892.63880523236</v>
      </c>
      <c r="CV742" s="551"/>
      <c r="CW742" s="551">
        <v>823951.8284719144</v>
      </c>
      <c r="CX742" s="551">
        <v>47401.112140996454</v>
      </c>
      <c r="CY742" s="554"/>
    </row>
    <row r="743" spans="65:103" ht="12.75" customHeight="1" x14ac:dyDescent="0.3">
      <c r="BM743" s="562"/>
      <c r="BN743" s="591">
        <v>730</v>
      </c>
      <c r="BO743" s="549" t="s">
        <v>3317</v>
      </c>
      <c r="BP743" s="554" t="s">
        <v>618</v>
      </c>
      <c r="BQ743" s="553">
        <v>10.199999999999999</v>
      </c>
      <c r="BR743" s="551">
        <v>791.52761597606661</v>
      </c>
      <c r="BS743" s="551"/>
      <c r="BT743" s="551">
        <v>12101993.713103548</v>
      </c>
      <c r="BU743" s="551">
        <v>515266.71645296103</v>
      </c>
      <c r="BV743" s="551">
        <v>209625.86291261369</v>
      </c>
      <c r="BW743" s="551">
        <v>2663.1591635749428</v>
      </c>
      <c r="BX743" s="551">
        <v>2528518.0494615887</v>
      </c>
      <c r="BY743" s="551">
        <v>27354316.325126</v>
      </c>
      <c r="BZ743" s="551">
        <v>936488.16646725533</v>
      </c>
      <c r="CA743" s="551">
        <v>2.3141956688499912</v>
      </c>
      <c r="CB743" s="551">
        <v>6.2816509349987478E-32</v>
      </c>
      <c r="CC743" s="551">
        <v>2932.8679689765872</v>
      </c>
      <c r="CD743" s="551">
        <v>2877914.9002212593</v>
      </c>
      <c r="CE743" s="551">
        <v>50.80195820460527</v>
      </c>
      <c r="CF743" s="551">
        <v>743.72603486536195</v>
      </c>
      <c r="CG743" s="551">
        <v>3830.8800412949959</v>
      </c>
      <c r="CH743" s="551">
        <v>15352.163050890369</v>
      </c>
      <c r="CI743" s="551">
        <v>1418.8444597388864</v>
      </c>
      <c r="CJ743" s="551">
        <v>9.9681990039437508E-4</v>
      </c>
      <c r="CK743" s="551">
        <v>407752.83264392125</v>
      </c>
      <c r="CL743" s="551"/>
      <c r="CM743" s="551">
        <v>21.071793570108436</v>
      </c>
      <c r="CN743" s="551">
        <v>5.9226876762100211</v>
      </c>
      <c r="CO743" s="551">
        <v>1.1094680709038486E-7</v>
      </c>
      <c r="CP743" s="551">
        <v>10778.903232926299</v>
      </c>
      <c r="CQ743" s="551"/>
      <c r="CR743" s="551">
        <v>0.58170271753491598</v>
      </c>
      <c r="CS743" s="551">
        <v>2.3311162337385956E-3</v>
      </c>
      <c r="CT743" s="551">
        <v>2.5833193504195374E-7</v>
      </c>
      <c r="CU743" s="551">
        <v>1853.8134323079844</v>
      </c>
      <c r="CV743" s="551"/>
      <c r="CW743" s="551">
        <v>8.8623510666664948E-2</v>
      </c>
      <c r="CX743" s="551">
        <v>4.0814347920147426E-4</v>
      </c>
      <c r="CY743" s="554"/>
    </row>
    <row r="744" spans="65:103" ht="12.75" customHeight="1" x14ac:dyDescent="0.3">
      <c r="BM744" s="562"/>
      <c r="BN744" s="591">
        <v>731</v>
      </c>
      <c r="BO744" s="549" t="s">
        <v>3321</v>
      </c>
      <c r="BP744" s="554" t="s">
        <v>618</v>
      </c>
      <c r="BQ744" s="553">
        <v>10.220000000000001</v>
      </c>
      <c r="BR744" s="551">
        <v>90726.221972279949</v>
      </c>
      <c r="BS744" s="551"/>
      <c r="BT744" s="551">
        <v>9766602.2968067415</v>
      </c>
      <c r="BU744" s="551">
        <v>409369.30468181422</v>
      </c>
      <c r="BV744" s="551">
        <v>425627.16676087352</v>
      </c>
      <c r="BW744" s="551">
        <v>5065.2125637636764</v>
      </c>
      <c r="BX744" s="551">
        <v>211649.76511140261</v>
      </c>
      <c r="BY744" s="551">
        <v>22257190.711869314</v>
      </c>
      <c r="BZ744" s="551">
        <v>78388.801893112046</v>
      </c>
      <c r="CA744" s="551">
        <v>25325.506587821779</v>
      </c>
      <c r="CB744" s="551">
        <v>1.2993599582979646E-30</v>
      </c>
      <c r="CC744" s="551">
        <v>12794.869870360973</v>
      </c>
      <c r="CD744" s="551">
        <v>2569493.0195948295</v>
      </c>
      <c r="CE744" s="551">
        <v>557.59864551629778</v>
      </c>
      <c r="CF744" s="551">
        <v>1589.6438956837324</v>
      </c>
      <c r="CG744" s="551">
        <v>30666.018587031147</v>
      </c>
      <c r="CH744" s="551">
        <v>110081.83701252966</v>
      </c>
      <c r="CI744" s="551">
        <v>11357.784661863383</v>
      </c>
      <c r="CJ744" s="551">
        <v>1055.713992945881</v>
      </c>
      <c r="CK744" s="551">
        <v>378610.37565510499</v>
      </c>
      <c r="CL744" s="551"/>
      <c r="CM744" s="551">
        <v>46.839378339388858</v>
      </c>
      <c r="CN744" s="551">
        <v>4588.2723263075277</v>
      </c>
      <c r="CO744" s="551">
        <v>13.844571668591554</v>
      </c>
      <c r="CP744" s="551">
        <v>11125.091578791236</v>
      </c>
      <c r="CQ744" s="551"/>
      <c r="CR744" s="551">
        <v>1.5056612911343024</v>
      </c>
      <c r="CS744" s="551">
        <v>222.9628993677149</v>
      </c>
      <c r="CT744" s="551">
        <v>19.06116627420953</v>
      </c>
      <c r="CU744" s="551">
        <v>1866.9415022997823</v>
      </c>
      <c r="CV744" s="551"/>
      <c r="CW744" s="551">
        <v>0.19839938700311588</v>
      </c>
      <c r="CX744" s="551">
        <v>21.768928992596539</v>
      </c>
      <c r="CY744" s="554"/>
    </row>
    <row r="745" spans="65:103" ht="12.75" customHeight="1" x14ac:dyDescent="0.3">
      <c r="BM745" s="562"/>
      <c r="BN745" s="591">
        <v>732</v>
      </c>
      <c r="BO745" s="549" t="s">
        <v>3322</v>
      </c>
      <c r="BP745" s="554" t="s">
        <v>618</v>
      </c>
      <c r="BQ745" s="553">
        <v>10.24</v>
      </c>
      <c r="BR745" s="551">
        <v>97745.976101096952</v>
      </c>
      <c r="BS745" s="551"/>
      <c r="BT745" s="551">
        <v>4839706.0154919541</v>
      </c>
      <c r="BU745" s="551">
        <v>196867.96231415169</v>
      </c>
      <c r="BV745" s="551">
        <v>632387.70323982358</v>
      </c>
      <c r="BW745" s="551">
        <v>6580.4668287169816</v>
      </c>
      <c r="BX745" s="551">
        <v>75535.965808041437</v>
      </c>
      <c r="BY745" s="551">
        <v>16945987.307446379</v>
      </c>
      <c r="BZ745" s="551">
        <v>27976.28363260793</v>
      </c>
      <c r="CA745" s="551">
        <v>28305.241135236371</v>
      </c>
      <c r="CB745" s="551">
        <v>1.0118428833022858E-30</v>
      </c>
      <c r="CC745" s="551">
        <v>4157.3023213606375</v>
      </c>
      <c r="CD745" s="551">
        <v>1309790.9897916827</v>
      </c>
      <c r="CE745" s="551">
        <v>543.22036467985777</v>
      </c>
      <c r="CF745" s="551">
        <v>2189.0398162202609</v>
      </c>
      <c r="CG745" s="551">
        <v>11430.427906292363</v>
      </c>
      <c r="CH745" s="551">
        <v>42674.617398576804</v>
      </c>
      <c r="CI745" s="551">
        <v>4233.4918171453182</v>
      </c>
      <c r="CJ745" s="551">
        <v>1221.6148117335883</v>
      </c>
      <c r="CK745" s="551">
        <v>196589.0748565621</v>
      </c>
      <c r="CL745" s="551"/>
      <c r="CM745" s="551">
        <v>65.700372432808607</v>
      </c>
      <c r="CN745" s="551">
        <v>1770.6534703181537</v>
      </c>
      <c r="CO745" s="551">
        <v>16.827837948156155</v>
      </c>
      <c r="CP745" s="551">
        <v>6117.9004481511283</v>
      </c>
      <c r="CQ745" s="551"/>
      <c r="CR745" s="551">
        <v>2.5066212797980256</v>
      </c>
      <c r="CS745" s="551">
        <v>83.660132223269258</v>
      </c>
      <c r="CT745" s="551">
        <v>22.93579067530203</v>
      </c>
      <c r="CU745" s="551">
        <v>1003.88797741679</v>
      </c>
      <c r="CV745" s="551"/>
      <c r="CW745" s="551">
        <v>0.24808411059793373</v>
      </c>
      <c r="CX745" s="551">
        <v>9.075720024720388</v>
      </c>
      <c r="CY745" s="554"/>
    </row>
    <row r="746" spans="65:103" ht="12.75" customHeight="1" x14ac:dyDescent="0.3">
      <c r="BM746" s="562"/>
      <c r="BN746" s="591">
        <v>733</v>
      </c>
      <c r="BO746" s="549" t="s">
        <v>3327</v>
      </c>
      <c r="BP746" s="554" t="s">
        <v>618</v>
      </c>
      <c r="BQ746" s="553">
        <v>10.25</v>
      </c>
      <c r="BR746" s="551">
        <v>52414.828688953035</v>
      </c>
      <c r="BS746" s="551"/>
      <c r="BT746" s="551">
        <v>17001264.650509916</v>
      </c>
      <c r="BU746" s="551">
        <v>823557.49339690141</v>
      </c>
      <c r="BV746" s="551">
        <v>3457326.7072777366</v>
      </c>
      <c r="BW746" s="551">
        <v>44777.604538672145</v>
      </c>
      <c r="BX746" s="551">
        <v>619483.79414078675</v>
      </c>
      <c r="BY746" s="551">
        <v>65836332.274474077</v>
      </c>
      <c r="BZ746" s="551">
        <v>229438.44227436552</v>
      </c>
      <c r="CA746" s="551">
        <v>15389.261501124256</v>
      </c>
      <c r="CB746" s="551">
        <v>6.6048203807935571E-31</v>
      </c>
      <c r="CC746" s="551">
        <v>29611.876789143618</v>
      </c>
      <c r="CD746" s="551">
        <v>52666012.384104677</v>
      </c>
      <c r="CE746" s="551">
        <v>6021.783354372601</v>
      </c>
      <c r="CF746" s="551">
        <v>143175.06027643665</v>
      </c>
      <c r="CG746" s="551">
        <v>94858.140217366832</v>
      </c>
      <c r="CH746" s="551">
        <v>425214.63643729017</v>
      </c>
      <c r="CI746" s="551">
        <v>35132.644524950672</v>
      </c>
      <c r="CJ746" s="551">
        <v>2717.1385194580416</v>
      </c>
      <c r="CK746" s="551">
        <v>907447828.45564449</v>
      </c>
      <c r="CL746" s="551"/>
      <c r="CM746" s="551">
        <v>498366.33757597598</v>
      </c>
      <c r="CN746" s="551">
        <v>60113.534069505324</v>
      </c>
      <c r="CO746" s="551">
        <v>454.09756673103681</v>
      </c>
      <c r="CP746" s="551">
        <v>578137429.75815368</v>
      </c>
      <c r="CQ746" s="551"/>
      <c r="CR746" s="551">
        <v>318454.35346024728</v>
      </c>
      <c r="CS746" s="551">
        <v>34486.743106336122</v>
      </c>
      <c r="CT746" s="551">
        <v>5110.2365838226233</v>
      </c>
      <c r="CU746" s="551">
        <v>1288810480.9356437</v>
      </c>
      <c r="CV746" s="551"/>
      <c r="CW746" s="551">
        <v>703909.44542875211</v>
      </c>
      <c r="CX746" s="551">
        <v>30809.295255360463</v>
      </c>
      <c r="CY746" s="554"/>
    </row>
    <row r="747" spans="65:103" ht="12.75" customHeight="1" x14ac:dyDescent="0.3">
      <c r="BM747" s="562"/>
      <c r="BN747" s="591">
        <v>734</v>
      </c>
      <c r="BO747" s="549" t="s">
        <v>3326</v>
      </c>
      <c r="BP747" s="554" t="s">
        <v>618</v>
      </c>
      <c r="BQ747" s="553">
        <v>10.25</v>
      </c>
      <c r="BR747" s="551">
        <v>73487.275289853715</v>
      </c>
      <c r="BS747" s="551"/>
      <c r="BT747" s="551">
        <v>2182729.9864820894</v>
      </c>
      <c r="BU747" s="551">
        <v>90233.267752367436</v>
      </c>
      <c r="BV747" s="551">
        <v>11689865.868400646</v>
      </c>
      <c r="BW747" s="551">
        <v>166342.33985386614</v>
      </c>
      <c r="BX747" s="551">
        <v>204308.06232656317</v>
      </c>
      <c r="BY747" s="551">
        <v>30941371.13956384</v>
      </c>
      <c r="BZ747" s="551">
        <v>75669.652713541887</v>
      </c>
      <c r="CA747" s="551">
        <v>21966.078977491175</v>
      </c>
      <c r="CB747" s="551">
        <v>5.1843153181821699E-31</v>
      </c>
      <c r="CC747" s="551">
        <v>1375.3235986881148</v>
      </c>
      <c r="CD747" s="551">
        <v>1229452.8023845353</v>
      </c>
      <c r="CE747" s="551">
        <v>7365.7064748636321</v>
      </c>
      <c r="CF747" s="551">
        <v>113322.97997329864</v>
      </c>
      <c r="CG747" s="551">
        <v>35661.848666254868</v>
      </c>
      <c r="CH747" s="551">
        <v>120402.85199364697</v>
      </c>
      <c r="CI747" s="551">
        <v>13208.092098612902</v>
      </c>
      <c r="CJ747" s="551">
        <v>988.94826003202979</v>
      </c>
      <c r="CK747" s="551">
        <v>436395.32187451492</v>
      </c>
      <c r="CL747" s="551"/>
      <c r="CM747" s="551">
        <v>8086.6444870950427</v>
      </c>
      <c r="CN747" s="551">
        <v>5762.7335281042024</v>
      </c>
      <c r="CO747" s="551">
        <v>14.533212496492672</v>
      </c>
      <c r="CP747" s="551">
        <v>28276.153509062518</v>
      </c>
      <c r="CQ747" s="551"/>
      <c r="CR747" s="551">
        <v>778.25958149047324</v>
      </c>
      <c r="CS747" s="551">
        <v>286.71283170523691</v>
      </c>
      <c r="CT747" s="551">
        <v>19.557280720721849</v>
      </c>
      <c r="CU747" s="551">
        <v>5088.7741501407972</v>
      </c>
      <c r="CV747" s="551"/>
      <c r="CW747" s="551">
        <v>58.340522449602304</v>
      </c>
      <c r="CX747" s="551">
        <v>30.526417402135898</v>
      </c>
      <c r="CY747" s="554"/>
    </row>
    <row r="748" spans="65:103" ht="12.75" customHeight="1" x14ac:dyDescent="0.3">
      <c r="BM748" s="562"/>
      <c r="BN748" s="591">
        <v>735</v>
      </c>
      <c r="BO748" s="549" t="s">
        <v>3324</v>
      </c>
      <c r="BP748" s="554" t="s">
        <v>618</v>
      </c>
      <c r="BQ748" s="553">
        <v>10.25</v>
      </c>
      <c r="BR748" s="551">
        <v>32887.003021409524</v>
      </c>
      <c r="BS748" s="551"/>
      <c r="BT748" s="551">
        <v>2664794.0774545092</v>
      </c>
      <c r="BU748" s="551">
        <v>107461.23130122258</v>
      </c>
      <c r="BV748" s="551">
        <v>24112749.27061845</v>
      </c>
      <c r="BW748" s="551">
        <v>316864.38169898919</v>
      </c>
      <c r="BX748" s="551">
        <v>178484.83306028202</v>
      </c>
      <c r="BY748" s="551">
        <v>13610380.039039573</v>
      </c>
      <c r="BZ748" s="551">
        <v>66105.49372603037</v>
      </c>
      <c r="CA748" s="551">
        <v>7864.308883036977</v>
      </c>
      <c r="CB748" s="551">
        <v>3.3167671077138913E-31</v>
      </c>
      <c r="CC748" s="551">
        <v>1129.5525051150671</v>
      </c>
      <c r="CD748" s="551">
        <v>683554.76423626661</v>
      </c>
      <c r="CE748" s="551">
        <v>10220.908465038245</v>
      </c>
      <c r="CF748" s="551">
        <v>100777.81312592256</v>
      </c>
      <c r="CG748" s="551">
        <v>22119.554285575785</v>
      </c>
      <c r="CH748" s="551">
        <v>49595.40323960923</v>
      </c>
      <c r="CI748" s="551">
        <v>8192.427513176217</v>
      </c>
      <c r="CJ748" s="551">
        <v>279.5612652796882</v>
      </c>
      <c r="CK748" s="551">
        <v>103200.42813694145</v>
      </c>
      <c r="CL748" s="551"/>
      <c r="CM748" s="551">
        <v>3033.6283412114485</v>
      </c>
      <c r="CN748" s="551">
        <v>2822.2563677532062</v>
      </c>
      <c r="CO748" s="551">
        <v>3.4468312522910858</v>
      </c>
      <c r="CP748" s="551">
        <v>3021.8076156530647</v>
      </c>
      <c r="CQ748" s="551"/>
      <c r="CR748" s="551">
        <v>188.68801659559225</v>
      </c>
      <c r="CS748" s="551">
        <v>146.16796322015665</v>
      </c>
      <c r="CT748" s="551">
        <v>4.2864258247903217</v>
      </c>
      <c r="CU748" s="551">
        <v>513.34859805040435</v>
      </c>
      <c r="CV748" s="551"/>
      <c r="CW748" s="551">
        <v>7.5031548154849697</v>
      </c>
      <c r="CX748" s="551">
        <v>10.164178203033847</v>
      </c>
      <c r="CY748" s="554"/>
    </row>
    <row r="749" spans="65:103" ht="12.75" customHeight="1" x14ac:dyDescent="0.3">
      <c r="BM749" s="562"/>
      <c r="BN749" s="591">
        <v>736</v>
      </c>
      <c r="BO749" s="549" t="s">
        <v>3328</v>
      </c>
      <c r="BP749" s="554" t="s">
        <v>618</v>
      </c>
      <c r="BQ749" s="553">
        <v>10.26</v>
      </c>
      <c r="BR749" s="551">
        <v>41691.621213961633</v>
      </c>
      <c r="BS749" s="551"/>
      <c r="BT749" s="551">
        <v>10295872.723524563</v>
      </c>
      <c r="BU749" s="551">
        <v>436592.12389912951</v>
      </c>
      <c r="BV749" s="551">
        <v>310080.34255031211</v>
      </c>
      <c r="BW749" s="551">
        <v>3823.8564928314318</v>
      </c>
      <c r="BX749" s="551">
        <v>1962185.9549457233</v>
      </c>
      <c r="BY749" s="551">
        <v>26258186.68849083</v>
      </c>
      <c r="BZ749" s="551">
        <v>726735.53886878653</v>
      </c>
      <c r="CA749" s="551">
        <v>6968.5235427107918</v>
      </c>
      <c r="CB749" s="551">
        <v>2.1809073807950557E-30</v>
      </c>
      <c r="CC749" s="551">
        <v>62541.85228474575</v>
      </c>
      <c r="CD749" s="551">
        <v>2939801.8333078623</v>
      </c>
      <c r="CE749" s="551">
        <v>1883.570193702456</v>
      </c>
      <c r="CF749" s="551">
        <v>1287.4007239912132</v>
      </c>
      <c r="CG749" s="551">
        <v>169954.81089598409</v>
      </c>
      <c r="CH749" s="551">
        <v>553730.33441011887</v>
      </c>
      <c r="CI749" s="551">
        <v>62946.226257771872</v>
      </c>
      <c r="CJ749" s="551">
        <v>172.93109782187355</v>
      </c>
      <c r="CK749" s="551">
        <v>433247.70793039922</v>
      </c>
      <c r="CL749" s="551"/>
      <c r="CM749" s="551">
        <v>37.940217058791276</v>
      </c>
      <c r="CN749" s="551">
        <v>15138.032904800197</v>
      </c>
      <c r="CO749" s="551">
        <v>1.0322886823909314</v>
      </c>
      <c r="CP749" s="551">
        <v>12145.385937573257</v>
      </c>
      <c r="CQ749" s="551"/>
      <c r="CR749" s="551">
        <v>1.1372237900068705</v>
      </c>
      <c r="CS749" s="551">
        <v>353.33200287676368</v>
      </c>
      <c r="CT749" s="551">
        <v>2.0336849481156993</v>
      </c>
      <c r="CU749" s="551">
        <v>2066.1614129734121</v>
      </c>
      <c r="CV749" s="551"/>
      <c r="CW749" s="551">
        <v>0.16101881744498267</v>
      </c>
      <c r="CX749" s="551">
        <v>45.062545316607661</v>
      </c>
      <c r="CY749" s="554"/>
    </row>
    <row r="750" spans="65:103" ht="12.75" customHeight="1" x14ac:dyDescent="0.3">
      <c r="BM750" s="562"/>
      <c r="BN750" s="591">
        <v>737</v>
      </c>
      <c r="BO750" s="549" t="s">
        <v>3330</v>
      </c>
      <c r="BP750" s="554" t="s">
        <v>618</v>
      </c>
      <c r="BQ750" s="553">
        <v>10.26</v>
      </c>
      <c r="BR750" s="551">
        <v>80303.453338794003</v>
      </c>
      <c r="BS750" s="551"/>
      <c r="BT750" s="551">
        <v>9992605.3376851175</v>
      </c>
      <c r="BU750" s="551">
        <v>419240.16449589003</v>
      </c>
      <c r="BV750" s="551">
        <v>430930.1751044775</v>
      </c>
      <c r="BW750" s="551">
        <v>5137.1197187895459</v>
      </c>
      <c r="BX750" s="551">
        <v>234395.76331087155</v>
      </c>
      <c r="BY750" s="551">
        <v>22694884.381964773</v>
      </c>
      <c r="BZ750" s="551">
        <v>86813.245670693141</v>
      </c>
      <c r="CA750" s="551">
        <v>20184.499191240167</v>
      </c>
      <c r="CB750" s="551">
        <v>1.0951900721489503E-30</v>
      </c>
      <c r="CC750" s="551">
        <v>11866.955687464888</v>
      </c>
      <c r="CD750" s="551">
        <v>2578544.6293074037</v>
      </c>
      <c r="CE750" s="551">
        <v>511.76135947954737</v>
      </c>
      <c r="CF750" s="551">
        <v>1579.7976413974777</v>
      </c>
      <c r="CG750" s="551">
        <v>30569.224563030803</v>
      </c>
      <c r="CH750" s="551">
        <v>106802.12936821309</v>
      </c>
      <c r="CI750" s="551">
        <v>11321.935023344737</v>
      </c>
      <c r="CJ750" s="551">
        <v>756.50099145018351</v>
      </c>
      <c r="CK750" s="551">
        <v>376440.16038145823</v>
      </c>
      <c r="CL750" s="551"/>
      <c r="CM750" s="551">
        <v>46.119970304083182</v>
      </c>
      <c r="CN750" s="551">
        <v>4112.2508670018578</v>
      </c>
      <c r="CO750" s="551">
        <v>8.9137784225737526</v>
      </c>
      <c r="CP750" s="551">
        <v>10724.927230758434</v>
      </c>
      <c r="CQ750" s="551"/>
      <c r="CR750" s="551">
        <v>1.4363813002748942</v>
      </c>
      <c r="CS750" s="551">
        <v>181.78191487878976</v>
      </c>
      <c r="CT750" s="551">
        <v>12.280409883754398</v>
      </c>
      <c r="CU750" s="551">
        <v>1810.9229465992159</v>
      </c>
      <c r="CV750" s="551"/>
      <c r="CW750" s="551">
        <v>0.19079596014015263</v>
      </c>
      <c r="CX750" s="551">
        <v>17.399541942786673</v>
      </c>
      <c r="CY750" s="554"/>
    </row>
    <row r="751" spans="65:103" ht="12.75" customHeight="1" x14ac:dyDescent="0.3">
      <c r="BM751" s="562"/>
      <c r="BN751" s="591">
        <v>738</v>
      </c>
      <c r="BO751" s="549" t="s">
        <v>3334</v>
      </c>
      <c r="BP751" s="554" t="s">
        <v>618</v>
      </c>
      <c r="BQ751" s="553">
        <v>10.28</v>
      </c>
      <c r="BR751" s="551">
        <v>119017.00610727364</v>
      </c>
      <c r="BS751" s="551"/>
      <c r="BT751" s="551">
        <v>3145195.3974514096</v>
      </c>
      <c r="BU751" s="551">
        <v>130755.60025790677</v>
      </c>
      <c r="BV751" s="551">
        <v>814344.52626067121</v>
      </c>
      <c r="BW751" s="551">
        <v>8561.0986346242262</v>
      </c>
      <c r="BX751" s="551">
        <v>53486.368785605599</v>
      </c>
      <c r="BY751" s="551">
        <v>33206858.768709358</v>
      </c>
      <c r="BZ751" s="551">
        <v>19809.766216890966</v>
      </c>
      <c r="CA751" s="551">
        <v>37023.581871152135</v>
      </c>
      <c r="CB751" s="551">
        <v>9.793567728972398E-31</v>
      </c>
      <c r="CC751" s="551">
        <v>2769.4804478589872</v>
      </c>
      <c r="CD751" s="551">
        <v>1872364.0169831233</v>
      </c>
      <c r="CE751" s="551">
        <v>717.06554229585379</v>
      </c>
      <c r="CF751" s="551">
        <v>6129.5627100088413</v>
      </c>
      <c r="CG751" s="551">
        <v>9869.2066976442038</v>
      </c>
      <c r="CH751" s="551">
        <v>53673.749485657114</v>
      </c>
      <c r="CI751" s="551">
        <v>3655.2617398682232</v>
      </c>
      <c r="CJ751" s="551">
        <v>1731.5630672476439</v>
      </c>
      <c r="CK751" s="551">
        <v>663143.65828820784</v>
      </c>
      <c r="CL751" s="551"/>
      <c r="CM751" s="551">
        <v>436.77227013335926</v>
      </c>
      <c r="CN751" s="551">
        <v>1656.7072840760957</v>
      </c>
      <c r="CO751" s="551">
        <v>26.109644003541806</v>
      </c>
      <c r="CP751" s="551">
        <v>43210.209718289392</v>
      </c>
      <c r="CQ751" s="551"/>
      <c r="CR751" s="551">
        <v>32.376494748698434</v>
      </c>
      <c r="CS751" s="551">
        <v>79.856850864895137</v>
      </c>
      <c r="CT751" s="551">
        <v>35.513010885780432</v>
      </c>
      <c r="CU751" s="551">
        <v>7702.8389700404905</v>
      </c>
      <c r="CV751" s="551"/>
      <c r="CW751" s="551">
        <v>4.130636458918219</v>
      </c>
      <c r="CX751" s="551">
        <v>9.8003380331126948</v>
      </c>
      <c r="CY751" s="554"/>
    </row>
    <row r="752" spans="65:103" ht="12.75" customHeight="1" x14ac:dyDescent="0.3">
      <c r="BM752" s="562"/>
      <c r="BN752" s="591">
        <v>739</v>
      </c>
      <c r="BO752" s="549" t="s">
        <v>3336</v>
      </c>
      <c r="BP752" s="554" t="s">
        <v>618</v>
      </c>
      <c r="BQ752" s="553">
        <v>10.28</v>
      </c>
      <c r="BR752" s="551">
        <v>100240.79442949942</v>
      </c>
      <c r="BS752" s="551"/>
      <c r="BT752" s="551">
        <v>5565873.1108605582</v>
      </c>
      <c r="BU752" s="551">
        <v>228706.61091483984</v>
      </c>
      <c r="BV752" s="551">
        <v>225506.26924087809</v>
      </c>
      <c r="BW752" s="551">
        <v>2644.6176578839513</v>
      </c>
      <c r="BX752" s="551">
        <v>44108.024219012754</v>
      </c>
      <c r="BY752" s="551">
        <v>14512731.598988146</v>
      </c>
      <c r="BZ752" s="551">
        <v>16336.30526630102</v>
      </c>
      <c r="CA752" s="551">
        <v>30732.949872364294</v>
      </c>
      <c r="CB752" s="551">
        <v>1.1475154828838272E-30</v>
      </c>
      <c r="CC752" s="551">
        <v>5882.0909405693192</v>
      </c>
      <c r="CD752" s="551">
        <v>1520564.2253942362</v>
      </c>
      <c r="CE752" s="551">
        <v>238.31811414368892</v>
      </c>
      <c r="CF752" s="551">
        <v>879.14183685787441</v>
      </c>
      <c r="CG752" s="551">
        <v>7035.8557052112283</v>
      </c>
      <c r="CH752" s="551">
        <v>31049.611279585195</v>
      </c>
      <c r="CI752" s="551">
        <v>2605.8724834115651</v>
      </c>
      <c r="CJ752" s="551">
        <v>1405.1850783691702</v>
      </c>
      <c r="CK752" s="551">
        <v>228885.97258519146</v>
      </c>
      <c r="CL752" s="551"/>
      <c r="CM752" s="551">
        <v>26.463051971061692</v>
      </c>
      <c r="CN752" s="551">
        <v>1154.648674419919</v>
      </c>
      <c r="CO752" s="551">
        <v>20.471845798631733</v>
      </c>
      <c r="CP752" s="551">
        <v>7210.1913827263397</v>
      </c>
      <c r="CQ752" s="551"/>
      <c r="CR752" s="551">
        <v>0.90736513149748155</v>
      </c>
      <c r="CS752" s="551">
        <v>58.11020884294372</v>
      </c>
      <c r="CT752" s="551">
        <v>27.898067066547352</v>
      </c>
      <c r="CU752" s="551">
        <v>1185.3092838897244</v>
      </c>
      <c r="CV752" s="551"/>
      <c r="CW752" s="551">
        <v>0.11861887252901909</v>
      </c>
      <c r="CX752" s="551">
        <v>6.3385502792926598</v>
      </c>
      <c r="CY752" s="554"/>
    </row>
    <row r="753" spans="65:103" ht="12.75" customHeight="1" x14ac:dyDescent="0.3">
      <c r="BM753" s="562"/>
      <c r="BN753" s="591">
        <v>740</v>
      </c>
      <c r="BO753" s="549" t="s">
        <v>3332</v>
      </c>
      <c r="BP753" s="554" t="s">
        <v>618</v>
      </c>
      <c r="BQ753" s="553">
        <v>10.28</v>
      </c>
      <c r="BR753" s="551">
        <v>90726.221972279949</v>
      </c>
      <c r="BS753" s="551"/>
      <c r="BT753" s="551">
        <v>9766602.2968067415</v>
      </c>
      <c r="BU753" s="551">
        <v>409369.30468181422</v>
      </c>
      <c r="BV753" s="551">
        <v>425627.16676087352</v>
      </c>
      <c r="BW753" s="551">
        <v>5065.2125637636764</v>
      </c>
      <c r="BX753" s="551">
        <v>211649.76511140261</v>
      </c>
      <c r="BY753" s="551">
        <v>22257190.711869314</v>
      </c>
      <c r="BZ753" s="551">
        <v>78388.801893112046</v>
      </c>
      <c r="CA753" s="551">
        <v>25325.506587821779</v>
      </c>
      <c r="CB753" s="551">
        <v>1.2993599582979646E-30</v>
      </c>
      <c r="CC753" s="551">
        <v>12794.869870360973</v>
      </c>
      <c r="CD753" s="551">
        <v>2569493.0195948295</v>
      </c>
      <c r="CE753" s="551">
        <v>557.59864551629778</v>
      </c>
      <c r="CF753" s="551">
        <v>1589.6438956837324</v>
      </c>
      <c r="CG753" s="551">
        <v>30666.018587031147</v>
      </c>
      <c r="CH753" s="551">
        <v>110081.83701252966</v>
      </c>
      <c r="CI753" s="551">
        <v>11357.784661863383</v>
      </c>
      <c r="CJ753" s="551">
        <v>1055.713992945881</v>
      </c>
      <c r="CK753" s="551">
        <v>378610.37565510499</v>
      </c>
      <c r="CL753" s="551"/>
      <c r="CM753" s="551">
        <v>46.839378339388858</v>
      </c>
      <c r="CN753" s="551">
        <v>4588.2723263075277</v>
      </c>
      <c r="CO753" s="551">
        <v>13.844571668591554</v>
      </c>
      <c r="CP753" s="551">
        <v>11125.091578791236</v>
      </c>
      <c r="CQ753" s="551"/>
      <c r="CR753" s="551">
        <v>1.5056612911343024</v>
      </c>
      <c r="CS753" s="551">
        <v>222.9628993677149</v>
      </c>
      <c r="CT753" s="551">
        <v>19.06116627420953</v>
      </c>
      <c r="CU753" s="551">
        <v>1866.9415022997823</v>
      </c>
      <c r="CV753" s="551"/>
      <c r="CW753" s="551">
        <v>0.19839938700311588</v>
      </c>
      <c r="CX753" s="551">
        <v>21.768928992596539</v>
      </c>
      <c r="CY753" s="554"/>
    </row>
    <row r="754" spans="65:103" ht="12.75" customHeight="1" x14ac:dyDescent="0.3">
      <c r="BM754" s="562"/>
      <c r="BN754" s="591">
        <v>741</v>
      </c>
      <c r="BO754" s="549" t="s">
        <v>3338</v>
      </c>
      <c r="BP754" s="554" t="s">
        <v>618</v>
      </c>
      <c r="BQ754" s="553">
        <v>10.3</v>
      </c>
      <c r="BR754" s="551">
        <v>1218517.2926646115</v>
      </c>
      <c r="BS754" s="551"/>
      <c r="BT754" s="551">
        <v>6517727.0542672053</v>
      </c>
      <c r="BU754" s="551">
        <v>253782.40398965235</v>
      </c>
      <c r="BV754" s="551">
        <v>62918.803266230883</v>
      </c>
      <c r="BW754" s="551">
        <v>743.51492119573436</v>
      </c>
      <c r="BX754" s="551">
        <v>20442.236544493564</v>
      </c>
      <c r="BY754" s="551">
        <v>18313190.201780256</v>
      </c>
      <c r="BZ754" s="551">
        <v>7571.1987201827997</v>
      </c>
      <c r="CA754" s="551">
        <v>3167982.0545447855</v>
      </c>
      <c r="CB754" s="551">
        <v>1.0952735989132123E-28</v>
      </c>
      <c r="CC754" s="551">
        <v>220130.17134537472</v>
      </c>
      <c r="CD754" s="551">
        <v>25391133.042135302</v>
      </c>
      <c r="CE754" s="551">
        <v>2125.0240810212226</v>
      </c>
      <c r="CF754" s="551">
        <v>3719.4632066893391</v>
      </c>
      <c r="CG754" s="551">
        <v>27413.84003396397</v>
      </c>
      <c r="CH754" s="551">
        <v>174923.36156437942</v>
      </c>
      <c r="CI754" s="551">
        <v>10153.27408665332</v>
      </c>
      <c r="CJ754" s="551">
        <v>1408980.3426395699</v>
      </c>
      <c r="CK754" s="551">
        <v>16338292.536988094</v>
      </c>
      <c r="CL754" s="551"/>
      <c r="CM754" s="551">
        <v>478.60293400901969</v>
      </c>
      <c r="CN754" s="551">
        <v>43761.857830458277</v>
      </c>
      <c r="CO754" s="551">
        <v>135432.0987557878</v>
      </c>
      <c r="CP754" s="551">
        <v>9058126.5637634471</v>
      </c>
      <c r="CQ754" s="551"/>
      <c r="CR754" s="551">
        <v>272.93445700958972</v>
      </c>
      <c r="CS754" s="551">
        <v>13906.255613195593</v>
      </c>
      <c r="CT754" s="551">
        <v>351177.32129322161</v>
      </c>
      <c r="CU754" s="551">
        <v>1457791.6371789896</v>
      </c>
      <c r="CV754" s="551"/>
      <c r="CW754" s="551">
        <v>40.551428457277481</v>
      </c>
      <c r="CX754" s="551">
        <v>3100.5597507321941</v>
      </c>
      <c r="CY754" s="554"/>
    </row>
    <row r="755" spans="65:103" ht="12.75" customHeight="1" x14ac:dyDescent="0.3">
      <c r="BM755" s="562"/>
      <c r="BN755" s="591">
        <v>742</v>
      </c>
      <c r="BO755" s="549" t="s">
        <v>3340</v>
      </c>
      <c r="BP755" s="554" t="s">
        <v>618</v>
      </c>
      <c r="BQ755" s="553">
        <v>10.39</v>
      </c>
      <c r="BR755" s="551">
        <v>165162.6711432607</v>
      </c>
      <c r="BS755" s="551"/>
      <c r="BT755" s="551">
        <v>11504142.780672535</v>
      </c>
      <c r="BU755" s="551">
        <v>486902.45695572387</v>
      </c>
      <c r="BV755" s="551">
        <v>189927.69474775004</v>
      </c>
      <c r="BW755" s="551">
        <v>2402.745981870934</v>
      </c>
      <c r="BX755" s="551">
        <v>720394.6644350139</v>
      </c>
      <c r="BY755" s="551">
        <v>20183427.835568026</v>
      </c>
      <c r="BZ755" s="551">
        <v>266812.83867963485</v>
      </c>
      <c r="CA755" s="551">
        <v>114548.83208030432</v>
      </c>
      <c r="CB755" s="551">
        <v>9.3033044456537796E-30</v>
      </c>
      <c r="CC755" s="551">
        <v>246867.14105380455</v>
      </c>
      <c r="CD755" s="551">
        <v>4891946.73738252</v>
      </c>
      <c r="CE755" s="551">
        <v>4075.6541276668449</v>
      </c>
      <c r="CF755" s="551">
        <v>1207.0287589287445</v>
      </c>
      <c r="CG755" s="551">
        <v>258813.99239837393</v>
      </c>
      <c r="CH755" s="551">
        <v>1169674.1654439457</v>
      </c>
      <c r="CI755" s="551">
        <v>95857.034221619964</v>
      </c>
      <c r="CJ755" s="551">
        <v>12250.786009710442</v>
      </c>
      <c r="CK755" s="551">
        <v>992210.34039260866</v>
      </c>
      <c r="CL755" s="551"/>
      <c r="CM755" s="551">
        <v>48.956372748524316</v>
      </c>
      <c r="CN755" s="551">
        <v>99349.273544808573</v>
      </c>
      <c r="CO755" s="551">
        <v>336.57907788200612</v>
      </c>
      <c r="CP755" s="551">
        <v>77524.559189445892</v>
      </c>
      <c r="CQ755" s="551"/>
      <c r="CR755" s="551">
        <v>3.9882919274805539</v>
      </c>
      <c r="CS755" s="551">
        <v>9601.3832498376687</v>
      </c>
      <c r="CT755" s="551">
        <v>600.32693794730358</v>
      </c>
      <c r="CU755" s="551">
        <v>12020.953723325081</v>
      </c>
      <c r="CV755" s="551"/>
      <c r="CW755" s="551">
        <v>0.55014479363558322</v>
      </c>
      <c r="CX755" s="551">
        <v>1322.1335089023034</v>
      </c>
      <c r="CY755" s="554"/>
    </row>
    <row r="756" spans="65:103" ht="12.75" customHeight="1" x14ac:dyDescent="0.3">
      <c r="BM756" s="562"/>
      <c r="BN756" s="591">
        <v>743</v>
      </c>
      <c r="BO756" s="549" t="s">
        <v>3342</v>
      </c>
      <c r="BP756" s="554" t="s">
        <v>618</v>
      </c>
      <c r="BQ756" s="553">
        <v>10.41</v>
      </c>
      <c r="BR756" s="551">
        <v>67841.138788477372</v>
      </c>
      <c r="BS756" s="551"/>
      <c r="BT756" s="551">
        <v>5457903.3351601176</v>
      </c>
      <c r="BU756" s="551">
        <v>221601.54158823282</v>
      </c>
      <c r="BV756" s="551">
        <v>360896.37351049675</v>
      </c>
      <c r="BW756" s="551">
        <v>4019.7430017987786</v>
      </c>
      <c r="BX756" s="551">
        <v>32826.527245306854</v>
      </c>
      <c r="BY756" s="551">
        <v>17193296.594475172</v>
      </c>
      <c r="BZ756" s="551">
        <v>12157.97305381735</v>
      </c>
      <c r="CA756" s="551">
        <v>11091.136981841728</v>
      </c>
      <c r="CB756" s="551">
        <v>4.1244395399700031E-31</v>
      </c>
      <c r="CC756" s="551">
        <v>1742.0537269935048</v>
      </c>
      <c r="CD756" s="551">
        <v>1309725.9428065047</v>
      </c>
      <c r="CE756" s="551">
        <v>115.19091378593585</v>
      </c>
      <c r="CF756" s="551">
        <v>1187.889230178152</v>
      </c>
      <c r="CG756" s="551">
        <v>2800.1010685646256</v>
      </c>
      <c r="CH756" s="551">
        <v>11679.013871047338</v>
      </c>
      <c r="CI756" s="551">
        <v>1037.07446983875</v>
      </c>
      <c r="CJ756" s="551">
        <v>268.79641729441903</v>
      </c>
      <c r="CK756" s="551">
        <v>187699.57276172045</v>
      </c>
      <c r="CL756" s="551"/>
      <c r="CM756" s="551">
        <v>34.042575284428992</v>
      </c>
      <c r="CN756" s="551">
        <v>243.57054586224709</v>
      </c>
      <c r="CO756" s="551">
        <v>2.1068534628545028</v>
      </c>
      <c r="CP756" s="551">
        <v>5066.6882970792512</v>
      </c>
      <c r="CQ756" s="551"/>
      <c r="CR756" s="551">
        <v>1.0405861843072353</v>
      </c>
      <c r="CS756" s="551">
        <v>6.5324201103115209</v>
      </c>
      <c r="CT756" s="551">
        <v>2.8081931119360339</v>
      </c>
      <c r="CU756" s="551">
        <v>865.96723984121093</v>
      </c>
      <c r="CV756" s="551"/>
      <c r="CW756" s="551">
        <v>0.12837230918716688</v>
      </c>
      <c r="CX756" s="551">
        <v>0.70381102457895384</v>
      </c>
      <c r="CY756" s="554"/>
    </row>
    <row r="757" spans="65:103" ht="12.75" customHeight="1" x14ac:dyDescent="0.3">
      <c r="BM757" s="562"/>
      <c r="BN757" s="591">
        <v>744</v>
      </c>
      <c r="BO757" s="549" t="s">
        <v>3344</v>
      </c>
      <c r="BP757" s="554" t="s">
        <v>618</v>
      </c>
      <c r="BQ757" s="553">
        <v>10.51</v>
      </c>
      <c r="BR757" s="551">
        <v>13451.86768828222</v>
      </c>
      <c r="BS757" s="551"/>
      <c r="BT757" s="551">
        <v>9338412.6824885383</v>
      </c>
      <c r="BU757" s="551">
        <v>439506.71202244784</v>
      </c>
      <c r="BV757" s="551">
        <v>4272224.4805870717</v>
      </c>
      <c r="BW757" s="551">
        <v>51324.727530399425</v>
      </c>
      <c r="BX757" s="551">
        <v>7620412.0461244797</v>
      </c>
      <c r="BY757" s="551">
        <v>56930146.481474742</v>
      </c>
      <c r="BZ757" s="551">
        <v>2822374.8318979554</v>
      </c>
      <c r="CA757" s="551">
        <v>1764.0682654818179</v>
      </c>
      <c r="CB757" s="551">
        <v>1.0506249933272207E-30</v>
      </c>
      <c r="CC757" s="551">
        <v>40096.39404865339</v>
      </c>
      <c r="CD757" s="551">
        <v>7818416.2504506819</v>
      </c>
      <c r="CE757" s="551">
        <v>18343.673819336273</v>
      </c>
      <c r="CF757" s="551">
        <v>45650.961953128593</v>
      </c>
      <c r="CG757" s="551">
        <v>517856.8748801116</v>
      </c>
      <c r="CH757" s="551">
        <v>1330877.0059682201</v>
      </c>
      <c r="CI757" s="551">
        <v>191798.84254818942</v>
      </c>
      <c r="CJ757" s="551">
        <v>34.186884182924203</v>
      </c>
      <c r="CK757" s="551">
        <v>4224876.2319889441</v>
      </c>
      <c r="CL757" s="551"/>
      <c r="CM757" s="551">
        <v>4970.6883929550258</v>
      </c>
      <c r="CN757" s="551">
        <v>36021.146766810067</v>
      </c>
      <c r="CO757" s="551">
        <v>0.70923555343257894</v>
      </c>
      <c r="CP757" s="551">
        <v>399464.65946533479</v>
      </c>
      <c r="CQ757" s="551"/>
      <c r="CR757" s="551">
        <v>526.65864939664004</v>
      </c>
      <c r="CS757" s="551">
        <v>617.78902700430933</v>
      </c>
      <c r="CT757" s="551">
        <v>0.14045359662939808</v>
      </c>
      <c r="CU757" s="551">
        <v>76538.743794412818</v>
      </c>
      <c r="CV757" s="551"/>
      <c r="CW757" s="551">
        <v>74.895377817121442</v>
      </c>
      <c r="CX757" s="551">
        <v>85.728913552727903</v>
      </c>
      <c r="CY757" s="554"/>
    </row>
    <row r="758" spans="65:103" ht="12.75" customHeight="1" x14ac:dyDescent="0.3">
      <c r="BM758" s="562"/>
      <c r="BN758" s="591">
        <v>745</v>
      </c>
      <c r="BO758" s="549" t="s">
        <v>3348</v>
      </c>
      <c r="BP758" s="554" t="s">
        <v>618</v>
      </c>
      <c r="BQ758" s="553">
        <v>10.54</v>
      </c>
      <c r="BR758" s="551">
        <v>57493.976731278119</v>
      </c>
      <c r="BS758" s="551"/>
      <c r="BT758" s="551">
        <v>6974632.3075164193</v>
      </c>
      <c r="BU758" s="551">
        <v>288509.88024362823</v>
      </c>
      <c r="BV758" s="551">
        <v>548489.55806383037</v>
      </c>
      <c r="BW758" s="551">
        <v>6122.4461097744306</v>
      </c>
      <c r="BX758" s="551">
        <v>65752.142553835263</v>
      </c>
      <c r="BY758" s="551">
        <v>19089657.032768045</v>
      </c>
      <c r="BZ758" s="551">
        <v>24352.645390309357</v>
      </c>
      <c r="CA758" s="551">
        <v>9291.5254148670938</v>
      </c>
      <c r="CB758" s="551">
        <v>3.8311361218103158E-31</v>
      </c>
      <c r="CC758" s="551">
        <v>2243.7076984579635</v>
      </c>
      <c r="CD758" s="551">
        <v>1681279.4411483789</v>
      </c>
      <c r="CE758" s="551">
        <v>176.44661247953906</v>
      </c>
      <c r="CF758" s="551">
        <v>1783.915123671047</v>
      </c>
      <c r="CG758" s="551">
        <v>5535.5204773229116</v>
      </c>
      <c r="CH758" s="551">
        <v>20203.891225979929</v>
      </c>
      <c r="CI758" s="551">
        <v>2050.1927693788552</v>
      </c>
      <c r="CJ758" s="551">
        <v>222.64546984238365</v>
      </c>
      <c r="CK758" s="551">
        <v>240353.83459312827</v>
      </c>
      <c r="CL758" s="551"/>
      <c r="CM758" s="551">
        <v>50.99734489108382</v>
      </c>
      <c r="CN758" s="551">
        <v>476.08989193322691</v>
      </c>
      <c r="CO758" s="551">
        <v>1.7241249233438993</v>
      </c>
      <c r="CP758" s="551">
        <v>6452.1293634109816</v>
      </c>
      <c r="CQ758" s="551"/>
      <c r="CR758" s="551">
        <v>1.5774599657403872</v>
      </c>
      <c r="CS758" s="551">
        <v>13.093557989777473</v>
      </c>
      <c r="CT758" s="551">
        <v>2.2972887560938191</v>
      </c>
      <c r="CU758" s="551">
        <v>1105.4382540719573</v>
      </c>
      <c r="CV758" s="551"/>
      <c r="CW758" s="551">
        <v>0.18724589406479869</v>
      </c>
      <c r="CX758" s="551">
        <v>1.3187340918852741</v>
      </c>
      <c r="CY758" s="554"/>
    </row>
    <row r="759" spans="65:103" ht="12.75" customHeight="1" x14ac:dyDescent="0.3">
      <c r="BM759" s="562"/>
      <c r="BN759" s="591">
        <v>746</v>
      </c>
      <c r="BO759" s="549" t="s">
        <v>3346</v>
      </c>
      <c r="BP759" s="554" t="s">
        <v>618</v>
      </c>
      <c r="BQ759" s="553">
        <v>10.54</v>
      </c>
      <c r="BR759" s="551">
        <v>31123.429076423774</v>
      </c>
      <c r="BS759" s="551"/>
      <c r="BT759" s="551">
        <v>7506409.602023731</v>
      </c>
      <c r="BU759" s="551">
        <v>345523.99091199</v>
      </c>
      <c r="BV759" s="551">
        <v>5363920.5781438677</v>
      </c>
      <c r="BW759" s="551">
        <v>62481.524670289466</v>
      </c>
      <c r="BX759" s="551">
        <v>4899600.6686335709</v>
      </c>
      <c r="BY759" s="551">
        <v>37815068.515036017</v>
      </c>
      <c r="BZ759" s="551">
        <v>1814666.9143087298</v>
      </c>
      <c r="CA759" s="551">
        <v>9851.2797655930626</v>
      </c>
      <c r="CB759" s="551">
        <v>2.3320620012008194E-30</v>
      </c>
      <c r="CC759" s="551">
        <v>45134.003151772675</v>
      </c>
      <c r="CD759" s="551">
        <v>5180312.7192717809</v>
      </c>
      <c r="CE759" s="551">
        <v>32251.798278438546</v>
      </c>
      <c r="CF759" s="551">
        <v>46838.113341229386</v>
      </c>
      <c r="CG759" s="551">
        <v>803645.26309250051</v>
      </c>
      <c r="CH759" s="551">
        <v>1904399.8069221093</v>
      </c>
      <c r="CI759" s="551">
        <v>297646.39373796317</v>
      </c>
      <c r="CJ759" s="551">
        <v>465.94493817056127</v>
      </c>
      <c r="CK759" s="551">
        <v>1860498.3172630942</v>
      </c>
      <c r="CL759" s="551"/>
      <c r="CM759" s="551">
        <v>3384.2303471320361</v>
      </c>
      <c r="CN759" s="551">
        <v>136430.03480798681</v>
      </c>
      <c r="CO759" s="551">
        <v>20.763254703321085</v>
      </c>
      <c r="CP759" s="551">
        <v>120880.45988835949</v>
      </c>
      <c r="CQ759" s="551"/>
      <c r="CR759" s="551">
        <v>274.5658372326443</v>
      </c>
      <c r="CS759" s="551">
        <v>5936.4572802210241</v>
      </c>
      <c r="CT759" s="551">
        <v>4.9136469026476899</v>
      </c>
      <c r="CU759" s="551">
        <v>22088.367510802706</v>
      </c>
      <c r="CV759" s="551"/>
      <c r="CW759" s="551">
        <v>29.204786929810808</v>
      </c>
      <c r="CX759" s="551">
        <v>786.34812563117669</v>
      </c>
      <c r="CY759" s="554"/>
    </row>
    <row r="760" spans="65:103" ht="12.75" customHeight="1" x14ac:dyDescent="0.3">
      <c r="BM760" s="562"/>
      <c r="BN760" s="591">
        <v>747</v>
      </c>
      <c r="BO760" s="549" t="s">
        <v>3350</v>
      </c>
      <c r="BP760" s="554" t="s">
        <v>618</v>
      </c>
      <c r="BQ760" s="553">
        <v>10.57</v>
      </c>
      <c r="BR760" s="551">
        <v>5103.8710883160511</v>
      </c>
      <c r="BS760" s="551"/>
      <c r="BT760" s="551">
        <v>8454311.2707959823</v>
      </c>
      <c r="BU760" s="551">
        <v>358940.30170256668</v>
      </c>
      <c r="BV760" s="551">
        <v>282986.3759522785</v>
      </c>
      <c r="BW760" s="551">
        <v>3472.2304638946666</v>
      </c>
      <c r="BX760" s="551">
        <v>2116688.338294128</v>
      </c>
      <c r="BY760" s="551">
        <v>23214183.388191417</v>
      </c>
      <c r="BZ760" s="551">
        <v>783958.64381263976</v>
      </c>
      <c r="CA760" s="551">
        <v>119.34504285559312</v>
      </c>
      <c r="CB760" s="551">
        <v>2.7855025143730313E-31</v>
      </c>
      <c r="CC760" s="551">
        <v>8148.5616391802187</v>
      </c>
      <c r="CD760" s="551">
        <v>2059984.2799758061</v>
      </c>
      <c r="CE760" s="551">
        <v>272.75219159020418</v>
      </c>
      <c r="CF760" s="551">
        <v>996.36905331449532</v>
      </c>
      <c r="CG760" s="551">
        <v>25648.392249691366</v>
      </c>
      <c r="CH760" s="551">
        <v>79722.206894535164</v>
      </c>
      <c r="CI760" s="551">
        <v>9499.404536922726</v>
      </c>
      <c r="CJ760" s="551">
        <v>0.41026056014142365</v>
      </c>
      <c r="CK760" s="551">
        <v>292164.87330497452</v>
      </c>
      <c r="CL760" s="551"/>
      <c r="CM760" s="551">
        <v>28.258672298196551</v>
      </c>
      <c r="CN760" s="551">
        <v>316.46026406227048</v>
      </c>
      <c r="CO760" s="551">
        <v>3.3237136369000143E-4</v>
      </c>
      <c r="CP760" s="551">
        <v>7725.2473644825859</v>
      </c>
      <c r="CQ760" s="551"/>
      <c r="CR760" s="551">
        <v>0.80363696124562911</v>
      </c>
      <c r="CS760" s="551">
        <v>1.0132530543557678</v>
      </c>
      <c r="CT760" s="551">
        <v>6.7896451934336779E-4</v>
      </c>
      <c r="CU760" s="551">
        <v>1328.5798389223801</v>
      </c>
      <c r="CV760" s="551"/>
      <c r="CW760" s="551">
        <v>0.11329945550072451</v>
      </c>
      <c r="CX760" s="551">
        <v>0.13109249620974386</v>
      </c>
      <c r="CY760" s="554"/>
    </row>
    <row r="761" spans="65:103" ht="12.75" customHeight="1" x14ac:dyDescent="0.3">
      <c r="BM761" s="562"/>
      <c r="BN761" s="591">
        <v>748</v>
      </c>
      <c r="BO761" s="549" t="s">
        <v>3352</v>
      </c>
      <c r="BP761" s="554" t="s">
        <v>618</v>
      </c>
      <c r="BQ761" s="553">
        <v>10.6</v>
      </c>
      <c r="BR761" s="551">
        <v>53719.921211235363</v>
      </c>
      <c r="BS761" s="551"/>
      <c r="BT761" s="551">
        <v>7454390.2666289723</v>
      </c>
      <c r="BU761" s="551">
        <v>310073.78028700961</v>
      </c>
      <c r="BV761" s="551">
        <v>476379.30098021019</v>
      </c>
      <c r="BW761" s="551">
        <v>5452.808723177327</v>
      </c>
      <c r="BX761" s="551">
        <v>22300.274802083342</v>
      </c>
      <c r="BY761" s="551">
        <v>3101319.0098413373</v>
      </c>
      <c r="BZ761" s="551">
        <v>8259.3610378086469</v>
      </c>
      <c r="CA761" s="551">
        <v>9577.5739252044314</v>
      </c>
      <c r="CB761" s="551">
        <v>4.1573145748097671E-31</v>
      </c>
      <c r="CC761" s="551">
        <v>2303.7475386092028</v>
      </c>
      <c r="CD761" s="551">
        <v>1811153.02669099</v>
      </c>
      <c r="CE761" s="551">
        <v>147.222992468011</v>
      </c>
      <c r="CF761" s="551">
        <v>1592.5034057714222</v>
      </c>
      <c r="CG761" s="551">
        <v>1711.3128319442847</v>
      </c>
      <c r="CH761" s="551">
        <v>4189.9334372767908</v>
      </c>
      <c r="CI761" s="551">
        <v>633.81956738677218</v>
      </c>
      <c r="CJ761" s="551">
        <v>253.09831931254229</v>
      </c>
      <c r="CK761" s="551">
        <v>259290.9342132445</v>
      </c>
      <c r="CL761" s="551"/>
      <c r="CM761" s="551">
        <v>45.590716003896901</v>
      </c>
      <c r="CN761" s="551">
        <v>162.31804774842621</v>
      </c>
      <c r="CO761" s="551">
        <v>2.1529187753852375</v>
      </c>
      <c r="CP761" s="551">
        <v>6988.1551548602129</v>
      </c>
      <c r="CQ761" s="551"/>
      <c r="CR761" s="551">
        <v>1.3869259331945354</v>
      </c>
      <c r="CS761" s="551">
        <v>5.564597270693592</v>
      </c>
      <c r="CT761" s="551">
        <v>2.8859076309723575</v>
      </c>
      <c r="CU761" s="551">
        <v>1196.4098500510997</v>
      </c>
      <c r="CV761" s="551"/>
      <c r="CW761" s="551">
        <v>0.17270710964240435</v>
      </c>
      <c r="CX761" s="551">
        <v>0.45648972249975972</v>
      </c>
      <c r="CY761" s="554"/>
    </row>
    <row r="762" spans="65:103" ht="12.75" customHeight="1" x14ac:dyDescent="0.3">
      <c r="BM762" s="562"/>
      <c r="BN762" s="591">
        <v>749</v>
      </c>
      <c r="BO762" s="549" t="s">
        <v>3354</v>
      </c>
      <c r="BP762" s="554" t="s">
        <v>618</v>
      </c>
      <c r="BQ762" s="553">
        <v>10.61</v>
      </c>
      <c r="BR762" s="551">
        <v>279105.33619865752</v>
      </c>
      <c r="BS762" s="551"/>
      <c r="BT762" s="551">
        <v>2285103.9798160084</v>
      </c>
      <c r="BU762" s="551">
        <v>68879.994215297775</v>
      </c>
      <c r="BV762" s="551">
        <v>52210.065736876932</v>
      </c>
      <c r="BW762" s="551">
        <v>464.23022933308562</v>
      </c>
      <c r="BX762" s="551">
        <v>137.1524591807748</v>
      </c>
      <c r="BY762" s="551">
        <v>26934390.689097144</v>
      </c>
      <c r="BZ762" s="551">
        <v>50.797207103990651</v>
      </c>
      <c r="CA762" s="551">
        <v>79261.961298075679</v>
      </c>
      <c r="CB762" s="551">
        <v>7.551093822043495E-32</v>
      </c>
      <c r="CC762" s="551">
        <v>58.505308599020864</v>
      </c>
      <c r="CD762" s="551">
        <v>354880.93687798135</v>
      </c>
      <c r="CE762" s="551">
        <v>1.3367295470541765</v>
      </c>
      <c r="CF762" s="551">
        <v>119.58948355734361</v>
      </c>
      <c r="CG762" s="551">
        <v>20.186449492292219</v>
      </c>
      <c r="CH762" s="551">
        <v>103.52263202234373</v>
      </c>
      <c r="CI762" s="551">
        <v>7.4764627749230455</v>
      </c>
      <c r="CJ762" s="551">
        <v>3350.3291767172909</v>
      </c>
      <c r="CK762" s="551">
        <v>49699.892350801449</v>
      </c>
      <c r="CL762" s="551"/>
      <c r="CM762" s="551">
        <v>3.3491494720278001</v>
      </c>
      <c r="CN762" s="551">
        <v>3.062571662649344</v>
      </c>
      <c r="CO762" s="551">
        <v>46.780545163219195</v>
      </c>
      <c r="CP762" s="551">
        <v>1372.8610115582449</v>
      </c>
      <c r="CQ762" s="551"/>
      <c r="CR762" s="551">
        <v>9.7624421396353384E-2</v>
      </c>
      <c r="CS762" s="551">
        <v>0.14567828939833211</v>
      </c>
      <c r="CT762" s="551">
        <v>61.977092944885179</v>
      </c>
      <c r="CU762" s="551">
        <v>227.78838468136939</v>
      </c>
      <c r="CV762" s="551"/>
      <c r="CW762" s="551">
        <v>1.3954669763355056E-2</v>
      </c>
      <c r="CX762" s="551">
        <v>1.5939904395519157E-2</v>
      </c>
      <c r="CY762" s="554"/>
    </row>
    <row r="763" spans="65:103" ht="12.75" customHeight="1" x14ac:dyDescent="0.3">
      <c r="BM763" s="562"/>
      <c r="BN763" s="591">
        <v>750</v>
      </c>
      <c r="BO763" s="549" t="s">
        <v>3356</v>
      </c>
      <c r="BP763" s="554" t="s">
        <v>618</v>
      </c>
      <c r="BQ763" s="553">
        <v>10.62</v>
      </c>
      <c r="BR763" s="551">
        <v>73341.31170110339</v>
      </c>
      <c r="BS763" s="551"/>
      <c r="BT763" s="551">
        <v>6335205.2256305758</v>
      </c>
      <c r="BU763" s="551">
        <v>260381.00338999843</v>
      </c>
      <c r="BV763" s="551">
        <v>433526.6351876962</v>
      </c>
      <c r="BW763" s="551">
        <v>4872.5802257451705</v>
      </c>
      <c r="BX763" s="551">
        <v>54836.451459389522</v>
      </c>
      <c r="BY763" s="551">
        <v>18032060.188201014</v>
      </c>
      <c r="BZ763" s="551">
        <v>20309.796836810936</v>
      </c>
      <c r="CA763" s="551">
        <v>14257.195159758916</v>
      </c>
      <c r="CB763" s="551">
        <v>5.6203693461346361E-31</v>
      </c>
      <c r="CC763" s="551">
        <v>2878.1963886588073</v>
      </c>
      <c r="CD763" s="551">
        <v>1562871.4724305498</v>
      </c>
      <c r="CE763" s="551">
        <v>196.95885947569028</v>
      </c>
      <c r="CF763" s="551">
        <v>1462.3218538988938</v>
      </c>
      <c r="CG763" s="551">
        <v>5557.2324343921191</v>
      </c>
      <c r="CH763" s="551">
        <v>21943.832025797969</v>
      </c>
      <c r="CI763" s="551">
        <v>2058.2342349600435</v>
      </c>
      <c r="CJ763" s="551">
        <v>411.26549454931586</v>
      </c>
      <c r="CK763" s="551">
        <v>225323.80807187522</v>
      </c>
      <c r="CL763" s="551"/>
      <c r="CM763" s="551">
        <v>42.158984258117563</v>
      </c>
      <c r="CN763" s="551">
        <v>575.37421594835894</v>
      </c>
      <c r="CO763" s="551">
        <v>3.8199071010934298</v>
      </c>
      <c r="CP763" s="551">
        <v>6173.2655971061613</v>
      </c>
      <c r="CQ763" s="551"/>
      <c r="CR763" s="551">
        <v>1.3122752425416628</v>
      </c>
      <c r="CS763" s="551">
        <v>18.583679441815292</v>
      </c>
      <c r="CT763" s="551">
        <v>5.1174201346268662</v>
      </c>
      <c r="CU763" s="551">
        <v>1051.595284715748</v>
      </c>
      <c r="CV763" s="551"/>
      <c r="CW763" s="551">
        <v>0.16009332641660978</v>
      </c>
      <c r="CX763" s="551">
        <v>1.9553306873418212</v>
      </c>
      <c r="CY763" s="554"/>
    </row>
    <row r="764" spans="65:103" ht="12.75" customHeight="1" x14ac:dyDescent="0.3">
      <c r="BM764" s="562"/>
      <c r="BN764" s="591">
        <v>751</v>
      </c>
      <c r="BO764" s="549" t="s">
        <v>3358</v>
      </c>
      <c r="BP764" s="554" t="s">
        <v>618</v>
      </c>
      <c r="BQ764" s="553">
        <v>10.62</v>
      </c>
      <c r="BR764" s="551">
        <v>26078.338314048629</v>
      </c>
      <c r="BS764" s="551"/>
      <c r="BT764" s="551">
        <v>6963531.9407497607</v>
      </c>
      <c r="BU764" s="551">
        <v>292021.00973236095</v>
      </c>
      <c r="BV764" s="551">
        <v>1515825.3791387076</v>
      </c>
      <c r="BW764" s="551">
        <v>15406.210681107672</v>
      </c>
      <c r="BX764" s="551">
        <v>34380.334228623891</v>
      </c>
      <c r="BY764" s="551">
        <v>3294967.3119755541</v>
      </c>
      <c r="BZ764" s="551">
        <v>12733.457121712552</v>
      </c>
      <c r="CA764" s="551">
        <v>3115.8128595129624</v>
      </c>
      <c r="CB764" s="551">
        <v>1.7614189010116789E-31</v>
      </c>
      <c r="CC764" s="551">
        <v>1113.1802271254437</v>
      </c>
      <c r="CD764" s="551">
        <v>1661777.0910450688</v>
      </c>
      <c r="CE764" s="551">
        <v>242.31767071502199</v>
      </c>
      <c r="CF764" s="551">
        <v>4383.5352793866923</v>
      </c>
      <c r="CG764" s="551">
        <v>2108.9658311378066</v>
      </c>
      <c r="CH764" s="551">
        <v>4782.4285477666126</v>
      </c>
      <c r="CI764" s="551">
        <v>781.0984559769654</v>
      </c>
      <c r="CJ764" s="551">
        <v>55.023718929824994</v>
      </c>
      <c r="CK764" s="551">
        <v>236309.70298752855</v>
      </c>
      <c r="CL764" s="551"/>
      <c r="CM764" s="551">
        <v>124.64692419643156</v>
      </c>
      <c r="CN764" s="551">
        <v>133.6754865436688</v>
      </c>
      <c r="CO764" s="551">
        <v>0.31170546998654014</v>
      </c>
      <c r="CP764" s="551">
        <v>6275.8372004281991</v>
      </c>
      <c r="CQ764" s="551"/>
      <c r="CR764" s="551">
        <v>4.3858835267206455</v>
      </c>
      <c r="CS764" s="551">
        <v>3.4160513011047393</v>
      </c>
      <c r="CT764" s="551">
        <v>0.42020778328173969</v>
      </c>
      <c r="CU764" s="551">
        <v>1078.15824416958</v>
      </c>
      <c r="CV764" s="551"/>
      <c r="CW764" s="551">
        <v>0.38717035164161384</v>
      </c>
      <c r="CX764" s="551">
        <v>0.238377998414908</v>
      </c>
      <c r="CY764" s="554"/>
    </row>
    <row r="765" spans="65:103" ht="12.75" customHeight="1" x14ac:dyDescent="0.3">
      <c r="BM765" s="562"/>
      <c r="BN765" s="591">
        <v>752</v>
      </c>
      <c r="BO765" s="549" t="s">
        <v>3360</v>
      </c>
      <c r="BP765" s="554" t="s">
        <v>618</v>
      </c>
      <c r="BQ765" s="553">
        <v>10.63</v>
      </c>
      <c r="BR765" s="551">
        <v>8242.6687657269995</v>
      </c>
      <c r="BS765" s="551"/>
      <c r="BT765" s="551">
        <v>6613595.1066066688</v>
      </c>
      <c r="BU765" s="551">
        <v>304979.45734262106</v>
      </c>
      <c r="BV765" s="551">
        <v>3565486.6940005445</v>
      </c>
      <c r="BW765" s="551">
        <v>41121.342308164385</v>
      </c>
      <c r="BX765" s="551">
        <v>5100057.4210702013</v>
      </c>
      <c r="BY765" s="551">
        <v>34567619.88410949</v>
      </c>
      <c r="BZ765" s="551">
        <v>1888910.155951926</v>
      </c>
      <c r="CA765" s="551">
        <v>686.43184931541714</v>
      </c>
      <c r="CB765" s="551">
        <v>6.5239449484882555E-31</v>
      </c>
      <c r="CC765" s="551">
        <v>14107.452654204759</v>
      </c>
      <c r="CD765" s="551">
        <v>3883045.3757720403</v>
      </c>
      <c r="CE765" s="551">
        <v>7605.5358566723389</v>
      </c>
      <c r="CF765" s="551">
        <v>26178.162864896341</v>
      </c>
      <c r="CG765" s="551">
        <v>220091.43117044243</v>
      </c>
      <c r="CH765" s="551">
        <v>529867.43111364334</v>
      </c>
      <c r="CI765" s="551">
        <v>81515.344877941636</v>
      </c>
      <c r="CJ765" s="551">
        <v>8.4243514539648192</v>
      </c>
      <c r="CK765" s="551">
        <v>1344497.7106890266</v>
      </c>
      <c r="CL765" s="551"/>
      <c r="CM765" s="551">
        <v>1823.5697016277156</v>
      </c>
      <c r="CN765" s="551">
        <v>9694.9559640712323</v>
      </c>
      <c r="CO765" s="551">
        <v>0.11485728149054653</v>
      </c>
      <c r="CP765" s="551">
        <v>83959.064531693337</v>
      </c>
      <c r="CQ765" s="551"/>
      <c r="CR765" s="551">
        <v>138.30610489952127</v>
      </c>
      <c r="CS765" s="551">
        <v>110.87238868331731</v>
      </c>
      <c r="CT765" s="551">
        <v>2.1532204428212718E-2</v>
      </c>
      <c r="CU765" s="551">
        <v>15266.719146176069</v>
      </c>
      <c r="CV765" s="551"/>
      <c r="CW765" s="551">
        <v>15.530820366740979</v>
      </c>
      <c r="CX765" s="551">
        <v>14.268104405219113</v>
      </c>
      <c r="CY765" s="554"/>
    </row>
    <row r="766" spans="65:103" ht="12.75" customHeight="1" x14ac:dyDescent="0.3">
      <c r="BM766" s="562"/>
      <c r="BN766" s="591">
        <v>753</v>
      </c>
      <c r="BO766" s="549" t="s">
        <v>3362</v>
      </c>
      <c r="BP766" s="554" t="s">
        <v>618</v>
      </c>
      <c r="BQ766" s="553">
        <v>10.67</v>
      </c>
      <c r="BR766" s="551">
        <v>19607.701412782215</v>
      </c>
      <c r="BS766" s="551"/>
      <c r="BT766" s="551">
        <v>13038055.264606824</v>
      </c>
      <c r="BU766" s="551">
        <v>593204.51412535924</v>
      </c>
      <c r="BV766" s="551">
        <v>2702586.1380069796</v>
      </c>
      <c r="BW766" s="551">
        <v>31478.483107168653</v>
      </c>
      <c r="BX766" s="551">
        <v>154144.00934769976</v>
      </c>
      <c r="BY766" s="551">
        <v>46799120.735087708</v>
      </c>
      <c r="BZ766" s="551">
        <v>57090.373832481375</v>
      </c>
      <c r="CA766" s="551">
        <v>1332.5346751261591</v>
      </c>
      <c r="CB766" s="551">
        <v>6.4909922067896526E-32</v>
      </c>
      <c r="CC766" s="551">
        <v>1011.5562073466504</v>
      </c>
      <c r="CD766" s="551">
        <v>6935198.1606290741</v>
      </c>
      <c r="CE766" s="551">
        <v>209.67987390045874</v>
      </c>
      <c r="CF766" s="551">
        <v>18400.864537090754</v>
      </c>
      <c r="CG766" s="551">
        <v>5556.0633217923305</v>
      </c>
      <c r="CH766" s="551">
        <v>17699.279277592475</v>
      </c>
      <c r="CI766" s="551">
        <v>2057.8012302934553</v>
      </c>
      <c r="CJ766" s="551">
        <v>14.554613804335995</v>
      </c>
      <c r="CK766" s="551">
        <v>2388660.3088464793</v>
      </c>
      <c r="CL766" s="551"/>
      <c r="CM766" s="551">
        <v>1275.0999780256434</v>
      </c>
      <c r="CN766" s="551">
        <v>217.81762045526051</v>
      </c>
      <c r="CO766" s="551">
        <v>7.4603398833951035E-2</v>
      </c>
      <c r="CP766" s="551">
        <v>148778.22559543207</v>
      </c>
      <c r="CQ766" s="551"/>
      <c r="CR766" s="551">
        <v>88.8292007672746</v>
      </c>
      <c r="CS766" s="551">
        <v>4.2535877199451431</v>
      </c>
      <c r="CT766" s="551">
        <v>9.0119325195046771E-2</v>
      </c>
      <c r="CU766" s="551">
        <v>27055.546850514933</v>
      </c>
      <c r="CV766" s="551"/>
      <c r="CW766" s="551">
        <v>12.036964082624985</v>
      </c>
      <c r="CX766" s="551">
        <v>0.34578643200543457</v>
      </c>
      <c r="CY766" s="554"/>
    </row>
    <row r="767" spans="65:103" ht="12.75" customHeight="1" x14ac:dyDescent="0.3">
      <c r="BM767" s="562"/>
      <c r="BN767" s="591">
        <v>754</v>
      </c>
      <c r="BO767" s="549" t="s">
        <v>3364</v>
      </c>
      <c r="BP767" s="554" t="s">
        <v>618</v>
      </c>
      <c r="BQ767" s="553">
        <v>10.78</v>
      </c>
      <c r="BR767" s="551">
        <v>173239.38537478959</v>
      </c>
      <c r="BS767" s="551"/>
      <c r="BT767" s="551">
        <v>1493053.3413459465</v>
      </c>
      <c r="BU767" s="551">
        <v>42857.598737413391</v>
      </c>
      <c r="BV767" s="551">
        <v>85690.111116621119</v>
      </c>
      <c r="BW767" s="551">
        <v>672.35954599391459</v>
      </c>
      <c r="BX767" s="551">
        <v>63.392737836258114</v>
      </c>
      <c r="BY767" s="551">
        <v>12128345.630591514</v>
      </c>
      <c r="BZ767" s="551">
        <v>23.47879179120671</v>
      </c>
      <c r="CA767" s="551">
        <v>45306.532573851371</v>
      </c>
      <c r="CB767" s="551">
        <v>1.2214123646082693E-32</v>
      </c>
      <c r="CC767" s="551">
        <v>9.402426069073579</v>
      </c>
      <c r="CD767" s="551">
        <v>137303.45607787778</v>
      </c>
      <c r="CE767" s="551">
        <v>0.53962903555637087</v>
      </c>
      <c r="CF767" s="551">
        <v>107.70235863836102</v>
      </c>
      <c r="CG767" s="551">
        <v>7.6063900044631669</v>
      </c>
      <c r="CH767" s="551">
        <v>30.00549491408384</v>
      </c>
      <c r="CI767" s="551">
        <v>2.8171814831345059</v>
      </c>
      <c r="CJ767" s="551">
        <v>1761.3680981878967</v>
      </c>
      <c r="CK767" s="551">
        <v>11237.039507212105</v>
      </c>
      <c r="CL767" s="551"/>
      <c r="CM767" s="551">
        <v>1.7496627464464323</v>
      </c>
      <c r="CN767" s="551">
        <v>1.061381577085958</v>
      </c>
      <c r="CO767" s="551">
        <v>22.650005694763873</v>
      </c>
      <c r="CP767" s="551">
        <v>181.14536240638498</v>
      </c>
      <c r="CQ767" s="551"/>
      <c r="CR767" s="551">
        <v>3.4270880010646119E-2</v>
      </c>
      <c r="CS767" s="551">
        <v>4.5990835038410657E-2</v>
      </c>
      <c r="CT767" s="551">
        <v>29.937052921258136</v>
      </c>
      <c r="CU767" s="551">
        <v>29.730637172365594</v>
      </c>
      <c r="CV767" s="551"/>
      <c r="CW767" s="551">
        <v>3.4458249849771607E-3</v>
      </c>
      <c r="CX767" s="551">
        <v>5.0665229466755664E-3</v>
      </c>
      <c r="CY767" s="554"/>
    </row>
    <row r="768" spans="65:103" ht="12.75" customHeight="1" x14ac:dyDescent="0.3">
      <c r="BM768" s="562"/>
      <c r="BN768" s="591">
        <v>755</v>
      </c>
      <c r="BO768" s="549" t="s">
        <v>3366</v>
      </c>
      <c r="BP768" s="554" t="s">
        <v>618</v>
      </c>
      <c r="BQ768" s="553">
        <v>10.85</v>
      </c>
      <c r="BR768" s="551">
        <v>79.161414825076037</v>
      </c>
      <c r="BS768" s="551"/>
      <c r="BT768" s="551">
        <v>19428564.871456448</v>
      </c>
      <c r="BU768" s="551">
        <v>825122.42899585213</v>
      </c>
      <c r="BV768" s="551">
        <v>168145.85123035684</v>
      </c>
      <c r="BW768" s="551">
        <v>2173.9036509054031</v>
      </c>
      <c r="BX768" s="551">
        <v>1024401.7315143333</v>
      </c>
      <c r="BY768" s="551">
        <v>22016741.154088493</v>
      </c>
      <c r="BZ768" s="551">
        <v>379408.04870901239</v>
      </c>
      <c r="CA768" s="551">
        <v>2.0481422529681371E-2</v>
      </c>
      <c r="CB768" s="551">
        <v>6.3611110186615137E-33</v>
      </c>
      <c r="CC768" s="551">
        <v>640.17915401634332</v>
      </c>
      <c r="CD768" s="551">
        <v>4622498.2637421219</v>
      </c>
      <c r="CE768" s="551">
        <v>5.5404745283143635</v>
      </c>
      <c r="CF768" s="551">
        <v>608.93180810040712</v>
      </c>
      <c r="CG768" s="551">
        <v>137.34579171810586</v>
      </c>
      <c r="CH768" s="551">
        <v>1103.7678636285234</v>
      </c>
      <c r="CI768" s="551">
        <v>50.868811747446614</v>
      </c>
      <c r="CJ768" s="551">
        <v>8.3202905784831132E-7</v>
      </c>
      <c r="CK768" s="551">
        <v>660769.02399241738</v>
      </c>
      <c r="CL768" s="551"/>
      <c r="CM768" s="551">
        <v>17.408171269684026</v>
      </c>
      <c r="CN768" s="551">
        <v>2.0026146518669612E-2</v>
      </c>
      <c r="CO768" s="551">
        <v>2.9317688143114687E-10</v>
      </c>
      <c r="CP768" s="551">
        <v>17620.040686178487</v>
      </c>
      <c r="CQ768" s="551"/>
      <c r="CR768" s="551">
        <v>0.46882887739944573</v>
      </c>
      <c r="CS768" s="551">
        <v>2.1560209005939519E-5</v>
      </c>
      <c r="CT768" s="551">
        <v>5.5567639542023759E-10</v>
      </c>
      <c r="CU768" s="551">
        <v>3031.4360263532485</v>
      </c>
      <c r="CV768" s="551"/>
      <c r="CW768" s="551">
        <v>7.8395351152708376E-2</v>
      </c>
      <c r="CX768" s="551">
        <v>3.9747345692455673E-6</v>
      </c>
      <c r="CY768" s="554"/>
    </row>
    <row r="769" spans="65:103" ht="12.75" customHeight="1" x14ac:dyDescent="0.3">
      <c r="BM769" s="562"/>
      <c r="BN769" s="600">
        <v>756</v>
      </c>
      <c r="BO769" s="601" t="s">
        <v>3367</v>
      </c>
      <c r="BP769" s="603" t="s">
        <v>618</v>
      </c>
      <c r="BQ769" s="604">
        <v>10.86</v>
      </c>
      <c r="BR769" s="589">
        <v>135354.02333378806</v>
      </c>
      <c r="BS769" s="589"/>
      <c r="BT769" s="589">
        <v>10505547.919731455</v>
      </c>
      <c r="BU769" s="589">
        <v>474883.18203841796</v>
      </c>
      <c r="BV769" s="589">
        <v>1240751.7630174274</v>
      </c>
      <c r="BW769" s="589">
        <v>14946.47921425719</v>
      </c>
      <c r="BX769" s="589">
        <v>309555.06026851543</v>
      </c>
      <c r="BY769" s="589">
        <v>40349961.429329962</v>
      </c>
      <c r="BZ769" s="589">
        <v>114650.02232167237</v>
      </c>
      <c r="CA769" s="589">
        <v>61416.92572215086</v>
      </c>
      <c r="CB769" s="589">
        <v>2.5069494955535936E-30</v>
      </c>
      <c r="CC769" s="589">
        <v>27243.229537829993</v>
      </c>
      <c r="CD769" s="589">
        <v>6697505.6320215203</v>
      </c>
      <c r="CE769" s="589">
        <v>3217.5461325405172</v>
      </c>
      <c r="CF769" s="589">
        <v>10539.868803806326</v>
      </c>
      <c r="CG769" s="589">
        <v>76392.508080694242</v>
      </c>
      <c r="CH769" s="589">
        <v>338662.14221602661</v>
      </c>
      <c r="CI769" s="589">
        <v>28293.521511368232</v>
      </c>
      <c r="CJ769" s="589">
        <v>4209.5257780332859</v>
      </c>
      <c r="CK769" s="589">
        <v>2413705.8401448545</v>
      </c>
      <c r="CL769" s="589"/>
      <c r="CM769" s="589">
        <v>764.22438259553837</v>
      </c>
      <c r="CN769" s="589">
        <v>18793.147564859311</v>
      </c>
      <c r="CO769" s="589">
        <v>90.429257020693456</v>
      </c>
      <c r="CP769" s="589">
        <v>163250.51323694256</v>
      </c>
      <c r="CQ769" s="589"/>
      <c r="CR769" s="589">
        <v>55.773855869400442</v>
      </c>
      <c r="CS769" s="589">
        <v>1387.0366987032953</v>
      </c>
      <c r="CT769" s="589">
        <v>125.74487678471714</v>
      </c>
      <c r="CU769" s="589">
        <v>29160.073055512006</v>
      </c>
      <c r="CV769" s="589"/>
      <c r="CW769" s="589">
        <v>8.1114309548481547</v>
      </c>
      <c r="CX769" s="589">
        <v>154.69146043804247</v>
      </c>
      <c r="CY769" s="554"/>
    </row>
    <row r="770" spans="65:103" ht="12.75" customHeight="1" x14ac:dyDescent="0.3">
      <c r="BM770" s="562"/>
      <c r="BN770" s="591">
        <v>757</v>
      </c>
      <c r="BO770" s="549" t="s">
        <v>3369</v>
      </c>
      <c r="BP770" s="554" t="s">
        <v>619</v>
      </c>
      <c r="BQ770" s="553">
        <v>3.03</v>
      </c>
      <c r="BR770" s="551">
        <v>112882.56029943755</v>
      </c>
      <c r="BS770" s="551"/>
      <c r="BT770" s="551">
        <v>13800517.23601605</v>
      </c>
      <c r="BU770" s="551">
        <v>632463.70722421142</v>
      </c>
      <c r="BV770" s="551">
        <v>1173058.919313218</v>
      </c>
      <c r="BW770" s="551">
        <v>14659.956245406434</v>
      </c>
      <c r="BX770" s="551">
        <v>1497119.7439722123</v>
      </c>
      <c r="BY770" s="551">
        <v>44214212.153239653</v>
      </c>
      <c r="BZ770" s="551">
        <v>554488.79406378232</v>
      </c>
      <c r="CA770" s="551">
        <v>70122.396514873952</v>
      </c>
      <c r="CB770" s="551">
        <v>4.5498063482610958E-30</v>
      </c>
      <c r="CC770" s="551">
        <v>135105.5923166046</v>
      </c>
      <c r="CD770" s="551">
        <v>9632384.443249587</v>
      </c>
      <c r="CE770" s="551">
        <v>11484.121747442599</v>
      </c>
      <c r="CF770" s="551">
        <v>11163.512851727381</v>
      </c>
      <c r="CG770" s="551">
        <v>484320.17782841623</v>
      </c>
      <c r="CH770" s="551">
        <v>1697652.3945626228</v>
      </c>
      <c r="CI770" s="551">
        <v>179377.84364015417</v>
      </c>
      <c r="CJ770" s="551">
        <v>6680.5291689930009</v>
      </c>
      <c r="CK770" s="551">
        <v>3618790.9698377335</v>
      </c>
      <c r="CL770" s="551"/>
      <c r="CM770" s="551">
        <v>843.81356084139793</v>
      </c>
      <c r="CN770" s="551">
        <v>165611.43978184366</v>
      </c>
      <c r="CO770" s="551">
        <v>177.67762349833811</v>
      </c>
      <c r="CP770" s="551">
        <v>273371.02619847615</v>
      </c>
      <c r="CQ770" s="551"/>
      <c r="CR770" s="551">
        <v>67.685911622799836</v>
      </c>
      <c r="CS770" s="551">
        <v>16652.057028632145</v>
      </c>
      <c r="CT770" s="551">
        <v>287.2057434072907</v>
      </c>
      <c r="CU770" s="551">
        <v>48009.035306207748</v>
      </c>
      <c r="CV770" s="551"/>
      <c r="CW770" s="551">
        <v>10.085962993835333</v>
      </c>
      <c r="CX770" s="551">
        <v>1844.3846142741418</v>
      </c>
      <c r="CY770" s="554"/>
    </row>
    <row r="771" spans="65:103" ht="12.75" customHeight="1" x14ac:dyDescent="0.3">
      <c r="BM771" s="562"/>
      <c r="BN771" s="591">
        <v>758</v>
      </c>
      <c r="BO771" s="549" t="s">
        <v>3371</v>
      </c>
      <c r="BP771" s="554" t="s">
        <v>619</v>
      </c>
      <c r="BQ771" s="553">
        <v>3.05</v>
      </c>
      <c r="BR771" s="551">
        <v>132964.03379977995</v>
      </c>
      <c r="BS771" s="551"/>
      <c r="BT771" s="551">
        <v>3350185.8805849082</v>
      </c>
      <c r="BU771" s="551">
        <v>139058.90946452352</v>
      </c>
      <c r="BV771" s="551">
        <v>352874.46669038816</v>
      </c>
      <c r="BW771" s="551">
        <v>3924.9837799339593</v>
      </c>
      <c r="BX771" s="551">
        <v>30528.547551402313</v>
      </c>
      <c r="BY771" s="551">
        <v>32728848.550064802</v>
      </c>
      <c r="BZ771" s="551">
        <v>11306.869463482339</v>
      </c>
      <c r="CA771" s="551">
        <v>43245.439211729652</v>
      </c>
      <c r="CB771" s="551">
        <v>1.1621791042796371E-30</v>
      </c>
      <c r="CC771" s="551">
        <v>3258.187450917399</v>
      </c>
      <c r="CD771" s="551">
        <v>2042458.658865188</v>
      </c>
      <c r="CE771" s="551">
        <v>343.18428890251926</v>
      </c>
      <c r="CF771" s="551">
        <v>2882.4536083668618</v>
      </c>
      <c r="CG771" s="551">
        <v>5550.0883249139824</v>
      </c>
      <c r="CH771" s="551">
        <v>32525.765866266021</v>
      </c>
      <c r="CI771" s="551">
        <v>2055.5882684866601</v>
      </c>
      <c r="CJ771" s="551">
        <v>2113.3562801242733</v>
      </c>
      <c r="CK771" s="551">
        <v>727217.5500587672</v>
      </c>
      <c r="CL771" s="551"/>
      <c r="CM771" s="551">
        <v>206.48495299119165</v>
      </c>
      <c r="CN771" s="551">
        <v>973.50000133236881</v>
      </c>
      <c r="CO771" s="551">
        <v>33.159031818436993</v>
      </c>
      <c r="CP771" s="551">
        <v>47915.627285778486</v>
      </c>
      <c r="CQ771" s="551"/>
      <c r="CR771" s="551">
        <v>14.59812892519165</v>
      </c>
      <c r="CS771" s="551">
        <v>49.231566580537553</v>
      </c>
      <c r="CT771" s="551">
        <v>45.321974708597011</v>
      </c>
      <c r="CU771" s="551">
        <v>8495.9760262460659</v>
      </c>
      <c r="CV771" s="551"/>
      <c r="CW771" s="551">
        <v>2.1379122357394271</v>
      </c>
      <c r="CX771" s="551">
        <v>6.0375739384436766</v>
      </c>
      <c r="CY771" s="554"/>
    </row>
    <row r="772" spans="65:103" ht="12.75" customHeight="1" x14ac:dyDescent="0.3">
      <c r="BM772" s="562"/>
      <c r="BN772" s="591">
        <v>759</v>
      </c>
      <c r="BO772" s="549" t="s">
        <v>3373</v>
      </c>
      <c r="BP772" s="554" t="s">
        <v>619</v>
      </c>
      <c r="BQ772" s="553">
        <v>3.09</v>
      </c>
      <c r="BR772" s="551">
        <v>40986.08075607894</v>
      </c>
      <c r="BS772" s="551"/>
      <c r="BT772" s="551">
        <v>12900677.248960542</v>
      </c>
      <c r="BU772" s="551">
        <v>584750.6907019472</v>
      </c>
      <c r="BV772" s="551">
        <v>601977.3734474224</v>
      </c>
      <c r="BW772" s="551">
        <v>7773.5968066214436</v>
      </c>
      <c r="BX772" s="551">
        <v>79178.463354754378</v>
      </c>
      <c r="BY772" s="551">
        <v>35315711.581857875</v>
      </c>
      <c r="BZ772" s="551">
        <v>29325.356798057182</v>
      </c>
      <c r="CA772" s="551">
        <v>4834.413525224486</v>
      </c>
      <c r="CB772" s="551">
        <v>2.129985562113589E-31</v>
      </c>
      <c r="CC772" s="551">
        <v>3393.2536469388942</v>
      </c>
      <c r="CD772" s="551">
        <v>6888933.8853512798</v>
      </c>
      <c r="CE772" s="551">
        <v>158.33757239293368</v>
      </c>
      <c r="CF772" s="551">
        <v>4579.0278920327773</v>
      </c>
      <c r="CG772" s="551">
        <v>4811.8411948545681</v>
      </c>
      <c r="CH772" s="551">
        <v>24930.041617581508</v>
      </c>
      <c r="CI772" s="551">
        <v>1782.1634055016909</v>
      </c>
      <c r="CJ772" s="551">
        <v>87.585289836919628</v>
      </c>
      <c r="CK772" s="551">
        <v>2372429.4634203669</v>
      </c>
      <c r="CL772" s="551"/>
      <c r="CM772" s="551">
        <v>317.2724306185462</v>
      </c>
      <c r="CN772" s="551">
        <v>312.8976608435454</v>
      </c>
      <c r="CO772" s="551">
        <v>0.57595910143396833</v>
      </c>
      <c r="CP772" s="551">
        <v>147681.39228203337</v>
      </c>
      <c r="CQ772" s="551"/>
      <c r="CR772" s="551">
        <v>20.507365601659952</v>
      </c>
      <c r="CS772" s="551">
        <v>7.0197843843259031</v>
      </c>
      <c r="CT772" s="551">
        <v>0.7360133468571346</v>
      </c>
      <c r="CU772" s="551">
        <v>26858.436672761367</v>
      </c>
      <c r="CV772" s="551"/>
      <c r="CW772" s="551">
        <v>3.3577852354951707</v>
      </c>
      <c r="CX772" s="551">
        <v>0.73489529503965989</v>
      </c>
      <c r="CY772" s="554"/>
    </row>
    <row r="773" spans="65:103" ht="12.75" customHeight="1" x14ac:dyDescent="0.3">
      <c r="BM773" s="562"/>
      <c r="BN773" s="591">
        <v>760</v>
      </c>
      <c r="BO773" s="549" t="s">
        <v>3375</v>
      </c>
      <c r="BP773" s="554" t="s">
        <v>619</v>
      </c>
      <c r="BQ773" s="553">
        <v>3.09</v>
      </c>
      <c r="BR773" s="551">
        <v>910.2058214353151</v>
      </c>
      <c r="BS773" s="551"/>
      <c r="BT773" s="551">
        <v>11157470.885148423</v>
      </c>
      <c r="BU773" s="551">
        <v>525365.46911840094</v>
      </c>
      <c r="BV773" s="551">
        <v>1999533.441101057</v>
      </c>
      <c r="BW773" s="551">
        <v>24472.573400540768</v>
      </c>
      <c r="BX773" s="551">
        <v>7660038.1522558518</v>
      </c>
      <c r="BY773" s="551">
        <v>60929518.563690349</v>
      </c>
      <c r="BZ773" s="551">
        <v>2837051.1675021681</v>
      </c>
      <c r="CA773" s="551">
        <v>6.7167928090864075</v>
      </c>
      <c r="CB773" s="551">
        <v>7.2478242991247952E-32</v>
      </c>
      <c r="CC773" s="551">
        <v>4387.9356113074837</v>
      </c>
      <c r="CD773" s="551">
        <v>8526908.0393573325</v>
      </c>
      <c r="CE773" s="551">
        <v>786.36315366829729</v>
      </c>
      <c r="CF773" s="551">
        <v>19860.020798759855</v>
      </c>
      <c r="CG773" s="551">
        <v>29292.185235429999</v>
      </c>
      <c r="CH773" s="551">
        <v>86295.075539428988</v>
      </c>
      <c r="CI773" s="551">
        <v>10848.957494603701</v>
      </c>
      <c r="CJ773" s="551">
        <v>7.3585510804871305E-3</v>
      </c>
      <c r="CK773" s="551">
        <v>4581735.6043576775</v>
      </c>
      <c r="CL773" s="551"/>
      <c r="CM773" s="551">
        <v>2150.2927816599095</v>
      </c>
      <c r="CN773" s="551">
        <v>115.18231001597348</v>
      </c>
      <c r="CO773" s="551">
        <v>1.2938143976558627E-5</v>
      </c>
      <c r="CP773" s="551">
        <v>432405.62543677574</v>
      </c>
      <c r="CQ773" s="551"/>
      <c r="CR773" s="551">
        <v>216.3948249388871</v>
      </c>
      <c r="CS773" s="551">
        <v>0.20574968532514784</v>
      </c>
      <c r="CT773" s="551">
        <v>4.5917673205896932E-6</v>
      </c>
      <c r="CU773" s="551">
        <v>82836.126072863743</v>
      </c>
      <c r="CV773" s="551"/>
      <c r="CW773" s="551">
        <v>34.805703292611476</v>
      </c>
      <c r="CX773" s="551">
        <v>2.8513661124329546E-2</v>
      </c>
      <c r="CY773" s="554"/>
    </row>
    <row r="774" spans="65:103" ht="12.75" customHeight="1" x14ac:dyDescent="0.3">
      <c r="BM774" s="562"/>
      <c r="BN774" s="591">
        <v>761</v>
      </c>
      <c r="BO774" s="549" t="s">
        <v>3379</v>
      </c>
      <c r="BP774" s="554" t="s">
        <v>619</v>
      </c>
      <c r="BQ774" s="553">
        <v>3.1</v>
      </c>
      <c r="BR774" s="551">
        <v>9524.7277109714032</v>
      </c>
      <c r="BS774" s="551"/>
      <c r="BT774" s="551">
        <v>12991475.594463987</v>
      </c>
      <c r="BU774" s="551">
        <v>598094.96693799749</v>
      </c>
      <c r="BV774" s="551">
        <v>562713.24744865927</v>
      </c>
      <c r="BW774" s="551">
        <v>7415.2083109384967</v>
      </c>
      <c r="BX774" s="551">
        <v>205028.05766167422</v>
      </c>
      <c r="BY774" s="551">
        <v>1656715.6010639183</v>
      </c>
      <c r="BZ774" s="551">
        <v>75936.317652471975</v>
      </c>
      <c r="CA774" s="551">
        <v>450.18951104635698</v>
      </c>
      <c r="CB774" s="551">
        <v>5.2967515352683311E-31</v>
      </c>
      <c r="CC774" s="551">
        <v>7840.9720445849644</v>
      </c>
      <c r="CD774" s="551">
        <v>7242342.9096876066</v>
      </c>
      <c r="CE774" s="551">
        <v>339.6241489490788</v>
      </c>
      <c r="CF774" s="551">
        <v>4489.5446629088037</v>
      </c>
      <c r="CG774" s="551">
        <v>5021.6237855311865</v>
      </c>
      <c r="CH774" s="551">
        <v>11428.066559488374</v>
      </c>
      <c r="CI774" s="551">
        <v>1859.8606613078464</v>
      </c>
      <c r="CJ774" s="551">
        <v>3.1376722566836777</v>
      </c>
      <c r="CK774" s="551">
        <v>2497921.2886188258</v>
      </c>
      <c r="CL774" s="551"/>
      <c r="CM774" s="551">
        <v>311.54435154039732</v>
      </c>
      <c r="CN774" s="551">
        <v>125.62035999323037</v>
      </c>
      <c r="CO774" s="551">
        <v>5.1744895770423991E-3</v>
      </c>
      <c r="CP774" s="551">
        <v>155720.7640191121</v>
      </c>
      <c r="CQ774" s="551"/>
      <c r="CR774" s="551">
        <v>20.123112580853675</v>
      </c>
      <c r="CS774" s="551">
        <v>1.0079191803951812</v>
      </c>
      <c r="CT774" s="551">
        <v>1.071511342633414E-2</v>
      </c>
      <c r="CU774" s="551">
        <v>28308.822063591848</v>
      </c>
      <c r="CV774" s="551"/>
      <c r="CW774" s="551">
        <v>3.3127836938962041</v>
      </c>
      <c r="CX774" s="551">
        <v>9.8007666807924276E-2</v>
      </c>
      <c r="CY774" s="554"/>
    </row>
    <row r="775" spans="65:103" ht="12.75" customHeight="1" x14ac:dyDescent="0.3">
      <c r="BM775" s="562"/>
      <c r="BN775" s="591">
        <v>762</v>
      </c>
      <c r="BO775" s="549" t="s">
        <v>3377</v>
      </c>
      <c r="BP775" s="554" t="s">
        <v>619</v>
      </c>
      <c r="BQ775" s="553">
        <v>3.1</v>
      </c>
      <c r="BR775" s="551">
        <v>6137.4786634209122</v>
      </c>
      <c r="BS775" s="551"/>
      <c r="BT775" s="551">
        <v>17191182.449419934</v>
      </c>
      <c r="BU775" s="551">
        <v>792229.65353672521</v>
      </c>
      <c r="BV775" s="551">
        <v>796181.62919237057</v>
      </c>
      <c r="BW775" s="551">
        <v>10458.043863550332</v>
      </c>
      <c r="BX775" s="551">
        <v>5782025.9970977576</v>
      </c>
      <c r="BY775" s="551">
        <v>58281619.740300223</v>
      </c>
      <c r="BZ775" s="551">
        <v>2141491.1100362074</v>
      </c>
      <c r="CA775" s="551">
        <v>175.23380317319999</v>
      </c>
      <c r="CB775" s="551">
        <v>4.8692339051986368E-31</v>
      </c>
      <c r="CC775" s="551">
        <v>36287.545879337122</v>
      </c>
      <c r="CD775" s="551">
        <v>9505100.7717115395</v>
      </c>
      <c r="CE775" s="551">
        <v>1680.5986140050757</v>
      </c>
      <c r="CF775" s="551">
        <v>6273.7339074759393</v>
      </c>
      <c r="CG775" s="551">
        <v>85547.291845138563</v>
      </c>
      <c r="CH775" s="551">
        <v>314733.75775387953</v>
      </c>
      <c r="CI775" s="551">
        <v>31684.182164866128</v>
      </c>
      <c r="CJ775" s="551">
        <v>0.73819404021562529</v>
      </c>
      <c r="CK775" s="551">
        <v>3276899.8403286939</v>
      </c>
      <c r="CL775" s="551"/>
      <c r="CM775" s="551">
        <v>435.16134272866623</v>
      </c>
      <c r="CN775" s="551">
        <v>1293.4884912522273</v>
      </c>
      <c r="CO775" s="551">
        <v>7.7165440797351032E-4</v>
      </c>
      <c r="CP775" s="551">
        <v>204258.18581656335</v>
      </c>
      <c r="CQ775" s="551"/>
      <c r="CR775" s="551">
        <v>28.158836188809691</v>
      </c>
      <c r="CS775" s="551">
        <v>4.3587412630325968</v>
      </c>
      <c r="CT775" s="551">
        <v>1.6181270708030275E-3</v>
      </c>
      <c r="CU775" s="551">
        <v>37133.184935089863</v>
      </c>
      <c r="CV775" s="551"/>
      <c r="CW775" s="551">
        <v>4.611553537048672</v>
      </c>
      <c r="CX775" s="551">
        <v>0.75245074262048506</v>
      </c>
      <c r="CY775" s="554"/>
    </row>
    <row r="776" spans="65:103" ht="12.75" customHeight="1" x14ac:dyDescent="0.3">
      <c r="BM776" s="562"/>
      <c r="BN776" s="591">
        <v>763</v>
      </c>
      <c r="BO776" s="549" t="s">
        <v>3381</v>
      </c>
      <c r="BP776" s="554" t="s">
        <v>619</v>
      </c>
      <c r="BQ776" s="553">
        <v>3.11</v>
      </c>
      <c r="BR776" s="551">
        <v>46669.495323292867</v>
      </c>
      <c r="BS776" s="551"/>
      <c r="BT776" s="551">
        <v>7296338.2951433118</v>
      </c>
      <c r="BU776" s="551">
        <v>335524.11924041994</v>
      </c>
      <c r="BV776" s="551">
        <v>2037528.6345781512</v>
      </c>
      <c r="BW776" s="551">
        <v>23537.770370473885</v>
      </c>
      <c r="BX776" s="551">
        <v>3302474.7965663816</v>
      </c>
      <c r="BY776" s="551">
        <v>31971955.385209098</v>
      </c>
      <c r="BZ776" s="551">
        <v>1223138.8135431046</v>
      </c>
      <c r="CA776" s="551">
        <v>28317.368119293671</v>
      </c>
      <c r="CB776" s="551">
        <v>3.3284940103546391E-30</v>
      </c>
      <c r="CC776" s="551">
        <v>95813.792893621721</v>
      </c>
      <c r="CD776" s="551">
        <v>5569410.7454656409</v>
      </c>
      <c r="CE776" s="551">
        <v>26756.345266808981</v>
      </c>
      <c r="CF776" s="551">
        <v>19535.333483982173</v>
      </c>
      <c r="CG776" s="551">
        <v>1038383.7372663887</v>
      </c>
      <c r="CH776" s="551">
        <v>2638278.4902579095</v>
      </c>
      <c r="CI776" s="551">
        <v>384586.56935792154</v>
      </c>
      <c r="CJ776" s="551">
        <v>2615.8699820676202</v>
      </c>
      <c r="CK776" s="551">
        <v>2132790.7363232761</v>
      </c>
      <c r="CL776" s="551"/>
      <c r="CM776" s="551">
        <v>1505.1063664286492</v>
      </c>
      <c r="CN776" s="551">
        <v>344290.31084652193</v>
      </c>
      <c r="CO776" s="551">
        <v>188.49980928064232</v>
      </c>
      <c r="CP776" s="551">
        <v>159466.55499257741</v>
      </c>
      <c r="CQ776" s="551"/>
      <c r="CR776" s="551">
        <v>128.86110030650056</v>
      </c>
      <c r="CS776" s="551">
        <v>27294.798883248386</v>
      </c>
      <c r="CT776" s="551">
        <v>60.113272131800699</v>
      </c>
      <c r="CU776" s="551">
        <v>29747.858291681121</v>
      </c>
      <c r="CV776" s="551"/>
      <c r="CW776" s="551">
        <v>16.94306541750462</v>
      </c>
      <c r="CX776" s="551">
        <v>4075.8632276208486</v>
      </c>
      <c r="CY776" s="554"/>
    </row>
    <row r="777" spans="65:103" ht="12.75" customHeight="1" x14ac:dyDescent="0.3">
      <c r="BM777" s="562"/>
      <c r="BN777" s="591">
        <v>764</v>
      </c>
      <c r="BO777" s="549" t="s">
        <v>3383</v>
      </c>
      <c r="BP777" s="554" t="s">
        <v>619</v>
      </c>
      <c r="BQ777" s="553">
        <v>3.11</v>
      </c>
      <c r="BR777" s="551">
        <v>72929.117267758731</v>
      </c>
      <c r="BS777" s="551"/>
      <c r="BT777" s="551">
        <v>10037484.77002031</v>
      </c>
      <c r="BU777" s="551">
        <v>471010.41164234711</v>
      </c>
      <c r="BV777" s="551">
        <v>6644461.926845016</v>
      </c>
      <c r="BW777" s="551">
        <v>83722.689281228173</v>
      </c>
      <c r="BX777" s="551">
        <v>4385637.44167767</v>
      </c>
      <c r="BY777" s="551">
        <v>54956042.146018997</v>
      </c>
      <c r="BZ777" s="551">
        <v>1624310.1635843215</v>
      </c>
      <c r="CA777" s="551">
        <v>59208.548361506779</v>
      </c>
      <c r="CB777" s="551">
        <v>4.9420769726924939E-30</v>
      </c>
      <c r="CC777" s="551">
        <v>133790.72628714496</v>
      </c>
      <c r="CD777" s="551">
        <v>10975036.026159914</v>
      </c>
      <c r="CE777" s="551">
        <v>88564.755747876319</v>
      </c>
      <c r="CF777" s="551">
        <v>97541.31844607614</v>
      </c>
      <c r="CG777" s="551">
        <v>1848017.4014715331</v>
      </c>
      <c r="CH777" s="551">
        <v>4755732.372153881</v>
      </c>
      <c r="CI777" s="551">
        <v>684450.88943390106</v>
      </c>
      <c r="CJ777" s="551">
        <v>7444.906897186067</v>
      </c>
      <c r="CK777" s="551">
        <v>6556127.4863350233</v>
      </c>
      <c r="CL777" s="551"/>
      <c r="CM777" s="551">
        <v>11740.714912959689</v>
      </c>
      <c r="CN777" s="551">
        <v>834035.56315769255</v>
      </c>
      <c r="CO777" s="551">
        <v>313.07128559966077</v>
      </c>
      <c r="CP777" s="551">
        <v>737451.51463254541</v>
      </c>
      <c r="CQ777" s="551"/>
      <c r="CR777" s="551">
        <v>1510.6921447091208</v>
      </c>
      <c r="CS777" s="551">
        <v>107101.91190026313</v>
      </c>
      <c r="CT777" s="551">
        <v>439.61472296768733</v>
      </c>
      <c r="CU777" s="551">
        <v>141307.46267973652</v>
      </c>
      <c r="CV777" s="551"/>
      <c r="CW777" s="551">
        <v>204.64452432803614</v>
      </c>
      <c r="CX777" s="551">
        <v>12361.032906946519</v>
      </c>
      <c r="CY777" s="554"/>
    </row>
    <row r="778" spans="65:103" ht="12.75" customHeight="1" x14ac:dyDescent="0.3">
      <c r="BM778" s="562"/>
      <c r="BN778" s="591">
        <v>765</v>
      </c>
      <c r="BO778" s="549" t="s">
        <v>3385</v>
      </c>
      <c r="BP778" s="554" t="s">
        <v>619</v>
      </c>
      <c r="BQ778" s="553">
        <v>3.12</v>
      </c>
      <c r="BR778" s="551">
        <v>4.6744368904166782</v>
      </c>
      <c r="BS778" s="551"/>
      <c r="BT778" s="551">
        <v>10763856.603320042</v>
      </c>
      <c r="BU778" s="551">
        <v>506186.23845807405</v>
      </c>
      <c r="BV778" s="551">
        <v>321245.22498247633</v>
      </c>
      <c r="BW778" s="551">
        <v>4419.9178638888243</v>
      </c>
      <c r="BX778" s="551">
        <v>2165022.910868769</v>
      </c>
      <c r="BY778" s="551">
        <v>29322905.148370109</v>
      </c>
      <c r="BZ778" s="551">
        <v>801860.33735880326</v>
      </c>
      <c r="CA778" s="551">
        <v>2.3688547731054026E-4</v>
      </c>
      <c r="CB778" s="551">
        <v>3.7560165578417896E-34</v>
      </c>
      <c r="CC778" s="551">
        <v>55.305757765494732</v>
      </c>
      <c r="CD778" s="551">
        <v>8166067.3419422908</v>
      </c>
      <c r="CE778" s="551">
        <v>1.6505896771908577</v>
      </c>
      <c r="CF778" s="551">
        <v>3565.2240400999535</v>
      </c>
      <c r="CG778" s="551">
        <v>56.855191002955962</v>
      </c>
      <c r="CH778" s="551">
        <v>287.96930636024615</v>
      </c>
      <c r="CI778" s="551">
        <v>21.057478149242957</v>
      </c>
      <c r="CJ778" s="551">
        <v>1.7608941904942606E-9</v>
      </c>
      <c r="CK778" s="551">
        <v>4386837.924611384</v>
      </c>
      <c r="CL778" s="551"/>
      <c r="CM778" s="551">
        <v>385.93065809031543</v>
      </c>
      <c r="CN778" s="551">
        <v>1.5169406957893832E-3</v>
      </c>
      <c r="CO778" s="551">
        <v>1.6025476007014134E-14</v>
      </c>
      <c r="CP778" s="551">
        <v>413933.21243906533</v>
      </c>
      <c r="CQ778" s="551"/>
      <c r="CR778" s="551">
        <v>37.019706491330297</v>
      </c>
      <c r="CS778" s="551">
        <v>7.938299075772357E-9</v>
      </c>
      <c r="CT778" s="551">
        <v>2.7390867681729756E-15</v>
      </c>
      <c r="CU778" s="551">
        <v>79294.287017765178</v>
      </c>
      <c r="CV778" s="551"/>
      <c r="CW778" s="551">
        <v>6.7680460046177595</v>
      </c>
      <c r="CX778" s="551">
        <v>1.6448314438332178E-9</v>
      </c>
      <c r="CY778" s="554"/>
    </row>
    <row r="779" spans="65:103" ht="12.75" customHeight="1" x14ac:dyDescent="0.3">
      <c r="BM779" s="562"/>
      <c r="BN779" s="591">
        <v>766</v>
      </c>
      <c r="BO779" s="549" t="s">
        <v>3387</v>
      </c>
      <c r="BP779" s="554" t="s">
        <v>619</v>
      </c>
      <c r="BQ779" s="553">
        <v>3.18</v>
      </c>
      <c r="BR779" s="551">
        <v>9054.8007439281992</v>
      </c>
      <c r="BS779" s="551"/>
      <c r="BT779" s="551">
        <v>20040668.696571715</v>
      </c>
      <c r="BU779" s="551">
        <v>941202.78210754972</v>
      </c>
      <c r="BV779" s="551">
        <v>723834.02117497206</v>
      </c>
      <c r="BW779" s="551">
        <v>9850.0787565223236</v>
      </c>
      <c r="BX779" s="551">
        <v>3467853.7090909369</v>
      </c>
      <c r="BY779" s="551">
        <v>57538505.911115274</v>
      </c>
      <c r="BZ779" s="551">
        <v>1284390.2626262729</v>
      </c>
      <c r="CA779" s="551">
        <v>440.68997897578532</v>
      </c>
      <c r="CB779" s="551">
        <v>5.0865012236765149E-31</v>
      </c>
      <c r="CC779" s="551">
        <v>66684.908995844336</v>
      </c>
      <c r="CD779" s="551">
        <v>15571954.127109714</v>
      </c>
      <c r="CE779" s="551">
        <v>2408.5426769420242</v>
      </c>
      <c r="CF779" s="551">
        <v>8148.3489775456519</v>
      </c>
      <c r="CG779" s="551">
        <v>87456.865729872065</v>
      </c>
      <c r="CH779" s="551">
        <v>413967.24307821045</v>
      </c>
      <c r="CI779" s="551">
        <v>32391.431751804466</v>
      </c>
      <c r="CJ779" s="551">
        <v>3.1863352433319854</v>
      </c>
      <c r="CK779" s="551">
        <v>8370178.245962806</v>
      </c>
      <c r="CL779" s="551"/>
      <c r="CM779" s="551">
        <v>882.56120328934514</v>
      </c>
      <c r="CN779" s="551">
        <v>2269.6341458541469</v>
      </c>
      <c r="CO779" s="551">
        <v>5.9545488953875935E-3</v>
      </c>
      <c r="CP779" s="551">
        <v>789847.23034518026</v>
      </c>
      <c r="CQ779" s="551"/>
      <c r="CR779" s="551">
        <v>84.892040312891496</v>
      </c>
      <c r="CS779" s="551">
        <v>14.425454998819326</v>
      </c>
      <c r="CT779" s="551">
        <v>1.2110393344688386E-2</v>
      </c>
      <c r="CU779" s="551">
        <v>151303.9480653301</v>
      </c>
      <c r="CV779" s="551"/>
      <c r="CW779" s="551">
        <v>15.404054480052377</v>
      </c>
      <c r="CX779" s="551">
        <v>2.3674863347743735</v>
      </c>
      <c r="CY779" s="554"/>
    </row>
    <row r="780" spans="65:103" ht="12.75" customHeight="1" x14ac:dyDescent="0.3">
      <c r="BM780" s="562"/>
      <c r="BN780" s="591">
        <v>767</v>
      </c>
      <c r="BO780" s="549" t="s">
        <v>3389</v>
      </c>
      <c r="BP780" s="554" t="s">
        <v>619</v>
      </c>
      <c r="BQ780" s="553">
        <v>3.2</v>
      </c>
      <c r="BR780" s="551">
        <v>38803.111206217603</v>
      </c>
      <c r="BS780" s="551"/>
      <c r="BT780" s="551">
        <v>9609064.0109745208</v>
      </c>
      <c r="BU780" s="551">
        <v>449022.62559872173</v>
      </c>
      <c r="BV780" s="551">
        <v>3417436.6140218959</v>
      </c>
      <c r="BW780" s="551">
        <v>40756.727437588925</v>
      </c>
      <c r="BX780" s="551">
        <v>927994.35654201568</v>
      </c>
      <c r="BY780" s="551">
        <v>43902354.05139327</v>
      </c>
      <c r="BZ780" s="551">
        <v>343701.61353407992</v>
      </c>
      <c r="CA780" s="551">
        <v>12125.187299565689</v>
      </c>
      <c r="CB780" s="551">
        <v>6.2467631105450193E-31</v>
      </c>
      <c r="CC780" s="551">
        <v>17070.404919612316</v>
      </c>
      <c r="CD780" s="551">
        <v>7656565.7685331982</v>
      </c>
      <c r="CE780" s="551">
        <v>6071.0415418021821</v>
      </c>
      <c r="CF780" s="551">
        <v>34748.423169098496</v>
      </c>
      <c r="CG780" s="551">
        <v>151468.7229701883</v>
      </c>
      <c r="CH780" s="551">
        <v>448888.86667279736</v>
      </c>
      <c r="CI780" s="551">
        <v>56099.527025995631</v>
      </c>
      <c r="CJ780" s="551">
        <v>570.38263795881426</v>
      </c>
      <c r="CK780" s="551">
        <v>4143675.2634607856</v>
      </c>
      <c r="CL780" s="551"/>
      <c r="CM780" s="551">
        <v>3789.3192267769205</v>
      </c>
      <c r="CN780" s="551">
        <v>25574.341538353885</v>
      </c>
      <c r="CO780" s="551">
        <v>12.018649320019621</v>
      </c>
      <c r="CP780" s="551">
        <v>393761.44292726362</v>
      </c>
      <c r="CQ780" s="551"/>
      <c r="CR780" s="551">
        <v>397.36901949693095</v>
      </c>
      <c r="CS780" s="551">
        <v>1699.4786776087317</v>
      </c>
      <c r="CT780" s="551">
        <v>11.196982308226064</v>
      </c>
      <c r="CU780" s="551">
        <v>75257.554761447085</v>
      </c>
      <c r="CV780" s="551"/>
      <c r="CW780" s="551">
        <v>58.501584605643608</v>
      </c>
      <c r="CX780" s="551">
        <v>127.98132453863225</v>
      </c>
      <c r="CY780" s="554"/>
    </row>
    <row r="781" spans="65:103" ht="12.75" customHeight="1" x14ac:dyDescent="0.3">
      <c r="BM781" s="562"/>
      <c r="BN781" s="591">
        <v>768</v>
      </c>
      <c r="BO781" s="549" t="s">
        <v>3391</v>
      </c>
      <c r="BP781" s="554" t="s">
        <v>619</v>
      </c>
      <c r="BQ781" s="553">
        <v>3.23</v>
      </c>
      <c r="BR781" s="551">
        <v>44134.293542529282</v>
      </c>
      <c r="BS781" s="551"/>
      <c r="BT781" s="551">
        <v>28980080.383544318</v>
      </c>
      <c r="BU781" s="551">
        <v>1231119.739641557</v>
      </c>
      <c r="BV781" s="551">
        <v>282568.6776109545</v>
      </c>
      <c r="BW781" s="551">
        <v>3642.26627285426</v>
      </c>
      <c r="BX781" s="551">
        <v>2163451.8930397839</v>
      </c>
      <c r="BY781" s="551">
        <v>35311950.828801185</v>
      </c>
      <c r="BZ781" s="551">
        <v>801278.47890362388</v>
      </c>
      <c r="CA781" s="551">
        <v>3577.1491082458151</v>
      </c>
      <c r="CB781" s="551">
        <v>3.4789113269396565E-30</v>
      </c>
      <c r="CC781" s="551">
        <v>237122.71771199902</v>
      </c>
      <c r="CD781" s="551">
        <v>7697279.1579381581</v>
      </c>
      <c r="CE781" s="551">
        <v>2312.0519987736693</v>
      </c>
      <c r="CF781" s="551">
        <v>1138.6195577476803</v>
      </c>
      <c r="CG781" s="551">
        <v>90865.94692371579</v>
      </c>
      <c r="CH781" s="551">
        <v>522781.78422119131</v>
      </c>
      <c r="CI781" s="551">
        <v>33654.054416191029</v>
      </c>
      <c r="CJ781" s="551">
        <v>42.781518419684417</v>
      </c>
      <c r="CK781" s="551">
        <v>1105625.4551624679</v>
      </c>
      <c r="CL781" s="551"/>
      <c r="CM781" s="551">
        <v>32.705434297903849</v>
      </c>
      <c r="CN781" s="551">
        <v>3900.5330611374311</v>
      </c>
      <c r="CO781" s="551">
        <v>0.10598507354561806</v>
      </c>
      <c r="CP781" s="551">
        <v>29475.380594637834</v>
      </c>
      <c r="CQ781" s="551"/>
      <c r="CR781" s="551">
        <v>0.89703227705486765</v>
      </c>
      <c r="CS781" s="551">
        <v>31.57263210916674</v>
      </c>
      <c r="CT781" s="551">
        <v>0.25800023661801991</v>
      </c>
      <c r="CU781" s="551">
        <v>5067.550346295001</v>
      </c>
      <c r="CV781" s="551"/>
      <c r="CW781" s="551">
        <v>0.14229876443588593</v>
      </c>
      <c r="CX781" s="551">
        <v>6.6687463375781419</v>
      </c>
      <c r="CY781" s="554"/>
    </row>
    <row r="782" spans="65:103" ht="12.75" customHeight="1" x14ac:dyDescent="0.3">
      <c r="BM782" s="562"/>
      <c r="BN782" s="591">
        <v>769</v>
      </c>
      <c r="BO782" s="549" t="s">
        <v>3393</v>
      </c>
      <c r="BP782" s="554" t="s">
        <v>619</v>
      </c>
      <c r="BQ782" s="553">
        <v>3.24</v>
      </c>
      <c r="BR782" s="551">
        <v>82305.652704236199</v>
      </c>
      <c r="BS782" s="551"/>
      <c r="BT782" s="551">
        <v>22013638.239061531</v>
      </c>
      <c r="BU782" s="551">
        <v>934933.70776474895</v>
      </c>
      <c r="BV782" s="551">
        <v>237510.06350106437</v>
      </c>
      <c r="BW782" s="551">
        <v>3053.4320522899961</v>
      </c>
      <c r="BX782" s="551">
        <v>1815543.9023060398</v>
      </c>
      <c r="BY782" s="551">
        <v>30470555.781507909</v>
      </c>
      <c r="BZ782" s="551">
        <v>672423.66752075532</v>
      </c>
      <c r="CA782" s="551">
        <v>16027.081655051497</v>
      </c>
      <c r="CB782" s="551">
        <v>6.2649259096386331E-30</v>
      </c>
      <c r="CC782" s="551">
        <v>366885.7846977461</v>
      </c>
      <c r="CD782" s="551">
        <v>6721975.1263109464</v>
      </c>
      <c r="CE782" s="551">
        <v>3958.4127382713978</v>
      </c>
      <c r="CF782" s="551">
        <v>1097.6764520794522</v>
      </c>
      <c r="CG782" s="551">
        <v>183191.92780541888</v>
      </c>
      <c r="CH782" s="551">
        <v>987490.26836472936</v>
      </c>
      <c r="CI782" s="551">
        <v>67848.862150155095</v>
      </c>
      <c r="CJ782" s="551">
        <v>464.29277268386807</v>
      </c>
      <c r="CK782" s="551">
        <v>1015918.6446165935</v>
      </c>
      <c r="CL782" s="551"/>
      <c r="CM782" s="551">
        <v>33.174678752358062</v>
      </c>
      <c r="CN782" s="551">
        <v>19047.915776191181</v>
      </c>
      <c r="CO782" s="551">
        <v>2.8701985975477977</v>
      </c>
      <c r="CP782" s="551">
        <v>29459.861693837694</v>
      </c>
      <c r="CQ782" s="551"/>
      <c r="CR782" s="551">
        <v>0.99180275701799558</v>
      </c>
      <c r="CS782" s="551">
        <v>391.34874976166856</v>
      </c>
      <c r="CT782" s="551">
        <v>6.6614363628277031</v>
      </c>
      <c r="CU782" s="551">
        <v>5038.5398051319708</v>
      </c>
      <c r="CV782" s="551"/>
      <c r="CW782" s="551">
        <v>0.15561176185044751</v>
      </c>
      <c r="CX782" s="551">
        <v>76.626567795337593</v>
      </c>
      <c r="CY782" s="554"/>
    </row>
    <row r="783" spans="65:103" ht="12.75" customHeight="1" x14ac:dyDescent="0.3">
      <c r="BM783" s="562"/>
      <c r="BN783" s="591">
        <v>770</v>
      </c>
      <c r="BO783" s="549" t="s">
        <v>3395</v>
      </c>
      <c r="BP783" s="554" t="s">
        <v>619</v>
      </c>
      <c r="BQ783" s="553">
        <v>3.31</v>
      </c>
      <c r="BR783" s="551">
        <v>32415.808896281927</v>
      </c>
      <c r="BS783" s="551"/>
      <c r="BT783" s="551">
        <v>2196179.8636177876</v>
      </c>
      <c r="BU783" s="551">
        <v>88482.030097133145</v>
      </c>
      <c r="BV783" s="551">
        <v>534393.75945894944</v>
      </c>
      <c r="BW783" s="551">
        <v>5435.3621254518766</v>
      </c>
      <c r="BX783" s="551">
        <v>9022.0645817897766</v>
      </c>
      <c r="BY783" s="551">
        <v>27407156.744327746</v>
      </c>
      <c r="BZ783" s="551">
        <v>3341.5054006628807</v>
      </c>
      <c r="CA783" s="551">
        <v>2834.8179604781535</v>
      </c>
      <c r="CB783" s="551">
        <v>6.0479492287637816E-32</v>
      </c>
      <c r="CC783" s="551">
        <v>139.79406809483729</v>
      </c>
      <c r="CD783" s="551">
        <v>978747.93142629787</v>
      </c>
      <c r="CE783" s="551">
        <v>34.015919568717877</v>
      </c>
      <c r="CF783" s="551">
        <v>3006.1750566747219</v>
      </c>
      <c r="CG783" s="551">
        <v>469.13584642480157</v>
      </c>
      <c r="CH783" s="551">
        <v>2657.604609580224</v>
      </c>
      <c r="CI783" s="551">
        <v>173.75401719437096</v>
      </c>
      <c r="CJ783" s="551">
        <v>41.487458294446839</v>
      </c>
      <c r="CK783" s="551">
        <v>330564.65580650727</v>
      </c>
      <c r="CL783" s="551"/>
      <c r="CM783" s="551">
        <v>204.27196856235781</v>
      </c>
      <c r="CN783" s="551">
        <v>24.643019857337137</v>
      </c>
      <c r="CO783" s="551">
        <v>0.33301721812583268</v>
      </c>
      <c r="CP783" s="551">
        <v>19915.583169684927</v>
      </c>
      <c r="CQ783" s="551"/>
      <c r="CR783" s="551">
        <v>13.941011927689962</v>
      </c>
      <c r="CS783" s="551">
        <v>0.62902769905656908</v>
      </c>
      <c r="CT783" s="551">
        <v>0.31136428416425665</v>
      </c>
      <c r="CU783" s="551">
        <v>3699.3522226241025</v>
      </c>
      <c r="CV783" s="551"/>
      <c r="CW783" s="551">
        <v>1.8719878496331586</v>
      </c>
      <c r="CX783" s="551">
        <v>5.3644284694415005E-2</v>
      </c>
      <c r="CY783" s="554"/>
    </row>
    <row r="784" spans="65:103" ht="12.75" customHeight="1" x14ac:dyDescent="0.3">
      <c r="BM784" s="562"/>
      <c r="BN784" s="591">
        <v>771</v>
      </c>
      <c r="BO784" s="549" t="s">
        <v>3397</v>
      </c>
      <c r="BP784" s="554" t="s">
        <v>619</v>
      </c>
      <c r="BQ784" s="553">
        <v>3.35</v>
      </c>
      <c r="BR784" s="551">
        <v>210787.19213116585</v>
      </c>
      <c r="BS784" s="551"/>
      <c r="BT784" s="551">
        <v>18795138.8843081</v>
      </c>
      <c r="BU784" s="551">
        <v>793054.80953188252</v>
      </c>
      <c r="BV784" s="551">
        <v>179411.51711968658</v>
      </c>
      <c r="BW784" s="551">
        <v>2298.0483829064169</v>
      </c>
      <c r="BX784" s="551">
        <v>296824.38166622206</v>
      </c>
      <c r="BY784" s="551">
        <v>17836916.141710222</v>
      </c>
      <c r="BZ784" s="551">
        <v>109934.95617267485</v>
      </c>
      <c r="CA784" s="551">
        <v>105606.46674337382</v>
      </c>
      <c r="CB784" s="551">
        <v>8.1386809063100799E-30</v>
      </c>
      <c r="CC784" s="551">
        <v>242170.35255818078</v>
      </c>
      <c r="CD784" s="551">
        <v>6323493.4702162575</v>
      </c>
      <c r="CE784" s="551">
        <v>2311.6695556927807</v>
      </c>
      <c r="CF784" s="551">
        <v>916.18471818659043</v>
      </c>
      <c r="CG784" s="551">
        <v>76915.78603170914</v>
      </c>
      <c r="CH784" s="551">
        <v>476299.91447620431</v>
      </c>
      <c r="CI784" s="551">
        <v>28487.328159892259</v>
      </c>
      <c r="CJ784" s="551">
        <v>8001.3612088479886</v>
      </c>
      <c r="CK784" s="551">
        <v>1081320.0680514683</v>
      </c>
      <c r="CL784" s="551"/>
      <c r="CM784" s="551">
        <v>31.329304202211866</v>
      </c>
      <c r="CN784" s="551">
        <v>20916.667928361458</v>
      </c>
      <c r="CO784" s="551">
        <v>170.5273234371306</v>
      </c>
      <c r="CP784" s="551">
        <v>52388.983972300426</v>
      </c>
      <c r="CQ784" s="551"/>
      <c r="CR784" s="551">
        <v>1.5609645103829037</v>
      </c>
      <c r="CS784" s="551">
        <v>1463.8308527374484</v>
      </c>
      <c r="CT784" s="551">
        <v>267.80078699522159</v>
      </c>
      <c r="CU784" s="551">
        <v>8123.1621970396991</v>
      </c>
      <c r="CV784" s="551"/>
      <c r="CW784" s="551">
        <v>0.22357895463738342</v>
      </c>
      <c r="CX784" s="551">
        <v>199.37030077498537</v>
      </c>
      <c r="CY784" s="554"/>
    </row>
    <row r="785" spans="65:103" ht="12.75" customHeight="1" x14ac:dyDescent="0.3">
      <c r="BM785" s="562"/>
      <c r="BN785" s="591">
        <v>772</v>
      </c>
      <c r="BO785" s="549" t="s">
        <v>3399</v>
      </c>
      <c r="BP785" s="554" t="s">
        <v>619</v>
      </c>
      <c r="BQ785" s="553">
        <v>3.37</v>
      </c>
      <c r="BR785" s="551">
        <v>179.35495840076263</v>
      </c>
      <c r="BS785" s="551"/>
      <c r="BT785" s="551">
        <v>15902530.475283151</v>
      </c>
      <c r="BU785" s="551">
        <v>733118.07564697112</v>
      </c>
      <c r="BV785" s="551">
        <v>885243.42003281298</v>
      </c>
      <c r="BW785" s="551">
        <v>11489.795559671791</v>
      </c>
      <c r="BX785" s="551">
        <v>6280214.4376077093</v>
      </c>
      <c r="BY785" s="551">
        <v>58164259.896702968</v>
      </c>
      <c r="BZ785" s="551">
        <v>2326005.3472621143</v>
      </c>
      <c r="CA785" s="551">
        <v>0.15601319763221264</v>
      </c>
      <c r="CB785" s="551">
        <v>1.4409940603514502E-32</v>
      </c>
      <c r="CC785" s="551">
        <v>980.70889382462792</v>
      </c>
      <c r="CD785" s="551">
        <v>8568434.4508191496</v>
      </c>
      <c r="CE785" s="551">
        <v>54.592952774105719</v>
      </c>
      <c r="CF785" s="551">
        <v>6714.440918639174</v>
      </c>
      <c r="CG785" s="551">
        <v>2830.8764420750022</v>
      </c>
      <c r="CH785" s="551">
        <v>9799.390255576036</v>
      </c>
      <c r="CI785" s="551">
        <v>1048.4727563240742</v>
      </c>
      <c r="CJ785" s="551">
        <v>2.0544066522478195E-5</v>
      </c>
      <c r="CK785" s="551">
        <v>2952549.5832931884</v>
      </c>
      <c r="CL785" s="551"/>
      <c r="CM785" s="551">
        <v>465.50343881311807</v>
      </c>
      <c r="CN785" s="551">
        <v>1.3379800692088111</v>
      </c>
      <c r="CO785" s="551">
        <v>3.7876484565354493E-8</v>
      </c>
      <c r="CP785" s="551">
        <v>184034.47006755689</v>
      </c>
      <c r="CQ785" s="551"/>
      <c r="CR785" s="551">
        <v>30.297909395273159</v>
      </c>
      <c r="CS785" s="551">
        <v>2.0545761522304108E-3</v>
      </c>
      <c r="CT785" s="551">
        <v>9.38392980824426E-9</v>
      </c>
      <c r="CU785" s="551">
        <v>33456.706993438653</v>
      </c>
      <c r="CV785" s="551"/>
      <c r="CW785" s="551">
        <v>4.8845507888831241</v>
      </c>
      <c r="CX785" s="551">
        <v>2.8198718137071108E-4</v>
      </c>
      <c r="CY785" s="554"/>
    </row>
    <row r="786" spans="65:103" ht="12.75" customHeight="1" x14ac:dyDescent="0.3">
      <c r="BM786" s="562"/>
      <c r="BN786" s="591">
        <v>773</v>
      </c>
      <c r="BO786" s="549" t="s">
        <v>3401</v>
      </c>
      <c r="BP786" s="554" t="s">
        <v>619</v>
      </c>
      <c r="BQ786" s="553">
        <v>3.38</v>
      </c>
      <c r="BR786" s="551">
        <v>886.33593796131288</v>
      </c>
      <c r="BS786" s="551"/>
      <c r="BT786" s="551">
        <v>11046967.387320798</v>
      </c>
      <c r="BU786" s="551">
        <v>509472.15175449895</v>
      </c>
      <c r="BV786" s="551">
        <v>468047.6638650496</v>
      </c>
      <c r="BW786" s="551">
        <v>6187.0222642133695</v>
      </c>
      <c r="BX786" s="551">
        <v>2577614.5919090132</v>
      </c>
      <c r="BY786" s="551">
        <v>21206357.964485068</v>
      </c>
      <c r="BZ786" s="551">
        <v>954672.07107741199</v>
      </c>
      <c r="CA786" s="551">
        <v>5.1951100298359369</v>
      </c>
      <c r="CB786" s="551">
        <v>7.0608992680712662E-32</v>
      </c>
      <c r="CC786" s="551">
        <v>3704.4686287128388</v>
      </c>
      <c r="CD786" s="551">
        <v>5985269.1731302077</v>
      </c>
      <c r="CE786" s="551">
        <v>156.95419627294837</v>
      </c>
      <c r="CF786" s="551">
        <v>3634.2510090041965</v>
      </c>
      <c r="CG786" s="551">
        <v>7829.1184706060039</v>
      </c>
      <c r="CH786" s="551">
        <v>23881.093478654097</v>
      </c>
      <c r="CI786" s="551">
        <v>2899.6735076318532</v>
      </c>
      <c r="CJ786" s="551">
        <v>4.5015904264318635E-3</v>
      </c>
      <c r="CK786" s="551">
        <v>2062434.4650738288</v>
      </c>
      <c r="CL786" s="551"/>
      <c r="CM786" s="551">
        <v>251.9586991523482</v>
      </c>
      <c r="CN786" s="551">
        <v>24.349371099357853</v>
      </c>
      <c r="CO786" s="551">
        <v>4.2095659977722312E-6</v>
      </c>
      <c r="CP786" s="551">
        <v>128550.63957885797</v>
      </c>
      <c r="CQ786" s="551"/>
      <c r="CR786" s="551">
        <v>16.261599808527233</v>
      </c>
      <c r="CS786" s="551">
        <v>2.6194808382743254E-2</v>
      </c>
      <c r="CT786" s="551">
        <v>1.9255411751274361E-6</v>
      </c>
      <c r="CU786" s="551">
        <v>23369.915002203492</v>
      </c>
      <c r="CV786" s="551"/>
      <c r="CW786" s="551">
        <v>2.6816008117724657</v>
      </c>
      <c r="CX786" s="551">
        <v>3.7652353286087882E-3</v>
      </c>
      <c r="CY786" s="554"/>
    </row>
    <row r="787" spans="65:103" ht="12.75" customHeight="1" x14ac:dyDescent="0.3">
      <c r="BM787" s="562"/>
      <c r="BN787" s="591">
        <v>774</v>
      </c>
      <c r="BO787" s="549" t="s">
        <v>3403</v>
      </c>
      <c r="BP787" s="554" t="s">
        <v>619</v>
      </c>
      <c r="BQ787" s="553">
        <v>3.4</v>
      </c>
      <c r="BR787" s="551">
        <v>4262.629400353072</v>
      </c>
      <c r="BS787" s="551"/>
      <c r="BT787" s="551">
        <v>8025355.7253916692</v>
      </c>
      <c r="BU787" s="551">
        <v>370172.10478808347</v>
      </c>
      <c r="BV787" s="551">
        <v>1386770.2671584361</v>
      </c>
      <c r="BW787" s="551">
        <v>16481.12243912974</v>
      </c>
      <c r="BX787" s="551">
        <v>5069816.7699032277</v>
      </c>
      <c r="BY787" s="551">
        <v>37478356.435350202</v>
      </c>
      <c r="BZ787" s="551">
        <v>1877709.9147789725</v>
      </c>
      <c r="CA787" s="551">
        <v>158.21363574541888</v>
      </c>
      <c r="CB787" s="551">
        <v>3.390216990705059E-31</v>
      </c>
      <c r="CC787" s="551">
        <v>12384.094315705857</v>
      </c>
      <c r="CD787" s="551">
        <v>4492394.3575141113</v>
      </c>
      <c r="CE787" s="551">
        <v>2139.9542114213918</v>
      </c>
      <c r="CF787" s="551">
        <v>10000.713248426971</v>
      </c>
      <c r="CG787" s="551">
        <v>97511.786262369322</v>
      </c>
      <c r="CH787" s="551">
        <v>262712.92355023103</v>
      </c>
      <c r="CI787" s="551">
        <v>36115.476393470097</v>
      </c>
      <c r="CJ787" s="551">
        <v>0.8635259791529295</v>
      </c>
      <c r="CK787" s="551">
        <v>1549601.0485683433</v>
      </c>
      <c r="CL787" s="551"/>
      <c r="CM787" s="551">
        <v>694.04084097980945</v>
      </c>
      <c r="CN787" s="551">
        <v>1910.2590443481181</v>
      </c>
      <c r="CO787" s="551">
        <v>4.6988711529752977E-3</v>
      </c>
      <c r="CP787" s="551">
        <v>96613.836253361136</v>
      </c>
      <c r="CQ787" s="551"/>
      <c r="CR787" s="551">
        <v>47.82151035733245</v>
      </c>
      <c r="CS787" s="551">
        <v>9.1489028535527535</v>
      </c>
      <c r="CT787" s="551">
        <v>1.2240394498565163E-3</v>
      </c>
      <c r="CU787" s="551">
        <v>17564.507364896999</v>
      </c>
      <c r="CV787" s="551"/>
      <c r="CW787" s="551">
        <v>6.669594655738643</v>
      </c>
      <c r="CX787" s="551">
        <v>1.2885819641125138</v>
      </c>
      <c r="CY787" s="554"/>
    </row>
    <row r="788" spans="65:103" ht="12.75" customHeight="1" x14ac:dyDescent="0.3">
      <c r="BM788" s="562"/>
      <c r="BN788" s="591">
        <v>775</v>
      </c>
      <c r="BO788" s="549" t="s">
        <v>3405</v>
      </c>
      <c r="BP788" s="554" t="s">
        <v>619</v>
      </c>
      <c r="BQ788" s="553">
        <v>3.41</v>
      </c>
      <c r="BR788" s="551">
        <v>150.12176490477685</v>
      </c>
      <c r="BS788" s="551"/>
      <c r="BT788" s="551">
        <v>12729284.814579681</v>
      </c>
      <c r="BU788" s="551">
        <v>586766.60002255137</v>
      </c>
      <c r="BV788" s="551">
        <v>650683.64440945059</v>
      </c>
      <c r="BW788" s="551">
        <v>8493.9675722793672</v>
      </c>
      <c r="BX788" s="551">
        <v>4739671.7550498098</v>
      </c>
      <c r="BY788" s="551">
        <v>45162085.587572947</v>
      </c>
      <c r="BZ788" s="551">
        <v>1755433.9833517813</v>
      </c>
      <c r="CA788" s="551">
        <v>0.13820122321851266</v>
      </c>
      <c r="CB788" s="551">
        <v>1.2029172331405267E-32</v>
      </c>
      <c r="CC788" s="551">
        <v>858.28208687506606</v>
      </c>
      <c r="CD788" s="551">
        <v>6858198.0348804574</v>
      </c>
      <c r="CE788" s="551">
        <v>43.872858872602528</v>
      </c>
      <c r="CF788" s="551">
        <v>4963.9253248485693</v>
      </c>
      <c r="CG788" s="551">
        <v>2261.0750716892785</v>
      </c>
      <c r="CH788" s="551">
        <v>8038.6568012323169</v>
      </c>
      <c r="CI788" s="551">
        <v>837.43521173676993</v>
      </c>
      <c r="CJ788" s="551">
        <v>1.9729208432860703E-5</v>
      </c>
      <c r="CK788" s="551">
        <v>2363212.7706085304</v>
      </c>
      <c r="CL788" s="551"/>
      <c r="CM788" s="551">
        <v>344.14033685973777</v>
      </c>
      <c r="CN788" s="551">
        <v>1.1585543476880351</v>
      </c>
      <c r="CO788" s="551">
        <v>4.4416757387773971E-8</v>
      </c>
      <c r="CP788" s="551">
        <v>147299.76610420345</v>
      </c>
      <c r="CQ788" s="551"/>
      <c r="CR788" s="551">
        <v>22.335835275611373</v>
      </c>
      <c r="CS788" s="551">
        <v>2.993974432437865E-3</v>
      </c>
      <c r="CT788" s="551">
        <v>1.9598437936890188E-8</v>
      </c>
      <c r="CU788" s="551">
        <v>26778.465168754374</v>
      </c>
      <c r="CV788" s="551"/>
      <c r="CW788" s="551">
        <v>3.6281355349094802</v>
      </c>
      <c r="CX788" s="551">
        <v>4.1479368455613514E-4</v>
      </c>
      <c r="CY788" s="554"/>
    </row>
    <row r="789" spans="65:103" ht="12.75" customHeight="1" x14ac:dyDescent="0.3">
      <c r="BM789" s="562"/>
      <c r="BN789" s="591">
        <v>776</v>
      </c>
      <c r="BO789" s="549" t="s">
        <v>3407</v>
      </c>
      <c r="BP789" s="554" t="s">
        <v>619</v>
      </c>
      <c r="BQ789" s="553">
        <v>3.43</v>
      </c>
      <c r="BR789" s="551">
        <v>22011.706209880856</v>
      </c>
      <c r="BS789" s="551"/>
      <c r="BT789" s="551">
        <v>3953466.0733760032</v>
      </c>
      <c r="BU789" s="551">
        <v>177216.40167867168</v>
      </c>
      <c r="BV789" s="551">
        <v>7334201.0489166537</v>
      </c>
      <c r="BW789" s="551">
        <v>110928.87132142724</v>
      </c>
      <c r="BX789" s="551">
        <v>100611.12194901104</v>
      </c>
      <c r="BY789" s="551">
        <v>39726702.8444461</v>
      </c>
      <c r="BZ789" s="551">
        <v>37263.378499633705</v>
      </c>
      <c r="CA789" s="551">
        <v>2137.2096323258847</v>
      </c>
      <c r="CB789" s="551">
        <v>6.3518463071425918E-32</v>
      </c>
      <c r="CC789" s="551">
        <v>386.07332099801675</v>
      </c>
      <c r="CD789" s="551">
        <v>2804767.2850029445</v>
      </c>
      <c r="CE789" s="551">
        <v>716.21693553688215</v>
      </c>
      <c r="CF789" s="551">
        <v>87782.413562594535</v>
      </c>
      <c r="CG789" s="551">
        <v>5443.0083428502148</v>
      </c>
      <c r="CH789" s="551">
        <v>21448.632976203484</v>
      </c>
      <c r="CI789" s="551">
        <v>2015.9290158704507</v>
      </c>
      <c r="CJ789" s="551">
        <v>38.543337353406528</v>
      </c>
      <c r="CK789" s="551">
        <v>1498231.9843700519</v>
      </c>
      <c r="CL789" s="551"/>
      <c r="CM789" s="551">
        <v>9447.1974141318879</v>
      </c>
      <c r="CN789" s="551">
        <v>352.32612611935275</v>
      </c>
      <c r="CO789" s="551">
        <v>0.55880364056659126</v>
      </c>
      <c r="CP789" s="551">
        <v>140150.93973988728</v>
      </c>
      <c r="CQ789" s="551"/>
      <c r="CR789" s="551">
        <v>1069.9174253250294</v>
      </c>
      <c r="CS789" s="551">
        <v>18.79004614942972</v>
      </c>
      <c r="CT789" s="551">
        <v>0.47965584534249583</v>
      </c>
      <c r="CU789" s="551">
        <v>26993.646813282969</v>
      </c>
      <c r="CV789" s="551"/>
      <c r="CW789" s="551">
        <v>128.25028498344739</v>
      </c>
      <c r="CX789" s="551">
        <v>1.1553736122974254</v>
      </c>
      <c r="CY789" s="554"/>
    </row>
    <row r="790" spans="65:103" ht="12.75" customHeight="1" x14ac:dyDescent="0.3">
      <c r="BM790" s="562"/>
      <c r="BN790" s="591">
        <v>777</v>
      </c>
      <c r="BO790" s="549" t="s">
        <v>3411</v>
      </c>
      <c r="BP790" s="554" t="s">
        <v>619</v>
      </c>
      <c r="BQ790" s="553">
        <v>3.44</v>
      </c>
      <c r="BR790" s="551">
        <v>9946.8094333409863</v>
      </c>
      <c r="BS790" s="551"/>
      <c r="BT790" s="551">
        <v>6853432.7970908768</v>
      </c>
      <c r="BU790" s="551">
        <v>322552.16988637339</v>
      </c>
      <c r="BV790" s="551">
        <v>177727.10846988708</v>
      </c>
      <c r="BW790" s="551">
        <v>2463.0945991857552</v>
      </c>
      <c r="BX790" s="551">
        <v>520197.25719109148</v>
      </c>
      <c r="BY790" s="551">
        <v>4320872.6014706437</v>
      </c>
      <c r="BZ790" s="551">
        <v>192665.65081151522</v>
      </c>
      <c r="CA790" s="551">
        <v>1427.9162230998752</v>
      </c>
      <c r="CB790" s="551">
        <v>7.7878647083050967E-31</v>
      </c>
      <c r="CC790" s="551">
        <v>43357.787851385699</v>
      </c>
      <c r="CD790" s="551">
        <v>5753199.7924966151</v>
      </c>
      <c r="CE790" s="551">
        <v>1124.3787591743126</v>
      </c>
      <c r="CF790" s="551">
        <v>2196.6485827590263</v>
      </c>
      <c r="CG790" s="551">
        <v>38697.729004620152</v>
      </c>
      <c r="CH790" s="551">
        <v>110098.96936258036</v>
      </c>
      <c r="CI790" s="551">
        <v>14332.492223933381</v>
      </c>
      <c r="CJ790" s="551">
        <v>30.313926389151149</v>
      </c>
      <c r="CK790" s="551">
        <v>3109466.9167969637</v>
      </c>
      <c r="CL790" s="551"/>
      <c r="CM790" s="551">
        <v>239.23296190980932</v>
      </c>
      <c r="CN790" s="551">
        <v>2948.6864780559386</v>
      </c>
      <c r="CO790" s="551">
        <v>0.68348241900141637</v>
      </c>
      <c r="CP790" s="551">
        <v>293940.03330043715</v>
      </c>
      <c r="CQ790" s="551"/>
      <c r="CR790" s="551">
        <v>22.950262553553387</v>
      </c>
      <c r="CS790" s="551">
        <v>51.92843460101615</v>
      </c>
      <c r="CT790" s="551">
        <v>0.13621961548777378</v>
      </c>
      <c r="CU790" s="551">
        <v>56312.155277617421</v>
      </c>
      <c r="CV790" s="551"/>
      <c r="CW790" s="551">
        <v>4.2164981319438146</v>
      </c>
      <c r="CX790" s="551">
        <v>7.9320103527582235</v>
      </c>
      <c r="CY790" s="554"/>
    </row>
    <row r="791" spans="65:103" ht="12.75" customHeight="1" x14ac:dyDescent="0.3">
      <c r="BM791" s="562"/>
      <c r="BN791" s="591">
        <v>778</v>
      </c>
      <c r="BO791" s="549" t="s">
        <v>3409</v>
      </c>
      <c r="BP791" s="554" t="s">
        <v>619</v>
      </c>
      <c r="BQ791" s="553">
        <v>3.44</v>
      </c>
      <c r="BR791" s="551">
        <v>390030.08062827447</v>
      </c>
      <c r="BS791" s="551"/>
      <c r="BT791" s="551">
        <v>1979990.7348081425</v>
      </c>
      <c r="BU791" s="551">
        <v>74345.449913108911</v>
      </c>
      <c r="BV791" s="551">
        <v>245816.22614453183</v>
      </c>
      <c r="BW791" s="551">
        <v>2362.3109883095485</v>
      </c>
      <c r="BX791" s="551">
        <v>49161.509427914352</v>
      </c>
      <c r="BY791" s="551">
        <v>13469233.32936286</v>
      </c>
      <c r="BZ791" s="551">
        <v>18207.966454783098</v>
      </c>
      <c r="CA791" s="551">
        <v>733895.93882898695</v>
      </c>
      <c r="CB791" s="551">
        <v>1.4773548586021017E-29</v>
      </c>
      <c r="CC791" s="551">
        <v>25221.053769075614</v>
      </c>
      <c r="CD791" s="551">
        <v>3614643.5165798236</v>
      </c>
      <c r="CE791" s="551">
        <v>3131.1986202315384</v>
      </c>
      <c r="CF791" s="551">
        <v>5742.7267627125957</v>
      </c>
      <c r="CG791" s="551">
        <v>48507.791718241177</v>
      </c>
      <c r="CH791" s="551">
        <v>215295.04979903606</v>
      </c>
      <c r="CI791" s="551">
        <v>17965.84878453377</v>
      </c>
      <c r="CJ791" s="551">
        <v>227212.67517240386</v>
      </c>
      <c r="CK791" s="551">
        <v>1701654.3928973409</v>
      </c>
      <c r="CL791" s="551"/>
      <c r="CM791" s="551">
        <v>540.60680263383813</v>
      </c>
      <c r="CN791" s="551">
        <v>53903.03641096795</v>
      </c>
      <c r="CO791" s="551">
        <v>18329.957557647449</v>
      </c>
      <c r="CP791" s="551">
        <v>828138.12742060376</v>
      </c>
      <c r="CQ791" s="551"/>
      <c r="CR791" s="551">
        <v>320.75442494660757</v>
      </c>
      <c r="CS791" s="551">
        <v>14235.028706210622</v>
      </c>
      <c r="CT791" s="551">
        <v>37171.991623123584</v>
      </c>
      <c r="CU791" s="551">
        <v>84693.642766509831</v>
      </c>
      <c r="CV791" s="551"/>
      <c r="CW791" s="551">
        <v>20.024987213085264</v>
      </c>
      <c r="CX791" s="551">
        <v>2504.0847974215053</v>
      </c>
      <c r="CY791" s="554"/>
    </row>
    <row r="792" spans="65:103" ht="12.75" customHeight="1" x14ac:dyDescent="0.3">
      <c r="BM792" s="562"/>
      <c r="BN792" s="591">
        <v>779</v>
      </c>
      <c r="BO792" s="549" t="s">
        <v>3413</v>
      </c>
      <c r="BP792" s="554" t="s">
        <v>619</v>
      </c>
      <c r="BQ792" s="553">
        <v>3.48</v>
      </c>
      <c r="BR792" s="551">
        <v>13224.899458263419</v>
      </c>
      <c r="BS792" s="551"/>
      <c r="BT792" s="551">
        <v>9420539.9347782433</v>
      </c>
      <c r="BU792" s="551">
        <v>430603.14329344296</v>
      </c>
      <c r="BV792" s="551">
        <v>2360378.2134867832</v>
      </c>
      <c r="BW792" s="551">
        <v>27203.444367011405</v>
      </c>
      <c r="BX792" s="551">
        <v>386953.57618973969</v>
      </c>
      <c r="BY792" s="551">
        <v>32862991.370478284</v>
      </c>
      <c r="BZ792" s="551">
        <v>143316.13932953318</v>
      </c>
      <c r="CA792" s="551">
        <v>1114.0061573546313</v>
      </c>
      <c r="CB792" s="551">
        <v>8.312392325256913E-32</v>
      </c>
      <c r="CC792" s="551">
        <v>1941.9863374424292</v>
      </c>
      <c r="CD792" s="551">
        <v>5066178.6201596875</v>
      </c>
      <c r="CE792" s="551">
        <v>486.57744391760315</v>
      </c>
      <c r="CF792" s="551">
        <v>16002.84512472059</v>
      </c>
      <c r="CG792" s="551">
        <v>16927.104779615536</v>
      </c>
      <c r="CH792" s="551">
        <v>45611.770301718279</v>
      </c>
      <c r="CI792" s="551">
        <v>6269.2980665242712</v>
      </c>
      <c r="CJ792" s="551">
        <v>14.054036351259187</v>
      </c>
      <c r="CK792" s="551">
        <v>1746655.1833920097</v>
      </c>
      <c r="CL792" s="551"/>
      <c r="CM792" s="551">
        <v>1110.024366542912</v>
      </c>
      <c r="CN792" s="551">
        <v>766.47822093449463</v>
      </c>
      <c r="CO792" s="551">
        <v>9.1914884914134118E-2</v>
      </c>
      <c r="CP792" s="551">
        <v>108899.04829758912</v>
      </c>
      <c r="CQ792" s="551"/>
      <c r="CR792" s="551">
        <v>78.573897052745849</v>
      </c>
      <c r="CS792" s="551">
        <v>15.331367276505887</v>
      </c>
      <c r="CT792" s="551">
        <v>7.5370366710933404E-2</v>
      </c>
      <c r="CU792" s="551">
        <v>19797.899886867992</v>
      </c>
      <c r="CV792" s="551"/>
      <c r="CW792" s="551">
        <v>10.271565425358713</v>
      </c>
      <c r="CX792" s="551">
        <v>1.0391215532646034</v>
      </c>
      <c r="CY792" s="554"/>
    </row>
    <row r="793" spans="65:103" ht="12.75" customHeight="1" x14ac:dyDescent="0.3">
      <c r="BM793" s="562"/>
      <c r="BN793" s="591">
        <v>780</v>
      </c>
      <c r="BO793" s="549" t="s">
        <v>3415</v>
      </c>
      <c r="BP793" s="554" t="s">
        <v>619</v>
      </c>
      <c r="BQ793" s="553">
        <v>3.51</v>
      </c>
      <c r="BR793" s="551">
        <v>8446.173090780263</v>
      </c>
      <c r="BS793" s="551"/>
      <c r="BT793" s="551">
        <v>6372736.0049587078</v>
      </c>
      <c r="BU793" s="551">
        <v>299928.45732443489</v>
      </c>
      <c r="BV793" s="551">
        <v>245392.65427348702</v>
      </c>
      <c r="BW793" s="551">
        <v>3334.7770806210765</v>
      </c>
      <c r="BX793" s="551">
        <v>814101.24427791266</v>
      </c>
      <c r="BY793" s="551">
        <v>6819889.9862631876</v>
      </c>
      <c r="BZ793" s="551">
        <v>301518.97936218989</v>
      </c>
      <c r="CA793" s="551">
        <v>1103.5402359645589</v>
      </c>
      <c r="CB793" s="551">
        <v>6.6104876586765298E-31</v>
      </c>
      <c r="CC793" s="551">
        <v>38290.094344756464</v>
      </c>
      <c r="CD793" s="551">
        <v>5306285.6298094494</v>
      </c>
      <c r="CE793" s="551">
        <v>1474.4228972188396</v>
      </c>
      <c r="CF793" s="551">
        <v>2949.916766713538</v>
      </c>
      <c r="CG793" s="551">
        <v>55119.479068010951</v>
      </c>
      <c r="CH793" s="551">
        <v>159103.21441802391</v>
      </c>
      <c r="CI793" s="551">
        <v>20414.621877041085</v>
      </c>
      <c r="CJ793" s="551">
        <v>21.306525895419966</v>
      </c>
      <c r="CK793" s="551">
        <v>2865232.5021428061</v>
      </c>
      <c r="CL793" s="551"/>
      <c r="CM793" s="551">
        <v>320.96860350339989</v>
      </c>
      <c r="CN793" s="551">
        <v>3819.7349595330129</v>
      </c>
      <c r="CO793" s="551">
        <v>0.44105535741943852</v>
      </c>
      <c r="CP793" s="551">
        <v>270741.84753894276</v>
      </c>
      <c r="CQ793" s="551"/>
      <c r="CR793" s="551">
        <v>30.9461000996302</v>
      </c>
      <c r="CS793" s="551">
        <v>60.870976423774906</v>
      </c>
      <c r="CT793" s="551">
        <v>8.689550541950225E-2</v>
      </c>
      <c r="CU793" s="551">
        <v>51866.61563921671</v>
      </c>
      <c r="CV793" s="551"/>
      <c r="CW793" s="551">
        <v>5.6000678538041804</v>
      </c>
      <c r="CX793" s="551">
        <v>9.363723246171471</v>
      </c>
      <c r="CY793" s="554"/>
    </row>
    <row r="794" spans="65:103" ht="12.75" customHeight="1" x14ac:dyDescent="0.3">
      <c r="BM794" s="562"/>
      <c r="BN794" s="591">
        <v>781</v>
      </c>
      <c r="BO794" s="549" t="s">
        <v>3419</v>
      </c>
      <c r="BP794" s="554" t="s">
        <v>619</v>
      </c>
      <c r="BQ794" s="553">
        <v>3.52</v>
      </c>
      <c r="BR794" s="551">
        <v>9369.1580187715826</v>
      </c>
      <c r="BS794" s="551"/>
      <c r="BT794" s="551">
        <v>10378002.880000548</v>
      </c>
      <c r="BU794" s="551">
        <v>475417.48603369406</v>
      </c>
      <c r="BV794" s="551">
        <v>1826994.7063222227</v>
      </c>
      <c r="BW794" s="551">
        <v>21536.030114968507</v>
      </c>
      <c r="BX794" s="551">
        <v>620277.86599004152</v>
      </c>
      <c r="BY794" s="551">
        <v>15473817.657994257</v>
      </c>
      <c r="BZ794" s="551">
        <v>229732.54295927464</v>
      </c>
      <c r="CA794" s="551">
        <v>535.53291771371789</v>
      </c>
      <c r="CB794" s="551">
        <v>1.5308554737061711E-31</v>
      </c>
      <c r="CC794" s="551">
        <v>3270.8187710692364</v>
      </c>
      <c r="CD794" s="551">
        <v>5626465.5023864666</v>
      </c>
      <c r="CE794" s="551">
        <v>575.81103504979376</v>
      </c>
      <c r="CF794" s="551">
        <v>12743.718317045526</v>
      </c>
      <c r="CG794" s="551">
        <v>18372.661199655067</v>
      </c>
      <c r="CH794" s="551">
        <v>44562.316178019006</v>
      </c>
      <c r="CI794" s="551">
        <v>6804.689333205577</v>
      </c>
      <c r="CJ794" s="551">
        <v>4.5362904505369048</v>
      </c>
      <c r="CK794" s="551">
        <v>1939951.3215778887</v>
      </c>
      <c r="CL794" s="551"/>
      <c r="CM794" s="551">
        <v>884.02229457258636</v>
      </c>
      <c r="CN794" s="551">
        <v>558.58646077319781</v>
      </c>
      <c r="CO794" s="551">
        <v>1.3469617896004499E-2</v>
      </c>
      <c r="CP794" s="551">
        <v>120950.13753472554</v>
      </c>
      <c r="CQ794" s="551"/>
      <c r="CR794" s="551">
        <v>60.987923073498607</v>
      </c>
      <c r="CS794" s="551">
        <v>6.7544636202517898</v>
      </c>
      <c r="CT794" s="551">
        <v>1.7294619302092386E-2</v>
      </c>
      <c r="CU794" s="551">
        <v>21988.039851548248</v>
      </c>
      <c r="CV794" s="551"/>
      <c r="CW794" s="551">
        <v>8.4794547962144851</v>
      </c>
      <c r="CX794" s="551">
        <v>0.50520036080998887</v>
      </c>
      <c r="CY794" s="554"/>
    </row>
    <row r="795" spans="65:103" ht="12.75" customHeight="1" x14ac:dyDescent="0.3">
      <c r="BM795" s="562"/>
      <c r="BN795" s="591">
        <v>782</v>
      </c>
      <c r="BO795" s="549" t="s">
        <v>3417</v>
      </c>
      <c r="BP795" s="554" t="s">
        <v>619</v>
      </c>
      <c r="BQ795" s="553">
        <v>3.52</v>
      </c>
      <c r="BR795" s="551">
        <v>61114.613987888639</v>
      </c>
      <c r="BS795" s="551"/>
      <c r="BT795" s="551">
        <v>12117162.862248914</v>
      </c>
      <c r="BU795" s="551">
        <v>548058.62122759339</v>
      </c>
      <c r="BV795" s="551">
        <v>916171.70404773729</v>
      </c>
      <c r="BW795" s="551">
        <v>11405.003662366906</v>
      </c>
      <c r="BX795" s="551">
        <v>131988.39030478214</v>
      </c>
      <c r="BY795" s="551">
        <v>39983844.585008822</v>
      </c>
      <c r="BZ795" s="551">
        <v>48884.589001771157</v>
      </c>
      <c r="CA795" s="551">
        <v>10457.18480757307</v>
      </c>
      <c r="CB795" s="551">
        <v>4.4904367680416263E-31</v>
      </c>
      <c r="CC795" s="551">
        <v>5775.0635767087051</v>
      </c>
      <c r="CD795" s="551">
        <v>6566026.2841235874</v>
      </c>
      <c r="CE795" s="551">
        <v>436.6492303690344</v>
      </c>
      <c r="CF795" s="551">
        <v>6831.8926951546919</v>
      </c>
      <c r="CG795" s="551">
        <v>11989.865547909902</v>
      </c>
      <c r="CH795" s="551">
        <v>56851.84596975131</v>
      </c>
      <c r="CI795" s="551">
        <v>4440.6909436703336</v>
      </c>
      <c r="CJ795" s="551">
        <v>270.25505122580864</v>
      </c>
      <c r="CK795" s="551">
        <v>2265479.9209264605</v>
      </c>
      <c r="CL795" s="551"/>
      <c r="CM795" s="551">
        <v>474.25837236274248</v>
      </c>
      <c r="CN795" s="551">
        <v>1112.1849272018496</v>
      </c>
      <c r="CO795" s="551">
        <v>2.3413751874048994</v>
      </c>
      <c r="CP795" s="551">
        <v>141229.7052625482</v>
      </c>
      <c r="CQ795" s="551"/>
      <c r="CR795" s="551">
        <v>31.233261088174984</v>
      </c>
      <c r="CS795" s="551">
        <v>33.05871943202547</v>
      </c>
      <c r="CT795" s="551">
        <v>3.0777856295170389</v>
      </c>
      <c r="CU795" s="551">
        <v>25676.892257982341</v>
      </c>
      <c r="CV795" s="551"/>
      <c r="CW795" s="551">
        <v>4.8831049514246834</v>
      </c>
      <c r="CX795" s="551">
        <v>3.5114219474745996</v>
      </c>
      <c r="CY795" s="554"/>
    </row>
    <row r="796" spans="65:103" ht="12.75" customHeight="1" x14ac:dyDescent="0.3">
      <c r="BM796" s="562"/>
      <c r="BN796" s="591">
        <v>783</v>
      </c>
      <c r="BO796" s="549" t="s">
        <v>3421</v>
      </c>
      <c r="BP796" s="554" t="s">
        <v>619</v>
      </c>
      <c r="BQ796" s="553">
        <v>3.52</v>
      </c>
      <c r="BR796" s="551">
        <v>555.52259804724872</v>
      </c>
      <c r="BS796" s="551"/>
      <c r="BT796" s="551">
        <v>7536362.7386793559</v>
      </c>
      <c r="BU796" s="551">
        <v>321736.48564887454</v>
      </c>
      <c r="BV796" s="551">
        <v>493210.16259800311</v>
      </c>
      <c r="BW796" s="551">
        <v>5771.5012328160392</v>
      </c>
      <c r="BX796" s="551">
        <v>3667938.0219564508</v>
      </c>
      <c r="BY796" s="551">
        <v>26277426.398420062</v>
      </c>
      <c r="BZ796" s="551">
        <v>1358495.5636875734</v>
      </c>
      <c r="CA796" s="551">
        <v>1.5170789933989601</v>
      </c>
      <c r="CB796" s="551">
        <v>4.4414707471136882E-32</v>
      </c>
      <c r="CC796" s="551">
        <v>854.53837712133043</v>
      </c>
      <c r="CD796" s="551">
        <v>1797956.3320561836</v>
      </c>
      <c r="CE796" s="551">
        <v>55.924459389822474</v>
      </c>
      <c r="CF796" s="551">
        <v>1612.6407246109547</v>
      </c>
      <c r="CG796" s="551">
        <v>5190.7121321525665</v>
      </c>
      <c r="CH796" s="551">
        <v>13840.057137773063</v>
      </c>
      <c r="CI796" s="551">
        <v>1922.4859748713218</v>
      </c>
      <c r="CJ796" s="551">
        <v>6.0985308307418896E-4</v>
      </c>
      <c r="CK796" s="551">
        <v>254761.30835988923</v>
      </c>
      <c r="CL796" s="551"/>
      <c r="CM796" s="551">
        <v>45.693626151770395</v>
      </c>
      <c r="CN796" s="551">
        <v>7.4894103852180516</v>
      </c>
      <c r="CO796" s="551">
        <v>6.1330115518604102E-8</v>
      </c>
      <c r="CP796" s="551">
        <v>6735.1214763338921</v>
      </c>
      <c r="CQ796" s="551"/>
      <c r="CR796" s="551">
        <v>1.3673221448892046</v>
      </c>
      <c r="CS796" s="551">
        <v>3.2251745004445282E-3</v>
      </c>
      <c r="CT796" s="551">
        <v>1.4463725803603141E-7</v>
      </c>
      <c r="CU796" s="551">
        <v>1158.3525316476155</v>
      </c>
      <c r="CV796" s="551"/>
      <c r="CW796" s="551">
        <v>0.16991750556841215</v>
      </c>
      <c r="CX796" s="551">
        <v>4.265589145413746E-4</v>
      </c>
      <c r="CY796" s="554"/>
    </row>
    <row r="797" spans="65:103" ht="12.75" customHeight="1" x14ac:dyDescent="0.3">
      <c r="BM797" s="562"/>
      <c r="BN797" s="591">
        <v>784</v>
      </c>
      <c r="BO797" s="549" t="s">
        <v>3423</v>
      </c>
      <c r="BP797" s="554" t="s">
        <v>619</v>
      </c>
      <c r="BQ797" s="553">
        <v>3.53</v>
      </c>
      <c r="BR797" s="551">
        <v>59.110687282706081</v>
      </c>
      <c r="BS797" s="551"/>
      <c r="BT797" s="551">
        <v>14586503.032116231</v>
      </c>
      <c r="BU797" s="551">
        <v>672017.44214181998</v>
      </c>
      <c r="BV797" s="551">
        <v>469633.242394267</v>
      </c>
      <c r="BW797" s="551">
        <v>6298.8380305180117</v>
      </c>
      <c r="BX797" s="551">
        <v>3759741.1949557271</v>
      </c>
      <c r="BY797" s="551">
        <v>42237820.254143402</v>
      </c>
      <c r="BZ797" s="551">
        <v>1392496.7388724918</v>
      </c>
      <c r="CA797" s="551">
        <v>2.0169598613284535E-2</v>
      </c>
      <c r="CB797" s="551">
        <v>4.733604936241267E-33</v>
      </c>
      <c r="CC797" s="551">
        <v>434.64809323679617</v>
      </c>
      <c r="CD797" s="551">
        <v>7849934.2888464322</v>
      </c>
      <c r="CE797" s="551">
        <v>13.994114482261031</v>
      </c>
      <c r="CF797" s="551">
        <v>3678.8825359996003</v>
      </c>
      <c r="CG797" s="551">
        <v>664.79491399345227</v>
      </c>
      <c r="CH797" s="551">
        <v>2786.3080582983189</v>
      </c>
      <c r="CI797" s="551">
        <v>246.22033851609342</v>
      </c>
      <c r="CJ797" s="551">
        <v>1.2370641595866001E-6</v>
      </c>
      <c r="CK797" s="551">
        <v>2704869.2862888821</v>
      </c>
      <c r="CL797" s="551"/>
      <c r="CM797" s="551">
        <v>255.04373564018726</v>
      </c>
      <c r="CN797" s="551">
        <v>0.14634783856111264</v>
      </c>
      <c r="CO797" s="551">
        <v>6.7920776463254359E-9</v>
      </c>
      <c r="CP797" s="551">
        <v>168590.84194766186</v>
      </c>
      <c r="CQ797" s="551"/>
      <c r="CR797" s="551">
        <v>16.348254529045537</v>
      </c>
      <c r="CS797" s="551">
        <v>1.1689759729752215E-3</v>
      </c>
      <c r="CT797" s="551">
        <v>4.5747657471148472E-9</v>
      </c>
      <c r="CU797" s="551">
        <v>30648.979457498182</v>
      </c>
      <c r="CV797" s="551"/>
      <c r="CW797" s="551">
        <v>2.7466500239009974</v>
      </c>
      <c r="CX797" s="551">
        <v>1.7647475655111733E-4</v>
      </c>
      <c r="CY797" s="554"/>
    </row>
    <row r="798" spans="65:103" ht="12.75" customHeight="1" x14ac:dyDescent="0.3">
      <c r="BM798" s="562"/>
      <c r="BN798" s="591">
        <v>785</v>
      </c>
      <c r="BO798" s="549" t="s">
        <v>3425</v>
      </c>
      <c r="BP798" s="554" t="s">
        <v>619</v>
      </c>
      <c r="BQ798" s="553">
        <v>3.58</v>
      </c>
      <c r="BR798" s="551">
        <v>22087.331113401535</v>
      </c>
      <c r="BS798" s="551"/>
      <c r="BT798" s="551">
        <v>8480815.004200099</v>
      </c>
      <c r="BU798" s="551">
        <v>398891.76057439786</v>
      </c>
      <c r="BV798" s="551">
        <v>3815329.2826426695</v>
      </c>
      <c r="BW798" s="551">
        <v>46254.199778164722</v>
      </c>
      <c r="BX798" s="551">
        <v>6187159.6818267126</v>
      </c>
      <c r="BY798" s="551">
        <v>49988743.32618168</v>
      </c>
      <c r="BZ798" s="551">
        <v>2291540.6228987817</v>
      </c>
      <c r="CA798" s="551">
        <v>5690.3207860953016</v>
      </c>
      <c r="CB798" s="551">
        <v>1.6861667166790254E-30</v>
      </c>
      <c r="CC798" s="551">
        <v>65252.173248973806</v>
      </c>
      <c r="CD798" s="551">
        <v>7604160.2251926074</v>
      </c>
      <c r="CE798" s="551">
        <v>29355.495577911606</v>
      </c>
      <c r="CF798" s="551">
        <v>44087.692572886852</v>
      </c>
      <c r="CG798" s="551">
        <v>826006.25942504092</v>
      </c>
      <c r="CH798" s="551">
        <v>2130492.3896026076</v>
      </c>
      <c r="CI798" s="551">
        <v>305928.24423149647</v>
      </c>
      <c r="CJ798" s="551">
        <v>218.28510631954575</v>
      </c>
      <c r="CK798" s="551">
        <v>4158065.9812661321</v>
      </c>
      <c r="CL798" s="551"/>
      <c r="CM798" s="551">
        <v>4857.6812188028271</v>
      </c>
      <c r="CN798" s="551">
        <v>113729.81911053337</v>
      </c>
      <c r="CO798" s="551">
        <v>8.1203122563457022</v>
      </c>
      <c r="CP798" s="551">
        <v>396199.02470142255</v>
      </c>
      <c r="CQ798" s="551"/>
      <c r="CR798" s="551">
        <v>517.64099961992463</v>
      </c>
      <c r="CS798" s="551">
        <v>3792.6702113991978</v>
      </c>
      <c r="CT798" s="551">
        <v>1.8750268717526215</v>
      </c>
      <c r="CU798" s="551">
        <v>75966.316148100508</v>
      </c>
      <c r="CV798" s="551"/>
      <c r="CW798" s="551">
        <v>74.019750620791356</v>
      </c>
      <c r="CX798" s="551">
        <v>543.11117732182936</v>
      </c>
      <c r="CY798" s="554"/>
    </row>
    <row r="799" spans="65:103" ht="12.75" customHeight="1" x14ac:dyDescent="0.3">
      <c r="BM799" s="562"/>
      <c r="BN799" s="591">
        <v>786</v>
      </c>
      <c r="BO799" s="549" t="s">
        <v>3427</v>
      </c>
      <c r="BP799" s="554" t="s">
        <v>619</v>
      </c>
      <c r="BQ799" s="553">
        <v>3.6</v>
      </c>
      <c r="BR799" s="551">
        <v>491816.08187853376</v>
      </c>
      <c r="BS799" s="551"/>
      <c r="BT799" s="551">
        <v>16956100.963928487</v>
      </c>
      <c r="BU799" s="551">
        <v>718362.4518485195</v>
      </c>
      <c r="BV799" s="551">
        <v>186226.41479225134</v>
      </c>
      <c r="BW799" s="551">
        <v>2387.1809189327951</v>
      </c>
      <c r="BX799" s="551">
        <v>399507.37863146444</v>
      </c>
      <c r="BY799" s="551">
        <v>19965858.047388628</v>
      </c>
      <c r="BZ799" s="551">
        <v>147965.69578943125</v>
      </c>
      <c r="CA799" s="551">
        <v>775648.7640973028</v>
      </c>
      <c r="CB799" s="551">
        <v>4.6524196895356823E-29</v>
      </c>
      <c r="CC799" s="551">
        <v>806497.93891810603</v>
      </c>
      <c r="CD799" s="551">
        <v>14803329.85693384</v>
      </c>
      <c r="CE799" s="551">
        <v>8857.6507076460475</v>
      </c>
      <c r="CF799" s="551">
        <v>2459.6376439363457</v>
      </c>
      <c r="CG799" s="551">
        <v>325637.2781941148</v>
      </c>
      <c r="CH799" s="551">
        <v>1903046.3682552625</v>
      </c>
      <c r="CI799" s="551">
        <v>120606.39933115362</v>
      </c>
      <c r="CJ799" s="551">
        <v>199048.83948140105</v>
      </c>
      <c r="CK799" s="551">
        <v>5477964.0747745791</v>
      </c>
      <c r="CL799" s="551"/>
      <c r="CM799" s="551">
        <v>182.01250091163092</v>
      </c>
      <c r="CN799" s="551">
        <v>299938.56992196036</v>
      </c>
      <c r="CO799" s="551">
        <v>12355.534877630384</v>
      </c>
      <c r="CP799" s="551">
        <v>1361976.3545470734</v>
      </c>
      <c r="CQ799" s="551"/>
      <c r="CR799" s="551">
        <v>46.673175372135645</v>
      </c>
      <c r="CS799" s="551">
        <v>62289.75629805644</v>
      </c>
      <c r="CT799" s="551">
        <v>22976.151060459055</v>
      </c>
      <c r="CU799" s="551">
        <v>234569.23042578876</v>
      </c>
      <c r="CV799" s="551"/>
      <c r="CW799" s="551">
        <v>7.3662557703193183</v>
      </c>
      <c r="CX799" s="551">
        <v>9760.4110941428571</v>
      </c>
      <c r="CY799" s="554"/>
    </row>
    <row r="800" spans="65:103" ht="12.75" customHeight="1" x14ac:dyDescent="0.3">
      <c r="BM800" s="562"/>
      <c r="BN800" s="591">
        <v>787</v>
      </c>
      <c r="BO800" s="549" t="s">
        <v>3429</v>
      </c>
      <c r="BP800" s="554" t="s">
        <v>619</v>
      </c>
      <c r="BQ800" s="553">
        <v>3.61</v>
      </c>
      <c r="BR800" s="551">
        <v>235.12262587576208</v>
      </c>
      <c r="BS800" s="551"/>
      <c r="BT800" s="551">
        <v>26212362.239659674</v>
      </c>
      <c r="BU800" s="551">
        <v>1206697.1412336829</v>
      </c>
      <c r="BV800" s="551">
        <v>462787.25182851462</v>
      </c>
      <c r="BW800" s="551">
        <v>6364.2879444783694</v>
      </c>
      <c r="BX800" s="551">
        <v>3421809.8704814594</v>
      </c>
      <c r="BY800" s="551">
        <v>49633909.308142304</v>
      </c>
      <c r="BZ800" s="551">
        <v>1267336.9890672076</v>
      </c>
      <c r="CA800" s="551">
        <v>0.20070991220697729</v>
      </c>
      <c r="CB800" s="551">
        <v>1.8897227006783082E-32</v>
      </c>
      <c r="CC800" s="551">
        <v>2366.196468876888</v>
      </c>
      <c r="CD800" s="551">
        <v>14101431.43299371</v>
      </c>
      <c r="CE800" s="551">
        <v>41.775920502924023</v>
      </c>
      <c r="CF800" s="551">
        <v>3718.6451762510023</v>
      </c>
      <c r="CG800" s="551">
        <v>1513.6614763567854</v>
      </c>
      <c r="CH800" s="551">
        <v>8207.0293104208813</v>
      </c>
      <c r="CI800" s="551">
        <v>560.61536161362437</v>
      </c>
      <c r="CJ800" s="551">
        <v>2.9345265595993221E-5</v>
      </c>
      <c r="CK800" s="551">
        <v>4858854.2109371182</v>
      </c>
      <c r="CL800" s="551"/>
      <c r="CM800" s="551">
        <v>257.79509205329759</v>
      </c>
      <c r="CN800" s="551">
        <v>0.79433122871539541</v>
      </c>
      <c r="CO800" s="551">
        <v>5.3246920630750113E-8</v>
      </c>
      <c r="CP800" s="551">
        <v>302839.42522941116</v>
      </c>
      <c r="CQ800" s="551"/>
      <c r="CR800" s="551">
        <v>16.351258705633725</v>
      </c>
      <c r="CS800" s="551">
        <v>4.6585055789564152E-3</v>
      </c>
      <c r="CT800" s="551">
        <v>1.042776872541922E-7</v>
      </c>
      <c r="CU800" s="551">
        <v>55054.561137450139</v>
      </c>
      <c r="CV800" s="551"/>
      <c r="CW800" s="551">
        <v>2.8283879594947918</v>
      </c>
      <c r="CX800" s="551">
        <v>7.9509878113916967E-4</v>
      </c>
      <c r="CY800" s="554"/>
    </row>
    <row r="801" spans="65:103" ht="12.75" customHeight="1" x14ac:dyDescent="0.3">
      <c r="BM801" s="562"/>
      <c r="BN801" s="591">
        <v>788</v>
      </c>
      <c r="BO801" s="549" t="s">
        <v>3431</v>
      </c>
      <c r="BP801" s="554" t="s">
        <v>619</v>
      </c>
      <c r="BQ801" s="553">
        <v>3.7</v>
      </c>
      <c r="BR801" s="551">
        <v>58.788200219430799</v>
      </c>
      <c r="BS801" s="551"/>
      <c r="BT801" s="551">
        <v>9135707.32889973</v>
      </c>
      <c r="BU801" s="551">
        <v>420837.82489390176</v>
      </c>
      <c r="BV801" s="551">
        <v>261247.220073504</v>
      </c>
      <c r="BW801" s="551">
        <v>3524.4040662429047</v>
      </c>
      <c r="BX801" s="551">
        <v>2107645.8274999764</v>
      </c>
      <c r="BY801" s="551">
        <v>24774665.531771809</v>
      </c>
      <c r="BZ801" s="551">
        <v>780609.56574073201</v>
      </c>
      <c r="CA801" s="551">
        <v>3.2583869566684298E-2</v>
      </c>
      <c r="CB801" s="551">
        <v>4.7233409695983896E-33</v>
      </c>
      <c r="CC801" s="551">
        <v>461.97820488135415</v>
      </c>
      <c r="CD801" s="551">
        <v>4916814.963784893</v>
      </c>
      <c r="CE801" s="551">
        <v>13.210856851555569</v>
      </c>
      <c r="CF801" s="551">
        <v>2058.8504200752682</v>
      </c>
      <c r="CG801" s="551">
        <v>605.35288676774996</v>
      </c>
      <c r="CH801" s="551">
        <v>2660.19491479111</v>
      </c>
      <c r="CI801" s="551">
        <v>224.20477287694439</v>
      </c>
      <c r="CJ801" s="551">
        <v>2.6491814015630772E-6</v>
      </c>
      <c r="CK801" s="551">
        <v>1694188.765961946</v>
      </c>
      <c r="CL801" s="551"/>
      <c r="CM801" s="551">
        <v>142.73201306703811</v>
      </c>
      <c r="CN801" s="551">
        <v>0.1766531199066389</v>
      </c>
      <c r="CO801" s="551">
        <v>2.552477172209305E-10</v>
      </c>
      <c r="CP801" s="551">
        <v>105595.95038962782</v>
      </c>
      <c r="CQ801" s="551"/>
      <c r="CR801" s="551">
        <v>9.126037565728403</v>
      </c>
      <c r="CS801" s="551">
        <v>1.0184275425827623E-5</v>
      </c>
      <c r="CT801" s="551">
        <v>4.3877231410987956E-11</v>
      </c>
      <c r="CU801" s="551">
        <v>19196.807513146701</v>
      </c>
      <c r="CV801" s="551"/>
      <c r="CW801" s="551">
        <v>1.5439057154465436</v>
      </c>
      <c r="CX801" s="551">
        <v>1.9859551786702749E-6</v>
      </c>
      <c r="CY801" s="554"/>
    </row>
    <row r="802" spans="65:103" ht="12.75" customHeight="1" x14ac:dyDescent="0.3">
      <c r="BM802" s="562"/>
      <c r="BN802" s="591">
        <v>789</v>
      </c>
      <c r="BO802" s="549" t="s">
        <v>3433</v>
      </c>
      <c r="BP802" s="554" t="s">
        <v>619</v>
      </c>
      <c r="BQ802" s="553">
        <v>3.71</v>
      </c>
      <c r="BR802" s="551">
        <v>15418.483499936319</v>
      </c>
      <c r="BS802" s="551"/>
      <c r="BT802" s="551">
        <v>5797266.2085597236</v>
      </c>
      <c r="BU802" s="551">
        <v>264051.2057691965</v>
      </c>
      <c r="BV802" s="551">
        <v>2692965.4224172924</v>
      </c>
      <c r="BW802" s="551">
        <v>31071.246870064282</v>
      </c>
      <c r="BX802" s="551">
        <v>48186.603132484059</v>
      </c>
      <c r="BY802" s="551">
        <v>5872350.2192646768</v>
      </c>
      <c r="BZ802" s="551">
        <v>17846.89004906817</v>
      </c>
      <c r="CA802" s="551">
        <v>2090.1378612594867</v>
      </c>
      <c r="CB802" s="551">
        <v>8.2810566851373891E-32</v>
      </c>
      <c r="CC802" s="551">
        <v>935.9578273022064</v>
      </c>
      <c r="CD802" s="551">
        <v>3116033.0923019866</v>
      </c>
      <c r="CE802" s="551">
        <v>434.77424963582132</v>
      </c>
      <c r="CF802" s="551">
        <v>18333.382190807515</v>
      </c>
      <c r="CG802" s="551">
        <v>3364.9836450089651</v>
      </c>
      <c r="CH802" s="551">
        <v>7951.8366093219738</v>
      </c>
      <c r="CI802" s="551">
        <v>1246.2902388922093</v>
      </c>
      <c r="CJ802" s="551">
        <v>42.592780351201753</v>
      </c>
      <c r="CK802" s="551">
        <v>1074852.2458684577</v>
      </c>
      <c r="CL802" s="551"/>
      <c r="CM802" s="551">
        <v>1272.2957804270343</v>
      </c>
      <c r="CN802" s="551">
        <v>246.1204336046134</v>
      </c>
      <c r="CO802" s="551">
        <v>0.30045487311311297</v>
      </c>
      <c r="CP802" s="551">
        <v>67029.93157536356</v>
      </c>
      <c r="CQ802" s="551"/>
      <c r="CR802" s="551">
        <v>94.80447707381532</v>
      </c>
      <c r="CS802" s="551">
        <v>7.3177548192526167</v>
      </c>
      <c r="CT802" s="551">
        <v>0.38574287984188149</v>
      </c>
      <c r="CU802" s="551">
        <v>12187.793240388628</v>
      </c>
      <c r="CV802" s="551"/>
      <c r="CW802" s="551">
        <v>11.03214189640966</v>
      </c>
      <c r="CX802" s="551">
        <v>0.53182476368070164</v>
      </c>
      <c r="CY802" s="554"/>
    </row>
    <row r="803" spans="65:103" ht="12.75" customHeight="1" x14ac:dyDescent="0.3">
      <c r="BM803" s="562"/>
      <c r="BN803" s="591">
        <v>790</v>
      </c>
      <c r="BO803" s="549" t="s">
        <v>3437</v>
      </c>
      <c r="BP803" s="554" t="s">
        <v>619</v>
      </c>
      <c r="BQ803" s="553">
        <v>3.75</v>
      </c>
      <c r="BR803" s="551">
        <v>159976.98388501097</v>
      </c>
      <c r="BS803" s="551"/>
      <c r="BT803" s="551">
        <v>12212454.802021848</v>
      </c>
      <c r="BU803" s="551">
        <v>514432.1426447524</v>
      </c>
      <c r="BV803" s="551">
        <v>184414.76802400578</v>
      </c>
      <c r="BW803" s="551">
        <v>2328.9996078708373</v>
      </c>
      <c r="BX803" s="551">
        <v>275246.01183139294</v>
      </c>
      <c r="BY803" s="551">
        <v>18585184.857168145</v>
      </c>
      <c r="BZ803" s="551">
        <v>101942.96734496036</v>
      </c>
      <c r="CA803" s="551">
        <v>80794.625644428103</v>
      </c>
      <c r="CB803" s="551">
        <v>4.8886993436526155E-30</v>
      </c>
      <c r="CC803" s="551">
        <v>90558.027450121968</v>
      </c>
      <c r="CD803" s="551">
        <v>3993432.347062069</v>
      </c>
      <c r="CE803" s="551">
        <v>1367.4759002719882</v>
      </c>
      <c r="CF803" s="551">
        <v>903.97757054509998</v>
      </c>
      <c r="CG803" s="551">
        <v>71951.159155800851</v>
      </c>
      <c r="CH803" s="551">
        <v>357324.229027603</v>
      </c>
      <c r="CI803" s="551">
        <v>26648.577465111412</v>
      </c>
      <c r="CJ803" s="551">
        <v>6184.3420160713067</v>
      </c>
      <c r="CK803" s="551">
        <v>672546.64667848707</v>
      </c>
      <c r="CL803" s="551"/>
      <c r="CM803" s="551">
        <v>30.444125691207073</v>
      </c>
      <c r="CN803" s="551">
        <v>19767.533201027385</v>
      </c>
      <c r="CO803" s="551">
        <v>139.51995642355919</v>
      </c>
      <c r="CP803" s="551">
        <v>32088.923670342137</v>
      </c>
      <c r="CQ803" s="551"/>
      <c r="CR803" s="551">
        <v>1.510403967574167</v>
      </c>
      <c r="CS803" s="551">
        <v>1541.724796116049</v>
      </c>
      <c r="CT803" s="551">
        <v>207.66117274120347</v>
      </c>
      <c r="CU803" s="551">
        <v>4972.4113744048491</v>
      </c>
      <c r="CV803" s="551"/>
      <c r="CW803" s="551">
        <v>0.2097513232597657</v>
      </c>
      <c r="CX803" s="551">
        <v>183.07713757113888</v>
      </c>
      <c r="CY803" s="554"/>
    </row>
    <row r="804" spans="65:103" ht="12.75" customHeight="1" x14ac:dyDescent="0.3">
      <c r="BM804" s="562"/>
      <c r="BN804" s="591">
        <v>791</v>
      </c>
      <c r="BO804" s="549" t="s">
        <v>3439</v>
      </c>
      <c r="BP804" s="554" t="s">
        <v>619</v>
      </c>
      <c r="BQ804" s="553">
        <v>3.75</v>
      </c>
      <c r="BR804" s="551">
        <v>51401.166212902666</v>
      </c>
      <c r="BS804" s="551"/>
      <c r="BT804" s="551">
        <v>5235138.3500647331</v>
      </c>
      <c r="BU804" s="551">
        <v>239407.96871196741</v>
      </c>
      <c r="BV804" s="551">
        <v>12101636.973168937</v>
      </c>
      <c r="BW804" s="551">
        <v>190892.30114617804</v>
      </c>
      <c r="BX804" s="551">
        <v>166073.92561651385</v>
      </c>
      <c r="BY804" s="551">
        <v>1817778.7331989701</v>
      </c>
      <c r="BZ804" s="551">
        <v>61508.861339449555</v>
      </c>
      <c r="CA804" s="551">
        <v>43922.989241605799</v>
      </c>
      <c r="CB804" s="551">
        <v>3.0103572525654444E-30</v>
      </c>
      <c r="CC804" s="551">
        <v>30683.353054389256</v>
      </c>
      <c r="CD804" s="551">
        <v>4265351.8390062032</v>
      </c>
      <c r="CE804" s="551">
        <v>70928.173231410707</v>
      </c>
      <c r="CF804" s="551">
        <v>170049.23272323716</v>
      </c>
      <c r="CG804" s="551">
        <v>73538.883712747003</v>
      </c>
      <c r="CH804" s="551">
        <v>163826.6987479213</v>
      </c>
      <c r="CI804" s="551">
        <v>27236.623597313697</v>
      </c>
      <c r="CJ804" s="551">
        <v>5809.9387078178652</v>
      </c>
      <c r="CK804" s="551">
        <v>1735357.5124073122</v>
      </c>
      <c r="CL804" s="551"/>
      <c r="CM804" s="551">
        <v>13915.048191418042</v>
      </c>
      <c r="CN804" s="551">
        <v>34914.05971627769</v>
      </c>
      <c r="CO804" s="551">
        <v>528.24069731580926</v>
      </c>
      <c r="CP804" s="551">
        <v>158310.64132448632</v>
      </c>
      <c r="CQ804" s="551"/>
      <c r="CR804" s="551">
        <v>1716.4595052968639</v>
      </c>
      <c r="CS804" s="551">
        <v>4807.4680709619843</v>
      </c>
      <c r="CT804" s="551">
        <v>214.20317781181973</v>
      </c>
      <c r="CU804" s="551">
        <v>29527.799081629924</v>
      </c>
      <c r="CV804" s="551"/>
      <c r="CW804" s="551">
        <v>158.7661977991317</v>
      </c>
      <c r="CX804" s="551">
        <v>543.46505325077214</v>
      </c>
      <c r="CY804" s="554"/>
    </row>
    <row r="805" spans="65:103" ht="12.75" customHeight="1" x14ac:dyDescent="0.3">
      <c r="BM805" s="562"/>
      <c r="BN805" s="591">
        <v>792</v>
      </c>
      <c r="BO805" s="549" t="s">
        <v>3435</v>
      </c>
      <c r="BP805" s="554" t="s">
        <v>619</v>
      </c>
      <c r="BQ805" s="553">
        <v>3.75</v>
      </c>
      <c r="BR805" s="551">
        <v>22197.167974104701</v>
      </c>
      <c r="BS805" s="551"/>
      <c r="BT805" s="551">
        <v>8734564.3186824005</v>
      </c>
      <c r="BU805" s="551">
        <v>398951.04563355778</v>
      </c>
      <c r="BV805" s="551">
        <v>3927193.0033301432</v>
      </c>
      <c r="BW805" s="551">
        <v>45345.781703743451</v>
      </c>
      <c r="BX805" s="551">
        <v>463460.20088661846</v>
      </c>
      <c r="BY805" s="551">
        <v>32668458.882811438</v>
      </c>
      <c r="BZ805" s="551">
        <v>171651.92625430308</v>
      </c>
      <c r="CA805" s="551">
        <v>3290.52237662474</v>
      </c>
      <c r="CB805" s="551">
        <v>1.9475516458458412E-31</v>
      </c>
      <c r="CC805" s="551">
        <v>3354.519484158046</v>
      </c>
      <c r="CD805" s="551">
        <v>4749473.4596542185</v>
      </c>
      <c r="CE805" s="551">
        <v>1508.2429949645598</v>
      </c>
      <c r="CF805" s="551">
        <v>26991.856402730486</v>
      </c>
      <c r="CG805" s="551">
        <v>35767.556951264844</v>
      </c>
      <c r="CH805" s="551">
        <v>92193.186536146313</v>
      </c>
      <c r="CI805" s="551">
        <v>13247.243315283269</v>
      </c>
      <c r="CJ805" s="551">
        <v>72.707994910295938</v>
      </c>
      <c r="CK805" s="551">
        <v>1640072.4399342812</v>
      </c>
      <c r="CL805" s="551"/>
      <c r="CM805" s="551">
        <v>1875.2096543463024</v>
      </c>
      <c r="CN805" s="551">
        <v>2836.6793837983341</v>
      </c>
      <c r="CO805" s="551">
        <v>0.56281725626333046</v>
      </c>
      <c r="CP805" s="551">
        <v>102380.91919737749</v>
      </c>
      <c r="CQ805" s="551"/>
      <c r="CR805" s="551">
        <v>139.47936155655947</v>
      </c>
      <c r="CS805" s="551">
        <v>88.469670262711631</v>
      </c>
      <c r="CT805" s="551">
        <v>0.69825189379167318</v>
      </c>
      <c r="CU805" s="551">
        <v>18609.024922173307</v>
      </c>
      <c r="CV805" s="551"/>
      <c r="CW805" s="551">
        <v>16.325978303075654</v>
      </c>
      <c r="CX805" s="551">
        <v>6.5892352281041457</v>
      </c>
      <c r="CY805" s="554"/>
    </row>
    <row r="806" spans="65:103" ht="12.75" customHeight="1" x14ac:dyDescent="0.3">
      <c r="BM806" s="562"/>
      <c r="BN806" s="591">
        <v>793</v>
      </c>
      <c r="BO806" s="549" t="s">
        <v>3443</v>
      </c>
      <c r="BP806" s="554" t="s">
        <v>619</v>
      </c>
      <c r="BQ806" s="553">
        <v>3.8</v>
      </c>
      <c r="BR806" s="551">
        <v>19.677639382539514</v>
      </c>
      <c r="BS806" s="551"/>
      <c r="BT806" s="551">
        <v>7167396.4457920268</v>
      </c>
      <c r="BU806" s="551">
        <v>337794.48231116863</v>
      </c>
      <c r="BV806" s="551">
        <v>729206.80656455795</v>
      </c>
      <c r="BW806" s="551">
        <v>9294.3206767452011</v>
      </c>
      <c r="BX806" s="551">
        <v>642084.24327209627</v>
      </c>
      <c r="BY806" s="551">
        <v>4007794.6545997951</v>
      </c>
      <c r="BZ806" s="551">
        <v>237808.97898966525</v>
      </c>
      <c r="CA806" s="551">
        <v>4.3876922145502997E-3</v>
      </c>
      <c r="CB806" s="551">
        <v>1.581094526740133E-33</v>
      </c>
      <c r="CC806" s="551">
        <v>36.612824198111284</v>
      </c>
      <c r="CD806" s="551">
        <v>5450447.0081135407</v>
      </c>
      <c r="CE806" s="551">
        <v>3.7249677501080423</v>
      </c>
      <c r="CF806" s="551">
        <v>7498.3762284116419</v>
      </c>
      <c r="CG806" s="551">
        <v>74.191416207192077</v>
      </c>
      <c r="CH806" s="551">
        <v>173.161701160028</v>
      </c>
      <c r="CI806" s="551">
        <v>27.478302298960028</v>
      </c>
      <c r="CJ806" s="551">
        <v>1.4351891773382971E-7</v>
      </c>
      <c r="CK806" s="551">
        <v>2928292.1202353812</v>
      </c>
      <c r="CL806" s="551"/>
      <c r="CM806" s="551">
        <v>811.76655391097142</v>
      </c>
      <c r="CN806" s="551">
        <v>8.7102438180551422E-3</v>
      </c>
      <c r="CO806" s="551">
        <v>6.3179410543743284E-12</v>
      </c>
      <c r="CP806" s="551">
        <v>276332.96018314618</v>
      </c>
      <c r="CQ806" s="551"/>
      <c r="CR806" s="551">
        <v>79.957763715310008</v>
      </c>
      <c r="CS806" s="551">
        <v>3.1353019134952479E-7</v>
      </c>
      <c r="CT806" s="551">
        <v>1.064675160194121E-12</v>
      </c>
      <c r="CU806" s="551">
        <v>52936.105512034235</v>
      </c>
      <c r="CV806" s="551"/>
      <c r="CW806" s="551">
        <v>13.601593346539724</v>
      </c>
      <c r="CX806" s="551">
        <v>3.7337698805959912E-8</v>
      </c>
      <c r="CY806" s="554"/>
    </row>
    <row r="807" spans="65:103" ht="12.75" customHeight="1" x14ac:dyDescent="0.3">
      <c r="BM807" s="562"/>
      <c r="BN807" s="591">
        <v>794</v>
      </c>
      <c r="BO807" s="549" t="s">
        <v>3445</v>
      </c>
      <c r="BP807" s="554" t="s">
        <v>619</v>
      </c>
      <c r="BQ807" s="553">
        <v>3.8</v>
      </c>
      <c r="BR807" s="551">
        <v>178531.31618960903</v>
      </c>
      <c r="BS807" s="551"/>
      <c r="BT807" s="551">
        <v>9940518.4579343703</v>
      </c>
      <c r="BU807" s="551">
        <v>417083.21888262272</v>
      </c>
      <c r="BV807" s="551">
        <v>231029.81263260485</v>
      </c>
      <c r="BW807" s="551">
        <v>2856.8530502007729</v>
      </c>
      <c r="BX807" s="551">
        <v>193081.35468185646</v>
      </c>
      <c r="BY807" s="551">
        <v>18898601.938946672</v>
      </c>
      <c r="BZ807" s="551">
        <v>71511.612845131996</v>
      </c>
      <c r="CA807" s="551">
        <v>101974.91159596355</v>
      </c>
      <c r="CB807" s="551">
        <v>4.950926508699498E-30</v>
      </c>
      <c r="CC807" s="551">
        <v>50252.024686895151</v>
      </c>
      <c r="CD807" s="551">
        <v>3451456.8289182414</v>
      </c>
      <c r="CE807" s="551">
        <v>1167.9185443849483</v>
      </c>
      <c r="CF807" s="551">
        <v>1182.054866142468</v>
      </c>
      <c r="CG807" s="551">
        <v>57157.80053953523</v>
      </c>
      <c r="CH807" s="551">
        <v>257306.93122600805</v>
      </c>
      <c r="CI807" s="551">
        <v>21169.555755383419</v>
      </c>
      <c r="CJ807" s="551">
        <v>8854.6391083237759</v>
      </c>
      <c r="CK807" s="551">
        <v>605656.8034952</v>
      </c>
      <c r="CL807" s="551"/>
      <c r="CM807" s="551">
        <v>41.479212164067285</v>
      </c>
      <c r="CN807" s="551">
        <v>17813.804904472672</v>
      </c>
      <c r="CO807" s="551">
        <v>233.33096988097441</v>
      </c>
      <c r="CP807" s="551">
        <v>33699.894535013249</v>
      </c>
      <c r="CQ807" s="551"/>
      <c r="CR807" s="551">
        <v>2.4373456552934334</v>
      </c>
      <c r="CS807" s="551">
        <v>1654.9392516225623</v>
      </c>
      <c r="CT807" s="551">
        <v>335.94314335887083</v>
      </c>
      <c r="CU807" s="551">
        <v>5185.5790895047494</v>
      </c>
      <c r="CV807" s="551"/>
      <c r="CW807" s="551">
        <v>0.32245109030370561</v>
      </c>
      <c r="CX807" s="551">
        <v>184.50871458849036</v>
      </c>
      <c r="CY807" s="554"/>
    </row>
    <row r="808" spans="65:103" ht="12.75" customHeight="1" x14ac:dyDescent="0.3">
      <c r="BM808" s="562"/>
      <c r="BN808" s="591">
        <v>795</v>
      </c>
      <c r="BO808" s="549" t="s">
        <v>3441</v>
      </c>
      <c r="BP808" s="554" t="s">
        <v>619</v>
      </c>
      <c r="BQ808" s="553">
        <v>3.8</v>
      </c>
      <c r="BR808" s="551">
        <v>8935.0659385755043</v>
      </c>
      <c r="BS808" s="551"/>
      <c r="BT808" s="551">
        <v>9638500.1913507096</v>
      </c>
      <c r="BU808" s="551">
        <v>463816.57077075797</v>
      </c>
      <c r="BV808" s="551">
        <v>7116260.6155365296</v>
      </c>
      <c r="BW808" s="551">
        <v>96220.19883575548</v>
      </c>
      <c r="BX808" s="551">
        <v>581929.48442663893</v>
      </c>
      <c r="BY808" s="551">
        <v>5605560.5735464124</v>
      </c>
      <c r="BZ808" s="551">
        <v>215529.43867653279</v>
      </c>
      <c r="CA808" s="551">
        <v>961.17158415263157</v>
      </c>
      <c r="CB808" s="551">
        <v>4.0935381352015142E-31</v>
      </c>
      <c r="CC808" s="551">
        <v>9912.0693105297505</v>
      </c>
      <c r="CD808" s="551">
        <v>13578765.188466532</v>
      </c>
      <c r="CE808" s="551">
        <v>7318.2411218177685</v>
      </c>
      <c r="CF808" s="551">
        <v>140847.86623805744</v>
      </c>
      <c r="CG808" s="551">
        <v>32439.220687101901</v>
      </c>
      <c r="CH808" s="551">
        <v>73363.308873931383</v>
      </c>
      <c r="CI808" s="551">
        <v>12014.526180408115</v>
      </c>
      <c r="CJ808" s="551">
        <v>15.492418602163175</v>
      </c>
      <c r="CK808" s="551">
        <v>19475022.740325231</v>
      </c>
      <c r="CL808" s="551"/>
      <c r="CM808" s="551">
        <v>40774.10736064602</v>
      </c>
      <c r="CN808" s="551">
        <v>1876.6892561672976</v>
      </c>
      <c r="CO808" s="551">
        <v>0.17344532193734286</v>
      </c>
      <c r="CP808" s="551">
        <v>4287010.1804618863</v>
      </c>
      <c r="CQ808" s="551"/>
      <c r="CR808" s="551">
        <v>9424.5716913202268</v>
      </c>
      <c r="CS808" s="551">
        <v>43.244607811952001</v>
      </c>
      <c r="CT808" s="551">
        <v>0.11752490065952584</v>
      </c>
      <c r="CU808" s="551">
        <v>1040963.5979279638</v>
      </c>
      <c r="CV808" s="551"/>
      <c r="CW808" s="551">
        <v>2000.8708463036012</v>
      </c>
      <c r="CX808" s="551">
        <v>3.9286243195316262</v>
      </c>
      <c r="CY808" s="554"/>
    </row>
    <row r="809" spans="65:103" ht="12.75" customHeight="1" x14ac:dyDescent="0.3">
      <c r="BM809" s="562"/>
      <c r="BN809" s="591">
        <v>796</v>
      </c>
      <c r="BO809" s="549" t="s">
        <v>3447</v>
      </c>
      <c r="BP809" s="554" t="s">
        <v>619</v>
      </c>
      <c r="BQ809" s="553">
        <v>3.81</v>
      </c>
      <c r="BR809" s="551">
        <v>113226.61766577825</v>
      </c>
      <c r="BS809" s="551"/>
      <c r="BT809" s="551">
        <v>13854005.832188578</v>
      </c>
      <c r="BU809" s="551">
        <v>637275.97466350789</v>
      </c>
      <c r="BV809" s="551">
        <v>2104109.6500607105</v>
      </c>
      <c r="BW809" s="551">
        <v>25179.645031774649</v>
      </c>
      <c r="BX809" s="551">
        <v>4471525.5135218333</v>
      </c>
      <c r="BY809" s="551">
        <v>54935918.882191554</v>
      </c>
      <c r="BZ809" s="551">
        <v>1656120.5605636423</v>
      </c>
      <c r="CA809" s="551">
        <v>82833.209805269085</v>
      </c>
      <c r="CB809" s="551">
        <v>8.7948596108354694E-30</v>
      </c>
      <c r="CC809" s="551">
        <v>264770.40010970359</v>
      </c>
      <c r="CD809" s="551">
        <v>11805422.788110783</v>
      </c>
      <c r="CE809" s="551">
        <v>40212.625912634998</v>
      </c>
      <c r="CF809" s="551">
        <v>23322.419726525004</v>
      </c>
      <c r="CG809" s="551">
        <v>1697474.464053235</v>
      </c>
      <c r="CH809" s="551">
        <v>4868645.9290695423</v>
      </c>
      <c r="CI809" s="551">
        <v>628694.24594564224</v>
      </c>
      <c r="CJ809" s="551">
        <v>9355.7799159757797</v>
      </c>
      <c r="CK809" s="551">
        <v>4759574.3791161375</v>
      </c>
      <c r="CL809" s="551"/>
      <c r="CM809" s="551">
        <v>1891.7908433665136</v>
      </c>
      <c r="CN809" s="551">
        <v>688148.88629502419</v>
      </c>
      <c r="CO809" s="551">
        <v>240.23473694080565</v>
      </c>
      <c r="CP809" s="551">
        <v>409716.61157974688</v>
      </c>
      <c r="CQ809" s="551"/>
      <c r="CR809" s="551">
        <v>178.46186813591083</v>
      </c>
      <c r="CS809" s="551">
        <v>72550.382537107507</v>
      </c>
      <c r="CT809" s="551">
        <v>520.18974558710295</v>
      </c>
      <c r="CU809" s="551">
        <v>74455.040408898945</v>
      </c>
      <c r="CV809" s="551"/>
      <c r="CW809" s="551">
        <v>25.401083424966288</v>
      </c>
      <c r="CX809" s="551">
        <v>9413.0767838761803</v>
      </c>
      <c r="CY809" s="554"/>
    </row>
    <row r="810" spans="65:103" ht="12.75" customHeight="1" x14ac:dyDescent="0.3">
      <c r="BM810" s="562"/>
      <c r="BN810" s="591">
        <v>797</v>
      </c>
      <c r="BO810" s="549" t="s">
        <v>3449</v>
      </c>
      <c r="BP810" s="554" t="s">
        <v>619</v>
      </c>
      <c r="BQ810" s="553">
        <v>3.83</v>
      </c>
      <c r="BR810" s="551">
        <v>30011.328678919916</v>
      </c>
      <c r="BS810" s="551"/>
      <c r="BT810" s="551">
        <v>13845072.714247176</v>
      </c>
      <c r="BU810" s="551">
        <v>631004.19006681792</v>
      </c>
      <c r="BV810" s="551">
        <v>650923.81489831349</v>
      </c>
      <c r="BW810" s="551">
        <v>8447.7343174482139</v>
      </c>
      <c r="BX810" s="551">
        <v>132902.34040195856</v>
      </c>
      <c r="BY810" s="551">
        <v>34977166.143136285</v>
      </c>
      <c r="BZ810" s="551">
        <v>49223.089037762416</v>
      </c>
      <c r="CA810" s="551">
        <v>3195.8359184921128</v>
      </c>
      <c r="CB810" s="551">
        <v>1.6247649290027849E-31</v>
      </c>
      <c r="CC810" s="551">
        <v>4164.1693748745247</v>
      </c>
      <c r="CD810" s="551">
        <v>7428366.151307459</v>
      </c>
      <c r="CE810" s="551">
        <v>195.77773777863743</v>
      </c>
      <c r="CF810" s="551">
        <v>4972.4601394743304</v>
      </c>
      <c r="CG810" s="551">
        <v>7312.3630584945313</v>
      </c>
      <c r="CH810" s="551">
        <v>33887.994741268136</v>
      </c>
      <c r="CI810" s="551">
        <v>2708.2826142572339</v>
      </c>
      <c r="CJ810" s="551">
        <v>51.737839354743713</v>
      </c>
      <c r="CK810" s="551">
        <v>2559622.3720010985</v>
      </c>
      <c r="CL810" s="551"/>
      <c r="CM810" s="551">
        <v>344.72409703723366</v>
      </c>
      <c r="CN810" s="551">
        <v>424.89851748567003</v>
      </c>
      <c r="CO810" s="551">
        <v>0.29737215774156506</v>
      </c>
      <c r="CP810" s="551">
        <v>159467.59801784938</v>
      </c>
      <c r="CQ810" s="551"/>
      <c r="CR810" s="551">
        <v>22.305449491969444</v>
      </c>
      <c r="CS810" s="551">
        <v>8.5542909232804334</v>
      </c>
      <c r="CT810" s="551">
        <v>0.38540834654824047</v>
      </c>
      <c r="CU810" s="551">
        <v>28993.949448042735</v>
      </c>
      <c r="CV810" s="551"/>
      <c r="CW810" s="551">
        <v>3.6489707300220955</v>
      </c>
      <c r="CX810" s="551">
        <v>0.86651496296114994</v>
      </c>
      <c r="CY810" s="554"/>
    </row>
    <row r="811" spans="65:103" ht="12.75" customHeight="1" x14ac:dyDescent="0.3">
      <c r="BM811" s="562"/>
      <c r="BN811" s="591">
        <v>798</v>
      </c>
      <c r="BO811" s="549" t="s">
        <v>3453</v>
      </c>
      <c r="BP811" s="554" t="s">
        <v>619</v>
      </c>
      <c r="BQ811" s="553">
        <v>3.84</v>
      </c>
      <c r="BR811" s="551">
        <v>1487.2098736582027</v>
      </c>
      <c r="BS811" s="551"/>
      <c r="BT811" s="551">
        <v>10583369.401355147</v>
      </c>
      <c r="BU811" s="551">
        <v>451199.37310812576</v>
      </c>
      <c r="BV811" s="551">
        <v>290999.24103325047</v>
      </c>
      <c r="BW811" s="551">
        <v>3625.4151632290168</v>
      </c>
      <c r="BX811" s="551">
        <v>3378454.0967464587</v>
      </c>
      <c r="BY811" s="551">
        <v>29955726.294497952</v>
      </c>
      <c r="BZ811" s="551">
        <v>1251279.2950912812</v>
      </c>
      <c r="CA811" s="551">
        <v>8.5800986666974364</v>
      </c>
      <c r="CB811" s="551">
        <v>1.1943929275705644E-31</v>
      </c>
      <c r="CC811" s="551">
        <v>4027.4627588790263</v>
      </c>
      <c r="CD811" s="551">
        <v>2535177.0206251643</v>
      </c>
      <c r="CE811" s="551">
        <v>110.73870349582714</v>
      </c>
      <c r="CF811" s="551">
        <v>1018.515290561106</v>
      </c>
      <c r="CG811" s="551">
        <v>10100.352624029088</v>
      </c>
      <c r="CH811" s="551">
        <v>33365.757639896168</v>
      </c>
      <c r="CI811" s="551">
        <v>3740.8713422329938</v>
      </c>
      <c r="CJ811" s="551">
        <v>7.2776407120482356E-3</v>
      </c>
      <c r="CK811" s="551">
        <v>359222.86936658307</v>
      </c>
      <c r="CL811" s="551"/>
      <c r="CM811" s="551">
        <v>28.859673216340664</v>
      </c>
      <c r="CN811" s="551">
        <v>30.749532735278525</v>
      </c>
      <c r="CO811" s="551">
        <v>1.3398533398724589E-6</v>
      </c>
      <c r="CP811" s="551">
        <v>9496.2084356165506</v>
      </c>
      <c r="CQ811" s="551"/>
      <c r="CR811" s="551">
        <v>0.8119773919140385</v>
      </c>
      <c r="CS811" s="551">
        <v>2.1730221226847955E-2</v>
      </c>
      <c r="CT811" s="551">
        <v>3.2812341324418994E-6</v>
      </c>
      <c r="CU811" s="551">
        <v>1633.2111291935264</v>
      </c>
      <c r="CV811" s="551"/>
      <c r="CW811" s="551">
        <v>0.11763292991580881</v>
      </c>
      <c r="CX811" s="551">
        <v>3.5239631962906723E-3</v>
      </c>
      <c r="CY811" s="554"/>
    </row>
    <row r="812" spans="65:103" ht="12.75" customHeight="1" x14ac:dyDescent="0.3">
      <c r="BM812" s="562"/>
      <c r="BN812" s="591">
        <v>799</v>
      </c>
      <c r="BO812" s="549" t="s">
        <v>3451</v>
      </c>
      <c r="BP812" s="554" t="s">
        <v>619</v>
      </c>
      <c r="BQ812" s="553">
        <v>3.84</v>
      </c>
      <c r="BR812" s="551">
        <v>854.9173168291353</v>
      </c>
      <c r="BS812" s="551"/>
      <c r="BT812" s="551">
        <v>9347335.197267253</v>
      </c>
      <c r="BU812" s="551">
        <v>430822.79141433514</v>
      </c>
      <c r="BV812" s="551">
        <v>439463.42582060746</v>
      </c>
      <c r="BW812" s="551">
        <v>5767.7532686182703</v>
      </c>
      <c r="BX812" s="551">
        <v>3264015.8316992824</v>
      </c>
      <c r="BY812" s="551">
        <v>32095075.028550733</v>
      </c>
      <c r="BZ812" s="551">
        <v>1208894.7524812152</v>
      </c>
      <c r="CA812" s="551">
        <v>6.1981136571810955</v>
      </c>
      <c r="CB812" s="551">
        <v>6.847844359920902E-32</v>
      </c>
      <c r="CC812" s="551">
        <v>5106.4088556876532</v>
      </c>
      <c r="CD812" s="551">
        <v>5066621.1217396939</v>
      </c>
      <c r="CE812" s="551">
        <v>240.07697188576853</v>
      </c>
      <c r="CF812" s="551">
        <v>3391.5360466224533</v>
      </c>
      <c r="CG812" s="551">
        <v>12262.701614003152</v>
      </c>
      <c r="CH812" s="551">
        <v>44823.91997194288</v>
      </c>
      <c r="CI812" s="551">
        <v>4541.7413385196814</v>
      </c>
      <c r="CJ812" s="551">
        <v>6.6755496462651831E-3</v>
      </c>
      <c r="CK812" s="551">
        <v>1745913.8099281925</v>
      </c>
      <c r="CL812" s="551"/>
      <c r="CM812" s="551">
        <v>235.13568572296975</v>
      </c>
      <c r="CN812" s="551">
        <v>47.404253343649401</v>
      </c>
      <c r="CO812" s="551">
        <v>2.6480784785801623E-6</v>
      </c>
      <c r="CP812" s="551">
        <v>108822.78034322962</v>
      </c>
      <c r="CQ812" s="551"/>
      <c r="CR812" s="551">
        <v>15.221531274647393</v>
      </c>
      <c r="CS812" s="551">
        <v>6.455100151382849E-2</v>
      </c>
      <c r="CT812" s="551">
        <v>5.5606730671174443E-6</v>
      </c>
      <c r="CU812" s="551">
        <v>19783.499291497748</v>
      </c>
      <c r="CV812" s="551"/>
      <c r="CW812" s="551">
        <v>2.4898094680564946</v>
      </c>
      <c r="CX812" s="551">
        <v>1.0375289626556983E-2</v>
      </c>
      <c r="CY812" s="554"/>
    </row>
    <row r="813" spans="65:103" ht="12.75" customHeight="1" x14ac:dyDescent="0.3">
      <c r="BM813" s="562"/>
      <c r="BN813" s="591">
        <v>800</v>
      </c>
      <c r="BO813" s="549" t="s">
        <v>3455</v>
      </c>
      <c r="BP813" s="554" t="s">
        <v>619</v>
      </c>
      <c r="BQ813" s="553">
        <v>3.86</v>
      </c>
      <c r="BR813" s="551">
        <v>111089.96534970909</v>
      </c>
      <c r="BS813" s="551"/>
      <c r="BT813" s="551">
        <v>5636282.7634952934</v>
      </c>
      <c r="BU813" s="551">
        <v>249507.39615703575</v>
      </c>
      <c r="BV813" s="551">
        <v>588522.68235594418</v>
      </c>
      <c r="BW813" s="551">
        <v>6986.3875701557727</v>
      </c>
      <c r="BX813" s="551">
        <v>86824.583192180435</v>
      </c>
      <c r="BY813" s="551">
        <v>28503205.602652535</v>
      </c>
      <c r="BZ813" s="551">
        <v>32157.253034140893</v>
      </c>
      <c r="CA813" s="551">
        <v>43028.02198436694</v>
      </c>
      <c r="CB813" s="551">
        <v>1.4300313166259608E-30</v>
      </c>
      <c r="CC813" s="551">
        <v>9113.8755194261012</v>
      </c>
      <c r="CD813" s="551">
        <v>3520808.145981594</v>
      </c>
      <c r="CE813" s="551">
        <v>951.64183424050839</v>
      </c>
      <c r="CF813" s="551">
        <v>4929.2587407925184</v>
      </c>
      <c r="CG813" s="551">
        <v>18567.612674686879</v>
      </c>
      <c r="CH813" s="551">
        <v>98817.728547110193</v>
      </c>
      <c r="CI813" s="551">
        <v>6876.8935832173629</v>
      </c>
      <c r="CJ813" s="551">
        <v>2506.1414336030839</v>
      </c>
      <c r="CK813" s="551">
        <v>1259173.8724512116</v>
      </c>
      <c r="CL813" s="551"/>
      <c r="CM813" s="551">
        <v>354.68270023527998</v>
      </c>
      <c r="CN813" s="551">
        <v>3881.6280560587547</v>
      </c>
      <c r="CO813" s="551">
        <v>46.447777210045174</v>
      </c>
      <c r="CP813" s="551">
        <v>83548.31136299725</v>
      </c>
      <c r="CQ813" s="551"/>
      <c r="CR813" s="551">
        <v>25.240159361706151</v>
      </c>
      <c r="CS813" s="551">
        <v>236.79107304427279</v>
      </c>
      <c r="CT813" s="551">
        <v>63.770023313335493</v>
      </c>
      <c r="CU813" s="551">
        <v>14922.796369159993</v>
      </c>
      <c r="CV813" s="551"/>
      <c r="CW813" s="551">
        <v>3.7278838902540699</v>
      </c>
      <c r="CX813" s="551">
        <v>28.116118748720758</v>
      </c>
      <c r="CY813" s="554"/>
    </row>
    <row r="814" spans="65:103" ht="12.75" customHeight="1" x14ac:dyDescent="0.3">
      <c r="BM814" s="562"/>
      <c r="BN814" s="591">
        <v>801</v>
      </c>
      <c r="BO814" s="549" t="s">
        <v>3457</v>
      </c>
      <c r="BP814" s="554" t="s">
        <v>619</v>
      </c>
      <c r="BQ814" s="553">
        <v>3.92</v>
      </c>
      <c r="BR814" s="551">
        <v>17485.711274191031</v>
      </c>
      <c r="BS814" s="551"/>
      <c r="BT814" s="551">
        <v>13779101.577880913</v>
      </c>
      <c r="BU814" s="551">
        <v>628730.23923578521</v>
      </c>
      <c r="BV814" s="551">
        <v>1426313.6293485472</v>
      </c>
      <c r="BW814" s="551">
        <v>17464.972196864732</v>
      </c>
      <c r="BX814" s="551">
        <v>187064.93223410493</v>
      </c>
      <c r="BY814" s="551">
        <v>42671814.345884286</v>
      </c>
      <c r="BZ814" s="551">
        <v>69283.308234853685</v>
      </c>
      <c r="CA814" s="551">
        <v>1175.5980256501368</v>
      </c>
      <c r="CB814" s="551">
        <v>6.8151561908050451E-32</v>
      </c>
      <c r="CC814" s="551">
        <v>1653.5368949691936</v>
      </c>
      <c r="CD814" s="551">
        <v>7362554.7245672364</v>
      </c>
      <c r="CE814" s="551">
        <v>171.16226312687843</v>
      </c>
      <c r="CF814" s="551">
        <v>10225.912922428999</v>
      </c>
      <c r="CG814" s="551">
        <v>6576.5421772511818</v>
      </c>
      <c r="CH814" s="551">
        <v>22637.384376338352</v>
      </c>
      <c r="CI814" s="551">
        <v>2435.7563619448806</v>
      </c>
      <c r="CJ814" s="551">
        <v>12.305928556679792</v>
      </c>
      <c r="CK814" s="551">
        <v>2536505.3230158174</v>
      </c>
      <c r="CL814" s="551"/>
      <c r="CM814" s="551">
        <v>708.80116217366731</v>
      </c>
      <c r="CN814" s="551">
        <v>247.09093141368319</v>
      </c>
      <c r="CO814" s="551">
        <v>5.4118101130615284E-2</v>
      </c>
      <c r="CP814" s="551">
        <v>158040.14695500213</v>
      </c>
      <c r="CQ814" s="551"/>
      <c r="CR814" s="551">
        <v>47.343633367308946</v>
      </c>
      <c r="CS814" s="551">
        <v>4.1160123881909572</v>
      </c>
      <c r="CT814" s="551">
        <v>6.7508458431696255E-2</v>
      </c>
      <c r="CU814" s="551">
        <v>28734.780139089678</v>
      </c>
      <c r="CV814" s="551"/>
      <c r="CW814" s="551">
        <v>7.1262017121080268</v>
      </c>
      <c r="CX814" s="551">
        <v>0.35064683783052059</v>
      </c>
      <c r="CY814" s="554"/>
    </row>
    <row r="815" spans="65:103" ht="12.75" customHeight="1" x14ac:dyDescent="0.3">
      <c r="BM815" s="562"/>
      <c r="BN815" s="591">
        <v>802</v>
      </c>
      <c r="BO815" s="549" t="s">
        <v>3459</v>
      </c>
      <c r="BP815" s="554" t="s">
        <v>619</v>
      </c>
      <c r="BQ815" s="553">
        <v>3.93</v>
      </c>
      <c r="BR815" s="551">
        <v>41778.190971273296</v>
      </c>
      <c r="BS815" s="551"/>
      <c r="BT815" s="551">
        <v>3245609.2737368718</v>
      </c>
      <c r="BU815" s="551">
        <v>132844.77386173088</v>
      </c>
      <c r="BV815" s="551">
        <v>484013.71940628625</v>
      </c>
      <c r="BW815" s="551">
        <v>5161.1933133807433</v>
      </c>
      <c r="BX815" s="551">
        <v>11321.534942715572</v>
      </c>
      <c r="BY815" s="551">
        <v>35121414.466567948</v>
      </c>
      <c r="BZ815" s="551">
        <v>4193.1610898946574</v>
      </c>
      <c r="CA815" s="551">
        <v>3612.9648777010457</v>
      </c>
      <c r="CB815" s="551">
        <v>9.5295344152005684E-32</v>
      </c>
      <c r="CC815" s="551">
        <v>248.41202136948939</v>
      </c>
      <c r="CD815" s="551">
        <v>1486265.4078893375</v>
      </c>
      <c r="CE815" s="551">
        <v>37.045379239333585</v>
      </c>
      <c r="CF815" s="551">
        <v>2887.1678057473591</v>
      </c>
      <c r="CG815" s="551">
        <v>563.32758576531137</v>
      </c>
      <c r="CH815" s="551">
        <v>3235.7043038305746</v>
      </c>
      <c r="CI815" s="551">
        <v>208.6398465797449</v>
      </c>
      <c r="CJ815" s="551">
        <v>52.564244216077206</v>
      </c>
      <c r="CK815" s="551">
        <v>503318.49982406193</v>
      </c>
      <c r="CL815" s="551"/>
      <c r="CM815" s="551">
        <v>196.71234234042848</v>
      </c>
      <c r="CN815" s="551">
        <v>29.416524393545703</v>
      </c>
      <c r="CO815" s="551">
        <v>0.41209618294912553</v>
      </c>
      <c r="CP815" s="551">
        <v>30521.629177728522</v>
      </c>
      <c r="CQ815" s="551"/>
      <c r="CR815" s="551">
        <v>13.057289565310164</v>
      </c>
      <c r="CS815" s="551">
        <v>0.73902155544652437</v>
      </c>
      <c r="CT815" s="551">
        <v>0.40153425336176335</v>
      </c>
      <c r="CU815" s="551">
        <v>5637.7697028450784</v>
      </c>
      <c r="CV815" s="551"/>
      <c r="CW815" s="551">
        <v>1.8944771989564158</v>
      </c>
      <c r="CX815" s="551">
        <v>6.5046258163404341E-2</v>
      </c>
      <c r="CY815" s="554"/>
    </row>
    <row r="816" spans="65:103" ht="12.75" customHeight="1" x14ac:dyDescent="0.3">
      <c r="BM816" s="562"/>
      <c r="BN816" s="591">
        <v>803</v>
      </c>
      <c r="BO816" s="549" t="s">
        <v>3461</v>
      </c>
      <c r="BP816" s="554" t="s">
        <v>619</v>
      </c>
      <c r="BQ816" s="553">
        <v>3.95</v>
      </c>
      <c r="BR816" s="551">
        <v>34408.349803642966</v>
      </c>
      <c r="BS816" s="551"/>
      <c r="BT816" s="551">
        <v>11913305.399709469</v>
      </c>
      <c r="BU816" s="551">
        <v>536833.93465418613</v>
      </c>
      <c r="BV816" s="551">
        <v>871480.60807611654</v>
      </c>
      <c r="BW816" s="551">
        <v>10836.035343772683</v>
      </c>
      <c r="BX816" s="551">
        <v>59501.258471027235</v>
      </c>
      <c r="BY816" s="551">
        <v>40805242.313610964</v>
      </c>
      <c r="BZ816" s="551">
        <v>22037.503137417491</v>
      </c>
      <c r="CA816" s="551">
        <v>2912.8681118024579</v>
      </c>
      <c r="CB816" s="551">
        <v>1.2368384750074149E-31</v>
      </c>
      <c r="CC816" s="551">
        <v>1411.5594064642064</v>
      </c>
      <c r="CD816" s="551">
        <v>6266980.1545831561</v>
      </c>
      <c r="CE816" s="551">
        <v>103.25821496282542</v>
      </c>
      <c r="CF816" s="551">
        <v>6324.9744539277663</v>
      </c>
      <c r="CG816" s="551">
        <v>2676.0053466718582</v>
      </c>
      <c r="CH816" s="551">
        <v>13200.50556656279</v>
      </c>
      <c r="CI816" s="551">
        <v>991.11309135994713</v>
      </c>
      <c r="CJ816" s="551">
        <v>40.048887863412531</v>
      </c>
      <c r="CK816" s="551">
        <v>2155112.2514056861</v>
      </c>
      <c r="CL816" s="551"/>
      <c r="CM816" s="551">
        <v>437.60959591582287</v>
      </c>
      <c r="CN816" s="551">
        <v>132.05664863922172</v>
      </c>
      <c r="CO816" s="551">
        <v>0.24947370106188616</v>
      </c>
      <c r="CP816" s="551">
        <v>133961.55530642645</v>
      </c>
      <c r="CQ816" s="551"/>
      <c r="CR816" s="551">
        <v>28.696963558286363</v>
      </c>
      <c r="CS816" s="551">
        <v>2.7961585794584707</v>
      </c>
      <c r="CT816" s="551">
        <v>0.29787347279624615</v>
      </c>
      <c r="CU816" s="551">
        <v>24374.995793384205</v>
      </c>
      <c r="CV816" s="551"/>
      <c r="CW816" s="551">
        <v>4.5064191968713549</v>
      </c>
      <c r="CX816" s="551">
        <v>0.27422057364909452</v>
      </c>
      <c r="CY816" s="554"/>
    </row>
    <row r="817" spans="65:103" ht="12.75" customHeight="1" x14ac:dyDescent="0.3">
      <c r="BM817" s="562"/>
      <c r="BN817" s="591">
        <v>804</v>
      </c>
      <c r="BO817" s="549" t="s">
        <v>3463</v>
      </c>
      <c r="BP817" s="554" t="s">
        <v>619</v>
      </c>
      <c r="BQ817" s="553">
        <v>3.95</v>
      </c>
      <c r="BR817" s="551">
        <v>782.69022677096223</v>
      </c>
      <c r="BS817" s="551"/>
      <c r="BT817" s="551">
        <v>18571668.879363038</v>
      </c>
      <c r="BU817" s="551">
        <v>855665.88674433122</v>
      </c>
      <c r="BV817" s="551">
        <v>798508.38119382097</v>
      </c>
      <c r="BW817" s="551">
        <v>10535.496877960135</v>
      </c>
      <c r="BX817" s="551">
        <v>5861963.1009429274</v>
      </c>
      <c r="BY817" s="551">
        <v>60977117.312984049</v>
      </c>
      <c r="BZ817" s="551">
        <v>2171097.4447936774</v>
      </c>
      <c r="CA817" s="551">
        <v>2.6293136970778574</v>
      </c>
      <c r="CB817" s="551">
        <v>5.9972013006008175E-32</v>
      </c>
      <c r="CC817" s="551">
        <v>4701.4296219007738</v>
      </c>
      <c r="CD817" s="551">
        <v>10023384.864914844</v>
      </c>
      <c r="CE817" s="551">
        <v>202.14289739207433</v>
      </c>
      <c r="CF817" s="551">
        <v>6170.7111143988113</v>
      </c>
      <c r="CG817" s="551">
        <v>10204.554737827546</v>
      </c>
      <c r="CH817" s="551">
        <v>38442.356945652369</v>
      </c>
      <c r="CI817" s="551">
        <v>3779.464717713905</v>
      </c>
      <c r="CJ817" s="551">
        <v>1.3407101753316114E-3</v>
      </c>
      <c r="CK817" s="551">
        <v>3453859.4480779977</v>
      </c>
      <c r="CL817" s="551"/>
      <c r="CM817" s="551">
        <v>427.80258550192536</v>
      </c>
      <c r="CN817" s="551">
        <v>18.676273130136131</v>
      </c>
      <c r="CO817" s="551">
        <v>7.8809627375881664E-7</v>
      </c>
      <c r="CP817" s="551">
        <v>215277.65701747569</v>
      </c>
      <c r="CQ817" s="551"/>
      <c r="CR817" s="551">
        <v>27.622011204110475</v>
      </c>
      <c r="CS817" s="551">
        <v>3.5640907687093264E-2</v>
      </c>
      <c r="CT817" s="551">
        <v>1.3984864649957891E-6</v>
      </c>
      <c r="CU817" s="551">
        <v>39136.49280485951</v>
      </c>
      <c r="CV817" s="551"/>
      <c r="CW817" s="551">
        <v>4.5499269579390358</v>
      </c>
      <c r="CX817" s="551">
        <v>5.1856021562641866E-3</v>
      </c>
      <c r="CY817" s="554"/>
    </row>
    <row r="818" spans="65:103" ht="12.75" customHeight="1" x14ac:dyDescent="0.3">
      <c r="BM818" s="562"/>
      <c r="BN818" s="591">
        <v>805</v>
      </c>
      <c r="BO818" s="549" t="s">
        <v>3465</v>
      </c>
      <c r="BP818" s="554" t="s">
        <v>619</v>
      </c>
      <c r="BQ818" s="553">
        <v>3.96</v>
      </c>
      <c r="BR818" s="551">
        <v>33.671499669985018</v>
      </c>
      <c r="BS818" s="551"/>
      <c r="BT818" s="551">
        <v>17866322.155992575</v>
      </c>
      <c r="BU818" s="551">
        <v>822718.51716739906</v>
      </c>
      <c r="BV818" s="551">
        <v>389274.07633805281</v>
      </c>
      <c r="BW818" s="551">
        <v>5313.1464701407531</v>
      </c>
      <c r="BX818" s="551">
        <v>3061509.3582616369</v>
      </c>
      <c r="BY818" s="551">
        <v>40398824.936634332</v>
      </c>
      <c r="BZ818" s="551">
        <v>1133892.3549117171</v>
      </c>
      <c r="CA818" s="551">
        <v>5.7694300428795409E-3</v>
      </c>
      <c r="CB818" s="551">
        <v>2.7042294266941783E-33</v>
      </c>
      <c r="CC818" s="551">
        <v>304.65401745045136</v>
      </c>
      <c r="CD818" s="551">
        <v>9608658.807699753</v>
      </c>
      <c r="CE818" s="551">
        <v>6.6378469060529994</v>
      </c>
      <c r="CF818" s="551">
        <v>3102.6536149136637</v>
      </c>
      <c r="CG818" s="551">
        <v>271.834474661142</v>
      </c>
      <c r="CH818" s="551">
        <v>1340.7378222174902</v>
      </c>
      <c r="CI818" s="551">
        <v>100.67943505968219</v>
      </c>
      <c r="CJ818" s="551">
        <v>2.3689841026916506E-7</v>
      </c>
      <c r="CK818" s="551">
        <v>3310823.8354332722</v>
      </c>
      <c r="CL818" s="551"/>
      <c r="CM818" s="551">
        <v>215.09266997026549</v>
      </c>
      <c r="CN818" s="551">
        <v>4.0062442554512204E-2</v>
      </c>
      <c r="CO818" s="551">
        <v>1.7474167301653425E-9</v>
      </c>
      <c r="CP818" s="551">
        <v>206356.07607364745</v>
      </c>
      <c r="CQ818" s="551"/>
      <c r="CR818" s="551">
        <v>13.685073342961742</v>
      </c>
      <c r="CS818" s="551">
        <v>6.4054675572098501E-4</v>
      </c>
      <c r="CT818" s="551">
        <v>2.0841161667335528E-9</v>
      </c>
      <c r="CU818" s="551">
        <v>37514.440152172217</v>
      </c>
      <c r="CV818" s="551"/>
      <c r="CW818" s="551">
        <v>2.3468960630112803</v>
      </c>
      <c r="CX818" s="551">
        <v>1.0468642410361427E-4</v>
      </c>
      <c r="CY818" s="554"/>
    </row>
    <row r="819" spans="65:103" ht="12.75" customHeight="1" x14ac:dyDescent="0.3">
      <c r="BM819" s="562"/>
      <c r="BN819" s="591">
        <v>806</v>
      </c>
      <c r="BO819" s="549" t="s">
        <v>3467</v>
      </c>
      <c r="BP819" s="554" t="s">
        <v>619</v>
      </c>
      <c r="BQ819" s="553">
        <v>3.98</v>
      </c>
      <c r="BR819" s="551">
        <v>1538.0847493239073</v>
      </c>
      <c r="BS819" s="551"/>
      <c r="BT819" s="551">
        <v>14198447.578775734</v>
      </c>
      <c r="BU819" s="551">
        <v>654189.15063265106</v>
      </c>
      <c r="BV819" s="551">
        <v>698561.19146373053</v>
      </c>
      <c r="BW819" s="551">
        <v>9138.0196825966777</v>
      </c>
      <c r="BX819" s="551">
        <v>4860162.6697366536</v>
      </c>
      <c r="BY819" s="551">
        <v>48926528.589079507</v>
      </c>
      <c r="BZ819" s="551">
        <v>1800060.248050611</v>
      </c>
      <c r="CA819" s="551">
        <v>13.02151128758427</v>
      </c>
      <c r="CB819" s="551">
        <v>1.1607763225398439E-31</v>
      </c>
      <c r="CC819" s="551">
        <v>8442.4671375960224</v>
      </c>
      <c r="CD819" s="551">
        <v>7699679.0107090548</v>
      </c>
      <c r="CE819" s="551">
        <v>415.36793862931546</v>
      </c>
      <c r="CF819" s="551">
        <v>5377.6356793362083</v>
      </c>
      <c r="CG819" s="551">
        <v>21322.121769325178</v>
      </c>
      <c r="CH819" s="551">
        <v>76774.070829528297</v>
      </c>
      <c r="CI819" s="551">
        <v>7897.0821367871022</v>
      </c>
      <c r="CJ819" s="551">
        <v>1.6315060176337891E-2</v>
      </c>
      <c r="CK819" s="551">
        <v>2653277.7612496316</v>
      </c>
      <c r="CL819" s="551"/>
      <c r="CM819" s="551">
        <v>372.83708454689275</v>
      </c>
      <c r="CN819" s="551">
        <v>95.887360262368574</v>
      </c>
      <c r="CO819" s="551">
        <v>1.5969187773782264E-5</v>
      </c>
      <c r="CP819" s="551">
        <v>165379.33485179214</v>
      </c>
      <c r="CQ819" s="551"/>
      <c r="CR819" s="551">
        <v>24.169204063908893</v>
      </c>
      <c r="CS819" s="551">
        <v>0.13043302870733467</v>
      </c>
      <c r="CT819" s="551">
        <v>1.0699521560591298E-5</v>
      </c>
      <c r="CU819" s="551">
        <v>30065.241419542002</v>
      </c>
      <c r="CV819" s="551"/>
      <c r="CW819" s="551">
        <v>3.938660529209983</v>
      </c>
      <c r="CX819" s="551">
        <v>2.0645666377473042E-2</v>
      </c>
      <c r="CY819" s="554"/>
    </row>
    <row r="820" spans="65:103" ht="12.75" customHeight="1" x14ac:dyDescent="0.3">
      <c r="BM820" s="562"/>
      <c r="BN820" s="591">
        <v>807</v>
      </c>
      <c r="BO820" s="549" t="s">
        <v>3475</v>
      </c>
      <c r="BP820" s="554" t="s">
        <v>619</v>
      </c>
      <c r="BQ820" s="553">
        <v>4</v>
      </c>
      <c r="BR820" s="551">
        <v>2605.5276432746982</v>
      </c>
      <c r="BS820" s="551"/>
      <c r="BT820" s="551">
        <v>6218094.7620230131</v>
      </c>
      <c r="BU820" s="551">
        <v>265727.02558951016</v>
      </c>
      <c r="BV820" s="551">
        <v>826228.10545634245</v>
      </c>
      <c r="BW820" s="551">
        <v>8966.8249389455195</v>
      </c>
      <c r="BX820" s="551">
        <v>815955.80908784445</v>
      </c>
      <c r="BY820" s="551">
        <v>4998963.2291279091</v>
      </c>
      <c r="BZ820" s="551">
        <v>302205.85521772015</v>
      </c>
      <c r="CA820" s="551">
        <v>37.587602245563289</v>
      </c>
      <c r="CB820" s="551">
        <v>2.0843555389742109E-31</v>
      </c>
      <c r="CC820" s="551">
        <v>1622.1799106696105</v>
      </c>
      <c r="CD820" s="551">
        <v>1524457.0310385339</v>
      </c>
      <c r="CE820" s="551">
        <v>215.54683316949601</v>
      </c>
      <c r="CF820" s="551">
        <v>2572.1018202686696</v>
      </c>
      <c r="CG820" s="551">
        <v>6099.7785259788234</v>
      </c>
      <c r="CH820" s="551">
        <v>13833.864594213657</v>
      </c>
      <c r="CI820" s="551">
        <v>2259.1772318440076</v>
      </c>
      <c r="CJ820" s="551">
        <v>7.9602317649849347E-2</v>
      </c>
      <c r="CK820" s="551">
        <v>216148.39078595248</v>
      </c>
      <c r="CL820" s="551"/>
      <c r="CM820" s="551">
        <v>72.925861291267651</v>
      </c>
      <c r="CN820" s="551">
        <v>46.3659125917303</v>
      </c>
      <c r="CO820" s="551">
        <v>1.9552676648937673E-4</v>
      </c>
      <c r="CP820" s="551">
        <v>5715.3600314654732</v>
      </c>
      <c r="CQ820" s="551"/>
      <c r="CR820" s="551">
        <v>2.3730504426471875</v>
      </c>
      <c r="CS820" s="551">
        <v>9.7213230637491932E-2</v>
      </c>
      <c r="CT820" s="551">
        <v>3.5168424345013378E-5</v>
      </c>
      <c r="CU820" s="551">
        <v>982.98831181639832</v>
      </c>
      <c r="CV820" s="551"/>
      <c r="CW820" s="551">
        <v>0.24416354385778494</v>
      </c>
      <c r="CX820" s="551">
        <v>1.1466235073345158E-2</v>
      </c>
      <c r="CY820" s="554"/>
    </row>
    <row r="821" spans="65:103" ht="12.75" customHeight="1" x14ac:dyDescent="0.3">
      <c r="BM821" s="562"/>
      <c r="BN821" s="591">
        <v>808</v>
      </c>
      <c r="BO821" s="549" t="s">
        <v>3469</v>
      </c>
      <c r="BP821" s="554" t="s">
        <v>619</v>
      </c>
      <c r="BQ821" s="553">
        <v>4</v>
      </c>
      <c r="BR821" s="551">
        <v>83.374337203185036</v>
      </c>
      <c r="BS821" s="551"/>
      <c r="BT821" s="551">
        <v>7187456.1423033718</v>
      </c>
      <c r="BU821" s="551">
        <v>338708.68617058947</v>
      </c>
      <c r="BV821" s="551">
        <v>426993.64384227572</v>
      </c>
      <c r="BW821" s="551">
        <v>5657.0180795826882</v>
      </c>
      <c r="BX821" s="551">
        <v>604626.55952859716</v>
      </c>
      <c r="BY821" s="551">
        <v>3898689.5381575874</v>
      </c>
      <c r="BZ821" s="551">
        <v>223935.7627883692</v>
      </c>
      <c r="CA821" s="551">
        <v>8.0060761214939519E-2</v>
      </c>
      <c r="CB821" s="551">
        <v>6.6982298864801081E-33</v>
      </c>
      <c r="CC821" s="551">
        <v>191.52099558000114</v>
      </c>
      <c r="CD821" s="551">
        <v>5468653.3603544179</v>
      </c>
      <c r="CE821" s="551">
        <v>11.377912596040893</v>
      </c>
      <c r="CF821" s="551">
        <v>4566.7962165745275</v>
      </c>
      <c r="CG821" s="551">
        <v>300.86594442337184</v>
      </c>
      <c r="CH821" s="551">
        <v>725.08474261405377</v>
      </c>
      <c r="CI821" s="551">
        <v>111.4318312679155</v>
      </c>
      <c r="CJ821" s="551">
        <v>1.1278091378163944E-5</v>
      </c>
      <c r="CK821" s="551">
        <v>2937902.5278007416</v>
      </c>
      <c r="CL821" s="551"/>
      <c r="CM821" s="551">
        <v>494.36932856057746</v>
      </c>
      <c r="CN821" s="551">
        <v>0.15212219429246043</v>
      </c>
      <c r="CO821" s="551">
        <v>1.9440563745197717E-9</v>
      </c>
      <c r="CP821" s="551">
        <v>277225.15730539343</v>
      </c>
      <c r="CQ821" s="551"/>
      <c r="CR821" s="551">
        <v>47.992246408629349</v>
      </c>
      <c r="CS821" s="551">
        <v>2.0938399511423027E-5</v>
      </c>
      <c r="CT821" s="551">
        <v>3.3278077595241421E-10</v>
      </c>
      <c r="CU821" s="551">
        <v>53106.459325762313</v>
      </c>
      <c r="CV821" s="551"/>
      <c r="CW821" s="551">
        <v>8.4895519808253521</v>
      </c>
      <c r="CX821" s="551">
        <v>2.6188046667557897E-6</v>
      </c>
      <c r="CY821" s="554"/>
    </row>
    <row r="822" spans="65:103" ht="12.75" customHeight="1" x14ac:dyDescent="0.3">
      <c r="BM822" s="562"/>
      <c r="BN822" s="591">
        <v>809</v>
      </c>
      <c r="BO822" s="549" t="s">
        <v>3471</v>
      </c>
      <c r="BP822" s="554" t="s">
        <v>619</v>
      </c>
      <c r="BQ822" s="553">
        <v>4</v>
      </c>
      <c r="BR822" s="551">
        <v>971.04043067566772</v>
      </c>
      <c r="BS822" s="551"/>
      <c r="BT822" s="551">
        <v>12725021.255655285</v>
      </c>
      <c r="BU822" s="551">
        <v>599691.56380797387</v>
      </c>
      <c r="BV822" s="551">
        <v>1519205.2197416602</v>
      </c>
      <c r="BW822" s="551">
        <v>19133.542834887186</v>
      </c>
      <c r="BX822" s="551">
        <v>1035649.5061573653</v>
      </c>
      <c r="BY822" s="551">
        <v>6444439.9767878037</v>
      </c>
      <c r="BZ822" s="551">
        <v>383573.89116939454</v>
      </c>
      <c r="CA822" s="551">
        <v>6.0021079678735871</v>
      </c>
      <c r="CB822" s="551">
        <v>7.7520065450070997E-32</v>
      </c>
      <c r="CC822" s="551">
        <v>1652.2539299132436</v>
      </c>
      <c r="CD822" s="551">
        <v>9726997.4282635842</v>
      </c>
      <c r="CE822" s="551">
        <v>197.25804336455005</v>
      </c>
      <c r="CF822" s="551">
        <v>15517.303659128453</v>
      </c>
      <c r="CG822" s="551">
        <v>3317.246725904276</v>
      </c>
      <c r="CH822" s="551">
        <v>7660.1042993620576</v>
      </c>
      <c r="CI822" s="551">
        <v>1228.6098984830642</v>
      </c>
      <c r="CJ822" s="551">
        <v>5.5773624529190042E-3</v>
      </c>
      <c r="CK822" s="551">
        <v>5226097.6588661578</v>
      </c>
      <c r="CL822" s="551"/>
      <c r="CM822" s="551">
        <v>1679.9490927927909</v>
      </c>
      <c r="CN822" s="551">
        <v>11.063855493381022</v>
      </c>
      <c r="CO822" s="551">
        <v>9.0763389455665828E-6</v>
      </c>
      <c r="CP822" s="551">
        <v>493179.91427215765</v>
      </c>
      <c r="CQ822" s="551"/>
      <c r="CR822" s="551">
        <v>166.36610666132026</v>
      </c>
      <c r="CS822" s="551">
        <v>3.3582423157122468E-2</v>
      </c>
      <c r="CT822" s="551">
        <v>6.2712222504140706E-6</v>
      </c>
      <c r="CU822" s="551">
        <v>94477.137122407439</v>
      </c>
      <c r="CV822" s="551"/>
      <c r="CW822" s="551">
        <v>27.900045916555811</v>
      </c>
      <c r="CX822" s="551">
        <v>3.552955003969118E-3</v>
      </c>
      <c r="CY822" s="554"/>
    </row>
    <row r="823" spans="65:103" ht="12.75" customHeight="1" x14ac:dyDescent="0.3">
      <c r="BM823" s="562"/>
      <c r="BN823" s="591">
        <v>810</v>
      </c>
      <c r="BO823" s="549" t="s">
        <v>3473</v>
      </c>
      <c r="BP823" s="554" t="s">
        <v>619</v>
      </c>
      <c r="BQ823" s="553">
        <v>4</v>
      </c>
      <c r="BR823" s="551">
        <v>1009.2569235998565</v>
      </c>
      <c r="BS823" s="551"/>
      <c r="BT823" s="551">
        <v>13437026.388911001</v>
      </c>
      <c r="BU823" s="551">
        <v>632960.41334965569</v>
      </c>
      <c r="BV823" s="551">
        <v>2362881.9512407077</v>
      </c>
      <c r="BW823" s="551">
        <v>28964.564899772515</v>
      </c>
      <c r="BX823" s="551">
        <v>5831146.7383623542</v>
      </c>
      <c r="BY823" s="551">
        <v>41005452.595921747</v>
      </c>
      <c r="BZ823" s="551">
        <v>2159683.9771712413</v>
      </c>
      <c r="CA823" s="551">
        <v>6.4849444291781717</v>
      </c>
      <c r="CB823" s="551">
        <v>8.0649526490635891E-32</v>
      </c>
      <c r="CC823" s="551">
        <v>3338.2866966767642</v>
      </c>
      <c r="CD823" s="551">
        <v>10267256.29058872</v>
      </c>
      <c r="CE823" s="551">
        <v>587.03296066710834</v>
      </c>
      <c r="CF823" s="551">
        <v>23491.722775960887</v>
      </c>
      <c r="CG823" s="551">
        <v>19415.875962049089</v>
      </c>
      <c r="CH823" s="551">
        <v>50696.522196179474</v>
      </c>
      <c r="CI823" s="551">
        <v>7191.0651711292921</v>
      </c>
      <c r="CJ823" s="551">
        <v>6.248819606784424E-3</v>
      </c>
      <c r="CK823" s="551">
        <v>5516817.3706039432</v>
      </c>
      <c r="CL823" s="551"/>
      <c r="CM823" s="551">
        <v>2543.4817106662472</v>
      </c>
      <c r="CN823" s="551">
        <v>67.150982734057294</v>
      </c>
      <c r="CO823" s="551">
        <v>1.0955050383437737E-5</v>
      </c>
      <c r="CP823" s="551">
        <v>520652.45359641185</v>
      </c>
      <c r="CQ823" s="551"/>
      <c r="CR823" s="551">
        <v>255.75187877555643</v>
      </c>
      <c r="CS823" s="551">
        <v>0.1751513714764556</v>
      </c>
      <c r="CT823" s="551">
        <v>6.2491482771063582E-6</v>
      </c>
      <c r="CU823" s="551">
        <v>99741.516293853041</v>
      </c>
      <c r="CV823" s="551"/>
      <c r="CW823" s="551">
        <v>41.223344058975329</v>
      </c>
      <c r="CX823" s="551">
        <v>2.1164791046124044E-2</v>
      </c>
      <c r="CY823" s="554"/>
    </row>
    <row r="824" spans="65:103" ht="12.75" customHeight="1" x14ac:dyDescent="0.3">
      <c r="BM824" s="562"/>
      <c r="BN824" s="591">
        <v>811</v>
      </c>
      <c r="BO824" s="549" t="s">
        <v>3477</v>
      </c>
      <c r="BP824" s="554" t="s">
        <v>619</v>
      </c>
      <c r="BQ824" s="553">
        <v>4.03</v>
      </c>
      <c r="BR824" s="551">
        <v>7.3997948367519877</v>
      </c>
      <c r="BS824" s="551"/>
      <c r="BT824" s="551">
        <v>14108897.25955708</v>
      </c>
      <c r="BU824" s="551">
        <v>663272.04001956526</v>
      </c>
      <c r="BV824" s="551">
        <v>294655.10486833303</v>
      </c>
      <c r="BW824" s="551">
        <v>4115.1647792719359</v>
      </c>
      <c r="BX824" s="551">
        <v>1850513.3629629121</v>
      </c>
      <c r="BY824" s="551">
        <v>28815551.120099023</v>
      </c>
      <c r="BZ824" s="551">
        <v>685375.3196158933</v>
      </c>
      <c r="CA824" s="551">
        <v>4.8468524729641186E-4</v>
      </c>
      <c r="CB824" s="551">
        <v>5.9443782159415359E-34</v>
      </c>
      <c r="CC824" s="551">
        <v>101.78378244603179</v>
      </c>
      <c r="CD824" s="551">
        <v>10700329.948879978</v>
      </c>
      <c r="CE824" s="551">
        <v>2.1256878222864461</v>
      </c>
      <c r="CF824" s="551">
        <v>3319.4238770354823</v>
      </c>
      <c r="CG824" s="551">
        <v>62.810295763492434</v>
      </c>
      <c r="CH824" s="551">
        <v>365.62474535453396</v>
      </c>
      <c r="CI824" s="551">
        <v>23.263072504997194</v>
      </c>
      <c r="CJ824" s="551">
        <v>2.1982894436484219E-8</v>
      </c>
      <c r="CK824" s="551">
        <v>5748176.1623458862</v>
      </c>
      <c r="CL824" s="551"/>
      <c r="CM824" s="551">
        <v>359.31862370163282</v>
      </c>
      <c r="CN824" s="551">
        <v>1.0224911722775449E-2</v>
      </c>
      <c r="CO824" s="551">
        <v>6.420459926231171E-10</v>
      </c>
      <c r="CP824" s="551">
        <v>542379.81841353152</v>
      </c>
      <c r="CQ824" s="551"/>
      <c r="CR824" s="551">
        <v>34.328132190208279</v>
      </c>
      <c r="CS824" s="551">
        <v>4.829209143654234E-4</v>
      </c>
      <c r="CT824" s="551">
        <v>5.8827699142080088E-10</v>
      </c>
      <c r="CU824" s="551">
        <v>103899.6825147601</v>
      </c>
      <c r="CV824" s="551"/>
      <c r="CW824" s="551">
        <v>6.3471907177927855</v>
      </c>
      <c r="CX824" s="551">
        <v>8.8926057265400099E-5</v>
      </c>
      <c r="CY824" s="554"/>
    </row>
    <row r="825" spans="65:103" ht="12.75" customHeight="1" x14ac:dyDescent="0.3">
      <c r="BM825" s="562"/>
      <c r="BN825" s="591">
        <v>812</v>
      </c>
      <c r="BO825" s="549" t="s">
        <v>3479</v>
      </c>
      <c r="BP825" s="554" t="s">
        <v>619</v>
      </c>
      <c r="BQ825" s="553">
        <v>4.07</v>
      </c>
      <c r="BR825" s="551">
        <v>14679.670758830871</v>
      </c>
      <c r="BS825" s="551"/>
      <c r="BT825" s="551">
        <v>10139388.433730245</v>
      </c>
      <c r="BU825" s="551">
        <v>462113.98302272975</v>
      </c>
      <c r="BV825" s="551">
        <v>2350372.9736871948</v>
      </c>
      <c r="BW825" s="551">
        <v>27104.304286321021</v>
      </c>
      <c r="BX825" s="551">
        <v>156889.00428962649</v>
      </c>
      <c r="BY825" s="551">
        <v>35899029.592279613</v>
      </c>
      <c r="BZ825" s="551">
        <v>58107.038625787573</v>
      </c>
      <c r="CA825" s="551">
        <v>1061.2134637719555</v>
      </c>
      <c r="CB825" s="551">
        <v>5.1626790771282088E-32</v>
      </c>
      <c r="CC825" s="551">
        <v>900.64102323259522</v>
      </c>
      <c r="CD825" s="551">
        <v>5409165.7562780501</v>
      </c>
      <c r="CE825" s="551">
        <v>208.77416166027027</v>
      </c>
      <c r="CF825" s="551">
        <v>15863.150648927316</v>
      </c>
      <c r="CG825" s="551">
        <v>5964.4445359592328</v>
      </c>
      <c r="CH825" s="551">
        <v>17835.231260538854</v>
      </c>
      <c r="CI825" s="551">
        <v>2209.0535318367529</v>
      </c>
      <c r="CJ825" s="551">
        <v>11.987292116436867</v>
      </c>
      <c r="CK825" s="551">
        <v>1863664.5410684717</v>
      </c>
      <c r="CL825" s="551"/>
      <c r="CM825" s="551">
        <v>1099.6041056081413</v>
      </c>
      <c r="CN825" s="551">
        <v>241.81987768461119</v>
      </c>
      <c r="CO825" s="551">
        <v>6.2057805494569712E-2</v>
      </c>
      <c r="CP825" s="551">
        <v>116120.98007436701</v>
      </c>
      <c r="CQ825" s="551"/>
      <c r="CR825" s="551">
        <v>77.325745781760745</v>
      </c>
      <c r="CS825" s="551">
        <v>4.7217461801496858</v>
      </c>
      <c r="CT825" s="551">
        <v>6.9776608513622468E-2</v>
      </c>
      <c r="CU825" s="551">
        <v>21114.734332717129</v>
      </c>
      <c r="CV825" s="551"/>
      <c r="CW825" s="551">
        <v>10.253598360772688</v>
      </c>
      <c r="CX825" s="551">
        <v>0.35454509435078502</v>
      </c>
      <c r="CY825" s="554"/>
    </row>
    <row r="826" spans="65:103" ht="12.75" customHeight="1" x14ac:dyDescent="0.3">
      <c r="BM826" s="562"/>
      <c r="BN826" s="591">
        <v>813</v>
      </c>
      <c r="BO826" s="549" t="s">
        <v>3481</v>
      </c>
      <c r="BP826" s="554" t="s">
        <v>619</v>
      </c>
      <c r="BQ826" s="553">
        <v>4.17</v>
      </c>
      <c r="BR826" s="551">
        <v>30017.52127363249</v>
      </c>
      <c r="BS826" s="551"/>
      <c r="BT826" s="551">
        <v>13773520.429383609</v>
      </c>
      <c r="BU826" s="551">
        <v>644135.39053361269</v>
      </c>
      <c r="BV826" s="551">
        <v>3049584.1263665548</v>
      </c>
      <c r="BW826" s="551">
        <v>36662.033734093609</v>
      </c>
      <c r="BX826" s="551">
        <v>1065881.0040243163</v>
      </c>
      <c r="BY826" s="551">
        <v>57847929.19181715</v>
      </c>
      <c r="BZ826" s="551">
        <v>394770.74223122833</v>
      </c>
      <c r="CA826" s="551">
        <v>5121.7067123841152</v>
      </c>
      <c r="CB826" s="551">
        <v>3.822848571109443E-31</v>
      </c>
      <c r="CC826" s="551">
        <v>13910.40118958526</v>
      </c>
      <c r="CD826" s="551">
        <v>10643739.530271241</v>
      </c>
      <c r="CE826" s="551">
        <v>3079.8907858481348</v>
      </c>
      <c r="CF826" s="551">
        <v>30290.304138734256</v>
      </c>
      <c r="CG826" s="551">
        <v>94648.690531144821</v>
      </c>
      <c r="CH826" s="551">
        <v>290467.08408561978</v>
      </c>
      <c r="CI826" s="551">
        <v>35055.070567090668</v>
      </c>
      <c r="CJ826" s="551">
        <v>131.25021633403009</v>
      </c>
      <c r="CK826" s="551">
        <v>5728068.5832782015</v>
      </c>
      <c r="CL826" s="551"/>
      <c r="CM826" s="551">
        <v>3284.7012236530909</v>
      </c>
      <c r="CN826" s="551">
        <v>8705.6978022658386</v>
      </c>
      <c r="CO826" s="551">
        <v>1.1019378857092179</v>
      </c>
      <c r="CP826" s="551">
        <v>540947.48739930731</v>
      </c>
      <c r="CQ826" s="551"/>
      <c r="CR826" s="551">
        <v>333.98921102761079</v>
      </c>
      <c r="CS826" s="551">
        <v>287.01031209615604</v>
      </c>
      <c r="CT826" s="551">
        <v>1.5097265929301176</v>
      </c>
      <c r="CU826" s="551">
        <v>103606.09583764756</v>
      </c>
      <c r="CV826" s="551"/>
      <c r="CW826" s="551">
        <v>52.394501018807354</v>
      </c>
      <c r="CX826" s="551">
        <v>25.148455337011097</v>
      </c>
      <c r="CY826" s="554"/>
    </row>
    <row r="827" spans="65:103" ht="12.75" customHeight="1" x14ac:dyDescent="0.3">
      <c r="BM827" s="562"/>
      <c r="BN827" s="591">
        <v>814</v>
      </c>
      <c r="BO827" s="549" t="s">
        <v>3483</v>
      </c>
      <c r="BP827" s="554" t="s">
        <v>619</v>
      </c>
      <c r="BQ827" s="553">
        <v>4.1900000000000004</v>
      </c>
      <c r="BR827" s="551">
        <v>15384.626091004297</v>
      </c>
      <c r="BS827" s="551"/>
      <c r="BT827" s="551">
        <v>9836600.4841678664</v>
      </c>
      <c r="BU827" s="551">
        <v>446812.48758687201</v>
      </c>
      <c r="BV827" s="551">
        <v>3130065.5093085226</v>
      </c>
      <c r="BW827" s="551">
        <v>35637.261086455175</v>
      </c>
      <c r="BX827" s="551">
        <v>109790.03013925716</v>
      </c>
      <c r="BY827" s="551">
        <v>38001161.5318496</v>
      </c>
      <c r="BZ827" s="551">
        <v>40662.974125650806</v>
      </c>
      <c r="CA827" s="551">
        <v>1012.5079214976752</v>
      </c>
      <c r="CB827" s="551">
        <v>4.3488552109172004E-32</v>
      </c>
      <c r="CC827" s="551">
        <v>577.24068389351169</v>
      </c>
      <c r="CD827" s="551">
        <v>5216715.460947955</v>
      </c>
      <c r="CE827" s="551">
        <v>183.68146171360874</v>
      </c>
      <c r="CF827" s="551">
        <v>20803.967666571101</v>
      </c>
      <c r="CG827" s="551">
        <v>3860.6572264516949</v>
      </c>
      <c r="CH827" s="551">
        <v>11779.322678199436</v>
      </c>
      <c r="CI827" s="551">
        <v>1429.8730468339609</v>
      </c>
      <c r="CJ827" s="551">
        <v>10.925295127574559</v>
      </c>
      <c r="CK827" s="551">
        <v>1796640.3864264998</v>
      </c>
      <c r="CL827" s="551"/>
      <c r="CM827" s="551">
        <v>1441.5038486083324</v>
      </c>
      <c r="CN827" s="551">
        <v>149.52012351518152</v>
      </c>
      <c r="CO827" s="551">
        <v>5.9657893698589287E-2</v>
      </c>
      <c r="CP827" s="551">
        <v>111891.46534790147</v>
      </c>
      <c r="CQ827" s="551"/>
      <c r="CR827" s="551">
        <v>103.89235283376181</v>
      </c>
      <c r="CS827" s="551">
        <v>3.1076526279547179</v>
      </c>
      <c r="CT827" s="551">
        <v>7.0437888491415038E-2</v>
      </c>
      <c r="CU827" s="551">
        <v>20350.063066460283</v>
      </c>
      <c r="CV827" s="551"/>
      <c r="CW827" s="551">
        <v>12.995642840370641</v>
      </c>
      <c r="CX827" s="551">
        <v>0.24591177640371467</v>
      </c>
      <c r="CY827" s="554"/>
    </row>
    <row r="828" spans="65:103" ht="12.75" customHeight="1" x14ac:dyDescent="0.3">
      <c r="BM828" s="562"/>
      <c r="BN828" s="591">
        <v>815</v>
      </c>
      <c r="BO828" s="549" t="s">
        <v>3485</v>
      </c>
      <c r="BP828" s="554" t="s">
        <v>619</v>
      </c>
      <c r="BQ828" s="553">
        <v>4.2</v>
      </c>
      <c r="BR828" s="551">
        <v>6100.4655927239446</v>
      </c>
      <c r="BS828" s="551"/>
      <c r="BT828" s="551">
        <v>11944131.634485988</v>
      </c>
      <c r="BU828" s="551">
        <v>551053.81503346609</v>
      </c>
      <c r="BV828" s="551">
        <v>675393.91856361029</v>
      </c>
      <c r="BW828" s="551">
        <v>8763.1790598000043</v>
      </c>
      <c r="BX828" s="551">
        <v>2298290.5326991696</v>
      </c>
      <c r="BY828" s="551">
        <v>16561162.442341685</v>
      </c>
      <c r="BZ828" s="551">
        <v>851218.71581450664</v>
      </c>
      <c r="CA828" s="551">
        <v>217.5575537939259</v>
      </c>
      <c r="CB828" s="551">
        <v>4.8668718296487513E-31</v>
      </c>
      <c r="CC828" s="551">
        <v>16577.817599906688</v>
      </c>
      <c r="CD828" s="551">
        <v>6677618.1675748378</v>
      </c>
      <c r="CE828" s="551">
        <v>937.41073295828596</v>
      </c>
      <c r="CF828" s="551">
        <v>5309.5688750361023</v>
      </c>
      <c r="CG828" s="551">
        <v>42473.162947301229</v>
      </c>
      <c r="CH828" s="551">
        <v>111889.14017351564</v>
      </c>
      <c r="CI828" s="551">
        <v>15730.801091593043</v>
      </c>
      <c r="CJ828" s="551">
        <v>1.1403257029798581</v>
      </c>
      <c r="CK828" s="551">
        <v>2302801.4229342719</v>
      </c>
      <c r="CL828" s="551"/>
      <c r="CM828" s="551">
        <v>368.3930593524135</v>
      </c>
      <c r="CN828" s="551">
        <v>799.04825173789277</v>
      </c>
      <c r="CO828" s="551">
        <v>6.8826349973016409E-3</v>
      </c>
      <c r="CP828" s="551">
        <v>143548.77579450299</v>
      </c>
      <c r="CQ828" s="551"/>
      <c r="CR828" s="551">
        <v>23.992469068534827</v>
      </c>
      <c r="CS828" s="551">
        <v>3.7033538705597095</v>
      </c>
      <c r="CT828" s="551">
        <v>1.2316128615936497E-3</v>
      </c>
      <c r="CU828" s="551">
        <v>26096.643241988426</v>
      </c>
      <c r="CV828" s="551"/>
      <c r="CW828" s="551">
        <v>3.8624807158980787</v>
      </c>
      <c r="CX828" s="551">
        <v>0.51334895476544906</v>
      </c>
      <c r="CY828" s="554"/>
    </row>
    <row r="829" spans="65:103" ht="12.75" customHeight="1" x14ac:dyDescent="0.3">
      <c r="BM829" s="562"/>
      <c r="BN829" s="591">
        <v>816</v>
      </c>
      <c r="BO829" s="549" t="s">
        <v>3487</v>
      </c>
      <c r="BP829" s="554" t="s">
        <v>619</v>
      </c>
      <c r="BQ829" s="553">
        <v>4.2</v>
      </c>
      <c r="BR829" s="551">
        <v>13747.710460647906</v>
      </c>
      <c r="BS829" s="551"/>
      <c r="BT829" s="551">
        <v>4607403.4340517297</v>
      </c>
      <c r="BU829" s="551">
        <v>207244.73263238813</v>
      </c>
      <c r="BV829" s="551">
        <v>23865165.751863763</v>
      </c>
      <c r="BW829" s="551">
        <v>440904.69088204304</v>
      </c>
      <c r="BX829" s="551">
        <v>3439.2558253977172</v>
      </c>
      <c r="BY829" s="551">
        <v>339250.95608139504</v>
      </c>
      <c r="BZ829" s="551">
        <v>1273.7984538510061</v>
      </c>
      <c r="CA829" s="551">
        <v>1670.5431272654987</v>
      </c>
      <c r="CB829" s="551">
        <v>7.1236361821526729E-32</v>
      </c>
      <c r="CC829" s="551">
        <v>551.52243322685831</v>
      </c>
      <c r="CD829" s="551">
        <v>2460471.5115937516</v>
      </c>
      <c r="CE829" s="551">
        <v>2856.7444707691761</v>
      </c>
      <c r="CF829" s="551">
        <v>261727.6245007393</v>
      </c>
      <c r="CG829" s="551">
        <v>216.05810140540399</v>
      </c>
      <c r="CH829" s="551">
        <v>480.50391240489574</v>
      </c>
      <c r="CI829" s="551">
        <v>80.021519039038509</v>
      </c>
      <c r="CJ829" s="551">
        <v>30.431235713855131</v>
      </c>
      <c r="CK829" s="551">
        <v>861133.19842819311</v>
      </c>
      <c r="CL829" s="551"/>
      <c r="CM829" s="551">
        <v>18413.461061768077</v>
      </c>
      <c r="CN829" s="551">
        <v>14.126549864853748</v>
      </c>
      <c r="CO829" s="551">
        <v>0.35170854241684257</v>
      </c>
      <c r="CP829" s="551">
        <v>54403.392927126471</v>
      </c>
      <c r="CQ829" s="551"/>
      <c r="CR829" s="551">
        <v>1645.5905478636475</v>
      </c>
      <c r="CS829" s="551">
        <v>0.54098478719784582</v>
      </c>
      <c r="CT829" s="551">
        <v>0.21971027814242355</v>
      </c>
      <c r="CU829" s="551">
        <v>9920.6292973859399</v>
      </c>
      <c r="CV829" s="551"/>
      <c r="CW829" s="551">
        <v>136.60928181505997</v>
      </c>
      <c r="CX829" s="551">
        <v>2.4245110042356285E-2</v>
      </c>
      <c r="CY829" s="554"/>
    </row>
    <row r="830" spans="65:103" ht="12.75" customHeight="1" x14ac:dyDescent="0.3">
      <c r="BM830" s="562"/>
      <c r="BN830" s="591">
        <v>817</v>
      </c>
      <c r="BO830" s="549" t="s">
        <v>3489</v>
      </c>
      <c r="BP830" s="554" t="s">
        <v>619</v>
      </c>
      <c r="BQ830" s="553">
        <v>4.21</v>
      </c>
      <c r="BR830" s="551">
        <v>106942.06109397023</v>
      </c>
      <c r="BS830" s="551"/>
      <c r="BT830" s="551">
        <v>5841610.6662489465</v>
      </c>
      <c r="BU830" s="551">
        <v>246053.2400619805</v>
      </c>
      <c r="BV830" s="551">
        <v>1532117.4932595275</v>
      </c>
      <c r="BW830" s="551">
        <v>15357.881258310594</v>
      </c>
      <c r="BX830" s="551">
        <v>608438.88200960157</v>
      </c>
      <c r="BY830" s="551">
        <v>17171382.404811278</v>
      </c>
      <c r="BZ830" s="551">
        <v>225347.73407763013</v>
      </c>
      <c r="CA830" s="551">
        <v>84801.461767168701</v>
      </c>
      <c r="CB830" s="551">
        <v>4.1807356229279833E-30</v>
      </c>
      <c r="CC830" s="551">
        <v>30886.249902143256</v>
      </c>
      <c r="CD830" s="551">
        <v>2327095.2427766616</v>
      </c>
      <c r="CE830" s="551">
        <v>8100.7390735003191</v>
      </c>
      <c r="CF830" s="551">
        <v>7262.5039211718504</v>
      </c>
      <c r="CG830" s="551">
        <v>250191.75093491294</v>
      </c>
      <c r="CH830" s="551">
        <v>620405.10067568952</v>
      </c>
      <c r="CI830" s="551">
        <v>92663.611457375184</v>
      </c>
      <c r="CJ830" s="551">
        <v>10370.564564069726</v>
      </c>
      <c r="CK830" s="551">
        <v>466033.65500720905</v>
      </c>
      <c r="CL830" s="551"/>
      <c r="CM830" s="551">
        <v>290.82620638324602</v>
      </c>
      <c r="CN830" s="551">
        <v>109818.54945251461</v>
      </c>
      <c r="CO830" s="551">
        <v>367.71227345581974</v>
      </c>
      <c r="CP830" s="551">
        <v>40963.306032481487</v>
      </c>
      <c r="CQ830" s="551"/>
      <c r="CR830" s="551">
        <v>34.955123979159843</v>
      </c>
      <c r="CS830" s="551">
        <v>16427.327853545637</v>
      </c>
      <c r="CT830" s="551">
        <v>577.58733035868727</v>
      </c>
      <c r="CU830" s="551">
        <v>6341.0005941596501</v>
      </c>
      <c r="CV830" s="551"/>
      <c r="CW830" s="551">
        <v>2.6141247822345535</v>
      </c>
      <c r="CX830" s="551">
        <v>1470.8835022906012</v>
      </c>
      <c r="CY830" s="554"/>
    </row>
    <row r="831" spans="65:103" ht="12.75" customHeight="1" x14ac:dyDescent="0.3">
      <c r="BM831" s="562"/>
      <c r="BN831" s="591">
        <v>818</v>
      </c>
      <c r="BO831" s="549" t="s">
        <v>3491</v>
      </c>
      <c r="BP831" s="554" t="s">
        <v>619</v>
      </c>
      <c r="BQ831" s="553">
        <v>4.2300000000000004</v>
      </c>
      <c r="BR831" s="551">
        <v>2530.8388915398582</v>
      </c>
      <c r="BS831" s="551"/>
      <c r="BT831" s="551">
        <v>7745104.9763599196</v>
      </c>
      <c r="BU831" s="551">
        <v>357294.20798084134</v>
      </c>
      <c r="BV831" s="551">
        <v>1350848.8020483663</v>
      </c>
      <c r="BW831" s="551">
        <v>16045.73107458798</v>
      </c>
      <c r="BX831" s="551">
        <v>4991319.0248375656</v>
      </c>
      <c r="BY831" s="551">
        <v>36410350.423180304</v>
      </c>
      <c r="BZ831" s="551">
        <v>1848636.6758657643</v>
      </c>
      <c r="CA831" s="551">
        <v>57.232584563702943</v>
      </c>
      <c r="CB831" s="551">
        <v>2.0253855591494177E-31</v>
      </c>
      <c r="CC831" s="551">
        <v>7373.9042996075668</v>
      </c>
      <c r="CD831" s="551">
        <v>4273750.4780786978</v>
      </c>
      <c r="CE831" s="551">
        <v>1286.1064917709741</v>
      </c>
      <c r="CF831" s="551">
        <v>9596.4962934439391</v>
      </c>
      <c r="CG831" s="551">
        <v>58491.489215012669</v>
      </c>
      <c r="CH831" s="551">
        <v>157333.40106384802</v>
      </c>
      <c r="CI831" s="551">
        <v>21663.514524078761</v>
      </c>
      <c r="CJ831" s="551">
        <v>0.19008514220566161</v>
      </c>
      <c r="CK831" s="551">
        <v>1473412.4364687314</v>
      </c>
      <c r="CL831" s="551"/>
      <c r="CM831" s="551">
        <v>665.64062895059192</v>
      </c>
      <c r="CN831" s="551">
        <v>697.27026887341981</v>
      </c>
      <c r="CO831" s="551">
        <v>7.3513174988798415E-4</v>
      </c>
      <c r="CP831" s="551">
        <v>91856.438460280391</v>
      </c>
      <c r="CQ831" s="551"/>
      <c r="CR831" s="551">
        <v>45.889817418462613</v>
      </c>
      <c r="CS831" s="551">
        <v>2.0240912282451959</v>
      </c>
      <c r="CT831" s="551">
        <v>1.2936162313180436E-4</v>
      </c>
      <c r="CU831" s="551">
        <v>16699.589449484542</v>
      </c>
      <c r="CV831" s="551"/>
      <c r="CW831" s="551">
        <v>6.390365789508194</v>
      </c>
      <c r="CX831" s="551">
        <v>0.28523936229395086</v>
      </c>
      <c r="CY831" s="554"/>
    </row>
    <row r="832" spans="65:103" ht="12.75" customHeight="1" x14ac:dyDescent="0.3">
      <c r="BM832" s="562"/>
      <c r="BN832" s="591">
        <v>819</v>
      </c>
      <c r="BO832" s="549" t="s">
        <v>3493</v>
      </c>
      <c r="BP832" s="554" t="s">
        <v>619</v>
      </c>
      <c r="BQ832" s="553">
        <v>4.24</v>
      </c>
      <c r="BR832" s="551">
        <v>23115.968336380767</v>
      </c>
      <c r="BS832" s="551"/>
      <c r="BT832" s="551">
        <v>16034969.344965959</v>
      </c>
      <c r="BU832" s="551">
        <v>730185.32358353469</v>
      </c>
      <c r="BV832" s="551">
        <v>584320.63358322438</v>
      </c>
      <c r="BW832" s="551">
        <v>7694.3798923359136</v>
      </c>
      <c r="BX832" s="551">
        <v>77863.263652320456</v>
      </c>
      <c r="BY832" s="551">
        <v>36882087.07363674</v>
      </c>
      <c r="BZ832" s="551">
        <v>28838.245797155727</v>
      </c>
      <c r="CA832" s="551">
        <v>1567.1503538915306</v>
      </c>
      <c r="CB832" s="551">
        <v>8.101467769472696E-32</v>
      </c>
      <c r="CC832" s="551">
        <v>2073.2096432144581</v>
      </c>
      <c r="CD832" s="551">
        <v>8540014.3377230912</v>
      </c>
      <c r="CE832" s="551">
        <v>75.548580493809112</v>
      </c>
      <c r="CF832" s="551">
        <v>4499.5504893162597</v>
      </c>
      <c r="CG832" s="551">
        <v>2696.4288018449593</v>
      </c>
      <c r="CH832" s="551">
        <v>13683.430190106539</v>
      </c>
      <c r="CI832" s="551">
        <v>998.67733401665134</v>
      </c>
      <c r="CJ832" s="551">
        <v>16.991736117699478</v>
      </c>
      <c r="CK832" s="551">
        <v>2940874.6403437164</v>
      </c>
      <c r="CL832" s="551"/>
      <c r="CM832" s="551">
        <v>311.74916954476237</v>
      </c>
      <c r="CN832" s="551">
        <v>104.93483948198599</v>
      </c>
      <c r="CO832" s="551">
        <v>8.5053250438564793E-2</v>
      </c>
      <c r="CP832" s="551">
        <v>183145.90773140325</v>
      </c>
      <c r="CQ832" s="551"/>
      <c r="CR832" s="551">
        <v>20.024196717100406</v>
      </c>
      <c r="CS832" s="551">
        <v>1.8089327298538671</v>
      </c>
      <c r="CT832" s="551">
        <v>0.10328529127564665</v>
      </c>
      <c r="CU832" s="551">
        <v>33302.834162354724</v>
      </c>
      <c r="CV832" s="551"/>
      <c r="CW832" s="551">
        <v>3.338419084797442</v>
      </c>
      <c r="CX832" s="551">
        <v>0.17697278400813987</v>
      </c>
      <c r="CY832" s="554"/>
    </row>
    <row r="833" spans="65:103" ht="12.75" customHeight="1" x14ac:dyDescent="0.3">
      <c r="BM833" s="562"/>
      <c r="BN833" s="591">
        <v>820</v>
      </c>
      <c r="BO833" s="549" t="s">
        <v>3495</v>
      </c>
      <c r="BP833" s="554" t="s">
        <v>619</v>
      </c>
      <c r="BQ833" s="553">
        <v>4.3</v>
      </c>
      <c r="BR833" s="551">
        <v>23513.171705239416</v>
      </c>
      <c r="BS833" s="551"/>
      <c r="BT833" s="551">
        <v>10971823.408217644</v>
      </c>
      <c r="BU833" s="551">
        <v>516071.13641769678</v>
      </c>
      <c r="BV833" s="551">
        <v>4990228.7781674368</v>
      </c>
      <c r="BW833" s="551">
        <v>60543.520420650108</v>
      </c>
      <c r="BX833" s="551">
        <v>3778646.3498666305</v>
      </c>
      <c r="BY833" s="551">
        <v>29469223.540998295</v>
      </c>
      <c r="BZ833" s="551">
        <v>1399498.6480987526</v>
      </c>
      <c r="CA833" s="551">
        <v>4474.0756576691547</v>
      </c>
      <c r="CB833" s="551">
        <v>1.6548276418323464E-30</v>
      </c>
      <c r="CC833" s="551">
        <v>41588.454593722723</v>
      </c>
      <c r="CD833" s="551">
        <v>9454441.1191022508</v>
      </c>
      <c r="CE833" s="551">
        <v>18915.352100696884</v>
      </c>
      <c r="CF833" s="551">
        <v>55457.969702931521</v>
      </c>
      <c r="CG833" s="551">
        <v>372591.71509930922</v>
      </c>
      <c r="CH833" s="551">
        <v>889245.27787525579</v>
      </c>
      <c r="CI833" s="551">
        <v>137996.93151826266</v>
      </c>
      <c r="CJ833" s="551">
        <v>126.42267596530154</v>
      </c>
      <c r="CK833" s="551">
        <v>5130738.8474435499</v>
      </c>
      <c r="CL833" s="551"/>
      <c r="CM833" s="551">
        <v>6064.2819330793</v>
      </c>
      <c r="CN833" s="551">
        <v>37788.400014619212</v>
      </c>
      <c r="CO833" s="551">
        <v>1.5535752194551005</v>
      </c>
      <c r="CP833" s="551">
        <v>486395.71958839527</v>
      </c>
      <c r="CQ833" s="551"/>
      <c r="CR833" s="551">
        <v>643.34106864932926</v>
      </c>
      <c r="CS833" s="551">
        <v>1075.6771053715981</v>
      </c>
      <c r="CT833" s="551">
        <v>1.5653934878939488</v>
      </c>
      <c r="CU833" s="551">
        <v>93185.890609303926</v>
      </c>
      <c r="CV833" s="551"/>
      <c r="CW833" s="551">
        <v>91.781276910403861</v>
      </c>
      <c r="CX833" s="551">
        <v>124.46313479178916</v>
      </c>
      <c r="CY833" s="554"/>
    </row>
    <row r="834" spans="65:103" ht="12.75" customHeight="1" x14ac:dyDescent="0.3">
      <c r="BM834" s="562"/>
      <c r="BN834" s="591">
        <v>821</v>
      </c>
      <c r="BO834" s="549" t="s">
        <v>3497</v>
      </c>
      <c r="BP834" s="554" t="s">
        <v>619</v>
      </c>
      <c r="BQ834" s="553">
        <v>4.3</v>
      </c>
      <c r="BR834" s="551">
        <v>50613.445752217434</v>
      </c>
      <c r="BS834" s="551"/>
      <c r="BT834" s="551">
        <v>7107671.6093390221</v>
      </c>
      <c r="BU834" s="551">
        <v>310773.00070668291</v>
      </c>
      <c r="BV834" s="551">
        <v>479105.35323794576</v>
      </c>
      <c r="BW834" s="551">
        <v>5816.4506573038525</v>
      </c>
      <c r="BX834" s="551">
        <v>25162.648440172448</v>
      </c>
      <c r="BY834" s="551">
        <v>37384042.423936509</v>
      </c>
      <c r="BZ834" s="551">
        <v>9319.4994222860896</v>
      </c>
      <c r="CA834" s="551">
        <v>5257.8020141822626</v>
      </c>
      <c r="CB834" s="551">
        <v>1.9124724063915494E-31</v>
      </c>
      <c r="CC834" s="551">
        <v>1051.2831230825495</v>
      </c>
      <c r="CD834" s="551">
        <v>3613378.441184347</v>
      </c>
      <c r="CE834" s="551">
        <v>70.863624506196771</v>
      </c>
      <c r="CF834" s="551">
        <v>3381.4130187504261</v>
      </c>
      <c r="CG834" s="551">
        <v>1392.769450179348</v>
      </c>
      <c r="CH834" s="551">
        <v>7971.8946316944566</v>
      </c>
      <c r="CI834" s="551">
        <v>515.84053710346211</v>
      </c>
      <c r="CJ834" s="551">
        <v>88.000271971062887</v>
      </c>
      <c r="CK834" s="551">
        <v>1237562.9603242516</v>
      </c>
      <c r="CL834" s="551"/>
      <c r="CM834" s="551">
        <v>233.00692527714881</v>
      </c>
      <c r="CN834" s="551">
        <v>83.668633001453998</v>
      </c>
      <c r="CO834" s="551">
        <v>0.63043246966596167</v>
      </c>
      <c r="CP834" s="551">
        <v>76469.414727502546</v>
      </c>
      <c r="CQ834" s="551"/>
      <c r="CR834" s="551">
        <v>15.139276835512426</v>
      </c>
      <c r="CS834" s="551">
        <v>1.9717381488659136</v>
      </c>
      <c r="CT834" s="551">
        <v>0.73758272671321445</v>
      </c>
      <c r="CU834" s="551">
        <v>13951.516084590636</v>
      </c>
      <c r="CV834" s="551"/>
      <c r="CW834" s="551">
        <v>2.4044722934430722</v>
      </c>
      <c r="CX834" s="551">
        <v>0.20068808744255151</v>
      </c>
      <c r="CY834" s="554"/>
    </row>
    <row r="835" spans="65:103" ht="12.75" customHeight="1" x14ac:dyDescent="0.3">
      <c r="BM835" s="562"/>
      <c r="BN835" s="591">
        <v>822</v>
      </c>
      <c r="BO835" s="549" t="s">
        <v>3499</v>
      </c>
      <c r="BP835" s="554" t="s">
        <v>619</v>
      </c>
      <c r="BQ835" s="553">
        <v>4.3499999999999996</v>
      </c>
      <c r="BR835" s="551">
        <v>35735.048528863859</v>
      </c>
      <c r="BS835" s="551"/>
      <c r="BT835" s="551">
        <v>10584851.122097004</v>
      </c>
      <c r="BU835" s="551">
        <v>481929.30332007376</v>
      </c>
      <c r="BV835" s="551">
        <v>1898502.0294290278</v>
      </c>
      <c r="BW835" s="551">
        <v>22213.023172550649</v>
      </c>
      <c r="BX835" s="551">
        <v>252506.35444201098</v>
      </c>
      <c r="BY835" s="551">
        <v>37370075.738463975</v>
      </c>
      <c r="BZ835" s="551">
        <v>93520.87201555958</v>
      </c>
      <c r="CA835" s="551">
        <v>5712.4683640409485</v>
      </c>
      <c r="CB835" s="551">
        <v>2.5908231494447284E-31</v>
      </c>
      <c r="CC835" s="551">
        <v>4209.1393755935414</v>
      </c>
      <c r="CD835" s="551">
        <v>5734825.105533394</v>
      </c>
      <c r="CE835" s="551">
        <v>754.9524839354408</v>
      </c>
      <c r="CF835" s="551">
        <v>13216.44088480897</v>
      </c>
      <c r="CG835" s="551">
        <v>21445.700678978163</v>
      </c>
      <c r="CH835" s="551">
        <v>71112.97915625645</v>
      </c>
      <c r="CI835" s="551">
        <v>7942.8521033252455</v>
      </c>
      <c r="CJ835" s="551">
        <v>137.18975323606969</v>
      </c>
      <c r="CK835" s="551">
        <v>1978828.7244761048</v>
      </c>
      <c r="CL835" s="551"/>
      <c r="CM835" s="551">
        <v>917.51734637384345</v>
      </c>
      <c r="CN835" s="551">
        <v>1848.5949510527712</v>
      </c>
      <c r="CO835" s="551">
        <v>1.0943223957032928</v>
      </c>
      <c r="CP835" s="551">
        <v>123419.88860099678</v>
      </c>
      <c r="CQ835" s="551"/>
      <c r="CR835" s="551">
        <v>63.402795074102748</v>
      </c>
      <c r="CS835" s="551">
        <v>55.393096943186301</v>
      </c>
      <c r="CT835" s="551">
        <v>1.4496596796821359</v>
      </c>
      <c r="CU835" s="551">
        <v>22435.311293329025</v>
      </c>
      <c r="CV835" s="551"/>
      <c r="CW835" s="551">
        <v>8.7872287684938737</v>
      </c>
      <c r="CX835" s="551">
        <v>5.0542470380397111</v>
      </c>
      <c r="CY835" s="554"/>
    </row>
    <row r="836" spans="65:103" ht="12.75" customHeight="1" x14ac:dyDescent="0.3">
      <c r="BM836" s="562"/>
      <c r="BN836" s="591">
        <v>823</v>
      </c>
      <c r="BO836" s="549" t="s">
        <v>3501</v>
      </c>
      <c r="BP836" s="554" t="s">
        <v>619</v>
      </c>
      <c r="BQ836" s="553">
        <v>4.3600000000000003</v>
      </c>
      <c r="BR836" s="551">
        <v>12079.772184117674</v>
      </c>
      <c r="BS836" s="551"/>
      <c r="BT836" s="551">
        <v>8671891.1262897626</v>
      </c>
      <c r="BU836" s="551">
        <v>395047.95869857352</v>
      </c>
      <c r="BV836" s="551">
        <v>2649988.1004516277</v>
      </c>
      <c r="BW836" s="551">
        <v>30271.257782010936</v>
      </c>
      <c r="BX836" s="551">
        <v>131328.09005418012</v>
      </c>
      <c r="BY836" s="551">
        <v>31768776.401778735</v>
      </c>
      <c r="BZ836" s="551">
        <v>48640.033353400046</v>
      </c>
      <c r="CA836" s="551">
        <v>823.39681559327948</v>
      </c>
      <c r="CB836" s="551">
        <v>3.7496858124361857E-32</v>
      </c>
      <c r="CC836" s="551">
        <v>605.55533104828623</v>
      </c>
      <c r="CD836" s="551">
        <v>4620235.0153042022</v>
      </c>
      <c r="CE836" s="551">
        <v>185.04780538331968</v>
      </c>
      <c r="CF836" s="551">
        <v>17701.689387599381</v>
      </c>
      <c r="CG836" s="551">
        <v>4706.3735811101005</v>
      </c>
      <c r="CH836" s="551">
        <v>13579.853908107714</v>
      </c>
      <c r="CI836" s="551">
        <v>1743.1013263370737</v>
      </c>
      <c r="CJ836" s="551">
        <v>8.8647751446289149</v>
      </c>
      <c r="CK836" s="551">
        <v>1591919.1657063556</v>
      </c>
      <c r="CL836" s="551"/>
      <c r="CM836" s="551">
        <v>1227.0940608983815</v>
      </c>
      <c r="CN836" s="551">
        <v>181.86477681861658</v>
      </c>
      <c r="CO836" s="551">
        <v>5.153573739440958E-2</v>
      </c>
      <c r="CP836" s="551">
        <v>99194.124212739291</v>
      </c>
      <c r="CQ836" s="551"/>
      <c r="CR836" s="551">
        <v>88.193135737529659</v>
      </c>
      <c r="CS836" s="551">
        <v>3.8548814384839654</v>
      </c>
      <c r="CT836" s="551">
        <v>5.0465448998395487E-2</v>
      </c>
      <c r="CU836" s="551">
        <v>18037.607816309104</v>
      </c>
      <c r="CV836" s="551"/>
      <c r="CW836" s="551">
        <v>11.114464665488855</v>
      </c>
      <c r="CX836" s="551">
        <v>0.25876733736028007</v>
      </c>
      <c r="CY836" s="554"/>
    </row>
    <row r="837" spans="65:103" ht="12.75" customHeight="1" x14ac:dyDescent="0.3">
      <c r="BM837" s="562"/>
      <c r="BN837" s="591">
        <v>824</v>
      </c>
      <c r="BO837" s="549" t="s">
        <v>3503</v>
      </c>
      <c r="BP837" s="554" t="s">
        <v>619</v>
      </c>
      <c r="BQ837" s="553">
        <v>4.37</v>
      </c>
      <c r="BR837" s="551">
        <v>11514.358668186167</v>
      </c>
      <c r="BS837" s="551"/>
      <c r="BT837" s="551">
        <v>12918506.458972828</v>
      </c>
      <c r="BU837" s="551">
        <v>546256.18163888552</v>
      </c>
      <c r="BV837" s="551">
        <v>286841.88349463581</v>
      </c>
      <c r="BW837" s="551">
        <v>3582.2158922090439</v>
      </c>
      <c r="BX837" s="551">
        <v>1997349.2293586347</v>
      </c>
      <c r="BY837" s="551">
        <v>42395400.899993964</v>
      </c>
      <c r="BZ837" s="551">
        <v>739758.97383653105</v>
      </c>
      <c r="CA837" s="551">
        <v>436.10962656563066</v>
      </c>
      <c r="CB837" s="551">
        <v>4.2584199339150377E-31</v>
      </c>
      <c r="CC837" s="551">
        <v>21573.847677463596</v>
      </c>
      <c r="CD837" s="551">
        <v>3137860.3417627215</v>
      </c>
      <c r="CE837" s="551">
        <v>479.02465518619027</v>
      </c>
      <c r="CF837" s="551">
        <v>1028.8664514579066</v>
      </c>
      <c r="CG837" s="551">
        <v>39201.014447921596</v>
      </c>
      <c r="CH837" s="551">
        <v>172639.76989204626</v>
      </c>
      <c r="CI837" s="551">
        <v>14518.894239970961</v>
      </c>
      <c r="CJ837" s="551">
        <v>2.431310846097257</v>
      </c>
      <c r="CK837" s="551">
        <v>445391.49616519216</v>
      </c>
      <c r="CL837" s="551"/>
      <c r="CM837" s="551">
        <v>29.203584405407767</v>
      </c>
      <c r="CN837" s="551">
        <v>784.41479331663584</v>
      </c>
      <c r="CO837" s="551">
        <v>3.5022859158797752E-3</v>
      </c>
      <c r="CP837" s="551">
        <v>11781.93436293527</v>
      </c>
      <c r="CQ837" s="551"/>
      <c r="CR837" s="551">
        <v>0.81424947609611797</v>
      </c>
      <c r="CS837" s="551">
        <v>3.9465200597957564</v>
      </c>
      <c r="CT837" s="551">
        <v>6.2616406491534547E-3</v>
      </c>
      <c r="CU837" s="551">
        <v>2025.9120842686482</v>
      </c>
      <c r="CV837" s="551"/>
      <c r="CW837" s="551">
        <v>0.12099264668309423</v>
      </c>
      <c r="CX837" s="551">
        <v>0.54645781133190374</v>
      </c>
      <c r="CY837" s="554"/>
    </row>
    <row r="838" spans="65:103" ht="12.75" customHeight="1" x14ac:dyDescent="0.3">
      <c r="BM838" s="562"/>
      <c r="BN838" s="591">
        <v>825</v>
      </c>
      <c r="BO838" s="549" t="s">
        <v>3505</v>
      </c>
      <c r="BP838" s="554" t="s">
        <v>619</v>
      </c>
      <c r="BQ838" s="553">
        <v>4.3899999999999997</v>
      </c>
      <c r="BR838" s="551">
        <v>6034.0855823843949</v>
      </c>
      <c r="BS838" s="551"/>
      <c r="BT838" s="551">
        <v>12371082.511800801</v>
      </c>
      <c r="BU838" s="551">
        <v>581059.77956507041</v>
      </c>
      <c r="BV838" s="551">
        <v>3474454.6227601571</v>
      </c>
      <c r="BW838" s="551">
        <v>41641.6093852091</v>
      </c>
      <c r="BX838" s="551">
        <v>6040673.712870501</v>
      </c>
      <c r="BY838" s="551">
        <v>64154093.876779065</v>
      </c>
      <c r="BZ838" s="551">
        <v>2237286.5603224076</v>
      </c>
      <c r="CA838" s="551">
        <v>251.73408854590406</v>
      </c>
      <c r="CB838" s="551">
        <v>2.9353840489413083E-31</v>
      </c>
      <c r="CC838" s="551">
        <v>14014.655614054296</v>
      </c>
      <c r="CD838" s="551">
        <v>9579461.4361917004</v>
      </c>
      <c r="CE838" s="551">
        <v>3936.0569245410752</v>
      </c>
      <c r="CF838" s="551">
        <v>34325.57245187003</v>
      </c>
      <c r="CG838" s="551">
        <v>130591.78174443658</v>
      </c>
      <c r="CH838" s="551">
        <v>357281.50602566195</v>
      </c>
      <c r="CI838" s="551">
        <v>48367.326572013539</v>
      </c>
      <c r="CJ838" s="551">
        <v>1.5536644016006342</v>
      </c>
      <c r="CK838" s="551">
        <v>5149987.6206972841</v>
      </c>
      <c r="CL838" s="551"/>
      <c r="CM838" s="551">
        <v>3718.4287040428353</v>
      </c>
      <c r="CN838" s="551">
        <v>2892.9084379615792</v>
      </c>
      <c r="CO838" s="551">
        <v>6.6080108368749453E-3</v>
      </c>
      <c r="CP838" s="551">
        <v>486121.09391220711</v>
      </c>
      <c r="CQ838" s="551"/>
      <c r="CR838" s="551">
        <v>382.43349618653281</v>
      </c>
      <c r="CS838" s="551">
        <v>19.889659224486053</v>
      </c>
      <c r="CT838" s="551">
        <v>3.8670153908857137E-3</v>
      </c>
      <c r="CU838" s="551">
        <v>93128.582849648476</v>
      </c>
      <c r="CV838" s="551"/>
      <c r="CW838" s="551">
        <v>58.238329877688706</v>
      </c>
      <c r="CX838" s="551">
        <v>2.1913252708086368</v>
      </c>
      <c r="CY838" s="554"/>
    </row>
    <row r="839" spans="65:103" ht="12.75" customHeight="1" x14ac:dyDescent="0.3">
      <c r="BM839" s="562"/>
      <c r="BN839" s="591">
        <v>826</v>
      </c>
      <c r="BO839" s="549" t="s">
        <v>3507</v>
      </c>
      <c r="BP839" s="554" t="s">
        <v>619</v>
      </c>
      <c r="BQ839" s="553">
        <v>4.41</v>
      </c>
      <c r="BR839" s="551">
        <v>1392.3281173324635</v>
      </c>
      <c r="BS839" s="551"/>
      <c r="BT839" s="551">
        <v>12847754.888887253</v>
      </c>
      <c r="BU839" s="551">
        <v>592334.89037153369</v>
      </c>
      <c r="BV839" s="551">
        <v>811868.86140468472</v>
      </c>
      <c r="BW839" s="551">
        <v>10442.910689416767</v>
      </c>
      <c r="BX839" s="551">
        <v>5451298.8924323497</v>
      </c>
      <c r="BY839" s="551">
        <v>48856302.151761413</v>
      </c>
      <c r="BZ839" s="551">
        <v>2018999.5897897589</v>
      </c>
      <c r="CA839" s="551">
        <v>11.493314166627583</v>
      </c>
      <c r="CB839" s="551">
        <v>1.1169815791580856E-31</v>
      </c>
      <c r="CC839" s="551">
        <v>7083.9906663252896</v>
      </c>
      <c r="CD839" s="551">
        <v>6974554.5346479863</v>
      </c>
      <c r="CE839" s="551">
        <v>447.64797322258454</v>
      </c>
      <c r="CF839" s="551">
        <v>6148.0972409130864</v>
      </c>
      <c r="CG839" s="551">
        <v>23318.583756789605</v>
      </c>
      <c r="CH839" s="551">
        <v>77748.020832049355</v>
      </c>
      <c r="CI839" s="551">
        <v>8636.5125025146681</v>
      </c>
      <c r="CJ839" s="551">
        <v>1.3924085823234537E-2</v>
      </c>
      <c r="CK839" s="551">
        <v>2403454.3820669982</v>
      </c>
      <c r="CL839" s="551"/>
      <c r="CM839" s="551">
        <v>426.26246506363816</v>
      </c>
      <c r="CN839" s="551">
        <v>101.39749800420267</v>
      </c>
      <c r="CO839" s="551">
        <v>1.9835177037787597E-5</v>
      </c>
      <c r="CP839" s="551">
        <v>149810.72022232157</v>
      </c>
      <c r="CQ839" s="551"/>
      <c r="CR839" s="551">
        <v>27.869675550907267</v>
      </c>
      <c r="CS839" s="551">
        <v>9.6662997414845658E-2</v>
      </c>
      <c r="CT839" s="551">
        <v>3.4916470726867339E-6</v>
      </c>
      <c r="CU839" s="551">
        <v>27235.011631246773</v>
      </c>
      <c r="CV839" s="551"/>
      <c r="CW839" s="551">
        <v>4.4394098548023715</v>
      </c>
      <c r="CX839" s="551">
        <v>1.6046389267918085E-2</v>
      </c>
      <c r="CY839" s="554"/>
    </row>
    <row r="840" spans="65:103" ht="12.75" customHeight="1" x14ac:dyDescent="0.3">
      <c r="BM840" s="562"/>
      <c r="BN840" s="591">
        <v>827</v>
      </c>
      <c r="BO840" s="549" t="s">
        <v>3509</v>
      </c>
      <c r="BP840" s="554" t="s">
        <v>619</v>
      </c>
      <c r="BQ840" s="553">
        <v>4.4400000000000004</v>
      </c>
      <c r="BR840" s="551">
        <v>3344.6904148289491</v>
      </c>
      <c r="BS840" s="551"/>
      <c r="BT840" s="551">
        <v>16996833.808272321</v>
      </c>
      <c r="BU840" s="551">
        <v>782142.77494228783</v>
      </c>
      <c r="BV840" s="551">
        <v>602296.0495389048</v>
      </c>
      <c r="BW840" s="551">
        <v>8027.172376909145</v>
      </c>
      <c r="BX840" s="551">
        <v>3900318.8476125156</v>
      </c>
      <c r="BY840" s="551">
        <v>49301789.919614151</v>
      </c>
      <c r="BZ840" s="551">
        <v>1444562.5361527831</v>
      </c>
      <c r="CA840" s="551">
        <v>53.040922741174413</v>
      </c>
      <c r="CB840" s="551">
        <v>2.1489524173315589E-31</v>
      </c>
      <c r="CC840" s="551">
        <v>18606.752155400754</v>
      </c>
      <c r="CD840" s="551">
        <v>9246901.2191977929</v>
      </c>
      <c r="CE840" s="551">
        <v>659.34476058082396</v>
      </c>
      <c r="CF840" s="551">
        <v>4745.0716427207908</v>
      </c>
      <c r="CG840" s="551">
        <v>32051.874635903987</v>
      </c>
      <c r="CH840" s="551">
        <v>129643.66274264624</v>
      </c>
      <c r="CI840" s="551">
        <v>11871.064679964431</v>
      </c>
      <c r="CJ840" s="551">
        <v>0.12447376509358561</v>
      </c>
      <c r="CK840" s="551">
        <v>3186651.4479862875</v>
      </c>
      <c r="CL840" s="551"/>
      <c r="CM840" s="551">
        <v>329.00267809950276</v>
      </c>
      <c r="CN840" s="551">
        <v>269.97518430616697</v>
      </c>
      <c r="CO840" s="551">
        <v>1.1952169403757998E-4</v>
      </c>
      <c r="CP840" s="551">
        <v>198621.86129014025</v>
      </c>
      <c r="CQ840" s="551"/>
      <c r="CR840" s="551">
        <v>21.136130806715038</v>
      </c>
      <c r="CS840" s="551">
        <v>0.59757299042993006</v>
      </c>
      <c r="CT840" s="551">
        <v>1.5408495880410824E-4</v>
      </c>
      <c r="CU840" s="551">
        <v>36108.46175518971</v>
      </c>
      <c r="CV840" s="551"/>
      <c r="CW840" s="551">
        <v>3.5295255523950799</v>
      </c>
      <c r="CX840" s="551">
        <v>9.5443455389156676E-2</v>
      </c>
      <c r="CY840" s="554"/>
    </row>
    <row r="841" spans="65:103" ht="12.75" customHeight="1" x14ac:dyDescent="0.3">
      <c r="BM841" s="562"/>
      <c r="BN841" s="591">
        <v>828</v>
      </c>
      <c r="BO841" s="549" t="s">
        <v>3511</v>
      </c>
      <c r="BP841" s="554" t="s">
        <v>619</v>
      </c>
      <c r="BQ841" s="553">
        <v>4.4400000000000004</v>
      </c>
      <c r="BR841" s="551">
        <v>10092.735522579951</v>
      </c>
      <c r="BS841" s="551"/>
      <c r="BT841" s="551">
        <v>8734264.0799099952</v>
      </c>
      <c r="BU841" s="551">
        <v>399422.55234413454</v>
      </c>
      <c r="BV841" s="551">
        <v>5016166.7907040566</v>
      </c>
      <c r="BW841" s="551">
        <v>59216.653264040535</v>
      </c>
      <c r="BX841" s="551">
        <v>450570.33230007952</v>
      </c>
      <c r="BY841" s="551">
        <v>20124525.912826858</v>
      </c>
      <c r="BZ841" s="551">
        <v>166877.90085188122</v>
      </c>
      <c r="CA841" s="551">
        <v>704.26116573861157</v>
      </c>
      <c r="CB841" s="551">
        <v>9.281363435147974E-32</v>
      </c>
      <c r="CC841" s="551">
        <v>1510.9717470101787</v>
      </c>
      <c r="CD841" s="551">
        <v>4709762.3798109954</v>
      </c>
      <c r="CE841" s="551">
        <v>867.76472862527112</v>
      </c>
      <c r="CF841" s="551">
        <v>34912.446000419935</v>
      </c>
      <c r="CG841" s="551">
        <v>16294.421635801145</v>
      </c>
      <c r="CH841" s="551">
        <v>38296.747149447598</v>
      </c>
      <c r="CI841" s="551">
        <v>6034.9709762226439</v>
      </c>
      <c r="CJ841" s="551">
        <v>7.3064328438352648</v>
      </c>
      <c r="CK841" s="551">
        <v>1625002.2139989941</v>
      </c>
      <c r="CL841" s="551"/>
      <c r="CM841" s="551">
        <v>2423.4190562062849</v>
      </c>
      <c r="CN841" s="551">
        <v>606.75625335850486</v>
      </c>
      <c r="CO841" s="551">
        <v>3.8332337515628014E-2</v>
      </c>
      <c r="CP841" s="551">
        <v>101383.95114653917</v>
      </c>
      <c r="CQ841" s="551"/>
      <c r="CR841" s="551">
        <v>183.98530976557166</v>
      </c>
      <c r="CS841" s="551">
        <v>10.018959260144547</v>
      </c>
      <c r="CT841" s="551">
        <v>3.1980848257975522E-2</v>
      </c>
      <c r="CU841" s="551">
        <v>18433.54272462822</v>
      </c>
      <c r="CV841" s="551"/>
      <c r="CW841" s="551">
        <v>20.573463345760068</v>
      </c>
      <c r="CX841" s="551">
        <v>0.65336477724083208</v>
      </c>
      <c r="CY841" s="554"/>
    </row>
    <row r="842" spans="65:103" ht="12.75" customHeight="1" x14ac:dyDescent="0.3">
      <c r="BM842" s="562"/>
      <c r="BN842" s="591">
        <v>829</v>
      </c>
      <c r="BO842" s="549" t="s">
        <v>3513</v>
      </c>
      <c r="BP842" s="554" t="s">
        <v>619</v>
      </c>
      <c r="BQ842" s="553">
        <v>4.4400000000000004</v>
      </c>
      <c r="BR842" s="551">
        <v>41317.131648465394</v>
      </c>
      <c r="BS842" s="551"/>
      <c r="BT842" s="551">
        <v>8631860.7571239229</v>
      </c>
      <c r="BU842" s="551">
        <v>358355.45387671876</v>
      </c>
      <c r="BV842" s="551">
        <v>394043.95216817944</v>
      </c>
      <c r="BW842" s="551">
        <v>4625.2294440507949</v>
      </c>
      <c r="BX842" s="551">
        <v>44885.015522624162</v>
      </c>
      <c r="BY842" s="551">
        <v>20461574.733606037</v>
      </c>
      <c r="BZ842" s="551">
        <v>16624.079823194123</v>
      </c>
      <c r="CA842" s="551">
        <v>4172.2849758886578</v>
      </c>
      <c r="CB842" s="551">
        <v>1.8691971484889789E-31</v>
      </c>
      <c r="CC842" s="551">
        <v>1306.6857258743282</v>
      </c>
      <c r="CD842" s="551">
        <v>2025253.2174055378</v>
      </c>
      <c r="CE842" s="551">
        <v>59.650128999164423</v>
      </c>
      <c r="CF842" s="551">
        <v>1306.9789662005842</v>
      </c>
      <c r="CG842" s="551">
        <v>2356.5054297664537</v>
      </c>
      <c r="CH842" s="551">
        <v>9303.4738567263685</v>
      </c>
      <c r="CI842" s="551">
        <v>872.77978880239004</v>
      </c>
      <c r="CJ842" s="551">
        <v>62.504194787610452</v>
      </c>
      <c r="CK842" s="551">
        <v>287419.83587808115</v>
      </c>
      <c r="CL842" s="551"/>
      <c r="CM842" s="551">
        <v>37.091291409366022</v>
      </c>
      <c r="CN842" s="551">
        <v>126.70895257487759</v>
      </c>
      <c r="CO842" s="551">
        <v>0.30633349371197222</v>
      </c>
      <c r="CP842" s="551">
        <v>7610.1437532189157</v>
      </c>
      <c r="CQ842" s="551"/>
      <c r="CR842" s="551">
        <v>1.0782430335370243</v>
      </c>
      <c r="CS842" s="551">
        <v>2.2103926290591214</v>
      </c>
      <c r="CT842" s="551">
        <v>0.40325000103906367</v>
      </c>
      <c r="CU842" s="551">
        <v>1308.4318433851545</v>
      </c>
      <c r="CV842" s="551"/>
      <c r="CW842" s="551">
        <v>0.14426467012013855</v>
      </c>
      <c r="CX842" s="551">
        <v>0.22076304082370332</v>
      </c>
      <c r="CY842" s="554"/>
    </row>
    <row r="843" spans="65:103" ht="12.75" customHeight="1" x14ac:dyDescent="0.3">
      <c r="BM843" s="562"/>
      <c r="BN843" s="591">
        <v>830</v>
      </c>
      <c r="BO843" s="549" t="s">
        <v>3515</v>
      </c>
      <c r="BP843" s="554" t="s">
        <v>619</v>
      </c>
      <c r="BQ843" s="553">
        <v>4.46</v>
      </c>
      <c r="BR843" s="551">
        <v>311202.92125052039</v>
      </c>
      <c r="BS843" s="551"/>
      <c r="BT843" s="551">
        <v>14787357.293869777</v>
      </c>
      <c r="BU843" s="551">
        <v>677212.5330273438</v>
      </c>
      <c r="BV843" s="551">
        <v>897827.86007269309</v>
      </c>
      <c r="BW843" s="551">
        <v>11505.051274236044</v>
      </c>
      <c r="BX843" s="551">
        <v>1135132.1666037939</v>
      </c>
      <c r="BY843" s="551">
        <v>44663306.822378553</v>
      </c>
      <c r="BZ843" s="551">
        <v>420419.32096436812</v>
      </c>
      <c r="CA843" s="551">
        <v>526491.98568444978</v>
      </c>
      <c r="CB843" s="551">
        <v>2.5294591766056905E-29</v>
      </c>
      <c r="CC843" s="551">
        <v>487916.066656671</v>
      </c>
      <c r="CD843" s="551">
        <v>20249262.591911696</v>
      </c>
      <c r="CE843" s="551">
        <v>29624.268171504023</v>
      </c>
      <c r="CF843" s="551">
        <v>17200.567991851342</v>
      </c>
      <c r="CG843" s="551">
        <v>1002586.0678565734</v>
      </c>
      <c r="CH843" s="551">
        <v>4531103.2670212472</v>
      </c>
      <c r="CI843" s="551">
        <v>371328.17328021233</v>
      </c>
      <c r="CJ843" s="551">
        <v>148051.54714194578</v>
      </c>
      <c r="CK843" s="551">
        <v>11743819.713787515</v>
      </c>
      <c r="CL843" s="551"/>
      <c r="CM843" s="551">
        <v>2007.0584705080971</v>
      </c>
      <c r="CN843" s="551">
        <v>1011920.7607885211</v>
      </c>
      <c r="CO843" s="551">
        <v>10642.822335182136</v>
      </c>
      <c r="CP843" s="551">
        <v>2642246.3390579885</v>
      </c>
      <c r="CQ843" s="551"/>
      <c r="CR843" s="551">
        <v>472.97117890265827</v>
      </c>
      <c r="CS843" s="551">
        <v>254928.77824553609</v>
      </c>
      <c r="CT843" s="551">
        <v>19043.57581189242</v>
      </c>
      <c r="CU843" s="551">
        <v>474478.01013967069</v>
      </c>
      <c r="CV843" s="551"/>
      <c r="CW843" s="551">
        <v>74.709927940496996</v>
      </c>
      <c r="CX843" s="551">
        <v>35599.094086347381</v>
      </c>
      <c r="CY843" s="554"/>
    </row>
    <row r="844" spans="65:103" ht="12.75" customHeight="1" x14ac:dyDescent="0.3">
      <c r="BM844" s="562"/>
      <c r="BN844" s="591">
        <v>831</v>
      </c>
      <c r="BO844" s="549" t="s">
        <v>3519</v>
      </c>
      <c r="BP844" s="554" t="s">
        <v>619</v>
      </c>
      <c r="BQ844" s="553">
        <v>4.4800000000000004</v>
      </c>
      <c r="BR844" s="551">
        <v>8472.3242972934113</v>
      </c>
      <c r="BS844" s="551"/>
      <c r="BT844" s="551">
        <v>8175870.4568102276</v>
      </c>
      <c r="BU844" s="551">
        <v>374427.39613188681</v>
      </c>
      <c r="BV844" s="551">
        <v>1154547.0153341091</v>
      </c>
      <c r="BW844" s="551">
        <v>13834.143984979468</v>
      </c>
      <c r="BX844" s="551">
        <v>831946.92579478631</v>
      </c>
      <c r="BY844" s="551">
        <v>27744078.079891771</v>
      </c>
      <c r="BZ844" s="551">
        <v>308128.49103510595</v>
      </c>
      <c r="CA844" s="551">
        <v>573.62310878101141</v>
      </c>
      <c r="CB844" s="551">
        <v>1.2161390530842396E-31</v>
      </c>
      <c r="CC844" s="551">
        <v>4479.6091206676247</v>
      </c>
      <c r="CD844" s="551">
        <v>4432622.6201376915</v>
      </c>
      <c r="CE844" s="551">
        <v>632.58332766540161</v>
      </c>
      <c r="CF844" s="551">
        <v>8188.7089715601496</v>
      </c>
      <c r="CG844" s="551">
        <v>29195.63194744994</v>
      </c>
      <c r="CH844" s="551">
        <v>82640.840268647196</v>
      </c>
      <c r="CI844" s="551">
        <v>10813.197017574046</v>
      </c>
      <c r="CJ844" s="551">
        <v>5.7590764627458837</v>
      </c>
      <c r="CK844" s="551">
        <v>1528414.2133859033</v>
      </c>
      <c r="CL844" s="551"/>
      <c r="CM844" s="551">
        <v>568.07954769414255</v>
      </c>
      <c r="CN844" s="551">
        <v>1052.0775206453172</v>
      </c>
      <c r="CO844" s="551">
        <v>1.8649394389750946E-2</v>
      </c>
      <c r="CP844" s="551">
        <v>95292.238278048637</v>
      </c>
      <c r="CQ844" s="551"/>
      <c r="CR844" s="551">
        <v>38.638057543804877</v>
      </c>
      <c r="CS844" s="551">
        <v>13.733849424120253</v>
      </c>
      <c r="CT844" s="551">
        <v>2.60195854378234E-2</v>
      </c>
      <c r="CU844" s="551">
        <v>17322.997294559562</v>
      </c>
      <c r="CV844" s="551"/>
      <c r="CW844" s="551">
        <v>5.5637455529252087</v>
      </c>
      <c r="CX844" s="551">
        <v>1.1661771013381257</v>
      </c>
      <c r="CY844" s="554"/>
    </row>
    <row r="845" spans="65:103" ht="12.75" customHeight="1" x14ac:dyDescent="0.3">
      <c r="BM845" s="562"/>
      <c r="BN845" s="591">
        <v>832</v>
      </c>
      <c r="BO845" s="549" t="s">
        <v>3517</v>
      </c>
      <c r="BP845" s="554" t="s">
        <v>619</v>
      </c>
      <c r="BQ845" s="553">
        <v>4.4800000000000004</v>
      </c>
      <c r="BR845" s="551">
        <v>238574.0508414387</v>
      </c>
      <c r="BS845" s="551"/>
      <c r="BT845" s="551">
        <v>9800930.5129521675</v>
      </c>
      <c r="BU845" s="551">
        <v>445737.45897680084</v>
      </c>
      <c r="BV845" s="551">
        <v>1422217.8030895463</v>
      </c>
      <c r="BW845" s="551">
        <v>16886.927596005931</v>
      </c>
      <c r="BX845" s="551">
        <v>711100.44174393651</v>
      </c>
      <c r="BY845" s="551">
        <v>38669371.994140089</v>
      </c>
      <c r="BZ845" s="551">
        <v>263370.53397923562</v>
      </c>
      <c r="CA845" s="551">
        <v>316603.70323485933</v>
      </c>
      <c r="CB845" s="551">
        <v>1.2668102897358096E-29</v>
      </c>
      <c r="CC845" s="551">
        <v>147687.37954361699</v>
      </c>
      <c r="CD845" s="551">
        <v>11277715.029935054</v>
      </c>
      <c r="CE845" s="551">
        <v>21430.987619083433</v>
      </c>
      <c r="CF845" s="551">
        <v>21363.019118482174</v>
      </c>
      <c r="CG845" s="551">
        <v>514192.37312772276</v>
      </c>
      <c r="CH845" s="551">
        <v>2101682.3487248048</v>
      </c>
      <c r="CI845" s="551">
        <v>190441.61967693429</v>
      </c>
      <c r="CJ845" s="551">
        <v>67552.221044025995</v>
      </c>
      <c r="CK845" s="551">
        <v>5644859.4281918695</v>
      </c>
      <c r="CL845" s="551"/>
      <c r="CM845" s="551">
        <v>2151.3341959711379</v>
      </c>
      <c r="CN845" s="551">
        <v>393779.34140917036</v>
      </c>
      <c r="CO845" s="551">
        <v>4101.9801005864774</v>
      </c>
      <c r="CP845" s="551">
        <v>941519.14059523237</v>
      </c>
      <c r="CQ845" s="551"/>
      <c r="CR845" s="551">
        <v>392.10350404019556</v>
      </c>
      <c r="CS845" s="551">
        <v>83489.152906921707</v>
      </c>
      <c r="CT845" s="551">
        <v>6544.6878594825366</v>
      </c>
      <c r="CU845" s="551">
        <v>159437.06026718745</v>
      </c>
      <c r="CV845" s="551"/>
      <c r="CW845" s="551">
        <v>52.37642739498888</v>
      </c>
      <c r="CX845" s="551">
        <v>10367.640302427411</v>
      </c>
      <c r="CY845" s="554"/>
    </row>
    <row r="846" spans="65:103" ht="12.75" customHeight="1" x14ac:dyDescent="0.3">
      <c r="BM846" s="562"/>
      <c r="BN846" s="591">
        <v>833</v>
      </c>
      <c r="BO846" s="549" t="s">
        <v>3523</v>
      </c>
      <c r="BP846" s="554" t="s">
        <v>619</v>
      </c>
      <c r="BQ846" s="553">
        <v>4.5</v>
      </c>
      <c r="BR846" s="551">
        <v>4000.4558204362806</v>
      </c>
      <c r="BS846" s="551"/>
      <c r="BT846" s="551">
        <v>10822571.750427304</v>
      </c>
      <c r="BU846" s="551">
        <v>497835.89199885778</v>
      </c>
      <c r="BV846" s="551">
        <v>1211926.6129018296</v>
      </c>
      <c r="BW846" s="551">
        <v>14863.802552447974</v>
      </c>
      <c r="BX846" s="551">
        <v>4078873.1561286524</v>
      </c>
      <c r="BY846" s="551">
        <v>42706213.758517854</v>
      </c>
      <c r="BZ846" s="551">
        <v>1510693.7615291304</v>
      </c>
      <c r="CA846" s="551">
        <v>102.49920236860815</v>
      </c>
      <c r="CB846" s="551">
        <v>2.1264479526013467E-31</v>
      </c>
      <c r="CC846" s="551">
        <v>9705.0336819091244</v>
      </c>
      <c r="CD846" s="551">
        <v>5920922.9953071009</v>
      </c>
      <c r="CE846" s="551">
        <v>1086.7831481690023</v>
      </c>
      <c r="CF846" s="551">
        <v>8839.0001348773258</v>
      </c>
      <c r="CG846" s="551">
        <v>54156.492731691462</v>
      </c>
      <c r="CH846" s="551">
        <v>157509.74889841364</v>
      </c>
      <c r="CI846" s="551">
        <v>20057.960270996831</v>
      </c>
      <c r="CJ846" s="551">
        <v>0.38779156659269537</v>
      </c>
      <c r="CK846" s="551">
        <v>2041012.297107755</v>
      </c>
      <c r="CL846" s="551"/>
      <c r="CM846" s="551">
        <v>613.01917040578633</v>
      </c>
      <c r="CN846" s="551">
        <v>735.41428345090139</v>
      </c>
      <c r="CO846" s="551">
        <v>4.1037945685180199E-4</v>
      </c>
      <c r="CP846" s="551">
        <v>127230.96676903509</v>
      </c>
      <c r="CQ846" s="551"/>
      <c r="CR846" s="551">
        <v>41.136137279706361</v>
      </c>
      <c r="CS846" s="551">
        <v>2.8962793934895585</v>
      </c>
      <c r="CT846" s="551">
        <v>7.3511650172711966E-4</v>
      </c>
      <c r="CU846" s="551">
        <v>23130.233625862042</v>
      </c>
      <c r="CV846" s="551"/>
      <c r="CW846" s="551">
        <v>6.1260264977368264</v>
      </c>
      <c r="CX846" s="551">
        <v>0.34718006921808875</v>
      </c>
      <c r="CY846" s="554"/>
    </row>
    <row r="847" spans="65:103" ht="12.75" customHeight="1" x14ac:dyDescent="0.3">
      <c r="BM847" s="562"/>
      <c r="BN847" s="591">
        <v>834</v>
      </c>
      <c r="BO847" s="549" t="s">
        <v>3525</v>
      </c>
      <c r="BP847" s="554" t="s">
        <v>619</v>
      </c>
      <c r="BQ847" s="553">
        <v>4.5</v>
      </c>
      <c r="BR847" s="551">
        <v>4000.4558204362806</v>
      </c>
      <c r="BS847" s="551"/>
      <c r="BT847" s="551">
        <v>10822571.750427304</v>
      </c>
      <c r="BU847" s="551">
        <v>497835.89199885778</v>
      </c>
      <c r="BV847" s="551">
        <v>1211926.6129018296</v>
      </c>
      <c r="BW847" s="551">
        <v>14863.802552447974</v>
      </c>
      <c r="BX847" s="551">
        <v>4078873.1561286524</v>
      </c>
      <c r="BY847" s="551">
        <v>42706213.758517854</v>
      </c>
      <c r="BZ847" s="551">
        <v>1510693.7615291304</v>
      </c>
      <c r="CA847" s="551">
        <v>102.49920236860815</v>
      </c>
      <c r="CB847" s="551">
        <v>2.1264479526013467E-31</v>
      </c>
      <c r="CC847" s="551">
        <v>9705.0336819091244</v>
      </c>
      <c r="CD847" s="551">
        <v>5920922.9953071009</v>
      </c>
      <c r="CE847" s="551">
        <v>1086.7831481690023</v>
      </c>
      <c r="CF847" s="551">
        <v>8839.0001348773258</v>
      </c>
      <c r="CG847" s="551">
        <v>54156.492731691462</v>
      </c>
      <c r="CH847" s="551">
        <v>157509.74889841364</v>
      </c>
      <c r="CI847" s="551">
        <v>20057.960270996831</v>
      </c>
      <c r="CJ847" s="551">
        <v>0.38779156659269537</v>
      </c>
      <c r="CK847" s="551">
        <v>2041012.297107755</v>
      </c>
      <c r="CL847" s="551"/>
      <c r="CM847" s="551">
        <v>613.01917040578633</v>
      </c>
      <c r="CN847" s="551">
        <v>735.41428345090139</v>
      </c>
      <c r="CO847" s="551">
        <v>4.1037945685180199E-4</v>
      </c>
      <c r="CP847" s="551">
        <v>127230.96676903509</v>
      </c>
      <c r="CQ847" s="551"/>
      <c r="CR847" s="551">
        <v>41.136137279706361</v>
      </c>
      <c r="CS847" s="551">
        <v>2.8962793934895585</v>
      </c>
      <c r="CT847" s="551">
        <v>7.3511650172711966E-4</v>
      </c>
      <c r="CU847" s="551">
        <v>23130.233625862042</v>
      </c>
      <c r="CV847" s="551"/>
      <c r="CW847" s="551">
        <v>6.1260264977368264</v>
      </c>
      <c r="CX847" s="551">
        <v>0.34718006921808875</v>
      </c>
      <c r="CY847" s="554"/>
    </row>
    <row r="848" spans="65:103" ht="12.75" customHeight="1" x14ac:dyDescent="0.3">
      <c r="BM848" s="562"/>
      <c r="BN848" s="591">
        <v>835</v>
      </c>
      <c r="BO848" s="549" t="s">
        <v>3521</v>
      </c>
      <c r="BP848" s="554" t="s">
        <v>619</v>
      </c>
      <c r="BQ848" s="553">
        <v>4.5</v>
      </c>
      <c r="BR848" s="551">
        <v>3757.2862733154075</v>
      </c>
      <c r="BS848" s="551"/>
      <c r="BT848" s="551">
        <v>3767507.1470730179</v>
      </c>
      <c r="BU848" s="551">
        <v>160874.03032153758</v>
      </c>
      <c r="BV848" s="551">
        <v>769641.52686297277</v>
      </c>
      <c r="BW848" s="551">
        <v>7972.4539854131554</v>
      </c>
      <c r="BX848" s="551">
        <v>2249978.5925598759</v>
      </c>
      <c r="BY848" s="551">
        <v>14591517.858139429</v>
      </c>
      <c r="BZ848" s="551">
        <v>833325.40465180622</v>
      </c>
      <c r="CA848" s="551">
        <v>133.08160762133971</v>
      </c>
      <c r="CB848" s="551">
        <v>2.997681000794671E-31</v>
      </c>
      <c r="CC848" s="551">
        <v>3269.883633887157</v>
      </c>
      <c r="CD848" s="551">
        <v>963202.87957782333</v>
      </c>
      <c r="CE848" s="551">
        <v>667.98499230567802</v>
      </c>
      <c r="CF848" s="551">
        <v>2386.6781421163851</v>
      </c>
      <c r="CG848" s="551">
        <v>41297.202132394319</v>
      </c>
      <c r="CH848" s="551">
        <v>97923.964427933839</v>
      </c>
      <c r="CI848" s="551">
        <v>15295.260049034936</v>
      </c>
      <c r="CJ848" s="551">
        <v>0.69278565025560834</v>
      </c>
      <c r="CK848" s="551">
        <v>136943.12434780315</v>
      </c>
      <c r="CL848" s="551"/>
      <c r="CM848" s="551">
        <v>67.852514271698325</v>
      </c>
      <c r="CN848" s="551">
        <v>771.62293864746925</v>
      </c>
      <c r="CO848" s="551">
        <v>4.1263029921768252E-3</v>
      </c>
      <c r="CP848" s="551">
        <v>3624.585184356552</v>
      </c>
      <c r="CQ848" s="551"/>
      <c r="CR848" s="551">
        <v>2.3581234379226874</v>
      </c>
      <c r="CS848" s="551">
        <v>3.8212039268745865</v>
      </c>
      <c r="CT848" s="551">
        <v>7.5221787329612434E-4</v>
      </c>
      <c r="CU848" s="551">
        <v>623.43863517944499</v>
      </c>
      <c r="CV848" s="551"/>
      <c r="CW848" s="551">
        <v>0.21218207119356752</v>
      </c>
      <c r="CX848" s="551">
        <v>0.47689385361057612</v>
      </c>
      <c r="CY848" s="554"/>
    </row>
    <row r="849" spans="65:103" ht="12.75" customHeight="1" x14ac:dyDescent="0.3">
      <c r="BM849" s="562"/>
      <c r="BN849" s="591">
        <v>836</v>
      </c>
      <c r="BO849" s="549" t="s">
        <v>3529</v>
      </c>
      <c r="BP849" s="554" t="s">
        <v>619</v>
      </c>
      <c r="BQ849" s="553">
        <v>4.53</v>
      </c>
      <c r="BR849" s="551">
        <v>37328.876019332194</v>
      </c>
      <c r="BS849" s="551"/>
      <c r="BT849" s="551">
        <v>33031622.906540215</v>
      </c>
      <c r="BU849" s="551">
        <v>1581182.900651437</v>
      </c>
      <c r="BV849" s="551">
        <v>351098.83724637097</v>
      </c>
      <c r="BW849" s="551">
        <v>5095.0893476145466</v>
      </c>
      <c r="BX849" s="551">
        <v>111413.48511587358</v>
      </c>
      <c r="BY849" s="551">
        <v>9375324.4915083032</v>
      </c>
      <c r="BZ849" s="551">
        <v>41264.253746619834</v>
      </c>
      <c r="CA849" s="551">
        <v>4818.960750333832</v>
      </c>
      <c r="CB849" s="551">
        <v>4.6907631670982722E-31</v>
      </c>
      <c r="CC849" s="551">
        <v>52282.255315290713</v>
      </c>
      <c r="CD849" s="551">
        <v>42132348.934709303</v>
      </c>
      <c r="CE849" s="551">
        <v>555.71714116965074</v>
      </c>
      <c r="CF849" s="551">
        <v>6788.2116028061864</v>
      </c>
      <c r="CG849" s="551">
        <v>7484.6285907576184</v>
      </c>
      <c r="CH849" s="551">
        <v>37890.628236851844</v>
      </c>
      <c r="CI849" s="551">
        <v>2772.0846632435632</v>
      </c>
      <c r="CJ849" s="551">
        <v>102.38186149152332</v>
      </c>
      <c r="CK849" s="551">
        <v>52041148.948504329</v>
      </c>
      <c r="CL849" s="551"/>
      <c r="CM849" s="551">
        <v>1692.1579460833136</v>
      </c>
      <c r="CN849" s="551">
        <v>570.74687478614294</v>
      </c>
      <c r="CO849" s="551">
        <v>1.2481156753926161</v>
      </c>
      <c r="CP849" s="551">
        <v>10161623.471861279</v>
      </c>
      <c r="CQ849" s="551"/>
      <c r="CR849" s="551">
        <v>331.48300403638819</v>
      </c>
      <c r="CS849" s="551">
        <v>23.706187900506965</v>
      </c>
      <c r="CT849" s="551">
        <v>1.7646513769378798</v>
      </c>
      <c r="CU849" s="551">
        <v>2343838.4181577694</v>
      </c>
      <c r="CV849" s="551"/>
      <c r="CW849" s="551">
        <v>75.752206492008298</v>
      </c>
      <c r="CX849" s="551">
        <v>2.7235418382721726</v>
      </c>
      <c r="CY849" s="554"/>
    </row>
    <row r="850" spans="65:103" ht="12.75" customHeight="1" x14ac:dyDescent="0.3">
      <c r="BM850" s="562"/>
      <c r="BN850" s="591">
        <v>837</v>
      </c>
      <c r="BO850" s="549" t="s">
        <v>3527</v>
      </c>
      <c r="BP850" s="554" t="s">
        <v>619</v>
      </c>
      <c r="BQ850" s="553">
        <v>4.53</v>
      </c>
      <c r="BR850" s="551">
        <v>1017.1391871733833</v>
      </c>
      <c r="BS850" s="551"/>
      <c r="BT850" s="551">
        <v>11546895.600492554</v>
      </c>
      <c r="BU850" s="551">
        <v>543876.18900254974</v>
      </c>
      <c r="BV850" s="551">
        <v>768324.75061863614</v>
      </c>
      <c r="BW850" s="551">
        <v>10095.252129999741</v>
      </c>
      <c r="BX850" s="551">
        <v>831449.2895794611</v>
      </c>
      <c r="BY850" s="551">
        <v>5565988.4840838481</v>
      </c>
      <c r="BZ850" s="551">
        <v>307944.18132572633</v>
      </c>
      <c r="CA850" s="551">
        <v>7.3608183084786809</v>
      </c>
      <c r="CB850" s="551">
        <v>7.5714887227280271E-32</v>
      </c>
      <c r="CC850" s="551">
        <v>1969.5042091471664</v>
      </c>
      <c r="CD850" s="551">
        <v>8825501.7928045467</v>
      </c>
      <c r="CE850" s="551">
        <v>131.04984081356045</v>
      </c>
      <c r="CF850" s="551">
        <v>8190.8040445312599</v>
      </c>
      <c r="CG850" s="551">
        <v>3118.0273508948062</v>
      </c>
      <c r="CH850" s="551">
        <v>7401.8427232150752</v>
      </c>
      <c r="CI850" s="551">
        <v>1154.8249447758542</v>
      </c>
      <c r="CJ850" s="551">
        <v>8.0558885387905076E-3</v>
      </c>
      <c r="CK850" s="551">
        <v>4741414.5388609013</v>
      </c>
      <c r="CL850" s="551"/>
      <c r="CM850" s="551">
        <v>886.70210483824815</v>
      </c>
      <c r="CN850" s="551">
        <v>12.248162131868828</v>
      </c>
      <c r="CO850" s="551">
        <v>8.2869877974355021E-6</v>
      </c>
      <c r="CP850" s="551">
        <v>447411.3491246773</v>
      </c>
      <c r="CQ850" s="551"/>
      <c r="CR850" s="551">
        <v>86.305987577208029</v>
      </c>
      <c r="CS850" s="551">
        <v>4.5596505633795407E-2</v>
      </c>
      <c r="CT850" s="551">
        <v>1.3038478656000079E-5</v>
      </c>
      <c r="CU850" s="551">
        <v>85708.231376772164</v>
      </c>
      <c r="CV850" s="551"/>
      <c r="CW850" s="551">
        <v>15.158074420689793</v>
      </c>
      <c r="CX850" s="551">
        <v>4.7668777709555955E-3</v>
      </c>
      <c r="CY850" s="554"/>
    </row>
    <row r="851" spans="65:103" ht="12.75" customHeight="1" x14ac:dyDescent="0.3">
      <c r="BM851" s="562"/>
      <c r="BN851" s="591">
        <v>838</v>
      </c>
      <c r="BO851" s="549" t="s">
        <v>3530</v>
      </c>
      <c r="BP851" s="554" t="s">
        <v>619</v>
      </c>
      <c r="BQ851" s="553">
        <v>4.58</v>
      </c>
      <c r="BR851" s="551">
        <v>7154.5165329888669</v>
      </c>
      <c r="BS851" s="551"/>
      <c r="BT851" s="551">
        <v>6004094.8711375557</v>
      </c>
      <c r="BU851" s="551">
        <v>276352.3268620547</v>
      </c>
      <c r="BV851" s="551">
        <v>5459269.5174914571</v>
      </c>
      <c r="BW851" s="551">
        <v>69740.494745260701</v>
      </c>
      <c r="BX851" s="551">
        <v>298631.2234825592</v>
      </c>
      <c r="BY851" s="551">
        <v>2150224.6979225622</v>
      </c>
      <c r="BZ851" s="551">
        <v>110604.15684539228</v>
      </c>
      <c r="CA851" s="551">
        <v>526.78203796261494</v>
      </c>
      <c r="CB851" s="551">
        <v>4.5974802388198683E-31</v>
      </c>
      <c r="CC851" s="551">
        <v>5287.837497064239</v>
      </c>
      <c r="CD851" s="551">
        <v>3452574.1086304067</v>
      </c>
      <c r="CE851" s="551">
        <v>4808.0069820252074</v>
      </c>
      <c r="CF851" s="551">
        <v>43564.718490818581</v>
      </c>
      <c r="CG851" s="551">
        <v>11394.212031232779</v>
      </c>
      <c r="CH851" s="551">
        <v>25424.16666349132</v>
      </c>
      <c r="CI851" s="551">
        <v>4220.0785300862126</v>
      </c>
      <c r="CJ851" s="551">
        <v>5.7143344609265148</v>
      </c>
      <c r="CK851" s="551">
        <v>1195044.9309694434</v>
      </c>
      <c r="CL851" s="551"/>
      <c r="CM851" s="551">
        <v>3033.5466145744263</v>
      </c>
      <c r="CN851" s="551">
        <v>443.63178051974126</v>
      </c>
      <c r="CO851" s="551">
        <v>6.029563164407372E-2</v>
      </c>
      <c r="CP851" s="551">
        <v>74663.725694461697</v>
      </c>
      <c r="CQ851" s="551"/>
      <c r="CR851" s="551">
        <v>239.6567792996978</v>
      </c>
      <c r="CS851" s="551">
        <v>5.2041091671796655</v>
      </c>
      <c r="CT851" s="551">
        <v>1.6987188149782794E-2</v>
      </c>
      <c r="CU851" s="551">
        <v>13577.581880081025</v>
      </c>
      <c r="CV851" s="551"/>
      <c r="CW851" s="551">
        <v>24.713740941252048</v>
      </c>
      <c r="CX851" s="551">
        <v>0.54073824449524799</v>
      </c>
      <c r="CY851" s="554"/>
    </row>
    <row r="852" spans="65:103" ht="12.75" customHeight="1" x14ac:dyDescent="0.3">
      <c r="BM852" s="562"/>
      <c r="BN852" s="591">
        <v>839</v>
      </c>
      <c r="BO852" s="549" t="s">
        <v>3532</v>
      </c>
      <c r="BP852" s="554" t="s">
        <v>619</v>
      </c>
      <c r="BQ852" s="553">
        <v>4.5999999999999996</v>
      </c>
      <c r="BR852" s="551">
        <v>3606.5401972598247</v>
      </c>
      <c r="BS852" s="551"/>
      <c r="BT852" s="551">
        <v>13517844.143831741</v>
      </c>
      <c r="BU852" s="551">
        <v>651773.04875505541</v>
      </c>
      <c r="BV852" s="551">
        <v>780683.24446405587</v>
      </c>
      <c r="BW852" s="551">
        <v>10637.511528988438</v>
      </c>
      <c r="BX852" s="551">
        <v>2256621.5678988015</v>
      </c>
      <c r="BY852" s="551">
        <v>18668805.928791348</v>
      </c>
      <c r="BZ852" s="551">
        <v>835785.76588844508</v>
      </c>
      <c r="CA852" s="551">
        <v>129.3940089195041</v>
      </c>
      <c r="CB852" s="551">
        <v>2.8794002435421123E-31</v>
      </c>
      <c r="CC852" s="551">
        <v>26799.348473154416</v>
      </c>
      <c r="CD852" s="551">
        <v>18765763.566317812</v>
      </c>
      <c r="CE852" s="551">
        <v>1547.7173795565434</v>
      </c>
      <c r="CF852" s="551">
        <v>15313.691373728243</v>
      </c>
      <c r="CG852" s="551">
        <v>41954.699695300107</v>
      </c>
      <c r="CH852" s="551">
        <v>126936.48474344269</v>
      </c>
      <c r="CI852" s="551">
        <v>15538.777664925965</v>
      </c>
      <c r="CJ852" s="551">
        <v>0.68231442168691847</v>
      </c>
      <c r="CK852" s="551">
        <v>26869987.292276461</v>
      </c>
      <c r="CL852" s="551"/>
      <c r="CM852" s="551">
        <v>4425.9344221141428</v>
      </c>
      <c r="CN852" s="551">
        <v>794.06244108478086</v>
      </c>
      <c r="CO852" s="551">
        <v>4.1461254088806946E-3</v>
      </c>
      <c r="CP852" s="551">
        <v>5910019.4259927711</v>
      </c>
      <c r="CQ852" s="551"/>
      <c r="CR852" s="551">
        <v>982.49948865713895</v>
      </c>
      <c r="CS852" s="551">
        <v>3.4193090641008013</v>
      </c>
      <c r="CT852" s="551">
        <v>7.3982406755044932E-4</v>
      </c>
      <c r="CU852" s="551">
        <v>1434533.3746766225</v>
      </c>
      <c r="CV852" s="551"/>
      <c r="CW852" s="551">
        <v>232.29367703081982</v>
      </c>
      <c r="CX852" s="551">
        <v>0.53342308571552255</v>
      </c>
      <c r="CY852" s="554"/>
    </row>
    <row r="853" spans="65:103" ht="12.75" customHeight="1" x14ac:dyDescent="0.3">
      <c r="BM853" s="562"/>
      <c r="BN853" s="591">
        <v>840</v>
      </c>
      <c r="BO853" s="549" t="s">
        <v>1534</v>
      </c>
      <c r="BP853" s="554" t="s">
        <v>619</v>
      </c>
      <c r="BQ853" s="553">
        <v>4.5999999999999996</v>
      </c>
      <c r="BR853" s="551">
        <v>313412.96685107338</v>
      </c>
      <c r="BS853" s="551"/>
      <c r="BT853" s="551">
        <v>15500726.5830938</v>
      </c>
      <c r="BU853" s="551">
        <v>653001.5362583159</v>
      </c>
      <c r="BV853" s="551">
        <v>147073.54414253068</v>
      </c>
      <c r="BW853" s="551">
        <v>1882.7914167161116</v>
      </c>
      <c r="BX853" s="551">
        <v>149329.38214527859</v>
      </c>
      <c r="BY853" s="551">
        <v>20446436.019684136</v>
      </c>
      <c r="BZ853" s="551">
        <v>55307.178572325385</v>
      </c>
      <c r="CA853" s="551">
        <v>354684.37644241739</v>
      </c>
      <c r="CB853" s="551">
        <v>1.8636209466753298E-29</v>
      </c>
      <c r="CC853" s="551">
        <v>341390.54887026217</v>
      </c>
      <c r="CD853" s="551">
        <v>8018666.0620637918</v>
      </c>
      <c r="CE853" s="551">
        <v>3239.1718988112052</v>
      </c>
      <c r="CF853" s="551">
        <v>1156.0061345088625</v>
      </c>
      <c r="CG853" s="551">
        <v>80381.715343210613</v>
      </c>
      <c r="CH853" s="551">
        <v>646758.65478754416</v>
      </c>
      <c r="CI853" s="551">
        <v>29771.005682670591</v>
      </c>
      <c r="CJ853" s="551">
        <v>62832.334151578827</v>
      </c>
      <c r="CK853" s="551">
        <v>2084080.4966939434</v>
      </c>
      <c r="CL853" s="551"/>
      <c r="CM853" s="551">
        <v>60.087490534279326</v>
      </c>
      <c r="CN853" s="551">
        <v>51109.550350327765</v>
      </c>
      <c r="CO853" s="551">
        <v>3050.377080477997</v>
      </c>
      <c r="CP853" s="551">
        <v>316183.73700437258</v>
      </c>
      <c r="CQ853" s="551"/>
      <c r="CR853" s="551">
        <v>9.2085945366000068</v>
      </c>
      <c r="CS853" s="551">
        <v>7885.6486733665115</v>
      </c>
      <c r="CT853" s="551">
        <v>4938.7702735366238</v>
      </c>
      <c r="CU853" s="551">
        <v>49299.596828199741</v>
      </c>
      <c r="CV853" s="551"/>
      <c r="CW853" s="551">
        <v>1.3947688277795125</v>
      </c>
      <c r="CX853" s="551">
        <v>1174.5815813029178</v>
      </c>
      <c r="CY853" s="554"/>
    </row>
    <row r="854" spans="65:103" ht="12.75" customHeight="1" x14ac:dyDescent="0.3">
      <c r="BM854" s="562"/>
      <c r="BN854" s="591">
        <v>841</v>
      </c>
      <c r="BO854" s="549" t="s">
        <v>3534</v>
      </c>
      <c r="BP854" s="554" t="s">
        <v>619</v>
      </c>
      <c r="BQ854" s="553">
        <v>4.6399999999999997</v>
      </c>
      <c r="BR854" s="551">
        <v>3638.6678044282717</v>
      </c>
      <c r="BS854" s="551"/>
      <c r="BT854" s="551">
        <v>8589945.2585676555</v>
      </c>
      <c r="BU854" s="551">
        <v>364934.68057478021</v>
      </c>
      <c r="BV854" s="551">
        <v>964194.56060709921</v>
      </c>
      <c r="BW854" s="551">
        <v>10605.337701806004</v>
      </c>
      <c r="BX854" s="551">
        <v>18622682.88582525</v>
      </c>
      <c r="BY854" s="551">
        <v>279370966.63719797</v>
      </c>
      <c r="BZ854" s="551">
        <v>6897289.9577130545</v>
      </c>
      <c r="CA854" s="551">
        <v>80.590284540021216</v>
      </c>
      <c r="CB854" s="551">
        <v>2.9098763618945742E-31</v>
      </c>
      <c r="CC854" s="551">
        <v>20014.556977540531</v>
      </c>
      <c r="CD854" s="551">
        <v>2099450.5599243981</v>
      </c>
      <c r="CE854" s="551">
        <v>2246.5715892028074</v>
      </c>
      <c r="CF854" s="551">
        <v>3050.5982798312662</v>
      </c>
      <c r="CG854" s="551">
        <v>213737.64472224694</v>
      </c>
      <c r="CH854" s="551">
        <v>1182077.6757190502</v>
      </c>
      <c r="CI854" s="551">
        <v>79162.090637869216</v>
      </c>
      <c r="CJ854" s="551">
        <v>0.2621446162551348</v>
      </c>
      <c r="CK854" s="551">
        <v>297848.55520559382</v>
      </c>
      <c r="CL854" s="551"/>
      <c r="CM854" s="551">
        <v>86.543318193702717</v>
      </c>
      <c r="CN854" s="551">
        <v>2495.4158458112834</v>
      </c>
      <c r="CO854" s="551">
        <v>9.8706657740886398E-4</v>
      </c>
      <c r="CP854" s="551">
        <v>7876.3922069580758</v>
      </c>
      <c r="CQ854" s="551"/>
      <c r="CR854" s="551">
        <v>2.7529488456301445</v>
      </c>
      <c r="CS854" s="551">
        <v>5.3903464763969442</v>
      </c>
      <c r="CT854" s="551">
        <v>1.7681759370945086E-4</v>
      </c>
      <c r="CU854" s="551">
        <v>1354.6457368604529</v>
      </c>
      <c r="CV854" s="551"/>
      <c r="CW854" s="551">
        <v>0.29763095962964647</v>
      </c>
      <c r="CX854" s="551">
        <v>1.1727226386724063</v>
      </c>
      <c r="CY854" s="554"/>
    </row>
    <row r="855" spans="65:103" ht="12.75" customHeight="1" x14ac:dyDescent="0.3">
      <c r="BM855" s="562"/>
      <c r="BN855" s="591">
        <v>842</v>
      </c>
      <c r="BO855" s="549" t="s">
        <v>3536</v>
      </c>
      <c r="BP855" s="554" t="s">
        <v>619</v>
      </c>
      <c r="BQ855" s="553">
        <v>4.6399999999999997</v>
      </c>
      <c r="BR855" s="551">
        <v>5265.0012861313598</v>
      </c>
      <c r="BS855" s="551"/>
      <c r="BT855" s="551">
        <v>9777097.835475212</v>
      </c>
      <c r="BU855" s="551">
        <v>471579.39961853356</v>
      </c>
      <c r="BV855" s="551">
        <v>1275011.19248998</v>
      </c>
      <c r="BW855" s="551">
        <v>16479.905009213544</v>
      </c>
      <c r="BX855" s="551">
        <v>1048337.6018107467</v>
      </c>
      <c r="BY855" s="551">
        <v>6993126.174051634</v>
      </c>
      <c r="BZ855" s="551">
        <v>388273.18585583218</v>
      </c>
      <c r="CA855" s="551">
        <v>348.87275520320844</v>
      </c>
      <c r="CB855" s="551">
        <v>4.1805521277020852E-31</v>
      </c>
      <c r="CC855" s="551">
        <v>16333.964343060117</v>
      </c>
      <c r="CD855" s="551">
        <v>13816623.016500045</v>
      </c>
      <c r="CE855" s="551">
        <v>2130.078649675459</v>
      </c>
      <c r="CF855" s="551">
        <v>24141.919159766181</v>
      </c>
      <c r="CG855" s="551">
        <v>35997.159101266843</v>
      </c>
      <c r="CH855" s="551">
        <v>86190.864130171743</v>
      </c>
      <c r="CI855" s="551">
        <v>13332.281148617345</v>
      </c>
      <c r="CJ855" s="551">
        <v>3.4034949683076956</v>
      </c>
      <c r="CK855" s="551">
        <v>19793041.981554933</v>
      </c>
      <c r="CL855" s="551"/>
      <c r="CM855" s="551">
        <v>6980.8060341245464</v>
      </c>
      <c r="CN855" s="551">
        <v>1260.4625325974375</v>
      </c>
      <c r="CO855" s="551">
        <v>3.737034630263316E-2</v>
      </c>
      <c r="CP855" s="551">
        <v>4353859.1146283727</v>
      </c>
      <c r="CQ855" s="551"/>
      <c r="CR855" s="551">
        <v>1562.0866672211748</v>
      </c>
      <c r="CS855" s="551">
        <v>11.546692343253232</v>
      </c>
      <c r="CT855" s="551">
        <v>6.8828898362514723E-3</v>
      </c>
      <c r="CU855" s="551">
        <v>1056845.0742082254</v>
      </c>
      <c r="CV855" s="551"/>
      <c r="CW855" s="551">
        <v>361.24561120201196</v>
      </c>
      <c r="CX855" s="551">
        <v>1.4693573125480617</v>
      </c>
      <c r="CY855" s="554"/>
    </row>
    <row r="856" spans="65:103" ht="12.75" customHeight="1" x14ac:dyDescent="0.3">
      <c r="BM856" s="562"/>
      <c r="BN856" s="591">
        <v>843</v>
      </c>
      <c r="BO856" s="549" t="s">
        <v>3538</v>
      </c>
      <c r="BP856" s="554" t="s">
        <v>619</v>
      </c>
      <c r="BQ856" s="553">
        <v>4.6399999999999997</v>
      </c>
      <c r="BR856" s="551">
        <v>1517.8068531512306</v>
      </c>
      <c r="BS856" s="551"/>
      <c r="BT856" s="551">
        <v>8617731.123936167</v>
      </c>
      <c r="BU856" s="551">
        <v>405499.95448429522</v>
      </c>
      <c r="BV856" s="551">
        <v>550506.7226108684</v>
      </c>
      <c r="BW856" s="551">
        <v>7246.4810172642447</v>
      </c>
      <c r="BX856" s="551">
        <v>3367846.1814010506</v>
      </c>
      <c r="BY856" s="551">
        <v>35065262.468941964</v>
      </c>
      <c r="BZ856" s="551">
        <v>1247350.4375559445</v>
      </c>
      <c r="CA856" s="551">
        <v>27.747799684624145</v>
      </c>
      <c r="CB856" s="551">
        <v>1.2156218975242684E-31</v>
      </c>
      <c r="CC856" s="551">
        <v>12505.754029897875</v>
      </c>
      <c r="CD856" s="551">
        <v>6631858.2463401984</v>
      </c>
      <c r="CE856" s="551">
        <v>798.87635919095942</v>
      </c>
      <c r="CF856" s="551">
        <v>5925.7262990830804</v>
      </c>
      <c r="CG856" s="551">
        <v>31905.296124471173</v>
      </c>
      <c r="CH856" s="551">
        <v>122822.36439148977</v>
      </c>
      <c r="CI856" s="551">
        <v>11816.776342396721</v>
      </c>
      <c r="CJ856" s="551">
        <v>7.4483848283397311E-2</v>
      </c>
      <c r="CK856" s="551">
        <v>3563243.0999530675</v>
      </c>
      <c r="CL856" s="551"/>
      <c r="CM856" s="551">
        <v>641.55599847159783</v>
      </c>
      <c r="CN856" s="551">
        <v>307.39725952163599</v>
      </c>
      <c r="CO856" s="551">
        <v>2.3361552952807512E-4</v>
      </c>
      <c r="CP856" s="551">
        <v>336236.67087034555</v>
      </c>
      <c r="CQ856" s="551"/>
      <c r="CR856" s="551">
        <v>62.384639951669357</v>
      </c>
      <c r="CS856" s="551">
        <v>0.60912098647500357</v>
      </c>
      <c r="CT856" s="551">
        <v>4.0920423563841567E-5</v>
      </c>
      <c r="CU856" s="551">
        <v>64411.026267082918</v>
      </c>
      <c r="CV856" s="551"/>
      <c r="CW856" s="551">
        <v>10.985681016199043</v>
      </c>
      <c r="CX856" s="551">
        <v>0.11120462740249797</v>
      </c>
      <c r="CY856" s="554"/>
    </row>
    <row r="857" spans="65:103" ht="12.75" customHeight="1" x14ac:dyDescent="0.3">
      <c r="BM857" s="562"/>
      <c r="BN857" s="591">
        <v>844</v>
      </c>
      <c r="BO857" s="549" t="s">
        <v>3540</v>
      </c>
      <c r="BP857" s="554" t="s">
        <v>619</v>
      </c>
      <c r="BQ857" s="553">
        <v>4.6500000000000004</v>
      </c>
      <c r="BR857" s="551">
        <v>1555.7224794437868</v>
      </c>
      <c r="BS857" s="551"/>
      <c r="BT857" s="551">
        <v>15527883.768808302</v>
      </c>
      <c r="BU857" s="551">
        <v>715777.26968456351</v>
      </c>
      <c r="BV857" s="551">
        <v>878041.08214410511</v>
      </c>
      <c r="BW857" s="551">
        <v>11382.707478033974</v>
      </c>
      <c r="BX857" s="551">
        <v>6088004.9380918201</v>
      </c>
      <c r="BY857" s="551">
        <v>56827045.97622472</v>
      </c>
      <c r="BZ857" s="551">
        <v>2254816.643737711</v>
      </c>
      <c r="CA857" s="551">
        <v>12.007409881729094</v>
      </c>
      <c r="CB857" s="551">
        <v>1.2339951704491273E-31</v>
      </c>
      <c r="CC857" s="551">
        <v>8302.0629784848152</v>
      </c>
      <c r="CD857" s="551">
        <v>8422309.6173086707</v>
      </c>
      <c r="CE857" s="551">
        <v>469.44918381603554</v>
      </c>
      <c r="CF857" s="551">
        <v>6696.8239090286625</v>
      </c>
      <c r="CG857" s="551">
        <v>24349.536872313929</v>
      </c>
      <c r="CH857" s="551">
        <v>83928.099780234174</v>
      </c>
      <c r="CI857" s="551">
        <v>9018.3469897458999</v>
      </c>
      <c r="CJ857" s="551">
        <v>1.3787796564500574E-2</v>
      </c>
      <c r="CK857" s="551">
        <v>2902308.738612066</v>
      </c>
      <c r="CL857" s="551"/>
      <c r="CM857" s="551">
        <v>464.29986743718496</v>
      </c>
      <c r="CN857" s="551">
        <v>100.35520253433575</v>
      </c>
      <c r="CO857" s="551">
        <v>5.5981380470872091E-6</v>
      </c>
      <c r="CP857" s="551">
        <v>180903.26993109565</v>
      </c>
      <c r="CQ857" s="551"/>
      <c r="CR857" s="551">
        <v>30.235828095336689</v>
      </c>
      <c r="CS857" s="551">
        <v>0.15268020914801811</v>
      </c>
      <c r="CT857" s="551">
        <v>1.252577933325884E-5</v>
      </c>
      <c r="CU857" s="551">
        <v>32887.475879244936</v>
      </c>
      <c r="CV857" s="551"/>
      <c r="CW857" s="551">
        <v>4.8675701392033881</v>
      </c>
      <c r="CX857" s="551">
        <v>2.3431133998567347E-2</v>
      </c>
      <c r="CY857" s="554"/>
    </row>
    <row r="858" spans="65:103" ht="12.75" customHeight="1" x14ac:dyDescent="0.3">
      <c r="BM858" s="562"/>
      <c r="BN858" s="591">
        <v>845</v>
      </c>
      <c r="BO858" s="549" t="s">
        <v>3542</v>
      </c>
      <c r="BP858" s="554" t="s">
        <v>619</v>
      </c>
      <c r="BQ858" s="553">
        <v>4.67</v>
      </c>
      <c r="BR858" s="551">
        <v>2.7609508717373052</v>
      </c>
      <c r="BS858" s="551"/>
      <c r="BT858" s="551">
        <v>14212942.752534008</v>
      </c>
      <c r="BU858" s="551">
        <v>603775.30871275987</v>
      </c>
      <c r="BV858" s="551">
        <v>127222.60361248722</v>
      </c>
      <c r="BW858" s="551">
        <v>1642.8647401378425</v>
      </c>
      <c r="BX858" s="551">
        <v>912841.96526490187</v>
      </c>
      <c r="BY858" s="551">
        <v>14941310.762393434</v>
      </c>
      <c r="BZ858" s="551">
        <v>338089.61676477868</v>
      </c>
      <c r="CA858" s="551">
        <v>2.9347815515424043E-5</v>
      </c>
      <c r="CB858" s="551">
        <v>2.2186094456472528E-34</v>
      </c>
      <c r="CC858" s="551">
        <v>17.093042953027499</v>
      </c>
      <c r="CD858" s="551">
        <v>3354592.422656531</v>
      </c>
      <c r="CE858" s="551">
        <v>0.15300289785213728</v>
      </c>
      <c r="CF858" s="551">
        <v>456.39011145269166</v>
      </c>
      <c r="CG858" s="551">
        <v>5.0281843214802437</v>
      </c>
      <c r="CH858" s="551">
        <v>30.778483388506032</v>
      </c>
      <c r="CI858" s="551">
        <v>1.8622904894371271</v>
      </c>
      <c r="CJ858" s="551">
        <v>8.4802928011878447E-11</v>
      </c>
      <c r="CK858" s="551">
        <v>475272.49728557869</v>
      </c>
      <c r="CL858" s="551"/>
      <c r="CM858" s="551">
        <v>12.930334098039362</v>
      </c>
      <c r="CN858" s="551">
        <v>5.2149471563553253E-5</v>
      </c>
      <c r="CO858" s="551">
        <v>5.7264791998130489E-13</v>
      </c>
      <c r="CP858" s="551">
        <v>12563.593993053653</v>
      </c>
      <c r="CQ858" s="551"/>
      <c r="CR858" s="551">
        <v>0.35108566689908416</v>
      </c>
      <c r="CS858" s="551">
        <v>3.9887363181534826E-7</v>
      </c>
      <c r="CT858" s="551">
        <v>2.9408588438358287E-13</v>
      </c>
      <c r="CU858" s="551">
        <v>2160.7517870105139</v>
      </c>
      <c r="CV858" s="551"/>
      <c r="CW858" s="551">
        <v>5.5964065545155844E-2</v>
      </c>
      <c r="CX858" s="551">
        <v>6.7158610471213244E-8</v>
      </c>
      <c r="CY858" s="554"/>
    </row>
    <row r="859" spans="65:103" ht="12.75" customHeight="1" x14ac:dyDescent="0.3">
      <c r="BM859" s="562"/>
      <c r="BN859" s="591">
        <v>846</v>
      </c>
      <c r="BO859" s="549" t="s">
        <v>3544</v>
      </c>
      <c r="BP859" s="554" t="s">
        <v>619</v>
      </c>
      <c r="BQ859" s="553">
        <v>4.6900000000000004</v>
      </c>
      <c r="BR859" s="551">
        <v>29480.03714821002</v>
      </c>
      <c r="BS859" s="551"/>
      <c r="BT859" s="551">
        <v>8146497.0501372581</v>
      </c>
      <c r="BU859" s="551">
        <v>336822.32714304671</v>
      </c>
      <c r="BV859" s="551">
        <v>394217.11185229791</v>
      </c>
      <c r="BW859" s="551">
        <v>4587.27461758151</v>
      </c>
      <c r="BX859" s="551">
        <v>26362.346921852215</v>
      </c>
      <c r="BY859" s="551">
        <v>20138365.096887566</v>
      </c>
      <c r="BZ859" s="551">
        <v>9763.8321932785948</v>
      </c>
      <c r="CA859" s="551">
        <v>2008.2119428802707</v>
      </c>
      <c r="CB859" s="551">
        <v>8.7184346659111535E-32</v>
      </c>
      <c r="CC859" s="551">
        <v>546.09833456810793</v>
      </c>
      <c r="CD859" s="551">
        <v>1881047.2710555715</v>
      </c>
      <c r="CE859" s="551">
        <v>26.426242704790781</v>
      </c>
      <c r="CF859" s="551">
        <v>1280.9246456692795</v>
      </c>
      <c r="CG859" s="551">
        <v>934.2825128376162</v>
      </c>
      <c r="CH859" s="551">
        <v>3749.9913080388078</v>
      </c>
      <c r="CI859" s="551">
        <v>346.03056031022822</v>
      </c>
      <c r="CJ859" s="551">
        <v>20.493390871336235</v>
      </c>
      <c r="CK859" s="551">
        <v>266427.40966762538</v>
      </c>
      <c r="CL859" s="551"/>
      <c r="CM859" s="551">
        <v>36.280093772965891</v>
      </c>
      <c r="CN859" s="551">
        <v>34.220484451405348</v>
      </c>
      <c r="CO859" s="551">
        <v>7.0947103285605578E-2</v>
      </c>
      <c r="CP859" s="551">
        <v>7037.2735909724997</v>
      </c>
      <c r="CQ859" s="551"/>
      <c r="CR859" s="551">
        <v>1.0567729895458706</v>
      </c>
      <c r="CS859" s="551">
        <v>0.41777648870849027</v>
      </c>
      <c r="CT859" s="551">
        <v>9.155404395985399E-2</v>
      </c>
      <c r="CU859" s="551">
        <v>1210.7515344989863</v>
      </c>
      <c r="CV859" s="551"/>
      <c r="CW859" s="551">
        <v>0.13994506805556606</v>
      </c>
      <c r="CX859" s="551">
        <v>4.1533788301559703E-2</v>
      </c>
      <c r="CY859" s="554"/>
    </row>
    <row r="860" spans="65:103" ht="12.75" customHeight="1" x14ac:dyDescent="0.3">
      <c r="BM860" s="562"/>
      <c r="BN860" s="591">
        <v>847</v>
      </c>
      <c r="BO860" s="549" t="s">
        <v>3548</v>
      </c>
      <c r="BP860" s="554" t="s">
        <v>619</v>
      </c>
      <c r="BQ860" s="553">
        <v>4.7</v>
      </c>
      <c r="BR860" s="551">
        <v>65596.824744685888</v>
      </c>
      <c r="BS860" s="551"/>
      <c r="BT860" s="551">
        <v>9938798.7344096135</v>
      </c>
      <c r="BU860" s="551">
        <v>464294.19913265423</v>
      </c>
      <c r="BV860" s="551">
        <v>11027977.812071297</v>
      </c>
      <c r="BW860" s="551">
        <v>152859.963782759</v>
      </c>
      <c r="BX860" s="551">
        <v>2307209.2757616262</v>
      </c>
      <c r="BY860" s="551">
        <v>54204884.597923167</v>
      </c>
      <c r="BZ860" s="551">
        <v>854521.95398578746</v>
      </c>
      <c r="CA860" s="551">
        <v>37284.150349222808</v>
      </c>
      <c r="CB860" s="551">
        <v>1.8513140858782237E-30</v>
      </c>
      <c r="CC860" s="551">
        <v>39190.313854543456</v>
      </c>
      <c r="CD860" s="551">
        <v>8734013.6955857612</v>
      </c>
      <c r="CE860" s="551">
        <v>43485.125635929129</v>
      </c>
      <c r="CF860" s="551">
        <v>143775.32819486203</v>
      </c>
      <c r="CG860" s="551">
        <v>680602.72814246325</v>
      </c>
      <c r="CH860" s="551">
        <v>1753850.519506322</v>
      </c>
      <c r="CI860" s="551">
        <v>252075.08449720862</v>
      </c>
      <c r="CJ860" s="551">
        <v>3233.7082927113984</v>
      </c>
      <c r="CK860" s="551">
        <v>4865625.1666118149</v>
      </c>
      <c r="CL860" s="551"/>
      <c r="CM860" s="551">
        <v>16138.246965083441</v>
      </c>
      <c r="CN860" s="551">
        <v>211872.17783845152</v>
      </c>
      <c r="CO860" s="551">
        <v>197.37673216674375</v>
      </c>
      <c r="CP860" s="551">
        <v>488929.34566857928</v>
      </c>
      <c r="CQ860" s="551"/>
      <c r="CR860" s="551">
        <v>1910.9166861776878</v>
      </c>
      <c r="CS860" s="551">
        <v>28696.768367242872</v>
      </c>
      <c r="CT860" s="551">
        <v>96.865588460004943</v>
      </c>
      <c r="CU860" s="551">
        <v>91553.141344775227</v>
      </c>
      <c r="CV860" s="551"/>
      <c r="CW860" s="551">
        <v>236.38994004561556</v>
      </c>
      <c r="CX860" s="551">
        <v>1777.7366733700335</v>
      </c>
      <c r="CY860" s="554"/>
    </row>
    <row r="861" spans="65:103" ht="12.75" customHeight="1" x14ac:dyDescent="0.3">
      <c r="BM861" s="562"/>
      <c r="BN861" s="591">
        <v>848</v>
      </c>
      <c r="BO861" s="549" t="s">
        <v>3550</v>
      </c>
      <c r="BP861" s="554" t="s">
        <v>619</v>
      </c>
      <c r="BQ861" s="553">
        <v>4.7</v>
      </c>
      <c r="BR861" s="551">
        <v>34468.084008730177</v>
      </c>
      <c r="BS861" s="551"/>
      <c r="BT861" s="551">
        <v>6890415.8458259739</v>
      </c>
      <c r="BU861" s="551">
        <v>300741.07735936024</v>
      </c>
      <c r="BV861" s="551">
        <v>665572.48224472534</v>
      </c>
      <c r="BW861" s="551">
        <v>7840.0081406725312</v>
      </c>
      <c r="BX861" s="551">
        <v>21798.034836621286</v>
      </c>
      <c r="BY861" s="551">
        <v>39271975.1824909</v>
      </c>
      <c r="BZ861" s="551">
        <v>8073.3462357856597</v>
      </c>
      <c r="CA861" s="551">
        <v>2425.3865455033929</v>
      </c>
      <c r="CB861" s="551">
        <v>8.7831935728951663E-32</v>
      </c>
      <c r="CC861" s="551">
        <v>468.1852891615863</v>
      </c>
      <c r="CD861" s="551">
        <v>3448738.1931819362</v>
      </c>
      <c r="CE861" s="551">
        <v>45.223866313744637</v>
      </c>
      <c r="CF861" s="551">
        <v>4495.2514879246728</v>
      </c>
      <c r="CG861" s="551">
        <v>843.66332803807813</v>
      </c>
      <c r="CH861" s="551">
        <v>4618.8821140496184</v>
      </c>
      <c r="CI861" s="551">
        <v>312.46789927336226</v>
      </c>
      <c r="CJ861" s="551">
        <v>30.430246196813094</v>
      </c>
      <c r="CK861" s="551">
        <v>1179755.2126992077</v>
      </c>
      <c r="CL861" s="551"/>
      <c r="CM861" s="551">
        <v>309.38629675376711</v>
      </c>
      <c r="CN861" s="551">
        <v>37.992452500411524</v>
      </c>
      <c r="CO861" s="551">
        <v>0.23273321145420806</v>
      </c>
      <c r="CP861" s="551">
        <v>72831.282239810709</v>
      </c>
      <c r="CQ861" s="551"/>
      <c r="CR861" s="551">
        <v>20.404230630463182</v>
      </c>
      <c r="CS861" s="551">
        <v>0.95280033346669268</v>
      </c>
      <c r="CT861" s="551">
        <v>0.24235004451100703</v>
      </c>
      <c r="CU861" s="551">
        <v>13293.147423142138</v>
      </c>
      <c r="CV861" s="551"/>
      <c r="CW861" s="551">
        <v>3.1107930127892542</v>
      </c>
      <c r="CX861" s="551">
        <v>8.6449220078795505E-2</v>
      </c>
      <c r="CY861" s="554"/>
    </row>
    <row r="862" spans="65:103" ht="12.75" customHeight="1" x14ac:dyDescent="0.3">
      <c r="BM862" s="562"/>
      <c r="BN862" s="591">
        <v>849</v>
      </c>
      <c r="BO862" s="549" t="s">
        <v>3546</v>
      </c>
      <c r="BP862" s="554" t="s">
        <v>619</v>
      </c>
      <c r="BQ862" s="553">
        <v>4.7</v>
      </c>
      <c r="BR862" s="551">
        <v>65596.824744685888</v>
      </c>
      <c r="BS862" s="551"/>
      <c r="BT862" s="551">
        <v>9938798.7344096135</v>
      </c>
      <c r="BU862" s="551">
        <v>464294.19913265423</v>
      </c>
      <c r="BV862" s="551">
        <v>11027977.812071297</v>
      </c>
      <c r="BW862" s="551">
        <v>152859.963782759</v>
      </c>
      <c r="BX862" s="551">
        <v>2307209.2757616262</v>
      </c>
      <c r="BY862" s="551">
        <v>54204884.597923167</v>
      </c>
      <c r="BZ862" s="551">
        <v>854521.95398578746</v>
      </c>
      <c r="CA862" s="551">
        <v>37284.150349222808</v>
      </c>
      <c r="CB862" s="551">
        <v>1.8513140858782237E-30</v>
      </c>
      <c r="CC862" s="551">
        <v>39190.313854543456</v>
      </c>
      <c r="CD862" s="551">
        <v>8734013.6955857612</v>
      </c>
      <c r="CE862" s="551">
        <v>43485.125635929129</v>
      </c>
      <c r="CF862" s="551">
        <v>143775.32819486203</v>
      </c>
      <c r="CG862" s="551">
        <v>680602.72814246325</v>
      </c>
      <c r="CH862" s="551">
        <v>1753850.519506322</v>
      </c>
      <c r="CI862" s="551">
        <v>252075.08449720862</v>
      </c>
      <c r="CJ862" s="551">
        <v>3233.7082927113984</v>
      </c>
      <c r="CK862" s="551">
        <v>4865625.1666118149</v>
      </c>
      <c r="CL862" s="551"/>
      <c r="CM862" s="551">
        <v>16138.246965083441</v>
      </c>
      <c r="CN862" s="551">
        <v>211872.17783845152</v>
      </c>
      <c r="CO862" s="551">
        <v>197.37673216674375</v>
      </c>
      <c r="CP862" s="551">
        <v>488929.34566857928</v>
      </c>
      <c r="CQ862" s="551"/>
      <c r="CR862" s="551">
        <v>1910.9166861776878</v>
      </c>
      <c r="CS862" s="551">
        <v>28696.768367242872</v>
      </c>
      <c r="CT862" s="551">
        <v>96.865588460004943</v>
      </c>
      <c r="CU862" s="551">
        <v>91553.141344775227</v>
      </c>
      <c r="CV862" s="551"/>
      <c r="CW862" s="551">
        <v>236.38994004561556</v>
      </c>
      <c r="CX862" s="551">
        <v>1777.7366733700335</v>
      </c>
      <c r="CY862" s="554"/>
    </row>
    <row r="863" spans="65:103" ht="12.75" customHeight="1" x14ac:dyDescent="0.3">
      <c r="BM863" s="562"/>
      <c r="BN863" s="591">
        <v>850</v>
      </c>
      <c r="BO863" s="549" t="s">
        <v>3552</v>
      </c>
      <c r="BP863" s="554" t="s">
        <v>619</v>
      </c>
      <c r="BQ863" s="553">
        <v>4.7300000000000004</v>
      </c>
      <c r="BR863" s="551">
        <v>188.8694526987365</v>
      </c>
      <c r="BS863" s="551"/>
      <c r="BT863" s="551">
        <v>23154156.34823776</v>
      </c>
      <c r="BU863" s="551">
        <v>1066778.5729702665</v>
      </c>
      <c r="BV863" s="551">
        <v>755616.18929227546</v>
      </c>
      <c r="BW863" s="551">
        <v>10127.715552670699</v>
      </c>
      <c r="BX863" s="551">
        <v>6058058.6194167128</v>
      </c>
      <c r="BY863" s="551">
        <v>67568911.401795506</v>
      </c>
      <c r="BZ863" s="551">
        <v>2243725.4145987811</v>
      </c>
      <c r="CA863" s="551">
        <v>0.12950160876442221</v>
      </c>
      <c r="CB863" s="551">
        <v>1.5178884747114074E-32</v>
      </c>
      <c r="CC863" s="551">
        <v>1383.4093379526853</v>
      </c>
      <c r="CD863" s="551">
        <v>12465262.998078424</v>
      </c>
      <c r="CE863" s="551">
        <v>45.146386525748625</v>
      </c>
      <c r="CF863" s="551">
        <v>5917.0966277595189</v>
      </c>
      <c r="CG863" s="551">
        <v>2152.5111175118204</v>
      </c>
      <c r="CH863" s="551">
        <v>8974.5530709515788</v>
      </c>
      <c r="CI863" s="551">
        <v>797.22633981919284</v>
      </c>
      <c r="CJ863" s="551">
        <v>1.5434066341350502E-5</v>
      </c>
      <c r="CK863" s="551">
        <v>4295187.076990094</v>
      </c>
      <c r="CL863" s="551"/>
      <c r="CM863" s="551">
        <v>410.21142875689571</v>
      </c>
      <c r="CN863" s="551">
        <v>0.92077656564530752</v>
      </c>
      <c r="CO863" s="551">
        <v>2.9986769259412395E-8</v>
      </c>
      <c r="CP863" s="551">
        <v>267713.3599931114</v>
      </c>
      <c r="CQ863" s="551"/>
      <c r="CR863" s="551">
        <v>26.302446280038509</v>
      </c>
      <c r="CS863" s="551">
        <v>6.2863750078435603E-3</v>
      </c>
      <c r="CT863" s="551">
        <v>5.9419543636885915E-8</v>
      </c>
      <c r="CU863" s="551">
        <v>48668.966239397567</v>
      </c>
      <c r="CV863" s="551"/>
      <c r="CW863" s="551">
        <v>4.4153765686662538</v>
      </c>
      <c r="CX863" s="551">
        <v>9.4965227848560387E-4</v>
      </c>
      <c r="CY863" s="554"/>
    </row>
    <row r="864" spans="65:103" ht="12.75" customHeight="1" x14ac:dyDescent="0.3">
      <c r="BM864" s="562"/>
      <c r="BN864" s="591">
        <v>851</v>
      </c>
      <c r="BO864" s="549" t="s">
        <v>3554</v>
      </c>
      <c r="BP864" s="554" t="s">
        <v>619</v>
      </c>
      <c r="BQ864" s="553">
        <v>4.7699999999999996</v>
      </c>
      <c r="BR864" s="551">
        <v>186990.05151754417</v>
      </c>
      <c r="BS864" s="551"/>
      <c r="BT864" s="551">
        <v>9474656.560898954</v>
      </c>
      <c r="BU864" s="551">
        <v>396717.50443770061</v>
      </c>
      <c r="BV864" s="551">
        <v>239132.80532887744</v>
      </c>
      <c r="BW864" s="551">
        <v>2939.1123000281978</v>
      </c>
      <c r="BX864" s="551">
        <v>165531.30445986742</v>
      </c>
      <c r="BY864" s="551">
        <v>18824335.611748617</v>
      </c>
      <c r="BZ864" s="551">
        <v>61307.890540691609</v>
      </c>
      <c r="CA864" s="551">
        <v>108312.69526895213</v>
      </c>
      <c r="CB864" s="551">
        <v>5.0378716618436141E-30</v>
      </c>
      <c r="CC864" s="551">
        <v>43967.083894205512</v>
      </c>
      <c r="CD864" s="551">
        <v>3354076.9509915607</v>
      </c>
      <c r="CE864" s="551">
        <v>1109.6942718896721</v>
      </c>
      <c r="CF864" s="551">
        <v>1242.4469189824272</v>
      </c>
      <c r="CG864" s="551">
        <v>49715.272102507726</v>
      </c>
      <c r="CH864" s="551">
        <v>223371.62302686664</v>
      </c>
      <c r="CI864" s="551">
        <v>18413.063741669532</v>
      </c>
      <c r="CJ864" s="551">
        <v>9535.0140979136359</v>
      </c>
      <c r="CK864" s="551">
        <v>594464.87182622321</v>
      </c>
      <c r="CL864" s="551"/>
      <c r="CM864" s="551">
        <v>44.035149142253687</v>
      </c>
      <c r="CN864" s="551">
        <v>15708.526629722117</v>
      </c>
      <c r="CO864" s="551">
        <v>256.13857384289338</v>
      </c>
      <c r="CP864" s="551">
        <v>34061.280481356211</v>
      </c>
      <c r="CQ864" s="551"/>
      <c r="CR864" s="551">
        <v>2.6743482649322647</v>
      </c>
      <c r="CS864" s="551">
        <v>1484.4369736557633</v>
      </c>
      <c r="CT864" s="551">
        <v>366.71058820379983</v>
      </c>
      <c r="CU864" s="551">
        <v>5226.3093179090883</v>
      </c>
      <c r="CV864" s="551"/>
      <c r="CW864" s="551">
        <v>0.34939332614897606</v>
      </c>
      <c r="CX864" s="551">
        <v>165.25445964212344</v>
      </c>
      <c r="CY864" s="554"/>
    </row>
    <row r="865" spans="65:103" ht="12.75" customHeight="1" x14ac:dyDescent="0.3">
      <c r="BM865" s="562"/>
      <c r="BN865" s="591">
        <v>852</v>
      </c>
      <c r="BO865" s="549" t="s">
        <v>3556</v>
      </c>
      <c r="BP865" s="554" t="s">
        <v>619</v>
      </c>
      <c r="BQ865" s="553">
        <v>4.78</v>
      </c>
      <c r="BR865" s="551">
        <v>1749.9551089029121</v>
      </c>
      <c r="BS865" s="551"/>
      <c r="BT865" s="551">
        <v>11891346.212574366</v>
      </c>
      <c r="BU865" s="551">
        <v>548264.66806359543</v>
      </c>
      <c r="BV865" s="551">
        <v>828098.63702124287</v>
      </c>
      <c r="BW865" s="551">
        <v>10575.06654794361</v>
      </c>
      <c r="BX865" s="551">
        <v>5288260.6159123285</v>
      </c>
      <c r="BY865" s="551">
        <v>46419496.006267242</v>
      </c>
      <c r="BZ865" s="551">
        <v>1958615.0429304927</v>
      </c>
      <c r="CA865" s="551">
        <v>19.353525119537963</v>
      </c>
      <c r="CB865" s="551">
        <v>1.3956402165757042E-31</v>
      </c>
      <c r="CC865" s="551">
        <v>8360.4696049289341</v>
      </c>
      <c r="CD865" s="551">
        <v>6473996.2914076708</v>
      </c>
      <c r="CE865" s="551">
        <v>582.21275883618819</v>
      </c>
      <c r="CF865" s="551">
        <v>6243.6032814752698</v>
      </c>
      <c r="CG865" s="551">
        <v>30307.111182169996</v>
      </c>
      <c r="CH865" s="551">
        <v>98407.146849497411</v>
      </c>
      <c r="CI865" s="551">
        <v>11224.855993396293</v>
      </c>
      <c r="CJ865" s="551">
        <v>3.1629340124092624E-2</v>
      </c>
      <c r="CK865" s="551">
        <v>2231057.6796439369</v>
      </c>
      <c r="CL865" s="551"/>
      <c r="CM865" s="551">
        <v>432.90270730971218</v>
      </c>
      <c r="CN865" s="551">
        <v>177.77809513454838</v>
      </c>
      <c r="CO865" s="551">
        <v>2.7032953581192844E-5</v>
      </c>
      <c r="CP865" s="551">
        <v>139066.41842733082</v>
      </c>
      <c r="CQ865" s="551"/>
      <c r="CR865" s="551">
        <v>28.410234614807358</v>
      </c>
      <c r="CS865" s="551">
        <v>0.28754243770699162</v>
      </c>
      <c r="CT865" s="551">
        <v>2.7259179781315788E-5</v>
      </c>
      <c r="CU865" s="551">
        <v>25281.774621044326</v>
      </c>
      <c r="CV865" s="551"/>
      <c r="CW865" s="551">
        <v>4.4809532166682144</v>
      </c>
      <c r="CX865" s="551">
        <v>4.465173156649755E-2</v>
      </c>
      <c r="CY865" s="554"/>
    </row>
    <row r="866" spans="65:103" ht="12.75" customHeight="1" x14ac:dyDescent="0.3">
      <c r="BM866" s="562"/>
      <c r="BN866" s="591">
        <v>853</v>
      </c>
      <c r="BO866" s="549" t="s">
        <v>3558</v>
      </c>
      <c r="BP866" s="554" t="s">
        <v>619</v>
      </c>
      <c r="BQ866" s="553">
        <v>4.8099999999999996</v>
      </c>
      <c r="BR866" s="551">
        <v>38327.773574118321</v>
      </c>
      <c r="BS866" s="551"/>
      <c r="BT866" s="551">
        <v>6672702.1594103556</v>
      </c>
      <c r="BU866" s="551">
        <v>282185.10463954083</v>
      </c>
      <c r="BV866" s="551">
        <v>1375541.9316422422</v>
      </c>
      <c r="BW866" s="551">
        <v>14099.93170943422</v>
      </c>
      <c r="BX866" s="551">
        <v>1526470.0020094158</v>
      </c>
      <c r="BY866" s="551">
        <v>20574715.642873473</v>
      </c>
      <c r="BZ866" s="551">
        <v>565359.26000348711</v>
      </c>
      <c r="CA866" s="551">
        <v>8358.0864539790655</v>
      </c>
      <c r="CB866" s="551">
        <v>1.4534468186312352E-30</v>
      </c>
      <c r="CC866" s="551">
        <v>14794.843630613435</v>
      </c>
      <c r="CD866" s="551">
        <v>1903400.2073849072</v>
      </c>
      <c r="CE866" s="551">
        <v>3049.8780403825604</v>
      </c>
      <c r="CF866" s="551">
        <v>4755.3560585935893</v>
      </c>
      <c r="CG866" s="551">
        <v>172498.21387163101</v>
      </c>
      <c r="CH866" s="551">
        <v>411524.93308220827</v>
      </c>
      <c r="CI866" s="551">
        <v>63888.227359863369</v>
      </c>
      <c r="CJ866" s="551">
        <v>270.86594210664589</v>
      </c>
      <c r="CK866" s="551">
        <v>282566.50703994517</v>
      </c>
      <c r="CL866" s="551"/>
      <c r="CM866" s="551">
        <v>141.16370932310392</v>
      </c>
      <c r="CN866" s="551">
        <v>20064.844593942398</v>
      </c>
      <c r="CO866" s="551">
        <v>3.9787392275455202</v>
      </c>
      <c r="CP866" s="551">
        <v>8236.396435859413</v>
      </c>
      <c r="CQ866" s="551"/>
      <c r="CR866" s="551">
        <v>5.4106620316959537</v>
      </c>
      <c r="CS866" s="551">
        <v>802.44500097160949</v>
      </c>
      <c r="CT866" s="551">
        <v>3.6814094068323708</v>
      </c>
      <c r="CU866" s="551">
        <v>1386.6999442137326</v>
      </c>
      <c r="CV866" s="551"/>
      <c r="CW866" s="551">
        <v>0.47516725692807005</v>
      </c>
      <c r="CX866" s="551">
        <v>69.454273563459424</v>
      </c>
      <c r="CY866" s="554"/>
    </row>
    <row r="867" spans="65:103" ht="12.75" customHeight="1" x14ac:dyDescent="0.3">
      <c r="BM867" s="562"/>
      <c r="BN867" s="591">
        <v>854</v>
      </c>
      <c r="BO867" s="549" t="s">
        <v>3560</v>
      </c>
      <c r="BP867" s="554" t="s">
        <v>619</v>
      </c>
      <c r="BQ867" s="553">
        <v>4.8899999999999997</v>
      </c>
      <c r="BR867" s="551">
        <v>39956.559624460351</v>
      </c>
      <c r="BS867" s="551"/>
      <c r="BT867" s="551">
        <v>8554378.1302616801</v>
      </c>
      <c r="BU867" s="551">
        <v>378604.06557248964</v>
      </c>
      <c r="BV867" s="551">
        <v>549321.77265551651</v>
      </c>
      <c r="BW867" s="551">
        <v>6774.9324597703853</v>
      </c>
      <c r="BX867" s="551">
        <v>27490.142811189678</v>
      </c>
      <c r="BY867" s="551">
        <v>37668842.048412487</v>
      </c>
      <c r="BZ867" s="551">
        <v>10181.534374514695</v>
      </c>
      <c r="CA867" s="551">
        <v>3419.2825748126966</v>
      </c>
      <c r="CB867" s="551">
        <v>1.3100096571798981E-31</v>
      </c>
      <c r="CC867" s="551">
        <v>911.84713319619584</v>
      </c>
      <c r="CD867" s="551">
        <v>4389544.1406165231</v>
      </c>
      <c r="CE867" s="551">
        <v>58.554517461208228</v>
      </c>
      <c r="CF867" s="551">
        <v>3927.4360454753009</v>
      </c>
      <c r="CG867" s="551">
        <v>1245.6972846625865</v>
      </c>
      <c r="CH867" s="551">
        <v>6968.1218090672119</v>
      </c>
      <c r="CI867" s="551">
        <v>461.36936468984675</v>
      </c>
      <c r="CJ867" s="551">
        <v>48.76494704181102</v>
      </c>
      <c r="CK867" s="551">
        <v>1505313.746386531</v>
      </c>
      <c r="CL867" s="551"/>
      <c r="CM867" s="551">
        <v>270.97775168001806</v>
      </c>
      <c r="CN867" s="551">
        <v>63.7659650830714</v>
      </c>
      <c r="CO867" s="551">
        <v>0.33806213907847427</v>
      </c>
      <c r="CP867" s="551">
        <v>93227.777158418699</v>
      </c>
      <c r="CQ867" s="551"/>
      <c r="CR867" s="551">
        <v>17.614124585802223</v>
      </c>
      <c r="CS867" s="551">
        <v>1.4644480275897815</v>
      </c>
      <c r="CT867" s="551">
        <v>0.38504229412207375</v>
      </c>
      <c r="CU867" s="551">
        <v>16988.885856907968</v>
      </c>
      <c r="CV867" s="551"/>
      <c r="CW867" s="551">
        <v>2.8079953654476273</v>
      </c>
      <c r="CX867" s="551">
        <v>0.14341819065877742</v>
      </c>
      <c r="CY867" s="554"/>
    </row>
    <row r="868" spans="65:103" ht="12.75" customHeight="1" x14ac:dyDescent="0.3">
      <c r="BM868" s="562"/>
      <c r="BN868" s="591">
        <v>855</v>
      </c>
      <c r="BO868" s="549" t="s">
        <v>3564</v>
      </c>
      <c r="BP868" s="554" t="s">
        <v>619</v>
      </c>
      <c r="BQ868" s="553">
        <v>4.9000000000000004</v>
      </c>
      <c r="BR868" s="551">
        <v>171039.80206263743</v>
      </c>
      <c r="BS868" s="551"/>
      <c r="BT868" s="551">
        <v>7551242.7155318549</v>
      </c>
      <c r="BU868" s="551">
        <v>316523.64618295897</v>
      </c>
      <c r="BV868" s="551">
        <v>592059.27496968512</v>
      </c>
      <c r="BW868" s="551">
        <v>6681.9144788240419</v>
      </c>
      <c r="BX868" s="551">
        <v>333874.86270967708</v>
      </c>
      <c r="BY868" s="551">
        <v>19998983.361899439</v>
      </c>
      <c r="BZ868" s="551">
        <v>123657.35655913959</v>
      </c>
      <c r="CA868" s="551">
        <v>127707.96072886404</v>
      </c>
      <c r="CB868" s="551">
        <v>5.6280356189792995E-30</v>
      </c>
      <c r="CC868" s="551">
        <v>41048.471196731254</v>
      </c>
      <c r="CD868" s="551">
        <v>3044217.4352940405</v>
      </c>
      <c r="CE868" s="551">
        <v>3218.4276166044242</v>
      </c>
      <c r="CF868" s="551">
        <v>3213.2197393274814</v>
      </c>
      <c r="CG868" s="551">
        <v>129621.96379789697</v>
      </c>
      <c r="CH868" s="551">
        <v>431260.58350754733</v>
      </c>
      <c r="CI868" s="551">
        <v>48008.134739961853</v>
      </c>
      <c r="CJ868" s="551">
        <v>14688.183465481938</v>
      </c>
      <c r="CK868" s="551">
        <v>603979.81553104741</v>
      </c>
      <c r="CL868" s="551"/>
      <c r="CM868" s="551">
        <v>127.48216249569835</v>
      </c>
      <c r="CN868" s="551">
        <v>53509.682078665617</v>
      </c>
      <c r="CO868" s="551">
        <v>507.7853597933493</v>
      </c>
      <c r="CP868" s="551">
        <v>50201.073965412368</v>
      </c>
      <c r="CQ868" s="551"/>
      <c r="CR868" s="551">
        <v>12.21486036145874</v>
      </c>
      <c r="CS868" s="551">
        <v>6841.8570759628083</v>
      </c>
      <c r="CT868" s="551">
        <v>748.47228046504256</v>
      </c>
      <c r="CU868" s="551">
        <v>7609.599440325308</v>
      </c>
      <c r="CV868" s="551"/>
      <c r="CW868" s="551">
        <v>1.2815006036271532</v>
      </c>
      <c r="CX868" s="551">
        <v>712.68178461485707</v>
      </c>
      <c r="CY868" s="554"/>
    </row>
    <row r="869" spans="65:103" ht="12.75" customHeight="1" x14ac:dyDescent="0.3">
      <c r="BM869" s="562"/>
      <c r="BN869" s="591">
        <v>856</v>
      </c>
      <c r="BO869" s="549" t="s">
        <v>3562</v>
      </c>
      <c r="BP869" s="554" t="s">
        <v>619</v>
      </c>
      <c r="BQ869" s="553">
        <v>4.9000000000000004</v>
      </c>
      <c r="BR869" s="551">
        <v>23939.640597043068</v>
      </c>
      <c r="BS869" s="551"/>
      <c r="BT869" s="551">
        <v>23840144.343693569</v>
      </c>
      <c r="BU869" s="551">
        <v>1096470.6491831988</v>
      </c>
      <c r="BV869" s="551">
        <v>473255.69007309683</v>
      </c>
      <c r="BW869" s="551">
        <v>6474.898495231555</v>
      </c>
      <c r="BX869" s="551">
        <v>2890279.3304761248</v>
      </c>
      <c r="BY869" s="551">
        <v>47674651.680251405</v>
      </c>
      <c r="BZ869" s="551">
        <v>1070473.8261022684</v>
      </c>
      <c r="CA869" s="551">
        <v>2195.1238817049352</v>
      </c>
      <c r="CB869" s="551">
        <v>1.6007219307869072E-30</v>
      </c>
      <c r="CC869" s="551">
        <v>178795.03554413156</v>
      </c>
      <c r="CD869" s="551">
        <v>13671972.481906131</v>
      </c>
      <c r="CE869" s="551">
        <v>3549.2976346204564</v>
      </c>
      <c r="CF869" s="551">
        <v>4036.7990751000261</v>
      </c>
      <c r="CG869" s="551">
        <v>137313.48167826238</v>
      </c>
      <c r="CH869" s="551">
        <v>711563.60912828776</v>
      </c>
      <c r="CI869" s="551">
        <v>50856.845066023088</v>
      </c>
      <c r="CJ869" s="551">
        <v>29.77109120727712</v>
      </c>
      <c r="CK869" s="551">
        <v>4729587.1806621626</v>
      </c>
      <c r="CL869" s="551"/>
      <c r="CM869" s="551">
        <v>280.96247003560268</v>
      </c>
      <c r="CN869" s="551">
        <v>6684.2479737896583</v>
      </c>
      <c r="CO869" s="551">
        <v>8.9534049387142892E-2</v>
      </c>
      <c r="CP869" s="551">
        <v>295144.98030730156</v>
      </c>
      <c r="CQ869" s="551"/>
      <c r="CR869" s="551">
        <v>17.872128178899224</v>
      </c>
      <c r="CS869" s="551">
        <v>67.11443480007442</v>
      </c>
      <c r="CT869" s="551">
        <v>0.19942105410300931</v>
      </c>
      <c r="CU869" s="551">
        <v>53647.96804703767</v>
      </c>
      <c r="CV869" s="551"/>
      <c r="CW869" s="551">
        <v>3.0767897854720547</v>
      </c>
      <c r="CX869" s="551">
        <v>12.480439369958949</v>
      </c>
      <c r="CY869" s="554"/>
    </row>
    <row r="870" spans="65:103" ht="12.75" customHeight="1" x14ac:dyDescent="0.3">
      <c r="BM870" s="562"/>
      <c r="BN870" s="591">
        <v>857</v>
      </c>
      <c r="BO870" s="549" t="s">
        <v>3566</v>
      </c>
      <c r="BP870" s="554" t="s">
        <v>619</v>
      </c>
      <c r="BQ870" s="553">
        <v>4.92</v>
      </c>
      <c r="BR870" s="551">
        <v>33962.375346623296</v>
      </c>
      <c r="BS870" s="551"/>
      <c r="BT870" s="551">
        <v>21017368.331361737</v>
      </c>
      <c r="BU870" s="551">
        <v>955912.60680945893</v>
      </c>
      <c r="BV870" s="551">
        <v>321980.65185752558</v>
      </c>
      <c r="BW870" s="551">
        <v>4394.9029540488937</v>
      </c>
      <c r="BX870" s="551">
        <v>40444.205002735398</v>
      </c>
      <c r="BY870" s="551">
        <v>28799262.022288647</v>
      </c>
      <c r="BZ870" s="551">
        <v>14979.335186198296</v>
      </c>
      <c r="CA870" s="551">
        <v>2665.0797810537856</v>
      </c>
      <c r="CB870" s="551">
        <v>1.401077809787542E-31</v>
      </c>
      <c r="CC870" s="551">
        <v>3894.7394510053355</v>
      </c>
      <c r="CD870" s="551">
        <v>11187674.452427143</v>
      </c>
      <c r="CE870" s="551">
        <v>59.666401971871856</v>
      </c>
      <c r="CF870" s="551">
        <v>2571.8221074633302</v>
      </c>
      <c r="CG870" s="551">
        <v>1545.1068352750765</v>
      </c>
      <c r="CH870" s="551">
        <v>10246.103738527267</v>
      </c>
      <c r="CI870" s="551">
        <v>572.26179084262071</v>
      </c>
      <c r="CJ870" s="551">
        <v>33.308551348493367</v>
      </c>
      <c r="CK870" s="551">
        <v>3852088.1843210836</v>
      </c>
      <c r="CL870" s="551"/>
      <c r="CM870" s="551">
        <v>178.16265913215099</v>
      </c>
      <c r="CN870" s="551">
        <v>69.311883315488046</v>
      </c>
      <c r="CO870" s="551">
        <v>0.18171675282614322</v>
      </c>
      <c r="CP870" s="551">
        <v>239838.92017043853</v>
      </c>
      <c r="CQ870" s="551"/>
      <c r="CR870" s="551">
        <v>11.26841552864855</v>
      </c>
      <c r="CS870" s="551">
        <v>1.2477912258014878</v>
      </c>
      <c r="CT870" s="551">
        <v>0.22270906244218924</v>
      </c>
      <c r="CU870" s="551">
        <v>43614.073273879789</v>
      </c>
      <c r="CV870" s="551"/>
      <c r="CW870" s="551">
        <v>1.95950809802606</v>
      </c>
      <c r="CX870" s="551">
        <v>0.13257925978390975</v>
      </c>
      <c r="CY870" s="554"/>
    </row>
    <row r="871" spans="65:103" ht="12.75" customHeight="1" x14ac:dyDescent="0.3">
      <c r="BM871" s="562"/>
      <c r="BN871" s="591">
        <v>858</v>
      </c>
      <c r="BO871" s="549" t="s">
        <v>3568</v>
      </c>
      <c r="BP871" s="554" t="s">
        <v>619</v>
      </c>
      <c r="BQ871" s="553">
        <v>4.97</v>
      </c>
      <c r="BR871" s="551">
        <v>16785.682311210709</v>
      </c>
      <c r="BS871" s="551"/>
      <c r="BT871" s="551">
        <v>5430755.4122191407</v>
      </c>
      <c r="BU871" s="551">
        <v>249083.92969715616</v>
      </c>
      <c r="BV871" s="551">
        <v>2495369.2016455773</v>
      </c>
      <c r="BW871" s="551">
        <v>28971.839250321929</v>
      </c>
      <c r="BX871" s="551">
        <v>857989.79883642413</v>
      </c>
      <c r="BY871" s="551">
        <v>11993086.691970672</v>
      </c>
      <c r="BZ871" s="551">
        <v>317773.99956904579</v>
      </c>
      <c r="CA871" s="551">
        <v>3635.9650978467184</v>
      </c>
      <c r="CB871" s="551">
        <v>5.503654864861459E-31</v>
      </c>
      <c r="CC871" s="551">
        <v>9643.6389081654179</v>
      </c>
      <c r="CD871" s="551">
        <v>3178473.1276373276</v>
      </c>
      <c r="CE871" s="551">
        <v>4431.1403656814</v>
      </c>
      <c r="CF871" s="551">
        <v>18484.976655727627</v>
      </c>
      <c r="CG871" s="551">
        <v>96308.520664037918</v>
      </c>
      <c r="CH871" s="551">
        <v>225493.96335351255</v>
      </c>
      <c r="CI871" s="551">
        <v>35669.822468162172</v>
      </c>
      <c r="CJ871" s="551">
        <v>117.03112740844188</v>
      </c>
      <c r="CK871" s="551">
        <v>1107683.5813855247</v>
      </c>
      <c r="CL871" s="551"/>
      <c r="CM871" s="551">
        <v>1296.0301748702609</v>
      </c>
      <c r="CN871" s="551">
        <v>11126.281674963444</v>
      </c>
      <c r="CO871" s="551">
        <v>3.6729210249013997</v>
      </c>
      <c r="CP871" s="551">
        <v>69812.974842121839</v>
      </c>
      <c r="CQ871" s="551"/>
      <c r="CR871" s="551">
        <v>97.510112458925036</v>
      </c>
      <c r="CS871" s="551">
        <v>473.95858360073669</v>
      </c>
      <c r="CT871" s="551">
        <v>1.0600945770433168</v>
      </c>
      <c r="CU871" s="551">
        <v>12652.780012749767</v>
      </c>
      <c r="CV871" s="551"/>
      <c r="CW871" s="551">
        <v>11.333713253147518</v>
      </c>
      <c r="CX871" s="551">
        <v>37.089640419554343</v>
      </c>
      <c r="CY871" s="554"/>
    </row>
    <row r="872" spans="65:103" ht="12.75" customHeight="1" x14ac:dyDescent="0.3">
      <c r="BM872" s="562"/>
      <c r="BN872" s="591">
        <v>859</v>
      </c>
      <c r="BO872" s="549" t="s">
        <v>3570</v>
      </c>
      <c r="BP872" s="554" t="s">
        <v>619</v>
      </c>
      <c r="BQ872" s="553">
        <v>4.9800000000000004</v>
      </c>
      <c r="BR872" s="551">
        <v>2903.2127328451766</v>
      </c>
      <c r="BS872" s="551"/>
      <c r="BT872" s="551">
        <v>28892680.408584125</v>
      </c>
      <c r="BU872" s="551">
        <v>1329105.2038734204</v>
      </c>
      <c r="BV872" s="551">
        <v>497942.43434161093</v>
      </c>
      <c r="BW872" s="551">
        <v>6848.3117756021147</v>
      </c>
      <c r="BX872" s="551">
        <v>3225359.4891702384</v>
      </c>
      <c r="BY872" s="551">
        <v>52146945.714425564</v>
      </c>
      <c r="BZ872" s="551">
        <v>1194577.5885815695</v>
      </c>
      <c r="CA872" s="551">
        <v>27.188645795524664</v>
      </c>
      <c r="CB872" s="551">
        <v>2.0229063938247587E-31</v>
      </c>
      <c r="CC872" s="551">
        <v>25499.150665263471</v>
      </c>
      <c r="CD872" s="551">
        <v>15631790.269873708</v>
      </c>
      <c r="CE872" s="551">
        <v>439.45764035559807</v>
      </c>
      <c r="CF872" s="551">
        <v>4027.197134844484</v>
      </c>
      <c r="CG872" s="551">
        <v>15652.526978671556</v>
      </c>
      <c r="CH872" s="551">
        <v>85872.155240991226</v>
      </c>
      <c r="CI872" s="551">
        <v>5797.2322143227984</v>
      </c>
      <c r="CJ872" s="551">
        <v>3.8043854449654788E-2</v>
      </c>
      <c r="CK872" s="551">
        <v>5386399.9974042587</v>
      </c>
      <c r="CL872" s="551"/>
      <c r="CM872" s="551">
        <v>279.19782387156226</v>
      </c>
      <c r="CN872" s="551">
        <v>78.611313147521429</v>
      </c>
      <c r="CO872" s="551">
        <v>1.9981788749553827E-5</v>
      </c>
      <c r="CP872" s="551">
        <v>335720.07139357016</v>
      </c>
      <c r="CQ872" s="551"/>
      <c r="CR872" s="551">
        <v>17.703122309462973</v>
      </c>
      <c r="CS872" s="551">
        <v>0.1359617002540951</v>
      </c>
      <c r="CT872" s="551">
        <v>4.2224368306946296E-5</v>
      </c>
      <c r="CU872" s="551">
        <v>61032.076008829994</v>
      </c>
      <c r="CV872" s="551"/>
      <c r="CW872" s="551">
        <v>3.0649672212248897</v>
      </c>
      <c r="CX872" s="551">
        <v>2.4558539145840136E-2</v>
      </c>
      <c r="CY872" s="554"/>
    </row>
    <row r="873" spans="65:103" ht="12.75" customHeight="1" x14ac:dyDescent="0.3">
      <c r="BM873" s="562"/>
      <c r="BN873" s="591">
        <v>860</v>
      </c>
      <c r="BO873" s="549" t="s">
        <v>3572</v>
      </c>
      <c r="BP873" s="554" t="s">
        <v>619</v>
      </c>
      <c r="BQ873" s="553">
        <v>4.99</v>
      </c>
      <c r="BR873" s="551">
        <v>17611.066781587655</v>
      </c>
      <c r="BS873" s="551"/>
      <c r="BT873" s="551">
        <v>834350.83695437992</v>
      </c>
      <c r="BU873" s="551">
        <v>30363.595162079819</v>
      </c>
      <c r="BV873" s="551">
        <v>23403072.817134757</v>
      </c>
      <c r="BW873" s="551">
        <v>439687.0284874356</v>
      </c>
      <c r="BX873" s="551">
        <v>16373.445077883027</v>
      </c>
      <c r="BY873" s="551">
        <v>6853481.5200096983</v>
      </c>
      <c r="BZ873" s="551">
        <v>6064.2389177344539</v>
      </c>
      <c r="CA873" s="551">
        <v>1721.7048567057377</v>
      </c>
      <c r="CB873" s="551">
        <v>2.0355399287928381E-32</v>
      </c>
      <c r="CC873" s="551">
        <v>29.351847084439321</v>
      </c>
      <c r="CD873" s="551">
        <v>338205.10147225187</v>
      </c>
      <c r="CE873" s="551">
        <v>823.30284121486034</v>
      </c>
      <c r="CF873" s="551">
        <v>244872.84080137275</v>
      </c>
      <c r="CG873" s="551">
        <v>803.55510210523403</v>
      </c>
      <c r="CH873" s="551">
        <v>2467.9195507386917</v>
      </c>
      <c r="CI873" s="551">
        <v>297.61300077971617</v>
      </c>
      <c r="CJ873" s="551">
        <v>27.2973397163058</v>
      </c>
      <c r="CK873" s="551">
        <v>124902.13184617614</v>
      </c>
      <c r="CL873" s="551"/>
      <c r="CM873" s="551">
        <v>18084.482530940677</v>
      </c>
      <c r="CN873" s="551">
        <v>45.727866409912046</v>
      </c>
      <c r="CO873" s="551">
        <v>0.24171381243871337</v>
      </c>
      <c r="CP873" s="551">
        <v>7997.4362921097063</v>
      </c>
      <c r="CQ873" s="551"/>
      <c r="CR873" s="551">
        <v>1756.5383226388403</v>
      </c>
      <c r="CS873" s="551">
        <v>1.4158679169792667</v>
      </c>
      <c r="CT873" s="551">
        <v>0.20840263804693338</v>
      </c>
      <c r="CU873" s="551">
        <v>1552.1589492976707</v>
      </c>
      <c r="CV873" s="551"/>
      <c r="CW873" s="551">
        <v>136.84210367721261</v>
      </c>
      <c r="CX873" s="551">
        <v>9.2573550210082456E-2</v>
      </c>
      <c r="CY873" s="554"/>
    </row>
    <row r="874" spans="65:103" ht="12.75" customHeight="1" x14ac:dyDescent="0.3">
      <c r="BM874" s="562"/>
      <c r="BN874" s="591">
        <v>861</v>
      </c>
      <c r="BO874" s="549" t="s">
        <v>3574</v>
      </c>
      <c r="BP874" s="554" t="s">
        <v>619</v>
      </c>
      <c r="BQ874" s="553">
        <v>5</v>
      </c>
      <c r="BR874" s="551">
        <v>52125.457031665122</v>
      </c>
      <c r="BS874" s="551"/>
      <c r="BT874" s="551">
        <v>6127819.4280179469</v>
      </c>
      <c r="BU874" s="551">
        <v>264981.27328661561</v>
      </c>
      <c r="BV874" s="551">
        <v>495245.99873726245</v>
      </c>
      <c r="BW874" s="551">
        <v>5863.3893528259487</v>
      </c>
      <c r="BX874" s="551">
        <v>22973.627587645733</v>
      </c>
      <c r="BY874" s="551">
        <v>37997116.100801945</v>
      </c>
      <c r="BZ874" s="551">
        <v>8508.7509583873089</v>
      </c>
      <c r="CA874" s="551">
        <v>5425.2561301709402</v>
      </c>
      <c r="CB874" s="551">
        <v>1.8888403744848157E-31</v>
      </c>
      <c r="CC874" s="551">
        <v>872.79428944984033</v>
      </c>
      <c r="CD874" s="551">
        <v>3070868.455900427</v>
      </c>
      <c r="CE874" s="551">
        <v>70.538612413156017</v>
      </c>
      <c r="CF874" s="551">
        <v>3397.5414913150935</v>
      </c>
      <c r="CG874" s="551">
        <v>1297.8360245180488</v>
      </c>
      <c r="CH874" s="551">
        <v>7408.7944616409168</v>
      </c>
      <c r="CI874" s="551">
        <v>480.68000908075885</v>
      </c>
      <c r="CJ874" s="551">
        <v>91.163657473995769</v>
      </c>
      <c r="CK874" s="551">
        <v>1050051.2097169587</v>
      </c>
      <c r="CL874" s="551"/>
      <c r="CM874" s="551">
        <v>233.73845141883885</v>
      </c>
      <c r="CN874" s="551">
        <v>78.27534213791084</v>
      </c>
      <c r="CO874" s="551">
        <v>0.66361599676087601</v>
      </c>
      <c r="CP874" s="551">
        <v>64721.259365529681</v>
      </c>
      <c r="CQ874" s="551"/>
      <c r="CR874" s="551">
        <v>15.263325787157228</v>
      </c>
      <c r="CS874" s="551">
        <v>1.8629565951974854</v>
      </c>
      <c r="CT874" s="551">
        <v>0.76423641525502095</v>
      </c>
      <c r="CU874" s="551">
        <v>11824.305346625024</v>
      </c>
      <c r="CV874" s="551"/>
      <c r="CW874" s="551">
        <v>2.3800187016202861</v>
      </c>
      <c r="CX874" s="551">
        <v>0.18826543080504715</v>
      </c>
      <c r="CY874" s="554"/>
    </row>
    <row r="875" spans="65:103" ht="12.75" customHeight="1" x14ac:dyDescent="0.3">
      <c r="BM875" s="562"/>
      <c r="BN875" s="591">
        <v>862</v>
      </c>
      <c r="BO875" s="549" t="s">
        <v>3576</v>
      </c>
      <c r="BP875" s="554" t="s">
        <v>619</v>
      </c>
      <c r="BQ875" s="553">
        <v>5.01</v>
      </c>
      <c r="BR875" s="551">
        <v>131.84897077869661</v>
      </c>
      <c r="BS875" s="551"/>
      <c r="BT875" s="551">
        <v>20054095.542256352</v>
      </c>
      <c r="BU875" s="551">
        <v>943175.55690778</v>
      </c>
      <c r="BV875" s="551">
        <v>680273.54828272865</v>
      </c>
      <c r="BW875" s="551">
        <v>9301.1623036910933</v>
      </c>
      <c r="BX875" s="551">
        <v>4602898.1610020325</v>
      </c>
      <c r="BY875" s="551">
        <v>59449981.866747558</v>
      </c>
      <c r="BZ875" s="551">
        <v>1704777.0966674197</v>
      </c>
      <c r="CA875" s="551">
        <v>9.8838544704996131E-2</v>
      </c>
      <c r="CB875" s="551">
        <v>1.0577987034637189E-32</v>
      </c>
      <c r="CC875" s="551">
        <v>1470.6249201262967</v>
      </c>
      <c r="CD875" s="551">
        <v>15223432.729888845</v>
      </c>
      <c r="CE875" s="551">
        <v>49.8864299563798</v>
      </c>
      <c r="CF875" s="551">
        <v>7506.3235896529923</v>
      </c>
      <c r="CG875" s="551">
        <v>1788.0491505386244</v>
      </c>
      <c r="CH875" s="551">
        <v>8622.5498478357204</v>
      </c>
      <c r="CI875" s="551">
        <v>662.24042612541609</v>
      </c>
      <c r="CJ875" s="551">
        <v>1.5571825230529128E-5</v>
      </c>
      <c r="CK875" s="551">
        <v>8178127.0966522191</v>
      </c>
      <c r="CL875" s="551"/>
      <c r="CM875" s="551">
        <v>812.55400691094474</v>
      </c>
      <c r="CN875" s="551">
        <v>1.0111050665190797</v>
      </c>
      <c r="CO875" s="551">
        <v>9.0157511485171716E-8</v>
      </c>
      <c r="CP875" s="551">
        <v>771675.77169524506</v>
      </c>
      <c r="CQ875" s="551"/>
      <c r="CR875" s="551">
        <v>78.080506440177643</v>
      </c>
      <c r="CS875" s="551">
        <v>1.9246755164820221E-2</v>
      </c>
      <c r="CT875" s="551">
        <v>1.8279805325373841E-7</v>
      </c>
      <c r="CU875" s="551">
        <v>147824.66929802182</v>
      </c>
      <c r="CV875" s="551"/>
      <c r="CW875" s="551">
        <v>14.204991312491304</v>
      </c>
      <c r="CX875" s="551">
        <v>3.2808602702170731E-3</v>
      </c>
      <c r="CY875" s="554"/>
    </row>
    <row r="876" spans="65:103" ht="12.75" customHeight="1" x14ac:dyDescent="0.3">
      <c r="BM876" s="562"/>
      <c r="BN876" s="591">
        <v>863</v>
      </c>
      <c r="BO876" s="549" t="s">
        <v>3578</v>
      </c>
      <c r="BP876" s="554" t="s">
        <v>619</v>
      </c>
      <c r="BQ876" s="553">
        <v>5.04</v>
      </c>
      <c r="BR876" s="551">
        <v>4159.5811555818445</v>
      </c>
      <c r="BS876" s="551"/>
      <c r="BT876" s="551">
        <v>5581168.1424074499</v>
      </c>
      <c r="BU876" s="551">
        <v>237135.64092949932</v>
      </c>
      <c r="BV876" s="551">
        <v>509873.66943768429</v>
      </c>
      <c r="BW876" s="551">
        <v>5739.1380128799092</v>
      </c>
      <c r="BX876" s="551">
        <v>1447847.5553608618</v>
      </c>
      <c r="BY876" s="551">
        <v>12529347.97070705</v>
      </c>
      <c r="BZ876" s="551">
        <v>536239.8353188379</v>
      </c>
      <c r="CA876" s="551">
        <v>109.49690589421193</v>
      </c>
      <c r="CB876" s="551">
        <v>2.2581460728557711E-31</v>
      </c>
      <c r="CC876" s="551">
        <v>2919.4298038280226</v>
      </c>
      <c r="CD876" s="551">
        <v>1369851.1123321238</v>
      </c>
      <c r="CE876" s="551">
        <v>266.70767637927628</v>
      </c>
      <c r="CF876" s="551">
        <v>1657.651409960012</v>
      </c>
      <c r="CG876" s="551">
        <v>19750.283794152569</v>
      </c>
      <c r="CH876" s="551">
        <v>48191.218383175998</v>
      </c>
      <c r="CI876" s="551">
        <v>7314.9199237602115</v>
      </c>
      <c r="CJ876" s="551">
        <v>0.42360661317299719</v>
      </c>
      <c r="CK876" s="551">
        <v>194348.35871127923</v>
      </c>
      <c r="CL876" s="551"/>
      <c r="CM876" s="551">
        <v>47.028547746814496</v>
      </c>
      <c r="CN876" s="551">
        <v>274.24447064851211</v>
      </c>
      <c r="CO876" s="551">
        <v>7.3868930375193685E-4</v>
      </c>
      <c r="CP876" s="551">
        <v>5139.7915480986894</v>
      </c>
      <c r="CQ876" s="551"/>
      <c r="CR876" s="551">
        <v>1.4585114813826965</v>
      </c>
      <c r="CS876" s="551">
        <v>1.1395061247797211</v>
      </c>
      <c r="CT876" s="551">
        <v>6.9724862778621952E-4</v>
      </c>
      <c r="CU876" s="551">
        <v>883.94347976610459</v>
      </c>
      <c r="CV876" s="551"/>
      <c r="CW876" s="551">
        <v>0.16691124147414271</v>
      </c>
      <c r="CX876" s="551">
        <v>0.11928129334790863</v>
      </c>
      <c r="CY876" s="554"/>
    </row>
    <row r="877" spans="65:103" ht="12.75" customHeight="1" x14ac:dyDescent="0.3">
      <c r="BM877" s="562"/>
      <c r="BN877" s="591">
        <v>864</v>
      </c>
      <c r="BO877" s="549" t="s">
        <v>3580</v>
      </c>
      <c r="BP877" s="554" t="s">
        <v>619</v>
      </c>
      <c r="BQ877" s="553">
        <v>5.05</v>
      </c>
      <c r="BR877" s="551">
        <v>124184.48735266614</v>
      </c>
      <c r="BS877" s="551"/>
      <c r="BT877" s="551">
        <v>4186458.0222612754</v>
      </c>
      <c r="BU877" s="551">
        <v>169138.00288366916</v>
      </c>
      <c r="BV877" s="551">
        <v>524163.94818832859</v>
      </c>
      <c r="BW877" s="551">
        <v>5414.7239397934327</v>
      </c>
      <c r="BX877" s="551">
        <v>74337.889078711582</v>
      </c>
      <c r="BY877" s="551">
        <v>15676699.487981312</v>
      </c>
      <c r="BZ877" s="551">
        <v>27532.551510633915</v>
      </c>
      <c r="CA877" s="551">
        <v>48271.771238770729</v>
      </c>
      <c r="CB877" s="551">
        <v>1.6279636134117157E-30</v>
      </c>
      <c r="CC877" s="551">
        <v>5991.1894552631074</v>
      </c>
      <c r="CD877" s="551">
        <v>1293058.8100518773</v>
      </c>
      <c r="CE877" s="551">
        <v>750.12468834424226</v>
      </c>
      <c r="CF877" s="551">
        <v>2069.7762699623122</v>
      </c>
      <c r="CG877" s="551">
        <v>15111.592102983872</v>
      </c>
      <c r="CH877" s="551">
        <v>58806.397552597962</v>
      </c>
      <c r="CI877" s="551">
        <v>5596.8859640680994</v>
      </c>
      <c r="CJ877" s="551">
        <v>2810.9878629647592</v>
      </c>
      <c r="CK877" s="551">
        <v>207514.10750792705</v>
      </c>
      <c r="CL877" s="551"/>
      <c r="CM877" s="551">
        <v>66.421719317582486</v>
      </c>
      <c r="CN877" s="551">
        <v>3158.4907807022169</v>
      </c>
      <c r="CO877" s="551">
        <v>51.75026482078556</v>
      </c>
      <c r="CP877" s="551">
        <v>8239.774251826093</v>
      </c>
      <c r="CQ877" s="551"/>
      <c r="CR877" s="551">
        <v>3.2191299930407844</v>
      </c>
      <c r="CS877" s="551">
        <v>197.13283961601661</v>
      </c>
      <c r="CT877" s="551">
        <v>71.847746581648863</v>
      </c>
      <c r="CU877" s="551">
        <v>1262.7900114140934</v>
      </c>
      <c r="CV877" s="551"/>
      <c r="CW877" s="551">
        <v>0.30041441843085159</v>
      </c>
      <c r="CX877" s="551">
        <v>22.254051165296904</v>
      </c>
      <c r="CY877" s="554"/>
    </row>
    <row r="878" spans="65:103" ht="12.75" customHeight="1" x14ac:dyDescent="0.3">
      <c r="BM878" s="562"/>
      <c r="BN878" s="591">
        <v>865</v>
      </c>
      <c r="BO878" s="549" t="s">
        <v>3582</v>
      </c>
      <c r="BP878" s="554" t="s">
        <v>619</v>
      </c>
      <c r="BQ878" s="553">
        <v>5.07</v>
      </c>
      <c r="BR878" s="551">
        <v>101355.44487110544</v>
      </c>
      <c r="BS878" s="551"/>
      <c r="BT878" s="551">
        <v>2249898.0088333404</v>
      </c>
      <c r="BU878" s="551">
        <v>87198.268786578192</v>
      </c>
      <c r="BV878" s="551">
        <v>335524.52303860063</v>
      </c>
      <c r="BW878" s="551">
        <v>3387.7668553833187</v>
      </c>
      <c r="BX878" s="551">
        <v>12757.812293662417</v>
      </c>
      <c r="BY878" s="551">
        <v>34579360.390125968</v>
      </c>
      <c r="BZ878" s="551">
        <v>4725.1156643194136</v>
      </c>
      <c r="CA878" s="551">
        <v>21974.505993813433</v>
      </c>
      <c r="CB878" s="551">
        <v>4.1516695850411062E-31</v>
      </c>
      <c r="CC878" s="551">
        <v>733.27257511486539</v>
      </c>
      <c r="CD878" s="551">
        <v>1090692.7395247908</v>
      </c>
      <c r="CE878" s="551">
        <v>109.35203731758416</v>
      </c>
      <c r="CF878" s="551">
        <v>2118.7420139114415</v>
      </c>
      <c r="CG878" s="551">
        <v>1598.4965886793677</v>
      </c>
      <c r="CH878" s="551">
        <v>9487.370158432579</v>
      </c>
      <c r="CI878" s="551">
        <v>592.03577358495102</v>
      </c>
      <c r="CJ878" s="551">
        <v>719.80793934170731</v>
      </c>
      <c r="CK878" s="551">
        <v>373257.938631394</v>
      </c>
      <c r="CL878" s="551"/>
      <c r="CM878" s="551">
        <v>145.88067681002664</v>
      </c>
      <c r="CN878" s="551">
        <v>187.93725580633293</v>
      </c>
      <c r="CO878" s="551">
        <v>8.0185769351040221</v>
      </c>
      <c r="CP878" s="551">
        <v>22799.148056684622</v>
      </c>
      <c r="CQ878" s="551"/>
      <c r="CR878" s="551">
        <v>9.7535775788710577</v>
      </c>
      <c r="CS878" s="551">
        <v>6.6687468442227784</v>
      </c>
      <c r="CT878" s="551">
        <v>10.303175263809708</v>
      </c>
      <c r="CU878" s="551">
        <v>4207.8702027583777</v>
      </c>
      <c r="CV878" s="551"/>
      <c r="CW878" s="551">
        <v>1.4139836452118577</v>
      </c>
      <c r="CX878" s="551">
        <v>0.78253097422119144</v>
      </c>
      <c r="CY878" s="554"/>
    </row>
    <row r="879" spans="65:103" ht="12.75" customHeight="1" x14ac:dyDescent="0.3">
      <c r="BM879" s="562"/>
      <c r="BN879" s="591">
        <v>866</v>
      </c>
      <c r="BO879" s="549" t="s">
        <v>3584</v>
      </c>
      <c r="BP879" s="554" t="s">
        <v>619</v>
      </c>
      <c r="BQ879" s="553">
        <v>5.08</v>
      </c>
      <c r="BR879" s="551">
        <v>8.2890422214520694</v>
      </c>
      <c r="BS879" s="551"/>
      <c r="BT879" s="551">
        <v>10334103.400665684</v>
      </c>
      <c r="BU879" s="551">
        <v>476378.07241767109</v>
      </c>
      <c r="BV879" s="551">
        <v>762216.52226433018</v>
      </c>
      <c r="BW879" s="551">
        <v>9689.1518739352468</v>
      </c>
      <c r="BX879" s="551">
        <v>5559348.1221030103</v>
      </c>
      <c r="BY879" s="551">
        <v>52190092.557475641</v>
      </c>
      <c r="BZ879" s="551">
        <v>2059017.8230011142</v>
      </c>
      <c r="CA879" s="551">
        <v>5.1507601338031189E-4</v>
      </c>
      <c r="CB879" s="551">
        <v>6.6600062288902722E-34</v>
      </c>
      <c r="CC879" s="551">
        <v>46.417255763965343</v>
      </c>
      <c r="CD879" s="551">
        <v>5563270.7920152051</v>
      </c>
      <c r="CE879" s="551">
        <v>3.4236157593685932</v>
      </c>
      <c r="CF879" s="551">
        <v>5657.6256067053846</v>
      </c>
      <c r="CG879" s="551">
        <v>179.01496365992318</v>
      </c>
      <c r="CH879" s="551">
        <v>628.41725804957616</v>
      </c>
      <c r="CI879" s="551">
        <v>66.301838392564122</v>
      </c>
      <c r="CJ879" s="551">
        <v>6.8945328496758575E-9</v>
      </c>
      <c r="CK879" s="551">
        <v>1917067.2778311558</v>
      </c>
      <c r="CL879" s="551"/>
      <c r="CM879" s="551">
        <v>392.24536047709938</v>
      </c>
      <c r="CN879" s="551">
        <v>8.6005556355810003E-3</v>
      </c>
      <c r="CO879" s="551">
        <v>1.1538862457509772E-10</v>
      </c>
      <c r="CP879" s="551">
        <v>119495.1189269215</v>
      </c>
      <c r="CQ879" s="551"/>
      <c r="CR879" s="551">
        <v>25.802234179197157</v>
      </c>
      <c r="CS879" s="551">
        <v>1.2634643684008632E-4</v>
      </c>
      <c r="CT879" s="551">
        <v>3.1548338752480233E-11</v>
      </c>
      <c r="CU879" s="551">
        <v>21723.800416495233</v>
      </c>
      <c r="CV879" s="551"/>
      <c r="CW879" s="551">
        <v>4.0446946593275506</v>
      </c>
      <c r="CX879" s="551">
        <v>1.7216632606660573E-5</v>
      </c>
      <c r="CY879" s="554"/>
    </row>
    <row r="880" spans="65:103" ht="12.75" customHeight="1" x14ac:dyDescent="0.3">
      <c r="BM880" s="562"/>
      <c r="BN880" s="591">
        <v>867</v>
      </c>
      <c r="BO880" s="549" t="s">
        <v>3586</v>
      </c>
      <c r="BP880" s="554" t="s">
        <v>619</v>
      </c>
      <c r="BQ880" s="553">
        <v>5.09</v>
      </c>
      <c r="BR880" s="551">
        <v>21089.013530199329</v>
      </c>
      <c r="BS880" s="551"/>
      <c r="BT880" s="551">
        <v>13084563.826605609</v>
      </c>
      <c r="BU880" s="551">
        <v>594788.0399542806</v>
      </c>
      <c r="BV880" s="551">
        <v>1378194.7171790001</v>
      </c>
      <c r="BW880" s="551">
        <v>16788.089438561616</v>
      </c>
      <c r="BX880" s="551">
        <v>104278.3119120529</v>
      </c>
      <c r="BY880" s="551">
        <v>42342819.900329418</v>
      </c>
      <c r="BZ880" s="551">
        <v>38621.59700446402</v>
      </c>
      <c r="CA880" s="551">
        <v>1439.65409926645</v>
      </c>
      <c r="CB880" s="551">
        <v>6.7671440022736447E-32</v>
      </c>
      <c r="CC880" s="551">
        <v>1145.4565892106448</v>
      </c>
      <c r="CD880" s="551">
        <v>6949976.8945646165</v>
      </c>
      <c r="CE880" s="551">
        <v>120.65073325547164</v>
      </c>
      <c r="CF880" s="551">
        <v>9808.2699940348557</v>
      </c>
      <c r="CG880" s="551">
        <v>3776.2603155611546</v>
      </c>
      <c r="CH880" s="551">
        <v>14636.40174878148</v>
      </c>
      <c r="CI880" s="551">
        <v>1398.6149316893166</v>
      </c>
      <c r="CJ880" s="551">
        <v>15.933804969724218</v>
      </c>
      <c r="CK880" s="551">
        <v>2392938.1993332105</v>
      </c>
      <c r="CL880" s="551"/>
      <c r="CM880" s="551">
        <v>679.44692968454217</v>
      </c>
      <c r="CN880" s="551">
        <v>150.01231698060846</v>
      </c>
      <c r="CO880" s="551">
        <v>8.4837080235087584E-2</v>
      </c>
      <c r="CP880" s="551">
        <v>148990.97937157334</v>
      </c>
      <c r="CQ880" s="551"/>
      <c r="CR880" s="551">
        <v>45.392070369541841</v>
      </c>
      <c r="CS880" s="551">
        <v>2.8815215295264558</v>
      </c>
      <c r="CT880" s="551">
        <v>0.1016754790176225</v>
      </c>
      <c r="CU880" s="551">
        <v>27095.131732146427</v>
      </c>
      <c r="CV880" s="551"/>
      <c r="CW880" s="551">
        <v>6.8181705645328332</v>
      </c>
      <c r="CX880" s="551">
        <v>0.2554889867042579</v>
      </c>
      <c r="CY880" s="554"/>
    </row>
    <row r="881" spans="65:103" ht="12.75" customHeight="1" x14ac:dyDescent="0.3">
      <c r="BM881" s="562"/>
      <c r="BN881" s="591">
        <v>868</v>
      </c>
      <c r="BO881" s="549" t="s">
        <v>3590</v>
      </c>
      <c r="BP881" s="554" t="s">
        <v>619</v>
      </c>
      <c r="BQ881" s="553">
        <v>5.0999999999999996</v>
      </c>
      <c r="BR881" s="551">
        <v>49625.667648280796</v>
      </c>
      <c r="BS881" s="551"/>
      <c r="BT881" s="551">
        <v>6472253.7445959495</v>
      </c>
      <c r="BU881" s="551">
        <v>263189.91602063755</v>
      </c>
      <c r="BV881" s="551">
        <v>310911.85507159767</v>
      </c>
      <c r="BW881" s="551">
        <v>3560.3638873712721</v>
      </c>
      <c r="BX881" s="551">
        <v>21114.822495435259</v>
      </c>
      <c r="BY881" s="551">
        <v>18845793.595987115</v>
      </c>
      <c r="BZ881" s="551">
        <v>7820.3046279389837</v>
      </c>
      <c r="CA881" s="551">
        <v>5057.9439568596672</v>
      </c>
      <c r="CB881" s="551">
        <v>1.9963901334842931E-31</v>
      </c>
      <c r="CC881" s="551">
        <v>890.12761244534033</v>
      </c>
      <c r="CD881" s="551">
        <v>1491115.3625081056</v>
      </c>
      <c r="CE881" s="551">
        <v>42.759638011242728</v>
      </c>
      <c r="CF881" s="551">
        <v>1008.5708010488689</v>
      </c>
      <c r="CG881" s="551">
        <v>1121.0023336920785</v>
      </c>
      <c r="CH881" s="551">
        <v>4868.3246560859634</v>
      </c>
      <c r="CI881" s="551">
        <v>415.18604951558473</v>
      </c>
      <c r="CJ881" s="551">
        <v>76.670777943187417</v>
      </c>
      <c r="CK881" s="551">
        <v>211531.46448079968</v>
      </c>
      <c r="CL881" s="551"/>
      <c r="CM881" s="551">
        <v>28.611181355142502</v>
      </c>
      <c r="CN881" s="551">
        <v>60.991038611137569</v>
      </c>
      <c r="CO881" s="551">
        <v>0.38272443735903744</v>
      </c>
      <c r="CP881" s="551">
        <v>5597.2138794648072</v>
      </c>
      <c r="CQ881" s="551"/>
      <c r="CR881" s="551">
        <v>0.83440083439417978</v>
      </c>
      <c r="CS881" s="551">
        <v>1.0465987778236954</v>
      </c>
      <c r="CT881" s="551">
        <v>0.50121333414069258</v>
      </c>
      <c r="CU881" s="551">
        <v>962.65478494809486</v>
      </c>
      <c r="CV881" s="551"/>
      <c r="CW881" s="551">
        <v>0.11061307614136716</v>
      </c>
      <c r="CX881" s="551">
        <v>0.11040428420297622</v>
      </c>
      <c r="CY881" s="554"/>
    </row>
    <row r="882" spans="65:103" ht="12.75" customHeight="1" x14ac:dyDescent="0.3">
      <c r="BM882" s="562"/>
      <c r="BN882" s="591">
        <v>869</v>
      </c>
      <c r="BO882" s="549" t="s">
        <v>3588</v>
      </c>
      <c r="BP882" s="554" t="s">
        <v>619</v>
      </c>
      <c r="BQ882" s="553">
        <v>5.0999999999999996</v>
      </c>
      <c r="BR882" s="551">
        <v>49625.667648280796</v>
      </c>
      <c r="BS882" s="551"/>
      <c r="BT882" s="551">
        <v>6472253.7445959495</v>
      </c>
      <c r="BU882" s="551">
        <v>263189.91602063755</v>
      </c>
      <c r="BV882" s="551">
        <v>310911.85507159767</v>
      </c>
      <c r="BW882" s="551">
        <v>3560.3638873712721</v>
      </c>
      <c r="BX882" s="551">
        <v>21114.822495435259</v>
      </c>
      <c r="BY882" s="551">
        <v>18845793.595987115</v>
      </c>
      <c r="BZ882" s="551">
        <v>7820.3046279389837</v>
      </c>
      <c r="CA882" s="551">
        <v>5057.9439568596672</v>
      </c>
      <c r="CB882" s="551">
        <v>1.9963901334842931E-31</v>
      </c>
      <c r="CC882" s="551">
        <v>890.12761244534033</v>
      </c>
      <c r="CD882" s="551">
        <v>1491115.3625081056</v>
      </c>
      <c r="CE882" s="551">
        <v>42.759638011242728</v>
      </c>
      <c r="CF882" s="551">
        <v>1008.5708010488689</v>
      </c>
      <c r="CG882" s="551">
        <v>1121.0023336920785</v>
      </c>
      <c r="CH882" s="551">
        <v>4868.3246560859634</v>
      </c>
      <c r="CI882" s="551">
        <v>415.18604951558473</v>
      </c>
      <c r="CJ882" s="551">
        <v>76.670777943187417</v>
      </c>
      <c r="CK882" s="551">
        <v>211531.46448079968</v>
      </c>
      <c r="CL882" s="551"/>
      <c r="CM882" s="551">
        <v>28.611181355142502</v>
      </c>
      <c r="CN882" s="551">
        <v>60.991038611137569</v>
      </c>
      <c r="CO882" s="551">
        <v>0.38272443735903744</v>
      </c>
      <c r="CP882" s="551">
        <v>5597.2138794648072</v>
      </c>
      <c r="CQ882" s="551"/>
      <c r="CR882" s="551">
        <v>0.83440083439417978</v>
      </c>
      <c r="CS882" s="551">
        <v>1.0465987778236954</v>
      </c>
      <c r="CT882" s="551">
        <v>0.50121333414069258</v>
      </c>
      <c r="CU882" s="551">
        <v>962.65478494809486</v>
      </c>
      <c r="CV882" s="551"/>
      <c r="CW882" s="551">
        <v>0.11061307614136716</v>
      </c>
      <c r="CX882" s="551">
        <v>0.11040428420297622</v>
      </c>
      <c r="CY882" s="554"/>
    </row>
    <row r="883" spans="65:103" ht="12.75" customHeight="1" x14ac:dyDescent="0.3">
      <c r="BM883" s="562"/>
      <c r="BN883" s="591">
        <v>870</v>
      </c>
      <c r="BO883" s="549" t="s">
        <v>3596</v>
      </c>
      <c r="BP883" s="554" t="s">
        <v>619</v>
      </c>
      <c r="BQ883" s="553">
        <v>5.1100000000000003</v>
      </c>
      <c r="BR883" s="551">
        <v>30353.795515783735</v>
      </c>
      <c r="BS883" s="551"/>
      <c r="BT883" s="551">
        <v>1044153.6459788703</v>
      </c>
      <c r="BU883" s="551">
        <v>35905.192729605275</v>
      </c>
      <c r="BV883" s="551">
        <v>1948985.2870610266</v>
      </c>
      <c r="BW883" s="551">
        <v>20278.132888875076</v>
      </c>
      <c r="BX883" s="551">
        <v>8593.904515971928</v>
      </c>
      <c r="BY883" s="551">
        <v>10391114.710127337</v>
      </c>
      <c r="BZ883" s="551">
        <v>3182.9275985081217</v>
      </c>
      <c r="CA883" s="551">
        <v>2976.535689060855</v>
      </c>
      <c r="CB883" s="551">
        <v>2.745066485268781E-32</v>
      </c>
      <c r="CC883" s="551">
        <v>34.325169622646911</v>
      </c>
      <c r="CD883" s="551">
        <v>193069.27315278049</v>
      </c>
      <c r="CE883" s="551">
        <v>64.070312667151981</v>
      </c>
      <c r="CF883" s="551">
        <v>5451.9751602982724</v>
      </c>
      <c r="CG883" s="551">
        <v>443.23677461465297</v>
      </c>
      <c r="CH883" s="551">
        <v>1810.7787978458325</v>
      </c>
      <c r="CI883" s="551">
        <v>164.16176837579738</v>
      </c>
      <c r="CJ883" s="551">
        <v>43.540412161530568</v>
      </c>
      <c r="CK883" s="551">
        <v>27218.423395081234</v>
      </c>
      <c r="CL883" s="551"/>
      <c r="CM883" s="551">
        <v>153.61467689435244</v>
      </c>
      <c r="CN883" s="551">
        <v>23.271312756705207</v>
      </c>
      <c r="CO883" s="551">
        <v>0.22032010743465721</v>
      </c>
      <c r="CP883" s="551">
        <v>701.862047520901</v>
      </c>
      <c r="CQ883" s="551"/>
      <c r="CR883" s="551">
        <v>7.0556418443281315</v>
      </c>
      <c r="CS883" s="551">
        <v>0.382780928085937</v>
      </c>
      <c r="CT883" s="551">
        <v>0.27363741983471129</v>
      </c>
      <c r="CU883" s="551">
        <v>123.93429411133513</v>
      </c>
      <c r="CV883" s="551"/>
      <c r="CW883" s="551">
        <v>0.38045063681583813</v>
      </c>
      <c r="CX883" s="551">
        <v>4.1329080462152619E-2</v>
      </c>
      <c r="CY883" s="554"/>
    </row>
    <row r="884" spans="65:103" ht="12.75" customHeight="1" x14ac:dyDescent="0.3">
      <c r="BM884" s="562"/>
      <c r="BN884" s="591">
        <v>871</v>
      </c>
      <c r="BO884" s="549" t="s">
        <v>3592</v>
      </c>
      <c r="BP884" s="554" t="s">
        <v>619</v>
      </c>
      <c r="BQ884" s="553">
        <v>5.1100000000000003</v>
      </c>
      <c r="BR884" s="551">
        <v>35430.288784701937</v>
      </c>
      <c r="BS884" s="551"/>
      <c r="BT884" s="551">
        <v>3884429.7804048918</v>
      </c>
      <c r="BU884" s="551">
        <v>155743.23812661145</v>
      </c>
      <c r="BV884" s="551">
        <v>718808.90508811688</v>
      </c>
      <c r="BW884" s="551">
        <v>7058.6126033421378</v>
      </c>
      <c r="BX884" s="551">
        <v>26259.875742107612</v>
      </c>
      <c r="BY884" s="551">
        <v>15439160.453693734</v>
      </c>
      <c r="BZ884" s="551">
        <v>9725.8799044842999</v>
      </c>
      <c r="CA884" s="551">
        <v>3553.2724372346802</v>
      </c>
      <c r="CB884" s="551">
        <v>1.1686799269218882E-31</v>
      </c>
      <c r="CC884" s="551">
        <v>414.26733657498175</v>
      </c>
      <c r="CD884" s="551">
        <v>878179.01495937235</v>
      </c>
      <c r="CE884" s="551">
        <v>76.659655973030425</v>
      </c>
      <c r="CF884" s="551">
        <v>1990.0464179200999</v>
      </c>
      <c r="CG884" s="551">
        <v>1377.8183351403895</v>
      </c>
      <c r="CH884" s="551">
        <v>5081.8651143699008</v>
      </c>
      <c r="CI884" s="551">
        <v>510.30308708903311</v>
      </c>
      <c r="CJ884" s="551">
        <v>53.087848747443978</v>
      </c>
      <c r="CK884" s="551">
        <v>124474.08242798015</v>
      </c>
      <c r="CL884" s="551"/>
      <c r="CM884" s="551">
        <v>56.404086349342791</v>
      </c>
      <c r="CN884" s="551">
        <v>73.886013518441075</v>
      </c>
      <c r="CO884" s="551">
        <v>0.26276778662187755</v>
      </c>
      <c r="CP884" s="551">
        <v>3289.5730409954954</v>
      </c>
      <c r="CQ884" s="551"/>
      <c r="CR884" s="551">
        <v>1.9269783695857936</v>
      </c>
      <c r="CS884" s="551">
        <v>1.2415875967165491</v>
      </c>
      <c r="CT884" s="551">
        <v>0.34253121985476292</v>
      </c>
      <c r="CU884" s="551">
        <v>566.13912936115071</v>
      </c>
      <c r="CV884" s="551"/>
      <c r="CW884" s="551">
        <v>0.17903223854216765</v>
      </c>
      <c r="CX884" s="551">
        <v>0.13046383990385749</v>
      </c>
      <c r="CY884" s="554"/>
    </row>
    <row r="885" spans="65:103" ht="12.75" customHeight="1" x14ac:dyDescent="0.3">
      <c r="BM885" s="562"/>
      <c r="BN885" s="591">
        <v>872</v>
      </c>
      <c r="BO885" s="549" t="s">
        <v>3594</v>
      </c>
      <c r="BP885" s="554" t="s">
        <v>619</v>
      </c>
      <c r="BQ885" s="553">
        <v>5.1100000000000003</v>
      </c>
      <c r="BR885" s="551">
        <v>7523.7412937073141</v>
      </c>
      <c r="BS885" s="551"/>
      <c r="BT885" s="551">
        <v>1017555.7029039678</v>
      </c>
      <c r="BU885" s="551">
        <v>36000.971843472878</v>
      </c>
      <c r="BV885" s="551">
        <v>87884287.245114893</v>
      </c>
      <c r="BW885" s="551">
        <v>1743697.3736754744</v>
      </c>
      <c r="BX885" s="551">
        <v>2508760.2069029408</v>
      </c>
      <c r="BY885" s="551">
        <v>33467692.000728212</v>
      </c>
      <c r="BZ885" s="551">
        <v>929170.44700108888</v>
      </c>
      <c r="CA885" s="551">
        <v>458.02224278584657</v>
      </c>
      <c r="CB885" s="551">
        <v>2.2258606788388901E-31</v>
      </c>
      <c r="CC885" s="551">
        <v>361.02152905109409</v>
      </c>
      <c r="CD885" s="551">
        <v>562225.07803910156</v>
      </c>
      <c r="CE885" s="551">
        <v>31180.720298897788</v>
      </c>
      <c r="CF885" s="551">
        <v>1361561.0104272945</v>
      </c>
      <c r="CG885" s="551">
        <v>79142.75970567808</v>
      </c>
      <c r="CH885" s="551">
        <v>177094.01333795354</v>
      </c>
      <c r="CI885" s="551">
        <v>29312.133224325204</v>
      </c>
      <c r="CJ885" s="551">
        <v>4.1054406853609109</v>
      </c>
      <c r="CK885" s="551">
        <v>273633.66993737506</v>
      </c>
      <c r="CL885" s="551"/>
      <c r="CM885" s="551">
        <v>130646.73289867827</v>
      </c>
      <c r="CN885" s="551">
        <v>2546.1738781266936</v>
      </c>
      <c r="CO885" s="551">
        <v>1.0613766492206045E-2</v>
      </c>
      <c r="CP885" s="551">
        <v>22597.671941488086</v>
      </c>
      <c r="CQ885" s="551"/>
      <c r="CR885" s="551">
        <v>17070.000540470184</v>
      </c>
      <c r="CS885" s="551">
        <v>30.376149247352146</v>
      </c>
      <c r="CT885" s="551">
        <v>1.666365854201678E-2</v>
      </c>
      <c r="CU885" s="551">
        <v>4567.8149056620641</v>
      </c>
      <c r="CV885" s="551"/>
      <c r="CW885" s="551">
        <v>1288.8412836403852</v>
      </c>
      <c r="CX885" s="551">
        <v>2.3691529117048695</v>
      </c>
      <c r="CY885" s="554"/>
    </row>
    <row r="886" spans="65:103" ht="12.75" customHeight="1" x14ac:dyDescent="0.3">
      <c r="BM886" s="562"/>
      <c r="BN886" s="591">
        <v>873</v>
      </c>
      <c r="BO886" s="549" t="s">
        <v>3598</v>
      </c>
      <c r="BP886" s="554" t="s">
        <v>619</v>
      </c>
      <c r="BQ886" s="553">
        <v>5.1100000000000003</v>
      </c>
      <c r="BR886" s="551">
        <v>24738.074961652004</v>
      </c>
      <c r="BS886" s="551"/>
      <c r="BT886" s="551">
        <v>781229.12974096613</v>
      </c>
      <c r="BU886" s="551">
        <v>25625.054652704126</v>
      </c>
      <c r="BV886" s="551">
        <v>8456725.6157350764</v>
      </c>
      <c r="BW886" s="551">
        <v>110607.1886696593</v>
      </c>
      <c r="BX886" s="551">
        <v>9595.5102321287723</v>
      </c>
      <c r="BY886" s="551">
        <v>9403291.1209575403</v>
      </c>
      <c r="BZ886" s="551">
        <v>3553.8926785662115</v>
      </c>
      <c r="CA886" s="551">
        <v>2385.8795139593003</v>
      </c>
      <c r="CB886" s="551">
        <v>1.4652414822691077E-32</v>
      </c>
      <c r="CC886" s="551">
        <v>15.56802780842845</v>
      </c>
      <c r="CD886" s="551">
        <v>139607.25697071155</v>
      </c>
      <c r="CE886" s="551">
        <v>168.52231252266012</v>
      </c>
      <c r="CF886" s="551">
        <v>30129.821030027735</v>
      </c>
      <c r="CG886" s="551">
        <v>486.07155582061989</v>
      </c>
      <c r="CH886" s="551">
        <v>1916.5247901670489</v>
      </c>
      <c r="CI886" s="551">
        <v>180.02650215578512</v>
      </c>
      <c r="CJ886" s="551">
        <v>34.337189454699221</v>
      </c>
      <c r="CK886" s="551">
        <v>20534.246682544555</v>
      </c>
      <c r="CL886" s="551"/>
      <c r="CM886" s="551">
        <v>882.42581816059817</v>
      </c>
      <c r="CN886" s="551">
        <v>25.10846132317576</v>
      </c>
      <c r="CO886" s="551">
        <v>0.17573340360750295</v>
      </c>
      <c r="CP886" s="551">
        <v>544.78284553207391</v>
      </c>
      <c r="CQ886" s="551"/>
      <c r="CR886" s="551">
        <v>46.98382355368053</v>
      </c>
      <c r="CS886" s="551">
        <v>0.4392132656605609</v>
      </c>
      <c r="CT886" s="551">
        <v>0.21200563739112482</v>
      </c>
      <c r="CU886" s="551">
        <v>97.97533348105037</v>
      </c>
      <c r="CV886" s="551"/>
      <c r="CW886" s="551">
        <v>2.1501578740091771</v>
      </c>
      <c r="CX886" s="551">
        <v>4.3101989724508342E-2</v>
      </c>
      <c r="CY886" s="554"/>
    </row>
    <row r="887" spans="65:103" ht="12.75" customHeight="1" x14ac:dyDescent="0.3">
      <c r="BM887" s="562"/>
      <c r="BN887" s="591">
        <v>874</v>
      </c>
      <c r="BO887" s="549" t="s">
        <v>3600</v>
      </c>
      <c r="BP887" s="554" t="s">
        <v>619</v>
      </c>
      <c r="BQ887" s="553">
        <v>5.13</v>
      </c>
      <c r="BR887" s="551">
        <v>125712.46308694534</v>
      </c>
      <c r="BS887" s="551"/>
      <c r="BT887" s="551">
        <v>11590433.246356362</v>
      </c>
      <c r="BU887" s="551">
        <v>531023.11183477088</v>
      </c>
      <c r="BV887" s="551">
        <v>2511708.7683449634</v>
      </c>
      <c r="BW887" s="551">
        <v>29220.390694279737</v>
      </c>
      <c r="BX887" s="551">
        <v>1762125.7286201296</v>
      </c>
      <c r="BY887" s="551">
        <v>43882226.949333012</v>
      </c>
      <c r="BZ887" s="551">
        <v>652639.15874819562</v>
      </c>
      <c r="CA887" s="551">
        <v>108067.20170118303</v>
      </c>
      <c r="CB887" s="551">
        <v>6.0406175391469565E-30</v>
      </c>
      <c r="CC887" s="551">
        <v>117395.32280123586</v>
      </c>
      <c r="CD887" s="551">
        <v>9150774.835611973</v>
      </c>
      <c r="CE887" s="551">
        <v>25440.193250346896</v>
      </c>
      <c r="CF887" s="551">
        <v>25176.796441881059</v>
      </c>
      <c r="CG887" s="551">
        <v>792656.49462601217</v>
      </c>
      <c r="CH887" s="551">
        <v>2308671.3239404676</v>
      </c>
      <c r="CI887" s="551">
        <v>293576.47949111561</v>
      </c>
      <c r="CJ887" s="551">
        <v>14456.923422052394</v>
      </c>
      <c r="CK887" s="551">
        <v>3692731.2735999622</v>
      </c>
      <c r="CL887" s="551"/>
      <c r="CM887" s="551">
        <v>2044.0918878099023</v>
      </c>
      <c r="CN887" s="551">
        <v>380601.63739841548</v>
      </c>
      <c r="CO887" s="551">
        <v>531.74428235176777</v>
      </c>
      <c r="CP887" s="551">
        <v>347165.5990045286</v>
      </c>
      <c r="CQ887" s="551"/>
      <c r="CR887" s="551">
        <v>215.79929787819918</v>
      </c>
      <c r="CS887" s="551">
        <v>56198.007196624232</v>
      </c>
      <c r="CT887" s="551">
        <v>887.64015458982738</v>
      </c>
      <c r="CU887" s="551">
        <v>60295.336931197045</v>
      </c>
      <c r="CV887" s="551"/>
      <c r="CW887" s="551">
        <v>27.661855011856879</v>
      </c>
      <c r="CX887" s="551">
        <v>5823.2679136554962</v>
      </c>
      <c r="CY887" s="554"/>
    </row>
    <row r="888" spans="65:103" ht="12.75" customHeight="1" x14ac:dyDescent="0.3">
      <c r="BM888" s="562"/>
      <c r="BN888" s="591">
        <v>875</v>
      </c>
      <c r="BO888" s="549" t="s">
        <v>3602</v>
      </c>
      <c r="BP888" s="554" t="s">
        <v>619</v>
      </c>
      <c r="BQ888" s="553">
        <v>5.15</v>
      </c>
      <c r="BR888" s="551">
        <v>53060.455141272723</v>
      </c>
      <c r="BS888" s="551"/>
      <c r="BT888" s="551">
        <v>2251372.7931775302</v>
      </c>
      <c r="BU888" s="551">
        <v>85035.012067273274</v>
      </c>
      <c r="BV888" s="551">
        <v>245565.96945902123</v>
      </c>
      <c r="BW888" s="551">
        <v>2478.3195155080612</v>
      </c>
      <c r="BX888" s="551">
        <v>4182.8215087030158</v>
      </c>
      <c r="BY888" s="551">
        <v>37604789.67229595</v>
      </c>
      <c r="BZ888" s="551">
        <v>1549.1931513714876</v>
      </c>
      <c r="CA888" s="551">
        <v>5014.5549711453205</v>
      </c>
      <c r="CB888" s="551">
        <v>8.6186382443182051E-32</v>
      </c>
      <c r="CC888" s="551">
        <v>135.06204805074179</v>
      </c>
      <c r="CD888" s="551">
        <v>912797.1507300908</v>
      </c>
      <c r="CE888" s="551">
        <v>14.73174183645115</v>
      </c>
      <c r="CF888" s="551">
        <v>1330.1597408869968</v>
      </c>
      <c r="CG888" s="551">
        <v>222.52480648461599</v>
      </c>
      <c r="CH888" s="551">
        <v>1344.9191805492474</v>
      </c>
      <c r="CI888" s="551">
        <v>82.416594994302187</v>
      </c>
      <c r="CJ888" s="551">
        <v>77.415872389058407</v>
      </c>
      <c r="CK888" s="551">
        <v>304826.00621899776</v>
      </c>
      <c r="CL888" s="551"/>
      <c r="CM888" s="551">
        <v>89.3709505628226</v>
      </c>
      <c r="CN888" s="551">
        <v>12.330472047480109</v>
      </c>
      <c r="CO888" s="551">
        <v>0.6427336028031343</v>
      </c>
      <c r="CP888" s="551">
        <v>17827.557447986394</v>
      </c>
      <c r="CQ888" s="551"/>
      <c r="CR888" s="551">
        <v>5.6186001974145903</v>
      </c>
      <c r="CS888" s="551">
        <v>0.3276199665315071</v>
      </c>
      <c r="CT888" s="551">
        <v>0.57478153697567802</v>
      </c>
      <c r="CU888" s="551">
        <v>3393.7520751688539</v>
      </c>
      <c r="CV888" s="551"/>
      <c r="CW888" s="551">
        <v>0.87930533141152312</v>
      </c>
      <c r="CX888" s="551">
        <v>2.6612025168042019E-2</v>
      </c>
      <c r="CY888" s="554"/>
    </row>
    <row r="889" spans="65:103" ht="12.75" customHeight="1" x14ac:dyDescent="0.3">
      <c r="BM889" s="562"/>
      <c r="BN889" s="591">
        <v>876</v>
      </c>
      <c r="BO889" s="549" t="s">
        <v>3604</v>
      </c>
      <c r="BP889" s="554" t="s">
        <v>619</v>
      </c>
      <c r="BQ889" s="553">
        <v>5.19</v>
      </c>
      <c r="BR889" s="551">
        <v>21089.013530199329</v>
      </c>
      <c r="BS889" s="551"/>
      <c r="BT889" s="551">
        <v>13084563.826605609</v>
      </c>
      <c r="BU889" s="551">
        <v>594788.0399542806</v>
      </c>
      <c r="BV889" s="551">
        <v>1378194.7171790001</v>
      </c>
      <c r="BW889" s="551">
        <v>16788.089438561616</v>
      </c>
      <c r="BX889" s="551">
        <v>104278.3119120529</v>
      </c>
      <c r="BY889" s="551">
        <v>42342819.900329418</v>
      </c>
      <c r="BZ889" s="551">
        <v>38621.59700446402</v>
      </c>
      <c r="CA889" s="551">
        <v>1439.65409926645</v>
      </c>
      <c r="CB889" s="551">
        <v>6.7671440022736447E-32</v>
      </c>
      <c r="CC889" s="551">
        <v>1145.4565892106448</v>
      </c>
      <c r="CD889" s="551">
        <v>6949976.8945646165</v>
      </c>
      <c r="CE889" s="551">
        <v>120.65073325547164</v>
      </c>
      <c r="CF889" s="551">
        <v>9808.2699940348557</v>
      </c>
      <c r="CG889" s="551">
        <v>3776.2603155611546</v>
      </c>
      <c r="CH889" s="551">
        <v>14636.40174878148</v>
      </c>
      <c r="CI889" s="551">
        <v>1398.6149316893166</v>
      </c>
      <c r="CJ889" s="551">
        <v>15.933804969724218</v>
      </c>
      <c r="CK889" s="551">
        <v>2392938.1993332105</v>
      </c>
      <c r="CL889" s="551"/>
      <c r="CM889" s="551">
        <v>679.44692968454217</v>
      </c>
      <c r="CN889" s="551">
        <v>150.01231698060846</v>
      </c>
      <c r="CO889" s="551">
        <v>8.4837080235087584E-2</v>
      </c>
      <c r="CP889" s="551">
        <v>148990.97937157334</v>
      </c>
      <c r="CQ889" s="551"/>
      <c r="CR889" s="551">
        <v>45.392070369541841</v>
      </c>
      <c r="CS889" s="551">
        <v>2.8815215295264558</v>
      </c>
      <c r="CT889" s="551">
        <v>0.1016754790176225</v>
      </c>
      <c r="CU889" s="551">
        <v>27095.131732146427</v>
      </c>
      <c r="CV889" s="551"/>
      <c r="CW889" s="551">
        <v>6.8181705645328332</v>
      </c>
      <c r="CX889" s="551">
        <v>0.2554889867042579</v>
      </c>
      <c r="CY889" s="554"/>
    </row>
    <row r="890" spans="65:103" ht="12.75" customHeight="1" x14ac:dyDescent="0.3">
      <c r="BM890" s="562"/>
      <c r="BN890" s="591">
        <v>877</v>
      </c>
      <c r="BO890" s="549" t="s">
        <v>3606</v>
      </c>
      <c r="BP890" s="554" t="s">
        <v>619</v>
      </c>
      <c r="BQ890" s="553">
        <v>5.2</v>
      </c>
      <c r="BR890" s="551">
        <v>756.50424558440488</v>
      </c>
      <c r="BS890" s="551"/>
      <c r="BT890" s="551">
        <v>7408987.5648990162</v>
      </c>
      <c r="BU890" s="551">
        <v>341443.39795028907</v>
      </c>
      <c r="BV890" s="551">
        <v>328114.17226611153</v>
      </c>
      <c r="BW890" s="551">
        <v>4322.2445560287579</v>
      </c>
      <c r="BX890" s="551">
        <v>2516324.3116970276</v>
      </c>
      <c r="BY890" s="551">
        <v>25578204.053177774</v>
      </c>
      <c r="BZ890" s="551">
        <v>931971.96729519579</v>
      </c>
      <c r="CA890" s="551">
        <v>6.2369413593001033</v>
      </c>
      <c r="CB890" s="551">
        <v>6.0697821414628692E-32</v>
      </c>
      <c r="CC890" s="551">
        <v>4795.6118905869498</v>
      </c>
      <c r="CD890" s="551">
        <v>4019001.6629878469</v>
      </c>
      <c r="CE890" s="551">
        <v>212.37830570051784</v>
      </c>
      <c r="CF890" s="551">
        <v>2543.775654002955</v>
      </c>
      <c r="CG890" s="551">
        <v>10750.41910216782</v>
      </c>
      <c r="CH890" s="551">
        <v>40657.005455310638</v>
      </c>
      <c r="CI890" s="551">
        <v>3981.6367045065995</v>
      </c>
      <c r="CJ890" s="551">
        <v>7.5459278504322195E-3</v>
      </c>
      <c r="CK890" s="551">
        <v>1384921.1516766667</v>
      </c>
      <c r="CL890" s="551"/>
      <c r="CM890" s="551">
        <v>176.36140116812535</v>
      </c>
      <c r="CN890" s="551">
        <v>46.684212631426625</v>
      </c>
      <c r="CO890" s="551">
        <v>1.0752703453372008E-5</v>
      </c>
      <c r="CP890" s="551">
        <v>86321.832687617512</v>
      </c>
      <c r="CQ890" s="551"/>
      <c r="CR890" s="551">
        <v>11.396736168072362</v>
      </c>
      <c r="CS890" s="551">
        <v>4.2056769173845286E-2</v>
      </c>
      <c r="CT890" s="551">
        <v>1.8637794824739678E-6</v>
      </c>
      <c r="CU890" s="551">
        <v>15692.917050987264</v>
      </c>
      <c r="CV890" s="551"/>
      <c r="CW890" s="551">
        <v>1.8730307065096807</v>
      </c>
      <c r="CX890" s="551">
        <v>7.5740706916322606E-3</v>
      </c>
      <c r="CY890" s="554"/>
    </row>
    <row r="891" spans="65:103" ht="12.75" customHeight="1" x14ac:dyDescent="0.3">
      <c r="BM891" s="562"/>
      <c r="BN891" s="591">
        <v>878</v>
      </c>
      <c r="BO891" s="549" t="s">
        <v>3608</v>
      </c>
      <c r="BP891" s="554" t="s">
        <v>619</v>
      </c>
      <c r="BQ891" s="553">
        <v>5.22</v>
      </c>
      <c r="BR891" s="551">
        <v>14.481878910612791</v>
      </c>
      <c r="BS891" s="551"/>
      <c r="BT891" s="551">
        <v>17123451.510902956</v>
      </c>
      <c r="BU891" s="551">
        <v>806841.30672925152</v>
      </c>
      <c r="BV891" s="551">
        <v>645350.51082450815</v>
      </c>
      <c r="BW891" s="551">
        <v>8790.6421718725251</v>
      </c>
      <c r="BX891" s="551">
        <v>1290431.6175176713</v>
      </c>
      <c r="BY891" s="551">
        <v>8676177.6660137307</v>
      </c>
      <c r="BZ891" s="551">
        <v>477937.63611765607</v>
      </c>
      <c r="CA891" s="551">
        <v>1.0354885226288042E-3</v>
      </c>
      <c r="CB891" s="551">
        <v>1.1636504409937451E-33</v>
      </c>
      <c r="CC891" s="551">
        <v>41.486253603932177</v>
      </c>
      <c r="CD891" s="551">
        <v>13016754.399564341</v>
      </c>
      <c r="CE891" s="551">
        <v>1.5635384570946766</v>
      </c>
      <c r="CF891" s="551">
        <v>7090.9625728987921</v>
      </c>
      <c r="CG891" s="551">
        <v>47.813866410841349</v>
      </c>
      <c r="CH891" s="551">
        <v>120.21902900056212</v>
      </c>
      <c r="CI891" s="551">
        <v>17.708839411422719</v>
      </c>
      <c r="CJ891" s="551">
        <v>1.1125689660205706E-8</v>
      </c>
      <c r="CK891" s="551">
        <v>6992721.9255101085</v>
      </c>
      <c r="CL891" s="551"/>
      <c r="CM891" s="551">
        <v>767.59530858366702</v>
      </c>
      <c r="CN891" s="551">
        <v>1.8439076716793923E-3</v>
      </c>
      <c r="CO891" s="551">
        <v>2.8505004009431757E-11</v>
      </c>
      <c r="CP891" s="551">
        <v>659825.99725401937</v>
      </c>
      <c r="CQ891" s="551"/>
      <c r="CR891" s="551">
        <v>73.878012475739396</v>
      </c>
      <c r="CS891" s="551">
        <v>3.6783602522247462E-6</v>
      </c>
      <c r="CT891" s="551">
        <v>4.1681347149946166E-12</v>
      </c>
      <c r="CU891" s="551">
        <v>126398.48234691253</v>
      </c>
      <c r="CV891" s="551"/>
      <c r="CW891" s="551">
        <v>13.381160450545892</v>
      </c>
      <c r="CX891" s="551">
        <v>4.0431053460190524E-7</v>
      </c>
      <c r="CY891" s="554"/>
    </row>
    <row r="892" spans="65:103" ht="12.75" customHeight="1" x14ac:dyDescent="0.3">
      <c r="BM892" s="562"/>
      <c r="BN892" s="591">
        <v>879</v>
      </c>
      <c r="BO892" s="549" t="s">
        <v>3610</v>
      </c>
      <c r="BP892" s="554" t="s">
        <v>619</v>
      </c>
      <c r="BQ892" s="553">
        <v>5.28</v>
      </c>
      <c r="BR892" s="551">
        <v>24510.793190130738</v>
      </c>
      <c r="BS892" s="551"/>
      <c r="BT892" s="551">
        <v>14500601.983910993</v>
      </c>
      <c r="BU892" s="551">
        <v>658623.56028354343</v>
      </c>
      <c r="BV892" s="551">
        <v>1060746.2001869504</v>
      </c>
      <c r="BW892" s="551">
        <v>13294.368550064282</v>
      </c>
      <c r="BX892" s="551">
        <v>89503.556243049563</v>
      </c>
      <c r="BY892" s="551">
        <v>43650289.998243451</v>
      </c>
      <c r="BZ892" s="551">
        <v>33149.465275203533</v>
      </c>
      <c r="CA892" s="551">
        <v>1677.4910833090266</v>
      </c>
      <c r="CB892" s="551">
        <v>7.9842128122542296E-32</v>
      </c>
      <c r="CC892" s="551">
        <v>1373.3639639395874</v>
      </c>
      <c r="CD892" s="551">
        <v>7693893.2196863666</v>
      </c>
      <c r="CE892" s="551">
        <v>100.46414678776601</v>
      </c>
      <c r="CF892" s="551">
        <v>7765.0920962587797</v>
      </c>
      <c r="CG892" s="551">
        <v>3223.795093483262</v>
      </c>
      <c r="CH892" s="551">
        <v>14071.672169582744</v>
      </c>
      <c r="CI892" s="551">
        <v>1193.9981827715783</v>
      </c>
      <c r="CJ892" s="551">
        <v>18.74226395549865</v>
      </c>
      <c r="CK892" s="551">
        <v>2648603.0492573343</v>
      </c>
      <c r="CL892" s="551"/>
      <c r="CM892" s="551">
        <v>537.8161204229234</v>
      </c>
      <c r="CN892" s="551">
        <v>129.28046780066785</v>
      </c>
      <c r="CO892" s="551">
        <v>0.10264393257476617</v>
      </c>
      <c r="CP892" s="551">
        <v>164875.31209397916</v>
      </c>
      <c r="CQ892" s="551"/>
      <c r="CR892" s="551">
        <v>35.31924373376571</v>
      </c>
      <c r="CS892" s="551">
        <v>2.4908630037608734</v>
      </c>
      <c r="CT892" s="551">
        <v>0.12234453407941095</v>
      </c>
      <c r="CU892" s="551">
        <v>29985.088559948894</v>
      </c>
      <c r="CV892" s="551"/>
      <c r="CW892" s="551">
        <v>5.5436062369748855</v>
      </c>
      <c r="CX892" s="551">
        <v>0.22988003384422687</v>
      </c>
      <c r="CY892" s="554"/>
    </row>
    <row r="893" spans="65:103" ht="12.75" customHeight="1" x14ac:dyDescent="0.3">
      <c r="BM893" s="562"/>
      <c r="BN893" s="591">
        <v>880</v>
      </c>
      <c r="BO893" s="549" t="s">
        <v>3612</v>
      </c>
      <c r="BP893" s="554" t="s">
        <v>619</v>
      </c>
      <c r="BQ893" s="553">
        <v>5.33</v>
      </c>
      <c r="BR893" s="551">
        <v>29048.28775954292</v>
      </c>
      <c r="BS893" s="551"/>
      <c r="BT893" s="551">
        <v>9137911.9803875294</v>
      </c>
      <c r="BU893" s="551">
        <v>429563.1250263711</v>
      </c>
      <c r="BV893" s="551">
        <v>6821489.9827680998</v>
      </c>
      <c r="BW893" s="551">
        <v>87766.157695175076</v>
      </c>
      <c r="BX893" s="551">
        <v>6886604.6707307864</v>
      </c>
      <c r="BY893" s="551">
        <v>55875793.826817647</v>
      </c>
      <c r="BZ893" s="551">
        <v>2550594.3224928835</v>
      </c>
      <c r="CA893" s="551">
        <v>9090.5648295825595</v>
      </c>
      <c r="CB893" s="551">
        <v>2.1490998578942713E-30</v>
      </c>
      <c r="CC893" s="551">
        <v>67349.800605384327</v>
      </c>
      <c r="CD893" s="551">
        <v>8408847.2394854594</v>
      </c>
      <c r="CE893" s="551">
        <v>50276.911307212453</v>
      </c>
      <c r="CF893" s="551">
        <v>85902.649675762033</v>
      </c>
      <c r="CG893" s="551">
        <v>1116796.3470513534</v>
      </c>
      <c r="CH893" s="551">
        <v>2761364.3225557203</v>
      </c>
      <c r="CI893" s="551">
        <v>413628.27668568649</v>
      </c>
      <c r="CJ893" s="551">
        <v>425.02764466480988</v>
      </c>
      <c r="CK893" s="551">
        <v>4629950.4133045282</v>
      </c>
      <c r="CL893" s="551"/>
      <c r="CM893" s="551">
        <v>9530.3290613734953</v>
      </c>
      <c r="CN893" s="551">
        <v>187414.82862487467</v>
      </c>
      <c r="CO893" s="551">
        <v>18.73692387356374</v>
      </c>
      <c r="CP893" s="551">
        <v>444108.44163398969</v>
      </c>
      <c r="CQ893" s="551"/>
      <c r="CR893" s="551">
        <v>1053.1069184512414</v>
      </c>
      <c r="CS893" s="551">
        <v>7867.3123877705239</v>
      </c>
      <c r="CT893" s="551">
        <v>4.4720891390221587</v>
      </c>
      <c r="CU893" s="551">
        <v>85219.679060680603</v>
      </c>
      <c r="CV893" s="551"/>
      <c r="CW893" s="551">
        <v>140.54979792745735</v>
      </c>
      <c r="CX893" s="551">
        <v>1077.4397062774792</v>
      </c>
      <c r="CY893" s="554"/>
    </row>
    <row r="894" spans="65:103" ht="12.75" customHeight="1" x14ac:dyDescent="0.3">
      <c r="BM894" s="562"/>
      <c r="BN894" s="591">
        <v>881</v>
      </c>
      <c r="BO894" s="549" t="s">
        <v>3616</v>
      </c>
      <c r="BP894" s="554" t="s">
        <v>619</v>
      </c>
      <c r="BQ894" s="553">
        <v>5.34</v>
      </c>
      <c r="BR894" s="551">
        <v>37565.740245127825</v>
      </c>
      <c r="BS894" s="551"/>
      <c r="BT894" s="551">
        <v>18087763.953416176</v>
      </c>
      <c r="BU894" s="551">
        <v>827130.5888191103</v>
      </c>
      <c r="BV894" s="551">
        <v>668464.98134900827</v>
      </c>
      <c r="BW894" s="551">
        <v>8832.4315235636914</v>
      </c>
      <c r="BX894" s="551">
        <v>437025.46681020979</v>
      </c>
      <c r="BY894" s="551">
        <v>42006660.93448814</v>
      </c>
      <c r="BZ894" s="551">
        <v>161861.28400378136</v>
      </c>
      <c r="CA894" s="551">
        <v>4918.0620917404676</v>
      </c>
      <c r="CB894" s="551">
        <v>3.9384935130530936E-31</v>
      </c>
      <c r="CC894" s="551">
        <v>18458.470926343103</v>
      </c>
      <c r="CD894" s="551">
        <v>9848751.0504591875</v>
      </c>
      <c r="CE894" s="551">
        <v>682.16510649337363</v>
      </c>
      <c r="CF894" s="551">
        <v>5258.4453060791575</v>
      </c>
      <c r="CG894" s="551">
        <v>29540.218479986739</v>
      </c>
      <c r="CH894" s="551">
        <v>131262.06594284784</v>
      </c>
      <c r="CI894" s="551">
        <v>10940.821659254347</v>
      </c>
      <c r="CJ894" s="551">
        <v>96.08982915865468</v>
      </c>
      <c r="CK894" s="551">
        <v>3398404.8745598737</v>
      </c>
      <c r="CL894" s="551"/>
      <c r="CM894" s="551">
        <v>365.06446112556898</v>
      </c>
      <c r="CN894" s="551">
        <v>2071.5755288422642</v>
      </c>
      <c r="CO894" s="551">
        <v>0.60105571226369803</v>
      </c>
      <c r="CP894" s="551">
        <v>211972.48203691046</v>
      </c>
      <c r="CQ894" s="551"/>
      <c r="CR894" s="551">
        <v>23.493853513890926</v>
      </c>
      <c r="CS894" s="551">
        <v>45.798180178795498</v>
      </c>
      <c r="CT894" s="551">
        <v>0.82639118480322993</v>
      </c>
      <c r="CU894" s="551">
        <v>38525.166070067782</v>
      </c>
      <c r="CV894" s="551"/>
      <c r="CW894" s="551">
        <v>3.9111850287398822</v>
      </c>
      <c r="CX894" s="551">
        <v>4.8255170803881269</v>
      </c>
      <c r="CY894" s="554"/>
    </row>
    <row r="895" spans="65:103" ht="12.75" customHeight="1" x14ac:dyDescent="0.3">
      <c r="BM895" s="562"/>
      <c r="BN895" s="591">
        <v>882</v>
      </c>
      <c r="BO895" s="549" t="s">
        <v>3614</v>
      </c>
      <c r="BP895" s="554" t="s">
        <v>619</v>
      </c>
      <c r="BQ895" s="553">
        <v>5.34</v>
      </c>
      <c r="BR895" s="551">
        <v>95827.357295026435</v>
      </c>
      <c r="BS895" s="551"/>
      <c r="BT895" s="551">
        <v>6211424.8714376297</v>
      </c>
      <c r="BU895" s="551">
        <v>258331.56137913369</v>
      </c>
      <c r="BV895" s="551">
        <v>758235.92742959666</v>
      </c>
      <c r="BW895" s="551">
        <v>8086.5921909934596</v>
      </c>
      <c r="BX895" s="551">
        <v>162742.41189843699</v>
      </c>
      <c r="BY895" s="551">
        <v>17864535.681292038</v>
      </c>
      <c r="BZ895" s="551">
        <v>60274.967369791477</v>
      </c>
      <c r="CA895" s="551">
        <v>36182.201528001759</v>
      </c>
      <c r="CB895" s="551">
        <v>1.4518625488894907E-30</v>
      </c>
      <c r="CC895" s="551">
        <v>8779.6679358069523</v>
      </c>
      <c r="CD895" s="551">
        <v>1760710.4766646938</v>
      </c>
      <c r="CE895" s="551">
        <v>1071.7443738943116</v>
      </c>
      <c r="CF895" s="551">
        <v>2755.7894039708208</v>
      </c>
      <c r="CG895" s="551">
        <v>31995.028896592183</v>
      </c>
      <c r="CH895" s="551">
        <v>103322.25848221121</v>
      </c>
      <c r="CI895" s="551">
        <v>11850.010702441545</v>
      </c>
      <c r="CJ895" s="551">
        <v>2050.1919552279624</v>
      </c>
      <c r="CK895" s="551">
        <v>271043.65817772259</v>
      </c>
      <c r="CL895" s="551"/>
      <c r="CM895" s="551">
        <v>84.831081584508851</v>
      </c>
      <c r="CN895" s="551">
        <v>6507.0732997161995</v>
      </c>
      <c r="CO895" s="551">
        <v>36.727697942172284</v>
      </c>
      <c r="CP895" s="551">
        <v>9391.4424868871793</v>
      </c>
      <c r="CQ895" s="551"/>
      <c r="CR895" s="551">
        <v>3.575303559431267</v>
      </c>
      <c r="CS895" s="551">
        <v>425.09003526464733</v>
      </c>
      <c r="CT895" s="551">
        <v>50.65188385177099</v>
      </c>
      <c r="CU895" s="551">
        <v>1526.895885753891</v>
      </c>
      <c r="CV895" s="551"/>
      <c r="CW895" s="551">
        <v>0.35661598023255181</v>
      </c>
      <c r="CX895" s="551">
        <v>42.103275227728972</v>
      </c>
      <c r="CY895" s="554"/>
    </row>
    <row r="896" spans="65:103" ht="12.75" customHeight="1" x14ac:dyDescent="0.3">
      <c r="BM896" s="562"/>
      <c r="BN896" s="591">
        <v>883</v>
      </c>
      <c r="BO896" s="549" t="s">
        <v>3618</v>
      </c>
      <c r="BP896" s="554" t="s">
        <v>619</v>
      </c>
      <c r="BQ896" s="553">
        <v>5.35</v>
      </c>
      <c r="BR896" s="551">
        <v>9253.7984264842453</v>
      </c>
      <c r="BS896" s="551"/>
      <c r="BT896" s="551">
        <v>12193972.934758639</v>
      </c>
      <c r="BU896" s="551">
        <v>558613.03956824238</v>
      </c>
      <c r="BV896" s="551">
        <v>1251317.8978255447</v>
      </c>
      <c r="BW896" s="551">
        <v>15394.053795969121</v>
      </c>
      <c r="BX896" s="551">
        <v>1287262.1916936561</v>
      </c>
      <c r="BY896" s="551">
        <v>39849483.351803191</v>
      </c>
      <c r="BZ896" s="551">
        <v>476763.77470135427</v>
      </c>
      <c r="CA896" s="551">
        <v>465.1982752294204</v>
      </c>
      <c r="CB896" s="551">
        <v>1.4842378926739189E-31</v>
      </c>
      <c r="CC896" s="551">
        <v>6616.316032083314</v>
      </c>
      <c r="CD896" s="551">
        <v>6597420.7828801032</v>
      </c>
      <c r="CE896" s="551">
        <v>678.95137318342915</v>
      </c>
      <c r="CF896" s="551">
        <v>9090.4654252967794</v>
      </c>
      <c r="CG896" s="551">
        <v>33537.045459076217</v>
      </c>
      <c r="CH896" s="551">
        <v>100490.83107639985</v>
      </c>
      <c r="CI896" s="551">
        <v>12421.127947806006</v>
      </c>
      <c r="CJ896" s="551">
        <v>3.4726346483467636</v>
      </c>
      <c r="CK896" s="551">
        <v>2274268.7273320206</v>
      </c>
      <c r="CL896" s="551"/>
      <c r="CM896" s="551">
        <v>630.47641310495828</v>
      </c>
      <c r="CN896" s="551">
        <v>898.56490646299403</v>
      </c>
      <c r="CO896" s="551">
        <v>8.3776824503822792E-3</v>
      </c>
      <c r="CP896" s="551">
        <v>141773.97790451534</v>
      </c>
      <c r="CQ896" s="551"/>
      <c r="CR896" s="551">
        <v>42.114897988858559</v>
      </c>
      <c r="CS896" s="551">
        <v>8.610160856195554</v>
      </c>
      <c r="CT896" s="551">
        <v>1.2007020572142535E-2</v>
      </c>
      <c r="CU896" s="551">
        <v>25773.490654417899</v>
      </c>
      <c r="CV896" s="551"/>
      <c r="CW896" s="551">
        <v>6.3454733958945786</v>
      </c>
      <c r="CX896" s="551">
        <v>0.77212654998963293</v>
      </c>
      <c r="CY896" s="554"/>
    </row>
    <row r="897" spans="65:103" ht="12.75" customHeight="1" x14ac:dyDescent="0.3">
      <c r="BM897" s="562"/>
      <c r="BN897" s="591">
        <v>884</v>
      </c>
      <c r="BO897" s="549" t="s">
        <v>3620</v>
      </c>
      <c r="BP897" s="554" t="s">
        <v>619</v>
      </c>
      <c r="BQ897" s="553">
        <v>5.37</v>
      </c>
      <c r="BR897" s="551">
        <v>51818.477655781331</v>
      </c>
      <c r="BS897" s="551"/>
      <c r="BT897" s="551">
        <v>8177769.4512372948</v>
      </c>
      <c r="BU897" s="551">
        <v>373215.63714073086</v>
      </c>
      <c r="BV897" s="551">
        <v>1113820.1703867805</v>
      </c>
      <c r="BW897" s="551">
        <v>13338.287071208639</v>
      </c>
      <c r="BX897" s="551">
        <v>74274.037787104084</v>
      </c>
      <c r="BY897" s="551">
        <v>3594074.705554456</v>
      </c>
      <c r="BZ897" s="551">
        <v>27508.902884112624</v>
      </c>
      <c r="CA897" s="551">
        <v>19660.211749391707</v>
      </c>
      <c r="CB897" s="551">
        <v>8.7102754788720355E-31</v>
      </c>
      <c r="CC897" s="551">
        <v>10262.342337202334</v>
      </c>
      <c r="CD897" s="551">
        <v>4769317.0189711256</v>
      </c>
      <c r="CE897" s="551">
        <v>1397.7410293537635</v>
      </c>
      <c r="CF897" s="551">
        <v>8522.4885028933422</v>
      </c>
      <c r="CG897" s="551">
        <v>14217.503000954071</v>
      </c>
      <c r="CH897" s="551">
        <v>33817.311760126046</v>
      </c>
      <c r="CI897" s="551">
        <v>5265.7418522052103</v>
      </c>
      <c r="CJ897" s="551">
        <v>1119.6543540330624</v>
      </c>
      <c r="CK897" s="551">
        <v>1674444.1034397501</v>
      </c>
      <c r="CL897" s="551"/>
      <c r="CM897" s="551">
        <v>601.99726267683116</v>
      </c>
      <c r="CN897" s="551">
        <v>2906.1817164362028</v>
      </c>
      <c r="CO897" s="551">
        <v>19.994402739526777</v>
      </c>
      <c r="CP897" s="551">
        <v>107557.38427445879</v>
      </c>
      <c r="CQ897" s="551"/>
      <c r="CR897" s="551">
        <v>42.092404106001069</v>
      </c>
      <c r="CS897" s="551">
        <v>221.67788671733092</v>
      </c>
      <c r="CT897" s="551">
        <v>28.070516463888833</v>
      </c>
      <c r="CU897" s="551">
        <v>19423.649858486147</v>
      </c>
      <c r="CV897" s="551"/>
      <c r="CW897" s="551">
        <v>6.054166030391209</v>
      </c>
      <c r="CX897" s="551">
        <v>17.400578811375709</v>
      </c>
      <c r="CY897" s="554"/>
    </row>
    <row r="898" spans="65:103" ht="12.75" customHeight="1" x14ac:dyDescent="0.3">
      <c r="BM898" s="562"/>
      <c r="BN898" s="591">
        <v>885</v>
      </c>
      <c r="BO898" s="549" t="s">
        <v>3622</v>
      </c>
      <c r="BP898" s="554" t="s">
        <v>619</v>
      </c>
      <c r="BQ898" s="553">
        <v>5.42</v>
      </c>
      <c r="BR898" s="551">
        <v>213291.55254921553</v>
      </c>
      <c r="BS898" s="551"/>
      <c r="BT898" s="551">
        <v>6961549.9232815336</v>
      </c>
      <c r="BU898" s="551">
        <v>290873.48579759948</v>
      </c>
      <c r="BV898" s="551">
        <v>568054.23907423159</v>
      </c>
      <c r="BW898" s="551">
        <v>6364.090005684171</v>
      </c>
      <c r="BX898" s="551">
        <v>290733.76006923564</v>
      </c>
      <c r="BY898" s="551">
        <v>19264478.930967197</v>
      </c>
      <c r="BZ898" s="551">
        <v>107679.17039601319</v>
      </c>
      <c r="CA898" s="551">
        <v>196986.04162732777</v>
      </c>
      <c r="CB898" s="551">
        <v>8.1577190455826834E-30</v>
      </c>
      <c r="CC898" s="551">
        <v>50970.301478828587</v>
      </c>
      <c r="CD898" s="551">
        <v>3474352.478752532</v>
      </c>
      <c r="CE898" s="551">
        <v>4159.1163090146838</v>
      </c>
      <c r="CF898" s="551">
        <v>3800.80910874749</v>
      </c>
      <c r="CG898" s="551">
        <v>139807.8331330067</v>
      </c>
      <c r="CH898" s="551">
        <v>492674.90726557636</v>
      </c>
      <c r="CI898" s="551">
        <v>51780.678938150631</v>
      </c>
      <c r="CJ898" s="551">
        <v>28337.614200799526</v>
      </c>
      <c r="CK898" s="551">
        <v>803713.58042805723</v>
      </c>
      <c r="CL898" s="551"/>
      <c r="CM898" s="551">
        <v>175.81882854404046</v>
      </c>
      <c r="CN898" s="551">
        <v>72187.664314973081</v>
      </c>
      <c r="CO898" s="551">
        <v>1211.6439607385564</v>
      </c>
      <c r="CP898" s="551">
        <v>97382.695121494398</v>
      </c>
      <c r="CQ898" s="551"/>
      <c r="CR898" s="551">
        <v>24.664510425685467</v>
      </c>
      <c r="CS898" s="551">
        <v>11091.243155718952</v>
      </c>
      <c r="CT898" s="551">
        <v>1820.0832424184748</v>
      </c>
      <c r="CU898" s="551">
        <v>14611.217849088494</v>
      </c>
      <c r="CV898" s="551"/>
      <c r="CW898" s="551">
        <v>2.5357532172120001</v>
      </c>
      <c r="CX898" s="551">
        <v>1233.931478434788</v>
      </c>
      <c r="CY898" s="554"/>
    </row>
    <row r="899" spans="65:103" ht="12.75" customHeight="1" x14ac:dyDescent="0.3">
      <c r="BM899" s="562"/>
      <c r="BN899" s="591">
        <v>886</v>
      </c>
      <c r="BO899" s="549" t="s">
        <v>3624</v>
      </c>
      <c r="BP899" s="554" t="s">
        <v>619</v>
      </c>
      <c r="BQ899" s="553">
        <v>5.45</v>
      </c>
      <c r="BR899" s="551">
        <v>64856.395706979478</v>
      </c>
      <c r="BS899" s="551"/>
      <c r="BT899" s="551">
        <v>5722954.3905570889</v>
      </c>
      <c r="BU899" s="551">
        <v>240145.43815638009</v>
      </c>
      <c r="BV899" s="551">
        <v>1459071.2980120825</v>
      </c>
      <c r="BW899" s="551">
        <v>14595.655460238351</v>
      </c>
      <c r="BX899" s="551">
        <v>311988.63373311749</v>
      </c>
      <c r="BY899" s="551">
        <v>16348781.677618414</v>
      </c>
      <c r="BZ899" s="551">
        <v>115551.3458270805</v>
      </c>
      <c r="CA899" s="551">
        <v>25523.98385467158</v>
      </c>
      <c r="CB899" s="551">
        <v>1.1792110938264534E-30</v>
      </c>
      <c r="CC899" s="551">
        <v>8458.6136643589216</v>
      </c>
      <c r="CD899" s="551">
        <v>1603589.0845182277</v>
      </c>
      <c r="CE899" s="551">
        <v>2156.5295783245851</v>
      </c>
      <c r="CF899" s="551">
        <v>4873.1789279681689</v>
      </c>
      <c r="CG899" s="551">
        <v>63689.056378655972</v>
      </c>
      <c r="CH899" s="551">
        <v>160560.23798934629</v>
      </c>
      <c r="CI899" s="551">
        <v>23588.539399502213</v>
      </c>
      <c r="CJ899" s="551">
        <v>1508.8730349070702</v>
      </c>
      <c r="CK899" s="551">
        <v>245773.22405708616</v>
      </c>
      <c r="CL899" s="551"/>
      <c r="CM899" s="551">
        <v>149.34771380293398</v>
      </c>
      <c r="CN899" s="551">
        <v>13513.651220799849</v>
      </c>
      <c r="CO899" s="551">
        <v>28.084774571584106</v>
      </c>
      <c r="CP899" s="551">
        <v>8510.3367979093491</v>
      </c>
      <c r="CQ899" s="551"/>
      <c r="CR899" s="551">
        <v>7.0386617184743425</v>
      </c>
      <c r="CS899" s="551">
        <v>1038.6905607417491</v>
      </c>
      <c r="CT899" s="551">
        <v>39.191257305310693</v>
      </c>
      <c r="CU899" s="551">
        <v>1386.2464444365164</v>
      </c>
      <c r="CV899" s="551"/>
      <c r="CW899" s="551">
        <v>0.55889677107542457</v>
      </c>
      <c r="CX899" s="551">
        <v>85.090112948107972</v>
      </c>
      <c r="CY899" s="554"/>
    </row>
    <row r="900" spans="65:103" ht="12.75" customHeight="1" x14ac:dyDescent="0.3">
      <c r="BM900" s="562"/>
      <c r="BN900" s="591">
        <v>887</v>
      </c>
      <c r="BO900" s="549" t="s">
        <v>3626</v>
      </c>
      <c r="BP900" s="554" t="s">
        <v>619</v>
      </c>
      <c r="BQ900" s="553">
        <v>5.48</v>
      </c>
      <c r="BR900" s="551">
        <v>955.12857478996398</v>
      </c>
      <c r="BS900" s="551"/>
      <c r="BT900" s="551">
        <v>13310066.669172486</v>
      </c>
      <c r="BU900" s="551">
        <v>566924.45410336438</v>
      </c>
      <c r="BV900" s="551">
        <v>269192.2639344894</v>
      </c>
      <c r="BW900" s="551">
        <v>3400.2377894090801</v>
      </c>
      <c r="BX900" s="551">
        <v>3258896.6535486695</v>
      </c>
      <c r="BY900" s="551">
        <v>32862251.035260014</v>
      </c>
      <c r="BZ900" s="551">
        <v>1206998.7605735811</v>
      </c>
      <c r="CA900" s="551">
        <v>2.9625980477261895</v>
      </c>
      <c r="CB900" s="551">
        <v>7.551663529857134E-32</v>
      </c>
      <c r="CC900" s="551">
        <v>3156.5057653667482</v>
      </c>
      <c r="CD900" s="551">
        <v>3167882.0708740782</v>
      </c>
      <c r="CE900" s="551">
        <v>63.839419758080851</v>
      </c>
      <c r="CF900" s="551">
        <v>949.99891535933045</v>
      </c>
      <c r="CG900" s="551">
        <v>5238.1746317009674</v>
      </c>
      <c r="CH900" s="551">
        <v>19517.569653650542</v>
      </c>
      <c r="CI900" s="551">
        <v>1940.0646784077655</v>
      </c>
      <c r="CJ900" s="551">
        <v>1.3535556467057549E-3</v>
      </c>
      <c r="CK900" s="551">
        <v>448839.78862305405</v>
      </c>
      <c r="CL900" s="551"/>
      <c r="CM900" s="551">
        <v>26.916249865908842</v>
      </c>
      <c r="CN900" s="551">
        <v>8.5898783025061061</v>
      </c>
      <c r="CO900" s="551">
        <v>1.6279716687891198E-7</v>
      </c>
      <c r="CP900" s="551">
        <v>11865.086412397115</v>
      </c>
      <c r="CQ900" s="551"/>
      <c r="CR900" s="551">
        <v>0.74718208594888313</v>
      </c>
      <c r="CS900" s="551">
        <v>3.6095787312960749E-3</v>
      </c>
      <c r="CT900" s="551">
        <v>3.6384886104358997E-7</v>
      </c>
      <c r="CU900" s="551">
        <v>2040.6218313706811</v>
      </c>
      <c r="CV900" s="551"/>
      <c r="CW900" s="551">
        <v>0.11215303008219825</v>
      </c>
      <c r="CX900" s="551">
        <v>6.0729390287932227E-4</v>
      </c>
      <c r="CY900" s="554"/>
    </row>
    <row r="901" spans="65:103" ht="12.75" customHeight="1" x14ac:dyDescent="0.3">
      <c r="BM901" s="562"/>
      <c r="BN901" s="591">
        <v>888</v>
      </c>
      <c r="BO901" s="549" t="s">
        <v>3627</v>
      </c>
      <c r="BP901" s="554" t="s">
        <v>619</v>
      </c>
      <c r="BQ901" s="553">
        <v>5.53</v>
      </c>
      <c r="BR901" s="551">
        <v>27962.272589041713</v>
      </c>
      <c r="BS901" s="551"/>
      <c r="BT901" s="551">
        <v>11939036.389790462</v>
      </c>
      <c r="BU901" s="551">
        <v>500732.31686600397</v>
      </c>
      <c r="BV901" s="551">
        <v>196020.00719649292</v>
      </c>
      <c r="BW901" s="551">
        <v>2457.7834555922027</v>
      </c>
      <c r="BX901" s="551">
        <v>63559.376414809725</v>
      </c>
      <c r="BY901" s="551">
        <v>18549647.059994306</v>
      </c>
      <c r="BZ901" s="551">
        <v>23540.509783262867</v>
      </c>
      <c r="CA901" s="551">
        <v>2055.5262010348101</v>
      </c>
      <c r="CB901" s="551">
        <v>1.3166330604598406E-31</v>
      </c>
      <c r="CC901" s="551">
        <v>2572.1597342994678</v>
      </c>
      <c r="CD901" s="551">
        <v>2810231.7144194059</v>
      </c>
      <c r="CE901" s="551">
        <v>42.230775848800306</v>
      </c>
      <c r="CF901" s="551">
        <v>689.68396700555127</v>
      </c>
      <c r="CG901" s="551">
        <v>2419.3606452827512</v>
      </c>
      <c r="CH901" s="551">
        <v>11435.168177313331</v>
      </c>
      <c r="CI901" s="551">
        <v>896.05949825287053</v>
      </c>
      <c r="CJ901" s="551">
        <v>22.358051015328613</v>
      </c>
      <c r="CK901" s="551">
        <v>398484.56438724458</v>
      </c>
      <c r="CL901" s="551"/>
      <c r="CM901" s="551">
        <v>19.556408465779406</v>
      </c>
      <c r="CN901" s="551">
        <v>94.452877471109645</v>
      </c>
      <c r="CO901" s="551">
        <v>7.9108437766318165E-2</v>
      </c>
      <c r="CP901" s="551">
        <v>10540.073591261138</v>
      </c>
      <c r="CQ901" s="551"/>
      <c r="CR901" s="551">
        <v>0.53925138805643813</v>
      </c>
      <c r="CS901" s="551">
        <v>1.1670839243651088</v>
      </c>
      <c r="CT901" s="551">
        <v>0.10496669603765549</v>
      </c>
      <c r="CU901" s="551">
        <v>1812.3971554871482</v>
      </c>
      <c r="CV901" s="551"/>
      <c r="CW901" s="551">
        <v>8.2525143237818538E-2</v>
      </c>
      <c r="CX901" s="551">
        <v>0.12138230452988098</v>
      </c>
      <c r="CY901" s="554"/>
    </row>
    <row r="902" spans="65:103" ht="12.75" customHeight="1" x14ac:dyDescent="0.3">
      <c r="BM902" s="562"/>
      <c r="BN902" s="591">
        <v>889</v>
      </c>
      <c r="BO902" s="549" t="s">
        <v>3629</v>
      </c>
      <c r="BP902" s="554" t="s">
        <v>619</v>
      </c>
      <c r="BQ902" s="553">
        <v>5.55</v>
      </c>
      <c r="BR902" s="551">
        <v>181992.10647072433</v>
      </c>
      <c r="BS902" s="551"/>
      <c r="BT902" s="551">
        <v>12177620.771618137</v>
      </c>
      <c r="BU902" s="551">
        <v>557427.76594883355</v>
      </c>
      <c r="BV902" s="551">
        <v>1704154.0552265346</v>
      </c>
      <c r="BW902" s="551">
        <v>20424.649364378878</v>
      </c>
      <c r="BX902" s="551">
        <v>1377751.8920014305</v>
      </c>
      <c r="BY902" s="551">
        <v>43754692.382860027</v>
      </c>
      <c r="BZ902" s="551">
        <v>510278.47851904802</v>
      </c>
      <c r="CA902" s="551">
        <v>210074.12383615121</v>
      </c>
      <c r="CB902" s="551">
        <v>1.0216835025987815E-29</v>
      </c>
      <c r="CC902" s="551">
        <v>187623.3591119326</v>
      </c>
      <c r="CD902" s="551">
        <v>11485895.828924183</v>
      </c>
      <c r="CE902" s="551">
        <v>26256.287191257157</v>
      </c>
      <c r="CF902" s="551">
        <v>21042.672187511009</v>
      </c>
      <c r="CG902" s="551">
        <v>840238.72830760432</v>
      </c>
      <c r="CH902" s="551">
        <v>2870588.0312347668</v>
      </c>
      <c r="CI902" s="551">
        <v>311199.52900281636</v>
      </c>
      <c r="CJ902" s="551">
        <v>38650.028557938305</v>
      </c>
      <c r="CK902" s="551">
        <v>5209602.8639530968</v>
      </c>
      <c r="CL902" s="551"/>
      <c r="CM902" s="551">
        <v>1920.2337483781741</v>
      </c>
      <c r="CN902" s="551">
        <v>554860.24435727368</v>
      </c>
      <c r="CO902" s="551">
        <v>1951.723702303176</v>
      </c>
      <c r="CP902" s="551">
        <v>684214.47485736327</v>
      </c>
      <c r="CQ902" s="551"/>
      <c r="CR902" s="551">
        <v>274.97411839745365</v>
      </c>
      <c r="CS902" s="551">
        <v>105087.13258097174</v>
      </c>
      <c r="CT902" s="551">
        <v>3251.2447867748351</v>
      </c>
      <c r="CU902" s="551">
        <v>117952.86894572586</v>
      </c>
      <c r="CV902" s="551"/>
      <c r="CW902" s="551">
        <v>37.600393029798099</v>
      </c>
      <c r="CX902" s="551">
        <v>12120.538114894467</v>
      </c>
      <c r="CY902" s="554"/>
    </row>
    <row r="903" spans="65:103" ht="12.75" customHeight="1" x14ac:dyDescent="0.3">
      <c r="BM903" s="562"/>
      <c r="BN903" s="591">
        <v>890</v>
      </c>
      <c r="BO903" s="549" t="s">
        <v>3631</v>
      </c>
      <c r="BP903" s="554" t="s">
        <v>619</v>
      </c>
      <c r="BQ903" s="553">
        <v>5.61</v>
      </c>
      <c r="BR903" s="551">
        <v>3048.4193949985092</v>
      </c>
      <c r="BS903" s="551"/>
      <c r="BT903" s="551">
        <v>8726992.4524289947</v>
      </c>
      <c r="BU903" s="551">
        <v>410824.73102263128</v>
      </c>
      <c r="BV903" s="551">
        <v>4335675.443500286</v>
      </c>
      <c r="BW903" s="551">
        <v>53003.498534474122</v>
      </c>
      <c r="BX903" s="551">
        <v>477662.72204099526</v>
      </c>
      <c r="BY903" s="551">
        <v>3160400.3140748329</v>
      </c>
      <c r="BZ903" s="551">
        <v>176912.11927444261</v>
      </c>
      <c r="CA903" s="551">
        <v>83.670455359819698</v>
      </c>
      <c r="CB903" s="551">
        <v>2.1541171979900982E-31</v>
      </c>
      <c r="CC903" s="551">
        <v>3402.7333994687701</v>
      </c>
      <c r="CD903" s="551">
        <v>6773807.8078977708</v>
      </c>
      <c r="CE903" s="551">
        <v>1690.5191245752403</v>
      </c>
      <c r="CF903" s="551">
        <v>43696.920500014938</v>
      </c>
      <c r="CG903" s="551">
        <v>6793.8687992299374</v>
      </c>
      <c r="CH903" s="551">
        <v>15224.284712455767</v>
      </c>
      <c r="CI903" s="551">
        <v>2516.2477034184953</v>
      </c>
      <c r="CJ903" s="551">
        <v>0.33929661280857248</v>
      </c>
      <c r="CK903" s="551">
        <v>3642500.7254334427</v>
      </c>
      <c r="CL903" s="551"/>
      <c r="CM903" s="551">
        <v>4734.6474296718206</v>
      </c>
      <c r="CN903" s="551">
        <v>98.884495603975623</v>
      </c>
      <c r="CO903" s="551">
        <v>7.8806573433787069E-4</v>
      </c>
      <c r="CP903" s="551">
        <v>343934.80630878988</v>
      </c>
      <c r="CQ903" s="551"/>
      <c r="CR903" s="551">
        <v>502.85724592265029</v>
      </c>
      <c r="CS903" s="551">
        <v>0.47401978336229916</v>
      </c>
      <c r="CT903" s="551">
        <v>6.2830356087162592E-4</v>
      </c>
      <c r="CU903" s="551">
        <v>65895.044037978078</v>
      </c>
      <c r="CV903" s="551"/>
      <c r="CW903" s="551">
        <v>70.867096896089208</v>
      </c>
      <c r="CX903" s="551">
        <v>5.0328745818663867E-2</v>
      </c>
      <c r="CY903" s="554"/>
    </row>
    <row r="904" spans="65:103" ht="12.75" customHeight="1" x14ac:dyDescent="0.3">
      <c r="BM904" s="562"/>
      <c r="BN904" s="591">
        <v>891</v>
      </c>
      <c r="BO904" s="549" t="s">
        <v>3633</v>
      </c>
      <c r="BP904" s="554" t="s">
        <v>619</v>
      </c>
      <c r="BQ904" s="553">
        <v>5.62</v>
      </c>
      <c r="BR904" s="551">
        <v>187802.72151272348</v>
      </c>
      <c r="BS904" s="551"/>
      <c r="BT904" s="551">
        <v>5944319.38667305</v>
      </c>
      <c r="BU904" s="551">
        <v>241137.2337618304</v>
      </c>
      <c r="BV904" s="551">
        <v>362957.17924361274</v>
      </c>
      <c r="BW904" s="551">
        <v>4062.0275996999712</v>
      </c>
      <c r="BX904" s="551">
        <v>75625.057828176534</v>
      </c>
      <c r="BY904" s="551">
        <v>19742475.300089136</v>
      </c>
      <c r="BZ904" s="551">
        <v>28009.280677102415</v>
      </c>
      <c r="CA904" s="551">
        <v>80724.689783029971</v>
      </c>
      <c r="CB904" s="551">
        <v>3.0860198592139666E-30</v>
      </c>
      <c r="CC904" s="551">
        <v>11964.34074944814</v>
      </c>
      <c r="CD904" s="551">
        <v>2017745.1561969989</v>
      </c>
      <c r="CE904" s="551">
        <v>730.53668341996149</v>
      </c>
      <c r="CF904" s="551">
        <v>1699.4755197632403</v>
      </c>
      <c r="CG904" s="551">
        <v>16958.972559137859</v>
      </c>
      <c r="CH904" s="551">
        <v>72421.875806015203</v>
      </c>
      <c r="CI904" s="551">
        <v>6281.100947828837</v>
      </c>
      <c r="CJ904" s="551">
        <v>5206.8315801962626</v>
      </c>
      <c r="CK904" s="551">
        <v>337322.08214807126</v>
      </c>
      <c r="CL904" s="551"/>
      <c r="CM904" s="551">
        <v>56.814283824210449</v>
      </c>
      <c r="CN904" s="551">
        <v>3926.1811924873073</v>
      </c>
      <c r="CO904" s="551">
        <v>105.17297710168538</v>
      </c>
      <c r="CP904" s="551">
        <v>15201.665801631974</v>
      </c>
      <c r="CQ904" s="551"/>
      <c r="CR904" s="551">
        <v>2.8793602031420642</v>
      </c>
      <c r="CS904" s="551">
        <v>270.44011892292008</v>
      </c>
      <c r="CT904" s="551">
        <v>147.31185860807111</v>
      </c>
      <c r="CU904" s="551">
        <v>2288.8698592161172</v>
      </c>
      <c r="CV904" s="551"/>
      <c r="CW904" s="551">
        <v>0.31814413114111717</v>
      </c>
      <c r="CX904" s="551">
        <v>30.838068855687848</v>
      </c>
      <c r="CY904" s="554"/>
    </row>
    <row r="905" spans="65:103" ht="12.75" customHeight="1" x14ac:dyDescent="0.3">
      <c r="BM905" s="562"/>
      <c r="BN905" s="591">
        <v>892</v>
      </c>
      <c r="BO905" s="549" t="s">
        <v>3635</v>
      </c>
      <c r="BP905" s="554" t="s">
        <v>619</v>
      </c>
      <c r="BQ905" s="553">
        <v>5.63</v>
      </c>
      <c r="BR905" s="551">
        <v>34856.636029521949</v>
      </c>
      <c r="BS905" s="551"/>
      <c r="BT905" s="551">
        <v>2471859.5824125609</v>
      </c>
      <c r="BU905" s="551">
        <v>97087.035947062759</v>
      </c>
      <c r="BV905" s="551">
        <v>423184.41931991815</v>
      </c>
      <c r="BW905" s="551">
        <v>4285.4887221597164</v>
      </c>
      <c r="BX905" s="551">
        <v>6121.446913872931</v>
      </c>
      <c r="BY905" s="551">
        <v>34985381.50629209</v>
      </c>
      <c r="BZ905" s="551">
        <v>2267.2025606936777</v>
      </c>
      <c r="CA905" s="551">
        <v>2442.9033471900652</v>
      </c>
      <c r="CB905" s="551">
        <v>5.1720254895777588E-32</v>
      </c>
      <c r="CC905" s="551">
        <v>101.2703492917685</v>
      </c>
      <c r="CD905" s="551">
        <v>1049814.4653219983</v>
      </c>
      <c r="CE905" s="551">
        <v>17.337568146785422</v>
      </c>
      <c r="CF905" s="551">
        <v>2316.9767248588391</v>
      </c>
      <c r="CG905" s="551">
        <v>250.21840609013395</v>
      </c>
      <c r="CH905" s="551">
        <v>1463.3590260268945</v>
      </c>
      <c r="CI905" s="551">
        <v>92.67348373708667</v>
      </c>
      <c r="CJ905" s="551">
        <v>30.533341224401074</v>
      </c>
      <c r="CK905" s="551">
        <v>352699.44181729527</v>
      </c>
      <c r="CL905" s="551"/>
      <c r="CM905" s="551">
        <v>156.61234218007365</v>
      </c>
      <c r="CN905" s="551">
        <v>11.225119039033967</v>
      </c>
      <c r="CO905" s="551">
        <v>0.27654270992233992</v>
      </c>
      <c r="CP905" s="551">
        <v>21028.071677348216</v>
      </c>
      <c r="CQ905" s="551"/>
      <c r="CR905" s="551">
        <v>10.312608942088048</v>
      </c>
      <c r="CS905" s="551">
        <v>0.32362863593616326</v>
      </c>
      <c r="CT905" s="551">
        <v>0.21738790757721191</v>
      </c>
      <c r="CU905" s="551">
        <v>3937.1414862375796</v>
      </c>
      <c r="CV905" s="551"/>
      <c r="CW905" s="551">
        <v>1.4835185540934637</v>
      </c>
      <c r="CX905" s="551">
        <v>2.3227978938163512E-2</v>
      </c>
      <c r="CY905" s="554"/>
    </row>
    <row r="906" spans="65:103" ht="12.75" customHeight="1" x14ac:dyDescent="0.3">
      <c r="BM906" s="562"/>
      <c r="BN906" s="591">
        <v>893</v>
      </c>
      <c r="BO906" s="549" t="s">
        <v>3637</v>
      </c>
      <c r="BP906" s="554" t="s">
        <v>619</v>
      </c>
      <c r="BQ906" s="553">
        <v>5.67</v>
      </c>
      <c r="BR906" s="551">
        <v>44.59177601489592</v>
      </c>
      <c r="BS906" s="551"/>
      <c r="BT906" s="551">
        <v>10969963.627488853</v>
      </c>
      <c r="BU906" s="551">
        <v>468561.39482271799</v>
      </c>
      <c r="BV906" s="551">
        <v>148777.84024300642</v>
      </c>
      <c r="BW906" s="551">
        <v>1911.6857800116543</v>
      </c>
      <c r="BX906" s="551">
        <v>574533.50069679262</v>
      </c>
      <c r="BY906" s="551">
        <v>3945042.332686028</v>
      </c>
      <c r="BZ906" s="551">
        <v>212790.18544325643</v>
      </c>
      <c r="CA906" s="551">
        <v>6.6220745705223589E-3</v>
      </c>
      <c r="CB906" s="551">
        <v>3.5829740394653074E-33</v>
      </c>
      <c r="CC906" s="551">
        <v>59.918564757559587</v>
      </c>
      <c r="CD906" s="551">
        <v>2604135.1249106578</v>
      </c>
      <c r="CE906" s="551">
        <v>0.81263301846799996</v>
      </c>
      <c r="CF906" s="551">
        <v>531.23114094836296</v>
      </c>
      <c r="CG906" s="551">
        <v>44.21332178288548</v>
      </c>
      <c r="CH906" s="551">
        <v>113.52508464997064</v>
      </c>
      <c r="CI906" s="551">
        <v>16.375304364031649</v>
      </c>
      <c r="CJ906" s="551">
        <v>1.4495702894684338E-7</v>
      </c>
      <c r="CK906" s="551">
        <v>368952.02622013236</v>
      </c>
      <c r="CL906" s="551"/>
      <c r="CM906" s="551">
        <v>15.050810438006701</v>
      </c>
      <c r="CN906" s="551">
        <v>3.4737776169336486E-3</v>
      </c>
      <c r="CO906" s="551">
        <v>2.356269464180055E-11</v>
      </c>
      <c r="CP906" s="551">
        <v>9753.139405793263</v>
      </c>
      <c r="CQ906" s="551"/>
      <c r="CR906" s="551">
        <v>0.41245800751738726</v>
      </c>
      <c r="CS906" s="551">
        <v>4.5776810064338383E-7</v>
      </c>
      <c r="CT906" s="551">
        <v>3.7505666269097055E-12</v>
      </c>
      <c r="CU906" s="551">
        <v>1677.3962239494442</v>
      </c>
      <c r="CV906" s="551"/>
      <c r="CW906" s="551">
        <v>6.4097242418297104E-2</v>
      </c>
      <c r="CX906" s="551">
        <v>4.8341257704101559E-8</v>
      </c>
      <c r="CY906" s="554"/>
    </row>
    <row r="907" spans="65:103" ht="12.75" customHeight="1" x14ac:dyDescent="0.3">
      <c r="BM907" s="562"/>
      <c r="BN907" s="591">
        <v>894</v>
      </c>
      <c r="BO907" s="549" t="s">
        <v>3639</v>
      </c>
      <c r="BP907" s="554" t="s">
        <v>619</v>
      </c>
      <c r="BQ907" s="553">
        <v>5.76</v>
      </c>
      <c r="BR907" s="551">
        <v>55526.935298903598</v>
      </c>
      <c r="BS907" s="551"/>
      <c r="BT907" s="551">
        <v>7020791.1112630339</v>
      </c>
      <c r="BU907" s="551">
        <v>328117.66175011132</v>
      </c>
      <c r="BV907" s="551">
        <v>5504509.9106710562</v>
      </c>
      <c r="BW907" s="551">
        <v>71016.992351358291</v>
      </c>
      <c r="BX907" s="551">
        <v>2219602.5968836825</v>
      </c>
      <c r="BY907" s="551">
        <v>38890566.866914086</v>
      </c>
      <c r="BZ907" s="551">
        <v>822075.03588284517</v>
      </c>
      <c r="CA907" s="551">
        <v>42191.104488048237</v>
      </c>
      <c r="CB907" s="551">
        <v>1.9521984968728716E-30</v>
      </c>
      <c r="CC907" s="551">
        <v>50656.222594173618</v>
      </c>
      <c r="CD907" s="551">
        <v>6613385.7648065919</v>
      </c>
      <c r="CE907" s="551">
        <v>39715.991387276154</v>
      </c>
      <c r="CF907" s="551">
        <v>71569.260211530243</v>
      </c>
      <c r="CG907" s="551">
        <v>867576.58133013768</v>
      </c>
      <c r="CH907" s="551">
        <v>2358706.7517617727</v>
      </c>
      <c r="CI907" s="551">
        <v>321324.6597519028</v>
      </c>
      <c r="CJ907" s="551">
        <v>4987.9005297687127</v>
      </c>
      <c r="CK907" s="551">
        <v>3799324.0021614446</v>
      </c>
      <c r="CL907" s="551"/>
      <c r="CM907" s="551">
        <v>8284.5530066064184</v>
      </c>
      <c r="CN907" s="551">
        <v>368136.06457924307</v>
      </c>
      <c r="CO907" s="551">
        <v>474.8608928775642</v>
      </c>
      <c r="CP907" s="551">
        <v>415224.28373554576</v>
      </c>
      <c r="CQ907" s="551"/>
      <c r="CR907" s="551">
        <v>1046.0148952144307</v>
      </c>
      <c r="CS907" s="551">
        <v>57240.344578350967</v>
      </c>
      <c r="CT907" s="551">
        <v>141.3623114248918</v>
      </c>
      <c r="CU907" s="551">
        <v>75192.625387387816</v>
      </c>
      <c r="CV907" s="551"/>
      <c r="CW907" s="551">
        <v>130.88207747546207</v>
      </c>
      <c r="CX907" s="551">
        <v>4265.5627647551291</v>
      </c>
      <c r="CY907" s="554"/>
    </row>
    <row r="908" spans="65:103" ht="12.75" customHeight="1" x14ac:dyDescent="0.3">
      <c r="BM908" s="562"/>
      <c r="BN908" s="591">
        <v>895</v>
      </c>
      <c r="BO908" s="549" t="s">
        <v>3641</v>
      </c>
      <c r="BP908" s="554" t="s">
        <v>619</v>
      </c>
      <c r="BQ908" s="553">
        <v>5.89</v>
      </c>
      <c r="BR908" s="551">
        <v>407285.54573117738</v>
      </c>
      <c r="BS908" s="551"/>
      <c r="BT908" s="551">
        <v>14709819.187062267</v>
      </c>
      <c r="BU908" s="551">
        <v>670332.22247389052</v>
      </c>
      <c r="BV908" s="551">
        <v>952233.57344370324</v>
      </c>
      <c r="BW908" s="551">
        <v>12085.057391614921</v>
      </c>
      <c r="BX908" s="551">
        <v>799420.41471826052</v>
      </c>
      <c r="BY908" s="551">
        <v>49028632.006499194</v>
      </c>
      <c r="BZ908" s="551">
        <v>296081.63508083706</v>
      </c>
      <c r="CA908" s="551">
        <v>642933.92655599792</v>
      </c>
      <c r="CB908" s="551">
        <v>2.9125329530489982E-29</v>
      </c>
      <c r="CC908" s="551">
        <v>371851.87232881179</v>
      </c>
      <c r="CD908" s="551">
        <v>21840164.333767891</v>
      </c>
      <c r="CE908" s="551">
        <v>24071.664829900081</v>
      </c>
      <c r="CF908" s="551">
        <v>19687.226017705478</v>
      </c>
      <c r="CG908" s="551">
        <v>664096.32318456715</v>
      </c>
      <c r="CH908" s="551">
        <v>3267236.0109723154</v>
      </c>
      <c r="CI908" s="551">
        <v>245961.60117946938</v>
      </c>
      <c r="CJ908" s="551">
        <v>165705.28962930432</v>
      </c>
      <c r="CK908" s="551">
        <v>12441253.471206525</v>
      </c>
      <c r="CL908" s="551"/>
      <c r="CM908" s="551">
        <v>2256.3665110670636</v>
      </c>
      <c r="CN908" s="551">
        <v>614334.29437955515</v>
      </c>
      <c r="CO908" s="551">
        <v>11490.837820772133</v>
      </c>
      <c r="CP908" s="551">
        <v>2649265.0658895317</v>
      </c>
      <c r="CQ908" s="551"/>
      <c r="CR908" s="551">
        <v>504.44301599405821</v>
      </c>
      <c r="CS908" s="551">
        <v>145586.88016924847</v>
      </c>
      <c r="CT908" s="551">
        <v>19236.976016126559</v>
      </c>
      <c r="CU908" s="551">
        <v>460013.63264872856</v>
      </c>
      <c r="CV908" s="551"/>
      <c r="CW908" s="551">
        <v>76.563755904487977</v>
      </c>
      <c r="CX908" s="551">
        <v>19858.315540288047</v>
      </c>
      <c r="CY908" s="554"/>
    </row>
    <row r="909" spans="65:103" ht="12.75" customHeight="1" x14ac:dyDescent="0.3">
      <c r="BM909" s="562"/>
      <c r="BN909" s="591">
        <v>896</v>
      </c>
      <c r="BO909" s="549" t="s">
        <v>3643</v>
      </c>
      <c r="BP909" s="554" t="s">
        <v>619</v>
      </c>
      <c r="BQ909" s="553">
        <v>6.03</v>
      </c>
      <c r="BR909" s="551">
        <v>3827.8634250389305</v>
      </c>
      <c r="BS909" s="551"/>
      <c r="BT909" s="551">
        <v>32381597.839883793</v>
      </c>
      <c r="BU909" s="551">
        <v>1490969.7709959738</v>
      </c>
      <c r="BV909" s="551">
        <v>701576.67483126244</v>
      </c>
      <c r="BW909" s="551">
        <v>9576.8734938819143</v>
      </c>
      <c r="BX909" s="551">
        <v>5402088.4399305545</v>
      </c>
      <c r="BY909" s="551">
        <v>72572099.167683095</v>
      </c>
      <c r="BZ909" s="551">
        <v>2000773.4962705763</v>
      </c>
      <c r="CA909" s="551">
        <v>41.173477871986805</v>
      </c>
      <c r="CB909" s="551">
        <v>3.0318258588317462E-31</v>
      </c>
      <c r="CC909" s="551">
        <v>34057.133697956357</v>
      </c>
      <c r="CD909" s="551">
        <v>17575162.974826455</v>
      </c>
      <c r="CE909" s="551">
        <v>737.87867826171794</v>
      </c>
      <c r="CF909" s="551">
        <v>5644.4844060062715</v>
      </c>
      <c r="CG909" s="551">
        <v>30110.695287916365</v>
      </c>
      <c r="CH909" s="551">
        <v>148996.40798763171</v>
      </c>
      <c r="CI909" s="551">
        <v>11152.10936589495</v>
      </c>
      <c r="CJ909" s="551">
        <v>6.5927041724202232E-2</v>
      </c>
      <c r="CK909" s="551">
        <v>6056228.006233939</v>
      </c>
      <c r="CL909" s="551"/>
      <c r="CM909" s="551">
        <v>391.33271598478552</v>
      </c>
      <c r="CN909" s="551">
        <v>173.04955028231404</v>
      </c>
      <c r="CO909" s="551">
        <v>3.2724792945312148E-5</v>
      </c>
      <c r="CP909" s="551">
        <v>377471.51379868842</v>
      </c>
      <c r="CQ909" s="551"/>
      <c r="CR909" s="551">
        <v>24.895982568941385</v>
      </c>
      <c r="CS909" s="551">
        <v>0.29032816140491097</v>
      </c>
      <c r="CT909" s="551">
        <v>7.5671492552860587E-5</v>
      </c>
      <c r="CU909" s="551">
        <v>68622.321511874587</v>
      </c>
      <c r="CV909" s="551"/>
      <c r="CW909" s="551">
        <v>4.2705610121693027</v>
      </c>
      <c r="CX909" s="551">
        <v>5.4919318640683196E-2</v>
      </c>
      <c r="CY909" s="554"/>
    </row>
    <row r="910" spans="65:103" ht="12.75" customHeight="1" x14ac:dyDescent="0.3">
      <c r="BM910" s="562"/>
      <c r="BN910" s="591">
        <v>897</v>
      </c>
      <c r="BO910" s="549" t="s">
        <v>3645</v>
      </c>
      <c r="BP910" s="554" t="s">
        <v>619</v>
      </c>
      <c r="BQ910" s="553">
        <v>6.11</v>
      </c>
      <c r="BR910" s="551">
        <v>115020.63964809869</v>
      </c>
      <c r="BS910" s="551"/>
      <c r="BT910" s="551">
        <v>8448231.1286548376</v>
      </c>
      <c r="BU910" s="551">
        <v>354807.30190435133</v>
      </c>
      <c r="BV910" s="551">
        <v>287613.50667082082</v>
      </c>
      <c r="BW910" s="551">
        <v>3486.0825200468275</v>
      </c>
      <c r="BX910" s="551">
        <v>234309.55063239491</v>
      </c>
      <c r="BY910" s="551">
        <v>18153177.827799816</v>
      </c>
      <c r="BZ910" s="551">
        <v>86781.315049035155</v>
      </c>
      <c r="CA910" s="551">
        <v>52154.599093185876</v>
      </c>
      <c r="CB910" s="551">
        <v>2.5708381538452408E-30</v>
      </c>
      <c r="CC910" s="551">
        <v>28108.445537527725</v>
      </c>
      <c r="CD910" s="551">
        <v>2560893.5638559526</v>
      </c>
      <c r="CE910" s="551">
        <v>956.93032837293606</v>
      </c>
      <c r="CF910" s="551">
        <v>1258.0753328274684</v>
      </c>
      <c r="CG910" s="551">
        <v>55122.099838117196</v>
      </c>
      <c r="CH910" s="551">
        <v>212363.61328929549</v>
      </c>
      <c r="CI910" s="551">
        <v>20415.592532635979</v>
      </c>
      <c r="CJ910" s="551">
        <v>3573.4893492777278</v>
      </c>
      <c r="CK910" s="551">
        <v>410858.02908582956</v>
      </c>
      <c r="CL910" s="551"/>
      <c r="CM910" s="551">
        <v>40.362145973526616</v>
      </c>
      <c r="CN910" s="551">
        <v>13555.929120412016</v>
      </c>
      <c r="CO910" s="551">
        <v>75.171986908749801</v>
      </c>
      <c r="CP910" s="551">
        <v>16761.841998670825</v>
      </c>
      <c r="CQ910" s="551"/>
      <c r="CR910" s="551">
        <v>1.7729940492654432</v>
      </c>
      <c r="CS910" s="551">
        <v>1040.0781162140049</v>
      </c>
      <c r="CT910" s="551">
        <v>106.99607386007736</v>
      </c>
      <c r="CU910" s="551">
        <v>2657.462643356489</v>
      </c>
      <c r="CV910" s="551"/>
      <c r="CW910" s="551">
        <v>0.22978182098302405</v>
      </c>
      <c r="CX910" s="551">
        <v>107.9509619620538</v>
      </c>
      <c r="CY910" s="554"/>
    </row>
    <row r="911" spans="65:103" ht="12.75" customHeight="1" x14ac:dyDescent="0.3">
      <c r="BM911" s="562"/>
      <c r="BN911" s="591">
        <v>898</v>
      </c>
      <c r="BO911" s="549" t="s">
        <v>3647</v>
      </c>
      <c r="BP911" s="554" t="s">
        <v>619</v>
      </c>
      <c r="BQ911" s="553">
        <v>6.18</v>
      </c>
      <c r="BR911" s="551">
        <v>38574.780592013303</v>
      </c>
      <c r="BS911" s="551"/>
      <c r="BT911" s="551">
        <v>15651099.751969529</v>
      </c>
      <c r="BU911" s="551">
        <v>715092.76186476625</v>
      </c>
      <c r="BV911" s="551">
        <v>402167.29128820758</v>
      </c>
      <c r="BW911" s="551">
        <v>5408.2301319680537</v>
      </c>
      <c r="BX911" s="551">
        <v>204151.23818750042</v>
      </c>
      <c r="BY911" s="551">
        <v>29793956.203710221</v>
      </c>
      <c r="BZ911" s="551">
        <v>75611.569699074214</v>
      </c>
      <c r="CA911" s="551">
        <v>5739.0652019576119</v>
      </c>
      <c r="CB911" s="551">
        <v>3.6128321555890475E-31</v>
      </c>
      <c r="CC911" s="551">
        <v>16024.868490491119</v>
      </c>
      <c r="CD911" s="551">
        <v>8520475.6087816805</v>
      </c>
      <c r="CE911" s="551">
        <v>411.77157236248291</v>
      </c>
      <c r="CF911" s="551">
        <v>3222.0080654953144</v>
      </c>
      <c r="CG911" s="551">
        <v>15467.956222280862</v>
      </c>
      <c r="CH911" s="551">
        <v>81965.730871255917</v>
      </c>
      <c r="CI911" s="551">
        <v>5728.8726749188381</v>
      </c>
      <c r="CJ911" s="551">
        <v>127.57629136939369</v>
      </c>
      <c r="CK911" s="551">
        <v>2940558.9732429562</v>
      </c>
      <c r="CL911" s="551"/>
      <c r="CM911" s="551">
        <v>223.72344181543468</v>
      </c>
      <c r="CN911" s="551">
        <v>1234.1427716153858</v>
      </c>
      <c r="CO911" s="551">
        <v>0.91593591094208582</v>
      </c>
      <c r="CP911" s="551">
        <v>183444.32710124756</v>
      </c>
      <c r="CQ911" s="551"/>
      <c r="CR911" s="551">
        <v>14.287713949970271</v>
      </c>
      <c r="CS911" s="551">
        <v>30.195528930539968</v>
      </c>
      <c r="CT911" s="551">
        <v>1.2431157580104129</v>
      </c>
      <c r="CU911" s="551">
        <v>33338.797743023388</v>
      </c>
      <c r="CV911" s="551"/>
      <c r="CW911" s="551">
        <v>2.4302199814556</v>
      </c>
      <c r="CX911" s="551">
        <v>3.3518794674166861</v>
      </c>
      <c r="CY911" s="554"/>
    </row>
    <row r="912" spans="65:103" ht="12.75" customHeight="1" x14ac:dyDescent="0.3">
      <c r="BM912" s="562"/>
      <c r="BN912" s="591">
        <v>899</v>
      </c>
      <c r="BO912" s="549" t="s">
        <v>3649</v>
      </c>
      <c r="BP912" s="554" t="s">
        <v>619</v>
      </c>
      <c r="BQ912" s="553">
        <v>6.18</v>
      </c>
      <c r="BR912" s="551">
        <v>60766.508096923244</v>
      </c>
      <c r="BS912" s="551"/>
      <c r="BT912" s="551">
        <v>12134350.237125564</v>
      </c>
      <c r="BU912" s="551">
        <v>554337.37924915936</v>
      </c>
      <c r="BV912" s="551">
        <v>3131047.4758643317</v>
      </c>
      <c r="BW912" s="551">
        <v>36023.918053494628</v>
      </c>
      <c r="BX912" s="551">
        <v>838927.93933676009</v>
      </c>
      <c r="BY912" s="551">
        <v>44578765.82969895</v>
      </c>
      <c r="BZ912" s="551">
        <v>310714.0516062075</v>
      </c>
      <c r="CA912" s="551">
        <v>18164.117142913103</v>
      </c>
      <c r="CB912" s="551">
        <v>1.0055392485461193E-30</v>
      </c>
      <c r="CC912" s="551">
        <v>18008.755716484517</v>
      </c>
      <c r="CD912" s="551">
        <v>6953257.9279817259</v>
      </c>
      <c r="CE912" s="551">
        <v>4646.8305288436459</v>
      </c>
      <c r="CF912" s="551">
        <v>22593.063644896301</v>
      </c>
      <c r="CG912" s="551">
        <v>131303.62685128709</v>
      </c>
      <c r="CH912" s="551">
        <v>373444.97901686153</v>
      </c>
      <c r="CI912" s="551">
        <v>48630.972907884126</v>
      </c>
      <c r="CJ912" s="551">
        <v>813.34279021027453</v>
      </c>
      <c r="CK912" s="551">
        <v>2425410.5251221829</v>
      </c>
      <c r="CL912" s="551"/>
      <c r="CM912" s="551">
        <v>1585.5514766676199</v>
      </c>
      <c r="CN912" s="551">
        <v>21102.781626805925</v>
      </c>
      <c r="CO912" s="551">
        <v>11.288582478848289</v>
      </c>
      <c r="CP912" s="551">
        <v>153568.26567535321</v>
      </c>
      <c r="CQ912" s="551"/>
      <c r="CR912" s="551">
        <v>114.24007074164548</v>
      </c>
      <c r="CS912" s="551">
        <v>1183.9032791128991</v>
      </c>
      <c r="CT912" s="551">
        <v>15.951086513891926</v>
      </c>
      <c r="CU912" s="551">
        <v>27809.913157722993</v>
      </c>
      <c r="CV912" s="551"/>
      <c r="CW912" s="551">
        <v>14.795973309347085</v>
      </c>
      <c r="CX912" s="551">
        <v>102.63181262403656</v>
      </c>
      <c r="CY912" s="554"/>
    </row>
    <row r="913" spans="65:103" ht="12.75" customHeight="1" x14ac:dyDescent="0.3">
      <c r="BM913" s="562"/>
      <c r="BN913" s="591">
        <v>900</v>
      </c>
      <c r="BO913" s="549" t="s">
        <v>3651</v>
      </c>
      <c r="BP913" s="554" t="s">
        <v>619</v>
      </c>
      <c r="BQ913" s="553">
        <v>6.3</v>
      </c>
      <c r="BR913" s="551">
        <v>7220.0201101757966</v>
      </c>
      <c r="BS913" s="551"/>
      <c r="BT913" s="551">
        <v>6762733.5552976476</v>
      </c>
      <c r="BU913" s="551">
        <v>311875.00376889395</v>
      </c>
      <c r="BV913" s="551">
        <v>1465520.4691474012</v>
      </c>
      <c r="BW913" s="551">
        <v>17161.417751517027</v>
      </c>
      <c r="BX913" s="551">
        <v>4406404.1522394782</v>
      </c>
      <c r="BY913" s="551">
        <v>32250994.584172651</v>
      </c>
      <c r="BZ913" s="551">
        <v>1632001.537866473</v>
      </c>
      <c r="CA913" s="551">
        <v>544.85126990486833</v>
      </c>
      <c r="CB913" s="551">
        <v>5.7233726830309106E-31</v>
      </c>
      <c r="CC913" s="551">
        <v>18664.843242794475</v>
      </c>
      <c r="CD913" s="551">
        <v>3927113.5622781506</v>
      </c>
      <c r="CE913" s="551">
        <v>4044.771186396229</v>
      </c>
      <c r="CF913" s="551">
        <v>10804.78326019429</v>
      </c>
      <c r="CG913" s="551">
        <v>172314.72004652431</v>
      </c>
      <c r="CH913" s="551">
        <v>450151.84568600921</v>
      </c>
      <c r="CI913" s="551">
        <v>63820.266683897877</v>
      </c>
      <c r="CJ913" s="551">
        <v>6.0566667937527612</v>
      </c>
      <c r="CK913" s="551">
        <v>1358023.176154288</v>
      </c>
      <c r="CL913" s="551"/>
      <c r="CM913" s="551">
        <v>751.72655472669487</v>
      </c>
      <c r="CN913" s="551">
        <v>6875.1432005678571</v>
      </c>
      <c r="CO913" s="551">
        <v>7.5244073909806988E-2</v>
      </c>
      <c r="CP913" s="551">
        <v>84736.169908983327</v>
      </c>
      <c r="CQ913" s="551"/>
      <c r="CR913" s="551">
        <v>52.672286723339376</v>
      </c>
      <c r="CS913" s="551">
        <v>67.403143192973829</v>
      </c>
      <c r="CT913" s="551">
        <v>1.3990626225301917E-2</v>
      </c>
      <c r="CU913" s="551">
        <v>15405.795003639361</v>
      </c>
      <c r="CV913" s="551"/>
      <c r="CW913" s="551">
        <v>7.0677582947973141</v>
      </c>
      <c r="CX913" s="551">
        <v>9.3857918424747755</v>
      </c>
      <c r="CY913" s="554"/>
    </row>
    <row r="914" spans="65:103" ht="12.75" customHeight="1" x14ac:dyDescent="0.3">
      <c r="BM914" s="562"/>
      <c r="BN914" s="591">
        <v>901</v>
      </c>
      <c r="BO914" s="549" t="s">
        <v>3653</v>
      </c>
      <c r="BP914" s="554" t="s">
        <v>619</v>
      </c>
      <c r="BQ914" s="553">
        <v>6.36</v>
      </c>
      <c r="BR914" s="551">
        <v>2385.504062010742</v>
      </c>
      <c r="BS914" s="551"/>
      <c r="BT914" s="551">
        <v>12481676.476519434</v>
      </c>
      <c r="BU914" s="551">
        <v>574623.54230186495</v>
      </c>
      <c r="BV914" s="551">
        <v>242599.73023672405</v>
      </c>
      <c r="BW914" s="551">
        <v>3324.9941087514362</v>
      </c>
      <c r="BX914" s="551">
        <v>1829107.3826296756</v>
      </c>
      <c r="BY914" s="551">
        <v>25675169.994399562</v>
      </c>
      <c r="BZ914" s="551">
        <v>677447.17875173164</v>
      </c>
      <c r="CA914" s="551">
        <v>42.933330686089477</v>
      </c>
      <c r="CB914" s="551">
        <v>1.9100035169760668E-31</v>
      </c>
      <c r="CC914" s="551">
        <v>22801.631618851574</v>
      </c>
      <c r="CD914" s="551">
        <v>6814582.7046091305</v>
      </c>
      <c r="CE914" s="551">
        <v>443.18322863893644</v>
      </c>
      <c r="CF914" s="551">
        <v>1971.5905874355649</v>
      </c>
      <c r="CG914" s="551">
        <v>17058.942851178599</v>
      </c>
      <c r="CH914" s="551">
        <v>88531.763089498665</v>
      </c>
      <c r="CI914" s="551">
        <v>6318.1269819180006</v>
      </c>
      <c r="CJ914" s="551">
        <v>0.1134629133036289</v>
      </c>
      <c r="CK914" s="551">
        <v>2348513.9820189737</v>
      </c>
      <c r="CL914" s="551"/>
      <c r="CM914" s="551">
        <v>136.70668759789484</v>
      </c>
      <c r="CN914" s="551">
        <v>161.81363668333154</v>
      </c>
      <c r="CO914" s="551">
        <v>3.4795784076376213E-4</v>
      </c>
      <c r="CP914" s="551">
        <v>146378.55808928638</v>
      </c>
      <c r="CQ914" s="551"/>
      <c r="CR914" s="551">
        <v>8.682706150650624</v>
      </c>
      <c r="CS914" s="551">
        <v>0.28929923633718052</v>
      </c>
      <c r="CT914" s="551">
        <v>6.2423021132426465E-5</v>
      </c>
      <c r="CU914" s="551">
        <v>26610.827638219889</v>
      </c>
      <c r="CV914" s="551"/>
      <c r="CW914" s="551">
        <v>1.4962885323091317</v>
      </c>
      <c r="CX914" s="551">
        <v>6.1154545883228592E-2</v>
      </c>
      <c r="CY914" s="554"/>
    </row>
    <row r="915" spans="65:103" ht="12.75" customHeight="1" x14ac:dyDescent="0.3">
      <c r="BM915" s="562"/>
      <c r="BN915" s="591">
        <v>902</v>
      </c>
      <c r="BO915" s="549" t="s">
        <v>3657</v>
      </c>
      <c r="BP915" s="554" t="s">
        <v>619</v>
      </c>
      <c r="BQ915" s="553">
        <v>6.53</v>
      </c>
      <c r="BR915" s="551">
        <v>97.044920156203332</v>
      </c>
      <c r="BS915" s="551"/>
      <c r="BT915" s="551">
        <v>23173716.321891081</v>
      </c>
      <c r="BU915" s="551">
        <v>1066408.964727202</v>
      </c>
      <c r="BV915" s="551">
        <v>311473.56253326591</v>
      </c>
      <c r="BW915" s="551">
        <v>4318.0505744221964</v>
      </c>
      <c r="BX915" s="551">
        <v>1971641.6181632171</v>
      </c>
      <c r="BY915" s="551">
        <v>32470845.224357624</v>
      </c>
      <c r="BZ915" s="551">
        <v>730237.63635674689</v>
      </c>
      <c r="CA915" s="551">
        <v>4.1171912009893348E-2</v>
      </c>
      <c r="CB915" s="551">
        <v>7.8001799816820771E-33</v>
      </c>
      <c r="CC915" s="551">
        <v>1115.4158051120116</v>
      </c>
      <c r="CD915" s="551">
        <v>12457196.416259322</v>
      </c>
      <c r="CE915" s="551">
        <v>14.992094047339151</v>
      </c>
      <c r="CF915" s="551">
        <v>2522.0532609963061</v>
      </c>
      <c r="CG915" s="551">
        <v>433.46565655372638</v>
      </c>
      <c r="CH915" s="551">
        <v>2669.1624490429849</v>
      </c>
      <c r="CI915" s="551">
        <v>160.54283576063943</v>
      </c>
      <c r="CJ915" s="551">
        <v>3.426831347174553E-6</v>
      </c>
      <c r="CK915" s="551">
        <v>4292279.103604666</v>
      </c>
      <c r="CL915" s="551"/>
      <c r="CM915" s="551">
        <v>174.84022537595871</v>
      </c>
      <c r="CN915" s="551">
        <v>0.1294941187493569</v>
      </c>
      <c r="CO915" s="551">
        <v>1.07756333054024E-8</v>
      </c>
      <c r="CP915" s="551">
        <v>267524.63702520879</v>
      </c>
      <c r="CQ915" s="551"/>
      <c r="CR915" s="551">
        <v>11.053683036432425</v>
      </c>
      <c r="CS915" s="551">
        <v>1.2842944744832902E-3</v>
      </c>
      <c r="CT915" s="551">
        <v>2.1119351564680025E-8</v>
      </c>
      <c r="CU915" s="551">
        <v>48634.488319951794</v>
      </c>
      <c r="CV915" s="551"/>
      <c r="CW915" s="551">
        <v>1.9294865966905768</v>
      </c>
      <c r="CX915" s="551">
        <v>2.2927937193277498E-4</v>
      </c>
      <c r="CY915" s="554"/>
    </row>
    <row r="916" spans="65:103" ht="12.75" customHeight="1" x14ac:dyDescent="0.3">
      <c r="BM916" s="562"/>
      <c r="BN916" s="591">
        <v>903</v>
      </c>
      <c r="BO916" s="549" t="s">
        <v>3655</v>
      </c>
      <c r="BP916" s="554" t="s">
        <v>619</v>
      </c>
      <c r="BQ916" s="553">
        <v>6.53</v>
      </c>
      <c r="BR916" s="551">
        <v>155.22465192465975</v>
      </c>
      <c r="BS916" s="551"/>
      <c r="BT916" s="551">
        <v>20186960.78211689</v>
      </c>
      <c r="BU916" s="551">
        <v>929222.44686873432</v>
      </c>
      <c r="BV916" s="551">
        <v>331988.40924218704</v>
      </c>
      <c r="BW916" s="551">
        <v>4575.9117596722945</v>
      </c>
      <c r="BX916" s="551">
        <v>2379105.9185475418</v>
      </c>
      <c r="BY916" s="551">
        <v>35662501.416798554</v>
      </c>
      <c r="BZ916" s="551">
        <v>881150.3402027929</v>
      </c>
      <c r="CA916" s="551">
        <v>0.11539913753102289</v>
      </c>
      <c r="CB916" s="551">
        <v>1.2471022695719724E-32</v>
      </c>
      <c r="CC916" s="551">
        <v>1617.3966349622515</v>
      </c>
      <c r="CD916" s="551">
        <v>10857753.21088884</v>
      </c>
      <c r="CE916" s="551">
        <v>26.599196468963299</v>
      </c>
      <c r="CF916" s="551">
        <v>2673.4244727271644</v>
      </c>
      <c r="CG916" s="551">
        <v>916.54571621616799</v>
      </c>
      <c r="CH916" s="551">
        <v>5134.7844233571195</v>
      </c>
      <c r="CI916" s="551">
        <v>339.46137637635837</v>
      </c>
      <c r="CJ916" s="551">
        <v>1.4821023697468305E-5</v>
      </c>
      <c r="CK916" s="551">
        <v>3741190.0007335404</v>
      </c>
      <c r="CL916" s="551"/>
      <c r="CM916" s="551">
        <v>185.33481897636537</v>
      </c>
      <c r="CN916" s="551">
        <v>0.42250653043266551</v>
      </c>
      <c r="CO916" s="551">
        <v>2.8596243070023798E-8</v>
      </c>
      <c r="CP916" s="551">
        <v>233177.97964034294</v>
      </c>
      <c r="CQ916" s="551"/>
      <c r="CR916" s="551">
        <v>11.744453667044391</v>
      </c>
      <c r="CS916" s="551">
        <v>2.5787446212454847E-3</v>
      </c>
      <c r="CT916" s="551">
        <v>5.5077328503538875E-8</v>
      </c>
      <c r="CU916" s="551">
        <v>42390.479877587612</v>
      </c>
      <c r="CV916" s="551"/>
      <c r="CW916" s="551">
        <v>2.0367575366365007</v>
      </c>
      <c r="CX916" s="551">
        <v>4.4546268769010683E-4</v>
      </c>
      <c r="CY916" s="554"/>
    </row>
    <row r="917" spans="65:103" ht="12.75" customHeight="1" x14ac:dyDescent="0.3">
      <c r="BM917" s="562"/>
      <c r="BN917" s="591">
        <v>904</v>
      </c>
      <c r="BO917" s="549" t="s">
        <v>3659</v>
      </c>
      <c r="BP917" s="554" t="s">
        <v>619</v>
      </c>
      <c r="BQ917" s="553">
        <v>6.53</v>
      </c>
      <c r="BR917" s="551">
        <v>212.45146741065307</v>
      </c>
      <c r="BS917" s="551"/>
      <c r="BT917" s="551">
        <v>17586764.171062972</v>
      </c>
      <c r="BU917" s="551">
        <v>809806.15196698753</v>
      </c>
      <c r="BV917" s="551">
        <v>370567.09807117912</v>
      </c>
      <c r="BW917" s="551">
        <v>5064.2905114937848</v>
      </c>
      <c r="BX917" s="551">
        <v>2891366.0459772339</v>
      </c>
      <c r="BY917" s="551">
        <v>38746846.09070833</v>
      </c>
      <c r="BZ917" s="551">
        <v>1070876.3133249017</v>
      </c>
      <c r="CA917" s="551">
        <v>0.23503964461268445</v>
      </c>
      <c r="CB917" s="551">
        <v>1.7060418333308342E-32</v>
      </c>
      <c r="CC917" s="551">
        <v>1954.3099826716677</v>
      </c>
      <c r="CD917" s="551">
        <v>9465688.3745740037</v>
      </c>
      <c r="CE917" s="551">
        <v>41.178864512311485</v>
      </c>
      <c r="CF917" s="551">
        <v>2959.7821468554589</v>
      </c>
      <c r="CG917" s="551">
        <v>1657.6122539559569</v>
      </c>
      <c r="CH917" s="551">
        <v>8298.0209563425487</v>
      </c>
      <c r="CI917" s="551">
        <v>613.93046442813215</v>
      </c>
      <c r="CJ917" s="551">
        <v>4.2303096071257122E-5</v>
      </c>
      <c r="CK917" s="551">
        <v>3261559.6055848575</v>
      </c>
      <c r="CL917" s="551"/>
      <c r="CM917" s="551">
        <v>205.1879808467188</v>
      </c>
      <c r="CN917" s="551">
        <v>1.0708228645459306</v>
      </c>
      <c r="CO917" s="551">
        <v>5.6411055953482055E-8</v>
      </c>
      <c r="CP917" s="551">
        <v>203285.33138722653</v>
      </c>
      <c r="CQ917" s="551"/>
      <c r="CR917" s="551">
        <v>13.047959256597046</v>
      </c>
      <c r="CS917" s="551">
        <v>4.4450549375859233E-3</v>
      </c>
      <c r="CT917" s="551">
        <v>1.0384788060457966E-7</v>
      </c>
      <c r="CU917" s="551">
        <v>36956.190672424797</v>
      </c>
      <c r="CV917" s="551"/>
      <c r="CW917" s="551">
        <v>2.2409384030634105</v>
      </c>
      <c r="CX917" s="551">
        <v>7.3588027401606056E-4</v>
      </c>
      <c r="CY917" s="554"/>
    </row>
    <row r="918" spans="65:103" ht="12.75" customHeight="1" x14ac:dyDescent="0.3">
      <c r="BM918" s="562"/>
      <c r="BN918" s="591">
        <v>905</v>
      </c>
      <c r="BO918" s="549" t="s">
        <v>3661</v>
      </c>
      <c r="BP918" s="554" t="s">
        <v>619</v>
      </c>
      <c r="BQ918" s="553">
        <v>6.56</v>
      </c>
      <c r="BR918" s="551">
        <v>239.17108981253529</v>
      </c>
      <c r="BS918" s="551"/>
      <c r="BT918" s="551">
        <v>9809490.8392437696</v>
      </c>
      <c r="BU918" s="551">
        <v>461314.87518949417</v>
      </c>
      <c r="BV918" s="551">
        <v>1498780.890117873</v>
      </c>
      <c r="BW918" s="551">
        <v>18508.669087804454</v>
      </c>
      <c r="BX918" s="551">
        <v>10321910.935204225</v>
      </c>
      <c r="BY918" s="551">
        <v>132886105.74889539</v>
      </c>
      <c r="BZ918" s="551">
        <v>3822929.976001563</v>
      </c>
      <c r="CA918" s="551">
        <v>0.65945877626287608</v>
      </c>
      <c r="CB918" s="551">
        <v>1.9208497853048273E-32</v>
      </c>
      <c r="CC918" s="551">
        <v>2641.0812825424487</v>
      </c>
      <c r="CD918" s="551">
        <v>7456917.6356735583</v>
      </c>
      <c r="CE918" s="551">
        <v>403.52778960623237</v>
      </c>
      <c r="CF918" s="551">
        <v>14959.155704333352</v>
      </c>
      <c r="CG918" s="551">
        <v>14748.150744304703</v>
      </c>
      <c r="CH918" s="551">
        <v>70884.415214646899</v>
      </c>
      <c r="CI918" s="551">
        <v>5462.2780534461845</v>
      </c>
      <c r="CJ918" s="551">
        <v>2.6680654603637965E-4</v>
      </c>
      <c r="CK918" s="551">
        <v>4006580.1865988518</v>
      </c>
      <c r="CL918" s="551"/>
      <c r="CM918" s="551">
        <v>1619.5776378271948</v>
      </c>
      <c r="CN918" s="551">
        <v>21.416576640342367</v>
      </c>
      <c r="CO918" s="551">
        <v>1.3279263318301074E-7</v>
      </c>
      <c r="CP918" s="551">
        <v>378111.75517569832</v>
      </c>
      <c r="CQ918" s="551"/>
      <c r="CR918" s="551">
        <v>161.8936164867238</v>
      </c>
      <c r="CS918" s="551">
        <v>6.2254906699269717E-3</v>
      </c>
      <c r="CT918" s="551">
        <v>2.2837155108215484E-8</v>
      </c>
      <c r="CU918" s="551">
        <v>72434.485105736327</v>
      </c>
      <c r="CV918" s="551"/>
      <c r="CW918" s="551">
        <v>26.494985676811137</v>
      </c>
      <c r="CX918" s="551">
        <v>1.2618668206832505E-3</v>
      </c>
      <c r="CY918" s="554"/>
    </row>
    <row r="919" spans="65:103" ht="12.75" customHeight="1" x14ac:dyDescent="0.3">
      <c r="BM919" s="562"/>
      <c r="BN919" s="591">
        <v>906</v>
      </c>
      <c r="BO919" s="549" t="s">
        <v>3663</v>
      </c>
      <c r="BP919" s="554" t="s">
        <v>619</v>
      </c>
      <c r="BQ919" s="553">
        <v>6.6</v>
      </c>
      <c r="BR919" s="551">
        <v>2387.2670708034357</v>
      </c>
      <c r="BS919" s="551"/>
      <c r="BT919" s="551">
        <v>7606158.2795500094</v>
      </c>
      <c r="BU919" s="551">
        <v>366593.83585155697</v>
      </c>
      <c r="BV919" s="551">
        <v>2347583.2979893088</v>
      </c>
      <c r="BW919" s="551">
        <v>29402.877176129532</v>
      </c>
      <c r="BX919" s="551">
        <v>7559701.6358420542</v>
      </c>
      <c r="BY919" s="551">
        <v>72975402.248843253</v>
      </c>
      <c r="BZ919" s="551">
        <v>2799889.4947563168</v>
      </c>
      <c r="CA919" s="551">
        <v>106.83553689796663</v>
      </c>
      <c r="CB919" s="551">
        <v>1.9029155661904587E-31</v>
      </c>
      <c r="CC919" s="551">
        <v>23721.387168335368</v>
      </c>
      <c r="CD919" s="551">
        <v>10600002.049891878</v>
      </c>
      <c r="CE919" s="551">
        <v>7321.4269641541832</v>
      </c>
      <c r="CF919" s="551">
        <v>42508.974218799398</v>
      </c>
      <c r="CG919" s="551">
        <v>175314.51528322053</v>
      </c>
      <c r="CH919" s="551">
        <v>615540.29463322239</v>
      </c>
      <c r="CI919" s="551">
        <v>64931.301956748342</v>
      </c>
      <c r="CJ919" s="551">
        <v>0.70306128197538598</v>
      </c>
      <c r="CK919" s="551">
        <v>15183873.193738995</v>
      </c>
      <c r="CL919" s="551"/>
      <c r="CM919" s="551">
        <v>12290.75716619649</v>
      </c>
      <c r="CN919" s="551">
        <v>4140.9403589176518</v>
      </c>
      <c r="CO919" s="551">
        <v>5.2947404535024622E-3</v>
      </c>
      <c r="CP919" s="551">
        <v>3340495.1110489578</v>
      </c>
      <c r="CQ919" s="551"/>
      <c r="CR919" s="551">
        <v>2788.0875035198451</v>
      </c>
      <c r="CS919" s="551">
        <v>20.707985598178684</v>
      </c>
      <c r="CT919" s="551">
        <v>9.5358335300160812E-4</v>
      </c>
      <c r="CU919" s="551">
        <v>810932.67492890509</v>
      </c>
      <c r="CV919" s="551"/>
      <c r="CW919" s="551">
        <v>621.3173629071747</v>
      </c>
      <c r="CX919" s="551">
        <v>3.6075031154924626</v>
      </c>
      <c r="CY919" s="554"/>
    </row>
    <row r="920" spans="65:103" ht="12.75" customHeight="1" x14ac:dyDescent="0.3">
      <c r="BM920" s="562"/>
      <c r="BN920" s="591">
        <v>907</v>
      </c>
      <c r="BO920" s="549" t="s">
        <v>3665</v>
      </c>
      <c r="BP920" s="554" t="s">
        <v>619</v>
      </c>
      <c r="BQ920" s="553">
        <v>6.62</v>
      </c>
      <c r="BR920" s="551">
        <v>33407.412909025261</v>
      </c>
      <c r="BS920" s="551"/>
      <c r="BT920" s="551">
        <v>4078292.3378069573</v>
      </c>
      <c r="BU920" s="551">
        <v>183154.58622425376</v>
      </c>
      <c r="BV920" s="551">
        <v>3351240.2166026165</v>
      </c>
      <c r="BW920" s="551">
        <v>40974.890051931463</v>
      </c>
      <c r="BX920" s="551">
        <v>119197.54304544532</v>
      </c>
      <c r="BY920" s="551">
        <v>13529129.156858871</v>
      </c>
      <c r="BZ920" s="551">
        <v>44147.238164979746</v>
      </c>
      <c r="CA920" s="551">
        <v>8243.6817565768688</v>
      </c>
      <c r="CB920" s="551">
        <v>2.5403045794275398E-31</v>
      </c>
      <c r="CC920" s="551">
        <v>2034.9725108742987</v>
      </c>
      <c r="CD920" s="551">
        <v>2236496.4176318366</v>
      </c>
      <c r="CE920" s="551">
        <v>1672.1905035846298</v>
      </c>
      <c r="CF920" s="551">
        <v>25017.171751789829</v>
      </c>
      <c r="CG920" s="551">
        <v>15630.884814375151</v>
      </c>
      <c r="CH920" s="551">
        <v>44873.705279430607</v>
      </c>
      <c r="CI920" s="551">
        <v>5789.2165979167221</v>
      </c>
      <c r="CJ920" s="551">
        <v>305.75300302046605</v>
      </c>
      <c r="CK920" s="551">
        <v>775556.92735518015</v>
      </c>
      <c r="CL920" s="551"/>
      <c r="CM920" s="551">
        <v>1745.2730431698405</v>
      </c>
      <c r="CN920" s="551">
        <v>2080.8306279328053</v>
      </c>
      <c r="CO920" s="551">
        <v>4.5129736595272298</v>
      </c>
      <c r="CP920" s="551">
        <v>48682.96352725965</v>
      </c>
      <c r="CQ920" s="551"/>
      <c r="CR920" s="551">
        <v>137.39282650394907</v>
      </c>
      <c r="CS920" s="551">
        <v>118.27674197072935</v>
      </c>
      <c r="CT920" s="551">
        <v>4.8228073313263247</v>
      </c>
      <c r="CU920" s="551">
        <v>8835.0724305519288</v>
      </c>
      <c r="CV920" s="551"/>
      <c r="CW920" s="551">
        <v>14.383602395568724</v>
      </c>
      <c r="CX920" s="551">
        <v>8.1485107319296031</v>
      </c>
      <c r="CY920" s="554"/>
    </row>
    <row r="921" spans="65:103" ht="12.75" customHeight="1" x14ac:dyDescent="0.3">
      <c r="BM921" s="562"/>
      <c r="BN921" s="591">
        <v>908</v>
      </c>
      <c r="BO921" s="549" t="s">
        <v>3667</v>
      </c>
      <c r="BP921" s="554" t="s">
        <v>619</v>
      </c>
      <c r="BQ921" s="553">
        <v>6.68</v>
      </c>
      <c r="BR921" s="551">
        <v>47263.8563095059</v>
      </c>
      <c r="BS921" s="551"/>
      <c r="BT921" s="551">
        <v>2646712.1956286533</v>
      </c>
      <c r="BU921" s="551">
        <v>121843.71441408915</v>
      </c>
      <c r="BV921" s="551">
        <v>100024168.71441573</v>
      </c>
      <c r="BW921" s="551">
        <v>2974968.8821320548</v>
      </c>
      <c r="BX921" s="551">
        <v>7344569.4102256186</v>
      </c>
      <c r="BY921" s="551">
        <v>92250561.712615266</v>
      </c>
      <c r="BZ921" s="551">
        <v>2720210.8926761537</v>
      </c>
      <c r="CA921" s="551">
        <v>61363.743591056009</v>
      </c>
      <c r="CB921" s="551">
        <v>2.9306515654567775E-30</v>
      </c>
      <c r="CC921" s="551">
        <v>31689.620197219643</v>
      </c>
      <c r="CD921" s="551">
        <v>6876672.4807318356</v>
      </c>
      <c r="CE921" s="551">
        <v>1197609.5936451347</v>
      </c>
      <c r="CF921" s="551">
        <v>8395134.1852827836</v>
      </c>
      <c r="CG921" s="551">
        <v>4941371.698601529</v>
      </c>
      <c r="CH921" s="551">
        <v>11549048.607411668</v>
      </c>
      <c r="CI921" s="551">
        <v>1830137.6661487143</v>
      </c>
      <c r="CJ921" s="551">
        <v>12732.999453688126</v>
      </c>
      <c r="CK921" s="551">
        <v>12572393.059119048</v>
      </c>
      <c r="CL921" s="551"/>
      <c r="CM921" s="551">
        <v>3091240.4011316728</v>
      </c>
      <c r="CN921" s="551">
        <v>3680188.4056217778</v>
      </c>
      <c r="CO921" s="551">
        <v>1456.8775642158557</v>
      </c>
      <c r="CP921" s="551">
        <v>3371535.8832402271</v>
      </c>
      <c r="CQ921" s="551"/>
      <c r="CR921" s="551">
        <v>930484.98664020246</v>
      </c>
      <c r="CS921" s="551">
        <v>691859.11184328003</v>
      </c>
      <c r="CT921" s="551">
        <v>834.96359261572229</v>
      </c>
      <c r="CU921" s="551">
        <v>881226.17087462835</v>
      </c>
      <c r="CV921" s="551"/>
      <c r="CW921" s="551">
        <v>179914.84374125054</v>
      </c>
      <c r="CX921" s="551">
        <v>102734.12353971798</v>
      </c>
      <c r="CY921" s="554"/>
    </row>
    <row r="922" spans="65:103" ht="12.75" customHeight="1" x14ac:dyDescent="0.3">
      <c r="BM922" s="562"/>
      <c r="BN922" s="591">
        <v>909</v>
      </c>
      <c r="BO922" s="549" t="s">
        <v>3669</v>
      </c>
      <c r="BP922" s="554" t="s">
        <v>619</v>
      </c>
      <c r="BQ922" s="553">
        <v>6.7</v>
      </c>
      <c r="BR922" s="551">
        <v>27710.250986739295</v>
      </c>
      <c r="BS922" s="551"/>
      <c r="BT922" s="551">
        <v>7607502.6680640653</v>
      </c>
      <c r="BU922" s="551">
        <v>322424.68381298892</v>
      </c>
      <c r="BV922" s="551">
        <v>427228.71993441373</v>
      </c>
      <c r="BW922" s="551">
        <v>5032.9568240554527</v>
      </c>
      <c r="BX922" s="551">
        <v>1798161.4441816811</v>
      </c>
      <c r="BY922" s="551">
        <v>21922241.658679496</v>
      </c>
      <c r="BZ922" s="551">
        <v>665985.72006728943</v>
      </c>
      <c r="CA922" s="551">
        <v>3902.1841648028389</v>
      </c>
      <c r="CB922" s="551">
        <v>1.2938020638026943E-30</v>
      </c>
      <c r="CC922" s="551">
        <v>25438.221532840944</v>
      </c>
      <c r="CD922" s="551">
        <v>2093241.3601255196</v>
      </c>
      <c r="CE922" s="551">
        <v>1428.5816643228752</v>
      </c>
      <c r="CF922" s="551">
        <v>1633.7448583727887</v>
      </c>
      <c r="CG922" s="551">
        <v>131219.32221588673</v>
      </c>
      <c r="CH922" s="551">
        <v>363224.46660372871</v>
      </c>
      <c r="CI922" s="551">
        <v>48599.748968846943</v>
      </c>
      <c r="CJ922" s="551">
        <v>81.371302153904466</v>
      </c>
      <c r="CK922" s="551">
        <v>304463.44207838946</v>
      </c>
      <c r="CL922" s="551"/>
      <c r="CM922" s="551">
        <v>47.518727606484873</v>
      </c>
      <c r="CN922" s="551">
        <v>9821.2089118988133</v>
      </c>
      <c r="CO922" s="551">
        <v>0.42111057449283951</v>
      </c>
      <c r="CP922" s="551">
        <v>8335.0849443765092</v>
      </c>
      <c r="CQ922" s="551"/>
      <c r="CR922" s="551">
        <v>1.452148588666859</v>
      </c>
      <c r="CS922" s="551">
        <v>214.67088580006603</v>
      </c>
      <c r="CT922" s="551">
        <v>0.79724318271388028</v>
      </c>
      <c r="CU922" s="551">
        <v>1423.3713283895772</v>
      </c>
      <c r="CV922" s="551"/>
      <c r="CW922" s="551">
        <v>0.18526718620351382</v>
      </c>
      <c r="CX922" s="551">
        <v>23.353239988993693</v>
      </c>
      <c r="CY922" s="554"/>
    </row>
    <row r="923" spans="65:103" ht="12.75" customHeight="1" x14ac:dyDescent="0.3">
      <c r="BM923" s="562"/>
      <c r="BN923" s="591">
        <v>910</v>
      </c>
      <c r="BO923" s="549" t="s">
        <v>3671</v>
      </c>
      <c r="BP923" s="554" t="s">
        <v>619</v>
      </c>
      <c r="BQ923" s="553">
        <v>6.75</v>
      </c>
      <c r="BR923" s="551">
        <v>49245.912649155631</v>
      </c>
      <c r="BS923" s="551"/>
      <c r="BT923" s="551">
        <v>16882635.234797649</v>
      </c>
      <c r="BU923" s="551">
        <v>771310.52543329587</v>
      </c>
      <c r="BV923" s="551">
        <v>1058319.9197765046</v>
      </c>
      <c r="BW923" s="551">
        <v>13497.614145639282</v>
      </c>
      <c r="BX923" s="551">
        <v>481652.62056947307</v>
      </c>
      <c r="BY923" s="551">
        <v>47171084.972684599</v>
      </c>
      <c r="BZ923" s="551">
        <v>178389.8594701752</v>
      </c>
      <c r="CA923" s="551">
        <v>8308.5595132439284</v>
      </c>
      <c r="CB923" s="551">
        <v>5.3108261791803679E-31</v>
      </c>
      <c r="CC923" s="551">
        <v>16153.551616811166</v>
      </c>
      <c r="CD923" s="551">
        <v>9256104.0740754604</v>
      </c>
      <c r="CE923" s="551">
        <v>1012.61593426911</v>
      </c>
      <c r="CF923" s="551">
        <v>8098.8990273123763</v>
      </c>
      <c r="CG923" s="551">
        <v>42241.22411548956</v>
      </c>
      <c r="CH923" s="551">
        <v>164981.71654371155</v>
      </c>
      <c r="CI923" s="551">
        <v>15644.897820551687</v>
      </c>
      <c r="CJ923" s="551">
        <v>209.43301203850689</v>
      </c>
      <c r="CK923" s="551">
        <v>3197495.7932475745</v>
      </c>
      <c r="CL923" s="551"/>
      <c r="CM923" s="551">
        <v>562.89153326624887</v>
      </c>
      <c r="CN923" s="551">
        <v>3821.7260647173166</v>
      </c>
      <c r="CO923" s="551">
        <v>1.6870082030601812</v>
      </c>
      <c r="CP923" s="551">
        <v>199650.33443340234</v>
      </c>
      <c r="CQ923" s="551"/>
      <c r="CR923" s="551">
        <v>36.855586824770711</v>
      </c>
      <c r="CS923" s="551">
        <v>112.61867237181622</v>
      </c>
      <c r="CT923" s="551">
        <v>2.306115544073267</v>
      </c>
      <c r="CU923" s="551">
        <v>36275.861779394967</v>
      </c>
      <c r="CV923" s="551"/>
      <c r="CW923" s="551">
        <v>5.8722248838434314</v>
      </c>
      <c r="CX923" s="551">
        <v>11.149540485131322</v>
      </c>
      <c r="CY923" s="554"/>
    </row>
    <row r="924" spans="65:103" ht="12.75" customHeight="1" x14ac:dyDescent="0.3">
      <c r="BM924" s="562"/>
      <c r="BN924" s="591">
        <v>911</v>
      </c>
      <c r="BO924" s="549" t="s">
        <v>3673</v>
      </c>
      <c r="BP924" s="554" t="s">
        <v>619</v>
      </c>
      <c r="BQ924" s="553">
        <v>6.79</v>
      </c>
      <c r="BR924" s="551">
        <v>9053.4149744829319</v>
      </c>
      <c r="BS924" s="551"/>
      <c r="BT924" s="551">
        <v>9224404.5168460291</v>
      </c>
      <c r="BU924" s="551">
        <v>425016.66608494939</v>
      </c>
      <c r="BV924" s="551">
        <v>1006141.6060129355</v>
      </c>
      <c r="BW924" s="551">
        <v>12386.981225347394</v>
      </c>
      <c r="BX924" s="551">
        <v>4460108.0477980552</v>
      </c>
      <c r="BY924" s="551">
        <v>38624039.266459189</v>
      </c>
      <c r="BZ924" s="551">
        <v>1651891.8695548358</v>
      </c>
      <c r="CA924" s="551">
        <v>657.8481857736756</v>
      </c>
      <c r="CB924" s="551">
        <v>6.5672664749543966E-31</v>
      </c>
      <c r="CC924" s="551">
        <v>30689.717709190099</v>
      </c>
      <c r="CD924" s="551">
        <v>5295427.4047501581</v>
      </c>
      <c r="CE924" s="551">
        <v>3347.4466354567348</v>
      </c>
      <c r="CF924" s="551">
        <v>7716.680906545882</v>
      </c>
      <c r="CG924" s="551">
        <v>167941.15990551707</v>
      </c>
      <c r="CH924" s="551">
        <v>490327.82215099904</v>
      </c>
      <c r="CI924" s="551">
        <v>62200.429594635942</v>
      </c>
      <c r="CJ924" s="551">
        <v>7.0415231382485555</v>
      </c>
      <c r="CK924" s="551">
        <v>1830059.5917180327</v>
      </c>
      <c r="CL924" s="551"/>
      <c r="CM924" s="551">
        <v>536.54925092233975</v>
      </c>
      <c r="CN924" s="551">
        <v>6452.1095570539001</v>
      </c>
      <c r="CO924" s="551">
        <v>8.167526744647946E-2</v>
      </c>
      <c r="CP924" s="551">
        <v>114157.93531708514</v>
      </c>
      <c r="CQ924" s="551"/>
      <c r="CR924" s="551">
        <v>35.978445156067245</v>
      </c>
      <c r="CS924" s="551">
        <v>59.25659383818784</v>
      </c>
      <c r="CT924" s="551">
        <v>1.7268725140402476E-2</v>
      </c>
      <c r="CU924" s="551">
        <v>20753.137709403556</v>
      </c>
      <c r="CV924" s="551"/>
      <c r="CW924" s="551">
        <v>5.377041170719024</v>
      </c>
      <c r="CX924" s="551">
        <v>8.5909316854337945</v>
      </c>
      <c r="CY924" s="554"/>
    </row>
    <row r="925" spans="65:103" ht="12.75" customHeight="1" x14ac:dyDescent="0.3">
      <c r="BM925" s="562"/>
      <c r="BN925" s="591">
        <v>912</v>
      </c>
      <c r="BO925" s="549" t="s">
        <v>3675</v>
      </c>
      <c r="BP925" s="554" t="s">
        <v>619</v>
      </c>
      <c r="BQ925" s="553">
        <v>6.8</v>
      </c>
      <c r="BR925" s="551">
        <v>20.155204874366493</v>
      </c>
      <c r="BS925" s="551"/>
      <c r="BT925" s="551">
        <v>11725998.378384801</v>
      </c>
      <c r="BU925" s="551">
        <v>540086.10368454771</v>
      </c>
      <c r="BV925" s="551">
        <v>301308.73102968332</v>
      </c>
      <c r="BW925" s="551">
        <v>4084.6587961358473</v>
      </c>
      <c r="BX925" s="551">
        <v>2423212.9870011155</v>
      </c>
      <c r="BY925" s="551">
        <v>29768287.203303419</v>
      </c>
      <c r="BZ925" s="551">
        <v>897486.29148189491</v>
      </c>
      <c r="CA925" s="551">
        <v>3.0456457227390397E-3</v>
      </c>
      <c r="CB925" s="551">
        <v>1.6194510096102868E-33</v>
      </c>
      <c r="CC925" s="551">
        <v>167.54709783639424</v>
      </c>
      <c r="CD925" s="551">
        <v>6307664.2769529987</v>
      </c>
      <c r="CE925" s="551">
        <v>4.3052541717768849</v>
      </c>
      <c r="CF925" s="551">
        <v>2385.2360018298568</v>
      </c>
      <c r="CG925" s="551">
        <v>189.75020129652648</v>
      </c>
      <c r="CH925" s="551">
        <v>871.6496690774735</v>
      </c>
      <c r="CI925" s="551">
        <v>70.277852332046848</v>
      </c>
      <c r="CJ925" s="551">
        <v>6.8029097364826634E-8</v>
      </c>
      <c r="CK925" s="551">
        <v>2173424.1763838623</v>
      </c>
      <c r="CL925" s="551"/>
      <c r="CM925" s="551">
        <v>165.35833550354687</v>
      </c>
      <c r="CN925" s="551">
        <v>1.5212522219729043E-2</v>
      </c>
      <c r="CO925" s="551">
        <v>3.8432456128611547E-11</v>
      </c>
      <c r="CP925" s="551">
        <v>135465.32592266088</v>
      </c>
      <c r="CQ925" s="551"/>
      <c r="CR925" s="551">
        <v>10.55082954870676</v>
      </c>
      <c r="CS925" s="551">
        <v>5.1218291528194515E-6</v>
      </c>
      <c r="CT925" s="551">
        <v>5.4464841159381645E-12</v>
      </c>
      <c r="CU925" s="551">
        <v>24626.895178600211</v>
      </c>
      <c r="CV925" s="551"/>
      <c r="CW925" s="551">
        <v>1.7951688961780579</v>
      </c>
      <c r="CX925" s="551">
        <v>8.200479803534125E-7</v>
      </c>
      <c r="CY925" s="554"/>
    </row>
    <row r="926" spans="65:103" ht="12.75" customHeight="1" x14ac:dyDescent="0.3">
      <c r="BM926" s="562"/>
      <c r="BN926" s="591">
        <v>913</v>
      </c>
      <c r="BO926" s="549" t="s">
        <v>3677</v>
      </c>
      <c r="BP926" s="554" t="s">
        <v>619</v>
      </c>
      <c r="BQ926" s="553">
        <v>6.81</v>
      </c>
      <c r="BR926" s="551">
        <v>20305.01661097175</v>
      </c>
      <c r="BS926" s="551"/>
      <c r="BT926" s="551">
        <v>16432680.208264383</v>
      </c>
      <c r="BU926" s="551">
        <v>697091.79081426561</v>
      </c>
      <c r="BV926" s="551">
        <v>369021.46312235878</v>
      </c>
      <c r="BW926" s="551">
        <v>4620.9766323061958</v>
      </c>
      <c r="BX926" s="551">
        <v>2946177.4346002764</v>
      </c>
      <c r="BY926" s="551">
        <v>38858315.536614791</v>
      </c>
      <c r="BZ926" s="551">
        <v>1091176.8276297322</v>
      </c>
      <c r="CA926" s="551">
        <v>1029.8741718809238</v>
      </c>
      <c r="CB926" s="551">
        <v>1.08131928831687E-30</v>
      </c>
      <c r="CC926" s="551">
        <v>40523.201989226465</v>
      </c>
      <c r="CD926" s="551">
        <v>4130481.1599266008</v>
      </c>
      <c r="CE926" s="551">
        <v>910.01170222655151</v>
      </c>
      <c r="CF926" s="551">
        <v>1369.0346932580187</v>
      </c>
      <c r="CG926" s="551">
        <v>77435.160138342195</v>
      </c>
      <c r="CH926" s="551">
        <v>277399.44888045604</v>
      </c>
      <c r="CI926" s="551">
        <v>28679.688940126729</v>
      </c>
      <c r="CJ926" s="551">
        <v>7.6933561189121553</v>
      </c>
      <c r="CK926" s="551">
        <v>587834.95788887085</v>
      </c>
      <c r="CL926" s="551"/>
      <c r="CM926" s="551">
        <v>38.961711654626214</v>
      </c>
      <c r="CN926" s="551">
        <v>2076.2207425713541</v>
      </c>
      <c r="CO926" s="551">
        <v>1.3525623057733218E-2</v>
      </c>
      <c r="CP926" s="551">
        <v>15571.618187600719</v>
      </c>
      <c r="CQ926" s="551"/>
      <c r="CR926" s="551">
        <v>1.0883475501096491</v>
      </c>
      <c r="CS926" s="551">
        <v>13.704554698236636</v>
      </c>
      <c r="CT926" s="551">
        <v>2.7464947207469167E-2</v>
      </c>
      <c r="CU926" s="551">
        <v>2676.9933419151471</v>
      </c>
      <c r="CV926" s="551"/>
      <c r="CW926" s="551">
        <v>0.16148647190734255</v>
      </c>
      <c r="CX926" s="551">
        <v>1.9182743499614785</v>
      </c>
      <c r="CY926" s="554"/>
    </row>
    <row r="927" spans="65:103" ht="12.75" customHeight="1" x14ac:dyDescent="0.3">
      <c r="BM927" s="562"/>
      <c r="BN927" s="591">
        <v>914</v>
      </c>
      <c r="BO927" s="549" t="s">
        <v>3679</v>
      </c>
      <c r="BP927" s="554" t="s">
        <v>619</v>
      </c>
      <c r="BQ927" s="553">
        <v>6.86</v>
      </c>
      <c r="BR927" s="551">
        <v>33032.297343705337</v>
      </c>
      <c r="BS927" s="551"/>
      <c r="BT927" s="551">
        <v>29829325.340492621</v>
      </c>
      <c r="BU927" s="551">
        <v>1372637.2045297348</v>
      </c>
      <c r="BV927" s="551">
        <v>805549.56048167427</v>
      </c>
      <c r="BW927" s="551">
        <v>10885.452345420919</v>
      </c>
      <c r="BX927" s="551">
        <v>5288218.1607077438</v>
      </c>
      <c r="BY927" s="551">
        <v>74617470.89113389</v>
      </c>
      <c r="BZ927" s="551">
        <v>1958599.318780645</v>
      </c>
      <c r="CA927" s="551">
        <v>3178.2295231379267</v>
      </c>
      <c r="CB927" s="551">
        <v>2.3061932196129417E-30</v>
      </c>
      <c r="CC927" s="551">
        <v>219190.78699677731</v>
      </c>
      <c r="CD927" s="551">
        <v>17257717.975698978</v>
      </c>
      <c r="CE927" s="551">
        <v>5919.3106150207777</v>
      </c>
      <c r="CF927" s="551">
        <v>6842.9613446018047</v>
      </c>
      <c r="CG927" s="551">
        <v>263647.04056212888</v>
      </c>
      <c r="CH927" s="551">
        <v>1196359.2808945831</v>
      </c>
      <c r="CI927" s="551">
        <v>97647.052060047703</v>
      </c>
      <c r="CJ927" s="551">
        <v>45.247707517276233</v>
      </c>
      <c r="CK927" s="551">
        <v>5973930.6556636654</v>
      </c>
      <c r="CL927" s="551"/>
      <c r="CM927" s="551">
        <v>476.58420090767288</v>
      </c>
      <c r="CN927" s="551">
        <v>13472.180070791985</v>
      </c>
      <c r="CO927" s="551">
        <v>0.1404938013535143</v>
      </c>
      <c r="CP927" s="551">
        <v>372900.69595718698</v>
      </c>
      <c r="CQ927" s="551"/>
      <c r="CR927" s="551">
        <v>30.482962080594206</v>
      </c>
      <c r="CS927" s="551">
        <v>145.05725644227047</v>
      </c>
      <c r="CT927" s="551">
        <v>0.31984137459953882</v>
      </c>
      <c r="CU927" s="551">
        <v>67781.283319312715</v>
      </c>
      <c r="CV927" s="551"/>
      <c r="CW927" s="551">
        <v>5.1723096733916512</v>
      </c>
      <c r="CX927" s="551">
        <v>25.904604584527736</v>
      </c>
      <c r="CY927" s="554"/>
    </row>
    <row r="928" spans="65:103" ht="12.75" customHeight="1" x14ac:dyDescent="0.3">
      <c r="BM928" s="562"/>
      <c r="BN928" s="591">
        <v>915</v>
      </c>
      <c r="BO928" s="549" t="s">
        <v>3681</v>
      </c>
      <c r="BP928" s="554" t="s">
        <v>619</v>
      </c>
      <c r="BQ928" s="553">
        <v>6.94</v>
      </c>
      <c r="BR928" s="551">
        <v>1314.7651289921221</v>
      </c>
      <c r="BS928" s="551"/>
      <c r="BT928" s="551">
        <v>8958175.6925296728</v>
      </c>
      <c r="BU928" s="551">
        <v>382228.11841093213</v>
      </c>
      <c r="BV928" s="551">
        <v>449749.7879172542</v>
      </c>
      <c r="BW928" s="551">
        <v>5384.7991406771689</v>
      </c>
      <c r="BX928" s="551">
        <v>3905679.5716756908</v>
      </c>
      <c r="BY928" s="551">
        <v>29693249.42758549</v>
      </c>
      <c r="BZ928" s="551">
        <v>1446547.9895095157</v>
      </c>
      <c r="CA928" s="551">
        <v>7.3283316097653595</v>
      </c>
      <c r="CB928" s="551">
        <v>1.0376491552765868E-31</v>
      </c>
      <c r="CC928" s="551">
        <v>2349.8375527083704</v>
      </c>
      <c r="CD928" s="551">
        <v>2147972.2981259115</v>
      </c>
      <c r="CE928" s="551">
        <v>117.97479500786073</v>
      </c>
      <c r="CF928" s="551">
        <v>1513.0230911886729</v>
      </c>
      <c r="CG928" s="551">
        <v>11281.115298290599</v>
      </c>
      <c r="CH928" s="551">
        <v>31609.956994487377</v>
      </c>
      <c r="CI928" s="551">
        <v>4178.1908512187401</v>
      </c>
      <c r="CJ928" s="551">
        <v>6.0016669694113204E-3</v>
      </c>
      <c r="CK928" s="551">
        <v>304367.69496370712</v>
      </c>
      <c r="CL928" s="551"/>
      <c r="CM928" s="551">
        <v>42.872701382082269</v>
      </c>
      <c r="CN928" s="551">
        <v>33.160607111755077</v>
      </c>
      <c r="CO928" s="551">
        <v>2.3610639307065859E-6</v>
      </c>
      <c r="CP928" s="551">
        <v>8046.3869636953486</v>
      </c>
      <c r="CQ928" s="551"/>
      <c r="CR928" s="551">
        <v>1.2535031679469637</v>
      </c>
      <c r="CS928" s="551">
        <v>2.439442568405371E-2</v>
      </c>
      <c r="CT928" s="551">
        <v>2.1767657135954579E-6</v>
      </c>
      <c r="CU928" s="551">
        <v>1383.8685048092236</v>
      </c>
      <c r="CV928" s="551"/>
      <c r="CW928" s="551">
        <v>0.16475939115920166</v>
      </c>
      <c r="CX928" s="551">
        <v>3.4656568779973672E-3</v>
      </c>
      <c r="CY928" s="554"/>
    </row>
    <row r="929" spans="65:103" ht="12.75" customHeight="1" x14ac:dyDescent="0.3">
      <c r="BM929" s="562"/>
      <c r="BN929" s="591">
        <v>916</v>
      </c>
      <c r="BO929" s="549" t="s">
        <v>3683</v>
      </c>
      <c r="BP929" s="554" t="s">
        <v>619</v>
      </c>
      <c r="BQ929" s="553">
        <v>6.95</v>
      </c>
      <c r="BR929" s="551">
        <v>9766.4431292627123</v>
      </c>
      <c r="BS929" s="551"/>
      <c r="BT929" s="551">
        <v>21440276.480917417</v>
      </c>
      <c r="BU929" s="551">
        <v>912641.62401111796</v>
      </c>
      <c r="BV929" s="551">
        <v>407214.28577626747</v>
      </c>
      <c r="BW929" s="551">
        <v>5153.6626897459719</v>
      </c>
      <c r="BX929" s="551">
        <v>4714038.758287102</v>
      </c>
      <c r="BY929" s="551">
        <v>50584240.435179055</v>
      </c>
      <c r="BZ929" s="551">
        <v>1745940.2808470738</v>
      </c>
      <c r="CA929" s="551">
        <v>194.74139720395823</v>
      </c>
      <c r="CB929" s="551">
        <v>7.4637568416348188E-31</v>
      </c>
      <c r="CC929" s="551">
        <v>32303.181641027986</v>
      </c>
      <c r="CD929" s="551">
        <v>5249506.4931833027</v>
      </c>
      <c r="CE929" s="551">
        <v>613.53299487345885</v>
      </c>
      <c r="CF929" s="551">
        <v>1482.1910946047551</v>
      </c>
      <c r="CG929" s="551">
        <v>48709.478096116793</v>
      </c>
      <c r="CH929" s="551">
        <v>186964.44380493593</v>
      </c>
      <c r="CI929" s="551">
        <v>18040.547443006228</v>
      </c>
      <c r="CJ929" s="551">
        <v>0.57085582929364143</v>
      </c>
      <c r="CK929" s="551">
        <v>744484.21788421879</v>
      </c>
      <c r="CL929" s="551"/>
      <c r="CM929" s="551">
        <v>42.0349443684078</v>
      </c>
      <c r="CN929" s="551">
        <v>512.48987570283577</v>
      </c>
      <c r="CO929" s="551">
        <v>3.4946509443666886E-4</v>
      </c>
      <c r="CP929" s="551">
        <v>19683.491300373313</v>
      </c>
      <c r="CQ929" s="551"/>
      <c r="CR929" s="551">
        <v>1.1643258561829397</v>
      </c>
      <c r="CS929" s="551">
        <v>1.1466790066025627</v>
      </c>
      <c r="CT929" s="551">
        <v>8.4952136528666517E-4</v>
      </c>
      <c r="CU929" s="551">
        <v>3385.2447086417465</v>
      </c>
      <c r="CV929" s="551"/>
      <c r="CW929" s="551">
        <v>0.1758610338222884</v>
      </c>
      <c r="CX929" s="551">
        <v>0.20047354381041371</v>
      </c>
      <c r="CY929" s="554"/>
    </row>
    <row r="930" spans="65:103" ht="12.75" customHeight="1" x14ac:dyDescent="0.3">
      <c r="BM930" s="562"/>
      <c r="BN930" s="591">
        <v>917</v>
      </c>
      <c r="BO930" s="549" t="s">
        <v>3685</v>
      </c>
      <c r="BP930" s="554" t="s">
        <v>619</v>
      </c>
      <c r="BQ930" s="553">
        <v>7.1</v>
      </c>
      <c r="BR930" s="551">
        <v>1.8661336300273095</v>
      </c>
      <c r="BS930" s="551"/>
      <c r="BT930" s="551">
        <v>9082352.6726716328</v>
      </c>
      <c r="BU930" s="551">
        <v>418119.24238947569</v>
      </c>
      <c r="BV930" s="551">
        <v>162728.78037555015</v>
      </c>
      <c r="BW930" s="551">
        <v>2236.7728192907348</v>
      </c>
      <c r="BX930" s="551">
        <v>1210978.8027680763</v>
      </c>
      <c r="BY930" s="551">
        <v>17438152.697339736</v>
      </c>
      <c r="BZ930" s="551">
        <v>448510.66769187996</v>
      </c>
      <c r="CA930" s="551">
        <v>3.6354508394733306E-5</v>
      </c>
      <c r="CB930" s="551">
        <v>1.4994892512391009E-34</v>
      </c>
      <c r="CC930" s="551">
        <v>18.646875735219464</v>
      </c>
      <c r="CD930" s="551">
        <v>4882611.4677465511</v>
      </c>
      <c r="CE930" s="551">
        <v>0.33409662182982819</v>
      </c>
      <c r="CF930" s="551">
        <v>1306.0021533330448</v>
      </c>
      <c r="CG930" s="551">
        <v>12.225047880546107</v>
      </c>
      <c r="CH930" s="551">
        <v>65.834655001588004</v>
      </c>
      <c r="CI930" s="551">
        <v>4.5277955113133723</v>
      </c>
      <c r="CJ930" s="551">
        <v>1.0388615722874381E-10</v>
      </c>
      <c r="CK930" s="551">
        <v>1682375.1293294176</v>
      </c>
      <c r="CL930" s="551"/>
      <c r="CM930" s="551">
        <v>90.538602631566533</v>
      </c>
      <c r="CN930" s="551">
        <v>1.2538732283499596E-4</v>
      </c>
      <c r="CO930" s="551">
        <v>3.5343649323730216E-16</v>
      </c>
      <c r="CP930" s="551">
        <v>104857.99843686208</v>
      </c>
      <c r="CQ930" s="551"/>
      <c r="CR930" s="551">
        <v>5.7437644326809885</v>
      </c>
      <c r="CS930" s="551">
        <v>2.4168817305247021E-10</v>
      </c>
      <c r="CT930" s="551">
        <v>6.0668821208966572E-17</v>
      </c>
      <c r="CU930" s="551">
        <v>19062.614743658538</v>
      </c>
      <c r="CV930" s="551"/>
      <c r="CW930" s="551">
        <v>0.99298754116506149</v>
      </c>
      <c r="CX930" s="551">
        <v>5.1582631549230451E-11</v>
      </c>
      <c r="CY930" s="554"/>
    </row>
    <row r="931" spans="65:103" ht="12.75" customHeight="1" x14ac:dyDescent="0.3">
      <c r="BM931" s="562"/>
      <c r="BN931" s="591">
        <v>918</v>
      </c>
      <c r="BO931" s="549" t="s">
        <v>3687</v>
      </c>
      <c r="BP931" s="554" t="s">
        <v>619</v>
      </c>
      <c r="BQ931" s="553">
        <v>7.12</v>
      </c>
      <c r="BR931" s="551">
        <v>24030.447629804123</v>
      </c>
      <c r="BS931" s="551"/>
      <c r="BT931" s="551">
        <v>482105.90708282479</v>
      </c>
      <c r="BU931" s="551">
        <v>13262.508498818454</v>
      </c>
      <c r="BV931" s="551">
        <v>66475887.874478571</v>
      </c>
      <c r="BW931" s="551">
        <v>1052149.0547135395</v>
      </c>
      <c r="BX931" s="551">
        <v>7804.5292841829068</v>
      </c>
      <c r="BY931" s="551">
        <v>18873060.253754985</v>
      </c>
      <c r="BZ931" s="551">
        <v>2890.5664015492262</v>
      </c>
      <c r="CA931" s="551">
        <v>3328.1404150332046</v>
      </c>
      <c r="CB931" s="551">
        <v>5.4267191199978709E-33</v>
      </c>
      <c r="CC931" s="551">
        <v>4.1522696896116038</v>
      </c>
      <c r="CD931" s="551">
        <v>159778.78761628582</v>
      </c>
      <c r="CE931" s="551">
        <v>572.54186322134456</v>
      </c>
      <c r="CF931" s="551">
        <v>633783.19557241921</v>
      </c>
      <c r="CG931" s="551">
        <v>671.93839622298071</v>
      </c>
      <c r="CH931" s="551">
        <v>3678.3425156051312</v>
      </c>
      <c r="CI931" s="551">
        <v>248.86607267517795</v>
      </c>
      <c r="CJ931" s="551">
        <v>70.416218420007027</v>
      </c>
      <c r="CK931" s="551">
        <v>98214.039779425133</v>
      </c>
      <c r="CL931" s="551"/>
      <c r="CM931" s="551">
        <v>75830.054620520852</v>
      </c>
      <c r="CN931" s="551">
        <v>51.027485875792699</v>
      </c>
      <c r="CO931" s="551">
        <v>0.73176602379678546</v>
      </c>
      <c r="CP931" s="551">
        <v>8884.9154824416328</v>
      </c>
      <c r="CQ931" s="551"/>
      <c r="CR931" s="551">
        <v>11093.310728039969</v>
      </c>
      <c r="CS931" s="551">
        <v>1.7345793980097064</v>
      </c>
      <c r="CT931" s="551">
        <v>0.67750411266838539</v>
      </c>
      <c r="CU931" s="551">
        <v>2245.8946450776707</v>
      </c>
      <c r="CV931" s="551"/>
      <c r="CW931" s="551">
        <v>1010.0857834853682</v>
      </c>
      <c r="CX931" s="551">
        <v>0.14156919438005289</v>
      </c>
      <c r="CY931" s="554"/>
    </row>
    <row r="932" spans="65:103" ht="12.75" customHeight="1" x14ac:dyDescent="0.3">
      <c r="BM932" s="562"/>
      <c r="BN932" s="591">
        <v>919</v>
      </c>
      <c r="BO932" s="549" t="s">
        <v>3691</v>
      </c>
      <c r="BP932" s="554" t="s">
        <v>619</v>
      </c>
      <c r="BQ932" s="553">
        <v>7.21</v>
      </c>
      <c r="BR932" s="551">
        <v>942282.1529271215</v>
      </c>
      <c r="BS932" s="551"/>
      <c r="BT932" s="551">
        <v>8831171.7688777577</v>
      </c>
      <c r="BU932" s="551">
        <v>355453.77107638813</v>
      </c>
      <c r="BV932" s="551">
        <v>106256.8906571542</v>
      </c>
      <c r="BW932" s="551">
        <v>1290.9824369861728</v>
      </c>
      <c r="BX932" s="551">
        <v>46734.151069571868</v>
      </c>
      <c r="BY932" s="551">
        <v>22647946.133839734</v>
      </c>
      <c r="BZ932" s="551">
        <v>17308.944840582168</v>
      </c>
      <c r="CA932" s="551">
        <v>1548475.2146663228</v>
      </c>
      <c r="CB932" s="551">
        <v>6.4900421960564537E-29</v>
      </c>
      <c r="CC932" s="551">
        <v>189516.68203367564</v>
      </c>
      <c r="CD932" s="551">
        <v>16416538.534342276</v>
      </c>
      <c r="CE932" s="551">
        <v>2280.2696955262531</v>
      </c>
      <c r="CF932" s="551">
        <v>2981.1841438289389</v>
      </c>
      <c r="CG932" s="551">
        <v>39627.375256280204</v>
      </c>
      <c r="CH932" s="551">
        <v>232024.77995052782</v>
      </c>
      <c r="CI932" s="551">
        <v>14676.805650474147</v>
      </c>
      <c r="CJ932" s="551">
        <v>407794.86498051218</v>
      </c>
      <c r="CK932" s="551">
        <v>6809189.1140042394</v>
      </c>
      <c r="CL932" s="551"/>
      <c r="CM932" s="551">
        <v>247.27077472196083</v>
      </c>
      <c r="CN932" s="551">
        <v>37457.298967986739</v>
      </c>
      <c r="CO932" s="551">
        <v>27692.200040331089</v>
      </c>
      <c r="CP932" s="551">
        <v>2095840.1470657135</v>
      </c>
      <c r="CQ932" s="551"/>
      <c r="CR932" s="551">
        <v>78.661605036701829</v>
      </c>
      <c r="CS932" s="551">
        <v>8581.9644950801885</v>
      </c>
      <c r="CT932" s="551">
        <v>51647.821815414041</v>
      </c>
      <c r="CU932" s="551">
        <v>305451.35416838102</v>
      </c>
      <c r="CV932" s="551"/>
      <c r="CW932" s="551">
        <v>10.445285303587875</v>
      </c>
      <c r="CX932" s="551">
        <v>1334.4890205454958</v>
      </c>
      <c r="CY932" s="554"/>
    </row>
    <row r="933" spans="65:103" ht="12.75" customHeight="1" x14ac:dyDescent="0.3">
      <c r="BM933" s="562"/>
      <c r="BN933" s="591">
        <v>920</v>
      </c>
      <c r="BO933" s="549" t="s">
        <v>3693</v>
      </c>
      <c r="BP933" s="554" t="s">
        <v>619</v>
      </c>
      <c r="BQ933" s="553">
        <v>7.21</v>
      </c>
      <c r="BR933" s="551">
        <v>0.95323366383743857</v>
      </c>
      <c r="BS933" s="551"/>
      <c r="BT933" s="551">
        <v>14400277.912935842</v>
      </c>
      <c r="BU933" s="551">
        <v>662662.9652858394</v>
      </c>
      <c r="BV933" s="551">
        <v>191456.37630003085</v>
      </c>
      <c r="BW933" s="551">
        <v>2654.9744709497554</v>
      </c>
      <c r="BX933" s="551">
        <v>1201994.1779655311</v>
      </c>
      <c r="BY933" s="551">
        <v>19893128.345610224</v>
      </c>
      <c r="BZ933" s="551">
        <v>445183.02887612255</v>
      </c>
      <c r="CA933" s="551">
        <v>6.4067577666985342E-6</v>
      </c>
      <c r="CB933" s="551">
        <v>7.6595389639611427E-35</v>
      </c>
      <c r="CC933" s="551">
        <v>11.012115897527076</v>
      </c>
      <c r="CD933" s="551">
        <v>7738187.6417332832</v>
      </c>
      <c r="CE933" s="551">
        <v>0.14640966083318183</v>
      </c>
      <c r="CF933" s="551">
        <v>1550.1613728600946</v>
      </c>
      <c r="CG933" s="551">
        <v>4.1863909959735253</v>
      </c>
      <c r="CH933" s="551">
        <v>25.910973158147353</v>
      </c>
      <c r="CI933" s="551">
        <v>1.5505151836938984</v>
      </c>
      <c r="CJ933" s="551">
        <v>8.5302313541346264E-12</v>
      </c>
      <c r="CK933" s="551">
        <v>2666286.1667247973</v>
      </c>
      <c r="CL933" s="551"/>
      <c r="CM933" s="551">
        <v>107.46421819803147</v>
      </c>
      <c r="CN933" s="551">
        <v>2.0006261867073586E-5</v>
      </c>
      <c r="CO933" s="551">
        <v>1.5484479988969195E-13</v>
      </c>
      <c r="CP933" s="551">
        <v>166181.43295906787</v>
      </c>
      <c r="CQ933" s="551"/>
      <c r="CR933" s="551">
        <v>6.7932889060977431</v>
      </c>
      <c r="CS933" s="551">
        <v>2.0290080501029267E-7</v>
      </c>
      <c r="CT933" s="551">
        <v>2.2087929016559889E-14</v>
      </c>
      <c r="CU933" s="551">
        <v>30210.857606610654</v>
      </c>
      <c r="CV933" s="551"/>
      <c r="CW933" s="551">
        <v>1.1861882257838019</v>
      </c>
      <c r="CX933" s="551">
        <v>3.6253108665492255E-8</v>
      </c>
      <c r="CY933" s="554"/>
    </row>
    <row r="934" spans="65:103" ht="12.75" customHeight="1" x14ac:dyDescent="0.3">
      <c r="BM934" s="562"/>
      <c r="BN934" s="591">
        <v>921</v>
      </c>
      <c r="BO934" s="549" t="s">
        <v>3689</v>
      </c>
      <c r="BP934" s="554" t="s">
        <v>619</v>
      </c>
      <c r="BQ934" s="553">
        <v>7.21</v>
      </c>
      <c r="BR934" s="551">
        <v>0.95323363226053603</v>
      </c>
      <c r="BS934" s="551"/>
      <c r="BT934" s="551">
        <v>9607793.2724575102</v>
      </c>
      <c r="BU934" s="551">
        <v>443443.65608658339</v>
      </c>
      <c r="BV934" s="551">
        <v>127738.7349956713</v>
      </c>
      <c r="BW934" s="551">
        <v>1776.6672469868008</v>
      </c>
      <c r="BX934" s="551">
        <v>267746.51595131401</v>
      </c>
      <c r="BY934" s="551">
        <v>1855979.8287591282</v>
      </c>
      <c r="BZ934" s="551">
        <v>99165.376278264433</v>
      </c>
      <c r="CA934" s="551">
        <v>6.4067469761503493E-6</v>
      </c>
      <c r="CB934" s="551">
        <v>7.6595260634227899E-35</v>
      </c>
      <c r="CC934" s="551">
        <v>2.4591385730079551</v>
      </c>
      <c r="CD934" s="551">
        <v>5178283.0794976009</v>
      </c>
      <c r="CE934" s="551">
        <v>3.269504677995097E-2</v>
      </c>
      <c r="CF934" s="551">
        <v>1037.3455360891439</v>
      </c>
      <c r="CG934" s="551">
        <v>0.93252510985863635</v>
      </c>
      <c r="CH934" s="551">
        <v>2.4174258713647587</v>
      </c>
      <c r="CI934" s="551">
        <v>0.34537967031801353</v>
      </c>
      <c r="CJ934" s="551">
        <v>7.7977999188835346E-12</v>
      </c>
      <c r="CK934" s="551">
        <v>1784240.0806889774</v>
      </c>
      <c r="CL934" s="551"/>
      <c r="CM934" s="551">
        <v>71.913498161513843</v>
      </c>
      <c r="CN934" s="551">
        <v>4.0737906318137033E-6</v>
      </c>
      <c r="CO934" s="551">
        <v>1.0362229999850103E-13</v>
      </c>
      <c r="CP934" s="551">
        <v>111206.20774010096</v>
      </c>
      <c r="CQ934" s="551"/>
      <c r="CR934" s="551">
        <v>4.5459705327977584</v>
      </c>
      <c r="CS934" s="551">
        <v>4.1726522277611124E-8</v>
      </c>
      <c r="CT934" s="551">
        <v>1.4781353794645228E-14</v>
      </c>
      <c r="CU934" s="551">
        <v>20216.668295533444</v>
      </c>
      <c r="CV934" s="551"/>
      <c r="CW934" s="551">
        <v>0.79377997834431091</v>
      </c>
      <c r="CX934" s="551">
        <v>4.4785103681474677E-9</v>
      </c>
      <c r="CY934" s="554"/>
    </row>
    <row r="935" spans="65:103" ht="12.75" customHeight="1" x14ac:dyDescent="0.3">
      <c r="BM935" s="562"/>
      <c r="BN935" s="591">
        <v>922</v>
      </c>
      <c r="BO935" s="549" t="s">
        <v>3695</v>
      </c>
      <c r="BP935" s="554" t="s">
        <v>619</v>
      </c>
      <c r="BQ935" s="553">
        <v>7.3</v>
      </c>
      <c r="BR935" s="551">
        <v>168.15796898933792</v>
      </c>
      <c r="BS935" s="551"/>
      <c r="BT935" s="551">
        <v>11208174.597592423</v>
      </c>
      <c r="BU935" s="551">
        <v>516691.39402870898</v>
      </c>
      <c r="BV935" s="551">
        <v>609486.54617075354</v>
      </c>
      <c r="BW935" s="551">
        <v>7923.3466744723946</v>
      </c>
      <c r="BX935" s="551">
        <v>4358773.9156977441</v>
      </c>
      <c r="BY935" s="551">
        <v>40666425.355652727</v>
      </c>
      <c r="BZ935" s="551">
        <v>1614360.7095176829</v>
      </c>
      <c r="CA935" s="551">
        <v>0.19527654240062359</v>
      </c>
      <c r="CB935" s="551">
        <v>1.3509195577928464E-32</v>
      </c>
      <c r="CC935" s="551">
        <v>931.52634747987702</v>
      </c>
      <c r="CD935" s="551">
        <v>6040655.16703369</v>
      </c>
      <c r="CE935" s="551">
        <v>50.655240177515083</v>
      </c>
      <c r="CF935" s="551">
        <v>4631.6046272962985</v>
      </c>
      <c r="CG935" s="551">
        <v>2622.9828890361387</v>
      </c>
      <c r="CH935" s="551">
        <v>9145.2754333180947</v>
      </c>
      <c r="CI935" s="551">
        <v>971.47514408745894</v>
      </c>
      <c r="CJ935" s="551">
        <v>3.3265551308200624E-5</v>
      </c>
      <c r="CK935" s="551">
        <v>2081512.8928118027</v>
      </c>
      <c r="CL935" s="551"/>
      <c r="CM935" s="551">
        <v>321.10267088601768</v>
      </c>
      <c r="CN935" s="551">
        <v>1.6037761896060494</v>
      </c>
      <c r="CO935" s="551">
        <v>6.7174946363413948E-9</v>
      </c>
      <c r="CP935" s="551">
        <v>129741.91690459334</v>
      </c>
      <c r="CQ935" s="551"/>
      <c r="CR935" s="551">
        <v>20.882870602122001</v>
      </c>
      <c r="CS935" s="551">
        <v>2.1047086584098911E-4</v>
      </c>
      <c r="CT935" s="551">
        <v>1.1553704654824825E-9</v>
      </c>
      <c r="CU935" s="551">
        <v>23586.538764086377</v>
      </c>
      <c r="CV935" s="551"/>
      <c r="CW935" s="551">
        <v>3.3737951665758907</v>
      </c>
      <c r="CX935" s="551">
        <v>3.5953300352684048E-5</v>
      </c>
      <c r="CY935" s="554"/>
    </row>
    <row r="936" spans="65:103" ht="12.75" customHeight="1" x14ac:dyDescent="0.3">
      <c r="BM936" s="562"/>
      <c r="BN936" s="591">
        <v>923</v>
      </c>
      <c r="BO936" s="549" t="s">
        <v>3697</v>
      </c>
      <c r="BP936" s="554" t="s">
        <v>619</v>
      </c>
      <c r="BQ936" s="553">
        <v>7.3</v>
      </c>
      <c r="BR936" s="551">
        <v>785.28566565097287</v>
      </c>
      <c r="BS936" s="551"/>
      <c r="BT936" s="551">
        <v>12366702.440340485</v>
      </c>
      <c r="BU936" s="551">
        <v>569973.30351599143</v>
      </c>
      <c r="BV936" s="551">
        <v>560031.93312314502</v>
      </c>
      <c r="BW936" s="551">
        <v>7367.6226945985254</v>
      </c>
      <c r="BX936" s="551">
        <v>4219697.1590048894</v>
      </c>
      <c r="BY936" s="551">
        <v>41888342.754303761</v>
      </c>
      <c r="BZ936" s="551">
        <v>1562850.7996314408</v>
      </c>
      <c r="CA936" s="551">
        <v>3.9766783454280286</v>
      </c>
      <c r="CB936" s="551">
        <v>6.3033612461721186E-32</v>
      </c>
      <c r="CC936" s="551">
        <v>4807.5640713945168</v>
      </c>
      <c r="CD936" s="551">
        <v>6688771.8234174782</v>
      </c>
      <c r="CE936" s="551">
        <v>217.71279882451208</v>
      </c>
      <c r="CF936" s="551">
        <v>4323.0399372397214</v>
      </c>
      <c r="CG936" s="551">
        <v>11073.18531843948</v>
      </c>
      <c r="CH936" s="551">
        <v>40971.831640434408</v>
      </c>
      <c r="CI936" s="551">
        <v>4101.1797475701778</v>
      </c>
      <c r="CJ936" s="551">
        <v>2.9671188221183759E-3</v>
      </c>
      <c r="CK936" s="551">
        <v>2304847.9550536596</v>
      </c>
      <c r="CL936" s="551"/>
      <c r="CM936" s="551">
        <v>299.71119860551426</v>
      </c>
      <c r="CN936" s="551">
        <v>29.654506275209485</v>
      </c>
      <c r="CO936" s="551">
        <v>2.8749109641948859E-6</v>
      </c>
      <c r="CP936" s="551">
        <v>143660.73878668071</v>
      </c>
      <c r="CQ936" s="551"/>
      <c r="CR936" s="551">
        <v>19.380290827074639</v>
      </c>
      <c r="CS936" s="551">
        <v>2.217041945996576E-2</v>
      </c>
      <c r="CT936" s="551">
        <v>7.5338728440530123E-7</v>
      </c>
      <c r="CU936" s="551">
        <v>26116.875656509277</v>
      </c>
      <c r="CV936" s="551"/>
      <c r="CW936" s="551">
        <v>3.1795618513257415</v>
      </c>
      <c r="CX936" s="551">
        <v>3.729036662814776E-3</v>
      </c>
      <c r="CY936" s="554"/>
    </row>
    <row r="937" spans="65:103" ht="12.75" customHeight="1" x14ac:dyDescent="0.3">
      <c r="BM937" s="562"/>
      <c r="BN937" s="591">
        <v>924</v>
      </c>
      <c r="BO937" s="549" t="s">
        <v>3699</v>
      </c>
      <c r="BP937" s="554" t="s">
        <v>619</v>
      </c>
      <c r="BQ937" s="553">
        <v>7.34</v>
      </c>
      <c r="BR937" s="551">
        <v>1548.2519146267823</v>
      </c>
      <c r="BS937" s="551"/>
      <c r="BT937" s="551">
        <v>12328618.674900575</v>
      </c>
      <c r="BU937" s="551">
        <v>580472.57393218752</v>
      </c>
      <c r="BV937" s="551">
        <v>1955136.9391998281</v>
      </c>
      <c r="BW937" s="551">
        <v>24112.929786762907</v>
      </c>
      <c r="BX937" s="551">
        <v>8051312.0036353618</v>
      </c>
      <c r="BY937" s="551">
        <v>65651061.742455542</v>
      </c>
      <c r="BZ937" s="551">
        <v>2981967.4087538375</v>
      </c>
      <c r="CA937" s="551">
        <v>17.878567356413537</v>
      </c>
      <c r="CB937" s="551">
        <v>1.2361016396931404E-31</v>
      </c>
      <c r="CC937" s="551">
        <v>7975.9990473762691</v>
      </c>
      <c r="CD937" s="551">
        <v>9452551.8573010378</v>
      </c>
      <c r="CE937" s="551">
        <v>1264.8757152571875</v>
      </c>
      <c r="CF937" s="551">
        <v>19633.03086800639</v>
      </c>
      <c r="CG937" s="551">
        <v>48178.82862614702</v>
      </c>
      <c r="CH937" s="551">
        <v>145459.75874546432</v>
      </c>
      <c r="CI937" s="551">
        <v>17844.010602276674</v>
      </c>
      <c r="CJ937" s="551">
        <v>3.0319847003855052E-2</v>
      </c>
      <c r="CK937" s="551">
        <v>5079102.2867811993</v>
      </c>
      <c r="CL937" s="551"/>
      <c r="CM937" s="551">
        <v>2125.7161537300144</v>
      </c>
      <c r="CN937" s="551">
        <v>293.26091320137283</v>
      </c>
      <c r="CO937" s="551">
        <v>6.0948918677662168E-5</v>
      </c>
      <c r="CP937" s="551">
        <v>479332.68534164311</v>
      </c>
      <c r="CQ937" s="551"/>
      <c r="CR937" s="551">
        <v>212.81137149306079</v>
      </c>
      <c r="CS937" s="551">
        <v>0.42098323974734331</v>
      </c>
      <c r="CT937" s="551">
        <v>1.1184405763256398E-5</v>
      </c>
      <c r="CU937" s="551">
        <v>91825.423092356912</v>
      </c>
      <c r="CV937" s="551"/>
      <c r="CW937" s="551">
        <v>34.691028717155476</v>
      </c>
      <c r="CX937" s="551">
        <v>6.4669949221611928E-2</v>
      </c>
      <c r="CY937" s="554"/>
    </row>
    <row r="938" spans="65:103" ht="12.75" customHeight="1" x14ac:dyDescent="0.3">
      <c r="BM938" s="562"/>
      <c r="BN938" s="591">
        <v>925</v>
      </c>
      <c r="BO938" s="549" t="s">
        <v>3701</v>
      </c>
      <c r="BP938" s="554" t="s">
        <v>619</v>
      </c>
      <c r="BQ938" s="553">
        <v>7.45</v>
      </c>
      <c r="BR938" s="551">
        <v>13343.245526190776</v>
      </c>
      <c r="BS938" s="551"/>
      <c r="BT938" s="551">
        <v>5364078.3618643805</v>
      </c>
      <c r="BU938" s="551">
        <v>247391.54739527794</v>
      </c>
      <c r="BV938" s="551">
        <v>11430171.338700797</v>
      </c>
      <c r="BW938" s="551">
        <v>184368.99321820974</v>
      </c>
      <c r="BX938" s="551">
        <v>39011.309265922893</v>
      </c>
      <c r="BY938" s="551">
        <v>8078799.9990335237</v>
      </c>
      <c r="BZ938" s="551">
        <v>14448.633061452922</v>
      </c>
      <c r="CA938" s="551">
        <v>1347.0241562583533</v>
      </c>
      <c r="CB938" s="551">
        <v>4.4022681754635165E-32</v>
      </c>
      <c r="CC938" s="551">
        <v>431.68751630417069</v>
      </c>
      <c r="CD938" s="551">
        <v>3986031.8796466738</v>
      </c>
      <c r="CE938" s="551">
        <v>919.87140068920928</v>
      </c>
      <c r="CF938" s="551">
        <v>148529.8694162606</v>
      </c>
      <c r="CG938" s="551">
        <v>2035.5617472127346</v>
      </c>
      <c r="CH938" s="551">
        <v>4839.971767318696</v>
      </c>
      <c r="CI938" s="551">
        <v>753.91175822693879</v>
      </c>
      <c r="CJ938" s="551">
        <v>23.340422744883675</v>
      </c>
      <c r="CK938" s="551">
        <v>2145990.6364040547</v>
      </c>
      <c r="CL938" s="551"/>
      <c r="CM938" s="551">
        <v>16110.180483523007</v>
      </c>
      <c r="CN938" s="551">
        <v>126.59637497102401</v>
      </c>
      <c r="CO938" s="551">
        <v>0.24522725390181446</v>
      </c>
      <c r="CP938" s="551">
        <v>202708.64774059138</v>
      </c>
      <c r="CQ938" s="551"/>
      <c r="CR938" s="551">
        <v>1854.8695156152403</v>
      </c>
      <c r="CS938" s="551">
        <v>5.3224964678746893</v>
      </c>
      <c r="CT938" s="551">
        <v>0.2632198156181394</v>
      </c>
      <c r="CU938" s="551">
        <v>38904.611996674539</v>
      </c>
      <c r="CV938" s="551"/>
      <c r="CW938" s="551">
        <v>218.3405698924131</v>
      </c>
      <c r="CX938" s="551">
        <v>0.34411624003379193</v>
      </c>
      <c r="CY938" s="554"/>
    </row>
    <row r="939" spans="65:103" ht="12.75" customHeight="1" x14ac:dyDescent="0.3">
      <c r="BM939" s="562"/>
      <c r="BN939" s="591">
        <v>926</v>
      </c>
      <c r="BO939" s="549" t="s">
        <v>3703</v>
      </c>
      <c r="BP939" s="554" t="s">
        <v>619</v>
      </c>
      <c r="BQ939" s="553">
        <v>7.64</v>
      </c>
      <c r="BR939" s="551">
        <v>149064.03708850057</v>
      </c>
      <c r="BS939" s="551"/>
      <c r="BT939" s="551">
        <v>2165577.7372340825</v>
      </c>
      <c r="BU939" s="551">
        <v>76173.912295004688</v>
      </c>
      <c r="BV939" s="551">
        <v>125165.96021224953</v>
      </c>
      <c r="BW939" s="551">
        <v>1200.5057711127076</v>
      </c>
      <c r="BX939" s="551">
        <v>16256.869227151552</v>
      </c>
      <c r="BY939" s="551">
        <v>8095555.6464767959</v>
      </c>
      <c r="BZ939" s="551">
        <v>6021.0626767227977</v>
      </c>
      <c r="CA939" s="551">
        <v>66132.185410833452</v>
      </c>
      <c r="CB939" s="551">
        <v>1.6893665296175392E-30</v>
      </c>
      <c r="CC939" s="551">
        <v>3078.892856503755</v>
      </c>
      <c r="CD939" s="551">
        <v>483764.97413994279</v>
      </c>
      <c r="CE939" s="551">
        <v>177.95370452373305</v>
      </c>
      <c r="CF939" s="551">
        <v>381.20835980435521</v>
      </c>
      <c r="CG939" s="551">
        <v>3344.0352040558846</v>
      </c>
      <c r="CH939" s="551">
        <v>12760.006184038579</v>
      </c>
      <c r="CI939" s="551">
        <v>1238.5315570577345</v>
      </c>
      <c r="CJ939" s="551">
        <v>4402.7213164829072</v>
      </c>
      <c r="CK939" s="551">
        <v>56902.201626430644</v>
      </c>
      <c r="CL939" s="551"/>
      <c r="CM939" s="551">
        <v>8.9005256922644591</v>
      </c>
      <c r="CN939" s="551">
        <v>799.06630516909445</v>
      </c>
      <c r="CO939" s="551">
        <v>91.573183346999926</v>
      </c>
      <c r="CP939" s="551">
        <v>3457.2007283663315</v>
      </c>
      <c r="CQ939" s="551"/>
      <c r="CR939" s="551">
        <v>0.65829050399325095</v>
      </c>
      <c r="CS939" s="551">
        <v>56.787941956282147</v>
      </c>
      <c r="CT939" s="551">
        <v>130.83566516143065</v>
      </c>
      <c r="CU939" s="551">
        <v>368.51147982418706</v>
      </c>
      <c r="CV939" s="551"/>
      <c r="CW939" s="551">
        <v>4.2811506733010318E-2</v>
      </c>
      <c r="CX939" s="551">
        <v>6.5771562686400165</v>
      </c>
      <c r="CY939" s="554"/>
    </row>
    <row r="940" spans="65:103" ht="12.75" customHeight="1" x14ac:dyDescent="0.3">
      <c r="BM940" s="562"/>
      <c r="BN940" s="591">
        <v>927</v>
      </c>
      <c r="BO940" s="549" t="s">
        <v>3705</v>
      </c>
      <c r="BP940" s="554" t="s">
        <v>619</v>
      </c>
      <c r="BQ940" s="553">
        <v>7.65</v>
      </c>
      <c r="BR940" s="551">
        <v>126.19702706799902</v>
      </c>
      <c r="BS940" s="551"/>
      <c r="BT940" s="551">
        <v>8949883.6502923183</v>
      </c>
      <c r="BU940" s="551">
        <v>412754.79191293044</v>
      </c>
      <c r="BV940" s="551">
        <v>202939.66010029145</v>
      </c>
      <c r="BW940" s="551">
        <v>2769.5960515272136</v>
      </c>
      <c r="BX940" s="551">
        <v>1062285.5693790172</v>
      </c>
      <c r="BY940" s="551">
        <v>8944693.0361247547</v>
      </c>
      <c r="BZ940" s="551">
        <v>393439.09977000632</v>
      </c>
      <c r="CA940" s="551">
        <v>0.13179367164904049</v>
      </c>
      <c r="CB940" s="551">
        <v>1.0137863412249372E-32</v>
      </c>
      <c r="CC940" s="551">
        <v>572.41269394526341</v>
      </c>
      <c r="CD940" s="551">
        <v>4825076.5672667613</v>
      </c>
      <c r="CE940" s="551">
        <v>12.979524883829047</v>
      </c>
      <c r="CF940" s="551">
        <v>1618.8198502898904</v>
      </c>
      <c r="CG940" s="551">
        <v>574.89059763648504</v>
      </c>
      <c r="CH940" s="551">
        <v>1809.0683419430743</v>
      </c>
      <c r="CI940" s="551">
        <v>212.92244356906846</v>
      </c>
      <c r="CJ940" s="551">
        <v>2.0213337267396317E-5</v>
      </c>
      <c r="CK940" s="551">
        <v>1662564.1477260774</v>
      </c>
      <c r="CL940" s="551"/>
      <c r="CM940" s="551">
        <v>112.22553720252107</v>
      </c>
      <c r="CN940" s="551">
        <v>0.31646983921471339</v>
      </c>
      <c r="CO940" s="551">
        <v>5.2287563509707305E-9</v>
      </c>
      <c r="CP940" s="551">
        <v>103623.95474685026</v>
      </c>
      <c r="CQ940" s="551"/>
      <c r="CR940" s="551">
        <v>7.1449164146557331</v>
      </c>
      <c r="CS940" s="551">
        <v>5.6364000846526643E-5</v>
      </c>
      <c r="CT940" s="551">
        <v>8.7010180389236845E-10</v>
      </c>
      <c r="CU940" s="551">
        <v>18838.288352765208</v>
      </c>
      <c r="CV940" s="551"/>
      <c r="CW940" s="551">
        <v>1.223085299837972</v>
      </c>
      <c r="CX940" s="551">
        <v>8.3978535947370564E-6</v>
      </c>
      <c r="CY940" s="554"/>
    </row>
    <row r="941" spans="65:103" ht="12.75" customHeight="1" x14ac:dyDescent="0.3">
      <c r="BM941" s="562"/>
      <c r="BN941" s="591">
        <v>928</v>
      </c>
      <c r="BO941" s="549" t="s">
        <v>3707</v>
      </c>
      <c r="BP941" s="554" t="s">
        <v>619</v>
      </c>
      <c r="BQ941" s="553">
        <v>7.74</v>
      </c>
      <c r="BR941" s="551">
        <v>7876.208175907962</v>
      </c>
      <c r="BS941" s="551"/>
      <c r="BT941" s="551">
        <v>22726250.058625918</v>
      </c>
      <c r="BU941" s="551">
        <v>964923.89104812522</v>
      </c>
      <c r="BV941" s="551">
        <v>224534.9942209516</v>
      </c>
      <c r="BW941" s="551">
        <v>2891.7937665306135</v>
      </c>
      <c r="BX941" s="551">
        <v>1730192.7167780208</v>
      </c>
      <c r="BY941" s="551">
        <v>28323022.017382689</v>
      </c>
      <c r="BZ941" s="551">
        <v>640812.11732519278</v>
      </c>
      <c r="CA941" s="551">
        <v>141.21476256712097</v>
      </c>
      <c r="CB941" s="551">
        <v>5.711758868957211E-31</v>
      </c>
      <c r="CC941" s="551">
        <v>40169.06413378039</v>
      </c>
      <c r="CD941" s="551">
        <v>5502135.7519704252</v>
      </c>
      <c r="CE941" s="551">
        <v>396.86972377196224</v>
      </c>
      <c r="CF941" s="551">
        <v>824.47134005928274</v>
      </c>
      <c r="CG941" s="551">
        <v>16075.170425438386</v>
      </c>
      <c r="CH941" s="551">
        <v>91194.253852006572</v>
      </c>
      <c r="CI941" s="551">
        <v>5953.7668242364416</v>
      </c>
      <c r="CJ941" s="551">
        <v>0.37222553373621892</v>
      </c>
      <c r="CK941" s="551">
        <v>780085.16528966278</v>
      </c>
      <c r="CL941" s="551"/>
      <c r="CM941" s="551">
        <v>23.37527631265246</v>
      </c>
      <c r="CN941" s="551">
        <v>152.08462191599349</v>
      </c>
      <c r="CO941" s="551">
        <v>2.0929378059950809E-4</v>
      </c>
      <c r="CP941" s="551">
        <v>20623.249593514051</v>
      </c>
      <c r="CQ941" s="551"/>
      <c r="CR941" s="551">
        <v>0.63594920213346651</v>
      </c>
      <c r="CS941" s="551">
        <v>0.27985212541954468</v>
      </c>
      <c r="CT941" s="551">
        <v>4.9461109188291257E-4</v>
      </c>
      <c r="CU941" s="551">
        <v>3546.8649640621497</v>
      </c>
      <c r="CV941" s="551"/>
      <c r="CW941" s="551">
        <v>0.10084392722872201</v>
      </c>
      <c r="CX941" s="551">
        <v>5.7182264830728996E-2</v>
      </c>
      <c r="CY941" s="554"/>
    </row>
    <row r="942" spans="65:103" ht="12.75" customHeight="1" x14ac:dyDescent="0.3">
      <c r="BM942" s="562"/>
      <c r="BN942" s="591">
        <v>929</v>
      </c>
      <c r="BO942" s="549" t="s">
        <v>3709</v>
      </c>
      <c r="BP942" s="554" t="s">
        <v>619</v>
      </c>
      <c r="BQ942" s="553">
        <v>7.82</v>
      </c>
      <c r="BR942" s="551">
        <v>52266.354868977549</v>
      </c>
      <c r="BS942" s="551"/>
      <c r="BT942" s="551">
        <v>18965627.608633924</v>
      </c>
      <c r="BU942" s="551">
        <v>860495.14564404474</v>
      </c>
      <c r="BV942" s="551">
        <v>309066.50380673277</v>
      </c>
      <c r="BW942" s="551">
        <v>4200.1768785867662</v>
      </c>
      <c r="BX942" s="551">
        <v>45699.524847399218</v>
      </c>
      <c r="BY942" s="551">
        <v>29260255.301610913</v>
      </c>
      <c r="BZ942" s="551">
        <v>16925.749943481191</v>
      </c>
      <c r="CA942" s="551">
        <v>6189.3605090267065</v>
      </c>
      <c r="CB942" s="551">
        <v>3.0183968761479046E-31</v>
      </c>
      <c r="CC942" s="551">
        <v>6342.6392957423968</v>
      </c>
      <c r="CD942" s="551">
        <v>10138686.117007988</v>
      </c>
      <c r="CE942" s="551">
        <v>103.36053161509371</v>
      </c>
      <c r="CF942" s="551">
        <v>2474.4053016146318</v>
      </c>
      <c r="CG942" s="551">
        <v>2615.0900630815568</v>
      </c>
      <c r="CH942" s="551">
        <v>17296.72684202432</v>
      </c>
      <c r="CI942" s="551">
        <v>968.55187521539119</v>
      </c>
      <c r="CJ942" s="551">
        <v>112.66223893680163</v>
      </c>
      <c r="CK942" s="551">
        <v>3491902.8900890639</v>
      </c>
      <c r="CL942" s="551"/>
      <c r="CM942" s="551">
        <v>171.46308177121512</v>
      </c>
      <c r="CN942" s="551">
        <v>170.85311605232351</v>
      </c>
      <c r="CO942" s="551">
        <v>0.74469520157518032</v>
      </c>
      <c r="CP942" s="551">
        <v>217397.15399147553</v>
      </c>
      <c r="CQ942" s="551"/>
      <c r="CR942" s="551">
        <v>10.852022197874239</v>
      </c>
      <c r="CS942" s="551">
        <v>3.7389473147894967</v>
      </c>
      <c r="CT942" s="551">
        <v>0.95317139333162515</v>
      </c>
      <c r="CU942" s="551">
        <v>39534.712065364045</v>
      </c>
      <c r="CV942" s="551"/>
      <c r="CW942" s="551">
        <v>1.883216320769862</v>
      </c>
      <c r="CX942" s="551">
        <v>0.41307032515195546</v>
      </c>
      <c r="CY942" s="554"/>
    </row>
    <row r="943" spans="65:103" ht="12.75" customHeight="1" x14ac:dyDescent="0.3">
      <c r="BM943" s="562"/>
      <c r="BN943" s="591">
        <v>930</v>
      </c>
      <c r="BO943" s="549" t="s">
        <v>3710</v>
      </c>
      <c r="BP943" s="554" t="s">
        <v>619</v>
      </c>
      <c r="BQ943" s="553">
        <v>7.85</v>
      </c>
      <c r="BR943" s="551">
        <v>3091.1779228857035</v>
      </c>
      <c r="BS943" s="551"/>
      <c r="BT943" s="551">
        <v>17223255.510513306</v>
      </c>
      <c r="BU943" s="551">
        <v>733483.16700482683</v>
      </c>
      <c r="BV943" s="551">
        <v>388978.9029754356</v>
      </c>
      <c r="BW943" s="551">
        <v>4888.6391112867741</v>
      </c>
      <c r="BX943" s="551">
        <v>4501537.751811048</v>
      </c>
      <c r="BY943" s="551">
        <v>44451073.47255969</v>
      </c>
      <c r="BZ943" s="551">
        <v>1667236.2043744612</v>
      </c>
      <c r="CA943" s="551">
        <v>23.399325764084402</v>
      </c>
      <c r="CB943" s="551">
        <v>2.3590424619730209E-31</v>
      </c>
      <c r="CC943" s="551">
        <v>9102.632917194278</v>
      </c>
      <c r="CD943" s="551">
        <v>4131456.4867227632</v>
      </c>
      <c r="CE943" s="551">
        <v>205.57856580348638</v>
      </c>
      <c r="CF943" s="551">
        <v>1376.8004963254623</v>
      </c>
      <c r="CG943" s="551">
        <v>17657.886789110587</v>
      </c>
      <c r="CH943" s="551">
        <v>62812.323163063178</v>
      </c>
      <c r="CI943" s="551">
        <v>6539.9580700409588</v>
      </c>
      <c r="CJ943" s="551">
        <v>2.6042785103576216E-2</v>
      </c>
      <c r="CK943" s="551">
        <v>585436.51455981773</v>
      </c>
      <c r="CL943" s="551"/>
      <c r="CM943" s="551">
        <v>39.013636301575751</v>
      </c>
      <c r="CN943" s="551">
        <v>70.538540101386332</v>
      </c>
      <c r="CO943" s="551">
        <v>6.2693408835172631E-6</v>
      </c>
      <c r="CP943" s="551">
        <v>15476.21076028184</v>
      </c>
      <c r="CQ943" s="551"/>
      <c r="CR943" s="551">
        <v>1.0878174186531315</v>
      </c>
      <c r="CS943" s="551">
        <v>6.3707343839707373E-2</v>
      </c>
      <c r="CT943" s="551">
        <v>1.5103126377584076E-5</v>
      </c>
      <c r="CU943" s="551">
        <v>2661.6824158083878</v>
      </c>
      <c r="CV943" s="551"/>
      <c r="CW943" s="551">
        <v>0.16137204305664957</v>
      </c>
      <c r="CX943" s="551">
        <v>1.05730079602204E-2</v>
      </c>
      <c r="CY943" s="554"/>
    </row>
    <row r="944" spans="65:103" ht="12.75" customHeight="1" x14ac:dyDescent="0.3">
      <c r="BM944" s="562"/>
      <c r="BN944" s="591">
        <v>931</v>
      </c>
      <c r="BO944" s="549" t="s">
        <v>3712</v>
      </c>
      <c r="BP944" s="554" t="s">
        <v>619</v>
      </c>
      <c r="BQ944" s="553">
        <v>7.89</v>
      </c>
      <c r="BR944" s="551">
        <v>17.711466013989526</v>
      </c>
      <c r="BS944" s="551"/>
      <c r="BT944" s="551">
        <v>10024108.66810591</v>
      </c>
      <c r="BU944" s="551">
        <v>427569.11790169316</v>
      </c>
      <c r="BV944" s="551">
        <v>343563.11831134756</v>
      </c>
      <c r="BW944" s="551">
        <v>4227.5045779212287</v>
      </c>
      <c r="BX944" s="551">
        <v>3705840.2879085899</v>
      </c>
      <c r="BY944" s="551">
        <v>30520363.588179179</v>
      </c>
      <c r="BZ944" s="551">
        <v>1372533.4399661438</v>
      </c>
      <c r="CA944" s="551">
        <v>1.2409206246783431E-3</v>
      </c>
      <c r="CB944" s="551">
        <v>1.422762449373645E-33</v>
      </c>
      <c r="CC944" s="551">
        <v>41.399916923796262</v>
      </c>
      <c r="CD944" s="551">
        <v>2375907.9498394206</v>
      </c>
      <c r="CE944" s="551">
        <v>1.4189276101351118</v>
      </c>
      <c r="CF944" s="551">
        <v>1174.5658554525153</v>
      </c>
      <c r="CG944" s="551">
        <v>134.54720543895232</v>
      </c>
      <c r="CH944" s="551">
        <v>414.30917008300213</v>
      </c>
      <c r="CI944" s="551">
        <v>49.832298310723075</v>
      </c>
      <c r="CJ944" s="551">
        <v>1.3315644610286382E-8</v>
      </c>
      <c r="CK944" s="551">
        <v>336628.90910024982</v>
      </c>
      <c r="CL944" s="551"/>
      <c r="CM944" s="551">
        <v>33.278710848200205</v>
      </c>
      <c r="CN944" s="551">
        <v>5.1819895146990704E-3</v>
      </c>
      <c r="CO944" s="551">
        <v>1.2969652832464159E-11</v>
      </c>
      <c r="CP944" s="551">
        <v>8898.9904643147584</v>
      </c>
      <c r="CQ944" s="551"/>
      <c r="CR944" s="551">
        <v>0.94761481255690305</v>
      </c>
      <c r="CS944" s="551">
        <v>4.5806596306939067E-6</v>
      </c>
      <c r="CT944" s="551">
        <v>3.1965716770100454E-12</v>
      </c>
      <c r="CU944" s="551">
        <v>1530.5000368669646</v>
      </c>
      <c r="CV944" s="551"/>
      <c r="CW944" s="551">
        <v>0.13308963005539737</v>
      </c>
      <c r="CX944" s="551">
        <v>5.3995610384590748E-7</v>
      </c>
      <c r="CY944" s="554"/>
    </row>
    <row r="945" spans="65:103" ht="12.75" customHeight="1" x14ac:dyDescent="0.3">
      <c r="BM945" s="562"/>
      <c r="BN945" s="591">
        <v>932</v>
      </c>
      <c r="BO945" s="549" t="s">
        <v>3714</v>
      </c>
      <c r="BP945" s="554" t="s">
        <v>619</v>
      </c>
      <c r="BQ945" s="553">
        <v>8.16</v>
      </c>
      <c r="BR945" s="551">
        <v>13243.557696184371</v>
      </c>
      <c r="BS945" s="551"/>
      <c r="BT945" s="551">
        <v>17114126.50665009</v>
      </c>
      <c r="BU945" s="551">
        <v>785554.27653445594</v>
      </c>
      <c r="BV945" s="551">
        <v>426553.23669177492</v>
      </c>
      <c r="BW945" s="551">
        <v>5770.53409159701</v>
      </c>
      <c r="BX945" s="551">
        <v>1658916.6351826251</v>
      </c>
      <c r="BY945" s="551">
        <v>37351805.90229179</v>
      </c>
      <c r="BZ945" s="551">
        <v>614413.56858615729</v>
      </c>
      <c r="CA945" s="551">
        <v>827.41708711134561</v>
      </c>
      <c r="CB945" s="551">
        <v>5.0448142225464305E-31</v>
      </c>
      <c r="CC945" s="551">
        <v>49934.472064445028</v>
      </c>
      <c r="CD945" s="551">
        <v>9442809.481362801</v>
      </c>
      <c r="CE945" s="551">
        <v>1244.5689631491007</v>
      </c>
      <c r="CF945" s="551">
        <v>3468.2551963848605</v>
      </c>
      <c r="CG945" s="551">
        <v>53701.742228277952</v>
      </c>
      <c r="CH945" s="551">
        <v>252418.61982978188</v>
      </c>
      <c r="CI945" s="551">
        <v>19889.534158621456</v>
      </c>
      <c r="CJ945" s="551">
        <v>7.6454987240931009</v>
      </c>
      <c r="CK945" s="551">
        <v>3257580.0012886315</v>
      </c>
      <c r="CL945" s="551"/>
      <c r="CM945" s="551">
        <v>240.72642217723978</v>
      </c>
      <c r="CN945" s="551">
        <v>1781.0387389790158</v>
      </c>
      <c r="CO945" s="551">
        <v>1.8536171495379762E-2</v>
      </c>
      <c r="CP945" s="551">
        <v>203097.40666404631</v>
      </c>
      <c r="CQ945" s="551"/>
      <c r="CR945" s="551">
        <v>15.355646804481719</v>
      </c>
      <c r="CS945" s="551">
        <v>14.83125966549798</v>
      </c>
      <c r="CT945" s="551">
        <v>3.3190718275492921E-2</v>
      </c>
      <c r="CU945" s="551">
        <v>36918.882673661719</v>
      </c>
      <c r="CV945" s="551"/>
      <c r="CW945" s="551">
        <v>2.6164865642974275</v>
      </c>
      <c r="CX945" s="551">
        <v>2.1171362834208498</v>
      </c>
      <c r="CY945" s="554"/>
    </row>
    <row r="946" spans="65:103" ht="12.75" customHeight="1" x14ac:dyDescent="0.3">
      <c r="BM946" s="562"/>
      <c r="BN946" s="591">
        <v>933</v>
      </c>
      <c r="BO946" s="549" t="s">
        <v>3716</v>
      </c>
      <c r="BP946" s="554" t="s">
        <v>619</v>
      </c>
      <c r="BQ946" s="553">
        <v>8.19</v>
      </c>
      <c r="BR946" s="551">
        <v>5416.442916185566</v>
      </c>
      <c r="BS946" s="551"/>
      <c r="BT946" s="551">
        <v>8430955.1811045129</v>
      </c>
      <c r="BU946" s="551">
        <v>385398.35692921327</v>
      </c>
      <c r="BV946" s="551">
        <v>563711.01557049551</v>
      </c>
      <c r="BW946" s="551">
        <v>7159.2121396412249</v>
      </c>
      <c r="BX946" s="551">
        <v>38565.017643510182</v>
      </c>
      <c r="BY946" s="551">
        <v>5876921.4968013577</v>
      </c>
      <c r="BZ946" s="551">
        <v>14283.33986796673</v>
      </c>
      <c r="CA946" s="551">
        <v>207.45097093262109</v>
      </c>
      <c r="CB946" s="551">
        <v>1.6971355779723055E-32</v>
      </c>
      <c r="CC946" s="551">
        <v>350.64207499062371</v>
      </c>
      <c r="CD946" s="551">
        <v>4506152.8214556081</v>
      </c>
      <c r="CE946" s="551">
        <v>23.444650807503812</v>
      </c>
      <c r="CF946" s="551">
        <v>4185.3452930481608</v>
      </c>
      <c r="CG946" s="551">
        <v>763.666748407461</v>
      </c>
      <c r="CH946" s="551">
        <v>1941.6221159872039</v>
      </c>
      <c r="CI946" s="551">
        <v>282.83953644720776</v>
      </c>
      <c r="CJ946" s="551">
        <v>1.2503053300417442</v>
      </c>
      <c r="CK946" s="551">
        <v>1552603.3212755986</v>
      </c>
      <c r="CL946" s="551"/>
      <c r="CM946" s="551">
        <v>290.13670107261271</v>
      </c>
      <c r="CN946" s="551">
        <v>16.519927883243625</v>
      </c>
      <c r="CO946" s="551">
        <v>4.5144783799360554E-3</v>
      </c>
      <c r="CP946" s="551">
        <v>96760.518426309514</v>
      </c>
      <c r="CQ946" s="551"/>
      <c r="CR946" s="551">
        <v>19.007251781035855</v>
      </c>
      <c r="CS946" s="551">
        <v>0.23695106072943575</v>
      </c>
      <c r="CT946" s="551">
        <v>4.7563212863201984E-3</v>
      </c>
      <c r="CU946" s="551">
        <v>17591.432136256579</v>
      </c>
      <c r="CV946" s="551"/>
      <c r="CW946" s="551">
        <v>3.0106830458741523</v>
      </c>
      <c r="CX946" s="551">
        <v>1.5142038905247898E-2</v>
      </c>
      <c r="CY946" s="554"/>
    </row>
    <row r="947" spans="65:103" ht="12.75" customHeight="1" x14ac:dyDescent="0.3">
      <c r="BM947" s="562"/>
      <c r="BN947" s="591">
        <v>934</v>
      </c>
      <c r="BO947" s="549" t="s">
        <v>3718</v>
      </c>
      <c r="BP947" s="554" t="s">
        <v>619</v>
      </c>
      <c r="BQ947" s="553">
        <v>8.2100000000000009</v>
      </c>
      <c r="BR947" s="551">
        <v>110224.78565855636</v>
      </c>
      <c r="BS947" s="551"/>
      <c r="BT947" s="551">
        <v>3750950.2647088761</v>
      </c>
      <c r="BU947" s="551">
        <v>131902.9397580449</v>
      </c>
      <c r="BV947" s="551">
        <v>92858.02670881497</v>
      </c>
      <c r="BW947" s="551">
        <v>955.24349726844491</v>
      </c>
      <c r="BX947" s="551">
        <v>6952.7774249186332</v>
      </c>
      <c r="BY947" s="551">
        <v>12183865.339736033</v>
      </c>
      <c r="BZ947" s="551">
        <v>2575.1027499698639</v>
      </c>
      <c r="CA947" s="551">
        <v>18900.466150966899</v>
      </c>
      <c r="CB947" s="551">
        <v>6.1962713581058928E-31</v>
      </c>
      <c r="CC947" s="551">
        <v>1189.5196270879389</v>
      </c>
      <c r="CD947" s="551">
        <v>523353.35396249942</v>
      </c>
      <c r="CE947" s="551">
        <v>29.447589945947843</v>
      </c>
      <c r="CF947" s="551">
        <v>189.50672709165943</v>
      </c>
      <c r="CG947" s="551">
        <v>588.74060896561605</v>
      </c>
      <c r="CH947" s="551">
        <v>2446.7017438763505</v>
      </c>
      <c r="CI947" s="551">
        <v>218.05207739467261</v>
      </c>
      <c r="CJ947" s="551">
        <v>479.09089489202245</v>
      </c>
      <c r="CK947" s="551">
        <v>45415.573337641821</v>
      </c>
      <c r="CL947" s="551"/>
      <c r="CM947" s="551">
        <v>3.264371579591109</v>
      </c>
      <c r="CN947" s="551">
        <v>53.564005970308607</v>
      </c>
      <c r="CO947" s="551">
        <v>3.8966385330540509</v>
      </c>
      <c r="CP947" s="551">
        <v>834.87957417910786</v>
      </c>
      <c r="CQ947" s="551"/>
      <c r="CR947" s="551">
        <v>6.6328995066546492E-2</v>
      </c>
      <c r="CS947" s="551">
        <v>1.5321322730601092</v>
      </c>
      <c r="CT947" s="551">
        <v>5.2664200686319349</v>
      </c>
      <c r="CU947" s="551">
        <v>130.9626713706142</v>
      </c>
      <c r="CV947" s="551"/>
      <c r="CW947" s="551">
        <v>7.946563629880667E-3</v>
      </c>
      <c r="CX947" s="551">
        <v>0.16153004809816618</v>
      </c>
      <c r="CY947" s="554"/>
    </row>
    <row r="948" spans="65:103" ht="12.75" customHeight="1" x14ac:dyDescent="0.3">
      <c r="BM948" s="562"/>
      <c r="BN948" s="591">
        <v>935</v>
      </c>
      <c r="BO948" s="549" t="s">
        <v>3720</v>
      </c>
      <c r="BP948" s="554" t="s">
        <v>619</v>
      </c>
      <c r="BQ948" s="553">
        <v>8.2100000000000009</v>
      </c>
      <c r="BR948" s="551">
        <v>94393.383875357307</v>
      </c>
      <c r="BS948" s="551"/>
      <c r="BT948" s="551">
        <v>3064715.1846737955</v>
      </c>
      <c r="BU948" s="551">
        <v>107003.27029186494</v>
      </c>
      <c r="BV948" s="551">
        <v>102715.49655750647</v>
      </c>
      <c r="BW948" s="551">
        <v>1028.5352919204727</v>
      </c>
      <c r="BX948" s="551">
        <v>6868.1047360390739</v>
      </c>
      <c r="BY948" s="551">
        <v>10848500.420801343</v>
      </c>
      <c r="BZ948" s="551">
        <v>2543.7424948292874</v>
      </c>
      <c r="CA948" s="551">
        <v>15961.523168468837</v>
      </c>
      <c r="CB948" s="551">
        <v>4.7429200768636249E-31</v>
      </c>
      <c r="CC948" s="551">
        <v>864.14178878388009</v>
      </c>
      <c r="CD948" s="551">
        <v>420015.37288759678</v>
      </c>
      <c r="CE948" s="551">
        <v>28.962153930292775</v>
      </c>
      <c r="CF948" s="551">
        <v>201.86328557327926</v>
      </c>
      <c r="CG948" s="551">
        <v>558.30444050185883</v>
      </c>
      <c r="CH948" s="551">
        <v>2237.2251552443813</v>
      </c>
      <c r="CI948" s="551">
        <v>206.77942240809588</v>
      </c>
      <c r="CJ948" s="551">
        <v>398.97135292094572</v>
      </c>
      <c r="CK948" s="551">
        <v>36321.2330372914</v>
      </c>
      <c r="CL948" s="551"/>
      <c r="CM948" s="551">
        <v>3.4651023014679376</v>
      </c>
      <c r="CN948" s="551">
        <v>50.088971962745106</v>
      </c>
      <c r="CO948" s="551">
        <v>3.2039173801238903</v>
      </c>
      <c r="CP948" s="551">
        <v>663.04363099611737</v>
      </c>
      <c r="CQ948" s="551"/>
      <c r="CR948" s="551">
        <v>7.1871224083756138E-2</v>
      </c>
      <c r="CS948" s="551">
        <v>1.4013182073827741</v>
      </c>
      <c r="CT948" s="551">
        <v>4.3267538339932186</v>
      </c>
      <c r="CU948" s="551">
        <v>103.84942592665924</v>
      </c>
      <c r="CV948" s="551"/>
      <c r="CW948" s="551">
        <v>8.0391114657790436E-3</v>
      </c>
      <c r="CX948" s="551">
        <v>0.14958682964221084</v>
      </c>
      <c r="CY948" s="554"/>
    </row>
    <row r="949" spans="65:103" ht="12.75" customHeight="1" x14ac:dyDescent="0.3">
      <c r="BM949" s="562"/>
      <c r="BN949" s="591">
        <v>936</v>
      </c>
      <c r="BO949" s="549" t="s">
        <v>3722</v>
      </c>
      <c r="BP949" s="554" t="s">
        <v>619</v>
      </c>
      <c r="BQ949" s="553">
        <v>8.27</v>
      </c>
      <c r="BR949" s="551">
        <v>40906.620635774954</v>
      </c>
      <c r="BS949" s="551"/>
      <c r="BT949" s="551">
        <v>9276679.3470423277</v>
      </c>
      <c r="BU949" s="551">
        <v>387640.3965021887</v>
      </c>
      <c r="BV949" s="551">
        <v>214361.72896045932</v>
      </c>
      <c r="BW949" s="551">
        <v>2640.6318305504037</v>
      </c>
      <c r="BX949" s="551">
        <v>48761.486432604899</v>
      </c>
      <c r="BY949" s="551">
        <v>17098589.256483797</v>
      </c>
      <c r="BZ949" s="551">
        <v>18059.809789853658</v>
      </c>
      <c r="CA949" s="551">
        <v>4722.7179494512238</v>
      </c>
      <c r="CB949" s="551">
        <v>2.2875214816514368E-31</v>
      </c>
      <c r="CC949" s="551">
        <v>2474.8310854985029</v>
      </c>
      <c r="CD949" s="551">
        <v>2201626.0961428732</v>
      </c>
      <c r="CE949" s="551">
        <v>57.187388991912371</v>
      </c>
      <c r="CF949" s="551">
        <v>749.88107546377341</v>
      </c>
      <c r="CG949" s="551">
        <v>2917.5440473703475</v>
      </c>
      <c r="CH949" s="551">
        <v>13043.487977671717</v>
      </c>
      <c r="CI949" s="551">
        <v>1080.5718693964245</v>
      </c>
      <c r="CJ949" s="551">
        <v>80.726536304818453</v>
      </c>
      <c r="CK949" s="551">
        <v>312839.6283763519</v>
      </c>
      <c r="CL949" s="551"/>
      <c r="CM949" s="551">
        <v>21.307834601281716</v>
      </c>
      <c r="CN949" s="551">
        <v>178.99684917327571</v>
      </c>
      <c r="CO949" s="551">
        <v>0.44708625216107101</v>
      </c>
      <c r="CP949" s="551">
        <v>8299.0457205654857</v>
      </c>
      <c r="CQ949" s="551"/>
      <c r="CR949" s="551">
        <v>0.59679164930267437</v>
      </c>
      <c r="CS949" s="551">
        <v>3.5017604335105967</v>
      </c>
      <c r="CT949" s="551">
        <v>0.59343665498182252</v>
      </c>
      <c r="CU949" s="551">
        <v>1426.0325822752461</v>
      </c>
      <c r="CV949" s="551"/>
      <c r="CW949" s="551">
        <v>8.82240045748484E-2</v>
      </c>
      <c r="CX949" s="551">
        <v>0.35864030562187027</v>
      </c>
      <c r="CY949" s="554"/>
    </row>
    <row r="950" spans="65:103" ht="12.75" customHeight="1" x14ac:dyDescent="0.3">
      <c r="BM950" s="562"/>
      <c r="BN950" s="591">
        <v>937</v>
      </c>
      <c r="BO950" s="549" t="s">
        <v>3724</v>
      </c>
      <c r="BP950" s="554" t="s">
        <v>619</v>
      </c>
      <c r="BQ950" s="553">
        <v>8.27</v>
      </c>
      <c r="BR950" s="551">
        <v>40906.620635774954</v>
      </c>
      <c r="BS950" s="551"/>
      <c r="BT950" s="551">
        <v>9276679.3470423277</v>
      </c>
      <c r="BU950" s="551">
        <v>387640.3965021887</v>
      </c>
      <c r="BV950" s="551">
        <v>214361.72896045932</v>
      </c>
      <c r="BW950" s="551">
        <v>2640.6318305504037</v>
      </c>
      <c r="BX950" s="551">
        <v>48761.486432604899</v>
      </c>
      <c r="BY950" s="551">
        <v>17098589.256483797</v>
      </c>
      <c r="BZ950" s="551">
        <v>18059.809789853658</v>
      </c>
      <c r="CA950" s="551">
        <v>4722.7179494512238</v>
      </c>
      <c r="CB950" s="551">
        <v>2.2875214816514368E-31</v>
      </c>
      <c r="CC950" s="551">
        <v>2474.8310854985029</v>
      </c>
      <c r="CD950" s="551">
        <v>2201626.0961428732</v>
      </c>
      <c r="CE950" s="551">
        <v>57.187388991912371</v>
      </c>
      <c r="CF950" s="551">
        <v>749.88107546377341</v>
      </c>
      <c r="CG950" s="551">
        <v>2917.5440473703475</v>
      </c>
      <c r="CH950" s="551">
        <v>13043.487977671717</v>
      </c>
      <c r="CI950" s="551">
        <v>1080.5718693964245</v>
      </c>
      <c r="CJ950" s="551">
        <v>80.726536304818453</v>
      </c>
      <c r="CK950" s="551">
        <v>312839.6283763519</v>
      </c>
      <c r="CL950" s="551"/>
      <c r="CM950" s="551">
        <v>21.307834601281716</v>
      </c>
      <c r="CN950" s="551">
        <v>178.99684917327571</v>
      </c>
      <c r="CO950" s="551">
        <v>0.44708625216107101</v>
      </c>
      <c r="CP950" s="551">
        <v>8299.0457205654857</v>
      </c>
      <c r="CQ950" s="551"/>
      <c r="CR950" s="551">
        <v>0.59679164930267437</v>
      </c>
      <c r="CS950" s="551">
        <v>3.5017604335105967</v>
      </c>
      <c r="CT950" s="551">
        <v>0.59343665498182252</v>
      </c>
      <c r="CU950" s="551">
        <v>1426.0325822752461</v>
      </c>
      <c r="CV950" s="551"/>
      <c r="CW950" s="551">
        <v>8.82240045748484E-2</v>
      </c>
      <c r="CX950" s="551">
        <v>0.35864030562187027</v>
      </c>
      <c r="CY950" s="554"/>
    </row>
    <row r="951" spans="65:103" ht="12.75" customHeight="1" x14ac:dyDescent="0.3">
      <c r="BM951" s="562"/>
      <c r="BN951" s="591">
        <v>938</v>
      </c>
      <c r="BO951" s="549" t="s">
        <v>3726</v>
      </c>
      <c r="BP951" s="554" t="s">
        <v>619</v>
      </c>
      <c r="BQ951" s="553">
        <v>8.2799999999999994</v>
      </c>
      <c r="BR951" s="551">
        <v>58.408993175280287</v>
      </c>
      <c r="BS951" s="551"/>
      <c r="BT951" s="551">
        <v>15890097.23840311</v>
      </c>
      <c r="BU951" s="551">
        <v>765213.76708964666</v>
      </c>
      <c r="BV951" s="551">
        <v>616238.74291647982</v>
      </c>
      <c r="BW951" s="551">
        <v>8581.1913640233615</v>
      </c>
      <c r="BX951" s="551">
        <v>3101268.3020361024</v>
      </c>
      <c r="BY951" s="551">
        <v>53056422.153516993</v>
      </c>
      <c r="BZ951" s="551">
        <v>1148617.8896430002</v>
      </c>
      <c r="CA951" s="551">
        <v>4.0002024174632257E-2</v>
      </c>
      <c r="CB951" s="551">
        <v>4.6927157378160642E-33</v>
      </c>
      <c r="CC951" s="551">
        <v>1257.7954687022038</v>
      </c>
      <c r="CD951" s="551">
        <v>21604187.268186763</v>
      </c>
      <c r="CE951" s="551">
        <v>48.778952504194088</v>
      </c>
      <c r="CF951" s="551">
        <v>12113.586633288372</v>
      </c>
      <c r="CG951" s="551">
        <v>1100.6267879493664</v>
      </c>
      <c r="CH951" s="551">
        <v>7038.7397555681409</v>
      </c>
      <c r="CI951" s="551">
        <v>407.6395510923582</v>
      </c>
      <c r="CJ951" s="551">
        <v>4.0262362832044722E-6</v>
      </c>
      <c r="CK951" s="551">
        <v>30928049.666689754</v>
      </c>
      <c r="CL951" s="551"/>
      <c r="CM951" s="551">
        <v>3500.349522491555</v>
      </c>
      <c r="CN951" s="551">
        <v>0.39761341126522298</v>
      </c>
      <c r="CO951" s="551">
        <v>2.3715225821552923E-9</v>
      </c>
      <c r="CP951" s="551">
        <v>6802426.2927079424</v>
      </c>
      <c r="CQ951" s="551"/>
      <c r="CR951" s="551">
        <v>775.08075269372182</v>
      </c>
      <c r="CS951" s="551">
        <v>1.2802275903503642E-4</v>
      </c>
      <c r="CT951" s="551">
        <v>4.2796102915952378E-10</v>
      </c>
      <c r="CU951" s="551">
        <v>1651131.8490118207</v>
      </c>
      <c r="CV951" s="551"/>
      <c r="CW951" s="551">
        <v>184.54824456352725</v>
      </c>
      <c r="CX951" s="551">
        <v>3.0550243517506165E-5</v>
      </c>
      <c r="CY951" s="554"/>
    </row>
    <row r="952" spans="65:103" ht="12.75" customHeight="1" x14ac:dyDescent="0.3">
      <c r="BM952" s="562"/>
      <c r="BN952" s="591">
        <v>939</v>
      </c>
      <c r="BO952" s="549" t="s">
        <v>3728</v>
      </c>
      <c r="BP952" s="554" t="s">
        <v>619</v>
      </c>
      <c r="BQ952" s="553">
        <v>8.3699999999999992</v>
      </c>
      <c r="BR952" s="551">
        <v>102413.79169519099</v>
      </c>
      <c r="BS952" s="551"/>
      <c r="BT952" s="551">
        <v>6665619.8812480001</v>
      </c>
      <c r="BU952" s="551">
        <v>277266.25770420476</v>
      </c>
      <c r="BV952" s="551">
        <v>295623.50116692885</v>
      </c>
      <c r="BW952" s="551">
        <v>3484.4388583665509</v>
      </c>
      <c r="BX952" s="551">
        <v>92546.785925385324</v>
      </c>
      <c r="BY952" s="551">
        <v>15885470.446417993</v>
      </c>
      <c r="BZ952" s="551">
        <v>34276.587379772325</v>
      </c>
      <c r="CA952" s="551">
        <v>36750.261489867597</v>
      </c>
      <c r="CB952" s="551">
        <v>1.4948379431939014E-30</v>
      </c>
      <c r="CC952" s="551">
        <v>10149.453196174654</v>
      </c>
      <c r="CD952" s="551">
        <v>1875359.6767541124</v>
      </c>
      <c r="CE952" s="551">
        <v>450.13321224991</v>
      </c>
      <c r="CF952" s="551">
        <v>1178.3936828813523</v>
      </c>
      <c r="CG952" s="551">
        <v>17269.508257455767</v>
      </c>
      <c r="CH952" s="551">
        <v>70080.031743766551</v>
      </c>
      <c r="CI952" s="551">
        <v>6396.1141694280595</v>
      </c>
      <c r="CJ952" s="551">
        <v>1975.7597024650272</v>
      </c>
      <c r="CK952" s="551">
        <v>286846.00845287548</v>
      </c>
      <c r="CL952" s="551"/>
      <c r="CM952" s="551">
        <v>36.042984661428385</v>
      </c>
      <c r="CN952" s="551">
        <v>3332.4014632726189</v>
      </c>
      <c r="CO952" s="551">
        <v>33.602534455986579</v>
      </c>
      <c r="CP952" s="551">
        <v>9655.8191761555117</v>
      </c>
      <c r="CQ952" s="551"/>
      <c r="CR952" s="551">
        <v>1.3292585434506978</v>
      </c>
      <c r="CS952" s="551">
        <v>200.12068345781296</v>
      </c>
      <c r="CT952" s="551">
        <v>46.151590153121425</v>
      </c>
      <c r="CU952" s="551">
        <v>1576.5239913625726</v>
      </c>
      <c r="CV952" s="551"/>
      <c r="CW952" s="551">
        <v>0.16978497512769999</v>
      </c>
      <c r="CX952" s="551">
        <v>21.150734569760694</v>
      </c>
      <c r="CY952" s="554"/>
    </row>
    <row r="953" spans="65:103" ht="12.75" customHeight="1" x14ac:dyDescent="0.3">
      <c r="BM953" s="562"/>
      <c r="BN953" s="591">
        <v>940</v>
      </c>
      <c r="BO953" s="549" t="s">
        <v>3730</v>
      </c>
      <c r="BP953" s="554" t="s">
        <v>619</v>
      </c>
      <c r="BQ953" s="553">
        <v>8.41</v>
      </c>
      <c r="BR953" s="551">
        <v>38449.922066807616</v>
      </c>
      <c r="BS953" s="551"/>
      <c r="BT953" s="551">
        <v>7667178.1568055609</v>
      </c>
      <c r="BU953" s="551">
        <v>321027.48422701884</v>
      </c>
      <c r="BV953" s="551">
        <v>192356.3974951407</v>
      </c>
      <c r="BW953" s="551">
        <v>2364.8486416606311</v>
      </c>
      <c r="BX953" s="551">
        <v>62148.025177024887</v>
      </c>
      <c r="BY953" s="551">
        <v>14483071.20642646</v>
      </c>
      <c r="BZ953" s="551">
        <v>23017.7871026018</v>
      </c>
      <c r="CA953" s="551">
        <v>5492.8346811875153</v>
      </c>
      <c r="CB953" s="551">
        <v>2.6306891275012868E-31</v>
      </c>
      <c r="CC953" s="551">
        <v>3221.1793055732046</v>
      </c>
      <c r="CD953" s="551">
        <v>1841441.2675236927</v>
      </c>
      <c r="CE953" s="551">
        <v>80.813884095803459</v>
      </c>
      <c r="CF953" s="551">
        <v>678.24876282582227</v>
      </c>
      <c r="CG953" s="551">
        <v>4602.436006783998</v>
      </c>
      <c r="CH953" s="551">
        <v>19589.203410208182</v>
      </c>
      <c r="CI953" s="551">
        <v>1704.6059284385174</v>
      </c>
      <c r="CJ953" s="551">
        <v>116.24417323022472</v>
      </c>
      <c r="CK953" s="551">
        <v>262335.13977324328</v>
      </c>
      <c r="CL953" s="551"/>
      <c r="CM953" s="551">
        <v>19.322178061922216</v>
      </c>
      <c r="CN953" s="551">
        <v>349.59569731283921</v>
      </c>
      <c r="CO953" s="551">
        <v>0.79163475597274813</v>
      </c>
      <c r="CP953" s="551">
        <v>6992.7686391948955</v>
      </c>
      <c r="CQ953" s="551"/>
      <c r="CR953" s="551">
        <v>0.54577343985532623</v>
      </c>
      <c r="CS953" s="551">
        <v>8.5039086587816612</v>
      </c>
      <c r="CT953" s="551">
        <v>1.0593978482035589</v>
      </c>
      <c r="CU953" s="551">
        <v>1199.9626578700738</v>
      </c>
      <c r="CV953" s="551"/>
      <c r="CW953" s="551">
        <v>7.9801156558289274E-2</v>
      </c>
      <c r="CX953" s="551">
        <v>0.86088818173339143</v>
      </c>
      <c r="CY953" s="554"/>
    </row>
    <row r="954" spans="65:103" ht="12.75" customHeight="1" x14ac:dyDescent="0.3">
      <c r="BM954" s="562"/>
      <c r="BN954" s="591">
        <v>941</v>
      </c>
      <c r="BO954" s="549" t="s">
        <v>3731</v>
      </c>
      <c r="BP954" s="554" t="s">
        <v>619</v>
      </c>
      <c r="BQ954" s="553">
        <v>8.49</v>
      </c>
      <c r="BR954" s="551">
        <v>46878.311372780561</v>
      </c>
      <c r="BS954" s="551"/>
      <c r="BT954" s="551">
        <v>12847608.290806169</v>
      </c>
      <c r="BU954" s="551">
        <v>536394.41073551262</v>
      </c>
      <c r="BV954" s="551">
        <v>172953.4788810148</v>
      </c>
      <c r="BW954" s="551">
        <v>2172.724860549898</v>
      </c>
      <c r="BX954" s="551">
        <v>30941.974420226576</v>
      </c>
      <c r="BY954" s="551">
        <v>17712505.153617118</v>
      </c>
      <c r="BZ954" s="551">
        <v>11459.990526009842</v>
      </c>
      <c r="CA954" s="551">
        <v>4516.1736344123829</v>
      </c>
      <c r="CB954" s="551">
        <v>2.3623603704419436E-31</v>
      </c>
      <c r="CC954" s="551">
        <v>2866.7645505355645</v>
      </c>
      <c r="CD954" s="551">
        <v>3027334.5409637475</v>
      </c>
      <c r="CE954" s="551">
        <v>38.592155903655986</v>
      </c>
      <c r="CF954" s="551">
        <v>613.12766191337437</v>
      </c>
      <c r="CG954" s="551">
        <v>1540.8829447845962</v>
      </c>
      <c r="CH954" s="551">
        <v>8357.8778381189368</v>
      </c>
      <c r="CI954" s="551">
        <v>570.697386957258</v>
      </c>
      <c r="CJ954" s="551">
        <v>64.450162961421782</v>
      </c>
      <c r="CK954" s="551">
        <v>429597.65220336732</v>
      </c>
      <c r="CL954" s="551"/>
      <c r="CM954" s="551">
        <v>17.398923667242883</v>
      </c>
      <c r="CN954" s="551">
        <v>78.92719931296854</v>
      </c>
      <c r="CO954" s="551">
        <v>0.29965375516421611</v>
      </c>
      <c r="CP954" s="551">
        <v>11373.388602012972</v>
      </c>
      <c r="CQ954" s="551"/>
      <c r="CR954" s="551">
        <v>0.47742992964924319</v>
      </c>
      <c r="CS954" s="551">
        <v>1.2507689929489585</v>
      </c>
      <c r="CT954" s="551">
        <v>0.39582017057253627</v>
      </c>
      <c r="CU954" s="551">
        <v>1955.3420296237778</v>
      </c>
      <c r="CV954" s="551"/>
      <c r="CW954" s="551">
        <v>7.4207131339330143E-2</v>
      </c>
      <c r="CX954" s="551">
        <v>0.13528710721899245</v>
      </c>
      <c r="CY954" s="554"/>
    </row>
    <row r="955" spans="65:103" ht="12.75" customHeight="1" x14ac:dyDescent="0.3">
      <c r="BM955" s="562"/>
      <c r="BN955" s="591">
        <v>942</v>
      </c>
      <c r="BO955" s="549" t="s">
        <v>3735</v>
      </c>
      <c r="BP955" s="554" t="s">
        <v>619</v>
      </c>
      <c r="BQ955" s="553">
        <v>8.52</v>
      </c>
      <c r="BR955" s="551">
        <v>77.004429339153887</v>
      </c>
      <c r="BS955" s="551"/>
      <c r="BT955" s="551">
        <v>14316235.017402111</v>
      </c>
      <c r="BU955" s="551">
        <v>608677.45126967551</v>
      </c>
      <c r="BV955" s="551">
        <v>157642.89390249969</v>
      </c>
      <c r="BW955" s="551">
        <v>2027.8276356940421</v>
      </c>
      <c r="BX955" s="551">
        <v>1527549.3688266012</v>
      </c>
      <c r="BY955" s="551">
        <v>21420222.319758695</v>
      </c>
      <c r="BZ955" s="551">
        <v>565759.02549133345</v>
      </c>
      <c r="CA955" s="551">
        <v>2.0996549680469601E-2</v>
      </c>
      <c r="CB955" s="551">
        <v>6.1764338364786519E-33</v>
      </c>
      <c r="CC955" s="551">
        <v>403.68524859996432</v>
      </c>
      <c r="CD955" s="551">
        <v>3383293.1644630358</v>
      </c>
      <c r="CE955" s="551">
        <v>4.445170866341118</v>
      </c>
      <c r="CF955" s="551">
        <v>563.57725789263975</v>
      </c>
      <c r="CG955" s="551">
        <v>215.83703825415822</v>
      </c>
      <c r="CH955" s="551">
        <v>1130.3908743145084</v>
      </c>
      <c r="CI955" s="551">
        <v>79.939643797836368</v>
      </c>
      <c r="CJ955" s="551">
        <v>8.8273151191631462E-7</v>
      </c>
      <c r="CK955" s="551">
        <v>479340.54894377606</v>
      </c>
      <c r="CL955" s="551"/>
      <c r="CM955" s="551">
        <v>15.967183485249389</v>
      </c>
      <c r="CN955" s="551">
        <v>3.2569442507688534E-2</v>
      </c>
      <c r="CO955" s="551">
        <v>2.3184855115074232E-10</v>
      </c>
      <c r="CP955" s="551">
        <v>12671.17427163042</v>
      </c>
      <c r="CQ955" s="551"/>
      <c r="CR955" s="551">
        <v>0.43535316490847215</v>
      </c>
      <c r="CS955" s="551">
        <v>2.817721001031684E-5</v>
      </c>
      <c r="CT955" s="551">
        <v>4.3718408316125844E-10</v>
      </c>
      <c r="CU955" s="551">
        <v>2179.254526926572</v>
      </c>
      <c r="CV955" s="551"/>
      <c r="CW955" s="551">
        <v>6.8602839757983008E-2</v>
      </c>
      <c r="CX955" s="551">
        <v>4.5110469778911356E-6</v>
      </c>
      <c r="CY955" s="554"/>
    </row>
    <row r="956" spans="65:103" ht="12.75" customHeight="1" x14ac:dyDescent="0.3">
      <c r="BM956" s="562"/>
      <c r="BN956" s="591">
        <v>943</v>
      </c>
      <c r="BO956" s="549" t="s">
        <v>3733</v>
      </c>
      <c r="BP956" s="554" t="s">
        <v>619</v>
      </c>
      <c r="BQ956" s="553">
        <v>8.52</v>
      </c>
      <c r="BR956" s="551">
        <v>18055.1253934542</v>
      </c>
      <c r="BS956" s="551"/>
      <c r="BT956" s="551">
        <v>7119373.471460904</v>
      </c>
      <c r="BU956" s="551">
        <v>333833.03951792186</v>
      </c>
      <c r="BV956" s="551">
        <v>3066524.6810423997</v>
      </c>
      <c r="BW956" s="551">
        <v>36964.789413588718</v>
      </c>
      <c r="BX956" s="551">
        <v>2447414.2365904972</v>
      </c>
      <c r="BY956" s="551">
        <v>35729588.404690363</v>
      </c>
      <c r="BZ956" s="551">
        <v>906449.7172557395</v>
      </c>
      <c r="CA956" s="551">
        <v>4311.6520343282373</v>
      </c>
      <c r="CB956" s="551">
        <v>6.3459637232483114E-31</v>
      </c>
      <c r="CC956" s="551">
        <v>24696.156950705292</v>
      </c>
      <c r="CD956" s="551">
        <v>5825655.7959214468</v>
      </c>
      <c r="CE956" s="551">
        <v>10637.365088348768</v>
      </c>
      <c r="CF956" s="551">
        <v>32253.269479147526</v>
      </c>
      <c r="CG956" s="551">
        <v>302867.39984257641</v>
      </c>
      <c r="CH956" s="551">
        <v>786937.31127228553</v>
      </c>
      <c r="CI956" s="551">
        <v>112173.11105280602</v>
      </c>
      <c r="CJ956" s="551">
        <v>153.24135141741269</v>
      </c>
      <c r="CK956" s="551">
        <v>3156046.1289107823</v>
      </c>
      <c r="CL956" s="551"/>
      <c r="CM956" s="551">
        <v>3520.824570395006</v>
      </c>
      <c r="CN956" s="551">
        <v>38635.670475059727</v>
      </c>
      <c r="CO956" s="551">
        <v>5.9804610496237665</v>
      </c>
      <c r="CP956" s="551">
        <v>299577.97431201639</v>
      </c>
      <c r="CQ956" s="551"/>
      <c r="CR956" s="551">
        <v>372.82091461874529</v>
      </c>
      <c r="CS956" s="551">
        <v>1654.9712936299759</v>
      </c>
      <c r="CT956" s="551">
        <v>1.2673200719908688</v>
      </c>
      <c r="CU956" s="551">
        <v>57295.17270639514</v>
      </c>
      <c r="CV956" s="551"/>
      <c r="CW956" s="551">
        <v>53.498102371727342</v>
      </c>
      <c r="CX956" s="551">
        <v>147.23332841022963</v>
      </c>
      <c r="CY956" s="554"/>
    </row>
    <row r="957" spans="65:103" ht="12.75" customHeight="1" x14ac:dyDescent="0.3">
      <c r="BM957" s="562"/>
      <c r="BN957" s="591">
        <v>944</v>
      </c>
      <c r="BO957" s="549" t="s">
        <v>3737</v>
      </c>
      <c r="BP957" s="554" t="s">
        <v>619</v>
      </c>
      <c r="BQ957" s="553">
        <v>8.65</v>
      </c>
      <c r="BR957" s="551">
        <v>7721.2179766613681</v>
      </c>
      <c r="BS957" s="551"/>
      <c r="BT957" s="551">
        <v>8454255.8110561389</v>
      </c>
      <c r="BU957" s="551">
        <v>398013.46963958757</v>
      </c>
      <c r="BV957" s="551">
        <v>3341611.8364415606</v>
      </c>
      <c r="BW957" s="551">
        <v>40276.142801760478</v>
      </c>
      <c r="BX957" s="551">
        <v>6977987.6490620896</v>
      </c>
      <c r="BY957" s="551">
        <v>51302895.443668455</v>
      </c>
      <c r="BZ957" s="551">
        <v>2584439.8700229949</v>
      </c>
      <c r="CA957" s="551">
        <v>628.09375319782998</v>
      </c>
      <c r="CB957" s="551">
        <v>6.1137531889176357E-31</v>
      </c>
      <c r="CC957" s="551">
        <v>25110.350449594658</v>
      </c>
      <c r="CD957" s="551">
        <v>6846141.8217853308</v>
      </c>
      <c r="CE957" s="551">
        <v>9925.0656893807554</v>
      </c>
      <c r="CF957" s="551">
        <v>34639.052028191116</v>
      </c>
      <c r="CG957" s="551">
        <v>294148.98091529356</v>
      </c>
      <c r="CH957" s="551">
        <v>769091.73116925976</v>
      </c>
      <c r="CI957" s="551">
        <v>108944.06700566423</v>
      </c>
      <c r="CJ957" s="551">
        <v>7.5287847071362943</v>
      </c>
      <c r="CK957" s="551">
        <v>3687854.6901462069</v>
      </c>
      <c r="CL957" s="551"/>
      <c r="CM957" s="551">
        <v>3759.8205232173614</v>
      </c>
      <c r="CN957" s="551">
        <v>12655.26977790871</v>
      </c>
      <c r="CO957" s="551">
        <v>0.10040061440379312</v>
      </c>
      <c r="CP957" s="551">
        <v>348285.82165609847</v>
      </c>
      <c r="CQ957" s="551"/>
      <c r="CR957" s="551">
        <v>394.17409559586605</v>
      </c>
      <c r="CS957" s="551">
        <v>133.51329424872623</v>
      </c>
      <c r="CT957" s="551">
        <v>1.8785426175024336E-2</v>
      </c>
      <c r="CU957" s="551">
        <v>66727.032598337682</v>
      </c>
      <c r="CV957" s="551"/>
      <c r="CW957" s="551">
        <v>57.33728861108974</v>
      </c>
      <c r="CX957" s="551">
        <v>18.647036229599799</v>
      </c>
      <c r="CY957" s="554"/>
    </row>
    <row r="958" spans="65:103" ht="12.75" customHeight="1" x14ac:dyDescent="0.3">
      <c r="BM958" s="562"/>
      <c r="BN958" s="591">
        <v>945</v>
      </c>
      <c r="BO958" s="549" t="s">
        <v>3739</v>
      </c>
      <c r="BP958" s="554" t="s">
        <v>619</v>
      </c>
      <c r="BQ958" s="553">
        <v>8.73</v>
      </c>
      <c r="BR958" s="551">
        <v>1.0595643748458312</v>
      </c>
      <c r="BS958" s="551"/>
      <c r="BT958" s="551">
        <v>5930010.6298842393</v>
      </c>
      <c r="BU958" s="551">
        <v>252936.98650061726</v>
      </c>
      <c r="BV958" s="551">
        <v>201882.63387720718</v>
      </c>
      <c r="BW958" s="551">
        <v>2485.1777361414788</v>
      </c>
      <c r="BX958" s="551">
        <v>2184408.6251416472</v>
      </c>
      <c r="BY958" s="551">
        <v>18021601.101056777</v>
      </c>
      <c r="BZ958" s="551">
        <v>809040.23153394298</v>
      </c>
      <c r="CA958" s="551">
        <v>7.5139186787363354E-6</v>
      </c>
      <c r="CB958" s="551">
        <v>8.5137663650976889E-35</v>
      </c>
      <c r="CC958" s="551">
        <v>2.48856653601973</v>
      </c>
      <c r="CD958" s="551">
        <v>1405336.8210117863</v>
      </c>
      <c r="CE958" s="551">
        <v>8.472132652486461E-2</v>
      </c>
      <c r="CF958" s="551">
        <v>690.39167179091271</v>
      </c>
      <c r="CG958" s="551">
        <v>8.0273373765924472</v>
      </c>
      <c r="CH958" s="551">
        <v>24.766679821021846</v>
      </c>
      <c r="CI958" s="551">
        <v>2.9730879172564597</v>
      </c>
      <c r="CJ958" s="551">
        <v>9.4830314256917866E-12</v>
      </c>
      <c r="CK958" s="551">
        <v>199114.11455906866</v>
      </c>
      <c r="CL958" s="551"/>
      <c r="CM958" s="551">
        <v>19.56070561674175</v>
      </c>
      <c r="CN958" s="551">
        <v>3.6362678882451423E-5</v>
      </c>
      <c r="CO958" s="551">
        <v>4.314759386682244E-14</v>
      </c>
      <c r="CP958" s="551">
        <v>5263.7010411775736</v>
      </c>
      <c r="CQ958" s="551"/>
      <c r="CR958" s="551">
        <v>0.55677118444740148</v>
      </c>
      <c r="CS958" s="551">
        <v>1.3234143681541803E-7</v>
      </c>
      <c r="CT958" s="551">
        <v>8.1596699281341195E-15</v>
      </c>
      <c r="CU958" s="551">
        <v>905.28182335449549</v>
      </c>
      <c r="CV958" s="551"/>
      <c r="CW958" s="551">
        <v>7.827666228658621E-2</v>
      </c>
      <c r="CX958" s="551">
        <v>1.5577686520492662E-8</v>
      </c>
      <c r="CY958" s="554"/>
    </row>
    <row r="959" spans="65:103" ht="12.75" customHeight="1" x14ac:dyDescent="0.3">
      <c r="BM959" s="562"/>
      <c r="BN959" s="591">
        <v>946</v>
      </c>
      <c r="BO959" s="549" t="s">
        <v>3741</v>
      </c>
      <c r="BP959" s="554" t="s">
        <v>619</v>
      </c>
      <c r="BQ959" s="553">
        <v>8.81</v>
      </c>
      <c r="BR959" s="551">
        <v>25.430231676397014</v>
      </c>
      <c r="BS959" s="551"/>
      <c r="BT959" s="551">
        <v>8137909.1986331372</v>
      </c>
      <c r="BU959" s="551">
        <v>346664.8229221261</v>
      </c>
      <c r="BV959" s="551">
        <v>159444.9108970965</v>
      </c>
      <c r="BW959" s="551">
        <v>2016.8938558234374</v>
      </c>
      <c r="BX959" s="551">
        <v>1963787.5363094793</v>
      </c>
      <c r="BY959" s="551">
        <v>19842577.420995962</v>
      </c>
      <c r="BZ959" s="551">
        <v>727328.71715165896</v>
      </c>
      <c r="CA959" s="551">
        <v>3.461750560130452E-3</v>
      </c>
      <c r="CB959" s="551">
        <v>2.0433456283831856E-33</v>
      </c>
      <c r="CC959" s="551">
        <v>87.468962335772986</v>
      </c>
      <c r="CD959" s="551">
        <v>1926545.33488899</v>
      </c>
      <c r="CE959" s="551">
        <v>1.7137670826102729</v>
      </c>
      <c r="CF959" s="551">
        <v>560.43145885842739</v>
      </c>
      <c r="CG959" s="551">
        <v>138.52828080931315</v>
      </c>
      <c r="CH959" s="551">
        <v>523.42001070256049</v>
      </c>
      <c r="CI959" s="551">
        <v>51.306770670115945</v>
      </c>
      <c r="CJ959" s="551">
        <v>6.9129914698359637E-8</v>
      </c>
      <c r="CK959" s="551">
        <v>272954.40037842636</v>
      </c>
      <c r="CL959" s="551"/>
      <c r="CM959" s="551">
        <v>15.878246994828643</v>
      </c>
      <c r="CN959" s="551">
        <v>9.9291563571072324E-3</v>
      </c>
      <c r="CO959" s="551">
        <v>1.8181697565403353E-12</v>
      </c>
      <c r="CP959" s="551">
        <v>7215.5419239233424</v>
      </c>
      <c r="CQ959" s="551"/>
      <c r="CR959" s="551">
        <v>0.44024468849761389</v>
      </c>
      <c r="CS959" s="551">
        <v>1.6453743109785839E-7</v>
      </c>
      <c r="CT959" s="551">
        <v>3.0538506094976569E-13</v>
      </c>
      <c r="CU959" s="551">
        <v>1240.9678730777191</v>
      </c>
      <c r="CV959" s="551"/>
      <c r="CW959" s="551">
        <v>6.6292892001619697E-2</v>
      </c>
      <c r="CX959" s="551">
        <v>2.8793838978202072E-8</v>
      </c>
      <c r="CY959" s="554"/>
    </row>
    <row r="960" spans="65:103" ht="12.75" customHeight="1" x14ac:dyDescent="0.3">
      <c r="BM960" s="562"/>
      <c r="BN960" s="591">
        <v>947</v>
      </c>
      <c r="BO960" s="549" t="s">
        <v>3743</v>
      </c>
      <c r="BP960" s="554" t="s">
        <v>619</v>
      </c>
      <c r="BQ960" s="553">
        <v>8.82</v>
      </c>
      <c r="BR960" s="551">
        <v>115746.90062333502</v>
      </c>
      <c r="BS960" s="551"/>
      <c r="BT960" s="551">
        <v>22563316.932568636</v>
      </c>
      <c r="BU960" s="551">
        <v>1033608.0237790379</v>
      </c>
      <c r="BV960" s="551">
        <v>361121.78895931656</v>
      </c>
      <c r="BW960" s="551">
        <v>4957.8349527078435</v>
      </c>
      <c r="BX960" s="551">
        <v>565853.01305855636</v>
      </c>
      <c r="BY960" s="551">
        <v>31400651.619115811</v>
      </c>
      <c r="BZ960" s="551">
        <v>209575.19002168736</v>
      </c>
      <c r="CA960" s="551">
        <v>46906.674528847245</v>
      </c>
      <c r="CB960" s="551">
        <v>3.7243193173128718E-30</v>
      </c>
      <c r="CC960" s="551">
        <v>235576.0183482081</v>
      </c>
      <c r="CD960" s="551">
        <v>13975188.953005437</v>
      </c>
      <c r="CE960" s="551">
        <v>3770.351382115387</v>
      </c>
      <c r="CF960" s="551">
        <v>3351.6903249543084</v>
      </c>
      <c r="CG960" s="551">
        <v>116076.46111148261</v>
      </c>
      <c r="CH960" s="551">
        <v>714427.17747646256</v>
      </c>
      <c r="CI960" s="551">
        <v>42991.281893141691</v>
      </c>
      <c r="CJ960" s="551">
        <v>2862.6505587905722</v>
      </c>
      <c r="CK960" s="551">
        <v>4985068.6013437081</v>
      </c>
      <c r="CL960" s="551"/>
      <c r="CM960" s="551">
        <v>240.54518065957259</v>
      </c>
      <c r="CN960" s="551">
        <v>25426.20283513908</v>
      </c>
      <c r="CO960" s="551">
        <v>49.744088641066071</v>
      </c>
      <c r="CP960" s="551">
        <v>328315.02433130663</v>
      </c>
      <c r="CQ960" s="551"/>
      <c r="CR960" s="551">
        <v>16.101550785875528</v>
      </c>
      <c r="CS960" s="551">
        <v>1456.2352093536199</v>
      </c>
      <c r="CT960" s="551">
        <v>77.424152068695818</v>
      </c>
      <c r="CU960" s="551">
        <v>58867.52164035137</v>
      </c>
      <c r="CV960" s="551"/>
      <c r="CW960" s="551">
        <v>2.7566965710601883</v>
      </c>
      <c r="CX960" s="551">
        <v>195.84714567207953</v>
      </c>
      <c r="CY960" s="554"/>
    </row>
    <row r="961" spans="65:103" ht="12.75" customHeight="1" x14ac:dyDescent="0.3">
      <c r="BM961" s="562"/>
      <c r="BN961" s="591">
        <v>948</v>
      </c>
      <c r="BO961" s="549" t="s">
        <v>3745</v>
      </c>
      <c r="BP961" s="554" t="s">
        <v>619</v>
      </c>
      <c r="BQ961" s="553">
        <v>8.91</v>
      </c>
      <c r="BR961" s="551">
        <v>62.271878103162813</v>
      </c>
      <c r="BS961" s="551"/>
      <c r="BT961" s="551">
        <v>13298089.399492446</v>
      </c>
      <c r="BU961" s="551">
        <v>625084.01025484269</v>
      </c>
      <c r="BV961" s="551">
        <v>244705.18753605103</v>
      </c>
      <c r="BW961" s="551">
        <v>3432.8647151913715</v>
      </c>
      <c r="BX961" s="551">
        <v>1465689.8697023341</v>
      </c>
      <c r="BY961" s="551">
        <v>23971791.098918088</v>
      </c>
      <c r="BZ961" s="551">
        <v>542848.09988975327</v>
      </c>
      <c r="CA961" s="551">
        <v>3.7323198750100303E-2</v>
      </c>
      <c r="CB961" s="551">
        <v>5.0031969366359639E-33</v>
      </c>
      <c r="CC961" s="551">
        <v>900.87595961314832</v>
      </c>
      <c r="CD961" s="551">
        <v>10087824.270398863</v>
      </c>
      <c r="CE961" s="551">
        <v>16.57749576057665</v>
      </c>
      <c r="CF961" s="551">
        <v>2770.0385406423134</v>
      </c>
      <c r="CG961" s="551">
        <v>455.22643151048436</v>
      </c>
      <c r="CH961" s="551">
        <v>2783.3529556574031</v>
      </c>
      <c r="CI961" s="551">
        <v>168.60238204092008</v>
      </c>
      <c r="CJ961" s="551">
        <v>3.2814318180693433E-6</v>
      </c>
      <c r="CK961" s="551">
        <v>5419120.928672323</v>
      </c>
      <c r="CL961" s="551"/>
      <c r="CM961" s="551">
        <v>299.84812847333967</v>
      </c>
      <c r="CN961" s="551">
        <v>0.14365331521282504</v>
      </c>
      <c r="CO961" s="551">
        <v>3.4189038780478857E-10</v>
      </c>
      <c r="CP961" s="551">
        <v>511329.46459060162</v>
      </c>
      <c r="CQ961" s="551"/>
      <c r="CR961" s="551">
        <v>28.613293221392439</v>
      </c>
      <c r="CS961" s="551">
        <v>8.2516731837968953E-6</v>
      </c>
      <c r="CT961" s="551">
        <v>5.8773622013279058E-11</v>
      </c>
      <c r="CU961" s="551">
        <v>97951.538402958889</v>
      </c>
      <c r="CV961" s="551"/>
      <c r="CW961" s="551">
        <v>5.3078013233926464</v>
      </c>
      <c r="CX961" s="551">
        <v>1.8492597419230696E-6</v>
      </c>
      <c r="CY961" s="554"/>
    </row>
    <row r="962" spans="65:103" ht="12.75" customHeight="1" x14ac:dyDescent="0.3">
      <c r="BM962" s="562"/>
      <c r="BN962" s="591">
        <v>949</v>
      </c>
      <c r="BO962" s="549" t="s">
        <v>3747</v>
      </c>
      <c r="BP962" s="554" t="s">
        <v>619</v>
      </c>
      <c r="BQ962" s="553">
        <v>8.9600000000000009</v>
      </c>
      <c r="BR962" s="551">
        <v>107.68628134010359</v>
      </c>
      <c r="BS962" s="551"/>
      <c r="BT962" s="551">
        <v>9516598.3298983742</v>
      </c>
      <c r="BU962" s="551">
        <v>371180.81535858149</v>
      </c>
      <c r="BV962" s="551">
        <v>104562.09975379021</v>
      </c>
      <c r="BW962" s="551">
        <v>1232.7098785125763</v>
      </c>
      <c r="BX962" s="551">
        <v>1519401.9948530949</v>
      </c>
      <c r="BY962" s="551">
        <v>17566770.69209379</v>
      </c>
      <c r="BZ962" s="551">
        <v>562741.47957522061</v>
      </c>
      <c r="CA962" s="551">
        <v>3.6227352882203752E-2</v>
      </c>
      <c r="CB962" s="551">
        <v>8.6340676238724704E-33</v>
      </c>
      <c r="CC962" s="551">
        <v>287.23865834784681</v>
      </c>
      <c r="CD962" s="551">
        <v>1260685.069005949</v>
      </c>
      <c r="CE962" s="551">
        <v>3.1559887478862581</v>
      </c>
      <c r="CF962" s="551">
        <v>209.33987883447509</v>
      </c>
      <c r="CG962" s="551">
        <v>264.87892468953618</v>
      </c>
      <c r="CH962" s="551">
        <v>1143.4788162574373</v>
      </c>
      <c r="CI962" s="551">
        <v>98.10330544056896</v>
      </c>
      <c r="CJ962" s="551">
        <v>1.8025472424650073E-6</v>
      </c>
      <c r="CK962" s="551">
        <v>104081.98382659772</v>
      </c>
      <c r="CL962" s="551"/>
      <c r="CM962" s="551">
        <v>3.4307506400152219</v>
      </c>
      <c r="CN962" s="551">
        <v>4.7304353824150165E-2</v>
      </c>
      <c r="CO962" s="551">
        <v>6.3647457837980005E-11</v>
      </c>
      <c r="CP962" s="551">
        <v>1617.763876719378</v>
      </c>
      <c r="CQ962" s="551"/>
      <c r="CR962" s="551">
        <v>5.6265122149421719E-2</v>
      </c>
      <c r="CS962" s="551">
        <v>5.8217623063166397E-6</v>
      </c>
      <c r="CT962" s="551">
        <v>1.2914277829660091E-10</v>
      </c>
      <c r="CU962" s="551">
        <v>273.78211732155989</v>
      </c>
      <c r="CV962" s="551"/>
      <c r="CW962" s="551">
        <v>8.1969360873164962E-3</v>
      </c>
      <c r="CX962" s="551">
        <v>9.1401185788806902E-7</v>
      </c>
      <c r="CY962" s="554"/>
    </row>
    <row r="963" spans="65:103" ht="12.75" customHeight="1" x14ac:dyDescent="0.3">
      <c r="BM963" s="562"/>
      <c r="BN963" s="591">
        <v>950</v>
      </c>
      <c r="BO963" s="549" t="s">
        <v>3748</v>
      </c>
      <c r="BP963" s="554" t="s">
        <v>619</v>
      </c>
      <c r="BQ963" s="553">
        <v>8.99</v>
      </c>
      <c r="BR963" s="551">
        <v>19353.941374645547</v>
      </c>
      <c r="BS963" s="551"/>
      <c r="BT963" s="551">
        <v>8913307.6692751776</v>
      </c>
      <c r="BU963" s="551">
        <v>408229.7301257074</v>
      </c>
      <c r="BV963" s="551">
        <v>11481499.267409144</v>
      </c>
      <c r="BW963" s="551">
        <v>157492.68903738499</v>
      </c>
      <c r="BX963" s="551">
        <v>2998280.901778237</v>
      </c>
      <c r="BY963" s="551">
        <v>40495909.297498763</v>
      </c>
      <c r="BZ963" s="551">
        <v>1110474.4080660138</v>
      </c>
      <c r="CA963" s="551">
        <v>2628.1726671919564</v>
      </c>
      <c r="CB963" s="551">
        <v>6.1807787351405081E-31</v>
      </c>
      <c r="CC963" s="551">
        <v>10065.300693961908</v>
      </c>
      <c r="CD963" s="551">
        <v>5073823.2106425203</v>
      </c>
      <c r="CE963" s="551">
        <v>12965.416075822952</v>
      </c>
      <c r="CF963" s="551">
        <v>97872.595033478094</v>
      </c>
      <c r="CG963" s="551">
        <v>210987.95848951157</v>
      </c>
      <c r="CH963" s="551">
        <v>492132.52636910597</v>
      </c>
      <c r="CI963" s="551">
        <v>78143.688329448734</v>
      </c>
      <c r="CJ963" s="551">
        <v>52.782469271392884</v>
      </c>
      <c r="CK963" s="551">
        <v>1761503.7700428457</v>
      </c>
      <c r="CL963" s="551"/>
      <c r="CM963" s="551">
        <v>6835.3351375877437</v>
      </c>
      <c r="CN963" s="551">
        <v>15208.876540936233</v>
      </c>
      <c r="CO963" s="551">
        <v>1.1202721102807724</v>
      </c>
      <c r="CP963" s="551">
        <v>110394.60655319577</v>
      </c>
      <c r="CQ963" s="551"/>
      <c r="CR963" s="551">
        <v>556.49412590036081</v>
      </c>
      <c r="CS963" s="551">
        <v>401.36636263723267</v>
      </c>
      <c r="CT963" s="551">
        <v>0.28665777450226415</v>
      </c>
      <c r="CU963" s="551">
        <v>20062.27683359052</v>
      </c>
      <c r="CV963" s="551"/>
      <c r="CW963" s="551">
        <v>54.276009156264728</v>
      </c>
      <c r="CX963" s="551">
        <v>31.731535573489712</v>
      </c>
      <c r="CY963" s="554"/>
    </row>
    <row r="964" spans="65:103" ht="12.75" customHeight="1" x14ac:dyDescent="0.3">
      <c r="BM964" s="562"/>
      <c r="BN964" s="591">
        <v>951</v>
      </c>
      <c r="BO964" s="549" t="s">
        <v>3750</v>
      </c>
      <c r="BP964" s="554" t="s">
        <v>619</v>
      </c>
      <c r="BQ964" s="553">
        <v>9</v>
      </c>
      <c r="BR964" s="551">
        <v>384.25535299509005</v>
      </c>
      <c r="BS964" s="551"/>
      <c r="BT964" s="551">
        <v>4260140.5081218053</v>
      </c>
      <c r="BU964" s="551">
        <v>181929.52870395404</v>
      </c>
      <c r="BV964" s="551">
        <v>172240.48199010149</v>
      </c>
      <c r="BW964" s="551">
        <v>2098.4735786781794</v>
      </c>
      <c r="BX964" s="551">
        <v>983546.64726198267</v>
      </c>
      <c r="BY964" s="551">
        <v>6777337.8516018149</v>
      </c>
      <c r="BZ964" s="551">
        <v>364276.53602295637</v>
      </c>
      <c r="CA964" s="551">
        <v>1.2641237292445611</v>
      </c>
      <c r="CB964" s="551">
        <v>3.0674983543948289E-32</v>
      </c>
      <c r="CC964" s="551">
        <v>506.93060136424435</v>
      </c>
      <c r="CD964" s="551">
        <v>1017935.1492654248</v>
      </c>
      <c r="CE964" s="551">
        <v>20.49556134311732</v>
      </c>
      <c r="CF964" s="551">
        <v>587.0707275390464</v>
      </c>
      <c r="CG964" s="551">
        <v>1676.7299038725555</v>
      </c>
      <c r="CH964" s="551">
        <v>4295.6800193811159</v>
      </c>
      <c r="CI964" s="551">
        <v>621.01107550835366</v>
      </c>
      <c r="CJ964" s="551">
        <v>6.1046025829417257E-4</v>
      </c>
      <c r="CK964" s="551">
        <v>144231.20654581388</v>
      </c>
      <c r="CL964" s="551"/>
      <c r="CM964" s="551">
        <v>16.633978106502891</v>
      </c>
      <c r="CN964" s="551">
        <v>2.9062607568958456</v>
      </c>
      <c r="CO964" s="551">
        <v>2.8921713817047156E-7</v>
      </c>
      <c r="CP964" s="551">
        <v>3812.8814740982834</v>
      </c>
      <c r="CQ964" s="551"/>
      <c r="CR964" s="551">
        <v>0.47865378397564656</v>
      </c>
      <c r="CS964" s="551">
        <v>1.3102434178617998E-3</v>
      </c>
      <c r="CT964" s="551">
        <v>8.3118129668605809E-8</v>
      </c>
      <c r="CU964" s="551">
        <v>655.76223167865237</v>
      </c>
      <c r="CV964" s="551"/>
      <c r="CW964" s="551">
        <v>6.5457460099574802E-2</v>
      </c>
      <c r="CX964" s="551">
        <v>1.7342305443436665E-4</v>
      </c>
      <c r="CY964" s="554"/>
    </row>
    <row r="965" spans="65:103" ht="12.75" customHeight="1" x14ac:dyDescent="0.3">
      <c r="BM965" s="562"/>
      <c r="BN965" s="591">
        <v>952</v>
      </c>
      <c r="BO965" s="549" t="s">
        <v>3857</v>
      </c>
      <c r="BP965" s="554" t="s">
        <v>619</v>
      </c>
      <c r="BQ965" s="553">
        <v>9</v>
      </c>
      <c r="BR965" s="551">
        <v>384.25535299509005</v>
      </c>
      <c r="BS965" s="551"/>
      <c r="BT965" s="551">
        <v>4260140.5081218053</v>
      </c>
      <c r="BU965" s="551">
        <v>181929.52870395404</v>
      </c>
      <c r="BV965" s="551">
        <v>172240.48199010149</v>
      </c>
      <c r="BW965" s="551">
        <v>2098.4735786781794</v>
      </c>
      <c r="BX965" s="551">
        <v>983546.64726198267</v>
      </c>
      <c r="BY965" s="551">
        <v>6777337.8516018149</v>
      </c>
      <c r="BZ965" s="551">
        <v>364276.53602295637</v>
      </c>
      <c r="CA965" s="551">
        <v>1.2641237292445611</v>
      </c>
      <c r="CB965" s="551">
        <v>3.0674983543948289E-32</v>
      </c>
      <c r="CC965" s="551">
        <v>506.93060136424435</v>
      </c>
      <c r="CD965" s="551">
        <v>1017935.1492654248</v>
      </c>
      <c r="CE965" s="551">
        <v>20.49556134311732</v>
      </c>
      <c r="CF965" s="551">
        <v>587.0707275390464</v>
      </c>
      <c r="CG965" s="551">
        <v>1676.7299038725555</v>
      </c>
      <c r="CH965" s="551">
        <v>4295.6800193811159</v>
      </c>
      <c r="CI965" s="551">
        <v>621.01107550835366</v>
      </c>
      <c r="CJ965" s="551">
        <v>6.1046025829417257E-4</v>
      </c>
      <c r="CK965" s="551">
        <v>144231.20654581388</v>
      </c>
      <c r="CL965" s="551"/>
      <c r="CM965" s="551">
        <v>16.633978106502891</v>
      </c>
      <c r="CN965" s="551">
        <v>2.9062607568958456</v>
      </c>
      <c r="CO965" s="551">
        <v>2.8921713817047156E-7</v>
      </c>
      <c r="CP965" s="551">
        <v>3812.8814740982834</v>
      </c>
      <c r="CQ965" s="551"/>
      <c r="CR965" s="551">
        <v>0.47865378397564656</v>
      </c>
      <c r="CS965" s="551">
        <v>1.3102434178617998E-3</v>
      </c>
      <c r="CT965" s="551">
        <v>8.3118129668605809E-8</v>
      </c>
      <c r="CU965" s="551">
        <v>655.76223167865237</v>
      </c>
      <c r="CV965" s="551"/>
      <c r="CW965" s="551">
        <v>6.5457460099574802E-2</v>
      </c>
      <c r="CX965" s="551">
        <v>1.7342305443436665E-4</v>
      </c>
      <c r="CY965" s="554"/>
    </row>
    <row r="966" spans="65:103" ht="12.75" customHeight="1" x14ac:dyDescent="0.3">
      <c r="BM966" s="562"/>
      <c r="BN966" s="591">
        <v>953</v>
      </c>
      <c r="BO966" s="549" t="s">
        <v>3752</v>
      </c>
      <c r="BP966" s="554" t="s">
        <v>619</v>
      </c>
      <c r="BQ966" s="553">
        <v>9.14</v>
      </c>
      <c r="BR966" s="551">
        <v>3525.1352653960403</v>
      </c>
      <c r="BS966" s="551"/>
      <c r="BT966" s="551">
        <v>11556768.084571859</v>
      </c>
      <c r="BU966" s="551">
        <v>532601.06482644379</v>
      </c>
      <c r="BV966" s="551">
        <v>941869.79772453953</v>
      </c>
      <c r="BW966" s="551">
        <v>11876.442819859856</v>
      </c>
      <c r="BX966" s="551">
        <v>5188046.8935440462</v>
      </c>
      <c r="BY966" s="551">
        <v>46083685.219358213</v>
      </c>
      <c r="BZ966" s="551">
        <v>1921498.8494607571</v>
      </c>
      <c r="CA966" s="551">
        <v>79.345792232854649</v>
      </c>
      <c r="CB966" s="551">
        <v>2.6126130933119955E-31</v>
      </c>
      <c r="CC966" s="551">
        <v>14350.171893549537</v>
      </c>
      <c r="CD966" s="551">
        <v>6352849.6879840642</v>
      </c>
      <c r="CE966" s="551">
        <v>1169.5305642356495</v>
      </c>
      <c r="CF966" s="551">
        <v>7083.0928668058104</v>
      </c>
      <c r="CG966" s="551">
        <v>60513.254869407865</v>
      </c>
      <c r="CH966" s="551">
        <v>188631.39957430807</v>
      </c>
      <c r="CI966" s="551">
        <v>22412.316618299203</v>
      </c>
      <c r="CJ966" s="551">
        <v>0.26258707342160587</v>
      </c>
      <c r="CK966" s="551">
        <v>2189831.3471708507</v>
      </c>
      <c r="CL966" s="551"/>
      <c r="CM966" s="551">
        <v>491.22574496206346</v>
      </c>
      <c r="CN966" s="551">
        <v>718.79262225059745</v>
      </c>
      <c r="CO966" s="551">
        <v>8.6128378368722906E-4</v>
      </c>
      <c r="CP966" s="551">
        <v>136501.67739090542</v>
      </c>
      <c r="CQ966" s="551"/>
      <c r="CR966" s="551">
        <v>32.452756161054445</v>
      </c>
      <c r="CS966" s="551">
        <v>2.0144608001937847</v>
      </c>
      <c r="CT966" s="551">
        <v>2.3976512455749959E-4</v>
      </c>
      <c r="CU966" s="551">
        <v>24815.548204516592</v>
      </c>
      <c r="CV966" s="551"/>
      <c r="CW966" s="551">
        <v>5.0306128890194159</v>
      </c>
      <c r="CX966" s="551">
        <v>0.30460936319046</v>
      </c>
      <c r="CY966" s="554"/>
    </row>
    <row r="967" spans="65:103" ht="12.75" customHeight="1" x14ac:dyDescent="0.3">
      <c r="BM967" s="562"/>
      <c r="BN967" s="591">
        <v>954</v>
      </c>
      <c r="BO967" s="549" t="s">
        <v>3754</v>
      </c>
      <c r="BP967" s="554" t="s">
        <v>619</v>
      </c>
      <c r="BQ967" s="553">
        <v>9.17</v>
      </c>
      <c r="BR967" s="551">
        <v>1590.087278737001</v>
      </c>
      <c r="BS967" s="551"/>
      <c r="BT967" s="551">
        <v>40032868.595917061</v>
      </c>
      <c r="BU967" s="551">
        <v>1841065.6576365563</v>
      </c>
      <c r="BV967" s="551">
        <v>979900.4523328708</v>
      </c>
      <c r="BW967" s="551">
        <v>13292.300222296877</v>
      </c>
      <c r="BX967" s="551">
        <v>8255335.852747689</v>
      </c>
      <c r="BY967" s="551">
        <v>167274273.39920157</v>
      </c>
      <c r="BZ967" s="551">
        <v>3057531.7973139584</v>
      </c>
      <c r="CA967" s="551">
        <v>7.0820313867799563</v>
      </c>
      <c r="CB967" s="551">
        <v>1.2706710386898076E-31</v>
      </c>
      <c r="CC967" s="551">
        <v>21990.963009309788</v>
      </c>
      <c r="CD967" s="551">
        <v>21572162.919885851</v>
      </c>
      <c r="CE967" s="551">
        <v>538.28155103169081</v>
      </c>
      <c r="CF967" s="551">
        <v>7787.437259123245</v>
      </c>
      <c r="CG967" s="551">
        <v>19053.235325501257</v>
      </c>
      <c r="CH967" s="551">
        <v>143546.52802989306</v>
      </c>
      <c r="CI967" s="551">
        <v>7056.7538242597248</v>
      </c>
      <c r="CJ967" s="551">
        <v>4.8200415353927932E-3</v>
      </c>
      <c r="CK967" s="551">
        <v>7433156.2721601138</v>
      </c>
      <c r="CL967" s="551"/>
      <c r="CM967" s="551">
        <v>539.87474081199605</v>
      </c>
      <c r="CN967" s="551">
        <v>46.544173232711884</v>
      </c>
      <c r="CO967" s="551">
        <v>3.0261730456261021E-6</v>
      </c>
      <c r="CP967" s="551">
        <v>463293.44088737422</v>
      </c>
      <c r="CQ967" s="551"/>
      <c r="CR967" s="551">
        <v>34.416799962342452</v>
      </c>
      <c r="CS967" s="551">
        <v>9.0044992904040139E-2</v>
      </c>
      <c r="CT967" s="551">
        <v>6.3137189793108676E-6</v>
      </c>
      <c r="CU967" s="551">
        <v>84224.335919577716</v>
      </c>
      <c r="CV967" s="551"/>
      <c r="CW967" s="551">
        <v>5.8701221536374977</v>
      </c>
      <c r="CX967" s="551">
        <v>1.7979539703517431E-2</v>
      </c>
      <c r="CY967" s="554"/>
    </row>
    <row r="968" spans="65:103" ht="12.75" customHeight="1" x14ac:dyDescent="0.3">
      <c r="BM968" s="562"/>
      <c r="BN968" s="591">
        <v>955</v>
      </c>
      <c r="BO968" s="549" t="s">
        <v>3756</v>
      </c>
      <c r="BP968" s="554" t="s">
        <v>619</v>
      </c>
      <c r="BQ968" s="553">
        <v>9.19</v>
      </c>
      <c r="BR968" s="551">
        <v>7.1044532161168528</v>
      </c>
      <c r="BS968" s="551"/>
      <c r="BT968" s="551">
        <v>25521959.029152293</v>
      </c>
      <c r="BU968" s="551">
        <v>1174763.8771148939</v>
      </c>
      <c r="BV968" s="551">
        <v>410308.6614219817</v>
      </c>
      <c r="BW968" s="551">
        <v>5659.4038392857765</v>
      </c>
      <c r="BX968" s="551">
        <v>2910127.0497230669</v>
      </c>
      <c r="BY968" s="551">
        <v>44055062.200581431</v>
      </c>
      <c r="BZ968" s="551">
        <v>1077824.8332307653</v>
      </c>
      <c r="CA968" s="551">
        <v>1.9216749495598796E-4</v>
      </c>
      <c r="CB968" s="551">
        <v>5.7099004861202396E-34</v>
      </c>
      <c r="CC968" s="551">
        <v>74.90702784405471</v>
      </c>
      <c r="CD968" s="551">
        <v>13718450.371776668</v>
      </c>
      <c r="CE968" s="551">
        <v>1.2042571767585057</v>
      </c>
      <c r="CF968" s="551">
        <v>3304.4193908037178</v>
      </c>
      <c r="CG968" s="551">
        <v>40.790564034538477</v>
      </c>
      <c r="CH968" s="551">
        <v>230.93081321148512</v>
      </c>
      <c r="CI968" s="551">
        <v>15.107616309088321</v>
      </c>
      <c r="CJ968" s="551">
        <v>3.7632998015704545E-9</v>
      </c>
      <c r="CK968" s="551">
        <v>4726878.8580125598</v>
      </c>
      <c r="CL968" s="551"/>
      <c r="CM968" s="551">
        <v>229.07827159062731</v>
      </c>
      <c r="CN968" s="551">
        <v>2.8671621493186004E-3</v>
      </c>
      <c r="CO968" s="551">
        <v>8.3033458917127485E-11</v>
      </c>
      <c r="CP968" s="551">
        <v>294613.07248785673</v>
      </c>
      <c r="CQ968" s="551"/>
      <c r="CR968" s="551">
        <v>14.512318365649213</v>
      </c>
      <c r="CS968" s="551">
        <v>9.1023443596444366E-5</v>
      </c>
      <c r="CT968" s="551">
        <v>6.1484318758138951E-11</v>
      </c>
      <c r="CU968" s="551">
        <v>53559.039435416315</v>
      </c>
      <c r="CV968" s="551"/>
      <c r="CW968" s="551">
        <v>2.518760045422539</v>
      </c>
      <c r="CX968" s="551">
        <v>1.5744938361686585E-5</v>
      </c>
      <c r="CY968" s="554"/>
    </row>
    <row r="969" spans="65:103" ht="12.75" customHeight="1" x14ac:dyDescent="0.3">
      <c r="BM969" s="562"/>
      <c r="BN969" s="591">
        <v>956</v>
      </c>
      <c r="BO969" s="549" t="s">
        <v>3758</v>
      </c>
      <c r="BP969" s="554" t="s">
        <v>619</v>
      </c>
      <c r="BQ969" s="553">
        <v>9.2100000000000009</v>
      </c>
      <c r="BR969" s="551">
        <v>26168.005053556564</v>
      </c>
      <c r="BS969" s="551"/>
      <c r="BT969" s="551">
        <v>9090315.7061136346</v>
      </c>
      <c r="BU969" s="551">
        <v>414064.33130842831</v>
      </c>
      <c r="BV969" s="551">
        <v>1676858.7397642322</v>
      </c>
      <c r="BW969" s="551">
        <v>19590.427197600704</v>
      </c>
      <c r="BX969" s="551">
        <v>109248.87411596852</v>
      </c>
      <c r="BY969" s="551">
        <v>14123632.946883826</v>
      </c>
      <c r="BZ969" s="551">
        <v>40462.545968877239</v>
      </c>
      <c r="CA969" s="551">
        <v>3738.8934042105443</v>
      </c>
      <c r="CB969" s="551">
        <v>1.6599301363598829E-31</v>
      </c>
      <c r="CC969" s="551">
        <v>2242.2649407028225</v>
      </c>
      <c r="CD969" s="551">
        <v>4901387.9189070091</v>
      </c>
      <c r="CE969" s="551">
        <v>413.62277001619623</v>
      </c>
      <c r="CF969" s="551">
        <v>11594.850839859444</v>
      </c>
      <c r="CG969" s="551">
        <v>8100.3765093809807</v>
      </c>
      <c r="CH969" s="551">
        <v>21699.238468771386</v>
      </c>
      <c r="CI969" s="551">
        <v>3000.1394479188812</v>
      </c>
      <c r="CJ969" s="551">
        <v>80.349926292393505</v>
      </c>
      <c r="CK969" s="551">
        <v>1690252.7355816087</v>
      </c>
      <c r="CL969" s="551"/>
      <c r="CM969" s="551">
        <v>804.4688879635637</v>
      </c>
      <c r="CN969" s="551">
        <v>624.81473080484488</v>
      </c>
      <c r="CO969" s="551">
        <v>0.58112563421592112</v>
      </c>
      <c r="CP969" s="551">
        <v>105372.43947413925</v>
      </c>
      <c r="CQ969" s="551"/>
      <c r="CR969" s="551">
        <v>55.672522164542919</v>
      </c>
      <c r="CS969" s="551">
        <v>18.268217490926439</v>
      </c>
      <c r="CT969" s="551">
        <v>0.7663955843839706</v>
      </c>
      <c r="CU969" s="551">
        <v>19157.047539956999</v>
      </c>
      <c r="CV969" s="551"/>
      <c r="CW969" s="551">
        <v>7.680614310779851</v>
      </c>
      <c r="CX969" s="551">
        <v>1.4692902824302592</v>
      </c>
      <c r="CY969" s="554"/>
    </row>
    <row r="970" spans="65:103" ht="12.75" customHeight="1" x14ac:dyDescent="0.3">
      <c r="BM970" s="562"/>
      <c r="BN970" s="591">
        <v>957</v>
      </c>
      <c r="BO970" s="549" t="s">
        <v>3760</v>
      </c>
      <c r="BP970" s="554" t="s">
        <v>619</v>
      </c>
      <c r="BQ970" s="553">
        <v>9.3000000000000007</v>
      </c>
      <c r="BR970" s="551">
        <v>372.36616971714813</v>
      </c>
      <c r="BS970" s="551"/>
      <c r="BT970" s="551">
        <v>9116682.2730949018</v>
      </c>
      <c r="BU970" s="551">
        <v>420544.1503511293</v>
      </c>
      <c r="BV970" s="551">
        <v>836467.49339895998</v>
      </c>
      <c r="BW970" s="551">
        <v>10457.269967123624</v>
      </c>
      <c r="BX970" s="551">
        <v>4153146.3150816853</v>
      </c>
      <c r="BY970" s="551">
        <v>32121256.025595382</v>
      </c>
      <c r="BZ970" s="551">
        <v>1538202.3389191425</v>
      </c>
      <c r="CA970" s="551">
        <v>1.077985125769293</v>
      </c>
      <c r="CB970" s="551">
        <v>2.9866063983686987E-32</v>
      </c>
      <c r="CC970" s="551">
        <v>1355.4990008432296</v>
      </c>
      <c r="CD970" s="551">
        <v>4926033.4495521225</v>
      </c>
      <c r="CE970" s="551">
        <v>124.36880189257951</v>
      </c>
      <c r="CF970" s="551">
        <v>6124.5485885414892</v>
      </c>
      <c r="CG970" s="551">
        <v>6230.4336268960615</v>
      </c>
      <c r="CH970" s="551">
        <v>17971.712951969817</v>
      </c>
      <c r="CI970" s="551">
        <v>2307.5680099615038</v>
      </c>
      <c r="CJ970" s="551">
        <v>4.6293936887721647E-4</v>
      </c>
      <c r="CK970" s="551">
        <v>1697533.9779665461</v>
      </c>
      <c r="CL970" s="551"/>
      <c r="CM970" s="551">
        <v>424.63015015381626</v>
      </c>
      <c r="CN970" s="551">
        <v>9.6035825984474368</v>
      </c>
      <c r="CO970" s="551">
        <v>4.0559042673815245E-7</v>
      </c>
      <c r="CP970" s="551">
        <v>105813.73772546119</v>
      </c>
      <c r="CQ970" s="551"/>
      <c r="CR970" s="551">
        <v>28.206154156847827</v>
      </c>
      <c r="CS970" s="551">
        <v>8.8201756724069404E-3</v>
      </c>
      <c r="CT970" s="551">
        <v>1.4233157209142118E-7</v>
      </c>
      <c r="CU970" s="551">
        <v>19236.647671672195</v>
      </c>
      <c r="CV970" s="551"/>
      <c r="CW970" s="551">
        <v>4.3109093236353981</v>
      </c>
      <c r="CX970" s="551">
        <v>1.1456876682038332E-3</v>
      </c>
      <c r="CY970" s="554"/>
    </row>
    <row r="971" spans="65:103" ht="12.75" customHeight="1" x14ac:dyDescent="0.3">
      <c r="BM971" s="562"/>
      <c r="BN971" s="591">
        <v>958</v>
      </c>
      <c r="BO971" s="549" t="s">
        <v>3762</v>
      </c>
      <c r="BP971" s="554" t="s">
        <v>619</v>
      </c>
      <c r="BQ971" s="553">
        <v>9.33</v>
      </c>
      <c r="BR971" s="551">
        <v>23314.481423601384</v>
      </c>
      <c r="BS971" s="551"/>
      <c r="BT971" s="551">
        <v>8919347.9369663745</v>
      </c>
      <c r="BU971" s="551">
        <v>402901.38629613607</v>
      </c>
      <c r="BV971" s="551">
        <v>582066.10065198923</v>
      </c>
      <c r="BW971" s="551">
        <v>7318.1351249393911</v>
      </c>
      <c r="BX971" s="551">
        <v>39711.230982115143</v>
      </c>
      <c r="BY971" s="551">
        <v>28180980.040818755</v>
      </c>
      <c r="BZ971" s="551">
        <v>14707.863326709317</v>
      </c>
      <c r="CA971" s="551">
        <v>1950.5395513137266</v>
      </c>
      <c r="CB971" s="551">
        <v>7.5161235436982293E-32</v>
      </c>
      <c r="CC971" s="551">
        <v>971.45595801868774</v>
      </c>
      <c r="CD971" s="551">
        <v>4702604.6301332125</v>
      </c>
      <c r="CE971" s="551">
        <v>63.396067227690203</v>
      </c>
      <c r="CF971" s="551">
        <v>4270.8088496356877</v>
      </c>
      <c r="CG971" s="551">
        <v>1751.327182093894</v>
      </c>
      <c r="CH971" s="551">
        <v>8787.4363787775037</v>
      </c>
      <c r="CI971" s="551">
        <v>648.63969707181241</v>
      </c>
      <c r="CJ971" s="551">
        <v>26.356426530433598</v>
      </c>
      <c r="CK971" s="551">
        <v>1617649.0764100892</v>
      </c>
      <c r="CL971" s="551"/>
      <c r="CM971" s="551">
        <v>295.57849790281671</v>
      </c>
      <c r="CN971" s="551">
        <v>84.938132857454647</v>
      </c>
      <c r="CO971" s="551">
        <v>0.15975336701805151</v>
      </c>
      <c r="CP971" s="551">
        <v>100596.75485118986</v>
      </c>
      <c r="CQ971" s="551"/>
      <c r="CR971" s="551">
        <v>19.303973032540505</v>
      </c>
      <c r="CS971" s="551">
        <v>1.7499687813661171</v>
      </c>
      <c r="CT971" s="551">
        <v>0.19161132158233649</v>
      </c>
      <c r="CU971" s="551">
        <v>18301.300261676326</v>
      </c>
      <c r="CV971" s="551"/>
      <c r="CW971" s="551">
        <v>3.0673140639939787</v>
      </c>
      <c r="CX971" s="551">
        <v>0.17260063096483358</v>
      </c>
      <c r="CY971" s="554"/>
    </row>
    <row r="972" spans="65:103" ht="12.75" customHeight="1" x14ac:dyDescent="0.3">
      <c r="BM972" s="562"/>
      <c r="BN972" s="591">
        <v>959</v>
      </c>
      <c r="BO972" s="549" t="s">
        <v>3764</v>
      </c>
      <c r="BP972" s="554" t="s">
        <v>619</v>
      </c>
      <c r="BQ972" s="553">
        <v>9.41</v>
      </c>
      <c r="BR972" s="551">
        <v>25925.495260683481</v>
      </c>
      <c r="BS972" s="551"/>
      <c r="BT972" s="551">
        <v>465606.55378733791</v>
      </c>
      <c r="BU972" s="551">
        <v>12831.075077662124</v>
      </c>
      <c r="BV972" s="551">
        <v>24702614.146843158</v>
      </c>
      <c r="BW972" s="551">
        <v>305026.62334179721</v>
      </c>
      <c r="BX972" s="551">
        <v>3644.1317772920534</v>
      </c>
      <c r="BY972" s="551">
        <v>8014511.1934528053</v>
      </c>
      <c r="BZ972" s="551">
        <v>1349.6784360340937</v>
      </c>
      <c r="CA972" s="551">
        <v>3367.2158680102011</v>
      </c>
      <c r="CB972" s="551">
        <v>3.8451432853242681E-33</v>
      </c>
      <c r="CC972" s="551">
        <v>2.668572702039381</v>
      </c>
      <c r="CD972" s="551">
        <v>78364.785823957733</v>
      </c>
      <c r="CE972" s="551">
        <v>141.58031334624695</v>
      </c>
      <c r="CF972" s="551">
        <v>93146.31028228793</v>
      </c>
      <c r="CG972" s="551">
        <v>249.25856955626153</v>
      </c>
      <c r="CH972" s="551">
        <v>1068.8047886211509</v>
      </c>
      <c r="CI972" s="551">
        <v>92.317988724541294</v>
      </c>
      <c r="CJ972" s="551">
        <v>64.94719508483648</v>
      </c>
      <c r="CK972" s="551">
        <v>14812.128058305027</v>
      </c>
      <c r="CL972" s="551"/>
      <c r="CM972" s="551">
        <v>3438.9190675052205</v>
      </c>
      <c r="CN972" s="551">
        <v>17.256121662063258</v>
      </c>
      <c r="CO972" s="551">
        <v>0.43060420197411148</v>
      </c>
      <c r="CP972" s="551">
        <v>475.72652900967017</v>
      </c>
      <c r="CQ972" s="551"/>
      <c r="CR972" s="551">
        <v>238.36647146362921</v>
      </c>
      <c r="CS972" s="551">
        <v>0.37040919101536246</v>
      </c>
      <c r="CT972" s="551">
        <v>0.54041420441857835</v>
      </c>
      <c r="CU972" s="551">
        <v>92.902115504304021</v>
      </c>
      <c r="CV972" s="551"/>
      <c r="CW972" s="551">
        <v>10.680895456999675</v>
      </c>
      <c r="CX972" s="551">
        <v>4.0971271847910544E-2</v>
      </c>
      <c r="CY972" s="554"/>
    </row>
    <row r="973" spans="65:103" ht="12.75" customHeight="1" x14ac:dyDescent="0.3">
      <c r="BM973" s="562"/>
      <c r="BN973" s="591">
        <v>960</v>
      </c>
      <c r="BO973" s="549" t="s">
        <v>3766</v>
      </c>
      <c r="BP973" s="554" t="s">
        <v>619</v>
      </c>
      <c r="BQ973" s="553">
        <v>9.4499999999999993</v>
      </c>
      <c r="BR973" s="551">
        <v>4918.3000822684417</v>
      </c>
      <c r="BS973" s="551"/>
      <c r="BT973" s="551">
        <v>14554751.801672304</v>
      </c>
      <c r="BU973" s="551">
        <v>619031.58102970372</v>
      </c>
      <c r="BV973" s="551">
        <v>182019.13077061382</v>
      </c>
      <c r="BW973" s="551">
        <v>2334.3315143526961</v>
      </c>
      <c r="BX973" s="551">
        <v>1926241.6843046828</v>
      </c>
      <c r="BY973" s="551">
        <v>25186196.629774742</v>
      </c>
      <c r="BZ973" s="551">
        <v>713422.84603877098</v>
      </c>
      <c r="CA973" s="551">
        <v>81.187353416454002</v>
      </c>
      <c r="CB973" s="551">
        <v>3.9170409175496962E-31</v>
      </c>
      <c r="CC973" s="551">
        <v>23055.005588153756</v>
      </c>
      <c r="CD973" s="551">
        <v>3534847.0824783882</v>
      </c>
      <c r="CE973" s="551">
        <v>288.32178894216736</v>
      </c>
      <c r="CF973" s="551">
        <v>666.48497394279468</v>
      </c>
      <c r="CG973" s="551">
        <v>16477.166982064027</v>
      </c>
      <c r="CH973" s="551">
        <v>79388.989379916704</v>
      </c>
      <c r="CI973" s="551">
        <v>6102.6544378014933</v>
      </c>
      <c r="CJ973" s="551">
        <v>0.19698193504371286</v>
      </c>
      <c r="CK973" s="551">
        <v>501150.88063881767</v>
      </c>
      <c r="CL973" s="551"/>
      <c r="CM973" s="551">
        <v>18.895498196005249</v>
      </c>
      <c r="CN973" s="551">
        <v>143.49085170697413</v>
      </c>
      <c r="CO973" s="551">
        <v>1.0320154288177698E-4</v>
      </c>
      <c r="CP973" s="551">
        <v>13248.887800814962</v>
      </c>
      <c r="CQ973" s="551"/>
      <c r="CR973" s="551">
        <v>0.51678043036605104</v>
      </c>
      <c r="CS973" s="551">
        <v>0.24387950921168569</v>
      </c>
      <c r="CT973" s="551">
        <v>2.4358544010883251E-4</v>
      </c>
      <c r="CU973" s="551">
        <v>2278.6066840679196</v>
      </c>
      <c r="CV973" s="551"/>
      <c r="CW973" s="551">
        <v>8.0769501491546505E-2</v>
      </c>
      <c r="CX973" s="551">
        <v>4.9123622069376122E-2</v>
      </c>
      <c r="CY973" s="554"/>
    </row>
    <row r="974" spans="65:103" ht="12.75" customHeight="1" x14ac:dyDescent="0.3">
      <c r="BM974" s="562"/>
      <c r="BN974" s="591">
        <v>961</v>
      </c>
      <c r="BO974" s="549" t="s">
        <v>3768</v>
      </c>
      <c r="BP974" s="554" t="s">
        <v>619</v>
      </c>
      <c r="BQ974" s="553">
        <v>9.5</v>
      </c>
      <c r="BR974" s="551">
        <v>79740.59149566204</v>
      </c>
      <c r="BS974" s="551"/>
      <c r="BT974" s="551">
        <v>24686434.013470281</v>
      </c>
      <c r="BU974" s="551">
        <v>1045408.8241292614</v>
      </c>
      <c r="BV974" s="551">
        <v>286474.89606903569</v>
      </c>
      <c r="BW974" s="551">
        <v>3665.4764943289606</v>
      </c>
      <c r="BX974" s="551">
        <v>1644931.0672405767</v>
      </c>
      <c r="BY974" s="551">
        <v>35312803.041190878</v>
      </c>
      <c r="BZ974" s="551">
        <v>609233.72860762081</v>
      </c>
      <c r="CA974" s="551">
        <v>12084.618437497258</v>
      </c>
      <c r="CB974" s="551">
        <v>4.0571114154560105E-30</v>
      </c>
      <c r="CC974" s="551">
        <v>218012.00907226195</v>
      </c>
      <c r="CD974" s="551">
        <v>6791869.5986374421</v>
      </c>
      <c r="CE974" s="551">
        <v>2529.9307144441764</v>
      </c>
      <c r="CF974" s="551">
        <v>1190.7034736907272</v>
      </c>
      <c r="CG974" s="551">
        <v>129173.59730547428</v>
      </c>
      <c r="CH974" s="551">
        <v>664532.76177731983</v>
      </c>
      <c r="CI974" s="551">
        <v>47842.073076101573</v>
      </c>
      <c r="CJ974" s="551">
        <v>271.63032864933825</v>
      </c>
      <c r="CK974" s="551">
        <v>993623.31047234428</v>
      </c>
      <c r="CL974" s="551"/>
      <c r="CM974" s="551">
        <v>34.834236158414512</v>
      </c>
      <c r="CN974" s="551">
        <v>10421.31987008643</v>
      </c>
      <c r="CO974" s="551">
        <v>1.484518517324894</v>
      </c>
      <c r="CP974" s="551">
        <v>27401.492005480992</v>
      </c>
      <c r="CQ974" s="551"/>
      <c r="CR974" s="551">
        <v>0.99200844925014997</v>
      </c>
      <c r="CS974" s="551">
        <v>191.53970537131613</v>
      </c>
      <c r="CT974" s="551">
        <v>2.8606738044315589</v>
      </c>
      <c r="CU974" s="551">
        <v>4671.0464611292637</v>
      </c>
      <c r="CV974" s="551"/>
      <c r="CW974" s="551">
        <v>0.15443513185925062</v>
      </c>
      <c r="CX974" s="551">
        <v>30.528111830527706</v>
      </c>
      <c r="CY974" s="554"/>
    </row>
    <row r="975" spans="65:103" ht="12.75" customHeight="1" x14ac:dyDescent="0.3">
      <c r="BM975" s="562"/>
      <c r="BN975" s="591">
        <v>962</v>
      </c>
      <c r="BO975" s="549" t="s">
        <v>3769</v>
      </c>
      <c r="BP975" s="554" t="s">
        <v>619</v>
      </c>
      <c r="BQ975" s="553">
        <v>9.56</v>
      </c>
      <c r="BR975" s="551">
        <v>13.502293525399374</v>
      </c>
      <c r="BS975" s="551"/>
      <c r="BT975" s="551">
        <v>5720857.8951943517</v>
      </c>
      <c r="BU975" s="551">
        <v>243931.23965462105</v>
      </c>
      <c r="BV975" s="551">
        <v>164370.28619522028</v>
      </c>
      <c r="BW975" s="551">
        <v>2043.1737061611898</v>
      </c>
      <c r="BX975" s="551">
        <v>1893636.548255221</v>
      </c>
      <c r="BY975" s="551">
        <v>16473762.756121961</v>
      </c>
      <c r="BZ975" s="551">
        <v>701346.86972415575</v>
      </c>
      <c r="CA975" s="551">
        <v>1.2962614960133161E-3</v>
      </c>
      <c r="CB975" s="551">
        <v>1.0849143726308782E-33</v>
      </c>
      <c r="CC975" s="551">
        <v>35.575637325837342</v>
      </c>
      <c r="CD975" s="551">
        <v>1355534.5034460716</v>
      </c>
      <c r="CE975" s="551">
        <v>1.0221504879080003</v>
      </c>
      <c r="CF975" s="551">
        <v>567.69941790906034</v>
      </c>
      <c r="CG975" s="551">
        <v>94.206353582765303</v>
      </c>
      <c r="CH975" s="551">
        <v>306.47223364656907</v>
      </c>
      <c r="CI975" s="551">
        <v>34.891242067690847</v>
      </c>
      <c r="CJ975" s="551">
        <v>1.8284610018855492E-8</v>
      </c>
      <c r="CK975" s="551">
        <v>192056.15898145791</v>
      </c>
      <c r="CL975" s="551"/>
      <c r="CM975" s="551">
        <v>16.084372552385808</v>
      </c>
      <c r="CN975" s="551">
        <v>4.7695447771634956E-3</v>
      </c>
      <c r="CO975" s="551">
        <v>1.2033975026120242E-12</v>
      </c>
      <c r="CP975" s="551">
        <v>5077.0754511856594</v>
      </c>
      <c r="CQ975" s="551"/>
      <c r="CR975" s="551">
        <v>0.45354627887155891</v>
      </c>
      <c r="CS975" s="551">
        <v>2.1337067940234307E-7</v>
      </c>
      <c r="CT975" s="551">
        <v>1.7535626434080145E-13</v>
      </c>
      <c r="CU975" s="551">
        <v>873.18408702447596</v>
      </c>
      <c r="CV975" s="551"/>
      <c r="CW975" s="551">
        <v>6.5326507342995777E-2</v>
      </c>
      <c r="CX975" s="551">
        <v>2.8267989147835726E-8</v>
      </c>
      <c r="CY975" s="554"/>
    </row>
    <row r="976" spans="65:103" ht="12.75" customHeight="1" x14ac:dyDescent="0.3">
      <c r="BM976" s="562"/>
      <c r="BN976" s="591">
        <v>963</v>
      </c>
      <c r="BO976" s="549" t="s">
        <v>3771</v>
      </c>
      <c r="BP976" s="554" t="s">
        <v>619</v>
      </c>
      <c r="BQ976" s="553">
        <v>9.6199999999999992</v>
      </c>
      <c r="BR976" s="551">
        <v>586.60215028128653</v>
      </c>
      <c r="BS976" s="551"/>
      <c r="BT976" s="551">
        <v>16714565.077891838</v>
      </c>
      <c r="BU976" s="551">
        <v>710338.46488054516</v>
      </c>
      <c r="BV976" s="551">
        <v>168120.77465735952</v>
      </c>
      <c r="BW976" s="551">
        <v>2166.3685174249649</v>
      </c>
      <c r="BX976" s="551">
        <v>1452527.1686950796</v>
      </c>
      <c r="BY976" s="551">
        <v>21858886.844526011</v>
      </c>
      <c r="BZ976" s="551">
        <v>537973.02544262202</v>
      </c>
      <c r="CA976" s="551">
        <v>1.0757101642747779</v>
      </c>
      <c r="CB976" s="551">
        <v>4.6717014960100676E-32</v>
      </c>
      <c r="CC976" s="551">
        <v>3274.1085819328537</v>
      </c>
      <c r="CD976" s="551">
        <v>3958133.356905316</v>
      </c>
      <c r="CE976" s="551">
        <v>32.932096560198758</v>
      </c>
      <c r="CF976" s="551">
        <v>603.56970065046755</v>
      </c>
      <c r="CG976" s="551">
        <v>1380.3028170124171</v>
      </c>
      <c r="CH976" s="551">
        <v>7717.0124481263183</v>
      </c>
      <c r="CI976" s="551">
        <v>511.22326556015446</v>
      </c>
      <c r="CJ976" s="551">
        <v>2.9176771449371746E-4</v>
      </c>
      <c r="CK976" s="551">
        <v>560786.73338153411</v>
      </c>
      <c r="CL976" s="551"/>
      <c r="CM976" s="551">
        <v>17.100357363465907</v>
      </c>
      <c r="CN976" s="551">
        <v>1.3437546832891725</v>
      </c>
      <c r="CO976" s="551">
        <v>2.8440582437166468E-8</v>
      </c>
      <c r="CP976" s="551">
        <v>14824.149243676982</v>
      </c>
      <c r="CQ976" s="551"/>
      <c r="CR976" s="551">
        <v>0.46535501817401781</v>
      </c>
      <c r="CS976" s="551">
        <v>4.2927214772501307E-4</v>
      </c>
      <c r="CT976" s="551">
        <v>6.3413580753879691E-8</v>
      </c>
      <c r="CU976" s="551">
        <v>2549.5340990685722</v>
      </c>
      <c r="CV976" s="551"/>
      <c r="CW976" s="551">
        <v>7.3719553074353669E-2</v>
      </c>
      <c r="CX976" s="551">
        <v>8.2465708281910421E-5</v>
      </c>
      <c r="CY976" s="554"/>
    </row>
    <row r="977" spans="65:103" ht="12.75" customHeight="1" x14ac:dyDescent="0.3">
      <c r="BM977" s="562"/>
      <c r="BN977" s="591">
        <v>964</v>
      </c>
      <c r="BO977" s="549" t="s">
        <v>3773</v>
      </c>
      <c r="BP977" s="554" t="s">
        <v>619</v>
      </c>
      <c r="BQ977" s="553">
        <v>9.6999999999999993</v>
      </c>
      <c r="BR977" s="551">
        <v>694.39200855895353</v>
      </c>
      <c r="BS977" s="551"/>
      <c r="BT977" s="551">
        <v>10102091.783062007</v>
      </c>
      <c r="BU977" s="551">
        <v>466189.19293610554</v>
      </c>
      <c r="BV977" s="551">
        <v>7707200.5553511959</v>
      </c>
      <c r="BW977" s="551">
        <v>95577.168395804008</v>
      </c>
      <c r="BX977" s="551">
        <v>457650.72774825856</v>
      </c>
      <c r="BY977" s="551">
        <v>2737242.2464685328</v>
      </c>
      <c r="BZ977" s="551">
        <v>169500.26953639201</v>
      </c>
      <c r="CA977" s="551">
        <v>2.8473089747827598</v>
      </c>
      <c r="CB977" s="551">
        <v>5.571841187159372E-32</v>
      </c>
      <c r="CC977" s="551">
        <v>641.98425782605295</v>
      </c>
      <c r="CD977" s="551">
        <v>5473603.6362211853</v>
      </c>
      <c r="CE977" s="551">
        <v>489.78979153008055</v>
      </c>
      <c r="CF977" s="551">
        <v>56109.359075457913</v>
      </c>
      <c r="CG977" s="551">
        <v>972.43936180578476</v>
      </c>
      <c r="CH977" s="551">
        <v>2167.9187312588087</v>
      </c>
      <c r="CI977" s="551">
        <v>360.16272659473515</v>
      </c>
      <c r="CJ977" s="551">
        <v>1.7354064368390967E-3</v>
      </c>
      <c r="CK977" s="551">
        <v>1888835.3638516983</v>
      </c>
      <c r="CL977" s="551"/>
      <c r="CM977" s="551">
        <v>3895.2840382930194</v>
      </c>
      <c r="CN977" s="551">
        <v>2.1273198472463553</v>
      </c>
      <c r="CO977" s="551">
        <v>1.1975454282253688E-6</v>
      </c>
      <c r="CP977" s="551">
        <v>117885.87902270968</v>
      </c>
      <c r="CQ977" s="551"/>
      <c r="CR977" s="551">
        <v>303.02615575092625</v>
      </c>
      <c r="CS977" s="551">
        <v>2.9659896148632871E-3</v>
      </c>
      <c r="CT977" s="551">
        <v>8.895773479875175E-7</v>
      </c>
      <c r="CU977" s="551">
        <v>21436.437826822807</v>
      </c>
      <c r="CV977" s="551"/>
      <c r="CW977" s="551">
        <v>32.19756431017165</v>
      </c>
      <c r="CX977" s="551">
        <v>3.0190315740782279E-4</v>
      </c>
      <c r="CY977" s="554"/>
    </row>
    <row r="978" spans="65:103" ht="12.75" customHeight="1" x14ac:dyDescent="0.3">
      <c r="BM978" s="562"/>
      <c r="BN978" s="591">
        <v>965</v>
      </c>
      <c r="BO978" s="549" t="s">
        <v>3775</v>
      </c>
      <c r="BP978" s="554" t="s">
        <v>619</v>
      </c>
      <c r="BQ978" s="553">
        <v>9.73</v>
      </c>
      <c r="BR978" s="551">
        <v>260321.85869220525</v>
      </c>
      <c r="BS978" s="551"/>
      <c r="BT978" s="551">
        <v>78365146.475795984</v>
      </c>
      <c r="BU978" s="551">
        <v>3814328.7184921596</v>
      </c>
      <c r="BV978" s="551">
        <v>614212.22615338373</v>
      </c>
      <c r="BW978" s="551">
        <v>9117.122189652835</v>
      </c>
      <c r="BX978" s="551">
        <v>297814.9546493754</v>
      </c>
      <c r="BY978" s="551">
        <v>14457450.738910407</v>
      </c>
      <c r="BZ978" s="551">
        <v>110301.83505532415</v>
      </c>
      <c r="CA978" s="551">
        <v>207695.93772587835</v>
      </c>
      <c r="CB978" s="551">
        <v>1.7888644380068501E-29</v>
      </c>
      <c r="CC978" s="551">
        <v>3335108.5450420757</v>
      </c>
      <c r="CD978" s="551">
        <v>310546098.2983101</v>
      </c>
      <c r="CE978" s="551">
        <v>26139.993811485561</v>
      </c>
      <c r="CF978" s="551">
        <v>37113.827001581405</v>
      </c>
      <c r="CG978" s="551">
        <v>118167.73911997379</v>
      </c>
      <c r="CH978" s="551">
        <v>987354.08064371801</v>
      </c>
      <c r="CI978" s="551">
        <v>43765.829303693994</v>
      </c>
      <c r="CJ978" s="551">
        <v>39029.082955453669</v>
      </c>
      <c r="CK978" s="551">
        <v>5978874958.4518948</v>
      </c>
      <c r="CL978" s="551"/>
      <c r="CM978" s="551">
        <v>144350.86726106022</v>
      </c>
      <c r="CN978" s="551">
        <v>79700.845091776646</v>
      </c>
      <c r="CO978" s="551">
        <v>3108.7563608746686</v>
      </c>
      <c r="CP978" s="551">
        <v>3840273570.607594</v>
      </c>
      <c r="CQ978" s="551"/>
      <c r="CR978" s="551">
        <v>92887.202367351827</v>
      </c>
      <c r="CS978" s="551">
        <v>19740.29196197493</v>
      </c>
      <c r="CT978" s="551">
        <v>39588.778086252416</v>
      </c>
      <c r="CU978" s="551">
        <v>9070573925.0626984</v>
      </c>
      <c r="CV978" s="551"/>
      <c r="CW978" s="551">
        <v>218250.26907862257</v>
      </c>
      <c r="CX978" s="551">
        <v>23924.457201364065</v>
      </c>
      <c r="CY978" s="554"/>
    </row>
    <row r="979" spans="65:103" ht="12.75" customHeight="1" x14ac:dyDescent="0.3">
      <c r="BM979" s="562"/>
      <c r="BN979" s="591">
        <v>966</v>
      </c>
      <c r="BO979" s="549" t="s">
        <v>3776</v>
      </c>
      <c r="BP979" s="554" t="s">
        <v>619</v>
      </c>
      <c r="BQ979" s="553">
        <v>9.7799999999999994</v>
      </c>
      <c r="BR979" s="551">
        <v>41259.744272474978</v>
      </c>
      <c r="BS979" s="551"/>
      <c r="BT979" s="551">
        <v>5741055.5969765224</v>
      </c>
      <c r="BU979" s="551">
        <v>237413.81178218391</v>
      </c>
      <c r="BV979" s="551">
        <v>384570.96127982566</v>
      </c>
      <c r="BW979" s="551">
        <v>4349.545316700347</v>
      </c>
      <c r="BX979" s="551">
        <v>40391.047583646723</v>
      </c>
      <c r="BY979" s="551">
        <v>15137205.133305123</v>
      </c>
      <c r="BZ979" s="551">
        <v>14959.647253202493</v>
      </c>
      <c r="CA979" s="551">
        <v>5720.847521515012</v>
      </c>
      <c r="CB979" s="551">
        <v>2.2020555168641111E-31</v>
      </c>
      <c r="CC979" s="551">
        <v>1317.0020948276572</v>
      </c>
      <c r="CD979" s="551">
        <v>1361868.1887382809</v>
      </c>
      <c r="CE979" s="551">
        <v>88.220842501882373</v>
      </c>
      <c r="CF979" s="551">
        <v>1247.5069074170615</v>
      </c>
      <c r="CG979" s="551">
        <v>2917.209077341251</v>
      </c>
      <c r="CH979" s="551">
        <v>11103.951634909225</v>
      </c>
      <c r="CI979" s="551">
        <v>1080.4478064226855</v>
      </c>
      <c r="CJ979" s="551">
        <v>117.56988013214429</v>
      </c>
      <c r="CK979" s="551">
        <v>193917.69574464276</v>
      </c>
      <c r="CL979" s="551"/>
      <c r="CM979" s="551">
        <v>35.521297660581105</v>
      </c>
      <c r="CN979" s="551">
        <v>215.18248294404452</v>
      </c>
      <c r="CO979" s="551">
        <v>0.7846711457343446</v>
      </c>
      <c r="CP979" s="551">
        <v>5164.4056120857213</v>
      </c>
      <c r="CQ979" s="551"/>
      <c r="CR979" s="551">
        <v>1.0731696481589628</v>
      </c>
      <c r="CS979" s="551">
        <v>5.0647109607725751</v>
      </c>
      <c r="CT979" s="551">
        <v>1.0400986580622837</v>
      </c>
      <c r="CU979" s="551">
        <v>886.59049782444845</v>
      </c>
      <c r="CV979" s="551"/>
      <c r="CW979" s="551">
        <v>0.13241225309125113</v>
      </c>
      <c r="CX979" s="551">
        <v>0.51478773353151985</v>
      </c>
      <c r="CY979" s="554"/>
    </row>
    <row r="980" spans="65:103" ht="12.75" customHeight="1" x14ac:dyDescent="0.3">
      <c r="BM980" s="562"/>
      <c r="BN980" s="591">
        <v>967</v>
      </c>
      <c r="BO980" s="549" t="s">
        <v>3778</v>
      </c>
      <c r="BP980" s="554" t="s">
        <v>619</v>
      </c>
      <c r="BQ980" s="553">
        <v>9.92</v>
      </c>
      <c r="BR980" s="551">
        <v>129184.7757840265</v>
      </c>
      <c r="BS980" s="551"/>
      <c r="BT980" s="551">
        <v>20150935.548798766</v>
      </c>
      <c r="BU980" s="551">
        <v>843012.88770158926</v>
      </c>
      <c r="BV980" s="551">
        <v>196844.00018215273</v>
      </c>
      <c r="BW980" s="551">
        <v>2498.5622988564655</v>
      </c>
      <c r="BX980" s="551">
        <v>61651.825957900219</v>
      </c>
      <c r="BY980" s="551">
        <v>19809034.545368228</v>
      </c>
      <c r="BZ980" s="551">
        <v>22834.009614037113</v>
      </c>
      <c r="CA980" s="551">
        <v>25163.744254466637</v>
      </c>
      <c r="CB980" s="551">
        <v>1.5122956810013683E-30</v>
      </c>
      <c r="CC980" s="551">
        <v>21952.25145740695</v>
      </c>
      <c r="CD980" s="551">
        <v>5022985.8952291403</v>
      </c>
      <c r="CE980" s="551">
        <v>214.44011765191073</v>
      </c>
      <c r="CF980" s="551">
        <v>744.3684057858602</v>
      </c>
      <c r="CG980" s="551">
        <v>6202.6619748283892</v>
      </c>
      <c r="CH980" s="551">
        <v>38717.170735873908</v>
      </c>
      <c r="CI980" s="551">
        <v>2297.282212899403</v>
      </c>
      <c r="CJ980" s="551">
        <v>726.79743093131503</v>
      </c>
      <c r="CK980" s="551">
        <v>723413.4135946926</v>
      </c>
      <c r="CL980" s="551"/>
      <c r="CM980" s="551">
        <v>21.437938331194665</v>
      </c>
      <c r="CN980" s="551">
        <v>643.01320291872685</v>
      </c>
      <c r="CO980" s="551">
        <v>6.6519575253391956</v>
      </c>
      <c r="CP980" s="551">
        <v>19747.956505655337</v>
      </c>
      <c r="CQ980" s="551"/>
      <c r="CR980" s="551">
        <v>0.60210361367624654</v>
      </c>
      <c r="CS980" s="551">
        <v>19.440664755266781</v>
      </c>
      <c r="CT980" s="551">
        <v>9.0205665448462931</v>
      </c>
      <c r="CU980" s="551">
        <v>3369.4134859157293</v>
      </c>
      <c r="CV980" s="551"/>
      <c r="CW980" s="551">
        <v>9.4779401087598109E-2</v>
      </c>
      <c r="CX980" s="551">
        <v>2.2679399110372649</v>
      </c>
      <c r="CY980" s="554"/>
    </row>
    <row r="981" spans="65:103" ht="12.75" customHeight="1" x14ac:dyDescent="0.3">
      <c r="BM981" s="562"/>
      <c r="BN981" s="591">
        <v>968</v>
      </c>
      <c r="BO981" s="549" t="s">
        <v>3780</v>
      </c>
      <c r="BP981" s="554" t="s">
        <v>619</v>
      </c>
      <c r="BQ981" s="553">
        <v>9.94</v>
      </c>
      <c r="BR981" s="551">
        <v>6.2961088157730343</v>
      </c>
      <c r="BS981" s="551"/>
      <c r="BT981" s="551">
        <v>12567682.434465988</v>
      </c>
      <c r="BU981" s="551">
        <v>578623.7535549131</v>
      </c>
      <c r="BV981" s="551">
        <v>240481.78469848825</v>
      </c>
      <c r="BW981" s="551">
        <v>3298.0897613414463</v>
      </c>
      <c r="BX981" s="551">
        <v>1831005.3135704552</v>
      </c>
      <c r="BY981" s="551">
        <v>25589728.179616228</v>
      </c>
      <c r="BZ981" s="551">
        <v>678150.11613720562</v>
      </c>
      <c r="CA981" s="551">
        <v>2.9478403708001557E-4</v>
      </c>
      <c r="CB981" s="551">
        <v>5.0590629728442258E-34</v>
      </c>
      <c r="CC981" s="551">
        <v>60.876639752775205</v>
      </c>
      <c r="CD981" s="551">
        <v>6757077.2226007879</v>
      </c>
      <c r="CE981" s="551">
        <v>1.1648705360382032</v>
      </c>
      <c r="CF981" s="551">
        <v>1925.7286853103765</v>
      </c>
      <c r="CG981" s="551">
        <v>44.424222154501209</v>
      </c>
      <c r="CH981" s="551">
        <v>232.18159193359378</v>
      </c>
      <c r="CI981" s="551">
        <v>16.453415612778215</v>
      </c>
      <c r="CJ981" s="551">
        <v>2.0506754413643287E-9</v>
      </c>
      <c r="CK981" s="551">
        <v>2328254.1379168099</v>
      </c>
      <c r="CL981" s="551"/>
      <c r="CM981" s="551">
        <v>133.50138084272439</v>
      </c>
      <c r="CN981" s="551">
        <v>1.1092168436429336E-3</v>
      </c>
      <c r="CO981" s="551">
        <v>1.8677330112717591E-12</v>
      </c>
      <c r="CP981" s="551">
        <v>145114.19143091468</v>
      </c>
      <c r="CQ981" s="551"/>
      <c r="CR981" s="551">
        <v>8.4771150185029196</v>
      </c>
      <c r="CS981" s="551">
        <v>5.7910333663551084E-7</v>
      </c>
      <c r="CT981" s="551">
        <v>2.5866901004508459E-13</v>
      </c>
      <c r="CU981" s="551">
        <v>26380.977755502961</v>
      </c>
      <c r="CV981" s="551"/>
      <c r="CW981" s="551">
        <v>1.4617809571595093</v>
      </c>
      <c r="CX981" s="551">
        <v>9.7262150727025084E-8</v>
      </c>
      <c r="CY981" s="554"/>
    </row>
    <row r="982" spans="65:103" ht="12.75" customHeight="1" x14ac:dyDescent="0.3">
      <c r="BM982" s="562"/>
      <c r="BN982" s="591">
        <v>969</v>
      </c>
      <c r="BO982" s="549" t="s">
        <v>3782</v>
      </c>
      <c r="BP982" s="554" t="s">
        <v>619</v>
      </c>
      <c r="BQ982" s="553">
        <v>9.94</v>
      </c>
      <c r="BR982" s="551">
        <v>72836.938220267039</v>
      </c>
      <c r="BS982" s="551"/>
      <c r="BT982" s="551">
        <v>19033972.191025753</v>
      </c>
      <c r="BU982" s="551">
        <v>805113.94563441293</v>
      </c>
      <c r="BV982" s="551">
        <v>247158.54214264319</v>
      </c>
      <c r="BW982" s="551">
        <v>3149.0299720028597</v>
      </c>
      <c r="BX982" s="551">
        <v>1230210.3292916485</v>
      </c>
      <c r="BY982" s="551">
        <v>29640550.384709384</v>
      </c>
      <c r="BZ982" s="551">
        <v>455633.45529320301</v>
      </c>
      <c r="CA982" s="551">
        <v>12476.269435033269</v>
      </c>
      <c r="CB982" s="551">
        <v>3.0765267800942228E-30</v>
      </c>
      <c r="CC982" s="551">
        <v>145669.05629098372</v>
      </c>
      <c r="CD982" s="551">
        <v>5213621.3057554569</v>
      </c>
      <c r="CE982" s="551">
        <v>1891.5311647428605</v>
      </c>
      <c r="CF982" s="551">
        <v>1019.5978993730937</v>
      </c>
      <c r="CG982" s="551">
        <v>109188.68300699067</v>
      </c>
      <c r="CH982" s="551">
        <v>526696.31520755892</v>
      </c>
      <c r="CI982" s="551">
        <v>40440.252965552114</v>
      </c>
      <c r="CJ982" s="551">
        <v>317.44778539153737</v>
      </c>
      <c r="CK982" s="551">
        <v>764898.28451548691</v>
      </c>
      <c r="CL982" s="551"/>
      <c r="CM982" s="551">
        <v>29.913221675771446</v>
      </c>
      <c r="CN982" s="551">
        <v>9971.6916287177464</v>
      </c>
      <c r="CO982" s="551">
        <v>2.0708850451133598</v>
      </c>
      <c r="CP982" s="551">
        <v>21352.492139713555</v>
      </c>
      <c r="CQ982" s="551"/>
      <c r="CR982" s="551">
        <v>0.8646848321251388</v>
      </c>
      <c r="CS982" s="551">
        <v>222.69390332025321</v>
      </c>
      <c r="CT982" s="551">
        <v>3.7133930568039224</v>
      </c>
      <c r="CU982" s="551">
        <v>3622.554095642085</v>
      </c>
      <c r="CV982" s="551"/>
      <c r="CW982" s="551">
        <v>0.13296757813872576</v>
      </c>
      <c r="CX982" s="551">
        <v>32.07362173955179</v>
      </c>
      <c r="CY982" s="554"/>
    </row>
    <row r="983" spans="65:103" ht="12.75" customHeight="1" x14ac:dyDescent="0.3">
      <c r="BM983" s="562"/>
      <c r="BN983" s="591">
        <v>970</v>
      </c>
      <c r="BO983" s="549" t="s">
        <v>3784</v>
      </c>
      <c r="BP983" s="554" t="s">
        <v>619</v>
      </c>
      <c r="BQ983" s="553">
        <v>9.9499999999999993</v>
      </c>
      <c r="BR983" s="551">
        <v>62068.644021505264</v>
      </c>
      <c r="BS983" s="551"/>
      <c r="BT983" s="551">
        <v>17775843.687289741</v>
      </c>
      <c r="BU983" s="551">
        <v>748873.92318530031</v>
      </c>
      <c r="BV983" s="551">
        <v>232458.96125630155</v>
      </c>
      <c r="BW983" s="551">
        <v>2949.2327389067218</v>
      </c>
      <c r="BX983" s="551">
        <v>453782.3607551516</v>
      </c>
      <c r="BY983" s="551">
        <v>25357924.085675716</v>
      </c>
      <c r="BZ983" s="551">
        <v>168067.54102042655</v>
      </c>
      <c r="CA983" s="551">
        <v>8604.2133625031638</v>
      </c>
      <c r="CB983" s="551">
        <v>1.1538685618676179E-30</v>
      </c>
      <c r="CC983" s="551">
        <v>44489.202997574481</v>
      </c>
      <c r="CD983" s="551">
        <v>4434792.2448662249</v>
      </c>
      <c r="CE983" s="551">
        <v>581.79595285998585</v>
      </c>
      <c r="CF983" s="551">
        <v>873.26010920350859</v>
      </c>
      <c r="CG983" s="551">
        <v>32588.226095372887</v>
      </c>
      <c r="CH983" s="551">
        <v>160513.95185230469</v>
      </c>
      <c r="CI983" s="551">
        <v>12069.713368656629</v>
      </c>
      <c r="CJ983" s="551">
        <v>176.70498527659942</v>
      </c>
      <c r="CK983" s="551">
        <v>635858.07645583875</v>
      </c>
      <c r="CL983" s="551"/>
      <c r="CM983" s="551">
        <v>25.038054203660639</v>
      </c>
      <c r="CN983" s="551">
        <v>2402.1604209608286</v>
      </c>
      <c r="CO983" s="551">
        <v>1.0778213084741399</v>
      </c>
      <c r="CP983" s="551">
        <v>17104.317406160531</v>
      </c>
      <c r="CQ983" s="551"/>
      <c r="CR983" s="551">
        <v>0.69754963138453585</v>
      </c>
      <c r="CS983" s="551">
        <v>50.148670018246158</v>
      </c>
      <c r="CT983" s="551">
        <v>1.591355732529508</v>
      </c>
      <c r="CU983" s="551">
        <v>2924.1862089449342</v>
      </c>
      <c r="CV983" s="551"/>
      <c r="CW983" s="551">
        <v>0.10803873820190565</v>
      </c>
      <c r="CX983" s="551">
        <v>5.9655018680986869</v>
      </c>
      <c r="CY983" s="554"/>
    </row>
    <row r="984" spans="65:103" ht="12.75" customHeight="1" x14ac:dyDescent="0.3">
      <c r="BM984" s="562"/>
      <c r="BN984" s="591">
        <v>971</v>
      </c>
      <c r="BO984" s="549" t="s">
        <v>3786</v>
      </c>
      <c r="BP984" s="554" t="s">
        <v>619</v>
      </c>
      <c r="BQ984" s="553">
        <v>9.9700000000000006</v>
      </c>
      <c r="BR984" s="551">
        <v>92300.577197596009</v>
      </c>
      <c r="BS984" s="551"/>
      <c r="BT984" s="551">
        <v>15569682.205887316</v>
      </c>
      <c r="BU984" s="551">
        <v>651014.81023224583</v>
      </c>
      <c r="BV984" s="551">
        <v>186753.6658815096</v>
      </c>
      <c r="BW984" s="551">
        <v>2357.3012839197709</v>
      </c>
      <c r="BX984" s="551">
        <v>58023.109034158566</v>
      </c>
      <c r="BY984" s="551">
        <v>19479164.570926085</v>
      </c>
      <c r="BZ984" s="551">
        <v>21490.040383021678</v>
      </c>
      <c r="CA984" s="551">
        <v>15544.077398216432</v>
      </c>
      <c r="CB984" s="551">
        <v>8.6769346746129471E-31</v>
      </c>
      <c r="CC984" s="551">
        <v>11385.669216791553</v>
      </c>
      <c r="CD984" s="551">
        <v>3809062.0662280736</v>
      </c>
      <c r="CE984" s="551">
        <v>136.56768562341372</v>
      </c>
      <c r="CF984" s="551">
        <v>689.62385786940001</v>
      </c>
      <c r="CG984" s="551">
        <v>5049.2719369882079</v>
      </c>
      <c r="CH984" s="551">
        <v>28631.970018253047</v>
      </c>
      <c r="CI984" s="551">
        <v>1870.1007174030392</v>
      </c>
      <c r="CJ984" s="551">
        <v>387.85783277313254</v>
      </c>
      <c r="CK984" s="551">
        <v>545356.51046939392</v>
      </c>
      <c r="CL984" s="551"/>
      <c r="CM984" s="551">
        <v>19.744444368586446</v>
      </c>
      <c r="CN984" s="551">
        <v>452.20986544017796</v>
      </c>
      <c r="CO984" s="551">
        <v>3.0907299353250526</v>
      </c>
      <c r="CP984" s="551">
        <v>14680.715156207936</v>
      </c>
      <c r="CQ984" s="551"/>
      <c r="CR984" s="551">
        <v>0.54929616012575722</v>
      </c>
      <c r="CS984" s="551">
        <v>12.164028789145771</v>
      </c>
      <c r="CT984" s="551">
        <v>4.1589903776261075</v>
      </c>
      <c r="CU984" s="551">
        <v>2513.2834458668481</v>
      </c>
      <c r="CV984" s="551"/>
      <c r="CW984" s="551">
        <v>8.5696495844816825E-2</v>
      </c>
      <c r="CX984" s="551">
        <v>1.3608029552633853</v>
      </c>
      <c r="CY984" s="554"/>
    </row>
    <row r="985" spans="65:103" ht="12.75" customHeight="1" x14ac:dyDescent="0.3">
      <c r="BM985" s="562"/>
      <c r="BN985" s="591">
        <v>972</v>
      </c>
      <c r="BO985" s="549" t="s">
        <v>3788</v>
      </c>
      <c r="BP985" s="554" t="s">
        <v>619</v>
      </c>
      <c r="BQ985" s="553">
        <v>9.98</v>
      </c>
      <c r="BR985" s="551">
        <v>33122.256893722886</v>
      </c>
      <c r="BS985" s="551"/>
      <c r="BT985" s="551">
        <v>795130.1137783766</v>
      </c>
      <c r="BU985" s="551">
        <v>27701.116646198076</v>
      </c>
      <c r="BV985" s="551">
        <v>512795.12964818161</v>
      </c>
      <c r="BW985" s="551">
        <v>4678.757401107775</v>
      </c>
      <c r="BX985" s="551">
        <v>31.021873597121136</v>
      </c>
      <c r="BY985" s="551">
        <v>20068091.734742802</v>
      </c>
      <c r="BZ985" s="551">
        <v>11.489582813748564</v>
      </c>
      <c r="CA985" s="551">
        <v>3852.6996492950366</v>
      </c>
      <c r="CB985" s="551">
        <v>2.9847300629069324E-34</v>
      </c>
      <c r="CC985" s="551">
        <v>0.32975755459285466</v>
      </c>
      <c r="CD985" s="551">
        <v>271215.08939649881</v>
      </c>
      <c r="CE985" s="551">
        <v>0.21266716607722672</v>
      </c>
      <c r="CF985" s="551">
        <v>2290.4304238221671</v>
      </c>
      <c r="CG985" s="551">
        <v>2.2598086762859642</v>
      </c>
      <c r="CH985" s="551">
        <v>13.661057410320451</v>
      </c>
      <c r="CI985" s="551">
        <v>0.83696617640220872</v>
      </c>
      <c r="CJ985" s="551">
        <v>69.886012965204969</v>
      </c>
      <c r="CK985" s="551">
        <v>89057.060852981012</v>
      </c>
      <c r="CL985" s="551"/>
      <c r="CM985" s="551">
        <v>151.30775179987904</v>
      </c>
      <c r="CN985" s="551">
        <v>0.14712973005896537</v>
      </c>
      <c r="CO985" s="551">
        <v>0.69444637151535471</v>
      </c>
      <c r="CP985" s="551">
        <v>4562.1653377492066</v>
      </c>
      <c r="CQ985" s="551"/>
      <c r="CR985" s="551">
        <v>9.5257876528562022</v>
      </c>
      <c r="CS985" s="551">
        <v>4.5459112060120301E-3</v>
      </c>
      <c r="CT985" s="551">
        <v>0.55903669674265477</v>
      </c>
      <c r="CU985" s="551">
        <v>989.26022972549072</v>
      </c>
      <c r="CV985" s="551"/>
      <c r="CW985" s="551">
        <v>1.2436387359376562</v>
      </c>
      <c r="CX985" s="551">
        <v>3.4669909189661983E-4</v>
      </c>
      <c r="CY985" s="554"/>
    </row>
    <row r="986" spans="65:103" ht="12.75" customHeight="1" x14ac:dyDescent="0.3">
      <c r="BM986" s="562"/>
      <c r="BN986" s="591">
        <v>973</v>
      </c>
      <c r="BO986" s="549" t="s">
        <v>3790</v>
      </c>
      <c r="BP986" s="554" t="s">
        <v>619</v>
      </c>
      <c r="BQ986" s="553">
        <v>10</v>
      </c>
      <c r="BR986" s="551">
        <v>1499.0387435812102</v>
      </c>
      <c r="BS986" s="551"/>
      <c r="BT986" s="551">
        <v>15205517.462258777</v>
      </c>
      <c r="BU986" s="551">
        <v>700213.23620489752</v>
      </c>
      <c r="BV986" s="551">
        <v>352881.46293653845</v>
      </c>
      <c r="BW986" s="551">
        <v>4804.1123346521845</v>
      </c>
      <c r="BX986" s="551">
        <v>2778495.6109528011</v>
      </c>
      <c r="BY986" s="551">
        <v>35933211.854850367</v>
      </c>
      <c r="BZ986" s="551">
        <v>1029072.4485010371</v>
      </c>
      <c r="CA986" s="551">
        <v>13.309426070943957</v>
      </c>
      <c r="CB986" s="551">
        <v>1.1986337525759103E-31</v>
      </c>
      <c r="CC986" s="551">
        <v>13053.816872078045</v>
      </c>
      <c r="CD986" s="551">
        <v>8241504.0760701802</v>
      </c>
      <c r="CE986" s="551">
        <v>302.94595406950936</v>
      </c>
      <c r="CF986" s="551">
        <v>2827.2181487547045</v>
      </c>
      <c r="CG986" s="551">
        <v>12783.642767661389</v>
      </c>
      <c r="CH986" s="551">
        <v>61353.375259967848</v>
      </c>
      <c r="CI986" s="551">
        <v>4734.6825065412568</v>
      </c>
      <c r="CJ986" s="551">
        <v>1.7437146341913238E-2</v>
      </c>
      <c r="CK986" s="551">
        <v>2839888.8087991853</v>
      </c>
      <c r="CL986" s="551"/>
      <c r="CM986" s="551">
        <v>196.00769474008118</v>
      </c>
      <c r="CN986" s="551">
        <v>60.113825393222257</v>
      </c>
      <c r="CO986" s="551">
        <v>2.2071590989311162E-5</v>
      </c>
      <c r="CP986" s="551">
        <v>177004.35812548245</v>
      </c>
      <c r="CQ986" s="551"/>
      <c r="CR986" s="551">
        <v>12.483856177328372</v>
      </c>
      <c r="CS986" s="551">
        <v>6.7889043359219262E-2</v>
      </c>
      <c r="CT986" s="551">
        <v>9.0421914352205699E-6</v>
      </c>
      <c r="CU986" s="551">
        <v>32178.461716023241</v>
      </c>
      <c r="CV986" s="551"/>
      <c r="CW986" s="551">
        <v>2.1347081604951135</v>
      </c>
      <c r="CX986" s="551">
        <v>1.3213060523077167E-2</v>
      </c>
      <c r="CY986" s="554"/>
    </row>
    <row r="987" spans="65:103" ht="12.75" customHeight="1" x14ac:dyDescent="0.3">
      <c r="BM987" s="562"/>
      <c r="BN987" s="591">
        <v>974</v>
      </c>
      <c r="BO987" s="549" t="s">
        <v>3792</v>
      </c>
      <c r="BP987" s="554" t="s">
        <v>619</v>
      </c>
      <c r="BQ987" s="553">
        <v>10.050000000000001</v>
      </c>
      <c r="BR987" s="551">
        <v>62669.463724634566</v>
      </c>
      <c r="BS987" s="551"/>
      <c r="BT987" s="551">
        <v>1331917.198328855</v>
      </c>
      <c r="BU987" s="551">
        <v>45574.575034195106</v>
      </c>
      <c r="BV987" s="551">
        <v>366348.24649705837</v>
      </c>
      <c r="BW987" s="551">
        <v>2975.4606562736185</v>
      </c>
      <c r="BX987" s="551">
        <v>5406.2284439543137</v>
      </c>
      <c r="BY987" s="551">
        <v>12626604.245519888</v>
      </c>
      <c r="BZ987" s="551">
        <v>2002.3068310941912</v>
      </c>
      <c r="CA987" s="551">
        <v>9691.7917235099776</v>
      </c>
      <c r="CB987" s="551">
        <v>9.9310886903091939E-32</v>
      </c>
      <c r="CC987" s="551">
        <v>120.94583558058733</v>
      </c>
      <c r="CD987" s="551">
        <v>256849.51988989377</v>
      </c>
      <c r="CE987" s="551">
        <v>33.266553537759663</v>
      </c>
      <c r="CF987" s="551">
        <v>838.45613529223783</v>
      </c>
      <c r="CG987" s="551">
        <v>439.62336611401292</v>
      </c>
      <c r="CH987" s="551">
        <v>1948.5195245833349</v>
      </c>
      <c r="CI987" s="551">
        <v>162.82346893111583</v>
      </c>
      <c r="CJ987" s="551">
        <v>222.19068737578033</v>
      </c>
      <c r="CK987" s="551">
        <v>36399.054617650865</v>
      </c>
      <c r="CL987" s="551"/>
      <c r="CM987" s="551">
        <v>23.759346223007665</v>
      </c>
      <c r="CN987" s="551">
        <v>36.17480531686158</v>
      </c>
      <c r="CO987" s="551">
        <v>1.6706588420491624</v>
      </c>
      <c r="CP987" s="551">
        <v>973.11125878109681</v>
      </c>
      <c r="CQ987" s="551"/>
      <c r="CR987" s="551">
        <v>0.87539657096216439</v>
      </c>
      <c r="CS987" s="551">
        <v>0.87380900522847693</v>
      </c>
      <c r="CT987" s="551">
        <v>2.2027515936649991</v>
      </c>
      <c r="CU987" s="551">
        <v>166.24368451886531</v>
      </c>
      <c r="CV987" s="551"/>
      <c r="CW987" s="551">
        <v>7.1174685091123249E-2</v>
      </c>
      <c r="CX987" s="551">
        <v>0.10263528978732704</v>
      </c>
      <c r="CY987" s="554"/>
    </row>
    <row r="988" spans="65:103" ht="12.75" customHeight="1" x14ac:dyDescent="0.3">
      <c r="BM988" s="562"/>
      <c r="BN988" s="591">
        <v>975</v>
      </c>
      <c r="BO988" s="549" t="s">
        <v>3794</v>
      </c>
      <c r="BP988" s="554" t="s">
        <v>619</v>
      </c>
      <c r="BQ988" s="553">
        <v>10.08</v>
      </c>
      <c r="BR988" s="551">
        <v>31108.923245373633</v>
      </c>
      <c r="BS988" s="551"/>
      <c r="BT988" s="551">
        <v>7152162.7620215248</v>
      </c>
      <c r="BU988" s="551">
        <v>298757.18881123851</v>
      </c>
      <c r="BV988" s="551">
        <v>240250.49964976337</v>
      </c>
      <c r="BW988" s="551">
        <v>2898.7607661984289</v>
      </c>
      <c r="BX988" s="551">
        <v>45474.54072350161</v>
      </c>
      <c r="BY988" s="551">
        <v>14914207.603595572</v>
      </c>
      <c r="BZ988" s="551">
        <v>16842.422490185778</v>
      </c>
      <c r="CA988" s="551">
        <v>3492.2192855315511</v>
      </c>
      <c r="CB988" s="551">
        <v>1.5562148055125957E-31</v>
      </c>
      <c r="CC988" s="551">
        <v>1512.5398797395426</v>
      </c>
      <c r="CD988" s="551">
        <v>1691914.0064524561</v>
      </c>
      <c r="CE988" s="551">
        <v>50.808192422190942</v>
      </c>
      <c r="CF988" s="551">
        <v>820.80936047110856</v>
      </c>
      <c r="CG988" s="551">
        <v>2649.4017260875644</v>
      </c>
      <c r="CH988" s="551">
        <v>10652.069455870065</v>
      </c>
      <c r="CI988" s="551">
        <v>981.25989855094952</v>
      </c>
      <c r="CJ988" s="551">
        <v>58.052222464670891</v>
      </c>
      <c r="CK988" s="551">
        <v>240294.93342137174</v>
      </c>
      <c r="CL988" s="551"/>
      <c r="CM988" s="551">
        <v>23.311812221657828</v>
      </c>
      <c r="CN988" s="551">
        <v>158.07704715503587</v>
      </c>
      <c r="CO988" s="551">
        <v>0.31348250316328025</v>
      </c>
      <c r="CP988" s="551">
        <v>6370.2575910754367</v>
      </c>
      <c r="CQ988" s="551"/>
      <c r="CR988" s="551">
        <v>0.66488939789261592</v>
      </c>
      <c r="CS988" s="551">
        <v>3.0692330709031892</v>
      </c>
      <c r="CT988" s="551">
        <v>0.41529889016188976</v>
      </c>
      <c r="CU988" s="551">
        <v>1094.8141275264009</v>
      </c>
      <c r="CV988" s="551"/>
      <c r="CW988" s="551">
        <v>9.3599420045928874E-2</v>
      </c>
      <c r="CX988" s="551">
        <v>0.30396249260160446</v>
      </c>
      <c r="CY988" s="554"/>
    </row>
    <row r="989" spans="65:103" ht="12.75" customHeight="1" x14ac:dyDescent="0.3">
      <c r="BM989" s="562"/>
      <c r="BN989" s="591">
        <v>976</v>
      </c>
      <c r="BO989" s="549" t="s">
        <v>3796</v>
      </c>
      <c r="BP989" s="554" t="s">
        <v>619</v>
      </c>
      <c r="BQ989" s="553">
        <v>10.119999999999999</v>
      </c>
      <c r="BR989" s="551">
        <v>1602.0147627512674</v>
      </c>
      <c r="BS989" s="551"/>
      <c r="BT989" s="551">
        <v>10739086.281480415</v>
      </c>
      <c r="BU989" s="551">
        <v>495259.15069671447</v>
      </c>
      <c r="BV989" s="551">
        <v>1981001.6802905404</v>
      </c>
      <c r="BW989" s="551">
        <v>23431.958761119324</v>
      </c>
      <c r="BX989" s="551">
        <v>6749958.9555600127</v>
      </c>
      <c r="BY989" s="551">
        <v>50250342.677526146</v>
      </c>
      <c r="BZ989" s="551">
        <v>2499984.7983555594</v>
      </c>
      <c r="CA989" s="551">
        <v>16.216061852177265</v>
      </c>
      <c r="CB989" s="551">
        <v>1.2161707939610315E-31</v>
      </c>
      <c r="CC989" s="551">
        <v>4291.3874945900434</v>
      </c>
      <c r="CD989" s="551">
        <v>5844368.2756239492</v>
      </c>
      <c r="CE989" s="551">
        <v>791.61723956172273</v>
      </c>
      <c r="CF989" s="551">
        <v>13825.589716673048</v>
      </c>
      <c r="CG989" s="551">
        <v>35406.137348989119</v>
      </c>
      <c r="CH989" s="551">
        <v>94508.504232219551</v>
      </c>
      <c r="CI989" s="551">
        <v>13113.384203329306</v>
      </c>
      <c r="CJ989" s="551">
        <v>2.4283537290709183E-2</v>
      </c>
      <c r="CK989" s="551">
        <v>2014401.7009579181</v>
      </c>
      <c r="CL989" s="551"/>
      <c r="CM989" s="551">
        <v>958.7462644892048</v>
      </c>
      <c r="CN989" s="551">
        <v>190.30437033817373</v>
      </c>
      <c r="CO989" s="551">
        <v>1.5128457510820598E-5</v>
      </c>
      <c r="CP989" s="551">
        <v>125582.15378556994</v>
      </c>
      <c r="CQ989" s="551"/>
      <c r="CR989" s="551">
        <v>66.350131732634338</v>
      </c>
      <c r="CS989" s="551">
        <v>0.33743399802320256</v>
      </c>
      <c r="CT989" s="551">
        <v>2.1441713788786006E-5</v>
      </c>
      <c r="CU989" s="551">
        <v>22831.009976115187</v>
      </c>
      <c r="CV989" s="551"/>
      <c r="CW989" s="551">
        <v>9.1536120890422712</v>
      </c>
      <c r="CX989" s="551">
        <v>4.3109772859939506E-2</v>
      </c>
      <c r="CY989" s="554"/>
    </row>
    <row r="990" spans="65:103" ht="12.75" customHeight="1" x14ac:dyDescent="0.3">
      <c r="BM990" s="562"/>
      <c r="BN990" s="591">
        <v>977</v>
      </c>
      <c r="BO990" s="549" t="s">
        <v>3800</v>
      </c>
      <c r="BP990" s="554" t="s">
        <v>619</v>
      </c>
      <c r="BQ990" s="553">
        <v>10.14</v>
      </c>
      <c r="BR990" s="551">
        <v>46943.389943651964</v>
      </c>
      <c r="BS990" s="551"/>
      <c r="BT990" s="551">
        <v>17668531.53459169</v>
      </c>
      <c r="BU990" s="551">
        <v>807939.7145482084</v>
      </c>
      <c r="BV990" s="551">
        <v>869288.72834442055</v>
      </c>
      <c r="BW990" s="551">
        <v>11285.67938913871</v>
      </c>
      <c r="BX990" s="551">
        <v>572331.26274813211</v>
      </c>
      <c r="BY990" s="551">
        <v>46011860.173865907</v>
      </c>
      <c r="BZ990" s="551">
        <v>211974.54175856739</v>
      </c>
      <c r="CA990" s="551">
        <v>7744.4930421713334</v>
      </c>
      <c r="CB990" s="551">
        <v>5.7809393779839486E-31</v>
      </c>
      <c r="CC990" s="551">
        <v>22598.897377831185</v>
      </c>
      <c r="CD990" s="551">
        <v>9714004.8640504368</v>
      </c>
      <c r="CE990" s="551">
        <v>1111.8618842261872</v>
      </c>
      <c r="CF990" s="551">
        <v>6784.4879083280839</v>
      </c>
      <c r="CG990" s="551">
        <v>48908.593439626915</v>
      </c>
      <c r="CH990" s="551">
        <v>198965.9726737524</v>
      </c>
      <c r="CI990" s="551">
        <v>18114.293866528486</v>
      </c>
      <c r="CJ990" s="551">
        <v>190.60711204450322</v>
      </c>
      <c r="CK990" s="551">
        <v>3356446.3890382955</v>
      </c>
      <c r="CL990" s="551"/>
      <c r="CM990" s="551">
        <v>471.64594088242023</v>
      </c>
      <c r="CN990" s="551">
        <v>4320.5092158535954</v>
      </c>
      <c r="CO990" s="551">
        <v>1.4768914710146768</v>
      </c>
      <c r="CP990" s="551">
        <v>209613.3122079912</v>
      </c>
      <c r="CQ990" s="551"/>
      <c r="CR990" s="551">
        <v>30.633736202935786</v>
      </c>
      <c r="CS990" s="551">
        <v>121.20721412970546</v>
      </c>
      <c r="CT990" s="551">
        <v>2.0519522029772417</v>
      </c>
      <c r="CU990" s="551">
        <v>38082.191895091346</v>
      </c>
      <c r="CV990" s="551"/>
      <c r="CW990" s="551">
        <v>4.9889114140125699</v>
      </c>
      <c r="CX990" s="551">
        <v>12.399336538622977</v>
      </c>
      <c r="CY990" s="554"/>
    </row>
    <row r="991" spans="65:103" ht="12.75" customHeight="1" x14ac:dyDescent="0.3">
      <c r="BM991" s="562"/>
      <c r="BN991" s="591">
        <v>978</v>
      </c>
      <c r="BO991" s="549" t="s">
        <v>3798</v>
      </c>
      <c r="BP991" s="554" t="s">
        <v>619</v>
      </c>
      <c r="BQ991" s="553">
        <v>10.14</v>
      </c>
      <c r="BR991" s="551">
        <v>50534.69147102326</v>
      </c>
      <c r="BS991" s="551"/>
      <c r="BT991" s="551">
        <v>1719780.468259054</v>
      </c>
      <c r="BU991" s="551">
        <v>64937.53115296569</v>
      </c>
      <c r="BV991" s="551">
        <v>466177.10977938492</v>
      </c>
      <c r="BW991" s="551">
        <v>4425.7703511422205</v>
      </c>
      <c r="BX991" s="551">
        <v>6694.4014465510681</v>
      </c>
      <c r="BY991" s="551">
        <v>30849710.77832225</v>
      </c>
      <c r="BZ991" s="551">
        <v>2479.4079431670625</v>
      </c>
      <c r="CA991" s="551">
        <v>5926.7625212566736</v>
      </c>
      <c r="CB991" s="551">
        <v>8.5289318866845954E-32</v>
      </c>
      <c r="CC991" s="551">
        <v>132.97066185403645</v>
      </c>
      <c r="CD991" s="551">
        <v>705263.54513662367</v>
      </c>
      <c r="CE991" s="551">
        <v>36.044064909818047</v>
      </c>
      <c r="CF991" s="551">
        <v>2403.3362774868674</v>
      </c>
      <c r="CG991" s="551">
        <v>472.44386423945525</v>
      </c>
      <c r="CH991" s="551">
        <v>2770.4056963171274</v>
      </c>
      <c r="CI991" s="551">
        <v>174.97920897757598</v>
      </c>
      <c r="CJ991" s="551">
        <v>109.46370684482372</v>
      </c>
      <c r="CK991" s="551">
        <v>235908.91913362857</v>
      </c>
      <c r="CL991" s="551"/>
      <c r="CM991" s="551">
        <v>161.73916437064977</v>
      </c>
      <c r="CN991" s="551">
        <v>31.318899515567786</v>
      </c>
      <c r="CO991" s="551">
        <v>0.90731759583839477</v>
      </c>
      <c r="CP991" s="551">
        <v>13781.251782942174</v>
      </c>
      <c r="CQ991" s="551"/>
      <c r="CR991" s="551">
        <v>10.793574020745314</v>
      </c>
      <c r="CS991" s="551">
        <v>0.81880139420378184</v>
      </c>
      <c r="CT991" s="551">
        <v>0.91741398774557659</v>
      </c>
      <c r="CU991" s="551">
        <v>2629.5200151081413</v>
      </c>
      <c r="CV991" s="551"/>
      <c r="CW991" s="551">
        <v>1.4596025046312371</v>
      </c>
      <c r="CX991" s="551">
        <v>7.6582781373418507E-2</v>
      </c>
      <c r="CY991" s="554"/>
    </row>
    <row r="992" spans="65:103" ht="12.75" customHeight="1" x14ac:dyDescent="0.3">
      <c r="BM992" s="562"/>
      <c r="BN992" s="591">
        <v>979</v>
      </c>
      <c r="BO992" s="549" t="s">
        <v>3802</v>
      </c>
      <c r="BP992" s="554" t="s">
        <v>619</v>
      </c>
      <c r="BQ992" s="553">
        <v>10.16</v>
      </c>
      <c r="BR992" s="551">
        <v>153934.74819522473</v>
      </c>
      <c r="BS992" s="551"/>
      <c r="BT992" s="551">
        <v>2585983.6429157071</v>
      </c>
      <c r="BU992" s="551">
        <v>85529.661911504343</v>
      </c>
      <c r="BV992" s="551">
        <v>77198.906795011702</v>
      </c>
      <c r="BW992" s="551">
        <v>742.74316763875265</v>
      </c>
      <c r="BX992" s="551">
        <v>1976.3178048952875</v>
      </c>
      <c r="BY992" s="551">
        <v>23926915.813332394</v>
      </c>
      <c r="BZ992" s="551">
        <v>731.96955736862469</v>
      </c>
      <c r="CA992" s="551">
        <v>26729.885379834297</v>
      </c>
      <c r="CB992" s="551">
        <v>3.6189125631132272E-31</v>
      </c>
      <c r="CC992" s="551">
        <v>381.60805220083751</v>
      </c>
      <c r="CD992" s="551">
        <v>512089.58902878198</v>
      </c>
      <c r="CE992" s="551">
        <v>11.392076873642736</v>
      </c>
      <c r="CF992" s="551">
        <v>222.35037235597002</v>
      </c>
      <c r="CG992" s="551">
        <v>178.29626638360247</v>
      </c>
      <c r="CH992" s="551">
        <v>884.20091396421287</v>
      </c>
      <c r="CI992" s="551">
        <v>66.035654216149027</v>
      </c>
      <c r="CJ992" s="551">
        <v>687.91211173109741</v>
      </c>
      <c r="CK992" s="551">
        <v>73523.078456603602</v>
      </c>
      <c r="CL992" s="551"/>
      <c r="CM992" s="551">
        <v>6.3838616927161285</v>
      </c>
      <c r="CN992" s="551">
        <v>16.46955116457023</v>
      </c>
      <c r="CO992" s="551">
        <v>5.7378740048576349</v>
      </c>
      <c r="CP992" s="551">
        <v>2071.8069185211957</v>
      </c>
      <c r="CQ992" s="551"/>
      <c r="CR992" s="551">
        <v>0.19226979654081741</v>
      </c>
      <c r="CS992" s="551">
        <v>0.46688380684046277</v>
      </c>
      <c r="CT992" s="551">
        <v>7.6789202012626676</v>
      </c>
      <c r="CU992" s="551">
        <v>340.2040073343868</v>
      </c>
      <c r="CV992" s="551"/>
      <c r="CW992" s="551">
        <v>2.6303728820604517E-2</v>
      </c>
      <c r="CX992" s="551">
        <v>5.1653406044802584E-2</v>
      </c>
      <c r="CY992" s="554"/>
    </row>
    <row r="993" spans="65:103" ht="12.75" customHeight="1" x14ac:dyDescent="0.3">
      <c r="BM993" s="562"/>
      <c r="BN993" s="591">
        <v>980</v>
      </c>
      <c r="BO993" s="549" t="s">
        <v>3804</v>
      </c>
      <c r="BP993" s="554" t="s">
        <v>619</v>
      </c>
      <c r="BQ993" s="553">
        <v>10.19</v>
      </c>
      <c r="BR993" s="551">
        <v>101573.99584648896</v>
      </c>
      <c r="BS993" s="551"/>
      <c r="BT993" s="551">
        <v>15148093.384875823</v>
      </c>
      <c r="BU993" s="551">
        <v>639900.00378702919</v>
      </c>
      <c r="BV993" s="551">
        <v>213449.46976525238</v>
      </c>
      <c r="BW993" s="551">
        <v>2709.3137009074881</v>
      </c>
      <c r="BX993" s="551">
        <v>742126.24748862139</v>
      </c>
      <c r="BY993" s="551">
        <v>23923939.887986366</v>
      </c>
      <c r="BZ993" s="551">
        <v>274861.57314393384</v>
      </c>
      <c r="CA993" s="551">
        <v>29494.669142703577</v>
      </c>
      <c r="CB993" s="551">
        <v>3.6471755792869899E-30</v>
      </c>
      <c r="CC993" s="551">
        <v>132400.76460992513</v>
      </c>
      <c r="CD993" s="551">
        <v>4421746.3969126102</v>
      </c>
      <c r="CE993" s="551">
        <v>1865.6389477185799</v>
      </c>
      <c r="CF993" s="551">
        <v>936.07579498317909</v>
      </c>
      <c r="CG993" s="551">
        <v>111641.30225437814</v>
      </c>
      <c r="CH993" s="551">
        <v>528861.26172399556</v>
      </c>
      <c r="CI993" s="551">
        <v>41348.630464584479</v>
      </c>
      <c r="CJ993" s="551">
        <v>1282.6138300800148</v>
      </c>
      <c r="CK993" s="551">
        <v>676676.66387630312</v>
      </c>
      <c r="CL993" s="551"/>
      <c r="CM993" s="551">
        <v>28.646283772557144</v>
      </c>
      <c r="CN993" s="551">
        <v>17425.327081816809</v>
      </c>
      <c r="CO993" s="551">
        <v>15.211697457228224</v>
      </c>
      <c r="CP993" s="551">
        <v>21715.067189773185</v>
      </c>
      <c r="CQ993" s="551"/>
      <c r="CR993" s="551">
        <v>0.95399423126623284</v>
      </c>
      <c r="CS993" s="551">
        <v>714.81684288824556</v>
      </c>
      <c r="CT993" s="551">
        <v>25.072177171167258</v>
      </c>
      <c r="CU993" s="551">
        <v>3560.5182032265866</v>
      </c>
      <c r="CV993" s="551"/>
      <c r="CW993" s="551">
        <v>0.1409398328684244</v>
      </c>
      <c r="CX993" s="551">
        <v>93.289081383873338</v>
      </c>
      <c r="CY993" s="554"/>
    </row>
    <row r="994" spans="65:103" ht="12.75" customHeight="1" x14ac:dyDescent="0.3">
      <c r="BM994" s="562"/>
      <c r="BN994" s="591">
        <v>981</v>
      </c>
      <c r="BO994" s="549" t="s">
        <v>3806</v>
      </c>
      <c r="BP994" s="554" t="s">
        <v>619</v>
      </c>
      <c r="BQ994" s="553">
        <v>10.3</v>
      </c>
      <c r="BR994" s="551">
        <v>23262.79835400471</v>
      </c>
      <c r="BS994" s="551"/>
      <c r="BT994" s="551">
        <v>9201572.81721613</v>
      </c>
      <c r="BU994" s="551">
        <v>424121.79879172693</v>
      </c>
      <c r="BV994" s="551">
        <v>2052277.5315418313</v>
      </c>
      <c r="BW994" s="551">
        <v>23982.071035158006</v>
      </c>
      <c r="BX994" s="551">
        <v>3297318.5940922634</v>
      </c>
      <c r="BY994" s="551">
        <v>24029458.484475389</v>
      </c>
      <c r="BZ994" s="551">
        <v>1221229.1089230604</v>
      </c>
      <c r="CA994" s="551">
        <v>4339.5770229000536</v>
      </c>
      <c r="CB994" s="551">
        <v>1.8036728888756359E-30</v>
      </c>
      <c r="CC994" s="551">
        <v>42087.088090142373</v>
      </c>
      <c r="CD994" s="551">
        <v>5841651.4010188049</v>
      </c>
      <c r="CE994" s="551">
        <v>9386.9153644923226</v>
      </c>
      <c r="CF994" s="551">
        <v>16515.880492464326</v>
      </c>
      <c r="CG994" s="551">
        <v>318746.07624566503</v>
      </c>
      <c r="CH994" s="551">
        <v>774552.30156683805</v>
      </c>
      <c r="CI994" s="551">
        <v>118054.10231320921</v>
      </c>
      <c r="CJ994" s="551">
        <v>120.01998012790892</v>
      </c>
      <c r="CK994" s="551">
        <v>2047117.6540373622</v>
      </c>
      <c r="CL994" s="551"/>
      <c r="CM994" s="551">
        <v>1164.4443368480515</v>
      </c>
      <c r="CN994" s="551">
        <v>31641.324316531802</v>
      </c>
      <c r="CO994" s="551">
        <v>3.4123388260671761</v>
      </c>
      <c r="CP994" s="551">
        <v>128927.25558482645</v>
      </c>
      <c r="CQ994" s="551"/>
      <c r="CR994" s="551">
        <v>82.529376611950738</v>
      </c>
      <c r="CS994" s="551">
        <v>798.72749901441057</v>
      </c>
      <c r="CT994" s="551">
        <v>0.71388478481609219</v>
      </c>
      <c r="CU994" s="551">
        <v>23460.932460367818</v>
      </c>
      <c r="CV994" s="551"/>
      <c r="CW994" s="551">
        <v>11.027532535745539</v>
      </c>
      <c r="CX994" s="551">
        <v>106.32306625093706</v>
      </c>
      <c r="CY994" s="554"/>
    </row>
    <row r="995" spans="65:103" ht="12.75" customHeight="1" x14ac:dyDescent="0.3">
      <c r="BM995" s="562"/>
      <c r="BN995" s="591">
        <v>982</v>
      </c>
      <c r="BO995" s="549" t="s">
        <v>3808</v>
      </c>
      <c r="BP995" s="554" t="s">
        <v>619</v>
      </c>
      <c r="BQ995" s="553">
        <v>10.32</v>
      </c>
      <c r="BR995" s="551">
        <v>120602.41896306837</v>
      </c>
      <c r="BS995" s="551"/>
      <c r="BT995" s="551">
        <v>3095098.9481795514</v>
      </c>
      <c r="BU995" s="551">
        <v>110676.12064200611</v>
      </c>
      <c r="BV995" s="551">
        <v>106796.87611267649</v>
      </c>
      <c r="BW995" s="551">
        <v>1101.2071315902863</v>
      </c>
      <c r="BX995" s="551">
        <v>4638.9379934382559</v>
      </c>
      <c r="BY995" s="551">
        <v>21057683.392118171</v>
      </c>
      <c r="BZ995" s="551">
        <v>1718.1251827549097</v>
      </c>
      <c r="CA995" s="551">
        <v>19467.060659541876</v>
      </c>
      <c r="CB995" s="551">
        <v>4.5473691334117409E-31</v>
      </c>
      <c r="CC995" s="551">
        <v>680.03067317612067</v>
      </c>
      <c r="CD995" s="551">
        <v>678893.7705097046</v>
      </c>
      <c r="CE995" s="551">
        <v>23.464565357022344</v>
      </c>
      <c r="CF995" s="551">
        <v>337.74343432930198</v>
      </c>
      <c r="CG995" s="551">
        <v>389.5239731084975</v>
      </c>
      <c r="CH995" s="551">
        <v>1894.5284183080034</v>
      </c>
      <c r="CI995" s="551">
        <v>144.26813818833236</v>
      </c>
      <c r="CJ995" s="551">
        <v>465.73726954953122</v>
      </c>
      <c r="CK995" s="551">
        <v>97753.988216167127</v>
      </c>
      <c r="CL995" s="551"/>
      <c r="CM995" s="551">
        <v>9.7249386782586011</v>
      </c>
      <c r="CN995" s="551">
        <v>33.448639457151884</v>
      </c>
      <c r="CO995" s="551">
        <v>3.6012796981676081</v>
      </c>
      <c r="CP995" s="551">
        <v>2704.1374001360141</v>
      </c>
      <c r="CQ995" s="551"/>
      <c r="CR995" s="551">
        <v>0.28988877006163849</v>
      </c>
      <c r="CS995" s="551">
        <v>0.87660335941462031</v>
      </c>
      <c r="CT995" s="551">
        <v>4.8272799403351456</v>
      </c>
      <c r="CU995" s="551">
        <v>452.6477311916542</v>
      </c>
      <c r="CV995" s="551"/>
      <c r="CW995" s="551">
        <v>3.9585538149074818E-2</v>
      </c>
      <c r="CX995" s="551">
        <v>9.7474167986397159E-2</v>
      </c>
      <c r="CY995" s="554"/>
    </row>
    <row r="996" spans="65:103" ht="12.75" customHeight="1" x14ac:dyDescent="0.3">
      <c r="BM996" s="562"/>
      <c r="BN996" s="591">
        <v>983</v>
      </c>
      <c r="BO996" s="549" t="s">
        <v>3810</v>
      </c>
      <c r="BP996" s="554" t="s">
        <v>619</v>
      </c>
      <c r="BQ996" s="553">
        <v>10.36</v>
      </c>
      <c r="BR996" s="551">
        <v>220875.63018857635</v>
      </c>
      <c r="BS996" s="551"/>
      <c r="BT996" s="551">
        <v>1620881.7191436281</v>
      </c>
      <c r="BU996" s="551">
        <v>58093.819248527034</v>
      </c>
      <c r="BV996" s="551">
        <v>224786.95056053082</v>
      </c>
      <c r="BW996" s="551">
        <v>2110.9713692619598</v>
      </c>
      <c r="BX996" s="551">
        <v>7752.1176759352638</v>
      </c>
      <c r="BY996" s="551">
        <v>35633784.373617508</v>
      </c>
      <c r="BZ996" s="551">
        <v>2871.1546947908391</v>
      </c>
      <c r="CA996" s="551">
        <v>117723.73558946278</v>
      </c>
      <c r="CB996" s="551">
        <v>9.9705904380016774E-31</v>
      </c>
      <c r="CC996" s="551">
        <v>1193.791320422094</v>
      </c>
      <c r="CD996" s="551">
        <v>982093.65743802988</v>
      </c>
      <c r="CE996" s="551">
        <v>165.55724415541599</v>
      </c>
      <c r="CF996" s="551">
        <v>1784.3306048758441</v>
      </c>
      <c r="CG996" s="551">
        <v>2380.375898512782</v>
      </c>
      <c r="CH996" s="551">
        <v>14457.937218120638</v>
      </c>
      <c r="CI996" s="551">
        <v>881.62070315288236</v>
      </c>
      <c r="CJ996" s="551">
        <v>9482.3699135029001</v>
      </c>
      <c r="CK996" s="551">
        <v>372693.29211255402</v>
      </c>
      <c r="CL996" s="551"/>
      <c r="CM996" s="551">
        <v>136.23462924811992</v>
      </c>
      <c r="CN996" s="551">
        <v>688.18001839857266</v>
      </c>
      <c r="CO996" s="551">
        <v>242.32004728114066</v>
      </c>
      <c r="CP996" s="551">
        <v>35035.69376519473</v>
      </c>
      <c r="CQ996" s="551"/>
      <c r="CR996" s="551">
        <v>13.955922196030269</v>
      </c>
      <c r="CS996" s="551">
        <v>55.873603106897761</v>
      </c>
      <c r="CT996" s="551">
        <v>342.96972353209884</v>
      </c>
      <c r="CU996" s="551">
        <v>4737.2405330506253</v>
      </c>
      <c r="CV996" s="551"/>
      <c r="CW996" s="551">
        <v>1.4988302129947741</v>
      </c>
      <c r="CX996" s="551">
        <v>7.2604005068927693</v>
      </c>
      <c r="CY996" s="554"/>
    </row>
    <row r="997" spans="65:103" ht="12.75" customHeight="1" x14ac:dyDescent="0.3">
      <c r="BM997" s="562"/>
      <c r="BN997" s="591">
        <v>984</v>
      </c>
      <c r="BO997" s="549" t="s">
        <v>3812</v>
      </c>
      <c r="BP997" s="554" t="s">
        <v>619</v>
      </c>
      <c r="BQ997" s="553">
        <v>10.36</v>
      </c>
      <c r="BR997" s="551">
        <v>191069.57005936885</v>
      </c>
      <c r="BS997" s="551"/>
      <c r="BT997" s="551">
        <v>2825042.671660888</v>
      </c>
      <c r="BU997" s="551">
        <v>100148.6875973053</v>
      </c>
      <c r="BV997" s="551">
        <v>116662.38140852557</v>
      </c>
      <c r="BW997" s="551">
        <v>1178.0961213945825</v>
      </c>
      <c r="BX997" s="551">
        <v>7290.8111604403111</v>
      </c>
      <c r="BY997" s="551">
        <v>20945002.389813486</v>
      </c>
      <c r="BZ997" s="551">
        <v>2700.3004297927064</v>
      </c>
      <c r="CA997" s="551">
        <v>53298.759198399966</v>
      </c>
      <c r="CB997" s="551">
        <v>1.1291313204370281E-30</v>
      </c>
      <c r="CC997" s="551">
        <v>1580.7570700851118</v>
      </c>
      <c r="CD997" s="551">
        <v>765678.48376837478</v>
      </c>
      <c r="CE997" s="551">
        <v>65.278619000849375</v>
      </c>
      <c r="CF997" s="551">
        <v>450.35180869763002</v>
      </c>
      <c r="CG997" s="551">
        <v>1059.6213304626549</v>
      </c>
      <c r="CH997" s="551">
        <v>5079.4697669277666</v>
      </c>
      <c r="CI997" s="551">
        <v>392.4523446157981</v>
      </c>
      <c r="CJ997" s="551">
        <v>2210.0142540089951</v>
      </c>
      <c r="CK997" s="551">
        <v>119083.96610141484</v>
      </c>
      <c r="CL997" s="551"/>
      <c r="CM997" s="551">
        <v>14.006358172494629</v>
      </c>
      <c r="CN997" s="551">
        <v>157.70022886623207</v>
      </c>
      <c r="CO997" s="551">
        <v>28.958891994080059</v>
      </c>
      <c r="CP997" s="551">
        <v>4454.023031569277</v>
      </c>
      <c r="CQ997" s="551"/>
      <c r="CR997" s="551">
        <v>0.57106145590491741</v>
      </c>
      <c r="CS997" s="551">
        <v>6.9618439519070172</v>
      </c>
      <c r="CT997" s="551">
        <v>40.288592372090228</v>
      </c>
      <c r="CU997" s="551">
        <v>621.36054239926057</v>
      </c>
      <c r="CV997" s="551"/>
      <c r="CW997" s="551">
        <v>6.3116007746000125E-2</v>
      </c>
      <c r="CX997" s="551">
        <v>0.81037132550106017</v>
      </c>
      <c r="CY997" s="554"/>
    </row>
    <row r="998" spans="65:103" ht="12.75" customHeight="1" x14ac:dyDescent="0.3">
      <c r="BM998" s="562"/>
      <c r="BN998" s="591">
        <v>985</v>
      </c>
      <c r="BO998" s="549" t="s">
        <v>3814</v>
      </c>
      <c r="BP998" s="554" t="s">
        <v>619</v>
      </c>
      <c r="BQ998" s="553">
        <v>10.4</v>
      </c>
      <c r="BR998" s="551">
        <v>22017.341484056618</v>
      </c>
      <c r="BS998" s="551"/>
      <c r="BT998" s="551">
        <v>377089.58088211354</v>
      </c>
      <c r="BU998" s="551">
        <v>9375.2500796276981</v>
      </c>
      <c r="BV998" s="551">
        <v>41499848.222505055</v>
      </c>
      <c r="BW998" s="551">
        <v>476706.96138559474</v>
      </c>
      <c r="BX998" s="551">
        <v>165619.68002149175</v>
      </c>
      <c r="BY998" s="551">
        <v>11243717.945689868</v>
      </c>
      <c r="BZ998" s="551">
        <v>61340.622230182104</v>
      </c>
      <c r="CA998" s="551">
        <v>4368.8016894472557</v>
      </c>
      <c r="CB998" s="551">
        <v>1.675325537842579E-31</v>
      </c>
      <c r="CC998" s="551">
        <v>97.994565617618434</v>
      </c>
      <c r="CD998" s="551">
        <v>126990.8812983461</v>
      </c>
      <c r="CE998" s="551">
        <v>10784.598159005713</v>
      </c>
      <c r="CF998" s="551">
        <v>322857.71917146206</v>
      </c>
      <c r="CG998" s="551">
        <v>17030.854104898655</v>
      </c>
      <c r="CH998" s="551">
        <v>38299.965914722685</v>
      </c>
      <c r="CI998" s="551">
        <v>6307.7237425550575</v>
      </c>
      <c r="CJ998" s="551">
        <v>128.67518396729551</v>
      </c>
      <c r="CK998" s="551">
        <v>42943.204897312484</v>
      </c>
      <c r="CL998" s="551"/>
      <c r="CM998" s="551">
        <v>20772.698192195323</v>
      </c>
      <c r="CN998" s="551">
        <v>1800.4147004087338</v>
      </c>
      <c r="CO998" s="551">
        <v>3.2684302144113717</v>
      </c>
      <c r="CP998" s="551">
        <v>2378.6137521819051</v>
      </c>
      <c r="CQ998" s="551"/>
      <c r="CR998" s="551">
        <v>2580.1952646295081</v>
      </c>
      <c r="CS998" s="551">
        <v>128.93022818983079</v>
      </c>
      <c r="CT998" s="551">
        <v>1.2589591507512201</v>
      </c>
      <c r="CU998" s="551">
        <v>492.58480425043763</v>
      </c>
      <c r="CV998" s="551"/>
      <c r="CW998" s="551">
        <v>116.49569847034812</v>
      </c>
      <c r="CX998" s="551">
        <v>4.3589837431852798</v>
      </c>
      <c r="CY998" s="554"/>
    </row>
    <row r="999" spans="65:103" ht="12.75" customHeight="1" x14ac:dyDescent="0.3">
      <c r="BM999" s="562"/>
      <c r="BN999" s="591">
        <v>986</v>
      </c>
      <c r="BO999" s="549" t="s">
        <v>3820</v>
      </c>
      <c r="BP999" s="554" t="s">
        <v>619</v>
      </c>
      <c r="BQ999" s="553">
        <v>10.41</v>
      </c>
      <c r="BR999" s="551">
        <v>39239.738479426604</v>
      </c>
      <c r="BS999" s="551"/>
      <c r="BT999" s="551">
        <v>401205.54701992637</v>
      </c>
      <c r="BU999" s="551">
        <v>10204.929457532984</v>
      </c>
      <c r="BV999" s="551">
        <v>32892583.214215294</v>
      </c>
      <c r="BW999" s="551">
        <v>382292.52512312063</v>
      </c>
      <c r="BX999" s="551">
        <v>25449.735564586568</v>
      </c>
      <c r="BY999" s="551">
        <v>9190903.2129960172</v>
      </c>
      <c r="BZ999" s="551">
        <v>9425.8279868839163</v>
      </c>
      <c r="CA999" s="551">
        <v>9843.0353840383905</v>
      </c>
      <c r="CB999" s="551">
        <v>4.4362041258853016E-32</v>
      </c>
      <c r="CC999" s="551">
        <v>26.448607974917852</v>
      </c>
      <c r="CD999" s="551">
        <v>80987.190150702692</v>
      </c>
      <c r="CE999" s="551">
        <v>2168.3724095468106</v>
      </c>
      <c r="CF999" s="551">
        <v>151695.30350101585</v>
      </c>
      <c r="CG999" s="551">
        <v>3349.9807099039649</v>
      </c>
      <c r="CH999" s="551">
        <v>12094.139597704674</v>
      </c>
      <c r="CI999" s="551">
        <v>1240.7335962607276</v>
      </c>
      <c r="CJ999" s="551">
        <v>368.10544835027935</v>
      </c>
      <c r="CK999" s="551">
        <v>19851.061417855879</v>
      </c>
      <c r="CL999" s="551"/>
      <c r="CM999" s="551">
        <v>7166.4233279729988</v>
      </c>
      <c r="CN999" s="551">
        <v>449.66507823154865</v>
      </c>
      <c r="CO999" s="551">
        <v>4.5571085148256252</v>
      </c>
      <c r="CP999" s="551">
        <v>891.39700445485357</v>
      </c>
      <c r="CQ999" s="551"/>
      <c r="CR999" s="551">
        <v>709.50827664761323</v>
      </c>
      <c r="CS999" s="551">
        <v>18.86286994040535</v>
      </c>
      <c r="CT999" s="551">
        <v>6.0203932408463094</v>
      </c>
      <c r="CU999" s="551">
        <v>162.99872034156459</v>
      </c>
      <c r="CV999" s="551"/>
      <c r="CW999" s="551">
        <v>28.924958697008851</v>
      </c>
      <c r="CX999" s="551">
        <v>2.0178926173186023</v>
      </c>
      <c r="CY999" s="554"/>
    </row>
    <row r="1000" spans="65:103" ht="12.75" customHeight="1" x14ac:dyDescent="0.3">
      <c r="BM1000" s="562"/>
      <c r="BN1000" s="591">
        <v>987</v>
      </c>
      <c r="BO1000" s="549" t="s">
        <v>3816</v>
      </c>
      <c r="BP1000" s="554" t="s">
        <v>619</v>
      </c>
      <c r="BQ1000" s="553">
        <v>10.41</v>
      </c>
      <c r="BR1000" s="551">
        <v>59052.443169040547</v>
      </c>
      <c r="BS1000" s="551"/>
      <c r="BT1000" s="551">
        <v>783805.5489679029</v>
      </c>
      <c r="BU1000" s="551">
        <v>25486.969946141813</v>
      </c>
      <c r="BV1000" s="551">
        <v>12488097.123741658</v>
      </c>
      <c r="BW1000" s="551">
        <v>168000.18289355998</v>
      </c>
      <c r="BX1000" s="551">
        <v>31848.553665658663</v>
      </c>
      <c r="BY1000" s="551">
        <v>10119250.272266718</v>
      </c>
      <c r="BZ1000" s="551">
        <v>11795.760616910615</v>
      </c>
      <c r="CA1000" s="551">
        <v>15543.412493342199</v>
      </c>
      <c r="CB1000" s="551">
        <v>1.17199366603462E-31</v>
      </c>
      <c r="CC1000" s="551">
        <v>121.53569077818696</v>
      </c>
      <c r="CD1000" s="551">
        <v>164332.95319130647</v>
      </c>
      <c r="CE1000" s="551">
        <v>1936.385258355941</v>
      </c>
      <c r="CF1000" s="551">
        <v>54160.94233625754</v>
      </c>
      <c r="CG1000" s="551">
        <v>4403.9491324623095</v>
      </c>
      <c r="CH1000" s="551">
        <v>16425.852317019806</v>
      </c>
      <c r="CI1000" s="551">
        <v>1631.0922712823374</v>
      </c>
      <c r="CJ1000" s="551">
        <v>609.20734891933625</v>
      </c>
      <c r="CK1000" s="551">
        <v>26073.264596573914</v>
      </c>
      <c r="CL1000" s="551"/>
      <c r="CM1000" s="551">
        <v>1707.2048207092828</v>
      </c>
      <c r="CN1000" s="551">
        <v>619.53337956459291</v>
      </c>
      <c r="CO1000" s="551">
        <v>7.7359858236037127</v>
      </c>
      <c r="CP1000" s="551">
        <v>902.91453263763276</v>
      </c>
      <c r="CQ1000" s="551"/>
      <c r="CR1000" s="551">
        <v>120.90303303741294</v>
      </c>
      <c r="CS1000" s="551">
        <v>25.749190281551819</v>
      </c>
      <c r="CT1000" s="551">
        <v>10.467098613633192</v>
      </c>
      <c r="CU1000" s="551">
        <v>135.28814397257537</v>
      </c>
      <c r="CV1000" s="551"/>
      <c r="CW1000" s="551">
        <v>4.4846189274557959</v>
      </c>
      <c r="CX1000" s="551">
        <v>2.9593543511153437</v>
      </c>
      <c r="CY1000" s="554"/>
    </row>
    <row r="1001" spans="65:103" ht="12.75" customHeight="1" x14ac:dyDescent="0.3">
      <c r="BM1001" s="562"/>
      <c r="BN1001" s="591">
        <v>988</v>
      </c>
      <c r="BO1001" s="549" t="s">
        <v>3826</v>
      </c>
      <c r="BP1001" s="554" t="s">
        <v>619</v>
      </c>
      <c r="BQ1001" s="553">
        <v>10.41</v>
      </c>
      <c r="BR1001" s="551">
        <v>140987.64803800592</v>
      </c>
      <c r="BS1001" s="551"/>
      <c r="BT1001" s="551">
        <v>1762619.2536495714</v>
      </c>
      <c r="BU1001" s="551">
        <v>61698.397367278929</v>
      </c>
      <c r="BV1001" s="551">
        <v>266447.04884520621</v>
      </c>
      <c r="BW1001" s="551">
        <v>2334.2516800282733</v>
      </c>
      <c r="BX1001" s="551">
        <v>11486.530145178682</v>
      </c>
      <c r="BY1001" s="551">
        <v>15217651.908771709</v>
      </c>
      <c r="BZ1001" s="551">
        <v>4254.2704241402516</v>
      </c>
      <c r="CA1001" s="551">
        <v>44453.424870549068</v>
      </c>
      <c r="CB1001" s="551">
        <v>6.5939320663064985E-31</v>
      </c>
      <c r="CC1001" s="551">
        <v>870.59627589868774</v>
      </c>
      <c r="CD1001" s="551">
        <v>462185.27791949699</v>
      </c>
      <c r="CE1001" s="551">
        <v>131.60403641826446</v>
      </c>
      <c r="CF1001" s="551">
        <v>874.29885337676524</v>
      </c>
      <c r="CG1001" s="551">
        <v>1901.1961664327853</v>
      </c>
      <c r="CH1001" s="551">
        <v>8521.7982318813611</v>
      </c>
      <c r="CI1001" s="551">
        <v>704.14672830843881</v>
      </c>
      <c r="CJ1001" s="551">
        <v>2088.1265710850485</v>
      </c>
      <c r="CK1001" s="551">
        <v>72534.272487778682</v>
      </c>
      <c r="CL1001" s="551"/>
      <c r="CM1001" s="551">
        <v>27.437329651096938</v>
      </c>
      <c r="CN1001" s="551">
        <v>320.53996017568903</v>
      </c>
      <c r="CO1001" s="551">
        <v>31.086419916455434</v>
      </c>
      <c r="CP1001" s="551">
        <v>3028.0575967102077</v>
      </c>
      <c r="CQ1001" s="551"/>
      <c r="CR1001" s="551">
        <v>1.4359529943453029</v>
      </c>
      <c r="CS1001" s="551">
        <v>15.491485071301181</v>
      </c>
      <c r="CT1001" s="551">
        <v>43.29081915827652</v>
      </c>
      <c r="CU1001" s="551">
        <v>386.98850081009766</v>
      </c>
      <c r="CV1001" s="551"/>
      <c r="CW1001" s="551">
        <v>0.10555435381255253</v>
      </c>
      <c r="CX1001" s="551">
        <v>1.8958305547090399</v>
      </c>
      <c r="CY1001" s="554"/>
    </row>
    <row r="1002" spans="65:103" ht="12.75" customHeight="1" x14ac:dyDescent="0.3">
      <c r="BM1002" s="562"/>
      <c r="BN1002" s="591">
        <v>989</v>
      </c>
      <c r="BO1002" s="549" t="s">
        <v>3818</v>
      </c>
      <c r="BP1002" s="554" t="s">
        <v>619</v>
      </c>
      <c r="BQ1002" s="553">
        <v>10.41</v>
      </c>
      <c r="BR1002" s="551">
        <v>143406.53004011104</v>
      </c>
      <c r="BS1002" s="551"/>
      <c r="BT1002" s="551">
        <v>3510986.0739856376</v>
      </c>
      <c r="BU1002" s="551">
        <v>135363.72025167951</v>
      </c>
      <c r="BV1002" s="551">
        <v>295836.69299799827</v>
      </c>
      <c r="BW1002" s="551">
        <v>3047.9410749560311</v>
      </c>
      <c r="BX1002" s="551">
        <v>28530.617151654995</v>
      </c>
      <c r="BY1002" s="551">
        <v>17698503.352342419</v>
      </c>
      <c r="BZ1002" s="551">
        <v>10566.895241353704</v>
      </c>
      <c r="CA1002" s="551">
        <v>42401.254143462771</v>
      </c>
      <c r="CB1002" s="551">
        <v>1.2702813058179082E-30</v>
      </c>
      <c r="CC1002" s="551">
        <v>2979.1676773220684</v>
      </c>
      <c r="CD1002" s="551">
        <v>1010310.6125584979</v>
      </c>
      <c r="CE1002" s="551">
        <v>251.02552245244081</v>
      </c>
      <c r="CF1002" s="551">
        <v>1137.4418524977068</v>
      </c>
      <c r="CG1002" s="551">
        <v>4413.4063564466105</v>
      </c>
      <c r="CH1002" s="551">
        <v>19437.478046617707</v>
      </c>
      <c r="CI1002" s="551">
        <v>1634.5949468320778</v>
      </c>
      <c r="CJ1002" s="551">
        <v>1865.7644069197956</v>
      </c>
      <c r="CK1002" s="551">
        <v>156730.44806431749</v>
      </c>
      <c r="CL1002" s="551"/>
      <c r="CM1002" s="551">
        <v>35.284930889640378</v>
      </c>
      <c r="CN1002" s="551">
        <v>697.0367450557851</v>
      </c>
      <c r="CO1002" s="551">
        <v>26.020453307836792</v>
      </c>
      <c r="CP1002" s="551">
        <v>5486.2891104795435</v>
      </c>
      <c r="CQ1002" s="551"/>
      <c r="CR1002" s="551">
        <v>1.4351052741432186</v>
      </c>
      <c r="CS1002" s="551">
        <v>32.348412139781544</v>
      </c>
      <c r="CT1002" s="551">
        <v>35.98967636860349</v>
      </c>
      <c r="CU1002" s="551">
        <v>836.37990425025407</v>
      </c>
      <c r="CV1002" s="551"/>
      <c r="CW1002" s="551">
        <v>0.14869037005305957</v>
      </c>
      <c r="CX1002" s="551">
        <v>3.7867712157420068</v>
      </c>
      <c r="CY1002" s="554"/>
    </row>
    <row r="1003" spans="65:103" ht="12.75" customHeight="1" x14ac:dyDescent="0.3">
      <c r="BM1003" s="562"/>
      <c r="BN1003" s="591">
        <v>990</v>
      </c>
      <c r="BO1003" s="549" t="s">
        <v>3824</v>
      </c>
      <c r="BP1003" s="554" t="s">
        <v>619</v>
      </c>
      <c r="BQ1003" s="553">
        <v>10.41</v>
      </c>
      <c r="BR1003" s="551">
        <v>47810.623278477884</v>
      </c>
      <c r="BS1003" s="551"/>
      <c r="BT1003" s="551">
        <v>14110123.554906145</v>
      </c>
      <c r="BU1003" s="551">
        <v>646657.73460180638</v>
      </c>
      <c r="BV1003" s="551">
        <v>1726060.9244917687</v>
      </c>
      <c r="BW1003" s="551">
        <v>20938.467747647421</v>
      </c>
      <c r="BX1003" s="551">
        <v>1875709.0785457671</v>
      </c>
      <c r="BY1003" s="551">
        <v>48347143.206276491</v>
      </c>
      <c r="BZ1003" s="551">
        <v>694707.06612806162</v>
      </c>
      <c r="CA1003" s="551">
        <v>11271.850938407966</v>
      </c>
      <c r="CB1003" s="551">
        <v>1.2510241773209297E-30</v>
      </c>
      <c r="CC1003" s="551">
        <v>41988.663255705782</v>
      </c>
      <c r="CD1003" s="551">
        <v>8171218.6273703659</v>
      </c>
      <c r="CE1003" s="551">
        <v>5136.3824445121354</v>
      </c>
      <c r="CF1003" s="551">
        <v>13229.007288803583</v>
      </c>
      <c r="CG1003" s="551">
        <v>229440.62431299148</v>
      </c>
      <c r="CH1003" s="551">
        <v>685353.85919998097</v>
      </c>
      <c r="CI1003" s="551">
        <v>84978.009004811625</v>
      </c>
      <c r="CJ1003" s="551">
        <v>396.57364856761222</v>
      </c>
      <c r="CK1003" s="551">
        <v>2846569.5717146625</v>
      </c>
      <c r="CL1003" s="551"/>
      <c r="CM1003" s="551">
        <v>927.20651036427967</v>
      </c>
      <c r="CN1003" s="551">
        <v>28973.60847184866</v>
      </c>
      <c r="CO1003" s="551">
        <v>3.9960093906876923</v>
      </c>
      <c r="CP1003" s="551">
        <v>179426.10008845563</v>
      </c>
      <c r="CQ1003" s="551"/>
      <c r="CR1003" s="551">
        <v>63.220990000854222</v>
      </c>
      <c r="CS1003" s="551">
        <v>1183.8436840800805</v>
      </c>
      <c r="CT1003" s="551">
        <v>6.2417835894532914</v>
      </c>
      <c r="CU1003" s="551">
        <v>32514.148972540297</v>
      </c>
      <c r="CV1003" s="551"/>
      <c r="CW1003" s="551">
        <v>9.2692281917753245</v>
      </c>
      <c r="CX1003" s="551">
        <v>113.25933473515549</v>
      </c>
      <c r="CY1003" s="554"/>
    </row>
    <row r="1004" spans="65:103" ht="12.75" customHeight="1" x14ac:dyDescent="0.3">
      <c r="BM1004" s="562"/>
      <c r="BN1004" s="591">
        <v>991</v>
      </c>
      <c r="BO1004" s="549" t="s">
        <v>3822</v>
      </c>
      <c r="BP1004" s="554" t="s">
        <v>619</v>
      </c>
      <c r="BQ1004" s="553">
        <v>10.41</v>
      </c>
      <c r="BR1004" s="551">
        <v>250997.80543672541</v>
      </c>
      <c r="BS1004" s="551"/>
      <c r="BT1004" s="551">
        <v>2618651.9935339992</v>
      </c>
      <c r="BU1004" s="551">
        <v>91577.366871735852</v>
      </c>
      <c r="BV1004" s="551">
        <v>110465.3952583613</v>
      </c>
      <c r="BW1004" s="551">
        <v>1098.7374942856641</v>
      </c>
      <c r="BX1004" s="551">
        <v>7867.0946562441532</v>
      </c>
      <c r="BY1004" s="551">
        <v>20947630.660153225</v>
      </c>
      <c r="BZ1004" s="551">
        <v>2913.738761571909</v>
      </c>
      <c r="CA1004" s="551">
        <v>97214.153848467511</v>
      </c>
      <c r="CB1004" s="551">
        <v>1.8217238237657511E-30</v>
      </c>
      <c r="CC1004" s="551">
        <v>2357.3039403525163</v>
      </c>
      <c r="CD1004" s="551">
        <v>864477.11603456631</v>
      </c>
      <c r="CE1004" s="551">
        <v>99.440671062102524</v>
      </c>
      <c r="CF1004" s="551">
        <v>518.59616234077941</v>
      </c>
      <c r="CG1004" s="551">
        <v>1587.8599029853656</v>
      </c>
      <c r="CH1004" s="551">
        <v>7612.9720628791529</v>
      </c>
      <c r="CI1004" s="551">
        <v>588.09626036495013</v>
      </c>
      <c r="CJ1004" s="551">
        <v>5625.93847688387</v>
      </c>
      <c r="CK1004" s="551">
        <v>147867.70276681209</v>
      </c>
      <c r="CL1004" s="551"/>
      <c r="CM1004" s="551">
        <v>17.738442559804451</v>
      </c>
      <c r="CN1004" s="551">
        <v>329.82328694990224</v>
      </c>
      <c r="CO1004" s="551">
        <v>101.37399455194372</v>
      </c>
      <c r="CP1004" s="551">
        <v>8368.8710071785408</v>
      </c>
      <c r="CQ1004" s="551"/>
      <c r="CR1004" s="551">
        <v>1.0959941244359339</v>
      </c>
      <c r="CS1004" s="551">
        <v>19.998255281503504</v>
      </c>
      <c r="CT1004" s="551">
        <v>145.01383332612124</v>
      </c>
      <c r="CU1004" s="551">
        <v>925.39198931107558</v>
      </c>
      <c r="CV1004" s="551"/>
      <c r="CW1004" s="551">
        <v>9.5658330168737413E-2</v>
      </c>
      <c r="CX1004" s="551">
        <v>2.3980562057418298</v>
      </c>
      <c r="CY1004" s="554"/>
    </row>
    <row r="1005" spans="65:103" ht="12.75" customHeight="1" x14ac:dyDescent="0.3">
      <c r="BM1005" s="562"/>
      <c r="BN1005" s="591">
        <v>992</v>
      </c>
      <c r="BO1005" s="549" t="s">
        <v>3828</v>
      </c>
      <c r="BP1005" s="554" t="s">
        <v>619</v>
      </c>
      <c r="BQ1005" s="553">
        <v>10.6</v>
      </c>
      <c r="BR1005" s="551">
        <v>6675.4834234055197</v>
      </c>
      <c r="BS1005" s="551"/>
      <c r="BT1005" s="551">
        <v>9063387.8908689469</v>
      </c>
      <c r="BU1005" s="551">
        <v>436840.63076245022</v>
      </c>
      <c r="BV1005" s="551">
        <v>949946.20982346078</v>
      </c>
      <c r="BW1005" s="551">
        <v>12443.919755276993</v>
      </c>
      <c r="BX1005" s="551">
        <v>879485.6882286839</v>
      </c>
      <c r="BY1005" s="551">
        <v>6693685.3167864317</v>
      </c>
      <c r="BZ1005" s="551">
        <v>325735.44008469762</v>
      </c>
      <c r="CA1005" s="551">
        <v>617.08594562086341</v>
      </c>
      <c r="CB1005" s="551">
        <v>4.6113279983754976E-31</v>
      </c>
      <c r="CC1005" s="551">
        <v>20563.376822597827</v>
      </c>
      <c r="CD1005" s="551">
        <v>12891585.913192336</v>
      </c>
      <c r="CE1005" s="551">
        <v>2155.275941955254</v>
      </c>
      <c r="CF1005" s="551">
        <v>18361.600241033964</v>
      </c>
      <c r="CG1005" s="551">
        <v>42129.857652903105</v>
      </c>
      <c r="CH1005" s="551">
        <v>103399.88805422463</v>
      </c>
      <c r="CI1005" s="551">
        <v>15603.65098255671</v>
      </c>
      <c r="CJ1005" s="551">
        <v>8.4545666608129935</v>
      </c>
      <c r="CK1005" s="551">
        <v>18474346.285911579</v>
      </c>
      <c r="CL1005" s="551"/>
      <c r="CM1005" s="551">
        <v>5311.2488831626479</v>
      </c>
      <c r="CN1005" s="551">
        <v>2071.759526594868</v>
      </c>
      <c r="CO1005" s="551">
        <v>0.11193526287258967</v>
      </c>
      <c r="CP1005" s="551">
        <v>4063856.0088485307</v>
      </c>
      <c r="CQ1005" s="551"/>
      <c r="CR1005" s="551">
        <v>1185.488091966979</v>
      </c>
      <c r="CS1005" s="551">
        <v>29.78919433066244</v>
      </c>
      <c r="CT1005" s="551">
        <v>3.6460465825945462E-2</v>
      </c>
      <c r="CU1005" s="551">
        <v>986435.58958079177</v>
      </c>
      <c r="CV1005" s="551"/>
      <c r="CW1005" s="551">
        <v>276.10581629138818</v>
      </c>
      <c r="CX1005" s="551">
        <v>3.5978945181158801</v>
      </c>
      <c r="CY1005" s="554"/>
    </row>
    <row r="1006" spans="65:103" ht="12.75" customHeight="1" x14ac:dyDescent="0.3">
      <c r="BM1006" s="562"/>
      <c r="BN1006" s="591">
        <v>993</v>
      </c>
      <c r="BO1006" s="549" t="s">
        <v>3830</v>
      </c>
      <c r="BP1006" s="554" t="s">
        <v>619</v>
      </c>
      <c r="BQ1006" s="553">
        <v>10.62</v>
      </c>
      <c r="BR1006" s="551">
        <v>97127.881416545599</v>
      </c>
      <c r="BS1006" s="551"/>
      <c r="BT1006" s="551">
        <v>16677020.488611961</v>
      </c>
      <c r="BU1006" s="551">
        <v>699452.35229005478</v>
      </c>
      <c r="BV1006" s="551">
        <v>187096.74579022039</v>
      </c>
      <c r="BW1006" s="551">
        <v>2373.0136338620068</v>
      </c>
      <c r="BX1006" s="551">
        <v>91746.466981493169</v>
      </c>
      <c r="BY1006" s="551">
        <v>19095475.300990533</v>
      </c>
      <c r="BZ1006" s="551">
        <v>33980.172956108574</v>
      </c>
      <c r="CA1006" s="551">
        <v>18383.703596653875</v>
      </c>
      <c r="CB1006" s="551">
        <v>1.1401538288183229E-30</v>
      </c>
      <c r="CC1006" s="551">
        <v>20801.299202958151</v>
      </c>
      <c r="CD1006" s="551">
        <v>4145862.1167961443</v>
      </c>
      <c r="CE1006" s="551">
        <v>233.36634932719321</v>
      </c>
      <c r="CF1006" s="551">
        <v>703.27787840432256</v>
      </c>
      <c r="CG1006" s="551">
        <v>8976.755966035973</v>
      </c>
      <c r="CH1006" s="551">
        <v>51737.107147887524</v>
      </c>
      <c r="CI1006" s="551">
        <v>3324.7244318651756</v>
      </c>
      <c r="CJ1006" s="551">
        <v>516.14743976763168</v>
      </c>
      <c r="CK1006" s="551">
        <v>596279.36036548414</v>
      </c>
      <c r="CL1006" s="551"/>
      <c r="CM1006" s="551">
        <v>20.22703240925058</v>
      </c>
      <c r="CN1006" s="551">
        <v>904.61512050225269</v>
      </c>
      <c r="CO1006" s="551">
        <v>4.57417120993121</v>
      </c>
      <c r="CP1006" s="551">
        <v>16226.878892820054</v>
      </c>
      <c r="CQ1006" s="551"/>
      <c r="CR1006" s="551">
        <v>0.56798741100966754</v>
      </c>
      <c r="CS1006" s="551">
        <v>26.880365854011639</v>
      </c>
      <c r="CT1006" s="551">
        <v>6.2416009942706872</v>
      </c>
      <c r="CU1006" s="551">
        <v>2769.2081598263831</v>
      </c>
      <c r="CV1006" s="551"/>
      <c r="CW1006" s="551">
        <v>8.8709812618114087E-2</v>
      </c>
      <c r="CX1006" s="551">
        <v>3.0790430162265978</v>
      </c>
      <c r="CY1006" s="554"/>
    </row>
    <row r="1007" spans="65:103" ht="12.75" customHeight="1" x14ac:dyDescent="0.3">
      <c r="BM1007" s="562"/>
      <c r="BN1007" s="591">
        <v>994</v>
      </c>
      <c r="BO1007" s="549" t="s">
        <v>3832</v>
      </c>
      <c r="BP1007" s="554" t="s">
        <v>619</v>
      </c>
      <c r="BQ1007" s="553">
        <v>10.63</v>
      </c>
      <c r="BR1007" s="551">
        <v>84443.418893909446</v>
      </c>
      <c r="BS1007" s="551"/>
      <c r="BT1007" s="551">
        <v>10099274.795634242</v>
      </c>
      <c r="BU1007" s="551">
        <v>422016.35145107436</v>
      </c>
      <c r="BV1007" s="551">
        <v>522296.48072369117</v>
      </c>
      <c r="BW1007" s="551">
        <v>6109.2565547756458</v>
      </c>
      <c r="BX1007" s="551">
        <v>159926.9608489183</v>
      </c>
      <c r="BY1007" s="551">
        <v>24087891.390131544</v>
      </c>
      <c r="BZ1007" s="551">
        <v>59232.2077218216</v>
      </c>
      <c r="CA1007" s="551">
        <v>18745.921912227979</v>
      </c>
      <c r="CB1007" s="551">
        <v>9.2497888684470475E-31</v>
      </c>
      <c r="CC1007" s="551">
        <v>7609.7024954915632</v>
      </c>
      <c r="CD1007" s="551">
        <v>2550898.018175628</v>
      </c>
      <c r="CE1007" s="551">
        <v>393.54517162634852</v>
      </c>
      <c r="CF1007" s="551">
        <v>1846.3846702288702</v>
      </c>
      <c r="CG1007" s="551">
        <v>18443.705518407834</v>
      </c>
      <c r="CH1007" s="551">
        <v>65930.188691668431</v>
      </c>
      <c r="CI1007" s="551">
        <v>6831.0020438547499</v>
      </c>
      <c r="CJ1007" s="551">
        <v>618.99852617888143</v>
      </c>
      <c r="CK1007" s="551">
        <v>369414.90900613542</v>
      </c>
      <c r="CL1007" s="551"/>
      <c r="CM1007" s="551">
        <v>53.469822903690179</v>
      </c>
      <c r="CN1007" s="551">
        <v>2185.9219253434885</v>
      </c>
      <c r="CO1007" s="551">
        <v>6.5101566497204635</v>
      </c>
      <c r="CP1007" s="551">
        <v>10254.476347003652</v>
      </c>
      <c r="CQ1007" s="551"/>
      <c r="CR1007" s="551">
        <v>1.6454509210847224</v>
      </c>
      <c r="CS1007" s="551">
        <v>84.483628256185312</v>
      </c>
      <c r="CT1007" s="551">
        <v>8.8186311176078629</v>
      </c>
      <c r="CU1007" s="551">
        <v>1743.3716985171793</v>
      </c>
      <c r="CV1007" s="551"/>
      <c r="CW1007" s="551">
        <v>0.21254419167163927</v>
      </c>
      <c r="CX1007" s="551">
        <v>8.2161774652410902</v>
      </c>
      <c r="CY1007" s="554"/>
    </row>
    <row r="1008" spans="65:103" ht="12.75" customHeight="1" x14ac:dyDescent="0.3">
      <c r="BM1008" s="562"/>
      <c r="BN1008" s="591">
        <v>995</v>
      </c>
      <c r="BO1008" s="549" t="s">
        <v>3835</v>
      </c>
      <c r="BP1008" s="554" t="s">
        <v>619</v>
      </c>
      <c r="BQ1008" s="553">
        <v>10.63</v>
      </c>
      <c r="BR1008" s="551">
        <v>74342.317332995837</v>
      </c>
      <c r="BS1008" s="551"/>
      <c r="BT1008" s="551">
        <v>2137682.2857203223</v>
      </c>
      <c r="BU1008" s="551">
        <v>82426.589316782527</v>
      </c>
      <c r="BV1008" s="551">
        <v>2547662.1651131692</v>
      </c>
      <c r="BW1008" s="551">
        <v>27036.923414660527</v>
      </c>
      <c r="BX1008" s="551">
        <v>74596.769165396501</v>
      </c>
      <c r="BY1008" s="551">
        <v>13505404.372416344</v>
      </c>
      <c r="BZ1008" s="551">
        <v>27628.433024220929</v>
      </c>
      <c r="CA1008" s="551">
        <v>20583.306672201918</v>
      </c>
      <c r="CB1008" s="551">
        <v>5.1226905748510117E-31</v>
      </c>
      <c r="CC1008" s="551">
        <v>1192.3351583989554</v>
      </c>
      <c r="CD1008" s="551">
        <v>559741.20535828266</v>
      </c>
      <c r="CE1008" s="551">
        <v>1421.0096568039114</v>
      </c>
      <c r="CF1008" s="551">
        <v>9180.096026501702</v>
      </c>
      <c r="CG1008" s="551">
        <v>10812.144917723099</v>
      </c>
      <c r="CH1008" s="551">
        <v>35606.723383258955</v>
      </c>
      <c r="CI1008" s="551">
        <v>4004.4981176752217</v>
      </c>
      <c r="CJ1008" s="551">
        <v>848.57263212769249</v>
      </c>
      <c r="CK1008" s="551">
        <v>84615.352329710106</v>
      </c>
      <c r="CL1008" s="551"/>
      <c r="CM1008" s="551">
        <v>277.42116902190611</v>
      </c>
      <c r="CN1008" s="551">
        <v>1599.8872951557855</v>
      </c>
      <c r="CO1008" s="551">
        <v>11.18826720384636</v>
      </c>
      <c r="CP1008" s="551">
        <v>2726.0988112107484</v>
      </c>
      <c r="CQ1008" s="551"/>
      <c r="CR1008" s="551">
        <v>15.212079761834104</v>
      </c>
      <c r="CS1008" s="551">
        <v>71.183907247255576</v>
      </c>
      <c r="CT1008" s="551">
        <v>15.343476477744561</v>
      </c>
      <c r="CU1008" s="551">
        <v>429.29670068923508</v>
      </c>
      <c r="CV1008" s="551"/>
      <c r="CW1008" s="551">
        <v>0.78693224504707082</v>
      </c>
      <c r="CX1008" s="551">
        <v>7.800568251325493</v>
      </c>
      <c r="CY1008" s="554"/>
    </row>
    <row r="1009" spans="65:103" ht="12.75" customHeight="1" x14ac:dyDescent="0.3">
      <c r="BM1009" s="562"/>
      <c r="BN1009" s="591">
        <v>996</v>
      </c>
      <c r="BO1009" s="549" t="s">
        <v>3833</v>
      </c>
      <c r="BP1009" s="554" t="s">
        <v>619</v>
      </c>
      <c r="BQ1009" s="553">
        <v>10.63</v>
      </c>
      <c r="BR1009" s="551">
        <v>146289.44345532882</v>
      </c>
      <c r="BS1009" s="551"/>
      <c r="BT1009" s="551">
        <v>6655845.3102925494</v>
      </c>
      <c r="BU1009" s="551">
        <v>251234.20546723172</v>
      </c>
      <c r="BV1009" s="551">
        <v>319461.41934705409</v>
      </c>
      <c r="BW1009" s="551">
        <v>3353.0565014541521</v>
      </c>
      <c r="BX1009" s="551">
        <v>95177.418146132055</v>
      </c>
      <c r="BY1009" s="551">
        <v>15702013.231298344</v>
      </c>
      <c r="BZ1009" s="551">
        <v>35250.89560967854</v>
      </c>
      <c r="CA1009" s="551">
        <v>47926.96061032443</v>
      </c>
      <c r="CB1009" s="551">
        <v>2.168871476166135E-30</v>
      </c>
      <c r="CC1009" s="551">
        <v>8204.4386016766839</v>
      </c>
      <c r="CD1009" s="551">
        <v>1150953.5722180181</v>
      </c>
      <c r="CE1009" s="551">
        <v>393.78944047637276</v>
      </c>
      <c r="CF1009" s="551">
        <v>768.05074194024485</v>
      </c>
      <c r="CG1009" s="551">
        <v>15217.276054762084</v>
      </c>
      <c r="CH1009" s="551">
        <v>51912.31686207305</v>
      </c>
      <c r="CI1009" s="551">
        <v>5636.0281684304009</v>
      </c>
      <c r="CJ1009" s="551">
        <v>2346.9763581836951</v>
      </c>
      <c r="CK1009" s="551">
        <v>111294.50416929052</v>
      </c>
      <c r="CL1009" s="551"/>
      <c r="CM1009" s="551">
        <v>14.742334808894723</v>
      </c>
      <c r="CN1009" s="551">
        <v>2674.6650403220065</v>
      </c>
      <c r="CO1009" s="551">
        <v>36.312613533713204</v>
      </c>
      <c r="CP1009" s="551">
        <v>3192.6069503163717</v>
      </c>
      <c r="CQ1009" s="551"/>
      <c r="CR1009" s="551">
        <v>0.50130826875138823</v>
      </c>
      <c r="CS1009" s="551">
        <v>149.87627107919795</v>
      </c>
      <c r="CT1009" s="551">
        <v>49.855854408418239</v>
      </c>
      <c r="CU1009" s="551">
        <v>479.75142885315216</v>
      </c>
      <c r="CV1009" s="551"/>
      <c r="CW1009" s="551">
        <v>4.8756000890893568E-2</v>
      </c>
      <c r="CX1009" s="551">
        <v>15.106097007942285</v>
      </c>
      <c r="CY1009" s="554"/>
    </row>
    <row r="1010" spans="65:103" ht="12.75" customHeight="1" x14ac:dyDescent="0.3">
      <c r="BM1010" s="562"/>
      <c r="BN1010" s="591">
        <v>997</v>
      </c>
      <c r="BO1010" s="549" t="s">
        <v>3837</v>
      </c>
      <c r="BP1010" s="554" t="s">
        <v>619</v>
      </c>
      <c r="BQ1010" s="553">
        <v>10.64</v>
      </c>
      <c r="BR1010" s="551">
        <v>102193.01265930483</v>
      </c>
      <c r="BS1010" s="551"/>
      <c r="BT1010" s="551">
        <v>2103356.303812298</v>
      </c>
      <c r="BU1010" s="551">
        <v>79021.478734491611</v>
      </c>
      <c r="BV1010" s="551">
        <v>777810.55638965324</v>
      </c>
      <c r="BW1010" s="551">
        <v>6893.3448223826217</v>
      </c>
      <c r="BX1010" s="551">
        <v>40639.356759028866</v>
      </c>
      <c r="BY1010" s="551">
        <v>13961490.141519653</v>
      </c>
      <c r="BZ1010" s="551">
        <v>15051.613614455124</v>
      </c>
      <c r="CA1010" s="551">
        <v>30225.350371875818</v>
      </c>
      <c r="CB1010" s="551">
        <v>6.8471571937703818E-31</v>
      </c>
      <c r="CC1010" s="551">
        <v>1330.0998155646557</v>
      </c>
      <c r="CD1010" s="551">
        <v>572525.67070094834</v>
      </c>
      <c r="CE1010" s="551">
        <v>491.86420566167834</v>
      </c>
      <c r="CF1010" s="551">
        <v>2497.1798370592155</v>
      </c>
      <c r="CG1010" s="551">
        <v>6310.4317231352416</v>
      </c>
      <c r="CH1010" s="551">
        <v>25089.509427035639</v>
      </c>
      <c r="CI1010" s="551">
        <v>2337.1969344945337</v>
      </c>
      <c r="CJ1010" s="551">
        <v>1331.4075795921181</v>
      </c>
      <c r="CK1010" s="551">
        <v>88304.810957282127</v>
      </c>
      <c r="CL1010" s="551"/>
      <c r="CM1010" s="551">
        <v>77.01451153040415</v>
      </c>
      <c r="CN1010" s="551">
        <v>997.70559723860219</v>
      </c>
      <c r="CO1010" s="551">
        <v>18.648660912755716</v>
      </c>
      <c r="CP1010" s="551">
        <v>3132.8278506801207</v>
      </c>
      <c r="CQ1010" s="551"/>
      <c r="CR1010" s="551">
        <v>3.9527765007766074</v>
      </c>
      <c r="CS1010" s="551">
        <v>45.703488225471006</v>
      </c>
      <c r="CT1010" s="551">
        <v>25.795261204394965</v>
      </c>
      <c r="CU1010" s="551">
        <v>463.11946091767163</v>
      </c>
      <c r="CV1010" s="551"/>
      <c r="CW1010" s="551">
        <v>0.25397042521060259</v>
      </c>
      <c r="CX1010" s="551">
        <v>5.4183797698427574</v>
      </c>
      <c r="CY1010" s="554"/>
    </row>
    <row r="1011" spans="65:103" ht="12.75" customHeight="1" x14ac:dyDescent="0.3">
      <c r="BM1011" s="562"/>
      <c r="BN1011" s="591">
        <v>998</v>
      </c>
      <c r="BO1011" s="549" t="s">
        <v>3839</v>
      </c>
      <c r="BP1011" s="554" t="s">
        <v>619</v>
      </c>
      <c r="BQ1011" s="553">
        <v>10.65</v>
      </c>
      <c r="BR1011" s="551">
        <v>147987.56813615042</v>
      </c>
      <c r="BS1011" s="551"/>
      <c r="BT1011" s="551">
        <v>1264282.8046472657</v>
      </c>
      <c r="BU1011" s="551">
        <v>40510.184279796122</v>
      </c>
      <c r="BV1011" s="551">
        <v>204911.28614019736</v>
      </c>
      <c r="BW1011" s="551">
        <v>1630.6728045076381</v>
      </c>
      <c r="BX1011" s="551">
        <v>1513.1499433134341</v>
      </c>
      <c r="BY1011" s="551">
        <v>14839441.632100793</v>
      </c>
      <c r="BZ1011" s="551">
        <v>560.4259049309012</v>
      </c>
      <c r="CA1011" s="551">
        <v>48501.798383276648</v>
      </c>
      <c r="CB1011" s="551">
        <v>1.2358890374737792E-31</v>
      </c>
      <c r="CC1011" s="551">
        <v>116.50683493916324</v>
      </c>
      <c r="CD1011" s="551">
        <v>230119.95721861068</v>
      </c>
      <c r="CE1011" s="551">
        <v>18.883089530090018</v>
      </c>
      <c r="CF1011" s="551">
        <v>463.15557764322523</v>
      </c>
      <c r="CG1011" s="551">
        <v>260.52017156445959</v>
      </c>
      <c r="CH1011" s="551">
        <v>1195.4789936076613</v>
      </c>
      <c r="CI1011" s="551">
        <v>96.488952431281277</v>
      </c>
      <c r="CJ1011" s="551">
        <v>2371.3579014960742</v>
      </c>
      <c r="CK1011" s="551">
        <v>33442.777857987567</v>
      </c>
      <c r="CL1011" s="551"/>
      <c r="CM1011" s="551">
        <v>13.459492055003764</v>
      </c>
      <c r="CN1011" s="551">
        <v>45.717689583176877</v>
      </c>
      <c r="CO1011" s="551">
        <v>37.888279057864978</v>
      </c>
      <c r="CP1011" s="551">
        <v>1216.9634989335698</v>
      </c>
      <c r="CQ1011" s="551"/>
      <c r="CR1011" s="551">
        <v>0.62041682904276962</v>
      </c>
      <c r="CS1011" s="551">
        <v>2.3557258264107439</v>
      </c>
      <c r="CT1011" s="551">
        <v>51.010401225250575</v>
      </c>
      <c r="CU1011" s="551">
        <v>160.77201005835531</v>
      </c>
      <c r="CV1011" s="551"/>
      <c r="CW1011" s="551">
        <v>4.6133597804512476E-2</v>
      </c>
      <c r="CX1011" s="551">
        <v>0.28214373142677118</v>
      </c>
      <c r="CY1011" s="554"/>
    </row>
    <row r="1012" spans="65:103" ht="12.75" customHeight="1" x14ac:dyDescent="0.3">
      <c r="BM1012" s="562"/>
      <c r="BN1012" s="591">
        <v>999</v>
      </c>
      <c r="BO1012" s="549" t="s">
        <v>3841</v>
      </c>
      <c r="BP1012" s="554" t="s">
        <v>619</v>
      </c>
      <c r="BQ1012" s="553">
        <v>10.75</v>
      </c>
      <c r="BR1012" s="551">
        <v>88520.405221150431</v>
      </c>
      <c r="BS1012" s="551"/>
      <c r="BT1012" s="551">
        <v>8039088.0119672362</v>
      </c>
      <c r="BU1012" s="551">
        <v>338992.87462087668</v>
      </c>
      <c r="BV1012" s="551">
        <v>391885.36628458835</v>
      </c>
      <c r="BW1012" s="551">
        <v>4648.1109731702018</v>
      </c>
      <c r="BX1012" s="551">
        <v>599289.37494978216</v>
      </c>
      <c r="BY1012" s="551">
        <v>19687615.336468868</v>
      </c>
      <c r="BZ1012" s="551">
        <v>221959.02775917866</v>
      </c>
      <c r="CA1012" s="551">
        <v>38937.048365779228</v>
      </c>
      <c r="CB1012" s="551">
        <v>2.6356545070879142E-30</v>
      </c>
      <c r="CC1012" s="551">
        <v>37420.396642899832</v>
      </c>
      <c r="CD1012" s="551">
        <v>2493309.9834958934</v>
      </c>
      <c r="CE1012" s="551">
        <v>1824.1504288903604</v>
      </c>
      <c r="CF1012" s="551">
        <v>1709.3547330107165</v>
      </c>
      <c r="CG1012" s="551">
        <v>136663.68124321912</v>
      </c>
      <c r="CH1012" s="551">
        <v>423824.12615959335</v>
      </c>
      <c r="CI1012" s="551">
        <v>50616.178238229302</v>
      </c>
      <c r="CJ1012" s="551">
        <v>2589.2322126164258</v>
      </c>
      <c r="CK1012" s="551">
        <v>402326.47546002979</v>
      </c>
      <c r="CL1012" s="551"/>
      <c r="CM1012" s="551">
        <v>55.15693435715913</v>
      </c>
      <c r="CN1012" s="551">
        <v>32618.557043033052</v>
      </c>
      <c r="CO1012" s="551">
        <v>49.993556336039113</v>
      </c>
      <c r="CP1012" s="551">
        <v>16546.656124412733</v>
      </c>
      <c r="CQ1012" s="551"/>
      <c r="CR1012" s="551">
        <v>2.503035308838689</v>
      </c>
      <c r="CS1012" s="551">
        <v>2493.0562646568155</v>
      </c>
      <c r="CT1012" s="551">
        <v>76.72555531387809</v>
      </c>
      <c r="CU1012" s="551">
        <v>2607.9445894766313</v>
      </c>
      <c r="CV1012" s="551"/>
      <c r="CW1012" s="551">
        <v>0.30322774348621162</v>
      </c>
      <c r="CX1012" s="551">
        <v>243.55411131907269</v>
      </c>
      <c r="CY1012" s="554"/>
    </row>
    <row r="1013" spans="65:103" ht="12.75" customHeight="1" x14ac:dyDescent="0.3">
      <c r="BM1013" s="562"/>
      <c r="BN1013" s="591">
        <v>1000</v>
      </c>
      <c r="BO1013" s="549" t="s">
        <v>3845</v>
      </c>
      <c r="BP1013" s="554" t="s">
        <v>619</v>
      </c>
      <c r="BQ1013" s="553">
        <v>10.78</v>
      </c>
      <c r="BR1013" s="551">
        <v>219923.34871853181</v>
      </c>
      <c r="BS1013" s="551"/>
      <c r="BT1013" s="551">
        <v>6081882.6983921621</v>
      </c>
      <c r="BU1013" s="551">
        <v>223876.27650025094</v>
      </c>
      <c r="BV1013" s="551">
        <v>205166.28615961518</v>
      </c>
      <c r="BW1013" s="551">
        <v>2164.9218177167922</v>
      </c>
      <c r="BX1013" s="551">
        <v>44548.463073346771</v>
      </c>
      <c r="BY1013" s="551">
        <v>16104573.633179642</v>
      </c>
      <c r="BZ1013" s="551">
        <v>16499.430767906211</v>
      </c>
      <c r="CA1013" s="551">
        <v>75675.538181075608</v>
      </c>
      <c r="CB1013" s="551">
        <v>3.1915775946565856E-30</v>
      </c>
      <c r="CC1013" s="551">
        <v>8559.2400155923278</v>
      </c>
      <c r="CD1013" s="551">
        <v>1192662.7871962322</v>
      </c>
      <c r="CE1013" s="551">
        <v>288.73748038778967</v>
      </c>
      <c r="CF1013" s="551">
        <v>576.66263919150617</v>
      </c>
      <c r="CG1013" s="551">
        <v>7431.6968464496367</v>
      </c>
      <c r="CH1013" s="551">
        <v>28862.340951827067</v>
      </c>
      <c r="CI1013" s="551">
        <v>2752.4803134998656</v>
      </c>
      <c r="CJ1013" s="551">
        <v>3887.454641147252</v>
      </c>
      <c r="CK1013" s="551">
        <v>123344.69674985077</v>
      </c>
      <c r="CL1013" s="551"/>
      <c r="CM1013" s="551">
        <v>11.838260953392204</v>
      </c>
      <c r="CN1013" s="551">
        <v>1370.2551956955035</v>
      </c>
      <c r="CO1013" s="551">
        <v>62.735931303409501</v>
      </c>
      <c r="CP1013" s="551">
        <v>4384.5163324572977</v>
      </c>
      <c r="CQ1013" s="551"/>
      <c r="CR1013" s="551">
        <v>0.478450427118772</v>
      </c>
      <c r="CS1013" s="551">
        <v>77.889730923542004</v>
      </c>
      <c r="CT1013" s="551">
        <v>87.204088830067406</v>
      </c>
      <c r="CU1013" s="551">
        <v>606.84626324876024</v>
      </c>
      <c r="CV1013" s="551"/>
      <c r="CW1013" s="551">
        <v>4.7216281681573172E-2</v>
      </c>
      <c r="CX1013" s="551">
        <v>8.3901594774791661</v>
      </c>
      <c r="CY1013" s="554"/>
    </row>
    <row r="1014" spans="65:103" ht="12.75" customHeight="1" x14ac:dyDescent="0.3">
      <c r="BM1014" s="562"/>
      <c r="BN1014" s="591">
        <v>1001</v>
      </c>
      <c r="BO1014" s="549" t="s">
        <v>3843</v>
      </c>
      <c r="BP1014" s="554" t="s">
        <v>619</v>
      </c>
      <c r="BQ1014" s="553">
        <v>10.78</v>
      </c>
      <c r="BR1014" s="551">
        <v>175636.19396242331</v>
      </c>
      <c r="BS1014" s="551"/>
      <c r="BT1014" s="551">
        <v>15167085.012050444</v>
      </c>
      <c r="BU1014" s="551">
        <v>640998.75552573521</v>
      </c>
      <c r="BV1014" s="551">
        <v>211239.34991994107</v>
      </c>
      <c r="BW1014" s="551">
        <v>2683.4676153672985</v>
      </c>
      <c r="BX1014" s="551">
        <v>636773.80946672393</v>
      </c>
      <c r="BY1014" s="551">
        <v>23089141.574144177</v>
      </c>
      <c r="BZ1014" s="551">
        <v>235842.15165434222</v>
      </c>
      <c r="CA1014" s="551">
        <v>90837.309008137614</v>
      </c>
      <c r="CB1014" s="551">
        <v>7.7580265602062564E-30</v>
      </c>
      <c r="CC1014" s="551">
        <v>219499.73033626244</v>
      </c>
      <c r="CD1014" s="551">
        <v>5387603.8237717682</v>
      </c>
      <c r="CE1014" s="551">
        <v>3057.0792150894695</v>
      </c>
      <c r="CF1014" s="551">
        <v>1127.7292085897125</v>
      </c>
      <c r="CG1014" s="551">
        <v>170549.4112101919</v>
      </c>
      <c r="CH1014" s="551">
        <v>840019.95808021794</v>
      </c>
      <c r="CI1014" s="551">
        <v>63166.448596367358</v>
      </c>
      <c r="CJ1014" s="551">
        <v>7142.0735498049808</v>
      </c>
      <c r="CK1014" s="551">
        <v>947660.14557122695</v>
      </c>
      <c r="CL1014" s="551"/>
      <c r="CM1014" s="551">
        <v>39.667215921966331</v>
      </c>
      <c r="CN1014" s="551">
        <v>48129.786813713967</v>
      </c>
      <c r="CO1014" s="551">
        <v>152.12132502573888</v>
      </c>
      <c r="CP1014" s="551">
        <v>49374.62981647085</v>
      </c>
      <c r="CQ1014" s="551"/>
      <c r="CR1014" s="551">
        <v>2.1440793582084181</v>
      </c>
      <c r="CS1014" s="551">
        <v>3529.9543990321295</v>
      </c>
      <c r="CT1014" s="551">
        <v>251.77846866513079</v>
      </c>
      <c r="CU1014" s="551">
        <v>7634.9343396877493</v>
      </c>
      <c r="CV1014" s="551"/>
      <c r="CW1014" s="551">
        <v>0.29899125584622133</v>
      </c>
      <c r="CX1014" s="551">
        <v>467.48883697657527</v>
      </c>
      <c r="CY1014" s="554"/>
    </row>
    <row r="1015" spans="65:103" ht="12.75" customHeight="1" x14ac:dyDescent="0.3">
      <c r="BM1015" s="562"/>
      <c r="BN1015" s="591">
        <v>1002</v>
      </c>
      <c r="BO1015" s="549" t="s">
        <v>3847</v>
      </c>
      <c r="BP1015" s="554" t="s">
        <v>619</v>
      </c>
      <c r="BQ1015" s="553">
        <v>10.8</v>
      </c>
      <c r="BR1015" s="551">
        <v>44361.235368885747</v>
      </c>
      <c r="BS1015" s="551"/>
      <c r="BT1015" s="551">
        <v>1116745.6240098611</v>
      </c>
      <c r="BU1015" s="551">
        <v>36152.522906295373</v>
      </c>
      <c r="BV1015" s="551">
        <v>1020698.360728255</v>
      </c>
      <c r="BW1015" s="551">
        <v>8313.4439650325876</v>
      </c>
      <c r="BX1015" s="551">
        <v>12699.115814193143</v>
      </c>
      <c r="BY1015" s="551">
        <v>7058043.2364758048</v>
      </c>
      <c r="BZ1015" s="551">
        <v>4703.3762274789433</v>
      </c>
      <c r="CA1015" s="551">
        <v>6273.8785454226936</v>
      </c>
      <c r="CB1015" s="551">
        <v>7.7658822361819352E-32</v>
      </c>
      <c r="CC1015" s="551">
        <v>93.288668937991403</v>
      </c>
      <c r="CD1015" s="551">
        <v>128826.37811228381</v>
      </c>
      <c r="CE1015" s="551">
        <v>85.265246992978504</v>
      </c>
      <c r="CF1015" s="551">
        <v>1481.2118070300394</v>
      </c>
      <c r="CG1015" s="551">
        <v>799.53406157628081</v>
      </c>
      <c r="CH1015" s="551">
        <v>2730.3903590229015</v>
      </c>
      <c r="CI1015" s="551">
        <v>296.12372650973361</v>
      </c>
      <c r="CJ1015" s="551">
        <v>131.08561495325142</v>
      </c>
      <c r="CK1015" s="551">
        <v>10835.28461643582</v>
      </c>
      <c r="CL1015" s="551"/>
      <c r="CM1015" s="551">
        <v>24.720767952202387</v>
      </c>
      <c r="CN1015" s="551">
        <v>59.95971422913324</v>
      </c>
      <c r="CO1015" s="551">
        <v>0.88845373330825572</v>
      </c>
      <c r="CP1015" s="551">
        <v>183.05962054588497</v>
      </c>
      <c r="CQ1015" s="551"/>
      <c r="CR1015" s="551">
        <v>0.86289364239059307</v>
      </c>
      <c r="CS1015" s="551">
        <v>1.3354596865946267</v>
      </c>
      <c r="CT1015" s="551">
        <v>1.1864355308584082</v>
      </c>
      <c r="CU1015" s="551">
        <v>29.282708441684495</v>
      </c>
      <c r="CV1015" s="551"/>
      <c r="CW1015" s="551">
        <v>3.3366546782084221E-2</v>
      </c>
      <c r="CX1015" s="551">
        <v>0.150390565252667</v>
      </c>
      <c r="CY1015" s="554"/>
    </row>
    <row r="1016" spans="65:103" ht="12.75" customHeight="1" x14ac:dyDescent="0.3">
      <c r="BM1016" s="562"/>
      <c r="BN1016" s="591">
        <v>1003</v>
      </c>
      <c r="BO1016" s="549" t="s">
        <v>3849</v>
      </c>
      <c r="BP1016" s="554" t="s">
        <v>619</v>
      </c>
      <c r="BQ1016" s="553">
        <v>10.87</v>
      </c>
      <c r="BR1016" s="551">
        <v>68364.442641021844</v>
      </c>
      <c r="BS1016" s="551"/>
      <c r="BT1016" s="551">
        <v>5106018.0570760891</v>
      </c>
      <c r="BU1016" s="551">
        <v>204713.86812256419</v>
      </c>
      <c r="BV1016" s="551">
        <v>447935.11178835068</v>
      </c>
      <c r="BW1016" s="551">
        <v>4778.5332529281213</v>
      </c>
      <c r="BX1016" s="551">
        <v>31012.644818334658</v>
      </c>
      <c r="BY1016" s="551">
        <v>18763294.940921322</v>
      </c>
      <c r="BZ1016" s="551">
        <v>11486.164747531355</v>
      </c>
      <c r="CA1016" s="551">
        <v>9889.070764774593</v>
      </c>
      <c r="CB1016" s="551">
        <v>3.5855721077768692E-31</v>
      </c>
      <c r="CC1016" s="551">
        <v>1274.3437078192042</v>
      </c>
      <c r="CD1016" s="551">
        <v>1199709.6803111036</v>
      </c>
      <c r="CE1016" s="551">
        <v>111.7942171057759</v>
      </c>
      <c r="CF1016" s="551">
        <v>1400.2110980077957</v>
      </c>
      <c r="CG1016" s="551">
        <v>2344.3727567417441</v>
      </c>
      <c r="CH1016" s="551">
        <v>9643.4364852071158</v>
      </c>
      <c r="CI1016" s="551">
        <v>868.28620620064612</v>
      </c>
      <c r="CJ1016" s="551">
        <v>212.11101900241488</v>
      </c>
      <c r="CK1016" s="551">
        <v>171384.83157451008</v>
      </c>
      <c r="CL1016" s="551"/>
      <c r="CM1016" s="551">
        <v>39.999169120370681</v>
      </c>
      <c r="CN1016" s="551">
        <v>180.4837338189499</v>
      </c>
      <c r="CO1016" s="551">
        <v>1.4764374027588665</v>
      </c>
      <c r="CP1016" s="551">
        <v>4594.1111270376014</v>
      </c>
      <c r="CQ1016" s="551"/>
      <c r="CR1016" s="551">
        <v>1.2514919722796003</v>
      </c>
      <c r="CS1016" s="551">
        <v>4.2544521379707234</v>
      </c>
      <c r="CT1016" s="551">
        <v>1.9610154726122759</v>
      </c>
      <c r="CU1016" s="551">
        <v>786.6136269991166</v>
      </c>
      <c r="CV1016" s="551"/>
      <c r="CW1016" s="551">
        <v>0.14412020148457388</v>
      </c>
      <c r="CX1016" s="551">
        <v>0.46303284270148981</v>
      </c>
      <c r="CY1016" s="554"/>
    </row>
    <row r="1017" spans="65:103" ht="12.75" customHeight="1" x14ac:dyDescent="0.3">
      <c r="BM1017" s="562"/>
      <c r="BN1017" s="591">
        <v>1004</v>
      </c>
      <c r="BO1017" s="549" t="s">
        <v>3851</v>
      </c>
      <c r="BP1017" s="554" t="s">
        <v>619</v>
      </c>
      <c r="BQ1017" s="553">
        <v>10.87</v>
      </c>
      <c r="BR1017" s="551">
        <v>537173.79099552182</v>
      </c>
      <c r="BS1017" s="551"/>
      <c r="BT1017" s="551">
        <v>5673963.1793391388</v>
      </c>
      <c r="BU1017" s="551">
        <v>202646.73270815183</v>
      </c>
      <c r="BV1017" s="551">
        <v>105060.61835960369</v>
      </c>
      <c r="BW1017" s="551">
        <v>1116.7433877683268</v>
      </c>
      <c r="BX1017" s="551">
        <v>13173.943213312794</v>
      </c>
      <c r="BY1017" s="551">
        <v>35618868.736018561</v>
      </c>
      <c r="BZ1017" s="551">
        <v>4879.238227152885</v>
      </c>
      <c r="CA1017" s="551">
        <v>230636.28192653973</v>
      </c>
      <c r="CB1017" s="551">
        <v>7.0314570110451518E-30</v>
      </c>
      <c r="CC1017" s="551">
        <v>9777.8284190152408</v>
      </c>
      <c r="CD1017" s="551">
        <v>2565627.7244160683</v>
      </c>
      <c r="CE1017" s="551">
        <v>181.04888372495492</v>
      </c>
      <c r="CF1017" s="551">
        <v>706.93165353005656</v>
      </c>
      <c r="CG1017" s="551">
        <v>2926.045022238121</v>
      </c>
      <c r="CH1017" s="551">
        <v>15458.699542568755</v>
      </c>
      <c r="CI1017" s="551">
        <v>1083.7203786067112</v>
      </c>
      <c r="CJ1017" s="551">
        <v>14805.005585922656</v>
      </c>
      <c r="CK1017" s="551">
        <v>475231.87654071953</v>
      </c>
      <c r="CL1017" s="551"/>
      <c r="CM1017" s="551">
        <v>26.185367467656565</v>
      </c>
      <c r="CN1017" s="551">
        <v>674.16407645299751</v>
      </c>
      <c r="CO1017" s="551">
        <v>288.73408440192088</v>
      </c>
      <c r="CP1017" s="551">
        <v>30656.740431070437</v>
      </c>
      <c r="CQ1017" s="551"/>
      <c r="CR1017" s="551">
        <v>1.7680786979873659</v>
      </c>
      <c r="CS1017" s="551">
        <v>45.009219033322069</v>
      </c>
      <c r="CT1017" s="551">
        <v>425.49342383885306</v>
      </c>
      <c r="CU1017" s="551">
        <v>3481.7439218339359</v>
      </c>
      <c r="CV1017" s="551"/>
      <c r="CW1017" s="551">
        <v>0.17678223200971974</v>
      </c>
      <c r="CX1017" s="551">
        <v>5.4195189831268511</v>
      </c>
      <c r="CY1017" s="554"/>
    </row>
    <row r="1018" spans="65:103" ht="12.75" customHeight="1" x14ac:dyDescent="0.3">
      <c r="BM1018" s="562"/>
      <c r="BN1018" s="591">
        <v>1005</v>
      </c>
      <c r="BO1018" s="549" t="s">
        <v>3853</v>
      </c>
      <c r="BP1018" s="554" t="s">
        <v>619</v>
      </c>
      <c r="BQ1018" s="553">
        <v>10.9</v>
      </c>
      <c r="BR1018" s="551">
        <v>2160.9013454155966</v>
      </c>
      <c r="BS1018" s="551"/>
      <c r="BT1018" s="551">
        <v>15493137.950470012</v>
      </c>
      <c r="BU1018" s="551">
        <v>657924.24337528436</v>
      </c>
      <c r="BV1018" s="551">
        <v>133210.34955518448</v>
      </c>
      <c r="BW1018" s="551">
        <v>1720.9796800983763</v>
      </c>
      <c r="BX1018" s="551">
        <v>858975.68406417267</v>
      </c>
      <c r="BY1018" s="551">
        <v>14761464.110302605</v>
      </c>
      <c r="BZ1018" s="551">
        <v>318139.14224598993</v>
      </c>
      <c r="CA1018" s="551">
        <v>16.738079306750056</v>
      </c>
      <c r="CB1018" s="551">
        <v>1.7057336543214766E-31</v>
      </c>
      <c r="CC1018" s="551">
        <v>13541.864927841365</v>
      </c>
      <c r="CD1018" s="551">
        <v>3697936.600576709</v>
      </c>
      <c r="CE1018" s="551">
        <v>116.43326009448705</v>
      </c>
      <c r="CF1018" s="551">
        <v>483.64791326396477</v>
      </c>
      <c r="CG1018" s="551">
        <v>3447.8629350506894</v>
      </c>
      <c r="CH1018" s="551">
        <v>21825.163223670774</v>
      </c>
      <c r="CI1018" s="551">
        <v>1276.986272240996</v>
      </c>
      <c r="CJ1018" s="551">
        <v>1.9056168989175302E-2</v>
      </c>
      <c r="CK1018" s="551">
        <v>523989.21794815012</v>
      </c>
      <c r="CL1018" s="551"/>
      <c r="CM1018" s="551">
        <v>13.704489251236943</v>
      </c>
      <c r="CN1018" s="551">
        <v>14.089112025063558</v>
      </c>
      <c r="CO1018" s="551">
        <v>9.6419459982107386E-6</v>
      </c>
      <c r="CP1018" s="551">
        <v>13851.499568391784</v>
      </c>
      <c r="CQ1018" s="551"/>
      <c r="CR1018" s="551">
        <v>0.37184065896670426</v>
      </c>
      <c r="CS1018" s="551">
        <v>1.0836816181870596E-2</v>
      </c>
      <c r="CT1018" s="551">
        <v>9.7717025568593466E-6</v>
      </c>
      <c r="CU1018" s="551">
        <v>2382.2517617578478</v>
      </c>
      <c r="CV1018" s="551"/>
      <c r="CW1018" s="551">
        <v>5.9390920578553212E-2</v>
      </c>
      <c r="CX1018" s="551">
        <v>2.4096914650054329E-3</v>
      </c>
      <c r="CY1018" s="554"/>
    </row>
    <row r="1019" spans="65:103" ht="12.75" customHeight="1" x14ac:dyDescent="0.3">
      <c r="BM1019" s="562"/>
      <c r="BN1019" s="600">
        <v>1006</v>
      </c>
      <c r="BO1019" s="601" t="s">
        <v>3855</v>
      </c>
      <c r="BP1019" s="603" t="s">
        <v>619</v>
      </c>
      <c r="BQ1019" s="604">
        <v>10.91</v>
      </c>
      <c r="BR1019" s="589">
        <v>76780.790102147614</v>
      </c>
      <c r="BS1019" s="589"/>
      <c r="BT1019" s="589">
        <v>1299461.845494468</v>
      </c>
      <c r="BU1019" s="589">
        <v>41902.915041092427</v>
      </c>
      <c r="BV1019" s="589">
        <v>166888.60406047583</v>
      </c>
      <c r="BW1019" s="589">
        <v>1372.0118390428086</v>
      </c>
      <c r="BX1019" s="589">
        <v>931.89410411101608</v>
      </c>
      <c r="BY1019" s="589">
        <v>14775383.088276254</v>
      </c>
      <c r="BZ1019" s="589">
        <v>345.14596448556142</v>
      </c>
      <c r="CA1019" s="589">
        <v>11659.586991297454</v>
      </c>
      <c r="CB1019" s="589">
        <v>4.2303900943545163E-32</v>
      </c>
      <c r="CC1019" s="589">
        <v>40.934614661349656</v>
      </c>
      <c r="CD1019" s="589">
        <v>220864.94416637035</v>
      </c>
      <c r="CE1019" s="589">
        <v>5.2571922155872244</v>
      </c>
      <c r="CF1019" s="589">
        <v>361.58500897684672</v>
      </c>
      <c r="CG1019" s="589">
        <v>74.273568742235852</v>
      </c>
      <c r="CH1019" s="589">
        <v>342.10657021021848</v>
      </c>
      <c r="CI1019" s="589">
        <v>27.508729163791056</v>
      </c>
      <c r="CJ1019" s="589">
        <v>262.40917689001083</v>
      </c>
      <c r="CK1019" s="589">
        <v>30868.779955645157</v>
      </c>
      <c r="CL1019" s="589"/>
      <c r="CM1019" s="589">
        <v>10.105554023980323</v>
      </c>
      <c r="CN1019" s="589">
        <v>5.9997589050716833</v>
      </c>
      <c r="CO1019" s="589">
        <v>1.9678733977898921</v>
      </c>
      <c r="CP1019" s="589">
        <v>784.69043368251801</v>
      </c>
      <c r="CQ1019" s="589"/>
      <c r="CR1019" s="589">
        <v>0.31464214309275179</v>
      </c>
      <c r="CS1019" s="589">
        <v>0.14585229953369955</v>
      </c>
      <c r="CT1019" s="589">
        <v>2.5491097986412949</v>
      </c>
      <c r="CU1019" s="589">
        <v>139.77938779937944</v>
      </c>
      <c r="CV1019" s="589"/>
      <c r="CW1019" s="589">
        <v>3.3872779646166765E-2</v>
      </c>
      <c r="CX1019" s="589">
        <v>1.6688323086401224E-2</v>
      </c>
      <c r="CY1019" s="554"/>
    </row>
    <row r="1020" spans="65:103" ht="12.75" customHeight="1" x14ac:dyDescent="0.3">
      <c r="BM1020" s="562"/>
      <c r="BN1020" s="591">
        <v>1007</v>
      </c>
      <c r="BO1020" s="549" t="s">
        <v>3858</v>
      </c>
      <c r="BP1020" s="554" t="s">
        <v>1746</v>
      </c>
      <c r="BQ1020" s="553" t="s">
        <v>2408</v>
      </c>
      <c r="BR1020" s="551">
        <v>6.4446092257021901</v>
      </c>
      <c r="BS1020" s="551"/>
      <c r="BT1020" s="551">
        <v>12566677.956184451</v>
      </c>
      <c r="BU1020" s="551">
        <v>600766.78107532556</v>
      </c>
      <c r="BV1020" s="551">
        <v>2459875180.6056318</v>
      </c>
      <c r="BW1020" s="551">
        <v>57924575.395343736</v>
      </c>
      <c r="BX1020" s="551">
        <v>29470459855.217716</v>
      </c>
      <c r="BY1020" s="551">
        <v>700478239054.50024</v>
      </c>
      <c r="BZ1020" s="551">
        <v>10914985131.562119</v>
      </c>
      <c r="CA1020" s="551">
        <v>1.3309609513359016E-4</v>
      </c>
      <c r="CB1020" s="551">
        <v>5.1784181397918912E-34</v>
      </c>
      <c r="CC1020" s="551">
        <v>42.726114059402732</v>
      </c>
      <c r="CD1020" s="551">
        <v>1534348656.2920592</v>
      </c>
      <c r="CE1020" s="551">
        <v>8363.4599298955345</v>
      </c>
      <c r="CF1020" s="551">
        <v>7396921502.9708996</v>
      </c>
      <c r="CG1020" s="551">
        <v>315394.509492766</v>
      </c>
      <c r="CH1020" s="551">
        <v>2803506.7497729566</v>
      </c>
      <c r="CI1020" s="551">
        <v>116812.78129361705</v>
      </c>
      <c r="CJ1020" s="551">
        <v>4.0320060765162095E-10</v>
      </c>
      <c r="CK1020" s="551">
        <v>83230813729.631897</v>
      </c>
      <c r="CL1020" s="551"/>
      <c r="CM1020" s="551">
        <v>81058769396.016022</v>
      </c>
      <c r="CN1020" s="551">
        <v>3.4293645013058067</v>
      </c>
      <c r="CO1020" s="551">
        <v>6.4401520115633523E-16</v>
      </c>
      <c r="CP1020" s="551">
        <v>54664722380.545456</v>
      </c>
      <c r="CQ1020" s="551"/>
      <c r="CR1020" s="551">
        <v>53238372210.619598</v>
      </c>
      <c r="CS1020" s="551">
        <v>7.2889520370706252E-6</v>
      </c>
      <c r="CT1020" s="551">
        <v>1.5872722687584164E-14</v>
      </c>
      <c r="CU1020" s="551">
        <v>191155370281.22647</v>
      </c>
      <c r="CV1020" s="551"/>
      <c r="CW1020" s="551">
        <v>186167575222.78699</v>
      </c>
      <c r="CX1020" s="551">
        <v>6.0302961569366509E-5</v>
      </c>
      <c r="CY1020" s="554"/>
    </row>
    <row r="1021" spans="65:103" ht="12.75" customHeight="1" x14ac:dyDescent="0.3">
      <c r="BM1021" s="562"/>
      <c r="BN1021" s="591">
        <v>1008</v>
      </c>
      <c r="BO1021" s="549" t="s">
        <v>3860</v>
      </c>
      <c r="BP1021" s="554" t="s">
        <v>1746</v>
      </c>
      <c r="BQ1021" s="553" t="s">
        <v>2408</v>
      </c>
      <c r="BR1021" s="551">
        <v>25.766493594384563</v>
      </c>
      <c r="BS1021" s="551"/>
      <c r="BT1021" s="551">
        <v>82849619.817435563</v>
      </c>
      <c r="BU1021" s="551">
        <v>4330010.1289945655</v>
      </c>
      <c r="BV1021" s="551">
        <v>7869812755.2039814</v>
      </c>
      <c r="BW1021" s="551">
        <v>151703420.25305715</v>
      </c>
      <c r="BX1021" s="551">
        <v>67536856058.10907</v>
      </c>
      <c r="BY1021" s="551">
        <v>1605271795704.9563</v>
      </c>
      <c r="BZ1021" s="551">
        <v>25013650391.892242</v>
      </c>
      <c r="CA1021" s="551">
        <v>5.3213772358497863E-4</v>
      </c>
      <c r="CB1021" s="551">
        <v>2.0704075787604106E-33</v>
      </c>
      <c r="CC1021" s="551">
        <v>262.16619909322668</v>
      </c>
      <c r="CD1021" s="551">
        <v>28512694729.579887</v>
      </c>
      <c r="CE1021" s="551">
        <v>24902.937420275586</v>
      </c>
      <c r="CF1021" s="551">
        <v>49947611925.25164</v>
      </c>
      <c r="CG1021" s="551">
        <v>722783.21051542053</v>
      </c>
      <c r="CH1021" s="551">
        <v>6424739.6473526806</v>
      </c>
      <c r="CI1021" s="551">
        <v>267697.48537608166</v>
      </c>
      <c r="CJ1021" s="551">
        <v>1.6121629439316796E-9</v>
      </c>
      <c r="CK1021" s="551">
        <v>1561962631554.0049</v>
      </c>
      <c r="CL1021" s="551"/>
      <c r="CM1021" s="551">
        <v>552764018563.51184</v>
      </c>
      <c r="CN1021" s="551">
        <v>7.8595304032527222</v>
      </c>
      <c r="CO1021" s="551">
        <v>1.6394051045865619E-14</v>
      </c>
      <c r="CP1021" s="551">
        <v>1026545065961.3132</v>
      </c>
      <c r="CQ1021" s="551"/>
      <c r="CR1021" s="551">
        <v>363285265655.61084</v>
      </c>
      <c r="CS1021" s="551">
        <v>1.3982494696516162E-4</v>
      </c>
      <c r="CT1021" s="551">
        <v>5.9570833949750269E-13</v>
      </c>
      <c r="CU1021" s="551">
        <v>3591738360297.3418</v>
      </c>
      <c r="CV1021" s="551"/>
      <c r="CW1021" s="551">
        <v>1271084511916.1648</v>
      </c>
      <c r="CX1021" s="551">
        <v>1.0740084066353265E-3</v>
      </c>
      <c r="CY1021" s="554"/>
    </row>
    <row r="1022" spans="65:103" ht="12.75" customHeight="1" x14ac:dyDescent="0.3">
      <c r="BM1022" s="562"/>
      <c r="BN1022" s="591">
        <v>1009</v>
      </c>
      <c r="BO1022" s="549" t="s">
        <v>3862</v>
      </c>
      <c r="BP1022" s="554" t="s">
        <v>1746</v>
      </c>
      <c r="BQ1022" s="553" t="s">
        <v>2408</v>
      </c>
      <c r="BR1022" s="551">
        <v>9.5465254009815961E-10</v>
      </c>
      <c r="BS1022" s="551"/>
      <c r="BT1022" s="551">
        <v>54533102.617762581</v>
      </c>
      <c r="BU1022" s="551">
        <v>3402650.3826832534</v>
      </c>
      <c r="BV1022" s="551">
        <v>1920100764.1062098</v>
      </c>
      <c r="BW1022" s="551">
        <v>38104504.101660773</v>
      </c>
      <c r="BX1022" s="551">
        <v>10143679930.440557</v>
      </c>
      <c r="BY1022" s="551">
        <v>241100248355.56735</v>
      </c>
      <c r="BZ1022" s="551">
        <v>3756918492.7557616</v>
      </c>
      <c r="CA1022" s="551">
        <v>3.8222648688873251E-24</v>
      </c>
      <c r="CB1022" s="551">
        <v>1.4454612083489647E-43</v>
      </c>
      <c r="CC1022" s="551">
        <v>3.1007726615205285E-8</v>
      </c>
      <c r="CD1022" s="551">
        <v>59177678177.26033</v>
      </c>
      <c r="CE1022" s="551">
        <v>1.0917764937082335E-6</v>
      </c>
      <c r="CF1022" s="551">
        <v>33134995183.577843</v>
      </c>
      <c r="CG1022" s="551">
        <v>2.1045995551519931E-5</v>
      </c>
      <c r="CH1022" s="551">
        <v>1.870755159931897E-4</v>
      </c>
      <c r="CI1022" s="551">
        <v>7.7948131672296022E-6</v>
      </c>
      <c r="CJ1022" s="551">
        <v>1.9928740300344448E-23</v>
      </c>
      <c r="CK1022" s="551">
        <v>3254336914267.3101</v>
      </c>
      <c r="CL1022" s="551"/>
      <c r="CM1022" s="551">
        <v>368116784436.63599</v>
      </c>
      <c r="CN1022" s="551">
        <v>3.9385122317889276E-4</v>
      </c>
      <c r="CO1022" s="551">
        <v>2.5569069949689062E-24</v>
      </c>
      <c r="CP1022" s="551">
        <v>2139342781758.345</v>
      </c>
      <c r="CQ1022" s="551"/>
      <c r="CR1022" s="551">
        <v>241993492435.41031</v>
      </c>
      <c r="CS1022" s="551">
        <v>1.1729861961047404E-4</v>
      </c>
      <c r="CT1022" s="551">
        <v>9.8488209457490488E-23</v>
      </c>
      <c r="CU1022" s="551">
        <v>7486920418019.2676</v>
      </c>
      <c r="CV1022" s="551"/>
      <c r="CW1022" s="551">
        <v>846889051596.27246</v>
      </c>
      <c r="CX1022" s="551">
        <v>6.3436629985396417E-4</v>
      </c>
      <c r="CY1022" s="554"/>
    </row>
    <row r="1023" spans="65:103" ht="12.75" customHeight="1" x14ac:dyDescent="0.3">
      <c r="BM1023" s="562"/>
      <c r="BN1023" s="591">
        <v>1010</v>
      </c>
      <c r="BO1023" s="549" t="s">
        <v>3864</v>
      </c>
      <c r="BP1023" s="554" t="s">
        <v>1746</v>
      </c>
      <c r="BQ1023" s="553" t="s">
        <v>2408</v>
      </c>
      <c r="BR1023" s="551">
        <v>9.5465254009815961E-10</v>
      </c>
      <c r="BS1023" s="551"/>
      <c r="BT1023" s="551">
        <v>54533102.617762581</v>
      </c>
      <c r="BU1023" s="551">
        <v>3402650.3826832534</v>
      </c>
      <c r="BV1023" s="551">
        <v>1920100764.1062098</v>
      </c>
      <c r="BW1023" s="551">
        <v>38104504.101660773</v>
      </c>
      <c r="BX1023" s="551">
        <v>10143679930.440557</v>
      </c>
      <c r="BY1023" s="551">
        <v>241100248355.56735</v>
      </c>
      <c r="BZ1023" s="551">
        <v>3756918492.7557616</v>
      </c>
      <c r="CA1023" s="551">
        <v>3.8222648688873251E-24</v>
      </c>
      <c r="CB1023" s="551">
        <v>1.4454612083489647E-43</v>
      </c>
      <c r="CC1023" s="551">
        <v>3.1007726615205285E-8</v>
      </c>
      <c r="CD1023" s="551">
        <v>59177678177.26033</v>
      </c>
      <c r="CE1023" s="551">
        <v>1.0917764937082335E-6</v>
      </c>
      <c r="CF1023" s="551">
        <v>33134995183.577843</v>
      </c>
      <c r="CG1023" s="551">
        <v>2.1045995551519931E-5</v>
      </c>
      <c r="CH1023" s="551">
        <v>1.870755159931897E-4</v>
      </c>
      <c r="CI1023" s="551">
        <v>7.7948131672296022E-6</v>
      </c>
      <c r="CJ1023" s="551">
        <v>1.9928740300344448E-23</v>
      </c>
      <c r="CK1023" s="551">
        <v>3254336914267.3101</v>
      </c>
      <c r="CL1023" s="551"/>
      <c r="CM1023" s="551">
        <v>368116784436.63599</v>
      </c>
      <c r="CN1023" s="551">
        <v>3.9385122317889276E-4</v>
      </c>
      <c r="CO1023" s="551">
        <v>2.5569069949689062E-24</v>
      </c>
      <c r="CP1023" s="551">
        <v>2139342781758.345</v>
      </c>
      <c r="CQ1023" s="551"/>
      <c r="CR1023" s="551">
        <v>241993492435.41031</v>
      </c>
      <c r="CS1023" s="551">
        <v>1.1729861961047404E-4</v>
      </c>
      <c r="CT1023" s="551">
        <v>9.8488209457490488E-23</v>
      </c>
      <c r="CU1023" s="551">
        <v>7486920418019.2676</v>
      </c>
      <c r="CV1023" s="551"/>
      <c r="CW1023" s="551">
        <v>846889051596.27246</v>
      </c>
      <c r="CX1023" s="551">
        <v>6.3436629985396417E-4</v>
      </c>
      <c r="CY1023" s="554"/>
    </row>
    <row r="1024" spans="65:103" ht="12.75" customHeight="1" x14ac:dyDescent="0.3">
      <c r="BM1024" s="562"/>
      <c r="BN1024" s="591">
        <v>1011</v>
      </c>
      <c r="BO1024" s="549" t="s">
        <v>3865</v>
      </c>
      <c r="BP1024" s="554" t="s">
        <v>1746</v>
      </c>
      <c r="BQ1024" s="553" t="s">
        <v>2408</v>
      </c>
      <c r="BR1024" s="551">
        <v>52103.792234941568</v>
      </c>
      <c r="BS1024" s="551"/>
      <c r="BT1024" s="551">
        <v>64601176.778208405</v>
      </c>
      <c r="BU1024" s="551">
        <v>135735552.72159642</v>
      </c>
      <c r="BV1024" s="551">
        <v>21056224.943538539</v>
      </c>
      <c r="BW1024" s="551">
        <v>11272799.15567302</v>
      </c>
      <c r="BX1024" s="551">
        <v>60094649.329462193</v>
      </c>
      <c r="BY1024" s="551">
        <v>1667252755.0016069</v>
      </c>
      <c r="BZ1024" s="551">
        <v>22257277.529430445</v>
      </c>
      <c r="CA1024" s="551">
        <v>13392.17594067589</v>
      </c>
      <c r="CB1024" s="551">
        <v>3.9950528223512783E-30</v>
      </c>
      <c r="CC1024" s="551">
        <v>1830264.3583831387</v>
      </c>
      <c r="CD1024" s="551">
        <v>10268436059594.816</v>
      </c>
      <c r="CE1024" s="551">
        <v>596559.69067821349</v>
      </c>
      <c r="CF1024" s="551">
        <v>42639535118.740341</v>
      </c>
      <c r="CG1024" s="551">
        <v>8004166.4034670861</v>
      </c>
      <c r="CH1024" s="551">
        <v>71148145.808489978</v>
      </c>
      <c r="CI1024" s="551">
        <v>2964506.0753581794</v>
      </c>
      <c r="CJ1024" s="551">
        <v>512.12368551822556</v>
      </c>
      <c r="CK1024" s="551">
        <v>565706577761558.38</v>
      </c>
      <c r="CL1024" s="551"/>
      <c r="CM1024" s="551">
        <v>474563336227.14063</v>
      </c>
      <c r="CN1024" s="551">
        <v>1098609.8289782181</v>
      </c>
      <c r="CO1024" s="551">
        <v>3.1482578803206275E-4</v>
      </c>
      <c r="CP1024" s="551">
        <v>371929496155384.75</v>
      </c>
      <c r="CQ1024" s="551"/>
      <c r="CR1024" s="551">
        <v>312006453681.1394</v>
      </c>
      <c r="CS1024" s="551">
        <v>26579.854406179344</v>
      </c>
      <c r="CT1024" s="551">
        <v>4.297488254812091</v>
      </c>
      <c r="CU1024" s="551">
        <v>1301752231514364.5</v>
      </c>
      <c r="CV1024" s="551"/>
      <c r="CW1024" s="551">
        <v>1092021744599.5459</v>
      </c>
      <c r="CX1024" s="551">
        <v>6641.0330390343888</v>
      </c>
      <c r="CY1024" s="554"/>
    </row>
    <row r="1025" spans="65:103" ht="12.75" customHeight="1" x14ac:dyDescent="0.3">
      <c r="BM1025" s="562"/>
      <c r="BN1025" s="591">
        <v>1012</v>
      </c>
      <c r="BO1025" s="549" t="s">
        <v>3867</v>
      </c>
      <c r="BP1025" s="554" t="s">
        <v>1746</v>
      </c>
      <c r="BQ1025" s="553" t="s">
        <v>2408</v>
      </c>
      <c r="BR1025" s="551">
        <v>77.137828713640346</v>
      </c>
      <c r="BS1025" s="551"/>
      <c r="BT1025" s="551">
        <v>106141292.50232166</v>
      </c>
      <c r="BU1025" s="551">
        <v>4536001.3003389016</v>
      </c>
      <c r="BV1025" s="551">
        <v>33577715222.469063</v>
      </c>
      <c r="BW1025" s="551">
        <v>1172012654.4401593</v>
      </c>
      <c r="BX1025" s="551">
        <v>482057028615.87939</v>
      </c>
      <c r="BY1025" s="551">
        <v>11457929741556.6</v>
      </c>
      <c r="BZ1025" s="551">
        <v>178539640228.10345</v>
      </c>
      <c r="CA1025" s="551">
        <v>1.5930746813793619E-3</v>
      </c>
      <c r="CB1025" s="551">
        <v>6.1982335543487266E-33</v>
      </c>
      <c r="CC1025" s="551">
        <v>378.29512789897115</v>
      </c>
      <c r="CD1025" s="551">
        <v>4526915125.6298294</v>
      </c>
      <c r="CE1025" s="551">
        <v>119673.36910242848</v>
      </c>
      <c r="CF1025" s="551">
        <v>58483248366.995872</v>
      </c>
      <c r="CG1025" s="551">
        <v>5159001.2790602036</v>
      </c>
      <c r="CH1025" s="551">
        <v>45857789.118726298</v>
      </c>
      <c r="CI1025" s="551">
        <v>1910741.2144667415</v>
      </c>
      <c r="CJ1025" s="551">
        <v>4.8260192072049648E-9</v>
      </c>
      <c r="CK1025" s="551">
        <v>239396088421.27509</v>
      </c>
      <c r="CL1025" s="551"/>
      <c r="CM1025" s="551">
        <v>624777249675.50427</v>
      </c>
      <c r="CN1025" s="551">
        <v>56.09474801872306</v>
      </c>
      <c r="CO1025" s="551">
        <v>3.5009143803873681E-15</v>
      </c>
      <c r="CP1025" s="551">
        <v>156960589522.02692</v>
      </c>
      <c r="CQ1025" s="551"/>
      <c r="CR1025" s="551">
        <v>409641062085.84644</v>
      </c>
      <c r="CS1025" s="551">
        <v>4.4914258949971468E-5</v>
      </c>
      <c r="CT1025" s="551">
        <v>2.8004889296118086E-14</v>
      </c>
      <c r="CU1025" s="551">
        <v>548049331589.02856</v>
      </c>
      <c r="CV1025" s="551"/>
      <c r="CW1025" s="551">
        <v>1430316975917.0378</v>
      </c>
      <c r="CX1025" s="551">
        <v>1.7699538336939672E-4</v>
      </c>
      <c r="CY1025" s="554"/>
    </row>
    <row r="1026" spans="65:103" ht="12.75" customHeight="1" x14ac:dyDescent="0.3">
      <c r="BM1026" s="562"/>
      <c r="BN1026" s="591">
        <v>1013</v>
      </c>
      <c r="BO1026" s="549" t="s">
        <v>3869</v>
      </c>
      <c r="BP1026" s="554" t="s">
        <v>1746</v>
      </c>
      <c r="BQ1026" s="553" t="s">
        <v>2408</v>
      </c>
      <c r="BR1026" s="551">
        <v>2.8332354857477803E-6</v>
      </c>
      <c r="BS1026" s="551"/>
      <c r="BT1026" s="551">
        <v>53942619.255628027</v>
      </c>
      <c r="BU1026" s="551">
        <v>4587406.0817256328</v>
      </c>
      <c r="BV1026" s="551">
        <v>779243384.72661388</v>
      </c>
      <c r="BW1026" s="551">
        <v>19751996.005913962</v>
      </c>
      <c r="BX1026" s="551">
        <v>2928706957.1545358</v>
      </c>
      <c r="BY1026" s="551">
        <v>69611026729.983261</v>
      </c>
      <c r="BZ1026" s="551">
        <v>1084706280.4276056</v>
      </c>
      <c r="CA1026" s="551">
        <v>2.6824548188492575E-17</v>
      </c>
      <c r="CB1026" s="551">
        <v>2.2781527153524268E-40</v>
      </c>
      <c r="CC1026" s="551">
        <v>6.9785723493206002E-5</v>
      </c>
      <c r="CD1026" s="551">
        <v>152531873246.24576</v>
      </c>
      <c r="CE1026" s="551">
        <v>1.0081094342627376E-3</v>
      </c>
      <c r="CF1026" s="551">
        <v>32837827058.043015</v>
      </c>
      <c r="CG1026" s="551">
        <v>1.4368920859099318E-2</v>
      </c>
      <c r="CH1026" s="551">
        <v>0.12772374096376168</v>
      </c>
      <c r="CI1026" s="551">
        <v>5.3218225404071525E-3</v>
      </c>
      <c r="CJ1026" s="551">
        <v>2.0466647146973806E-19</v>
      </c>
      <c r="CK1026" s="551">
        <v>8397502171758.9639</v>
      </c>
      <c r="CL1026" s="551"/>
      <c r="CM1026" s="551">
        <v>365223295060.83203</v>
      </c>
      <c r="CN1026" s="551">
        <v>3.9349760608298543E-4</v>
      </c>
      <c r="CO1026" s="551">
        <v>1.5338910738270897E-19</v>
      </c>
      <c r="CP1026" s="551">
        <v>5520773651134.3545</v>
      </c>
      <c r="CQ1026" s="551"/>
      <c r="CR1026" s="551">
        <v>240108959421.98438</v>
      </c>
      <c r="CS1026" s="551">
        <v>1.351155609636985E-4</v>
      </c>
      <c r="CT1026" s="551">
        <v>4.0306713253558235E-19</v>
      </c>
      <c r="CU1026" s="551">
        <v>19321934423238.871</v>
      </c>
      <c r="CV1026" s="551"/>
      <c r="CW1026" s="551">
        <v>840347716118.97681</v>
      </c>
      <c r="CX1026" s="551">
        <v>6.0476841181377817E-4</v>
      </c>
      <c r="CY1026" s="554"/>
    </row>
    <row r="1027" spans="65:103" ht="12.75" customHeight="1" x14ac:dyDescent="0.3">
      <c r="BM1027" s="562"/>
      <c r="BN1027" s="591">
        <v>1014</v>
      </c>
      <c r="BO1027" s="549" t="s">
        <v>3871</v>
      </c>
      <c r="BP1027" s="554" t="s">
        <v>1746</v>
      </c>
      <c r="BQ1027" s="553" t="s">
        <v>2408</v>
      </c>
      <c r="BR1027" s="551">
        <v>11.796067364006976</v>
      </c>
      <c r="BS1027" s="551"/>
      <c r="BT1027" s="551">
        <v>96719606.76096195</v>
      </c>
      <c r="BU1027" s="551">
        <v>7645204.2788325939</v>
      </c>
      <c r="BV1027" s="551">
        <v>1652758952.7550182</v>
      </c>
      <c r="BW1027" s="551">
        <v>39357157.920041598</v>
      </c>
      <c r="BX1027" s="551">
        <v>6551458248.8680506</v>
      </c>
      <c r="BY1027" s="551">
        <v>155720472696.5134</v>
      </c>
      <c r="BZ1027" s="551">
        <v>2426466018.0992775</v>
      </c>
      <c r="CA1027" s="551">
        <v>2.4361609053002103E-4</v>
      </c>
      <c r="CB1027" s="551">
        <v>9.4784597630728056E-34</v>
      </c>
      <c r="CC1027" s="551">
        <v>274.42794367477762</v>
      </c>
      <c r="CD1027" s="551">
        <v>228698756708.73499</v>
      </c>
      <c r="CE1027" s="551">
        <v>4689.465310953954</v>
      </c>
      <c r="CF1027" s="551">
        <v>58866530936.419136</v>
      </c>
      <c r="CG1027" s="551">
        <v>70114.072588054143</v>
      </c>
      <c r="CH1027" s="551">
        <v>623236.20074830949</v>
      </c>
      <c r="CI1027" s="551">
        <v>25968.175032612635</v>
      </c>
      <c r="CJ1027" s="551">
        <v>7.3883275390149421E-10</v>
      </c>
      <c r="CK1027" s="551">
        <v>12589081229257</v>
      </c>
      <c r="CL1027" s="551"/>
      <c r="CM1027" s="551">
        <v>654625866835.83142</v>
      </c>
      <c r="CN1027" s="551">
        <v>0.76321873059625811</v>
      </c>
      <c r="CO1027" s="551">
        <v>1.0683047565923795E-13</v>
      </c>
      <c r="CP1027" s="551">
        <v>8276370956279.8213</v>
      </c>
      <c r="CQ1027" s="551"/>
      <c r="CR1027" s="551">
        <v>430367203326.73633</v>
      </c>
      <c r="CS1027" s="551">
        <v>2.8949806205525461E-4</v>
      </c>
      <c r="CT1027" s="551">
        <v>4.0991234959628267E-12</v>
      </c>
      <c r="CU1027" s="551">
        <v>28965912220728.035</v>
      </c>
      <c r="CV1027" s="551"/>
      <c r="CW1027" s="551">
        <v>1506213118452.6157</v>
      </c>
      <c r="CX1027" s="551">
        <v>1.3247039520856616E-3</v>
      </c>
      <c r="CY1027" s="554"/>
    </row>
    <row r="1028" spans="65:103" ht="12.75" customHeight="1" x14ac:dyDescent="0.3">
      <c r="BM1028" s="562"/>
      <c r="BN1028" s="591">
        <v>1015</v>
      </c>
      <c r="BO1028" s="549" t="s">
        <v>3873</v>
      </c>
      <c r="BP1028" s="554" t="s">
        <v>1746</v>
      </c>
      <c r="BQ1028" s="553" t="s">
        <v>2408</v>
      </c>
      <c r="BR1028" s="551">
        <v>1.3755691927882575E-9</v>
      </c>
      <c r="BS1028" s="551"/>
      <c r="BT1028" s="551">
        <v>17706630.065453321</v>
      </c>
      <c r="BU1028" s="551">
        <v>738644.75308376818</v>
      </c>
      <c r="BV1028" s="551">
        <v>5897811881.400281</v>
      </c>
      <c r="BW1028" s="551">
        <v>221098789.14436418</v>
      </c>
      <c r="BX1028" s="551">
        <v>86130699169.306046</v>
      </c>
      <c r="BY1028" s="551">
        <v>2047199151799.3115</v>
      </c>
      <c r="BZ1028" s="551">
        <v>31900258951.594826</v>
      </c>
      <c r="CA1028" s="551">
        <v>2.922849659477542E-24</v>
      </c>
      <c r="CB1028" s="551">
        <v>1.1053304638829597E-43</v>
      </c>
      <c r="CC1028" s="551">
        <v>6.5240489623648241E-9</v>
      </c>
      <c r="CD1028" s="551">
        <v>641403538.61427116</v>
      </c>
      <c r="CE1028" s="551">
        <v>2.1730624824056454E-6</v>
      </c>
      <c r="CF1028" s="551">
        <v>9599577141.0050907</v>
      </c>
      <c r="CG1028" s="551">
        <v>9.4837587987846807E-5</v>
      </c>
      <c r="CH1028" s="551">
        <v>8.4300078157458738E-4</v>
      </c>
      <c r="CI1028" s="551">
        <v>3.5125032588091398E-5</v>
      </c>
      <c r="CJ1028" s="551">
        <v>5.4087509780604719E-28</v>
      </c>
      <c r="CK1028" s="551">
        <v>33705753463.927559</v>
      </c>
      <c r="CL1028" s="551"/>
      <c r="CM1028" s="551">
        <v>101906365467.49304</v>
      </c>
      <c r="CN1028" s="551">
        <v>6.2990443289701073E-8</v>
      </c>
      <c r="CO1028" s="551">
        <v>6.9182858268063131E-29</v>
      </c>
      <c r="CP1028" s="551">
        <v>22089624531.868607</v>
      </c>
      <c r="CQ1028" s="551"/>
      <c r="CR1028" s="551">
        <v>66786864965.967484</v>
      </c>
      <c r="CS1028" s="551">
        <v>8.721331828485057E-9</v>
      </c>
      <c r="CT1028" s="551">
        <v>2.6577252795015499E-27</v>
      </c>
      <c r="CU1028" s="551">
        <v>77099835350.530807</v>
      </c>
      <c r="CV1028" s="551"/>
      <c r="CW1028" s="551">
        <v>233107323394.23785</v>
      </c>
      <c r="CX1028" s="551">
        <v>1.7261171392099243E-7</v>
      </c>
      <c r="CY1028" s="554"/>
    </row>
    <row r="1029" spans="65:103" ht="12.75" customHeight="1" x14ac:dyDescent="0.3">
      <c r="BM1029" s="562"/>
      <c r="BN1029" s="591">
        <v>1016</v>
      </c>
      <c r="BO1029" s="549" t="s">
        <v>3875</v>
      </c>
      <c r="BP1029" s="554" t="s">
        <v>1746</v>
      </c>
      <c r="BQ1029" s="553" t="s">
        <v>2408</v>
      </c>
      <c r="BR1029" s="551">
        <v>1.3755691927882581E-9</v>
      </c>
      <c r="BS1029" s="551"/>
      <c r="BT1029" s="551">
        <v>55630975.181796998</v>
      </c>
      <c r="BU1029" s="551">
        <v>3077861.7858589743</v>
      </c>
      <c r="BV1029" s="551">
        <v>3547604689.295445</v>
      </c>
      <c r="BW1029" s="551">
        <v>67005355.429347791</v>
      </c>
      <c r="BX1029" s="551">
        <v>24950091778.718971</v>
      </c>
      <c r="BY1029" s="551">
        <v>593026728478.41907</v>
      </c>
      <c r="BZ1029" s="551">
        <v>9240774732.858881</v>
      </c>
      <c r="CA1029" s="551">
        <v>3.9443188826775872E-24</v>
      </c>
      <c r="CB1029" s="551">
        <v>1.491618224753867E-43</v>
      </c>
      <c r="CC1029" s="551">
        <v>2.3606954268116368E-8</v>
      </c>
      <c r="CD1029" s="551">
        <v>30951804717.244194</v>
      </c>
      <c r="CE1029" s="551">
        <v>1.5054228581805619E-6</v>
      </c>
      <c r="CF1029" s="551">
        <v>33691192466.589481</v>
      </c>
      <c r="CG1029" s="551">
        <v>3.7073212125229432E-5</v>
      </c>
      <c r="CH1029" s="551">
        <v>3.2953966327426863E-4</v>
      </c>
      <c r="CI1029" s="551">
        <v>1.3730819305640527E-5</v>
      </c>
      <c r="CJ1029" s="551">
        <v>1.1329318815398615E-23</v>
      </c>
      <c r="CK1029" s="551">
        <v>1699213802191.8721</v>
      </c>
      <c r="CL1029" s="551"/>
      <c r="CM1029" s="551">
        <v>373655952082.04675</v>
      </c>
      <c r="CN1029" s="551">
        <v>3.8220437247771396E-4</v>
      </c>
      <c r="CO1029" s="551">
        <v>1.453415806934643E-24</v>
      </c>
      <c r="CP1029" s="551">
        <v>1116906678934.6001</v>
      </c>
      <c r="CQ1029" s="551"/>
      <c r="CR1029" s="551">
        <v>245607238449.0144</v>
      </c>
      <c r="CS1029" s="551">
        <v>9.7665456178344808E-5</v>
      </c>
      <c r="CT1029" s="551">
        <v>5.5977890836243519E-23</v>
      </c>
      <c r="CU1029" s="551">
        <v>3908382587383.585</v>
      </c>
      <c r="CV1029" s="551"/>
      <c r="CW1029" s="551">
        <v>859451403536.0769</v>
      </c>
      <c r="CX1029" s="551">
        <v>6.5479955992117785E-4</v>
      </c>
      <c r="CY1029" s="554"/>
    </row>
    <row r="1030" spans="65:103" ht="12.75" customHeight="1" x14ac:dyDescent="0.3">
      <c r="BM1030" s="562"/>
      <c r="BN1030" s="591">
        <v>1017</v>
      </c>
      <c r="BO1030" s="549" t="s">
        <v>3877</v>
      </c>
      <c r="BP1030" s="554" t="s">
        <v>1746</v>
      </c>
      <c r="BQ1030" s="553" t="s">
        <v>2408</v>
      </c>
      <c r="BR1030" s="551">
        <v>7.031210243197196E-10</v>
      </c>
      <c r="BS1030" s="551"/>
      <c r="BT1030" s="551">
        <v>71289101.892385006</v>
      </c>
      <c r="BU1030" s="551">
        <v>683296593.53722882</v>
      </c>
      <c r="BV1030" s="551">
        <v>4159106.9366159705</v>
      </c>
      <c r="BW1030" s="551">
        <v>11275897.534749463</v>
      </c>
      <c r="BX1030" s="551">
        <v>16176476.072340798</v>
      </c>
      <c r="BY1030" s="551">
        <v>384490877.64269745</v>
      </c>
      <c r="BZ1030" s="551">
        <v>5991287.4342002943</v>
      </c>
      <c r="CA1030" s="551">
        <v>1.7909369456922517E-21</v>
      </c>
      <c r="CB1030" s="551">
        <v>5.1835893838503695E-41</v>
      </c>
      <c r="CC1030" s="551">
        <v>2.3976970316627606E-5</v>
      </c>
      <c r="CD1030" s="551">
        <v>52646735657830.703</v>
      </c>
      <c r="CE1030" s="551">
        <v>1.3988503279710034E-6</v>
      </c>
      <c r="CF1030" s="551">
        <v>43439349941.995285</v>
      </c>
      <c r="CG1030" s="551">
        <v>2.1351708022752063E-5</v>
      </c>
      <c r="CH1030" s="551">
        <v>1.8979296020218218E-4</v>
      </c>
      <c r="CI1030" s="551">
        <v>7.9080400084266876E-6</v>
      </c>
      <c r="CJ1030" s="551">
        <v>1.9911000359327172E-20</v>
      </c>
      <c r="CK1030" s="551">
        <v>2900434374413361</v>
      </c>
      <c r="CL1030" s="551"/>
      <c r="CM1030" s="551">
        <v>483470203005.60626</v>
      </c>
      <c r="CN1030" s="551">
        <v>8.520185727301262E-4</v>
      </c>
      <c r="CO1030" s="551">
        <v>5.4576923337718821E-21</v>
      </c>
      <c r="CP1030" s="551">
        <v>1906921192079856</v>
      </c>
      <c r="CQ1030" s="551"/>
      <c r="CR1030" s="551">
        <v>317862587970.12225</v>
      </c>
      <c r="CS1030" s="551">
        <v>3.3098200384340558E-4</v>
      </c>
      <c r="CT1030" s="551">
        <v>8.4527009183589589E-20</v>
      </c>
      <c r="CU1030" s="551">
        <v>6674223148343294</v>
      </c>
      <c r="CV1030" s="551"/>
      <c r="CW1030" s="551">
        <v>1112518887180.3296</v>
      </c>
      <c r="CX1030" s="551">
        <v>1.2654514681662123E-3</v>
      </c>
      <c r="CY1030" s="554"/>
    </row>
    <row r="1031" spans="65:103" ht="12.75" customHeight="1" x14ac:dyDescent="0.3">
      <c r="BM1031" s="562"/>
      <c r="BN1031" s="591">
        <v>1018</v>
      </c>
      <c r="BO1031" s="549" t="s">
        <v>3879</v>
      </c>
      <c r="BP1031" s="554" t="s">
        <v>1746</v>
      </c>
      <c r="BQ1031" s="553" t="s">
        <v>2408</v>
      </c>
      <c r="BR1031" s="551">
        <v>10.939791602563421</v>
      </c>
      <c r="BS1031" s="551"/>
      <c r="BT1031" s="551">
        <v>14751685.169392195</v>
      </c>
      <c r="BU1031" s="551">
        <v>622799.19504828518</v>
      </c>
      <c r="BV1031" s="551">
        <v>4795790122.6370506</v>
      </c>
      <c r="BW1031" s="551">
        <v>173647871.13518369</v>
      </c>
      <c r="BX1031" s="551">
        <v>69479629761.112076</v>
      </c>
      <c r="BY1031" s="551">
        <v>1651449245642.0347</v>
      </c>
      <c r="BZ1031" s="551">
        <v>25733196207.81929</v>
      </c>
      <c r="CA1031" s="551">
        <v>2.2593201432081927E-4</v>
      </c>
      <c r="CB1031" s="551">
        <v>8.7904189837000006E-34</v>
      </c>
      <c r="CC1031" s="551">
        <v>52.709596879990869</v>
      </c>
      <c r="CD1031" s="551">
        <v>578341209.59828413</v>
      </c>
      <c r="CE1031" s="551">
        <v>17135.951668066697</v>
      </c>
      <c r="CF1031" s="551">
        <v>8062608352.3360195</v>
      </c>
      <c r="CG1031" s="551">
        <v>743574.88331896567</v>
      </c>
      <c r="CH1031" s="551">
        <v>6609554.514219732</v>
      </c>
      <c r="CI1031" s="551">
        <v>275398.10493295023</v>
      </c>
      <c r="CJ1031" s="551">
        <v>6.8443214513934532E-10</v>
      </c>
      <c r="CK1031" s="551">
        <v>30487919922.29303</v>
      </c>
      <c r="CL1031" s="551"/>
      <c r="CM1031" s="551">
        <v>85861207968.957962</v>
      </c>
      <c r="CN1031" s="551">
        <v>8.0850180002494465</v>
      </c>
      <c r="CO1031" s="551">
        <v>4.3874298243675161E-16</v>
      </c>
      <c r="CP1031" s="551">
        <v>19985125854.942215</v>
      </c>
      <c r="CQ1031" s="551"/>
      <c r="CR1031" s="551">
        <v>56283508803.325508</v>
      </c>
      <c r="CS1031" s="551">
        <v>5.6618179413677227E-6</v>
      </c>
      <c r="CT1031" s="551">
        <v>1.7516130894916852E-15</v>
      </c>
      <c r="CU1031" s="551">
        <v>69767648136.262466</v>
      </c>
      <c r="CV1031" s="551"/>
      <c r="CW1031" s="551">
        <v>196484420713.08194</v>
      </c>
      <c r="CX1031" s="551">
        <v>1.140125521897211E-5</v>
      </c>
      <c r="CY1031" s="554"/>
    </row>
    <row r="1032" spans="65:103" ht="12.75" customHeight="1" x14ac:dyDescent="0.3">
      <c r="BM1032" s="562"/>
      <c r="BN1032" s="591">
        <v>1019</v>
      </c>
      <c r="BO1032" s="549" t="s">
        <v>3881</v>
      </c>
      <c r="BP1032" s="554" t="s">
        <v>1746</v>
      </c>
      <c r="BQ1032" s="553" t="s">
        <v>2408</v>
      </c>
      <c r="BR1032" s="551">
        <v>12.447269421244334</v>
      </c>
      <c r="BS1032" s="551"/>
      <c r="BT1032" s="551">
        <v>147028015.02419376</v>
      </c>
      <c r="BU1032" s="551">
        <v>28750551.773088448</v>
      </c>
      <c r="BV1032" s="551">
        <v>575204774.28319752</v>
      </c>
      <c r="BW1032" s="551">
        <v>30782755.014732443</v>
      </c>
      <c r="BX1032" s="551">
        <v>1711407653.5367832</v>
      </c>
      <c r="BY1032" s="551">
        <v>40678151134.106735</v>
      </c>
      <c r="BZ1032" s="551">
        <v>633854686.49510479</v>
      </c>
      <c r="CA1032" s="551">
        <v>2.5706492056371477E-4</v>
      </c>
      <c r="CB1032" s="551">
        <v>1.0001718280428669E-33</v>
      </c>
      <c r="CC1032" s="551">
        <v>405.11301578126978</v>
      </c>
      <c r="CD1032" s="551">
        <v>1673207315260.9724</v>
      </c>
      <c r="CE1032" s="551">
        <v>1584.8880280625858</v>
      </c>
      <c r="CF1032" s="551">
        <v>89573812845.477509</v>
      </c>
      <c r="CG1032" s="551">
        <v>18315.58045794172</v>
      </c>
      <c r="CH1032" s="551">
        <v>162805.15962392441</v>
      </c>
      <c r="CI1032" s="551">
        <v>6783.548317756191</v>
      </c>
      <c r="CJ1032" s="551">
        <v>7.8501213498525112E-10</v>
      </c>
      <c r="CK1032" s="551">
        <v>92165224441809.328</v>
      </c>
      <c r="CL1032" s="551"/>
      <c r="CM1032" s="551">
        <v>996765796699.72803</v>
      </c>
      <c r="CN1032" s="551">
        <v>0.20075108272722209</v>
      </c>
      <c r="CO1032" s="551">
        <v>8.0458082636630796E-13</v>
      </c>
      <c r="CP1032" s="551">
        <v>60594317668584.797</v>
      </c>
      <c r="CQ1032" s="551"/>
      <c r="CR1032" s="551">
        <v>655326848102.98035</v>
      </c>
      <c r="CS1032" s="551">
        <v>6.0042698906292926E-4</v>
      </c>
      <c r="CT1032" s="551">
        <v>3.0979010320438625E-11</v>
      </c>
      <c r="CU1032" s="551">
        <v>212078000990594.91</v>
      </c>
      <c r="CV1032" s="551"/>
      <c r="CW1032" s="551">
        <v>2293621134697.894</v>
      </c>
      <c r="CX1032" s="551">
        <v>2.4035045097332932E-3</v>
      </c>
      <c r="CY1032" s="554"/>
    </row>
    <row r="1033" spans="65:103" ht="12.75" customHeight="1" x14ac:dyDescent="0.3">
      <c r="BM1033" s="562"/>
      <c r="BN1033" s="591">
        <v>1020</v>
      </c>
      <c r="BO1033" s="549" t="s">
        <v>3883</v>
      </c>
      <c r="BP1033" s="554" t="s">
        <v>1746</v>
      </c>
      <c r="BQ1033" s="553" t="s">
        <v>2408</v>
      </c>
      <c r="BR1033" s="551">
        <v>12.44726942124432</v>
      </c>
      <c r="BS1033" s="551"/>
      <c r="BT1033" s="551">
        <v>16727969.756712049</v>
      </c>
      <c r="BU1033" s="551">
        <v>704716.40129291243</v>
      </c>
      <c r="BV1033" s="551">
        <v>5463029031.2254372</v>
      </c>
      <c r="BW1033" s="551">
        <v>199065974.6399869</v>
      </c>
      <c r="BX1033" s="551">
        <v>79265180802.109695</v>
      </c>
      <c r="BY1033" s="551">
        <v>1884040307802.1152</v>
      </c>
      <c r="BZ1033" s="551">
        <v>29357474371.151733</v>
      </c>
      <c r="CA1033" s="551">
        <v>2.5706492000054893E-4</v>
      </c>
      <c r="CB1033" s="551">
        <v>1.0001718258517373E-33</v>
      </c>
      <c r="CC1033" s="551">
        <v>59.796218513774669</v>
      </c>
      <c r="CD1033" s="551">
        <v>646397104.35804379</v>
      </c>
      <c r="CE1033" s="551">
        <v>19528.280027358142</v>
      </c>
      <c r="CF1033" s="551">
        <v>9129606558.5690708</v>
      </c>
      <c r="CG1033" s="551">
        <v>848300.39781204402</v>
      </c>
      <c r="CH1033" s="551">
        <v>7540447.9757802468</v>
      </c>
      <c r="CI1033" s="551">
        <v>314185.33252297924</v>
      </c>
      <c r="CJ1033" s="551">
        <v>7.7874527730439043E-10</v>
      </c>
      <c r="CK1033" s="551">
        <v>34056356070.484604</v>
      </c>
      <c r="CL1033" s="551"/>
      <c r="CM1033" s="551">
        <v>97169146528.390045</v>
      </c>
      <c r="CN1033" s="551">
        <v>9.223716300416406</v>
      </c>
      <c r="CO1033" s="551">
        <v>4.9609045213778649E-16</v>
      </c>
      <c r="CP1033" s="551">
        <v>22323401041.450371</v>
      </c>
      <c r="CQ1033" s="551"/>
      <c r="CR1033" s="551">
        <v>63693588229.680725</v>
      </c>
      <c r="CS1033" s="551">
        <v>6.4080279068619658E-6</v>
      </c>
      <c r="CT1033" s="551">
        <v>1.8734433500844721E-15</v>
      </c>
      <c r="CU1033" s="551">
        <v>77927889486.987793</v>
      </c>
      <c r="CV1033" s="551"/>
      <c r="CW1033" s="551">
        <v>222345337399.65314</v>
      </c>
      <c r="CX1033" s="551">
        <v>1.2254202153402325E-5</v>
      </c>
      <c r="CY1033" s="554"/>
    </row>
    <row r="1034" spans="65:103" ht="12.75" customHeight="1" x14ac:dyDescent="0.3">
      <c r="BM1034" s="562"/>
      <c r="BN1034" s="591">
        <v>1021</v>
      </c>
      <c r="BO1034" s="549" t="s">
        <v>3884</v>
      </c>
      <c r="BP1034" s="554" t="s">
        <v>1746</v>
      </c>
      <c r="BQ1034" s="553" t="s">
        <v>2408</v>
      </c>
      <c r="BR1034" s="551">
        <v>3.5665015191476104E-10</v>
      </c>
      <c r="BS1034" s="551"/>
      <c r="BT1034" s="551">
        <v>5670807.2125655618</v>
      </c>
      <c r="BU1034" s="551">
        <v>259954.41201494899</v>
      </c>
      <c r="BV1034" s="551">
        <v>1416411129.1374679</v>
      </c>
      <c r="BW1034" s="551">
        <v>38909902.289289504</v>
      </c>
      <c r="BX1034" s="551">
        <v>18692774676.893215</v>
      </c>
      <c r="BY1034" s="551">
        <v>444299568404.47168</v>
      </c>
      <c r="BZ1034" s="551">
        <v>6923249880.3308229</v>
      </c>
      <c r="CA1034" s="551">
        <v>7.6293139221830218E-25</v>
      </c>
      <c r="CB1034" s="551">
        <v>2.8845085565421142E-44</v>
      </c>
      <c r="CC1034" s="551">
        <v>2.0464771786608417E-9</v>
      </c>
      <c r="CD1034" s="551">
        <v>436332147.3323589</v>
      </c>
      <c r="CE1034" s="551">
        <v>5.1115351707921391E-7</v>
      </c>
      <c r="CF1034" s="551">
        <v>3265503571.7188811</v>
      </c>
      <c r="CG1034" s="551">
        <v>2.0721220563140797E-5</v>
      </c>
      <c r="CH1034" s="551">
        <v>1.8418862712920683E-4</v>
      </c>
      <c r="CI1034" s="551">
        <v>7.674526134496591E-6</v>
      </c>
      <c r="CJ1034" s="551">
        <v>5.3795412010115848E-26</v>
      </c>
      <c r="CK1034" s="551">
        <v>23469782196.870953</v>
      </c>
      <c r="CL1034" s="551"/>
      <c r="CM1034" s="551">
        <v>35483599706.950806</v>
      </c>
      <c r="CN1034" s="551">
        <v>5.2441939097881637E-6</v>
      </c>
      <c r="CO1034" s="551">
        <v>6.8995287778973323E-27</v>
      </c>
      <c r="CP1034" s="551">
        <v>15405842920.152691</v>
      </c>
      <c r="CQ1034" s="551"/>
      <c r="CR1034" s="551">
        <v>23292001170.83419</v>
      </c>
      <c r="CS1034" s="551">
        <v>8.1220595471431414E-7</v>
      </c>
      <c r="CT1034" s="551">
        <v>2.6508839526195341E-25</v>
      </c>
      <c r="CU1034" s="551">
        <v>53845647318.462143</v>
      </c>
      <c r="CV1034" s="551"/>
      <c r="CW1034" s="551">
        <v>81408885982.799454</v>
      </c>
      <c r="CX1034" s="551">
        <v>1.2650130752677104E-5</v>
      </c>
      <c r="CY1034" s="554"/>
    </row>
    <row r="1035" spans="65:103" ht="12.75" customHeight="1" x14ac:dyDescent="0.3">
      <c r="BM1035" s="562"/>
      <c r="BN1035" s="591">
        <v>1022</v>
      </c>
      <c r="BO1035" s="549" t="s">
        <v>3886</v>
      </c>
      <c r="BP1035" s="554" t="s">
        <v>1746</v>
      </c>
      <c r="BQ1035" s="553" t="s">
        <v>2408</v>
      </c>
      <c r="BR1035" s="551">
        <v>1.3018583135824225E-9</v>
      </c>
      <c r="BS1035" s="551"/>
      <c r="BT1035" s="551">
        <v>86131856.477810696</v>
      </c>
      <c r="BU1035" s="551">
        <v>5828940.5436047409</v>
      </c>
      <c r="BV1035" s="551">
        <v>2266609586.324512</v>
      </c>
      <c r="BW1035" s="551">
        <v>47616404.472362474</v>
      </c>
      <c r="BX1035" s="551">
        <v>10555718928.974445</v>
      </c>
      <c r="BY1035" s="551">
        <v>250893805094.87961</v>
      </c>
      <c r="BZ1035" s="551">
        <v>3909525529.249795</v>
      </c>
      <c r="CA1035" s="551">
        <v>7.1244848457531851E-24</v>
      </c>
      <c r="CB1035" s="551">
        <v>2.694257678956749E-43</v>
      </c>
      <c r="CC1035" s="551">
        <v>6.5916638564008777E-8</v>
      </c>
      <c r="CD1035" s="551">
        <v>128240694073.19879</v>
      </c>
      <c r="CE1035" s="551">
        <v>1.7346344427855291E-6</v>
      </c>
      <c r="CF1035" s="551">
        <v>52379679575.78125</v>
      </c>
      <c r="CG1035" s="551">
        <v>2.9934778884666858E-5</v>
      </c>
      <c r="CH1035" s="551">
        <v>2.6608692339720518E-4</v>
      </c>
      <c r="CI1035" s="551">
        <v>1.1086955142469203E-5</v>
      </c>
      <c r="CJ1035" s="551">
        <v>4.8442908954810887E-23</v>
      </c>
      <c r="CK1035" s="551">
        <v>7055755296001.2969</v>
      </c>
      <c r="CL1035" s="551"/>
      <c r="CM1035" s="551">
        <v>582203470731.17981</v>
      </c>
      <c r="CN1035" s="551">
        <v>7.3056095435688822E-4</v>
      </c>
      <c r="CO1035" s="551">
        <v>6.2155468107380045E-24</v>
      </c>
      <c r="CP1035" s="551">
        <v>4638477110460.5664</v>
      </c>
      <c r="CQ1035" s="551"/>
      <c r="CR1035" s="551">
        <v>382742638371.58606</v>
      </c>
      <c r="CS1035" s="551">
        <v>2.3035111767914139E-4</v>
      </c>
      <c r="CT1035" s="551">
        <v>2.3942024979929026E-22</v>
      </c>
      <c r="CU1035" s="551">
        <v>16233437223975.369</v>
      </c>
      <c r="CV1035" s="551"/>
      <c r="CW1035" s="551">
        <v>1339497499883.4741</v>
      </c>
      <c r="CX1035" s="551">
        <v>1.153554687371062E-3</v>
      </c>
      <c r="CY1035" s="554"/>
    </row>
    <row r="1036" spans="65:103" ht="12.75" customHeight="1" x14ac:dyDescent="0.3">
      <c r="BM1036" s="562"/>
      <c r="BN1036" s="591">
        <v>1023</v>
      </c>
      <c r="BO1036" s="549" t="s">
        <v>3888</v>
      </c>
      <c r="BP1036" s="554" t="s">
        <v>1746</v>
      </c>
      <c r="BQ1036" s="553" t="s">
        <v>2408</v>
      </c>
      <c r="BR1036" s="551">
        <v>7.4550860692326723E-10</v>
      </c>
      <c r="BS1036" s="551"/>
      <c r="BT1036" s="551">
        <v>23973784.875480294</v>
      </c>
      <c r="BU1036" s="551">
        <v>1259906.2781493887</v>
      </c>
      <c r="BV1036" s="551">
        <v>2181476900.3314981</v>
      </c>
      <c r="BW1036" s="551">
        <v>41860177.039447978</v>
      </c>
      <c r="BX1036" s="551">
        <v>18326997208.115639</v>
      </c>
      <c r="BY1036" s="551">
        <v>435605579844.63861</v>
      </c>
      <c r="BZ1036" s="551">
        <v>6787776743.7465315</v>
      </c>
      <c r="CA1036" s="551">
        <v>1.8084272246137288E-24</v>
      </c>
      <c r="CB1036" s="551">
        <v>6.838907011858322E-44</v>
      </c>
      <c r="CC1036" s="551">
        <v>8.8752309574016966E-9</v>
      </c>
      <c r="CD1036" s="551">
        <v>8705586543.4507198</v>
      </c>
      <c r="CE1036" s="551">
        <v>8.0759510520513628E-7</v>
      </c>
      <c r="CF1036" s="551">
        <v>14462083420.854013</v>
      </c>
      <c r="CG1036" s="551">
        <v>2.3037650165443398E-5</v>
      </c>
      <c r="CH1036" s="551">
        <v>2.0477911253025569E-4</v>
      </c>
      <c r="CI1036" s="551">
        <v>8.5324630242382921E-6</v>
      </c>
      <c r="CJ1036" s="551">
        <v>2.4838821692681535E-24</v>
      </c>
      <c r="CK1036" s="551">
        <v>477042601609.35364</v>
      </c>
      <c r="CL1036" s="551"/>
      <c r="CM1036" s="551">
        <v>160096840754.61023</v>
      </c>
      <c r="CN1036" s="551">
        <v>1.1357213445375509E-4</v>
      </c>
      <c r="CO1036" s="551">
        <v>3.1861335871416642E-25</v>
      </c>
      <c r="CP1036" s="551">
        <v>313525548170.06689</v>
      </c>
      <c r="CQ1036" s="551"/>
      <c r="CR1036" s="551">
        <v>105220203648.42297</v>
      </c>
      <c r="CS1036" s="551">
        <v>2.5868357890096285E-5</v>
      </c>
      <c r="CT1036" s="551">
        <v>1.2269996129009188E-23</v>
      </c>
      <c r="CU1036" s="551">
        <v>1097000715465.8191</v>
      </c>
      <c r="CV1036" s="551"/>
      <c r="CW1036" s="551">
        <v>368157018736.36304</v>
      </c>
      <c r="CX1036" s="551">
        <v>2.0581041262340125E-4</v>
      </c>
      <c r="CY1036" s="554"/>
    </row>
    <row r="1037" spans="65:103" ht="12.75" customHeight="1" x14ac:dyDescent="0.3">
      <c r="BM1037" s="562"/>
      <c r="BN1037" s="591">
        <v>1024</v>
      </c>
      <c r="BO1037" s="549" t="s">
        <v>3890</v>
      </c>
      <c r="BP1037" s="554" t="s">
        <v>1746</v>
      </c>
      <c r="BQ1037" s="553" t="s">
        <v>2408</v>
      </c>
      <c r="BR1037" s="551">
        <v>11.844261828016368</v>
      </c>
      <c r="BS1037" s="551"/>
      <c r="BT1037" s="551">
        <v>111655711.57754187</v>
      </c>
      <c r="BU1037" s="551">
        <v>10671400.080270063</v>
      </c>
      <c r="BV1037" s="551">
        <v>1271411073.5506725</v>
      </c>
      <c r="BW1037" s="551">
        <v>35685241.783701688</v>
      </c>
      <c r="BX1037" s="551">
        <v>4473137876.945118</v>
      </c>
      <c r="BY1037" s="551">
        <v>106321236919.61612</v>
      </c>
      <c r="BZ1037" s="551">
        <v>1656717732.2018955</v>
      </c>
      <c r="CA1037" s="551">
        <v>2.4461141780624527E-4</v>
      </c>
      <c r="CB1037" s="551">
        <v>9.5171853231056187E-34</v>
      </c>
      <c r="CC1037" s="551">
        <v>313.02729527882673</v>
      </c>
      <c r="CD1037" s="551">
        <v>406625155088.39954</v>
      </c>
      <c r="CE1037" s="551">
        <v>3564.4067277716094</v>
      </c>
      <c r="CF1037" s="551">
        <v>67987878186.165405</v>
      </c>
      <c r="CG1037" s="551">
        <v>47871.771743329649</v>
      </c>
      <c r="CH1037" s="551">
        <v>425526.85992473975</v>
      </c>
      <c r="CI1037" s="551">
        <v>17730.285830862831</v>
      </c>
      <c r="CJ1037" s="551">
        <v>7.4250455597803467E-10</v>
      </c>
      <c r="CK1037" s="551">
        <v>22389864783837.734</v>
      </c>
      <c r="CL1037" s="551"/>
      <c r="CM1037" s="551">
        <v>756281215171.45667</v>
      </c>
      <c r="CN1037" s="551">
        <v>0.52156153449509912</v>
      </c>
      <c r="CO1037" s="551">
        <v>1.9107724731270701E-13</v>
      </c>
      <c r="CP1037" s="551">
        <v>14719930042516.688</v>
      </c>
      <c r="CQ1037" s="551"/>
      <c r="CR1037" s="551">
        <v>497207475271.8089</v>
      </c>
      <c r="CS1037" s="551">
        <v>3.6790774596698707E-4</v>
      </c>
      <c r="CT1037" s="551">
        <v>7.3446397410335483E-12</v>
      </c>
      <c r="CU1037" s="551">
        <v>51518153685613.063</v>
      </c>
      <c r="CV1037" s="551"/>
      <c r="CW1037" s="551">
        <v>1740172057989.6138</v>
      </c>
      <c r="CX1037" s="551">
        <v>1.5928799297481606E-3</v>
      </c>
      <c r="CY1037" s="554"/>
    </row>
    <row r="1038" spans="65:103" ht="12.75" customHeight="1" x14ac:dyDescent="0.3">
      <c r="BM1038" s="562"/>
      <c r="BN1038" s="591">
        <v>1025</v>
      </c>
      <c r="BO1038" s="549" t="s">
        <v>3892</v>
      </c>
      <c r="BP1038" s="554" t="s">
        <v>1746</v>
      </c>
      <c r="BQ1038" s="553" t="s">
        <v>2408</v>
      </c>
      <c r="BR1038" s="551">
        <v>3.355115816488877</v>
      </c>
      <c r="BS1038" s="551"/>
      <c r="BT1038" s="551">
        <v>4470321.7438616874</v>
      </c>
      <c r="BU1038" s="551">
        <v>187259.00404103452</v>
      </c>
      <c r="BV1038" s="551">
        <v>1476936005.9002819</v>
      </c>
      <c r="BW1038" s="551">
        <v>54713869.758767694</v>
      </c>
      <c r="BX1038" s="551">
        <v>21511299021.371243</v>
      </c>
      <c r="BY1038" s="551">
        <v>511298328208.62122</v>
      </c>
      <c r="BZ1038" s="551">
        <v>7967147785.6930523</v>
      </c>
      <c r="CA1038" s="551">
        <v>6.9290906283929273E-5</v>
      </c>
      <c r="CB1038" s="551">
        <v>2.6959264707440882E-34</v>
      </c>
      <c r="CC1038" s="551">
        <v>15.996823699316046</v>
      </c>
      <c r="CD1038" s="551">
        <v>166368079.00987148</v>
      </c>
      <c r="CE1038" s="551">
        <v>5285.1419327927933</v>
      </c>
      <c r="CF1038" s="551">
        <v>2430494985.6958013</v>
      </c>
      <c r="CG1038" s="551">
        <v>230215.12513596291</v>
      </c>
      <c r="CH1038" s="551">
        <v>2046356.666571555</v>
      </c>
      <c r="CI1038" s="551">
        <v>85264.86116146775</v>
      </c>
      <c r="CJ1038" s="551">
        <v>2.0990790654424061E-10</v>
      </c>
      <c r="CK1038" s="551">
        <v>8752252582.1046524</v>
      </c>
      <c r="CL1038" s="551"/>
      <c r="CM1038" s="551">
        <v>25829828808.156059</v>
      </c>
      <c r="CN1038" s="551">
        <v>2.5031683813882153</v>
      </c>
      <c r="CO1038" s="551">
        <v>1.3032266832574787E-16</v>
      </c>
      <c r="CP1038" s="551">
        <v>5736370150.0255861</v>
      </c>
      <c r="CQ1038" s="551"/>
      <c r="CR1038" s="551">
        <v>16929501625.261372</v>
      </c>
      <c r="CS1038" s="551">
        <v>1.6874975524520614E-6</v>
      </c>
      <c r="CT1038" s="551">
        <v>3.744591194479357E-16</v>
      </c>
      <c r="CU1038" s="551">
        <v>20023079827.923111</v>
      </c>
      <c r="CV1038" s="551"/>
      <c r="CW1038" s="551">
        <v>59093217153.101097</v>
      </c>
      <c r="CX1038" s="551">
        <v>2.4802133766584142E-6</v>
      </c>
      <c r="CY1038" s="554"/>
    </row>
    <row r="1039" spans="65:103" ht="12.75" customHeight="1" x14ac:dyDescent="0.3">
      <c r="BM1039" s="562"/>
      <c r="BN1039" s="591">
        <v>1026</v>
      </c>
      <c r="BO1039" s="549" t="s">
        <v>3894</v>
      </c>
      <c r="BP1039" s="554" t="s">
        <v>1746</v>
      </c>
      <c r="BQ1039" s="553" t="s">
        <v>2408</v>
      </c>
      <c r="BR1039" s="551">
        <v>5.8741865759049189E-10</v>
      </c>
      <c r="BS1039" s="551"/>
      <c r="BT1039" s="551">
        <v>41383679.218131326</v>
      </c>
      <c r="BU1039" s="551">
        <v>2926969.1730055632</v>
      </c>
      <c r="BV1039" s="551">
        <v>950540327.10201502</v>
      </c>
      <c r="BW1039" s="551">
        <v>20661700.289666053</v>
      </c>
      <c r="BX1039" s="551">
        <v>4192554258.5432806</v>
      </c>
      <c r="BY1039" s="551">
        <v>99650805225.192154</v>
      </c>
      <c r="BZ1039" s="551">
        <v>1552797873.5345483</v>
      </c>
      <c r="CA1039" s="551">
        <v>3.1119642697528816E-24</v>
      </c>
      <c r="CB1039" s="551">
        <v>1.176847703650965E-43</v>
      </c>
      <c r="CC1039" s="551">
        <v>3.0469442474311579E-8</v>
      </c>
      <c r="CD1039" s="551">
        <v>71324952482.84169</v>
      </c>
      <c r="CE1039" s="551">
        <v>6.9985159278585675E-7</v>
      </c>
      <c r="CF1039" s="551">
        <v>25174415996.01614</v>
      </c>
      <c r="CG1039" s="551">
        <v>1.1509701169537378E-5</v>
      </c>
      <c r="CH1039" s="551">
        <v>1.0230845483286744E-4</v>
      </c>
      <c r="CI1039" s="551">
        <v>4.262852285013843E-6</v>
      </c>
      <c r="CJ1039" s="551">
        <v>2.0720245508807638E-23</v>
      </c>
      <c r="CK1039" s="551">
        <v>3924978009342.9438</v>
      </c>
      <c r="CL1039" s="551"/>
      <c r="CM1039" s="551">
        <v>279865594403.84222</v>
      </c>
      <c r="CN1039" s="551">
        <v>2.7506035450604332E-4</v>
      </c>
      <c r="CO1039" s="551">
        <v>2.6585765481149825E-24</v>
      </c>
      <c r="CP1039" s="551">
        <v>2580324229191.6489</v>
      </c>
      <c r="CQ1039" s="551"/>
      <c r="CR1039" s="551">
        <v>183986811187.66101</v>
      </c>
      <c r="CS1039" s="551">
        <v>8.8737471241853239E-5</v>
      </c>
      <c r="CT1039" s="551">
        <v>1.0240830719133535E-22</v>
      </c>
      <c r="CU1039" s="551">
        <v>9030542240285.5547</v>
      </c>
      <c r="CV1039" s="551"/>
      <c r="CW1039" s="551">
        <v>643911578293.44226</v>
      </c>
      <c r="CX1039" s="551">
        <v>4.310499556239712E-4</v>
      </c>
      <c r="CY1039" s="554"/>
    </row>
    <row r="1040" spans="65:103" ht="12.75" customHeight="1" x14ac:dyDescent="0.3">
      <c r="BM1040" s="562"/>
      <c r="BN1040" s="591">
        <v>1027</v>
      </c>
      <c r="BO1040" s="549" t="s">
        <v>3896</v>
      </c>
      <c r="BP1040" s="554" t="s">
        <v>1746</v>
      </c>
      <c r="BQ1040" s="553" t="s">
        <v>2408</v>
      </c>
      <c r="BR1040" s="551">
        <v>5.8741865759049189E-10</v>
      </c>
      <c r="BS1040" s="551"/>
      <c r="BT1040" s="551">
        <v>41383679.218131326</v>
      </c>
      <c r="BU1040" s="551">
        <v>2926969.1730055632</v>
      </c>
      <c r="BV1040" s="551">
        <v>950540327.10201502</v>
      </c>
      <c r="BW1040" s="551">
        <v>20661700.289666053</v>
      </c>
      <c r="BX1040" s="551">
        <v>4192554258.5432806</v>
      </c>
      <c r="BY1040" s="551">
        <v>99650805225.192154</v>
      </c>
      <c r="BZ1040" s="551">
        <v>1552797873.5345483</v>
      </c>
      <c r="CA1040" s="551">
        <v>3.1119642697528816E-24</v>
      </c>
      <c r="CB1040" s="551">
        <v>1.176847703650965E-43</v>
      </c>
      <c r="CC1040" s="551">
        <v>3.0469442474311579E-8</v>
      </c>
      <c r="CD1040" s="551">
        <v>71324952482.84169</v>
      </c>
      <c r="CE1040" s="551">
        <v>6.9985159278585675E-7</v>
      </c>
      <c r="CF1040" s="551">
        <v>25174415996.01614</v>
      </c>
      <c r="CG1040" s="551">
        <v>1.1509701169537378E-5</v>
      </c>
      <c r="CH1040" s="551">
        <v>1.0230845483286744E-4</v>
      </c>
      <c r="CI1040" s="551">
        <v>4.262852285013843E-6</v>
      </c>
      <c r="CJ1040" s="551">
        <v>2.0720245508807638E-23</v>
      </c>
      <c r="CK1040" s="551">
        <v>3924978009342.9438</v>
      </c>
      <c r="CL1040" s="551"/>
      <c r="CM1040" s="551">
        <v>279865594403.84222</v>
      </c>
      <c r="CN1040" s="551">
        <v>2.7506035450604332E-4</v>
      </c>
      <c r="CO1040" s="551">
        <v>2.6585765481149825E-24</v>
      </c>
      <c r="CP1040" s="551">
        <v>2580324229191.6489</v>
      </c>
      <c r="CQ1040" s="551"/>
      <c r="CR1040" s="551">
        <v>183986811187.66101</v>
      </c>
      <c r="CS1040" s="551">
        <v>8.8737471241853239E-5</v>
      </c>
      <c r="CT1040" s="551">
        <v>1.0240830719133535E-22</v>
      </c>
      <c r="CU1040" s="551">
        <v>9030542240285.5547</v>
      </c>
      <c r="CV1040" s="551"/>
      <c r="CW1040" s="551">
        <v>643911578293.44226</v>
      </c>
      <c r="CX1040" s="551">
        <v>4.310499556239712E-4</v>
      </c>
      <c r="CY1040" s="554"/>
    </row>
    <row r="1041" spans="65:103" ht="12.75" customHeight="1" x14ac:dyDescent="0.3">
      <c r="BM1041" s="562"/>
      <c r="BN1041" s="591">
        <v>1028</v>
      </c>
      <c r="BO1041" s="549" t="s">
        <v>3897</v>
      </c>
      <c r="BP1041" s="554" t="s">
        <v>1746</v>
      </c>
      <c r="BQ1041" s="553" t="s">
        <v>2408</v>
      </c>
      <c r="BR1041" s="551">
        <v>9.0582694716588506E-10</v>
      </c>
      <c r="BS1041" s="551"/>
      <c r="BT1041" s="551">
        <v>29129241.653414134</v>
      </c>
      <c r="BU1041" s="551">
        <v>1530843.5704869856</v>
      </c>
      <c r="BV1041" s="551">
        <v>2650593893.335917</v>
      </c>
      <c r="BW1041" s="551">
        <v>50862023.621639326</v>
      </c>
      <c r="BX1041" s="551">
        <v>22268137185.240818</v>
      </c>
      <c r="BY1041" s="551">
        <v>529280639948.00708</v>
      </c>
      <c r="BZ1041" s="551">
        <v>8247458216.7558565</v>
      </c>
      <c r="CA1041" s="551">
        <v>2.2157042025442839E-24</v>
      </c>
      <c r="CB1041" s="551">
        <v>8.3791013543388E-44</v>
      </c>
      <c r="CC1041" s="551">
        <v>1.0874027034771267E-8</v>
      </c>
      <c r="CD1041" s="551">
        <v>10577684561.533215</v>
      </c>
      <c r="CE1041" s="551">
        <v>9.8947408234214013E-7</v>
      </c>
      <c r="CF1041" s="551">
        <v>17572090721.843151</v>
      </c>
      <c r="CG1041" s="551">
        <v>2.8225973151460828E-5</v>
      </c>
      <c r="CH1041" s="551">
        <v>2.5089753906104275E-4</v>
      </c>
      <c r="CI1041" s="551">
        <v>1.0454064130170673E-5</v>
      </c>
      <c r="CJ1041" s="551">
        <v>3.221529234387176E-24</v>
      </c>
      <c r="CK1041" s="551">
        <v>579628510618.05249</v>
      </c>
      <c r="CL1041" s="551"/>
      <c r="CM1041" s="551">
        <v>194524960764.91022</v>
      </c>
      <c r="CN1041" s="551">
        <v>1.4730004340838919E-4</v>
      </c>
      <c r="CO1041" s="551">
        <v>4.1323306808325703E-25</v>
      </c>
      <c r="CP1041" s="551">
        <v>380947835504.5116</v>
      </c>
      <c r="CQ1041" s="551"/>
      <c r="CR1041" s="551">
        <v>127847344706.55655</v>
      </c>
      <c r="CS1041" s="551">
        <v>3.355057346101453E-5</v>
      </c>
      <c r="CT1041" s="551">
        <v>1.591385925004127E-23</v>
      </c>
      <c r="CU1041" s="551">
        <v>1332905884521.1594</v>
      </c>
      <c r="CV1041" s="551"/>
      <c r="CW1041" s="551">
        <v>447327563039.0918</v>
      </c>
      <c r="CX1041" s="551">
        <v>2.6693064156216669E-4</v>
      </c>
      <c r="CY1041" s="554"/>
    </row>
    <row r="1042" spans="65:103" ht="12.75" customHeight="1" x14ac:dyDescent="0.3">
      <c r="BM1042" s="562"/>
      <c r="BN1042" s="591">
        <v>1029</v>
      </c>
      <c r="BO1042" s="549" t="s">
        <v>3899</v>
      </c>
      <c r="BP1042" s="554" t="s">
        <v>1746</v>
      </c>
      <c r="BQ1042" s="553" t="s">
        <v>2408</v>
      </c>
      <c r="BR1042" s="551">
        <v>5.8571067248841135</v>
      </c>
      <c r="BS1042" s="551"/>
      <c r="BT1042" s="551">
        <v>12070997.438410662</v>
      </c>
      <c r="BU1042" s="551">
        <v>583297.36268445267</v>
      </c>
      <c r="BV1042" s="551">
        <v>2185885023.5514083</v>
      </c>
      <c r="BW1042" s="551">
        <v>49624816.399644561</v>
      </c>
      <c r="BX1042" s="551">
        <v>25341379940.304798</v>
      </c>
      <c r="BY1042" s="551">
        <v>602334856104.64001</v>
      </c>
      <c r="BZ1042" s="551">
        <v>9385696274.186964</v>
      </c>
      <c r="CA1042" s="551">
        <v>1.2096280884714284E-4</v>
      </c>
      <c r="CB1042" s="551">
        <v>4.7063439610719032E-34</v>
      </c>
      <c r="CC1042" s="551">
        <v>40.717516848795405</v>
      </c>
      <c r="CD1042" s="551">
        <v>1677998789.1072261</v>
      </c>
      <c r="CE1042" s="551">
        <v>7373.3600499962267</v>
      </c>
      <c r="CF1042" s="551">
        <v>7137901450.9036036</v>
      </c>
      <c r="CG1042" s="551">
        <v>271204.86532656138</v>
      </c>
      <c r="CH1042" s="551">
        <v>2410709.9129774976</v>
      </c>
      <c r="CI1042" s="551">
        <v>100446.24641724497</v>
      </c>
      <c r="CJ1042" s="551">
        <v>3.6644474746707075E-10</v>
      </c>
      <c r="CK1042" s="551">
        <v>91187951893.383957</v>
      </c>
      <c r="CL1042" s="551"/>
      <c r="CM1042" s="551">
        <v>78362082940.204987</v>
      </c>
      <c r="CN1042" s="551">
        <v>2.9488845481787709</v>
      </c>
      <c r="CO1042" s="551">
        <v>6.6908575897633185E-16</v>
      </c>
      <c r="CP1042" s="551">
        <v>59898093031.891289</v>
      </c>
      <c r="CQ1042" s="551"/>
      <c r="CR1042" s="551">
        <v>51473423645.180115</v>
      </c>
      <c r="CS1042" s="551">
        <v>7.388021931624477E-6</v>
      </c>
      <c r="CT1042" s="551">
        <v>1.7652284123611277E-14</v>
      </c>
      <c r="CU1042" s="551">
        <v>209477804334.29175</v>
      </c>
      <c r="CV1042" s="551"/>
      <c r="CW1042" s="551">
        <v>180014711818.45831</v>
      </c>
      <c r="CX1042" s="551">
        <v>6.1830400888785705E-5</v>
      </c>
      <c r="CY1042" s="554"/>
    </row>
    <row r="1043" spans="65:103" ht="12.75" customHeight="1" x14ac:dyDescent="0.3">
      <c r="BM1043" s="562"/>
      <c r="BN1043" s="591">
        <v>1030</v>
      </c>
      <c r="BO1043" s="549" t="s">
        <v>3901</v>
      </c>
      <c r="BP1043" s="554" t="s">
        <v>1746</v>
      </c>
      <c r="BQ1043" s="553" t="s">
        <v>2408</v>
      </c>
      <c r="BR1043" s="551">
        <v>8.1629874170529904E-10</v>
      </c>
      <c r="BS1043" s="551"/>
      <c r="BT1043" s="551">
        <v>84601497.04285863</v>
      </c>
      <c r="BU1043" s="551">
        <v>10720131.771955868</v>
      </c>
      <c r="BV1043" s="551">
        <v>597782592.19815838</v>
      </c>
      <c r="BW1043" s="551">
        <v>21581060.273287699</v>
      </c>
      <c r="BX1043" s="551">
        <v>1903775470.8898928</v>
      </c>
      <c r="BY1043" s="551">
        <v>45249923305.079056</v>
      </c>
      <c r="BZ1043" s="551">
        <v>705102026.25551581</v>
      </c>
      <c r="CA1043" s="551">
        <v>1.6930374613385716E-23</v>
      </c>
      <c r="CB1043" s="551">
        <v>6.4025389620863961E-43</v>
      </c>
      <c r="CC1043" s="551">
        <v>2.3588269374400806E-7</v>
      </c>
      <c r="CD1043" s="551">
        <v>511941018012.50574</v>
      </c>
      <c r="CE1043" s="551">
        <v>1.6667148106084265E-6</v>
      </c>
      <c r="CF1043" s="551">
        <v>51530289930.757156</v>
      </c>
      <c r="CG1043" s="551">
        <v>2.0461226281675498E-5</v>
      </c>
      <c r="CH1043" s="551">
        <v>1.8187756694389035E-4</v>
      </c>
      <c r="CI1043" s="551">
        <v>7.5782319561761109E-6</v>
      </c>
      <c r="CJ1043" s="551">
        <v>1.6907229416107743E-22</v>
      </c>
      <c r="CK1043" s="551">
        <v>28194920651856.406</v>
      </c>
      <c r="CL1043" s="551"/>
      <c r="CM1043" s="551">
        <v>573334681087.70313</v>
      </c>
      <c r="CN1043" s="551">
        <v>7.3340048296229737E-4</v>
      </c>
      <c r="CO1043" s="551">
        <v>2.1694523251033182E-23</v>
      </c>
      <c r="CP1043" s="551">
        <v>18536653070907.57</v>
      </c>
      <c r="CQ1043" s="551"/>
      <c r="CR1043" s="551">
        <v>376936935033.10632</v>
      </c>
      <c r="CS1043" s="551">
        <v>2.672338807059542E-4</v>
      </c>
      <c r="CT1043" s="551">
        <v>8.3571172944547323E-22</v>
      </c>
      <c r="CU1043" s="551">
        <v>64877071633703.656</v>
      </c>
      <c r="CV1043" s="551"/>
      <c r="CW1043" s="551">
        <v>1319254578740.2795</v>
      </c>
      <c r="CX1043" s="551">
        <v>1.1080303233983746E-3</v>
      </c>
      <c r="CY1043" s="554"/>
    </row>
    <row r="1044" spans="65:103" ht="12.75" customHeight="1" x14ac:dyDescent="0.3">
      <c r="BM1044" s="562"/>
      <c r="BN1044" s="591">
        <v>1031</v>
      </c>
      <c r="BO1044" s="549" t="s">
        <v>3903</v>
      </c>
      <c r="BP1044" s="554" t="s">
        <v>1746</v>
      </c>
      <c r="BQ1044" s="553" t="s">
        <v>2408</v>
      </c>
      <c r="BR1044" s="551">
        <v>3.4013591990356122</v>
      </c>
      <c r="BS1044" s="551"/>
      <c r="BT1044" s="551">
        <v>15907806.077536205</v>
      </c>
      <c r="BU1044" s="551">
        <v>909744.30608947144</v>
      </c>
      <c r="BV1044" s="551">
        <v>838089478.21252799</v>
      </c>
      <c r="BW1044" s="551">
        <v>15925571.128729451</v>
      </c>
      <c r="BX1044" s="551">
        <v>5361142734.8002424</v>
      </c>
      <c r="BY1044" s="551">
        <v>127428070066.10135</v>
      </c>
      <c r="BZ1044" s="551">
        <v>1985608420.296386</v>
      </c>
      <c r="CA1044" s="551">
        <v>7.0245939155868243E-5</v>
      </c>
      <c r="CB1044" s="551">
        <v>2.7330842817466E-34</v>
      </c>
      <c r="CC1044" s="551">
        <v>47.909224904730401</v>
      </c>
      <c r="CD1044" s="551">
        <v>11022199850.883324</v>
      </c>
      <c r="CE1044" s="551">
        <v>2524.057503986804</v>
      </c>
      <c r="CF1044" s="551">
        <v>9647481525.5974846</v>
      </c>
      <c r="CG1044" s="551">
        <v>57375.249369062985</v>
      </c>
      <c r="CH1044" s="551">
        <v>510002.21653401945</v>
      </c>
      <c r="CI1044" s="551">
        <v>21250.092358912214</v>
      </c>
      <c r="CJ1044" s="551">
        <v>2.1282623422624872E-10</v>
      </c>
      <c r="CK1044" s="551">
        <v>605521675307.86987</v>
      </c>
      <c r="CL1044" s="551"/>
      <c r="CM1044" s="551">
        <v>107070319878.87833</v>
      </c>
      <c r="CN1044" s="551">
        <v>0.62392470009076473</v>
      </c>
      <c r="CO1044" s="551">
        <v>3.3621059516257039E-15</v>
      </c>
      <c r="CP1044" s="551">
        <v>398032304947.20612</v>
      </c>
      <c r="CQ1044" s="551"/>
      <c r="CR1044" s="551">
        <v>70381423547.348099</v>
      </c>
      <c r="CS1044" s="551">
        <v>2.0737885931054722E-5</v>
      </c>
      <c r="CT1044" s="551">
        <v>1.2479507299867808E-13</v>
      </c>
      <c r="CU1044" s="551">
        <v>1392886438865.1245</v>
      </c>
      <c r="CV1044" s="551"/>
      <c r="CW1044" s="551">
        <v>246294900691.02481</v>
      </c>
      <c r="CX1044" s="551">
        <v>1.2388498762798709E-4</v>
      </c>
      <c r="CY1044" s="554"/>
    </row>
    <row r="1045" spans="65:103" ht="12.75" customHeight="1" x14ac:dyDescent="0.3">
      <c r="BM1045" s="562"/>
      <c r="BN1045" s="591">
        <v>1032</v>
      </c>
      <c r="BO1045" s="549" t="s">
        <v>3905</v>
      </c>
      <c r="BP1045" s="554" t="s">
        <v>1746</v>
      </c>
      <c r="BQ1045" s="553" t="s">
        <v>2408</v>
      </c>
      <c r="BR1045" s="551">
        <v>13.646767774022809</v>
      </c>
      <c r="BS1045" s="551"/>
      <c r="BT1045" s="551">
        <v>98816395.78229481</v>
      </c>
      <c r="BU1045" s="551">
        <v>6983771.0073622726</v>
      </c>
      <c r="BV1045" s="551">
        <v>2274788517.0321808</v>
      </c>
      <c r="BW1045" s="551">
        <v>49417144.420363113</v>
      </c>
      <c r="BX1045" s="551">
        <v>10041978593.480553</v>
      </c>
      <c r="BY1045" s="551">
        <v>238686044229.4968</v>
      </c>
      <c r="BZ1045" s="551">
        <v>3719251330.9187236</v>
      </c>
      <c r="CA1045" s="551">
        <v>2.818373370168097E-4</v>
      </c>
      <c r="CB1045" s="551">
        <v>1.0965547689536634E-33</v>
      </c>
      <c r="CC1045" s="551">
        <v>283.64938355146649</v>
      </c>
      <c r="CD1045" s="551">
        <v>169904534244.87775</v>
      </c>
      <c r="CE1045" s="551">
        <v>6529.7095229792058</v>
      </c>
      <c r="CF1045" s="551">
        <v>60112200826.762527</v>
      </c>
      <c r="CG1045" s="551">
        <v>107469.8165223744</v>
      </c>
      <c r="CH1045" s="551">
        <v>955287.25790681376</v>
      </c>
      <c r="CI1045" s="551">
        <v>39803.635749027555</v>
      </c>
      <c r="CJ1045" s="551">
        <v>8.5443233301490702E-10</v>
      </c>
      <c r="CK1045" s="551">
        <v>9349739596712.5176</v>
      </c>
      <c r="CL1045" s="551"/>
      <c r="CM1045" s="551">
        <v>668269351673.68115</v>
      </c>
      <c r="CN1045" s="551">
        <v>1.1694167509412166</v>
      </c>
      <c r="CO1045" s="551">
        <v>8.2936291739467929E-14</v>
      </c>
      <c r="CP1045" s="551">
        <v>6146621765330.0254</v>
      </c>
      <c r="CQ1045" s="551"/>
      <c r="CR1045" s="551">
        <v>439327760781.50049</v>
      </c>
      <c r="CS1045" s="551">
        <v>2.8532269049073828E-4</v>
      </c>
      <c r="CT1045" s="551">
        <v>3.1760221858900982E-12</v>
      </c>
      <c r="CU1045" s="551">
        <v>21511761246810.273</v>
      </c>
      <c r="CV1045" s="551"/>
      <c r="CW1045" s="551">
        <v>1537546009467.2236</v>
      </c>
      <c r="CX1045" s="551">
        <v>1.3784301571401589E-3</v>
      </c>
      <c r="CY1045" s="554"/>
    </row>
    <row r="1046" spans="65:103" ht="12.75" customHeight="1" thickBot="1" x14ac:dyDescent="0.35">
      <c r="BM1046" s="562"/>
      <c r="BN1046" s="605">
        <v>1033</v>
      </c>
      <c r="BO1046" s="606" t="s">
        <v>3907</v>
      </c>
      <c r="BP1046" s="607" t="s">
        <v>1746</v>
      </c>
      <c r="BQ1046" s="608" t="s">
        <v>2408</v>
      </c>
      <c r="BR1046" s="609">
        <v>3.5484278914792275E-3</v>
      </c>
      <c r="BS1046" s="609"/>
      <c r="BT1046" s="609">
        <v>73311310.926918954</v>
      </c>
      <c r="BU1046" s="609">
        <v>5003438.2399389055</v>
      </c>
      <c r="BV1046" s="609">
        <v>1877679850.3459151</v>
      </c>
      <c r="BW1046" s="609">
        <v>39699366.493030615</v>
      </c>
      <c r="BX1046" s="609">
        <v>8648188582.1704502</v>
      </c>
      <c r="BY1046" s="609">
        <v>205554634840.59497</v>
      </c>
      <c r="BZ1046" s="609">
        <v>3203032808.211278</v>
      </c>
      <c r="CA1046" s="609">
        <v>2.4455761219048074E-11</v>
      </c>
      <c r="CB1046" s="609">
        <v>2.8512698388840268E-37</v>
      </c>
      <c r="CC1046" s="609">
        <v>7.0566784929304419E-2</v>
      </c>
      <c r="CD1046" s="609">
        <v>112386193996.79041</v>
      </c>
      <c r="CE1046" s="609">
        <v>1.8073859066240721</v>
      </c>
      <c r="CF1046" s="609">
        <v>44585947605.20018</v>
      </c>
      <c r="CG1046" s="609">
        <v>30.886510346285416</v>
      </c>
      <c r="CH1046" s="609">
        <v>274.54675861146063</v>
      </c>
      <c r="CI1046" s="609">
        <v>11.439448276402006</v>
      </c>
      <c r="CJ1046" s="609">
        <v>1.3004186607721668E-16</v>
      </c>
      <c r="CK1046" s="609">
        <v>6183681531189.7539</v>
      </c>
      <c r="CL1046" s="609"/>
      <c r="CM1046" s="609">
        <v>495594489256.18384</v>
      </c>
      <c r="CN1046" s="609">
        <v>5.8948737195800311E-4</v>
      </c>
      <c r="CO1046" s="609">
        <v>9.7456844415367712E-17</v>
      </c>
      <c r="CP1046" s="609">
        <v>4065183080726.9458</v>
      </c>
      <c r="CQ1046" s="609"/>
      <c r="CR1046" s="609">
        <v>325806397497.23468</v>
      </c>
      <c r="CS1046" s="609">
        <v>1.867176661274113E-4</v>
      </c>
      <c r="CT1046" s="609">
        <v>2.5594858010142277E-16</v>
      </c>
      <c r="CU1046" s="609">
        <v>14227091484098.166</v>
      </c>
      <c r="CV1046" s="609"/>
      <c r="CW1046" s="609">
        <v>1140238276759.5581</v>
      </c>
      <c r="CX1046" s="609">
        <v>9.2914977870352255E-4</v>
      </c>
      <c r="CY1046" s="554"/>
    </row>
    <row r="1047" spans="65:103" ht="12.75" customHeight="1" x14ac:dyDescent="0.3">
      <c r="BM1047" s="562"/>
      <c r="BN1047" s="591"/>
      <c r="BO1047" s="549"/>
      <c r="BP1047" s="554"/>
      <c r="BQ1047" s="553"/>
      <c r="BR1047" s="551"/>
      <c r="BS1047" s="551"/>
      <c r="BT1047" s="551"/>
      <c r="BU1047" s="551"/>
      <c r="BV1047" s="551"/>
      <c r="BW1047" s="551"/>
      <c r="BX1047" s="551"/>
      <c r="BY1047" s="551"/>
      <c r="BZ1047" s="551"/>
      <c r="CA1047" s="551"/>
      <c r="CB1047" s="551"/>
      <c r="CC1047" s="551"/>
      <c r="CD1047" s="551"/>
      <c r="CE1047" s="551"/>
      <c r="CF1047" s="551"/>
      <c r="CG1047" s="551"/>
      <c r="CH1047" s="551"/>
      <c r="CI1047" s="551"/>
      <c r="CJ1047" s="551"/>
      <c r="CK1047" s="551"/>
      <c r="CL1047" s="551"/>
      <c r="CM1047" s="551"/>
      <c r="CN1047" s="551"/>
      <c r="CO1047" s="551"/>
      <c r="CP1047" s="551"/>
      <c r="CQ1047" s="551"/>
      <c r="CR1047" s="551"/>
      <c r="CS1047" s="551"/>
      <c r="CT1047" s="551"/>
      <c r="CU1047" s="551"/>
      <c r="CV1047" s="551"/>
      <c r="CW1047" s="551"/>
      <c r="CX1047" s="551"/>
      <c r="CY1047" s="554"/>
    </row>
  </sheetData>
  <conditionalFormatting sqref="C11:W51">
    <cfRule type="cellIs" dxfId="119" priority="39" operator="equal">
      <formula>0</formula>
    </cfRule>
  </conditionalFormatting>
  <conditionalFormatting sqref="BM1:CY1 BT2:CX31 BO11:BS31 BR12:CX12 BN32:CX281 BP282:CX284">
    <cfRule type="cellIs" dxfId="118" priority="40" operator="equal">
      <formula>0</formula>
    </cfRule>
  </conditionalFormatting>
  <conditionalFormatting sqref="BN282:BO1047">
    <cfRule type="cellIs" dxfId="117" priority="5" operator="equal">
      <formula>0</formula>
    </cfRule>
  </conditionalFormatting>
  <conditionalFormatting sqref="BN2:BS8">
    <cfRule type="cellIs" dxfId="116" priority="21" operator="equal">
      <formula>0</formula>
    </cfRule>
  </conditionalFormatting>
  <conditionalFormatting sqref="BO9:BO10 BN19 BN21 BN23 BN25 BN27 BN29 BN31">
    <cfRule type="cellIs" dxfId="115" priority="38" operator="equal">
      <formula>0</formula>
    </cfRule>
  </conditionalFormatting>
  <conditionalFormatting sqref="BP281:BP291">
    <cfRule type="cellIs" dxfId="114" priority="28" operator="equal">
      <formula>0</formula>
    </cfRule>
  </conditionalFormatting>
  <conditionalFormatting sqref="BQ9:BS10">
    <cfRule type="cellIs" dxfId="113" priority="13" operator="equal">
      <formula>0</formula>
    </cfRule>
  </conditionalFormatting>
  <conditionalFormatting sqref="BQ285:CX285">
    <cfRule type="cellIs" dxfId="112" priority="9" operator="equal">
      <formula>0</formula>
    </cfRule>
  </conditionalFormatting>
  <dataValidations disablePrompts="1" count="1">
    <dataValidation type="whole" operator="equal" allowBlank="1" showInputMessage="1" showErrorMessage="1" sqref="F40" xr:uid="{00000000-0002-0000-0200-000000000000}">
      <formula1>0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3">
    <pageSetUpPr fitToPage="1"/>
  </sheetPr>
  <dimension ref="A1:AM119"/>
  <sheetViews>
    <sheetView zoomScaleNormal="100" workbookViewId="0">
      <selection activeCell="J12" sqref="J12"/>
    </sheetView>
  </sheetViews>
  <sheetFormatPr defaultColWidth="9.109375" defaultRowHeight="12.75" customHeight="1" x14ac:dyDescent="0.3"/>
  <cols>
    <col min="1" max="1" width="3.109375" customWidth="1"/>
    <col min="2" max="2" width="64.5546875" customWidth="1"/>
    <col min="3" max="3" width="4.33203125" customWidth="1"/>
    <col min="4" max="4" width="3.109375" style="10" customWidth="1"/>
    <col min="5" max="5" width="10.33203125" style="10" customWidth="1"/>
    <col min="6" max="39" width="8.6640625" style="9" customWidth="1"/>
    <col min="40" max="16384" width="9.109375" style="7"/>
  </cols>
  <sheetData>
    <row r="1" spans="1:39" ht="12.75" customHeight="1" thickBot="1" x14ac:dyDescent="0.35">
      <c r="A1" s="174"/>
      <c r="B1" s="174"/>
      <c r="C1" s="174"/>
      <c r="E1" s="11" t="s">
        <v>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2.75" customHeight="1" thickTop="1" x14ac:dyDescent="0.3">
      <c r="A2" s="174"/>
      <c r="B2" s="174"/>
      <c r="C2" s="174"/>
      <c r="E2" s="79" t="s">
        <v>2333</v>
      </c>
      <c r="I2" s="10"/>
      <c r="J2" s="10"/>
    </row>
    <row r="3" spans="1:39" ht="12.75" customHeight="1" x14ac:dyDescent="0.3">
      <c r="A3" s="174"/>
      <c r="B3" s="174"/>
      <c r="C3" s="174"/>
      <c r="E3" s="9"/>
      <c r="I3" s="10"/>
      <c r="J3" s="10"/>
    </row>
    <row r="4" spans="1:39" ht="12.75" customHeight="1" x14ac:dyDescent="0.3">
      <c r="A4" s="174"/>
      <c r="B4" s="174"/>
      <c r="C4" s="174"/>
      <c r="E4" s="490" t="s">
        <v>1250</v>
      </c>
      <c r="F4" s="79" t="str">
        <f>CONCATENATE(version!$B$2,", ",version!$B$3)</f>
        <v>SimpleBox, vs4.04</v>
      </c>
      <c r="I4" s="10"/>
      <c r="J4" s="10"/>
    </row>
    <row r="5" spans="1:39" ht="12.75" customHeight="1" x14ac:dyDescent="0.3">
      <c r="A5" s="174"/>
      <c r="B5" s="174"/>
      <c r="C5" s="174"/>
      <c r="E5" s="490" t="s">
        <v>1360</v>
      </c>
      <c r="F5" s="491" t="str">
        <f>ChemName</f>
        <v>default substance</v>
      </c>
      <c r="I5" s="10"/>
      <c r="J5" s="10"/>
    </row>
    <row r="6" spans="1:39" ht="12.75" customHeight="1" x14ac:dyDescent="0.3">
      <c r="A6" s="174"/>
      <c r="B6" s="174"/>
      <c r="C6" s="192"/>
      <c r="E6" s="490" t="s">
        <v>809</v>
      </c>
      <c r="F6" s="492" t="str">
        <f>ScenarioName</f>
        <v>default scenario</v>
      </c>
      <c r="I6" s="10"/>
      <c r="J6" s="10"/>
    </row>
    <row r="7" spans="1:39" ht="12.75" customHeight="1" x14ac:dyDescent="0.3">
      <c r="A7" s="174"/>
      <c r="B7" s="174"/>
      <c r="C7" s="192"/>
      <c r="E7" s="490" t="s">
        <v>1213</v>
      </c>
      <c r="F7" s="492" t="str">
        <f>CaseName</f>
        <v>defaults only</v>
      </c>
      <c r="I7" s="10"/>
      <c r="J7" s="10"/>
    </row>
    <row r="8" spans="1:39" ht="12.75" customHeight="1" x14ac:dyDescent="0.3">
      <c r="A8" s="174"/>
      <c r="B8" s="174"/>
      <c r="C8" s="174"/>
      <c r="E8" s="493" t="s">
        <v>2326</v>
      </c>
      <c r="G8" s="196">
        <f>(M.tot/Emis.tot)/(3600*24*365)</f>
        <v>0.30759003309769972</v>
      </c>
      <c r="H8" s="218" t="s">
        <v>2325</v>
      </c>
      <c r="I8" s="10"/>
      <c r="J8" s="10"/>
    </row>
    <row r="9" spans="1:39" ht="12.75" customHeight="1" x14ac:dyDescent="0.3">
      <c r="A9" s="174"/>
      <c r="B9" s="174"/>
      <c r="C9" s="174"/>
      <c r="E9" s="490" t="s">
        <v>2334</v>
      </c>
      <c r="G9" s="502">
        <v>3</v>
      </c>
      <c r="H9" s="218" t="s">
        <v>2406</v>
      </c>
    </row>
    <row r="10" spans="1:39" ht="12.75" customHeight="1" x14ac:dyDescent="0.3">
      <c r="A10" s="174"/>
      <c r="B10" s="174"/>
      <c r="C10" s="174"/>
      <c r="E10" s="494" t="s">
        <v>743</v>
      </c>
      <c r="F10" s="507">
        <v>0</v>
      </c>
      <c r="G10" s="507">
        <f>F11</f>
        <v>0.92277009929309917</v>
      </c>
      <c r="H10" s="218" t="s">
        <v>2325</v>
      </c>
      <c r="I10" s="10"/>
      <c r="J10" s="22" t="s">
        <v>3924</v>
      </c>
    </row>
    <row r="11" spans="1:39" ht="12.75" customHeight="1" x14ac:dyDescent="0.3">
      <c r="A11" s="174"/>
      <c r="B11" s="174"/>
      <c r="C11" s="174"/>
      <c r="D11" s="14"/>
      <c r="E11" s="494" t="s">
        <v>1015</v>
      </c>
      <c r="F11" s="507">
        <f>Scale*(M.tot/Emis.tot)/(3600*24*365)</f>
        <v>0.92277009929309917</v>
      </c>
      <c r="G11" s="507">
        <f>2*Scale*(M.tot/Emis.tot)/(3600*24*365)</f>
        <v>1.8455401985861983</v>
      </c>
      <c r="H11" s="218" t="s">
        <v>2325</v>
      </c>
      <c r="I11" s="10"/>
      <c r="J11" s="615" t="s">
        <v>3925</v>
      </c>
    </row>
    <row r="12" spans="1:39" ht="12.75" customHeight="1" x14ac:dyDescent="0.3">
      <c r="A12" s="174"/>
      <c r="B12" s="174"/>
      <c r="C12" s="174"/>
      <c r="D12" s="15"/>
    </row>
    <row r="13" spans="1:39" ht="12.75" customHeight="1" x14ac:dyDescent="0.3">
      <c r="A13" s="174"/>
      <c r="B13" s="174"/>
      <c r="C13" s="174"/>
      <c r="E13" s="14"/>
      <c r="G13" s="475" t="s">
        <v>1312</v>
      </c>
      <c r="H13" s="13" t="s">
        <v>278</v>
      </c>
      <c r="I13" s="13" t="s">
        <v>1313</v>
      </c>
      <c r="J13" s="13" t="s">
        <v>1314</v>
      </c>
      <c r="K13" s="13" t="s">
        <v>1315</v>
      </c>
      <c r="L13" s="13" t="s">
        <v>1316</v>
      </c>
      <c r="M13" s="13" t="s">
        <v>1317</v>
      </c>
      <c r="N13" s="13" t="s">
        <v>1318</v>
      </c>
      <c r="O13" s="13" t="s">
        <v>1319</v>
      </c>
      <c r="P13" s="13" t="s">
        <v>519</v>
      </c>
      <c r="Q13" s="13" t="s">
        <v>279</v>
      </c>
      <c r="R13" s="13" t="s">
        <v>1320</v>
      </c>
      <c r="S13" s="13" t="s">
        <v>1321</v>
      </c>
      <c r="T13" s="13" t="s">
        <v>1322</v>
      </c>
      <c r="U13" s="13" t="s">
        <v>1323</v>
      </c>
      <c r="V13" s="13" t="s">
        <v>1324</v>
      </c>
      <c r="W13" s="13" t="s">
        <v>1325</v>
      </c>
      <c r="X13" s="13" t="s">
        <v>518</v>
      </c>
      <c r="Y13" s="13" t="s">
        <v>520</v>
      </c>
      <c r="Z13" s="13" t="s">
        <v>1478</v>
      </c>
      <c r="AA13" s="13" t="s">
        <v>1479</v>
      </c>
      <c r="AB13" s="13" t="s">
        <v>521</v>
      </c>
      <c r="AC13" s="13" t="s">
        <v>526</v>
      </c>
      <c r="AD13" s="13" t="s">
        <v>522</v>
      </c>
      <c r="AE13" s="13" t="s">
        <v>1480</v>
      </c>
      <c r="AF13" s="13" t="s">
        <v>1481</v>
      </c>
      <c r="AG13" s="13" t="s">
        <v>523</v>
      </c>
      <c r="AH13" s="13" t="s">
        <v>527</v>
      </c>
      <c r="AI13" s="13" t="s">
        <v>524</v>
      </c>
      <c r="AJ13" s="13" t="s">
        <v>1482</v>
      </c>
      <c r="AK13" s="13" t="s">
        <v>1483</v>
      </c>
      <c r="AL13" s="13" t="s">
        <v>525</v>
      </c>
      <c r="AM13" s="476" t="s">
        <v>528</v>
      </c>
    </row>
    <row r="14" spans="1:39" ht="12.75" customHeight="1" x14ac:dyDescent="0.3">
      <c r="A14" s="174"/>
      <c r="B14" s="174"/>
      <c r="C14" s="174"/>
      <c r="E14" s="218" t="s">
        <v>2330</v>
      </c>
      <c r="G14" s="477">
        <v>0</v>
      </c>
      <c r="H14" s="478">
        <v>0</v>
      </c>
      <c r="I14" s="478">
        <v>0</v>
      </c>
      <c r="J14" s="478">
        <v>0</v>
      </c>
      <c r="K14" s="478">
        <v>0</v>
      </c>
      <c r="L14" s="478">
        <v>0</v>
      </c>
      <c r="M14" s="478">
        <v>0</v>
      </c>
      <c r="N14" s="478">
        <v>0</v>
      </c>
      <c r="O14" s="478">
        <v>0</v>
      </c>
      <c r="P14" s="478">
        <v>0</v>
      </c>
      <c r="Q14" s="478">
        <v>0</v>
      </c>
      <c r="R14" s="478">
        <v>0</v>
      </c>
      <c r="S14" s="478">
        <v>0</v>
      </c>
      <c r="T14" s="478">
        <v>0</v>
      </c>
      <c r="U14" s="478">
        <v>0</v>
      </c>
      <c r="V14" s="478">
        <v>0</v>
      </c>
      <c r="W14" s="478">
        <v>0</v>
      </c>
      <c r="X14" s="478">
        <v>0</v>
      </c>
      <c r="Y14" s="478">
        <v>0</v>
      </c>
      <c r="Z14" s="478">
        <v>0</v>
      </c>
      <c r="AA14" s="478">
        <v>0</v>
      </c>
      <c r="AB14" s="478">
        <v>0</v>
      </c>
      <c r="AC14" s="478">
        <v>0</v>
      </c>
      <c r="AD14" s="478">
        <v>0</v>
      </c>
      <c r="AE14" s="478">
        <v>0</v>
      </c>
      <c r="AF14" s="478">
        <v>0</v>
      </c>
      <c r="AG14" s="478">
        <v>0</v>
      </c>
      <c r="AH14" s="478">
        <v>0</v>
      </c>
      <c r="AI14" s="478">
        <v>0</v>
      </c>
      <c r="AJ14" s="478">
        <v>0</v>
      </c>
      <c r="AK14" s="478">
        <v>0</v>
      </c>
      <c r="AL14" s="478">
        <v>0</v>
      </c>
      <c r="AM14" s="479">
        <v>0</v>
      </c>
    </row>
    <row r="15" spans="1:39" ht="12.75" customHeight="1" x14ac:dyDescent="0.3">
      <c r="A15" s="174"/>
      <c r="B15" s="174"/>
      <c r="C15" s="174"/>
      <c r="E15" s="218" t="s">
        <v>2331</v>
      </c>
      <c r="G15" s="480">
        <f t="array" ref="G15:AM15">emis</f>
        <v>2.1571287063785434</v>
      </c>
      <c r="H15" s="481">
        <v>0</v>
      </c>
      <c r="I15" s="481">
        <v>2.1571287063785434</v>
      </c>
      <c r="J15" s="481">
        <v>0</v>
      </c>
      <c r="K15" s="481">
        <v>0</v>
      </c>
      <c r="L15" s="481">
        <v>0</v>
      </c>
      <c r="M15" s="481">
        <v>0</v>
      </c>
      <c r="N15" s="481">
        <v>2.1571287063785434</v>
      </c>
      <c r="O15" s="481">
        <v>0</v>
      </c>
      <c r="P15" s="481">
        <v>0</v>
      </c>
      <c r="Q15" s="481">
        <v>0</v>
      </c>
      <c r="R15" s="481">
        <v>0</v>
      </c>
      <c r="S15" s="481">
        <v>0</v>
      </c>
      <c r="T15" s="481">
        <v>0</v>
      </c>
      <c r="U15" s="481">
        <v>0</v>
      </c>
      <c r="V15" s="481">
        <v>0</v>
      </c>
      <c r="W15" s="481">
        <v>0</v>
      </c>
      <c r="X15" s="481">
        <v>0</v>
      </c>
      <c r="Y15" s="481">
        <v>0</v>
      </c>
      <c r="Z15" s="481">
        <v>0</v>
      </c>
      <c r="AA15" s="481">
        <v>0</v>
      </c>
      <c r="AB15" s="481">
        <v>0</v>
      </c>
      <c r="AC15" s="481">
        <v>0</v>
      </c>
      <c r="AD15" s="481">
        <v>0</v>
      </c>
      <c r="AE15" s="481">
        <v>0</v>
      </c>
      <c r="AF15" s="481">
        <v>0</v>
      </c>
      <c r="AG15" s="481">
        <v>0</v>
      </c>
      <c r="AH15" s="481">
        <v>0</v>
      </c>
      <c r="AI15" s="481">
        <v>0</v>
      </c>
      <c r="AJ15" s="481">
        <v>0</v>
      </c>
      <c r="AK15" s="481">
        <v>0</v>
      </c>
      <c r="AL15" s="481">
        <v>0</v>
      </c>
      <c r="AM15" s="482">
        <v>0</v>
      </c>
    </row>
    <row r="16" spans="1:39" ht="12.75" customHeight="1" x14ac:dyDescent="0.3">
      <c r="A16" s="174"/>
      <c r="B16" s="174"/>
      <c r="C16" s="174"/>
      <c r="D16" s="14"/>
      <c r="E16" s="218" t="s">
        <v>2332</v>
      </c>
      <c r="G16" s="483">
        <v>0</v>
      </c>
      <c r="H16" s="484">
        <v>0</v>
      </c>
      <c r="I16" s="484">
        <v>0</v>
      </c>
      <c r="J16" s="484">
        <v>0</v>
      </c>
      <c r="K16" s="484">
        <v>0</v>
      </c>
      <c r="L16" s="484">
        <v>0</v>
      </c>
      <c r="M16" s="484">
        <v>0</v>
      </c>
      <c r="N16" s="484">
        <v>0</v>
      </c>
      <c r="O16" s="484">
        <v>0</v>
      </c>
      <c r="P16" s="484">
        <v>0</v>
      </c>
      <c r="Q16" s="484">
        <v>0</v>
      </c>
      <c r="R16" s="484">
        <v>0</v>
      </c>
      <c r="S16" s="484">
        <v>0</v>
      </c>
      <c r="T16" s="484">
        <v>0</v>
      </c>
      <c r="U16" s="484">
        <v>0</v>
      </c>
      <c r="V16" s="484">
        <v>0</v>
      </c>
      <c r="W16" s="484">
        <v>0</v>
      </c>
      <c r="X16" s="484">
        <v>0</v>
      </c>
      <c r="Y16" s="484">
        <v>0</v>
      </c>
      <c r="Z16" s="484">
        <v>0</v>
      </c>
      <c r="AA16" s="484">
        <v>0</v>
      </c>
      <c r="AB16" s="484">
        <v>0</v>
      </c>
      <c r="AC16" s="484">
        <v>0</v>
      </c>
      <c r="AD16" s="484">
        <v>0</v>
      </c>
      <c r="AE16" s="484">
        <v>0</v>
      </c>
      <c r="AF16" s="484">
        <v>0</v>
      </c>
      <c r="AG16" s="484">
        <v>0</v>
      </c>
      <c r="AH16" s="484">
        <v>0</v>
      </c>
      <c r="AI16" s="484">
        <v>0</v>
      </c>
      <c r="AJ16" s="484">
        <v>0</v>
      </c>
      <c r="AK16" s="484">
        <v>0</v>
      </c>
      <c r="AL16" s="484">
        <v>0</v>
      </c>
      <c r="AM16" s="485">
        <v>0</v>
      </c>
    </row>
    <row r="17" spans="1:39" ht="12.75" customHeight="1" x14ac:dyDescent="0.3">
      <c r="A17" s="174"/>
      <c r="B17" s="174"/>
      <c r="C17" s="174"/>
      <c r="D17" s="15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</row>
    <row r="18" spans="1:39" ht="12.75" customHeight="1" x14ac:dyDescent="0.3">
      <c r="A18" s="174"/>
      <c r="B18" s="174"/>
      <c r="C18" s="174"/>
      <c r="D18" s="15"/>
    </row>
    <row r="19" spans="1:39" ht="12.75" customHeight="1" x14ac:dyDescent="0.3">
      <c r="A19" s="174"/>
      <c r="B19" s="174"/>
      <c r="C19" s="174"/>
      <c r="D19" s="15"/>
      <c r="F19" s="489" t="s">
        <v>2328</v>
      </c>
      <c r="G19" s="13" t="s">
        <v>1312</v>
      </c>
      <c r="H19" s="486" t="s">
        <v>278</v>
      </c>
      <c r="I19" s="487" t="s">
        <v>1313</v>
      </c>
      <c r="J19" s="487" t="s">
        <v>1314</v>
      </c>
      <c r="K19" s="487" t="s">
        <v>1315</v>
      </c>
      <c r="L19" s="487" t="s">
        <v>1316</v>
      </c>
      <c r="M19" s="487" t="s">
        <v>1317</v>
      </c>
      <c r="N19" s="487" t="s">
        <v>1318</v>
      </c>
      <c r="O19" s="487" t="s">
        <v>1319</v>
      </c>
      <c r="P19" s="487" t="s">
        <v>519</v>
      </c>
      <c r="Q19" s="486" t="s">
        <v>279</v>
      </c>
      <c r="R19" s="487" t="s">
        <v>1320</v>
      </c>
      <c r="S19" s="487" t="s">
        <v>1321</v>
      </c>
      <c r="T19" s="487" t="s">
        <v>1322</v>
      </c>
      <c r="U19" s="487" t="s">
        <v>1323</v>
      </c>
      <c r="V19" s="487" t="s">
        <v>1324</v>
      </c>
      <c r="W19" s="487" t="s">
        <v>1325</v>
      </c>
      <c r="X19" s="487" t="s">
        <v>518</v>
      </c>
      <c r="Y19" s="487" t="s">
        <v>520</v>
      </c>
      <c r="Z19" s="487" t="s">
        <v>1478</v>
      </c>
      <c r="AA19" s="487" t="s">
        <v>1479</v>
      </c>
      <c r="AB19" s="487" t="s">
        <v>521</v>
      </c>
      <c r="AC19" s="487" t="s">
        <v>526</v>
      </c>
      <c r="AD19" s="487" t="s">
        <v>522</v>
      </c>
      <c r="AE19" s="487" t="s">
        <v>1480</v>
      </c>
      <c r="AF19" s="487" t="s">
        <v>1481</v>
      </c>
      <c r="AG19" s="487" t="s">
        <v>523</v>
      </c>
      <c r="AH19" s="487" t="s">
        <v>527</v>
      </c>
      <c r="AI19" s="487" t="s">
        <v>524</v>
      </c>
      <c r="AJ19" s="487" t="s">
        <v>1482</v>
      </c>
      <c r="AK19" s="487" t="s">
        <v>1483</v>
      </c>
      <c r="AL19" s="487" t="s">
        <v>525</v>
      </c>
      <c r="AM19" s="488" t="s">
        <v>528</v>
      </c>
    </row>
    <row r="20" spans="1:39" ht="12.75" customHeight="1" x14ac:dyDescent="0.3">
      <c r="A20" s="174"/>
      <c r="B20" s="174"/>
      <c r="C20" s="174"/>
      <c r="D20" s="15"/>
      <c r="E20" s="495" t="s">
        <v>2329</v>
      </c>
      <c r="F20" s="504">
        <v>0</v>
      </c>
      <c r="G20" s="497">
        <v>0</v>
      </c>
      <c r="H20" s="497">
        <v>0</v>
      </c>
      <c r="I20" s="497">
        <v>0</v>
      </c>
      <c r="J20" s="497">
        <v>0</v>
      </c>
      <c r="K20" s="497">
        <v>0</v>
      </c>
      <c r="L20" s="497">
        <v>0</v>
      </c>
      <c r="M20" s="497">
        <v>0</v>
      </c>
      <c r="N20" s="497">
        <v>0</v>
      </c>
      <c r="O20" s="497">
        <v>0</v>
      </c>
      <c r="P20" s="497">
        <v>0</v>
      </c>
      <c r="Q20" s="497">
        <v>0</v>
      </c>
      <c r="R20" s="497">
        <v>0</v>
      </c>
      <c r="S20" s="497">
        <v>0</v>
      </c>
      <c r="T20" s="497">
        <v>0</v>
      </c>
      <c r="U20" s="497">
        <v>0</v>
      </c>
      <c r="V20" s="497">
        <v>0</v>
      </c>
      <c r="W20" s="497">
        <v>0</v>
      </c>
      <c r="X20" s="497">
        <v>0</v>
      </c>
      <c r="Y20" s="497">
        <v>0</v>
      </c>
      <c r="Z20" s="497">
        <v>0</v>
      </c>
      <c r="AA20" s="497">
        <v>0</v>
      </c>
      <c r="AB20" s="497">
        <v>0</v>
      </c>
      <c r="AC20" s="497">
        <v>0</v>
      </c>
      <c r="AD20" s="497">
        <v>0</v>
      </c>
      <c r="AE20" s="497">
        <v>0</v>
      </c>
      <c r="AF20" s="497">
        <v>0</v>
      </c>
      <c r="AG20" s="497">
        <v>0</v>
      </c>
      <c r="AH20" s="497">
        <v>0</v>
      </c>
      <c r="AI20" s="497">
        <v>0</v>
      </c>
      <c r="AJ20" s="497">
        <v>0</v>
      </c>
      <c r="AK20" s="497">
        <v>0</v>
      </c>
      <c r="AL20" s="497">
        <v>0</v>
      </c>
      <c r="AM20" s="498">
        <v>0</v>
      </c>
    </row>
    <row r="21" spans="1:39" ht="12.75" customHeight="1" x14ac:dyDescent="0.3">
      <c r="A21" s="174"/>
      <c r="B21" s="174"/>
      <c r="C21" s="174"/>
      <c r="D21" s="15"/>
      <c r="F21" s="505">
        <v>2.0754648657564885E-2</v>
      </c>
      <c r="G21" s="496">
        <v>0.57645551062341138</v>
      </c>
      <c r="H21" s="496">
        <v>4.0463576672267743E-2</v>
      </c>
      <c r="I21" s="496">
        <v>0.66884677320696684</v>
      </c>
      <c r="J21" s="496">
        <v>0.33750736886820532</v>
      </c>
      <c r="K21" s="496">
        <v>2.9377722277914024E-2</v>
      </c>
      <c r="L21" s="496">
        <v>8.4909828437347394E-3</v>
      </c>
      <c r="M21" s="496">
        <v>4.1087198357683659E-2</v>
      </c>
      <c r="N21" s="496">
        <v>6.2371442144069644E-2</v>
      </c>
      <c r="O21" s="496">
        <v>4.1087198357683631E-2</v>
      </c>
      <c r="P21" s="496">
        <v>0.28378790227866552</v>
      </c>
      <c r="Q21" s="496">
        <v>1.1484015338990147E-2</v>
      </c>
      <c r="R21" s="496">
        <v>0.10823279672741658</v>
      </c>
      <c r="S21" s="496">
        <v>1.1745077396565818E-2</v>
      </c>
      <c r="T21" s="496">
        <v>2.617773031496416E-3</v>
      </c>
      <c r="U21" s="496">
        <v>2.1650781722583424E-4</v>
      </c>
      <c r="V21" s="496">
        <v>1.3403262499542984E-2</v>
      </c>
      <c r="W21" s="496">
        <v>8.1355784181579936E-3</v>
      </c>
      <c r="X21" s="496">
        <v>1.3403262499542981E-2</v>
      </c>
      <c r="Y21" s="496">
        <v>5.0958659179056509E-2</v>
      </c>
      <c r="Z21" s="496">
        <v>3.5303085378303178E-3</v>
      </c>
      <c r="AA21" s="496">
        <v>4.5831018859141132E-5</v>
      </c>
      <c r="AB21" s="496">
        <v>5.3988575448383909E-7</v>
      </c>
      <c r="AC21" s="496">
        <v>1.707507308751653E-3</v>
      </c>
      <c r="AD21" s="496">
        <v>9.3375312447675218E-3</v>
      </c>
      <c r="AE21" s="496">
        <v>3.4720987336377021E-4</v>
      </c>
      <c r="AF21" s="496">
        <v>1.3044490560399683E-6</v>
      </c>
      <c r="AG21" s="496">
        <v>1.1939283632226801E-8</v>
      </c>
      <c r="AH21" s="496">
        <v>5.5067172237728731E-5</v>
      </c>
      <c r="AI21" s="496">
        <v>6.4878896816543772E-3</v>
      </c>
      <c r="AJ21" s="496">
        <v>4.808800721535912E-4</v>
      </c>
      <c r="AK21" s="496">
        <v>1.2716743896937861E-5</v>
      </c>
      <c r="AL21" s="496">
        <v>1.4477213482518895E-7</v>
      </c>
      <c r="AM21" s="499">
        <v>3.8719162752698421E-4</v>
      </c>
    </row>
    <row r="22" spans="1:39" ht="12.75" customHeight="1" x14ac:dyDescent="0.3">
      <c r="A22" s="174"/>
      <c r="B22" s="174"/>
      <c r="C22" s="174"/>
      <c r="D22" s="15"/>
      <c r="F22" s="505">
        <v>4.150929731512977E-2</v>
      </c>
      <c r="G22" s="496">
        <v>0.70935591180983393</v>
      </c>
      <c r="H22" s="496">
        <v>0.10203448354354959</v>
      </c>
      <c r="I22" s="496">
        <v>0.86833052448315673</v>
      </c>
      <c r="J22" s="496">
        <v>0.67677328090509459</v>
      </c>
      <c r="K22" s="496">
        <v>8.4553239554820525E-2</v>
      </c>
      <c r="L22" s="496">
        <v>3.9880218748588069E-2</v>
      </c>
      <c r="M22" s="496">
        <v>0.10353481108068023</v>
      </c>
      <c r="N22" s="496">
        <v>0.12085656655892228</v>
      </c>
      <c r="O22" s="496">
        <v>0.10353481108068019</v>
      </c>
      <c r="P22" s="496">
        <v>0.51004532528448554</v>
      </c>
      <c r="Q22" s="496">
        <v>4.6296316181978943E-2</v>
      </c>
      <c r="R22" s="496">
        <v>0.32384733494466816</v>
      </c>
      <c r="S22" s="496">
        <v>4.9338295938749749E-2</v>
      </c>
      <c r="T22" s="496">
        <v>1.8211182424293367E-2</v>
      </c>
      <c r="U22" s="496">
        <v>1.971480822397122E-3</v>
      </c>
      <c r="V22" s="496">
        <v>5.374323525384192E-2</v>
      </c>
      <c r="W22" s="496">
        <v>3.3106197463545109E-2</v>
      </c>
      <c r="X22" s="496">
        <v>5.3743235253841927E-2</v>
      </c>
      <c r="Y22" s="496">
        <v>0.16803361287771487</v>
      </c>
      <c r="Z22" s="496">
        <v>2.5125321323375086E-2</v>
      </c>
      <c r="AA22" s="496">
        <v>7.173360043588302E-4</v>
      </c>
      <c r="AB22" s="496">
        <v>1.8099474886004829E-5</v>
      </c>
      <c r="AC22" s="496">
        <v>1.2611284369689842E-2</v>
      </c>
      <c r="AD22" s="496">
        <v>5.9959664771936635E-2</v>
      </c>
      <c r="AE22" s="496">
        <v>4.8585782276237182E-3</v>
      </c>
      <c r="AF22" s="496">
        <v>4.0203272235325375E-5</v>
      </c>
      <c r="AG22" s="496">
        <v>7.8611422831306065E-7</v>
      </c>
      <c r="AH22" s="496">
        <v>8.0211697620684395E-4</v>
      </c>
      <c r="AI22" s="496">
        <v>4.4041839964088725E-2</v>
      </c>
      <c r="AJ22" s="496">
        <v>6.8587584237007155E-3</v>
      </c>
      <c r="AK22" s="496">
        <v>3.8961475775593134E-4</v>
      </c>
      <c r="AL22" s="496">
        <v>9.4707040253109842E-6</v>
      </c>
      <c r="AM22" s="499">
        <v>5.6028890176914401E-3</v>
      </c>
    </row>
    <row r="23" spans="1:39" ht="12.75" customHeight="1" x14ac:dyDescent="0.3">
      <c r="A23" s="174"/>
      <c r="B23" s="174"/>
      <c r="C23" s="174"/>
      <c r="D23" s="15"/>
      <c r="F23" s="505">
        <v>6.2263945972694655E-2</v>
      </c>
      <c r="G23" s="496">
        <v>0.76729253952263599</v>
      </c>
      <c r="H23" s="496">
        <v>0.16631859419788259</v>
      </c>
      <c r="I23" s="496">
        <v>0.92929956461239371</v>
      </c>
      <c r="J23" s="496">
        <v>0.84461468194342448</v>
      </c>
      <c r="K23" s="496">
        <v>0.14411863769883809</v>
      </c>
      <c r="L23" s="496">
        <v>8.4471876639377566E-2</v>
      </c>
      <c r="M23" s="496">
        <v>0.16864657003972136</v>
      </c>
      <c r="N23" s="496">
        <v>0.1756948626981161</v>
      </c>
      <c r="O23" s="496">
        <v>0.16864657003972125</v>
      </c>
      <c r="P23" s="496">
        <v>0.63532583216703131</v>
      </c>
      <c r="Q23" s="496">
        <v>9.3045727173166046E-2</v>
      </c>
      <c r="R23" s="496">
        <v>0.49821884169104169</v>
      </c>
      <c r="S23" s="496">
        <v>0.10042432136444737</v>
      </c>
      <c r="T23" s="496">
        <v>4.7205320662142849E-2</v>
      </c>
      <c r="U23" s="496">
        <v>6.3831179383712277E-3</v>
      </c>
      <c r="V23" s="496">
        <v>0.10739552302447962</v>
      </c>
      <c r="W23" s="496">
        <v>6.7206809555044489E-2</v>
      </c>
      <c r="X23" s="496">
        <v>0.10739552302447958</v>
      </c>
      <c r="Y23" s="496">
        <v>0.28519653486874535</v>
      </c>
      <c r="Z23" s="496">
        <v>6.6362185342705701E-2</v>
      </c>
      <c r="AA23" s="496">
        <v>3.0541344588557156E-3</v>
      </c>
      <c r="AB23" s="496">
        <v>1.2161903410649252E-4</v>
      </c>
      <c r="AC23" s="496">
        <v>3.4657911347916001E-2</v>
      </c>
      <c r="AD23" s="496">
        <v>0.14340930132164717</v>
      </c>
      <c r="AE23" s="496">
        <v>1.8508135576671254E-2</v>
      </c>
      <c r="AF23" s="496">
        <v>2.4892007469442623E-4</v>
      </c>
      <c r="AG23" s="496">
        <v>7.6891497770571106E-6</v>
      </c>
      <c r="AH23" s="496">
        <v>3.1928625860784855E-3</v>
      </c>
      <c r="AI23" s="496">
        <v>0.11096648002059392</v>
      </c>
      <c r="AJ23" s="496">
        <v>2.6537807929201497E-2</v>
      </c>
      <c r="AK23" s="496">
        <v>2.3873399018605867E-3</v>
      </c>
      <c r="AL23" s="496">
        <v>9.1728506160903379E-5</v>
      </c>
      <c r="AM23" s="499">
        <v>2.2003578539799687E-2</v>
      </c>
    </row>
    <row r="24" spans="1:39" ht="12.75" customHeight="1" x14ac:dyDescent="0.3">
      <c r="A24" s="174"/>
      <c r="B24" s="174"/>
      <c r="C24" s="174"/>
      <c r="D24" s="15"/>
      <c r="F24" s="505">
        <v>8.301859463025954E-2</v>
      </c>
      <c r="G24" s="496">
        <v>0.79719502740166159</v>
      </c>
      <c r="H24" s="496">
        <v>0.22831156796763261</v>
      </c>
      <c r="I24" s="496">
        <v>0.9492963081919531</v>
      </c>
      <c r="J24" s="496">
        <v>0.91438516793509395</v>
      </c>
      <c r="K24" s="496">
        <v>0.20198620404228548</v>
      </c>
      <c r="L24" s="496">
        <v>0.13317026393348311</v>
      </c>
      <c r="M24" s="496">
        <v>0.2313475279357454</v>
      </c>
      <c r="N24" s="496">
        <v>0.22711297303273165</v>
      </c>
      <c r="O24" s="496">
        <v>0.23134752793574526</v>
      </c>
      <c r="P24" s="496">
        <v>0.70415239137926844</v>
      </c>
      <c r="Q24" s="496">
        <v>0.14388742081505904</v>
      </c>
      <c r="R24" s="496">
        <v>0.61075954503966223</v>
      </c>
      <c r="S24" s="496">
        <v>0.15565298117693635</v>
      </c>
      <c r="T24" s="496">
        <v>8.4418534681293872E-2</v>
      </c>
      <c r="U24" s="496">
        <v>1.3793943937889885E-2</v>
      </c>
      <c r="V24" s="496">
        <v>0.16509830286437141</v>
      </c>
      <c r="W24" s="496">
        <v>0.10501898084607325</v>
      </c>
      <c r="X24" s="496">
        <v>0.16509830286437135</v>
      </c>
      <c r="Y24" s="496">
        <v>0.38342953039962724</v>
      </c>
      <c r="Z24" s="496">
        <v>0.12033548070949374</v>
      </c>
      <c r="AA24" s="496">
        <v>7.8295480727289396E-3</v>
      </c>
      <c r="AB24" s="496">
        <v>4.331271909909506E-4</v>
      </c>
      <c r="AC24" s="496">
        <v>6.5459707529326366E-2</v>
      </c>
      <c r="AD24" s="496">
        <v>0.2370655889172866</v>
      </c>
      <c r="AE24" s="496">
        <v>4.2572179298476016E-2</v>
      </c>
      <c r="AF24" s="496">
        <v>8.1960689488306073E-4</v>
      </c>
      <c r="AG24" s="496">
        <v>3.5265586104536705E-5</v>
      </c>
      <c r="AH24" s="496">
        <v>7.6972458738023639E-3</v>
      </c>
      <c r="AI24" s="496">
        <v>0.19221998443887067</v>
      </c>
      <c r="AJ24" s="496">
        <v>6.1765820656108437E-2</v>
      </c>
      <c r="AK24" s="496">
        <v>7.7457628327508507E-3</v>
      </c>
      <c r="AL24" s="496">
        <v>4.1526362676919825E-4</v>
      </c>
      <c r="AM24" s="499">
        <v>5.1984242358869219E-2</v>
      </c>
    </row>
    <row r="25" spans="1:39" ht="12.75" customHeight="1" x14ac:dyDescent="0.3">
      <c r="A25" s="174"/>
      <c r="B25" s="174"/>
      <c r="C25" s="174"/>
      <c r="D25" s="15"/>
      <c r="F25" s="505">
        <v>0.10377324328782443</v>
      </c>
      <c r="G25" s="496">
        <v>0.8161406409605193</v>
      </c>
      <c r="H25" s="496">
        <v>0.28644189869545433</v>
      </c>
      <c r="I25" s="496">
        <v>0.95708456420481791</v>
      </c>
      <c r="J25" s="496">
        <v>0.94202516190158869</v>
      </c>
      <c r="K25" s="496">
        <v>0.2565687290802231</v>
      </c>
      <c r="L25" s="496">
        <v>0.18166183584876763</v>
      </c>
      <c r="M25" s="496">
        <v>0.29005466511373906</v>
      </c>
      <c r="N25" s="496">
        <v>0.27532393106187564</v>
      </c>
      <c r="O25" s="496">
        <v>0.2900546651137389</v>
      </c>
      <c r="P25" s="496">
        <v>0.7451891153601985</v>
      </c>
      <c r="Q25" s="496">
        <v>0.19492140442109371</v>
      </c>
      <c r="R25" s="496">
        <v>0.67945853943412515</v>
      </c>
      <c r="S25" s="496">
        <v>0.21051098780125044</v>
      </c>
      <c r="T25" s="496">
        <v>0.12536131126504252</v>
      </c>
      <c r="U25" s="496">
        <v>2.4116090327254116E-2</v>
      </c>
      <c r="V25" s="496">
        <v>0.22232188846206313</v>
      </c>
      <c r="W25" s="496">
        <v>0.14378480874484884</v>
      </c>
      <c r="X25" s="496">
        <v>0.22232188846206299</v>
      </c>
      <c r="Y25" s="496">
        <v>0.46283886408219027</v>
      </c>
      <c r="Z25" s="496">
        <v>0.18025874085908072</v>
      </c>
      <c r="AA25" s="496">
        <v>1.5386656631193105E-2</v>
      </c>
      <c r="AB25" s="496">
        <v>1.1008411246734887E-3</v>
      </c>
      <c r="AC25" s="496">
        <v>0.10212729610150216</v>
      </c>
      <c r="AD25" s="496">
        <v>0.3265374203239419</v>
      </c>
      <c r="AE25" s="496">
        <v>7.5378663383918521E-2</v>
      </c>
      <c r="AF25" s="496">
        <v>1.9335843825769694E-3</v>
      </c>
      <c r="AG25" s="496">
        <v>1.0799693510299947E-4</v>
      </c>
      <c r="AH25" s="496">
        <v>1.4315758569700561E-2</v>
      </c>
      <c r="AI25" s="496">
        <v>0.27572948655213164</v>
      </c>
      <c r="AJ25" s="496">
        <v>0.1102474252023183</v>
      </c>
      <c r="AK25" s="496">
        <v>1.7934139188713009E-2</v>
      </c>
      <c r="AL25" s="496">
        <v>1.2515662097013493E-3</v>
      </c>
      <c r="AM25" s="499">
        <v>9.4167264933164477E-2</v>
      </c>
    </row>
    <row r="26" spans="1:39" ht="12.75" customHeight="1" x14ac:dyDescent="0.3">
      <c r="A26" s="174"/>
      <c r="B26" s="174"/>
      <c r="C26" s="174"/>
      <c r="D26" s="15"/>
      <c r="F26" s="505">
        <v>0.12452789194538931</v>
      </c>
      <c r="G26" s="496">
        <v>0.83043789368451026</v>
      </c>
      <c r="H26" s="496">
        <v>0.34037082198380264</v>
      </c>
      <c r="I26" s="496">
        <v>0.96115251076980723</v>
      </c>
      <c r="J26" s="496">
        <v>0.95350237718862618</v>
      </c>
      <c r="K26" s="496">
        <v>0.30759137206800219</v>
      </c>
      <c r="L26" s="496">
        <v>0.22830838888109645</v>
      </c>
      <c r="M26" s="496">
        <v>0.34443751235868036</v>
      </c>
      <c r="N26" s="496">
        <v>0.32052767506720242</v>
      </c>
      <c r="O26" s="496">
        <v>0.34443751235868025</v>
      </c>
      <c r="P26" s="496">
        <v>0.77284897768907723</v>
      </c>
      <c r="Q26" s="496">
        <v>0.24441540442009954</v>
      </c>
      <c r="R26" s="496">
        <v>0.72281661457988144</v>
      </c>
      <c r="S26" s="496">
        <v>0.26314359330991</v>
      </c>
      <c r="T26" s="496">
        <v>0.16729597531480081</v>
      </c>
      <c r="U26" s="496">
        <v>3.7084057226445664E-2</v>
      </c>
      <c r="V26" s="496">
        <v>0.27712106883806142</v>
      </c>
      <c r="W26" s="496">
        <v>0.1822210347530315</v>
      </c>
      <c r="X26" s="496">
        <v>0.27712106883806126</v>
      </c>
      <c r="Y26" s="496">
        <v>0.52752835309702018</v>
      </c>
      <c r="Z26" s="496">
        <v>0.24145979290314284</v>
      </c>
      <c r="AA26" s="496">
        <v>2.5742068880587728E-2</v>
      </c>
      <c r="AB26" s="496">
        <v>2.2740959527985695E-3</v>
      </c>
      <c r="AC26" s="496">
        <v>0.14235164842494147</v>
      </c>
      <c r="AD26" s="496">
        <v>0.40604398518991475</v>
      </c>
      <c r="AE26" s="496">
        <v>0.1141910431176543</v>
      </c>
      <c r="AF26" s="496">
        <v>3.7234230847231048E-3</v>
      </c>
      <c r="AG26" s="496">
        <v>2.5788213409544728E-4</v>
      </c>
      <c r="AH26" s="496">
        <v>2.281352955603512E-2</v>
      </c>
      <c r="AI26" s="496">
        <v>0.35477496722873747</v>
      </c>
      <c r="AJ26" s="496">
        <v>0.16778139875351686</v>
      </c>
      <c r="AK26" s="496">
        <v>3.377100367270075E-2</v>
      </c>
      <c r="AL26" s="496">
        <v>2.9334480761746455E-3</v>
      </c>
      <c r="AM26" s="499">
        <v>0.14537690213232671</v>
      </c>
    </row>
    <row r="27" spans="1:39" ht="12.75" customHeight="1" x14ac:dyDescent="0.3">
      <c r="A27" s="174"/>
      <c r="B27" s="174"/>
      <c r="C27" s="174"/>
      <c r="D27" s="15"/>
      <c r="E27" s="15"/>
      <c r="F27" s="505">
        <v>0.1452825406029542</v>
      </c>
      <c r="G27" s="496">
        <v>0.84246496711396446</v>
      </c>
      <c r="H27" s="496">
        <v>0.39019369310052543</v>
      </c>
      <c r="I27" s="496">
        <v>0.96401055431012905</v>
      </c>
      <c r="J27" s="496">
        <v>0.95909301503927535</v>
      </c>
      <c r="K27" s="496">
        <v>0.35515277835780912</v>
      </c>
      <c r="L27" s="496">
        <v>0.27260501723039965</v>
      </c>
      <c r="M27" s="496">
        <v>0.39460543533435255</v>
      </c>
      <c r="N27" s="496">
        <v>0.36291174284682937</v>
      </c>
      <c r="O27" s="496">
        <v>0.39460543533435244</v>
      </c>
      <c r="P27" s="496">
        <v>0.79378868324691132</v>
      </c>
      <c r="Q27" s="496">
        <v>0.29166676368861383</v>
      </c>
      <c r="R27" s="496">
        <v>0.75258318516899858</v>
      </c>
      <c r="S27" s="496">
        <v>0.31289655497296659</v>
      </c>
      <c r="T27" s="496">
        <v>0.20878248763136134</v>
      </c>
      <c r="U27" s="496">
        <v>5.2377671585877333E-2</v>
      </c>
      <c r="V27" s="496">
        <v>0.32876929667459831</v>
      </c>
      <c r="W27" s="496">
        <v>0.21975078093694803</v>
      </c>
      <c r="X27" s="496">
        <v>0.3287692966745982</v>
      </c>
      <c r="Y27" s="496">
        <v>0.5812094870732003</v>
      </c>
      <c r="Z27" s="496">
        <v>0.30114165621078454</v>
      </c>
      <c r="AA27" s="496">
        <v>3.8715966523769539E-2</v>
      </c>
      <c r="AB27" s="496">
        <v>4.0875339115325829E-3</v>
      </c>
      <c r="AC27" s="496">
        <v>0.18447144471140159</v>
      </c>
      <c r="AD27" s="496">
        <v>0.47459462662950741</v>
      </c>
      <c r="AE27" s="496">
        <v>0.15636155250474915</v>
      </c>
      <c r="AF27" s="496">
        <v>6.2658693787321432E-3</v>
      </c>
      <c r="AG27" s="496">
        <v>5.2097161626905571E-4</v>
      </c>
      <c r="AH27" s="496">
        <v>3.2887316129116516E-2</v>
      </c>
      <c r="AI27" s="496">
        <v>0.42647018998799835</v>
      </c>
      <c r="AJ27" s="496">
        <v>0.2300931982656618</v>
      </c>
      <c r="AK27" s="496">
        <v>5.5396761800184907E-2</v>
      </c>
      <c r="AL27" s="496">
        <v>5.8031088442563805E-3</v>
      </c>
      <c r="AM27" s="499">
        <v>0.20211942488170398</v>
      </c>
    </row>
    <row r="28" spans="1:39" ht="12.75" customHeight="1" x14ac:dyDescent="0.3">
      <c r="A28" s="174"/>
      <c r="B28" s="174"/>
      <c r="C28" s="174"/>
      <c r="D28" s="15"/>
      <c r="E28" s="15"/>
      <c r="F28" s="505">
        <v>0.16603718926051908</v>
      </c>
      <c r="G28" s="496">
        <v>0.85315395185675258</v>
      </c>
      <c r="H28" s="496">
        <v>0.43614939816090331</v>
      </c>
      <c r="I28" s="496">
        <v>0.96640645558149585</v>
      </c>
      <c r="J28" s="496">
        <v>0.96255666016733799</v>
      </c>
      <c r="K28" s="496">
        <v>0.39944919917142324</v>
      </c>
      <c r="L28" s="496">
        <v>0.31447148166788763</v>
      </c>
      <c r="M28" s="496">
        <v>0.44081206970029368</v>
      </c>
      <c r="N28" s="496">
        <v>0.4026520008515917</v>
      </c>
      <c r="O28" s="496">
        <v>0.44081206970029357</v>
      </c>
      <c r="P28" s="496">
        <v>0.81100965267822889</v>
      </c>
      <c r="Q28" s="496">
        <v>0.33643394359799833</v>
      </c>
      <c r="R28" s="496">
        <v>0.77508252535679201</v>
      </c>
      <c r="S28" s="496">
        <v>0.35961533921784711</v>
      </c>
      <c r="T28" s="496">
        <v>0.24912445710874534</v>
      </c>
      <c r="U28" s="496">
        <v>6.9674056540604878E-2</v>
      </c>
      <c r="V28" s="496">
        <v>0.37707850043738977</v>
      </c>
      <c r="W28" s="496">
        <v>0.25611824889232288</v>
      </c>
      <c r="X28" s="496">
        <v>0.37707850043738961</v>
      </c>
      <c r="Y28" s="496">
        <v>0.62653308760704696</v>
      </c>
      <c r="Z28" s="496">
        <v>0.35777446179321415</v>
      </c>
      <c r="AA28" s="496">
        <v>5.4027366619838757E-2</v>
      </c>
      <c r="AB28" s="496">
        <v>6.6531786721931007E-3</v>
      </c>
      <c r="AC28" s="496">
        <v>0.22731756781565388</v>
      </c>
      <c r="AD28" s="496">
        <v>0.53315665401948231</v>
      </c>
      <c r="AE28" s="496">
        <v>0.19977208903415794</v>
      </c>
      <c r="AF28" s="496">
        <v>9.5897934748873561E-3</v>
      </c>
      <c r="AG28" s="496">
        <v>9.3419062806416697E-4</v>
      </c>
      <c r="AH28" s="496">
        <v>4.4245107008547294E-2</v>
      </c>
      <c r="AI28" s="496">
        <v>0.49007149858552296</v>
      </c>
      <c r="AJ28" s="496">
        <v>0.29366194364830955</v>
      </c>
      <c r="AK28" s="496">
        <v>8.2419303743641315E-2</v>
      </c>
      <c r="AL28" s="496">
        <v>1.0168944457898132E-2</v>
      </c>
      <c r="AM28" s="499">
        <v>0.26132372526259007</v>
      </c>
    </row>
    <row r="29" spans="1:39" ht="12.75" customHeight="1" x14ac:dyDescent="0.3">
      <c r="A29" s="174"/>
      <c r="B29" s="174"/>
      <c r="C29" s="174"/>
      <c r="D29" s="15"/>
      <c r="E29" s="15"/>
      <c r="F29" s="505">
        <v>0.18679183791808396</v>
      </c>
      <c r="G29" s="496">
        <v>0.86289898031534429</v>
      </c>
      <c r="H29" s="496">
        <v>0.47851455884906297</v>
      </c>
      <c r="I29" s="496">
        <v>0.9685674590202501</v>
      </c>
      <c r="J29" s="496">
        <v>0.96520854334816408</v>
      </c>
      <c r="K29" s="496">
        <v>0.44069405748019796</v>
      </c>
      <c r="L29" s="496">
        <v>0.35397360074630979</v>
      </c>
      <c r="M29" s="496">
        <v>0.48334785092816879</v>
      </c>
      <c r="N29" s="496">
        <v>0.43991335541363075</v>
      </c>
      <c r="O29" s="496">
        <v>0.48334785092816879</v>
      </c>
      <c r="P29" s="496">
        <v>0.82588837105595403</v>
      </c>
      <c r="Q29" s="496">
        <v>0.37867752047869374</v>
      </c>
      <c r="R29" s="496">
        <v>0.79347807204339171</v>
      </c>
      <c r="S29" s="496">
        <v>0.40334465974922956</v>
      </c>
      <c r="T29" s="496">
        <v>0.28800712937961825</v>
      </c>
      <c r="U29" s="496">
        <v>8.8667631126203517E-2</v>
      </c>
      <c r="V29" s="496">
        <v>0.42209011168806421</v>
      </c>
      <c r="W29" s="496">
        <v>0.29121270539184663</v>
      </c>
      <c r="X29" s="496">
        <v>0.42209011168806426</v>
      </c>
      <c r="Y29" s="496">
        <v>0.66531347576292432</v>
      </c>
      <c r="Z29" s="496">
        <v>0.41060969726005303</v>
      </c>
      <c r="AA29" s="496">
        <v>7.1353722759949556E-2</v>
      </c>
      <c r="AB29" s="496">
        <v>1.0057643205823162E-2</v>
      </c>
      <c r="AC29" s="496">
        <v>0.27006409941005388</v>
      </c>
      <c r="AD29" s="496">
        <v>0.58322213343922769</v>
      </c>
      <c r="AE29" s="496">
        <v>0.24289413685083092</v>
      </c>
      <c r="AF29" s="496">
        <v>1.3688328342688393E-2</v>
      </c>
      <c r="AG29" s="496">
        <v>1.532941054574747E-3</v>
      </c>
      <c r="AH29" s="496">
        <v>5.6633350027711409E-2</v>
      </c>
      <c r="AI29" s="496">
        <v>0.54586937299148797</v>
      </c>
      <c r="AJ29" s="496">
        <v>0.35592534995982006</v>
      </c>
      <c r="AK29" s="496">
        <v>0.11410235676648235</v>
      </c>
      <c r="AL29" s="496">
        <v>1.6277513152269624E-2</v>
      </c>
      <c r="AM29" s="499">
        <v>0.3205917183252337</v>
      </c>
    </row>
    <row r="30" spans="1:39" ht="12.75" customHeight="1" x14ac:dyDescent="0.3">
      <c r="A30" s="174"/>
      <c r="B30" s="174"/>
      <c r="C30" s="174"/>
      <c r="D30" s="15"/>
      <c r="E30" s="15"/>
      <c r="F30" s="505">
        <v>0.20754648657564886</v>
      </c>
      <c r="G30" s="496">
        <v>0.87188541553544219</v>
      </c>
      <c r="H30" s="496">
        <v>0.51756536198451553</v>
      </c>
      <c r="I30" s="496">
        <v>0.97056688337825725</v>
      </c>
      <c r="J30" s="496">
        <v>0.96749839851760022</v>
      </c>
      <c r="K30" s="496">
        <v>0.47909502316156566</v>
      </c>
      <c r="L30" s="496">
        <v>0.39122203509815823</v>
      </c>
      <c r="M30" s="496">
        <v>0.52250136258155866</v>
      </c>
      <c r="N30" s="496">
        <v>0.47485043283950101</v>
      </c>
      <c r="O30" s="496">
        <v>0.52250136258155866</v>
      </c>
      <c r="P30" s="496">
        <v>0.83909459460582392</v>
      </c>
      <c r="Q30" s="496">
        <v>0.41844641774995162</v>
      </c>
      <c r="R30" s="496">
        <v>0.80931644518566404</v>
      </c>
      <c r="S30" s="496">
        <v>0.44420564712735661</v>
      </c>
      <c r="T30" s="496">
        <v>0.32530193867768331</v>
      </c>
      <c r="U30" s="496">
        <v>0.10907683737117162</v>
      </c>
      <c r="V30" s="496">
        <v>0.46394002544861224</v>
      </c>
      <c r="W30" s="496">
        <v>0.32499088441969737</v>
      </c>
      <c r="X30" s="496">
        <v>0.46394002544861213</v>
      </c>
      <c r="Y30" s="496">
        <v>0.69882116909219416</v>
      </c>
      <c r="Z30" s="496">
        <v>0.45936450375790061</v>
      </c>
      <c r="AA30" s="496">
        <v>9.0365754887570204E-2</v>
      </c>
      <c r="AB30" s="496">
        <v>1.436232341457142E-2</v>
      </c>
      <c r="AC30" s="496">
        <v>0.31212380867436462</v>
      </c>
      <c r="AD30" s="496">
        <v>0.62623260369430434</v>
      </c>
      <c r="AE30" s="496">
        <v>0.28470208458207963</v>
      </c>
      <c r="AF30" s="496">
        <v>1.8530244039042208E-2</v>
      </c>
      <c r="AG30" s="496">
        <v>2.349512813161995E-3</v>
      </c>
      <c r="AH30" s="496">
        <v>6.9840508752788868E-2</v>
      </c>
      <c r="AI30" s="496">
        <v>0.59458020941747347</v>
      </c>
      <c r="AJ30" s="496">
        <v>0.41519641642878408</v>
      </c>
      <c r="AK30" s="496">
        <v>0.14953325903768291</v>
      </c>
      <c r="AL30" s="496">
        <v>2.4300057288254212E-2</v>
      </c>
      <c r="AM30" s="499">
        <v>0.37820061616887202</v>
      </c>
    </row>
    <row r="31" spans="1:39" ht="12.75" customHeight="1" x14ac:dyDescent="0.3">
      <c r="A31" s="174"/>
      <c r="B31" s="174"/>
      <c r="C31" s="174"/>
      <c r="D31" s="15"/>
      <c r="E31" s="15"/>
      <c r="F31" s="505">
        <v>0.22830113523321374</v>
      </c>
      <c r="G31" s="496">
        <v>0.88021855227132073</v>
      </c>
      <c r="H31" s="496">
        <v>0.55356416117295804</v>
      </c>
      <c r="I31" s="496">
        <v>0.97243226478390166</v>
      </c>
      <c r="J31" s="496">
        <v>0.96958059747303293</v>
      </c>
      <c r="K31" s="496">
        <v>0.51484802044905742</v>
      </c>
      <c r="L31" s="496">
        <v>0.4263374046644568</v>
      </c>
      <c r="M31" s="496">
        <v>0.55854587974855763</v>
      </c>
      <c r="N31" s="496">
        <v>0.50760823120977616</v>
      </c>
      <c r="O31" s="496">
        <v>0.55854587974855774</v>
      </c>
      <c r="P31" s="496">
        <v>0.85098769509780336</v>
      </c>
      <c r="Q31" s="496">
        <v>0.45582836237485092</v>
      </c>
      <c r="R31" s="496">
        <v>0.82336905290319473</v>
      </c>
      <c r="S31" s="496">
        <v>0.48234652627227936</v>
      </c>
      <c r="T31" s="496">
        <v>0.36096999019077153</v>
      </c>
      <c r="U31" s="496">
        <v>0.13064557215104489</v>
      </c>
      <c r="V31" s="496">
        <v>0.50280038542534877</v>
      </c>
      <c r="W31" s="496">
        <v>0.35744294385950348</v>
      </c>
      <c r="X31" s="496">
        <v>0.50280038542534855</v>
      </c>
      <c r="Y31" s="496">
        <v>0.72798595700585933</v>
      </c>
      <c r="Z31" s="496">
        <v>0.5040292557160122</v>
      </c>
      <c r="AA31" s="496">
        <v>0.11074690482835182</v>
      </c>
      <c r="AB31" s="496">
        <v>1.9605163383868102E-2</v>
      </c>
      <c r="AC31" s="496">
        <v>0.35307985166479827</v>
      </c>
      <c r="AD31" s="496">
        <v>0.66340804686224197</v>
      </c>
      <c r="AE31" s="496">
        <v>0.32455498724520221</v>
      </c>
      <c r="AF31" s="496">
        <v>2.4068975746129224E-2</v>
      </c>
      <c r="AG31" s="496">
        <v>3.412159357280624E-3</v>
      </c>
      <c r="AH31" s="496">
        <v>8.3692286726368928E-2</v>
      </c>
      <c r="AI31" s="496">
        <v>0.63704365337402369</v>
      </c>
      <c r="AJ31" s="496">
        <v>0.47048467556200552</v>
      </c>
      <c r="AK31" s="496">
        <v>0.18774926033542458</v>
      </c>
      <c r="AL31" s="496">
        <v>3.4330117003212625E-2</v>
      </c>
      <c r="AM31" s="499">
        <v>0.43300577084768782</v>
      </c>
    </row>
    <row r="32" spans="1:39" ht="12.75" customHeight="1" x14ac:dyDescent="0.3">
      <c r="A32" s="174"/>
      <c r="B32" s="174"/>
      <c r="C32" s="174"/>
      <c r="D32" s="15"/>
      <c r="E32" s="15"/>
      <c r="F32" s="505">
        <v>0.24905578389077862</v>
      </c>
      <c r="G32" s="496">
        <v>0.88796634195341295</v>
      </c>
      <c r="H32" s="496">
        <v>0.58675527178629494</v>
      </c>
      <c r="I32" s="496">
        <v>0.97417720688593257</v>
      </c>
      <c r="J32" s="496">
        <v>0.97151091317299743</v>
      </c>
      <c r="K32" s="496">
        <v>0.5481360183301428</v>
      </c>
      <c r="L32" s="496">
        <v>0.45943873342052438</v>
      </c>
      <c r="M32" s="496">
        <v>0.59173524724649218</v>
      </c>
      <c r="N32" s="496">
        <v>0.53832261334185871</v>
      </c>
      <c r="O32" s="496">
        <v>0.59173524724649218</v>
      </c>
      <c r="P32" s="496">
        <v>0.86178693602157519</v>
      </c>
      <c r="Q32" s="496">
        <v>0.49092778363744061</v>
      </c>
      <c r="R32" s="496">
        <v>0.8360461297920927</v>
      </c>
      <c r="S32" s="496">
        <v>0.51792255686625754</v>
      </c>
      <c r="T32" s="496">
        <v>0.39501624440685529</v>
      </c>
      <c r="U32" s="496">
        <v>0.15314275913286429</v>
      </c>
      <c r="V32" s="496">
        <v>0.53885410720339544</v>
      </c>
      <c r="W32" s="496">
        <v>0.38857708799771667</v>
      </c>
      <c r="X32" s="496">
        <v>0.53885410720339511</v>
      </c>
      <c r="Y32" s="496">
        <v>0.75351814199870615</v>
      </c>
      <c r="Z32" s="496">
        <v>0.54475073383323513</v>
      </c>
      <c r="AA32" s="496">
        <v>0.13220390388051245</v>
      </c>
      <c r="AB32" s="496">
        <v>2.5803215176181695E-2</v>
      </c>
      <c r="AC32" s="496">
        <v>0.3926406118556704</v>
      </c>
      <c r="AD32" s="496">
        <v>0.69573419091920552</v>
      </c>
      <c r="AE32" s="496">
        <v>0.36208943301174346</v>
      </c>
      <c r="AF32" s="496">
        <v>3.0249358755714221E-2</v>
      </c>
      <c r="AG32" s="496">
        <v>4.7446445059499904E-3</v>
      </c>
      <c r="AH32" s="496">
        <v>9.8045155214038893E-2</v>
      </c>
      <c r="AI32" s="496">
        <v>0.67408279370177249</v>
      </c>
      <c r="AJ32" s="496">
        <v>0.52130960608380128</v>
      </c>
      <c r="AK32" s="496">
        <v>0.22782364370392266</v>
      </c>
      <c r="AL32" s="496">
        <v>4.6388718862366889E-2</v>
      </c>
      <c r="AM32" s="499">
        <v>0.48431742738549538</v>
      </c>
    </row>
    <row r="33" spans="1:39" ht="12.75" customHeight="1" x14ac:dyDescent="0.3">
      <c r="A33" s="174"/>
      <c r="B33" s="174"/>
      <c r="C33" s="174"/>
      <c r="D33" s="15"/>
      <c r="E33" s="15"/>
      <c r="F33" s="505">
        <v>0.26981043254834353</v>
      </c>
      <c r="G33" s="496">
        <v>0.89518157223538353</v>
      </c>
      <c r="H33" s="496">
        <v>0.61736476339197865</v>
      </c>
      <c r="I33" s="496">
        <v>0.97581088515838377</v>
      </c>
      <c r="J33" s="496">
        <v>0.97331267592063553</v>
      </c>
      <c r="K33" s="496">
        <v>0.57912972281449759</v>
      </c>
      <c r="L33" s="496">
        <v>0.49064016766329138</v>
      </c>
      <c r="M33" s="496">
        <v>0.62230382214759927</v>
      </c>
      <c r="N33" s="496">
        <v>0.56712113469417902</v>
      </c>
      <c r="O33" s="496">
        <v>0.62230382214759938</v>
      </c>
      <c r="P33" s="496">
        <v>0.87164329335564017</v>
      </c>
      <c r="Q33" s="496">
        <v>0.52385591491973704</v>
      </c>
      <c r="R33" s="496">
        <v>0.84758943211594184</v>
      </c>
      <c r="S33" s="496">
        <v>0.55108815968267366</v>
      </c>
      <c r="T33" s="496">
        <v>0.42746813933982353</v>
      </c>
      <c r="U33" s="496">
        <v>0.17636052152807152</v>
      </c>
      <c r="V33" s="496">
        <v>0.57228409430508353</v>
      </c>
      <c r="W33" s="496">
        <v>0.41841229585090411</v>
      </c>
      <c r="X33" s="496">
        <v>0.57228409430508309</v>
      </c>
      <c r="Y33" s="496">
        <v>0.77598021746359747</v>
      </c>
      <c r="Z33" s="496">
        <v>0.58176172492560774</v>
      </c>
      <c r="AA33" s="496">
        <v>0.15447099296261704</v>
      </c>
      <c r="AB33" s="496">
        <v>3.2955532069379845E-2</v>
      </c>
      <c r="AC33" s="496">
        <v>0.43060803821986643</v>
      </c>
      <c r="AD33" s="496">
        <v>0.72400030995490217</v>
      </c>
      <c r="AE33" s="496">
        <v>0.39713503634603492</v>
      </c>
      <c r="AF33" s="496">
        <v>3.7012190865752484E-2</v>
      </c>
      <c r="AG33" s="496">
        <v>6.3662015692560947E-3</v>
      </c>
      <c r="AH33" s="496">
        <v>0.11278010867613986</v>
      </c>
      <c r="AI33" s="496">
        <v>0.70644924110066132</v>
      </c>
      <c r="AJ33" s="496">
        <v>0.56754172636899936</v>
      </c>
      <c r="AK33" s="496">
        <v>0.26891455466041253</v>
      </c>
      <c r="AL33" s="496">
        <v>6.0433935448390708E-2</v>
      </c>
      <c r="AM33" s="499">
        <v>0.53178371339501973</v>
      </c>
    </row>
    <row r="34" spans="1:39" ht="12.75" customHeight="1" x14ac:dyDescent="0.3">
      <c r="A34" s="174"/>
      <c r="B34" s="174"/>
      <c r="C34" s="174"/>
      <c r="D34" s="15"/>
      <c r="E34" s="15"/>
      <c r="F34" s="505">
        <v>0.2905650812059084</v>
      </c>
      <c r="G34" s="496">
        <v>0.90190810738308291</v>
      </c>
      <c r="H34" s="496">
        <v>0.64560052003084623</v>
      </c>
      <c r="I34" s="496">
        <v>0.97734081385979632</v>
      </c>
      <c r="J34" s="496">
        <v>0.97499835377607158</v>
      </c>
      <c r="K34" s="496">
        <v>0.60798784242747606</v>
      </c>
      <c r="L34" s="496">
        <v>0.52004981013479146</v>
      </c>
      <c r="M34" s="496">
        <v>0.65046664714535019</v>
      </c>
      <c r="N34" s="496">
        <v>0.59412324683657514</v>
      </c>
      <c r="O34" s="496">
        <v>0.65046664714535052</v>
      </c>
      <c r="P34" s="496">
        <v>0.88067075874831524</v>
      </c>
      <c r="Q34" s="496">
        <v>0.55472558754901613</v>
      </c>
      <c r="R34" s="496">
        <v>0.85815841756304201</v>
      </c>
      <c r="S34" s="496">
        <v>0.58199306371987036</v>
      </c>
      <c r="T34" s="496">
        <v>0.45836532819855197</v>
      </c>
      <c r="U34" s="496">
        <v>0.20011315205217151</v>
      </c>
      <c r="V34" s="496">
        <v>0.60326772901601777</v>
      </c>
      <c r="W34" s="496">
        <v>0.44697451897529872</v>
      </c>
      <c r="X34" s="496">
        <v>0.60326772901601722</v>
      </c>
      <c r="Y34" s="496">
        <v>0.79582681326442128</v>
      </c>
      <c r="Z34" s="496">
        <v>0.61533706416611156</v>
      </c>
      <c r="AA34" s="496">
        <v>0.17731225955759614</v>
      </c>
      <c r="AB34" s="496">
        <v>4.1045928576356618E-2</v>
      </c>
      <c r="AC34" s="496">
        <v>0.46685614660958241</v>
      </c>
      <c r="AD34" s="496">
        <v>0.74883872411124075</v>
      </c>
      <c r="AE34" s="496">
        <v>0.42965361342681591</v>
      </c>
      <c r="AF34" s="496">
        <v>4.4297537183708297E-2</v>
      </c>
      <c r="AG34" s="496">
        <v>8.2915945949337388E-3</v>
      </c>
      <c r="AH34" s="496">
        <v>0.12779821132072969</v>
      </c>
      <c r="AI34" s="496">
        <v>0.73480320331254811</v>
      </c>
      <c r="AJ34" s="496">
        <v>0.60928184737194313</v>
      </c>
      <c r="AK34" s="496">
        <v>0.31029332541111682</v>
      </c>
      <c r="AL34" s="496">
        <v>7.6372025045396794E-2</v>
      </c>
      <c r="AM34" s="499">
        <v>0.5752960921723056</v>
      </c>
    </row>
    <row r="35" spans="1:39" ht="12.75" customHeight="1" x14ac:dyDescent="0.3">
      <c r="A35" s="174"/>
      <c r="B35" s="174"/>
      <c r="C35" s="174"/>
      <c r="D35" s="15"/>
      <c r="E35" s="15"/>
      <c r="F35" s="505">
        <v>0.31131972986347328</v>
      </c>
      <c r="G35" s="496">
        <v>0.90818341544973868</v>
      </c>
      <c r="H35" s="496">
        <v>0.67165375419309148</v>
      </c>
      <c r="I35" s="496">
        <v>0.97877372247672245</v>
      </c>
      <c r="J35" s="496">
        <v>0.97657670270799424</v>
      </c>
      <c r="K35" s="496">
        <v>0.63485816998150213</v>
      </c>
      <c r="L35" s="496">
        <v>0.54776987474638827</v>
      </c>
      <c r="M35" s="496">
        <v>0.67642111251665094</v>
      </c>
      <c r="N35" s="496">
        <v>0.61944102022360026</v>
      </c>
      <c r="O35" s="496">
        <v>0.67642111251665127</v>
      </c>
      <c r="P35" s="496">
        <v>0.88896145300117446</v>
      </c>
      <c r="Q35" s="496">
        <v>0.58364873594083655</v>
      </c>
      <c r="R35" s="496">
        <v>0.86787041747524696</v>
      </c>
      <c r="S35" s="496">
        <v>0.61078101010644337</v>
      </c>
      <c r="T35" s="496">
        <v>0.4877544538819617</v>
      </c>
      <c r="U35" s="496">
        <v>0.22423504963837815</v>
      </c>
      <c r="V35" s="496">
        <v>0.63197479855246563</v>
      </c>
      <c r="W35" s="496">
        <v>0.4742944602613603</v>
      </c>
      <c r="X35" s="496">
        <v>0.63197479855246519</v>
      </c>
      <c r="Y35" s="496">
        <v>0.81343238031632292</v>
      </c>
      <c r="Z35" s="496">
        <v>0.64576645460670734</v>
      </c>
      <c r="AA35" s="496">
        <v>0.20052078875337231</v>
      </c>
      <c r="AB35" s="496">
        <v>5.00457612971539E-2</v>
      </c>
      <c r="AC35" s="496">
        <v>0.50131361754645842</v>
      </c>
      <c r="AD35" s="496">
        <v>0.77076261523159995</v>
      </c>
      <c r="AE35" s="496">
        <v>0.45969350396862491</v>
      </c>
      <c r="AF35" s="496">
        <v>5.2046760956414258E-2</v>
      </c>
      <c r="AG35" s="496">
        <v>1.0531432477481133E-2</v>
      </c>
      <c r="AH35" s="496">
        <v>0.14301654506506153</v>
      </c>
      <c r="AI35" s="496">
        <v>0.75971499449676716</v>
      </c>
      <c r="AJ35" s="496">
        <v>0.64676952601813975</v>
      </c>
      <c r="AK35" s="496">
        <v>0.35135152777375078</v>
      </c>
      <c r="AL35" s="496">
        <v>9.4069376707742972E-2</v>
      </c>
      <c r="AM35" s="499">
        <v>0.61491097924236238</v>
      </c>
    </row>
    <row r="36" spans="1:39" ht="12.75" customHeight="1" x14ac:dyDescent="0.3">
      <c r="A36" s="174"/>
      <c r="B36" s="174"/>
      <c r="C36" s="174"/>
      <c r="D36" s="15"/>
      <c r="E36" s="15"/>
      <c r="F36" s="505">
        <v>0.33207437852103816</v>
      </c>
      <c r="G36" s="496">
        <v>0.91404128586482203</v>
      </c>
      <c r="H36" s="496">
        <v>0.69570009301365821</v>
      </c>
      <c r="I36" s="496">
        <v>0.98011581699567196</v>
      </c>
      <c r="J36" s="496">
        <v>0.97805496975028239</v>
      </c>
      <c r="K36" s="496">
        <v>0.65987825652735888</v>
      </c>
      <c r="L36" s="496">
        <v>0.5738968491175358</v>
      </c>
      <c r="M36" s="496">
        <v>0.70034815758705615</v>
      </c>
      <c r="N36" s="496">
        <v>0.64317954770958941</v>
      </c>
      <c r="O36" s="496">
        <v>0.70034815758705649</v>
      </c>
      <c r="P36" s="496">
        <v>0.89659234453226078</v>
      </c>
      <c r="Q36" s="496">
        <v>0.61073485025584773</v>
      </c>
      <c r="R36" s="496">
        <v>0.87681831792270848</v>
      </c>
      <c r="S36" s="496">
        <v>0.63758901391169964</v>
      </c>
      <c r="T36" s="496">
        <v>0.51568631328380754</v>
      </c>
      <c r="U36" s="496">
        <v>0.24857917710750979</v>
      </c>
      <c r="V36" s="496">
        <v>0.65856636328058793</v>
      </c>
      <c r="W36" s="496">
        <v>0.50040613876893547</v>
      </c>
      <c r="X36" s="496">
        <v>0.65856636328058749</v>
      </c>
      <c r="Y36" s="496">
        <v>0.82910847620264816</v>
      </c>
      <c r="Z36" s="496">
        <v>0.67333781104180035</v>
      </c>
      <c r="AA36" s="496">
        <v>0.22391727536999367</v>
      </c>
      <c r="AB36" s="496">
        <v>5.9916433338049677E-2</v>
      </c>
      <c r="AC36" s="496">
        <v>0.53395107545887677</v>
      </c>
      <c r="AD36" s="496">
        <v>0.79019287693551288</v>
      </c>
      <c r="AE36" s="496">
        <v>0.48735827763589595</v>
      </c>
      <c r="AF36" s="496">
        <v>6.0203864207285254E-2</v>
      </c>
      <c r="AG36" s="496">
        <v>1.3092517151185003E-2</v>
      </c>
      <c r="AH36" s="496">
        <v>0.15836534703681357</v>
      </c>
      <c r="AI36" s="496">
        <v>0.78167228539389566</v>
      </c>
      <c r="AJ36" s="496">
        <v>0.68032055416130388</v>
      </c>
      <c r="AK36" s="496">
        <v>0.3915985661639777</v>
      </c>
      <c r="AL36" s="496">
        <v>0.11336365793248576</v>
      </c>
      <c r="AM36" s="499">
        <v>0.65079238300899933</v>
      </c>
    </row>
    <row r="37" spans="1:39" ht="12.75" customHeight="1" x14ac:dyDescent="0.3">
      <c r="A37" s="174"/>
      <c r="B37" s="174"/>
      <c r="C37" s="174"/>
      <c r="D37" s="15"/>
      <c r="E37" s="15"/>
      <c r="F37" s="505">
        <v>0.35282902717860309</v>
      </c>
      <c r="G37" s="496">
        <v>0.91951301818341424</v>
      </c>
      <c r="H37" s="496">
        <v>0.71790062556838175</v>
      </c>
      <c r="I37" s="496">
        <v>0.98137287666975614</v>
      </c>
      <c r="J37" s="496">
        <v>0.97943964181287702</v>
      </c>
      <c r="K37" s="496">
        <v>0.68317602456674731</v>
      </c>
      <c r="L37" s="496">
        <v>0.59852172105824464</v>
      </c>
      <c r="M37" s="496">
        <v>0.72241341721108798</v>
      </c>
      <c r="N37" s="496">
        <v>0.66543731257764394</v>
      </c>
      <c r="O37" s="496">
        <v>0.7224134172110882</v>
      </c>
      <c r="P37" s="496">
        <v>0.90362899255897466</v>
      </c>
      <c r="Q37" s="496">
        <v>0.63609001945898314</v>
      </c>
      <c r="R37" s="496">
        <v>0.88507918560153187</v>
      </c>
      <c r="S37" s="496">
        <v>0.66254701858964726</v>
      </c>
      <c r="T37" s="496">
        <v>0.5422141465463669</v>
      </c>
      <c r="U37" s="496">
        <v>0.27301567772708712</v>
      </c>
      <c r="V37" s="496">
        <v>0.6831942345712847</v>
      </c>
      <c r="W37" s="496">
        <v>0.52534589410515742</v>
      </c>
      <c r="X37" s="496">
        <v>0.68319423457128448</v>
      </c>
      <c r="Y37" s="496">
        <v>0.84311587832703527</v>
      </c>
      <c r="Z37" s="496">
        <v>0.69832704260516887</v>
      </c>
      <c r="AA37" s="496">
        <v>0.24734821555119624</v>
      </c>
      <c r="AB37" s="496">
        <v>7.0611553629621779E-2</v>
      </c>
      <c r="AC37" s="496">
        <v>0.56477135930035227</v>
      </c>
      <c r="AD37" s="496">
        <v>0.80747765499215696</v>
      </c>
      <c r="AE37" s="496">
        <v>0.51278481609800219</v>
      </c>
      <c r="AF37" s="496">
        <v>6.871631590515398E-2</v>
      </c>
      <c r="AG37" s="496">
        <v>1.5978198596113265E-2</v>
      </c>
      <c r="AH37" s="496">
        <v>0.17378582741405654</v>
      </c>
      <c r="AI37" s="496">
        <v>0.80108924188049968</v>
      </c>
      <c r="AJ37" s="496">
        <v>0.71028441734472159</v>
      </c>
      <c r="AK37" s="496">
        <v>0.43065385412748147</v>
      </c>
      <c r="AL37" s="496">
        <v>0.13407356515644703</v>
      </c>
      <c r="AM37" s="499">
        <v>0.68316992156667367</v>
      </c>
    </row>
    <row r="38" spans="1:39" ht="12.75" customHeight="1" x14ac:dyDescent="0.3">
      <c r="A38" s="174"/>
      <c r="B38" s="174"/>
      <c r="C38" s="174"/>
      <c r="D38" s="15"/>
      <c r="E38" s="15"/>
      <c r="F38" s="505">
        <v>0.37358367583616792</v>
      </c>
      <c r="G38" s="496">
        <v>0.92462546743711382</v>
      </c>
      <c r="H38" s="496">
        <v>0.73840326796757438</v>
      </c>
      <c r="I38" s="496">
        <v>0.98255030638131935</v>
      </c>
      <c r="J38" s="496">
        <v>0.98073670575797611</v>
      </c>
      <c r="K38" s="496">
        <v>0.70487055549715461</v>
      </c>
      <c r="L38" s="496">
        <v>0.62173034801701887</v>
      </c>
      <c r="M38" s="496">
        <v>0.74276869099672937</v>
      </c>
      <c r="N38" s="496">
        <v>0.68630668447095622</v>
      </c>
      <c r="O38" s="496">
        <v>0.74276869099672937</v>
      </c>
      <c r="P38" s="496">
        <v>0.91012859899562848</v>
      </c>
      <c r="Q38" s="496">
        <v>0.65981641026116555</v>
      </c>
      <c r="R38" s="496">
        <v>0.89271884221649433</v>
      </c>
      <c r="S38" s="496">
        <v>0.6857779351795813</v>
      </c>
      <c r="T38" s="496">
        <v>0.56739248660107211</v>
      </c>
      <c r="U38" s="496">
        <v>0.29743021615665716</v>
      </c>
      <c r="V38" s="496">
        <v>0.70600101737052223</v>
      </c>
      <c r="W38" s="496">
        <v>0.54915160704529575</v>
      </c>
      <c r="X38" s="496">
        <v>0.70600101737052201</v>
      </c>
      <c r="Y38" s="496">
        <v>0.85567451008098006</v>
      </c>
      <c r="Z38" s="496">
        <v>0.72099250514938429</v>
      </c>
      <c r="AA38" s="496">
        <v>0.27068328659209034</v>
      </c>
      <c r="AB38" s="496">
        <v>8.2078960891174182E-2</v>
      </c>
      <c r="AC38" s="496">
        <v>0.59380130299028977</v>
      </c>
      <c r="AD38" s="496">
        <v>0.82290809610876081</v>
      </c>
      <c r="AE38" s="496">
        <v>0.5361275073431353</v>
      </c>
      <c r="AF38" s="496">
        <v>7.7535425888457327E-2</v>
      </c>
      <c r="AG38" s="496">
        <v>1.9188806554335962E-2</v>
      </c>
      <c r="AH38" s="496">
        <v>0.18922823501777916</v>
      </c>
      <c r="AI38" s="496">
        <v>0.81831743902192999</v>
      </c>
      <c r="AJ38" s="496">
        <v>0.73701601536655181</v>
      </c>
      <c r="AK38" s="496">
        <v>0.46823344340106193</v>
      </c>
      <c r="AL38" s="496">
        <v>0.15600747049702429</v>
      </c>
      <c r="AM38" s="499">
        <v>0.71230763801753172</v>
      </c>
    </row>
    <row r="39" spans="1:39" ht="12.75" customHeight="1" x14ac:dyDescent="0.3">
      <c r="A39" s="174"/>
      <c r="B39" s="174"/>
      <c r="C39" s="174"/>
      <c r="D39" s="15"/>
      <c r="E39" s="15"/>
      <c r="F39" s="505">
        <v>0.39433832449373285</v>
      </c>
      <c r="G39" s="496">
        <v>0.92940402720077031</v>
      </c>
      <c r="H39" s="496">
        <v>0.75734372390879734</v>
      </c>
      <c r="I39" s="496">
        <v>0.98365316346007503</v>
      </c>
      <c r="J39" s="496">
        <v>0.98195173404486358</v>
      </c>
      <c r="K39" s="496">
        <v>0.72507265897780293</v>
      </c>
      <c r="L39" s="496">
        <v>0.64360371375936398</v>
      </c>
      <c r="M39" s="496">
        <v>0.76155298381755743</v>
      </c>
      <c r="N39" s="496">
        <v>0.70587426776791973</v>
      </c>
      <c r="O39" s="496">
        <v>0.76155298381755732</v>
      </c>
      <c r="P39" s="496">
        <v>0.91614099890206835</v>
      </c>
      <c r="Q39" s="496">
        <v>0.68201190971369041</v>
      </c>
      <c r="R39" s="496">
        <v>0.89979446741930635</v>
      </c>
      <c r="S39" s="496">
        <v>0.70739768721258578</v>
      </c>
      <c r="T39" s="496">
        <v>0.59127636238831482</v>
      </c>
      <c r="U39" s="496">
        <v>0.32172268158377942</v>
      </c>
      <c r="V39" s="496">
        <v>0.72712021156451523</v>
      </c>
      <c r="W39" s="496">
        <v>0.57186212426996841</v>
      </c>
      <c r="X39" s="496">
        <v>0.72712021156451512</v>
      </c>
      <c r="Y39" s="496">
        <v>0.86697051391231705</v>
      </c>
      <c r="Z39" s="496">
        <v>0.74157216659436653</v>
      </c>
      <c r="AA39" s="496">
        <v>0.29381303941027859</v>
      </c>
      <c r="AB39" s="496">
        <v>9.4262385744839708E-2</v>
      </c>
      <c r="AC39" s="496">
        <v>0.62108564728499005</v>
      </c>
      <c r="AD39" s="496">
        <v>0.83672909902422909</v>
      </c>
      <c r="AE39" s="496">
        <v>0.5575478265856294</v>
      </c>
      <c r="AF39" s="496">
        <v>8.6616514564285915E-2</v>
      </c>
      <c r="AG39" s="496">
        <v>2.2722029040454998E-2</v>
      </c>
      <c r="AH39" s="496">
        <v>0.20465045534641491</v>
      </c>
      <c r="AI39" s="496">
        <v>0.83365488058108439</v>
      </c>
      <c r="AJ39" s="496">
        <v>0.76085867016703168</v>
      </c>
      <c r="AK39" s="496">
        <v>0.5041369411070683</v>
      </c>
      <c r="AL39" s="496">
        <v>0.17897032015803982</v>
      </c>
      <c r="AM39" s="499">
        <v>0.73848318527367696</v>
      </c>
    </row>
    <row r="40" spans="1:39" ht="12.75" customHeight="1" x14ac:dyDescent="0.3">
      <c r="A40" s="174"/>
      <c r="B40" s="174"/>
      <c r="C40" s="174"/>
      <c r="D40" s="15"/>
      <c r="E40" s="15"/>
      <c r="F40" s="505">
        <v>0.41509297315129773</v>
      </c>
      <c r="G40" s="496">
        <v>0.93387209771828739</v>
      </c>
      <c r="H40" s="496">
        <v>0.77484651434519136</v>
      </c>
      <c r="I40" s="496">
        <v>0.98468618264048891</v>
      </c>
      <c r="J40" s="496">
        <v>0.98308993653027232</v>
      </c>
      <c r="K40" s="496">
        <v>0.74388545873808942</v>
      </c>
      <c r="L40" s="496">
        <v>0.66421820597777859</v>
      </c>
      <c r="M40" s="496">
        <v>0.7788936113649706</v>
      </c>
      <c r="N40" s="496">
        <v>0.72422126737286274</v>
      </c>
      <c r="O40" s="496">
        <v>0.7788936113649706</v>
      </c>
      <c r="P40" s="496">
        <v>0.92171005436603004</v>
      </c>
      <c r="Q40" s="496">
        <v>0.7027699223305004</v>
      </c>
      <c r="R40" s="496">
        <v>0.90635629143077212</v>
      </c>
      <c r="S40" s="496">
        <v>0.72751536670001049</v>
      </c>
      <c r="T40" s="496">
        <v>0.61392068831008118</v>
      </c>
      <c r="U40" s="496">
        <v>0.34580588250157324</v>
      </c>
      <c r="V40" s="496">
        <v>0.74667647493264566</v>
      </c>
      <c r="W40" s="496">
        <v>0.59351678148704989</v>
      </c>
      <c r="X40" s="496">
        <v>0.74667647493264511</v>
      </c>
      <c r="Y40" s="496">
        <v>0.87716213035135371</v>
      </c>
      <c r="Z40" s="496">
        <v>0.76028259142827936</v>
      </c>
      <c r="AA40" s="496">
        <v>0.31664650068738093</v>
      </c>
      <c r="AB40" s="496">
        <v>0.10710291564874731</v>
      </c>
      <c r="AC40" s="496">
        <v>0.64668200736775983</v>
      </c>
      <c r="AD40" s="496">
        <v>0.84914798400220104</v>
      </c>
      <c r="AE40" s="496">
        <v>0.57720697726626635</v>
      </c>
      <c r="AF40" s="496">
        <v>9.5918898829202959E-2</v>
      </c>
      <c r="AG40" s="496">
        <v>2.6573290944202365E-2</v>
      </c>
      <c r="AH40" s="496">
        <v>0.22001680218232764</v>
      </c>
      <c r="AI40" s="496">
        <v>0.84735437796598467</v>
      </c>
      <c r="AJ40" s="496">
        <v>0.78213384249734796</v>
      </c>
      <c r="AK40" s="496">
        <v>0.53823392184776797</v>
      </c>
      <c r="AL40" s="496">
        <v>0.20276927383668891</v>
      </c>
      <c r="AM40" s="499">
        <v>0.76197318029395167</v>
      </c>
    </row>
    <row r="41" spans="1:39" ht="12.75" customHeight="1" x14ac:dyDescent="0.3">
      <c r="A41" s="174"/>
      <c r="B41" s="174"/>
      <c r="C41" s="174"/>
      <c r="D41" s="15"/>
      <c r="E41" s="15"/>
      <c r="F41" s="505">
        <v>0.43584762180886261</v>
      </c>
      <c r="G41" s="496">
        <v>0.93805090919551126</v>
      </c>
      <c r="H41" s="496">
        <v>0.79102588640639004</v>
      </c>
      <c r="I41" s="496">
        <v>0.98565379656615282</v>
      </c>
      <c r="J41" s="496">
        <v>0.98415618722916276</v>
      </c>
      <c r="K41" s="496">
        <v>0.76140491504664387</v>
      </c>
      <c r="L41" s="496">
        <v>0.68364586859764409</v>
      </c>
      <c r="M41" s="496">
        <v>0.79490717321778814</v>
      </c>
      <c r="N41" s="496">
        <v>0.74142381742978447</v>
      </c>
      <c r="O41" s="496">
        <v>0.79490717321778803</v>
      </c>
      <c r="P41" s="496">
        <v>0.92687462616821814</v>
      </c>
      <c r="Q41" s="496">
        <v>0.72217928700770251</v>
      </c>
      <c r="R41" s="496">
        <v>0.91244869879536872</v>
      </c>
      <c r="S41" s="496">
        <v>0.74623344014611104</v>
      </c>
      <c r="T41" s="496">
        <v>0.63537982687891748</v>
      </c>
      <c r="U41" s="496">
        <v>0.36960438046980698</v>
      </c>
      <c r="V41" s="496">
        <v>0.76478595990363674</v>
      </c>
      <c r="W41" s="496">
        <v>0.61415504134144472</v>
      </c>
      <c r="X41" s="496">
        <v>0.7647859599036364</v>
      </c>
      <c r="Y41" s="496">
        <v>0.88638421405489143</v>
      </c>
      <c r="Z41" s="496">
        <v>0.77731919757527757</v>
      </c>
      <c r="AA41" s="496">
        <v>0.33910898480872742</v>
      </c>
      <c r="AB41" s="496">
        <v>0.12054017773990813</v>
      </c>
      <c r="AC41" s="496">
        <v>0.67065707797261598</v>
      </c>
      <c r="AD41" s="496">
        <v>0.86034089550148141</v>
      </c>
      <c r="AE41" s="496">
        <v>0.59526133258408054</v>
      </c>
      <c r="AF41" s="496">
        <v>0.10540576046097538</v>
      </c>
      <c r="AG41" s="496">
        <v>3.0736093976891865E-2</v>
      </c>
      <c r="AH41" s="496">
        <v>0.23529706808931133</v>
      </c>
      <c r="AI41" s="496">
        <v>0.85963049177808537</v>
      </c>
      <c r="AJ41" s="496">
        <v>0.80113631984647071</v>
      </c>
      <c r="AK41" s="496">
        <v>0.57045161809030143</v>
      </c>
      <c r="AL41" s="496">
        <v>0.22721784044809432</v>
      </c>
      <c r="AM41" s="499">
        <v>0.78304427759474282</v>
      </c>
    </row>
    <row r="42" spans="1:39" ht="12.75" customHeight="1" x14ac:dyDescent="0.3">
      <c r="A42" s="174"/>
      <c r="B42" s="174"/>
      <c r="C42" s="174"/>
      <c r="D42" s="15"/>
      <c r="E42" s="15"/>
      <c r="F42" s="505">
        <v>0.45660227046642748</v>
      </c>
      <c r="G42" s="496">
        <v>0.94196036705886999</v>
      </c>
      <c r="H42" s="496">
        <v>0.80598668038023047</v>
      </c>
      <c r="I42" s="496">
        <v>0.98656015574924094</v>
      </c>
      <c r="J42" s="496">
        <v>0.98515504870031256</v>
      </c>
      <c r="K42" s="496">
        <v>0.77772033698959675</v>
      </c>
      <c r="L42" s="496">
        <v>0.70195465273195701</v>
      </c>
      <c r="M42" s="496">
        <v>0.80970047941753931</v>
      </c>
      <c r="N42" s="496">
        <v>0.75755330602068705</v>
      </c>
      <c r="O42" s="496">
        <v>0.80970047941753909</v>
      </c>
      <c r="P42" s="496">
        <v>0.93166920279684629</v>
      </c>
      <c r="Q42" s="496">
        <v>0.74032426644517213</v>
      </c>
      <c r="R42" s="496">
        <v>0.91811119200014624</v>
      </c>
      <c r="S42" s="496">
        <v>0.76364799979585196</v>
      </c>
      <c r="T42" s="496">
        <v>0.65570722753252009</v>
      </c>
      <c r="U42" s="496">
        <v>0.39305334989259649</v>
      </c>
      <c r="V42" s="496">
        <v>0.78155671400170956</v>
      </c>
      <c r="W42" s="496">
        <v>0.63381618533640904</v>
      </c>
      <c r="X42" s="496">
        <v>0.78155671400170912</v>
      </c>
      <c r="Y42" s="496">
        <v>0.89475219234193637</v>
      </c>
      <c r="Z42" s="496">
        <v>0.79285717504017761</v>
      </c>
      <c r="AA42" s="496">
        <v>0.36113996504484902</v>
      </c>
      <c r="AB42" s="496">
        <v>0.13451338453190118</v>
      </c>
      <c r="AC42" s="496">
        <v>0.69308342814552104</v>
      </c>
      <c r="AD42" s="496">
        <v>0.87045825087844519</v>
      </c>
      <c r="AE42" s="496">
        <v>0.61185926933904222</v>
      </c>
      <c r="AF42" s="496">
        <v>0.11504394367683655</v>
      </c>
      <c r="AG42" s="496">
        <v>3.5202344936709977E-2</v>
      </c>
      <c r="AH42" s="496">
        <v>0.25046568303435557</v>
      </c>
      <c r="AI42" s="496">
        <v>0.87066578418606733</v>
      </c>
      <c r="AJ42" s="496">
        <v>0.81813209791202546</v>
      </c>
      <c r="AK42" s="496">
        <v>0.60076325663914087</v>
      </c>
      <c r="AL42" s="496">
        <v>0.25213914607935567</v>
      </c>
      <c r="AM42" s="499">
        <v>0.80194716776519614</v>
      </c>
    </row>
    <row r="43" spans="1:39" ht="12.75" customHeight="1" x14ac:dyDescent="0.3">
      <c r="A43" s="174"/>
      <c r="B43" s="174"/>
      <c r="C43" s="174"/>
      <c r="D43" s="15"/>
      <c r="E43" s="15"/>
      <c r="F43" s="505">
        <v>0.47735691912399236</v>
      </c>
      <c r="G43" s="496">
        <v>0.9456185493714514</v>
      </c>
      <c r="H43" s="496">
        <v>0.81982509854262176</v>
      </c>
      <c r="I43" s="496">
        <v>0.98740914616393072</v>
      </c>
      <c r="J43" s="496">
        <v>0.9860907924756146</v>
      </c>
      <c r="K43" s="496">
        <v>0.79291482974598115</v>
      </c>
      <c r="L43" s="496">
        <v>0.71920863945023772</v>
      </c>
      <c r="M43" s="496">
        <v>0.8233713686790286</v>
      </c>
      <c r="N43" s="496">
        <v>0.77267666110028188</v>
      </c>
      <c r="O43" s="496">
        <v>0.82337136867902838</v>
      </c>
      <c r="P43" s="496">
        <v>0.93612462162148669</v>
      </c>
      <c r="Q43" s="496">
        <v>0.75728459551533034</v>
      </c>
      <c r="R43" s="496">
        <v>0.92337903857753456</v>
      </c>
      <c r="S43" s="496">
        <v>0.7798490232093499</v>
      </c>
      <c r="T43" s="496">
        <v>0.67495517352350276</v>
      </c>
      <c r="U43" s="496">
        <v>0.41609758806113345</v>
      </c>
      <c r="V43" s="496">
        <v>0.79708908347695884</v>
      </c>
      <c r="W43" s="496">
        <v>0.65253908339707234</v>
      </c>
      <c r="X43" s="496">
        <v>0.79708908347695862</v>
      </c>
      <c r="Y43" s="496">
        <v>0.90236506356420831</v>
      </c>
      <c r="Z43" s="496">
        <v>0.80705280679757807</v>
      </c>
      <c r="AA43" s="496">
        <v>0.38269125497074891</v>
      </c>
      <c r="AB43" s="496">
        <v>0.14896213276294415</v>
      </c>
      <c r="AC43" s="496">
        <v>0.71403717327053762</v>
      </c>
      <c r="AD43" s="496">
        <v>0.8796288046181675</v>
      </c>
      <c r="AE43" s="496">
        <v>0.6271395022998304</v>
      </c>
      <c r="AF43" s="496">
        <v>0.12480371925386709</v>
      </c>
      <c r="AG43" s="496">
        <v>3.996263429991314E-2</v>
      </c>
      <c r="AH43" s="496">
        <v>0.26550105966255283</v>
      </c>
      <c r="AI43" s="496">
        <v>0.88061573949658312</v>
      </c>
      <c r="AJ43" s="496">
        <v>0.83335857155260684</v>
      </c>
      <c r="AK43" s="496">
        <v>0.62917848643102037</v>
      </c>
      <c r="AL43" s="496">
        <v>0.27736802745047567</v>
      </c>
      <c r="AM43" s="499">
        <v>0.81891364042795323</v>
      </c>
    </row>
    <row r="44" spans="1:39" ht="12.75" customHeight="1" x14ac:dyDescent="0.3">
      <c r="A44" s="174"/>
      <c r="B44" s="174"/>
      <c r="C44" s="174"/>
      <c r="D44" s="15"/>
      <c r="E44" s="15"/>
      <c r="F44" s="505">
        <v>0.49811156778155724</v>
      </c>
      <c r="G44" s="496">
        <v>0.94904235226016853</v>
      </c>
      <c r="H44" s="496">
        <v>0.83262947318246416</v>
      </c>
      <c r="I44" s="496">
        <v>0.98820440726950332</v>
      </c>
      <c r="J44" s="496">
        <v>0.98696741880130678</v>
      </c>
      <c r="K44" s="496">
        <v>0.80706575728652241</v>
      </c>
      <c r="L44" s="496">
        <v>0.73546827329500208</v>
      </c>
      <c r="M44" s="496">
        <v>0.83600952476191781</v>
      </c>
      <c r="N44" s="496">
        <v>0.78685664834422564</v>
      </c>
      <c r="O44" s="496">
        <v>0.8360095247619177</v>
      </c>
      <c r="P44" s="496">
        <v>0.94026850786998295</v>
      </c>
      <c r="Q44" s="496">
        <v>0.77313557898605811</v>
      </c>
      <c r="R44" s="496">
        <v>0.92828391782544462</v>
      </c>
      <c r="S44" s="496">
        <v>0.7949206757726579</v>
      </c>
      <c r="T44" s="496">
        <v>0.69317456334584304</v>
      </c>
      <c r="U44" s="496">
        <v>0.43869049801114229</v>
      </c>
      <c r="V44" s="496">
        <v>0.81147617488979995</v>
      </c>
      <c r="W44" s="496">
        <v>0.670361988321174</v>
      </c>
      <c r="X44" s="496">
        <v>0.81147617488979962</v>
      </c>
      <c r="Y44" s="496">
        <v>0.90930821769498549</v>
      </c>
      <c r="Z44" s="496">
        <v>0.82004511912874012</v>
      </c>
      <c r="AA44" s="496">
        <v>0.40372518241172933</v>
      </c>
      <c r="AB44" s="496">
        <v>0.16382713574798646</v>
      </c>
      <c r="AC44" s="496">
        <v>0.73359590948362097</v>
      </c>
      <c r="AD44" s="496">
        <v>0.8879633954550239</v>
      </c>
      <c r="AE44" s="496">
        <v>0.64123007149473266</v>
      </c>
      <c r="AF44" s="496">
        <v>0.1346585055162218</v>
      </c>
      <c r="AG44" s="496">
        <v>4.500651492027833E-2</v>
      </c>
      <c r="AH44" s="496">
        <v>0.28038497276797153</v>
      </c>
      <c r="AI44" s="496">
        <v>0.88961342054635795</v>
      </c>
      <c r="AJ44" s="496">
        <v>0.84702589155885355</v>
      </c>
      <c r="AK44" s="496">
        <v>0.65573416315127131</v>
      </c>
      <c r="AL44" s="496">
        <v>0.30275260347114069</v>
      </c>
      <c r="AM44" s="499">
        <v>0.8341550152476348</v>
      </c>
    </row>
    <row r="45" spans="1:39" ht="12.75" customHeight="1" x14ac:dyDescent="0.3">
      <c r="A45" s="174"/>
      <c r="B45" s="174"/>
      <c r="C45" s="174"/>
      <c r="D45" s="15"/>
      <c r="E45" s="15"/>
      <c r="F45" s="505">
        <v>0.51886621643912212</v>
      </c>
      <c r="G45" s="496">
        <v>0.95224736654839581</v>
      </c>
      <c r="H45" s="496">
        <v>0.84448090305077816</v>
      </c>
      <c r="I45" s="496">
        <v>0.98894934718701999</v>
      </c>
      <c r="J45" s="496">
        <v>0.9877886735093161</v>
      </c>
      <c r="K45" s="496">
        <v>0.82024512609802547</v>
      </c>
      <c r="L45" s="496">
        <v>0.7507905599029977</v>
      </c>
      <c r="M45" s="496">
        <v>0.84769715013167468</v>
      </c>
      <c r="N45" s="496">
        <v>0.80015212085048559</v>
      </c>
      <c r="O45" s="496">
        <v>0.84769715013167468</v>
      </c>
      <c r="P45" s="496">
        <v>0.94412571441168802</v>
      </c>
      <c r="Q45" s="496">
        <v>0.78794822184075064</v>
      </c>
      <c r="R45" s="496">
        <v>0.9328543490582164</v>
      </c>
      <c r="S45" s="496">
        <v>0.80894159679554101</v>
      </c>
      <c r="T45" s="496">
        <v>0.71041478088894039</v>
      </c>
      <c r="U45" s="496">
        <v>0.46079325611165328</v>
      </c>
      <c r="V45" s="496">
        <v>0.82480427986796068</v>
      </c>
      <c r="W45" s="496">
        <v>0.68732239992618771</v>
      </c>
      <c r="X45" s="496">
        <v>0.82480427986796045</v>
      </c>
      <c r="Y45" s="496">
        <v>0.91565541598897726</v>
      </c>
      <c r="Z45" s="496">
        <v>0.83195750533737622</v>
      </c>
      <c r="AA45" s="496">
        <v>0.42421316161497885</v>
      </c>
      <c r="AB45" s="496">
        <v>0.17905071157639904</v>
      </c>
      <c r="AC45" s="496">
        <v>0.75183740145745248</v>
      </c>
      <c r="AD45" s="496">
        <v>0.8955575588059087</v>
      </c>
      <c r="AE45" s="496">
        <v>0.65424825424011535</v>
      </c>
      <c r="AF45" s="496">
        <v>0.14458460326342684</v>
      </c>
      <c r="AG45" s="496">
        <v>5.0322718765445931E-2</v>
      </c>
      <c r="AH45" s="496">
        <v>0.29510211015224397</v>
      </c>
      <c r="AI45" s="496">
        <v>0.89777280196698683</v>
      </c>
      <c r="AJ45" s="496">
        <v>0.85931917139199787</v>
      </c>
      <c r="AK45" s="496">
        <v>0.68048769765830464</v>
      </c>
      <c r="AL45" s="496">
        <v>0.3281548603072505</v>
      </c>
      <c r="AM45" s="499">
        <v>0.84786236717558416</v>
      </c>
    </row>
    <row r="46" spans="1:39" ht="12.75" customHeight="1" x14ac:dyDescent="0.3">
      <c r="A46" s="174"/>
      <c r="B46" s="174"/>
      <c r="C46" s="174"/>
      <c r="D46" s="15"/>
      <c r="E46" s="15"/>
      <c r="F46" s="505">
        <v>0.53962086509668705</v>
      </c>
      <c r="G46" s="496">
        <v>0.95524802566477618</v>
      </c>
      <c r="H46" s="496">
        <v>0.85545382225486732</v>
      </c>
      <c r="I46" s="496">
        <v>0.98964715660583191</v>
      </c>
      <c r="J46" s="496">
        <v>0.98855806342471375</v>
      </c>
      <c r="K46" s="496">
        <v>0.83251993566872284</v>
      </c>
      <c r="L46" s="496">
        <v>0.76522924913537438</v>
      </c>
      <c r="M46" s="496">
        <v>0.8585095669015228</v>
      </c>
      <c r="N46" s="496">
        <v>0.81261824898253765</v>
      </c>
      <c r="O46" s="496">
        <v>0.8585095669015228</v>
      </c>
      <c r="P46" s="496">
        <v>0.94771863821677205</v>
      </c>
      <c r="Q46" s="496">
        <v>0.80178937523539295</v>
      </c>
      <c r="R46" s="496">
        <v>0.93711606302698347</v>
      </c>
      <c r="S46" s="496">
        <v>0.82198518034631884</v>
      </c>
      <c r="T46" s="496">
        <v>0.72672360355767218</v>
      </c>
      <c r="U46" s="496">
        <v>0.48237406172098946</v>
      </c>
      <c r="V46" s="496">
        <v>0.83715328391586863</v>
      </c>
      <c r="W46" s="496">
        <v>0.70345696096775134</v>
      </c>
      <c r="X46" s="496">
        <v>0.8371532839158683</v>
      </c>
      <c r="Y46" s="496">
        <v>0.9214704328088511</v>
      </c>
      <c r="Z46" s="496">
        <v>0.84289924754456924</v>
      </c>
      <c r="AA46" s="496">
        <v>0.4441344597394703</v>
      </c>
      <c r="AB46" s="496">
        <v>0.19457715666883171</v>
      </c>
      <c r="AC46" s="496">
        <v>0.76883858852062448</v>
      </c>
      <c r="AD46" s="496">
        <v>0.90249368719628986</v>
      </c>
      <c r="AE46" s="496">
        <v>0.66630077606038196</v>
      </c>
      <c r="AF46" s="496">
        <v>0.15456094542575494</v>
      </c>
      <c r="AG46" s="496">
        <v>5.5899343284265469E-2</v>
      </c>
      <c r="AH46" s="496">
        <v>0.30963969550618442</v>
      </c>
      <c r="AI46" s="496">
        <v>0.90519152432806238</v>
      </c>
      <c r="AJ46" s="496">
        <v>0.87040074240252807</v>
      </c>
      <c r="AK46" s="496">
        <v>0.70351169089977583</v>
      </c>
      <c r="AL46" s="496">
        <v>0.35345080226049741</v>
      </c>
      <c r="AM46" s="499">
        <v>0.86020727411620235</v>
      </c>
    </row>
    <row r="47" spans="1:39" ht="12.75" customHeight="1" x14ac:dyDescent="0.3">
      <c r="A47" s="174"/>
      <c r="B47" s="174"/>
      <c r="C47" s="174"/>
      <c r="D47" s="15"/>
      <c r="E47" s="15"/>
      <c r="F47" s="505">
        <v>0.56037551375425199</v>
      </c>
      <c r="G47" s="496">
        <v>0.95805779305587646</v>
      </c>
      <c r="H47" s="496">
        <v>0.86561659105164623</v>
      </c>
      <c r="I47" s="496">
        <v>0.99030082337511638</v>
      </c>
      <c r="J47" s="496">
        <v>0.98927887245723922</v>
      </c>
      <c r="K47" s="496">
        <v>0.84395254549747389</v>
      </c>
      <c r="L47" s="496">
        <v>0.7788350282014298</v>
      </c>
      <c r="M47" s="496">
        <v>0.86851584032096829</v>
      </c>
      <c r="N47" s="496">
        <v>0.8243067619516381</v>
      </c>
      <c r="O47" s="496">
        <v>0.8685158403209684</v>
      </c>
      <c r="P47" s="496">
        <v>0.95106753482049566</v>
      </c>
      <c r="Q47" s="496">
        <v>0.81472189872200707</v>
      </c>
      <c r="R47" s="496">
        <v>0.94109238186026167</v>
      </c>
      <c r="S47" s="496">
        <v>0.8341198761173958</v>
      </c>
      <c r="T47" s="496">
        <v>0.74214711644337339</v>
      </c>
      <c r="U47" s="496">
        <v>0.50340735805463765</v>
      </c>
      <c r="V47" s="496">
        <v>0.84859709997042654</v>
      </c>
      <c r="W47" s="496">
        <v>0.71880135591544891</v>
      </c>
      <c r="X47" s="496">
        <v>0.84859709997042643</v>
      </c>
      <c r="Y47" s="496">
        <v>0.92680871636755802</v>
      </c>
      <c r="Z47" s="496">
        <v>0.85296707619667678</v>
      </c>
      <c r="AA47" s="496">
        <v>0.46347494427702718</v>
      </c>
      <c r="AB47" s="496">
        <v>0.21035310503134774</v>
      </c>
      <c r="AC47" s="496">
        <v>0.78467461567348606</v>
      </c>
      <c r="AD47" s="496">
        <v>0.90884322068100165</v>
      </c>
      <c r="AE47" s="496">
        <v>0.67748408239449398</v>
      </c>
      <c r="AF47" s="496">
        <v>0.1645688372189886</v>
      </c>
      <c r="AG47" s="496">
        <v>6.1724039928272682E-2</v>
      </c>
      <c r="AH47" s="496">
        <v>0.3239871053620566</v>
      </c>
      <c r="AI47" s="496">
        <v>0.91195367099037916</v>
      </c>
      <c r="AJ47" s="496">
        <v>0.88041244484792547</v>
      </c>
      <c r="AK47" s="496">
        <v>0.72488865538490188</v>
      </c>
      <c r="AL47" s="496">
        <v>0.37853047782414234</v>
      </c>
      <c r="AM47" s="499">
        <v>0.87134265556649548</v>
      </c>
    </row>
    <row r="48" spans="1:39" ht="12.75" customHeight="1" x14ac:dyDescent="0.3">
      <c r="A48" s="174"/>
      <c r="B48" s="174"/>
      <c r="C48" s="174"/>
      <c r="D48" s="15"/>
      <c r="E48" s="15"/>
      <c r="F48" s="505">
        <v>0.58113016241181681</v>
      </c>
      <c r="G48" s="496">
        <v>0.96068914764364877</v>
      </c>
      <c r="H48" s="496">
        <v>0.87503201855800816</v>
      </c>
      <c r="I48" s="496">
        <v>0.99091314568772715</v>
      </c>
      <c r="J48" s="496">
        <v>0.98995417614000003</v>
      </c>
      <c r="K48" s="496">
        <v>0.85460100375157966</v>
      </c>
      <c r="L48" s="496">
        <v>0.79165569768708277</v>
      </c>
      <c r="M48" s="496">
        <v>0.87777932868905406</v>
      </c>
      <c r="N48" s="496">
        <v>0.83526616622302641</v>
      </c>
      <c r="O48" s="496">
        <v>0.87777932868905417</v>
      </c>
      <c r="P48" s="496">
        <v>0.95419080319010841</v>
      </c>
      <c r="Q48" s="496">
        <v>0.82680483457082909</v>
      </c>
      <c r="R48" s="496">
        <v>0.94480450947622274</v>
      </c>
      <c r="S48" s="496">
        <v>0.84540947960422863</v>
      </c>
      <c r="T48" s="496">
        <v>0.75672966653932727</v>
      </c>
      <c r="U48" s="496">
        <v>0.52387314660606799</v>
      </c>
      <c r="V48" s="496">
        <v>0.85920407835534307</v>
      </c>
      <c r="W48" s="496">
        <v>0.73339024217995874</v>
      </c>
      <c r="X48" s="496">
        <v>0.85920407835534263</v>
      </c>
      <c r="Y48" s="496">
        <v>0.93171867580251955</v>
      </c>
      <c r="Z48" s="496">
        <v>0.86224662502132365</v>
      </c>
      <c r="AA48" s="496">
        <v>0.48222603746934189</v>
      </c>
      <c r="AB48" s="496">
        <v>0.22632776946200805</v>
      </c>
      <c r="AC48" s="496">
        <v>0.79941819583235052</v>
      </c>
      <c r="AD48" s="496">
        <v>0.91466833902772626</v>
      </c>
      <c r="AE48" s="496">
        <v>0.68788491877764602</v>
      </c>
      <c r="AF48" s="496">
        <v>0.17459171365141601</v>
      </c>
      <c r="AG48" s="496">
        <v>6.778416998133717E-2</v>
      </c>
      <c r="AH48" s="496">
        <v>0.33813556401312383</v>
      </c>
      <c r="AI48" s="496">
        <v>0.91813193910755164</v>
      </c>
      <c r="AJ48" s="496">
        <v>0.88947801623820766</v>
      </c>
      <c r="AK48" s="496">
        <v>0.74470702510275144</v>
      </c>
      <c r="AL48" s="496">
        <v>0.4032975946849523</v>
      </c>
      <c r="AM48" s="499">
        <v>0.88140415557350571</v>
      </c>
    </row>
    <row r="49" spans="1:39" ht="12.75" customHeight="1" x14ac:dyDescent="0.3">
      <c r="A49" s="174"/>
      <c r="B49" s="174"/>
      <c r="C49" s="174"/>
      <c r="D49" s="15"/>
      <c r="E49" s="15"/>
      <c r="F49" s="505">
        <v>0.60188481106938163</v>
      </c>
      <c r="G49" s="496">
        <v>0.96315369016463515</v>
      </c>
      <c r="H49" s="496">
        <v>0.88375782264618541</v>
      </c>
      <c r="I49" s="496">
        <v>0.99148674404090897</v>
      </c>
      <c r="J49" s="496">
        <v>0.99058685475587949</v>
      </c>
      <c r="K49" s="496">
        <v>0.86451934362162597</v>
      </c>
      <c r="L49" s="496">
        <v>0.80373633333545247</v>
      </c>
      <c r="M49" s="496">
        <v>0.88635816575716508</v>
      </c>
      <c r="N49" s="496">
        <v>0.84554194449366449</v>
      </c>
      <c r="O49" s="496">
        <v>0.8863581657571652</v>
      </c>
      <c r="P49" s="496">
        <v>0.95710518883171392</v>
      </c>
      <c r="Q49" s="496">
        <v>0.83809359012143614</v>
      </c>
      <c r="R49" s="496">
        <v>0.94827176793280876</v>
      </c>
      <c r="S49" s="496">
        <v>0.85591341172942403</v>
      </c>
      <c r="T49" s="496">
        <v>0.77051384811983903</v>
      </c>
      <c r="U49" s="496">
        <v>0.54375638247713121</v>
      </c>
      <c r="V49" s="496">
        <v>0.8690373937146646</v>
      </c>
      <c r="W49" s="496">
        <v>0.74725720786600813</v>
      </c>
      <c r="X49" s="496">
        <v>0.86903739371466426</v>
      </c>
      <c r="Y49" s="496">
        <v>0.93624268172051894</v>
      </c>
      <c r="Z49" s="496">
        <v>0.87081374154276914</v>
      </c>
      <c r="AA49" s="496">
        <v>0.50038385224112425</v>
      </c>
      <c r="AB49" s="496">
        <v>0.24245308476850619</v>
      </c>
      <c r="AC49" s="496">
        <v>0.81313922693183582</v>
      </c>
      <c r="AD49" s="496">
        <v>0.92002327290449548</v>
      </c>
      <c r="AE49" s="496">
        <v>0.6975810813822122</v>
      </c>
      <c r="AF49" s="496">
        <v>0.18461491807368383</v>
      </c>
      <c r="AG49" s="496">
        <v>7.4066931507125233E-2</v>
      </c>
      <c r="AH49" s="496">
        <v>0.35207790025199504</v>
      </c>
      <c r="AI49" s="496">
        <v>0.92378932371814448</v>
      </c>
      <c r="AJ49" s="496">
        <v>0.89770536506284926</v>
      </c>
      <c r="AK49" s="496">
        <v>0.76305827101043633</v>
      </c>
      <c r="AL49" s="496">
        <v>0.42766883283272766</v>
      </c>
      <c r="AM49" s="499">
        <v>0.89051178245292373</v>
      </c>
    </row>
    <row r="50" spans="1:39" ht="12.75" customHeight="1" x14ac:dyDescent="0.3">
      <c r="A50" s="174"/>
      <c r="B50" s="174"/>
      <c r="C50" s="174"/>
      <c r="D50" s="15"/>
      <c r="E50" s="15"/>
      <c r="F50" s="505">
        <v>0.62263945972694656</v>
      </c>
      <c r="G50" s="496">
        <v>0.96546224185048457</v>
      </c>
      <c r="H50" s="496">
        <v>0.89184704705116458</v>
      </c>
      <c r="I50" s="496">
        <v>0.99202407234896528</v>
      </c>
      <c r="J50" s="496">
        <v>0.99117960556391671</v>
      </c>
      <c r="K50" s="496">
        <v>0.87375785681744633</v>
      </c>
      <c r="L50" s="496">
        <v>0.81511943766431494</v>
      </c>
      <c r="M50" s="496">
        <v>0.89430569722894371</v>
      </c>
      <c r="N50" s="496">
        <v>0.85517674085700435</v>
      </c>
      <c r="O50" s="496">
        <v>0.89430569722894393</v>
      </c>
      <c r="P50" s="496">
        <v>0.95982595571960294</v>
      </c>
      <c r="Q50" s="496">
        <v>0.84864012040144521</v>
      </c>
      <c r="R50" s="496">
        <v>0.95151179980576761</v>
      </c>
      <c r="S50" s="496">
        <v>0.86568698698640301</v>
      </c>
      <c r="T50" s="496">
        <v>0.78354050571910194</v>
      </c>
      <c r="U50" s="496">
        <v>0.56304642814144767</v>
      </c>
      <c r="V50" s="496">
        <v>0.87815540972733452</v>
      </c>
      <c r="W50" s="496">
        <v>0.76043474508759323</v>
      </c>
      <c r="X50" s="496">
        <v>0.87815540972733419</v>
      </c>
      <c r="Y50" s="496">
        <v>0.94041789758060823</v>
      </c>
      <c r="Z50" s="496">
        <v>0.87873564669617954</v>
      </c>
      <c r="AA50" s="496">
        <v>0.51794845511108834</v>
      </c>
      <c r="AB50" s="496">
        <v>0.25868379011872139</v>
      </c>
      <c r="AC50" s="496">
        <v>0.82590454855377204</v>
      </c>
      <c r="AD50" s="496">
        <v>0.92495539833717633</v>
      </c>
      <c r="AE50" s="496">
        <v>0.70664218456516226</v>
      </c>
      <c r="AF50" s="496">
        <v>0.19462550183494048</v>
      </c>
      <c r="AG50" s="496">
        <v>8.0559465824527221E-2</v>
      </c>
      <c r="AH50" s="496">
        <v>0.36580834143654284</v>
      </c>
      <c r="AI50" s="496">
        <v>0.92898050817253996</v>
      </c>
      <c r="AJ50" s="496">
        <v>0.90518858613637776</v>
      </c>
      <c r="AK50" s="496">
        <v>0.78003473261474732</v>
      </c>
      <c r="AL50" s="496">
        <v>0.45157302539163874</v>
      </c>
      <c r="AM50" s="499">
        <v>0.89877150953391138</v>
      </c>
    </row>
    <row r="51" spans="1:39" ht="12.75" customHeight="1" x14ac:dyDescent="0.3">
      <c r="A51" s="174"/>
      <c r="B51" s="174"/>
      <c r="C51" s="174"/>
      <c r="D51" s="15"/>
      <c r="E51" s="15"/>
      <c r="F51" s="505">
        <v>0.6433941083845115</v>
      </c>
      <c r="G51" s="496">
        <v>0.96762488246310507</v>
      </c>
      <c r="H51" s="496">
        <v>0.89934845323393031</v>
      </c>
      <c r="I51" s="496">
        <v>0.99252742855374898</v>
      </c>
      <c r="J51" s="496">
        <v>0.99173495450104876</v>
      </c>
      <c r="K51" s="496">
        <v>0.88236335324270188</v>
      </c>
      <c r="L51" s="496">
        <v>0.82584508553891567</v>
      </c>
      <c r="M51" s="496">
        <v>0.9016708902092988</v>
      </c>
      <c r="N51" s="496">
        <v>0.86421053766961364</v>
      </c>
      <c r="O51" s="496">
        <v>0.90167089020929891</v>
      </c>
      <c r="P51" s="496">
        <v>0.96236705487200325</v>
      </c>
      <c r="Q51" s="496">
        <v>0.85849310782771027</v>
      </c>
      <c r="R51" s="496">
        <v>0.95454075135252747</v>
      </c>
      <c r="S51" s="496">
        <v>0.87478167222138425</v>
      </c>
      <c r="T51" s="496">
        <v>0.79584874559018504</v>
      </c>
      <c r="U51" s="496">
        <v>0.58173654426205545</v>
      </c>
      <c r="V51" s="496">
        <v>0.88661202657024485</v>
      </c>
      <c r="W51" s="496">
        <v>0.77295423114557382</v>
      </c>
      <c r="X51" s="496">
        <v>0.88661202657024463</v>
      </c>
      <c r="Y51" s="496">
        <v>0.94427702734680141</v>
      </c>
      <c r="Z51" s="496">
        <v>0.88607197306994412</v>
      </c>
      <c r="AA51" s="496">
        <v>0.53492320607813859</v>
      </c>
      <c r="AB51" s="496">
        <v>0.2749774787335531</v>
      </c>
      <c r="AC51" s="496">
        <v>0.83777775900369833</v>
      </c>
      <c r="AD51" s="496">
        <v>0.92950622736944077</v>
      </c>
      <c r="AE51" s="496">
        <v>0.71513037380729483</v>
      </c>
      <c r="AF51" s="496">
        <v>0.2046120409025321</v>
      </c>
      <c r="AG51" s="496">
        <v>8.7248951172065672E-2</v>
      </c>
      <c r="AH51" s="496">
        <v>0.37932232663974946</v>
      </c>
      <c r="AI51" s="496">
        <v>0.93375310813123535</v>
      </c>
      <c r="AJ51" s="496">
        <v>0.91200971808907683</v>
      </c>
      <c r="AK51" s="496">
        <v>0.79572783535900693</v>
      </c>
      <c r="AL51" s="496">
        <v>0.47495031609922633</v>
      </c>
      <c r="AM51" s="499">
        <v>0.90627671417082312</v>
      </c>
    </row>
    <row r="52" spans="1:39" ht="12.75" customHeight="1" x14ac:dyDescent="0.3">
      <c r="A52" s="174"/>
      <c r="B52" s="174"/>
      <c r="C52" s="174"/>
      <c r="D52" s="15"/>
      <c r="E52" s="15"/>
      <c r="F52" s="505">
        <v>0.66414875704207632</v>
      </c>
      <c r="G52" s="496">
        <v>0.96965099871661398</v>
      </c>
      <c r="H52" s="496">
        <v>0.90630688409033155</v>
      </c>
      <c r="I52" s="496">
        <v>0.99299896466858328</v>
      </c>
      <c r="J52" s="496">
        <v>0.99225526722474688</v>
      </c>
      <c r="K52" s="496">
        <v>0.89037940563181994</v>
      </c>
      <c r="L52" s="496">
        <v>0.83595106304623312</v>
      </c>
      <c r="M52" s="496">
        <v>0.90849871257378068</v>
      </c>
      <c r="N52" s="496">
        <v>0.87268082330736407</v>
      </c>
      <c r="O52" s="496">
        <v>0.90849871257378079</v>
      </c>
      <c r="P52" s="496">
        <v>0.9647412717313113</v>
      </c>
      <c r="Q52" s="496">
        <v>0.86769813942356278</v>
      </c>
      <c r="R52" s="496">
        <v>0.95737343593433233</v>
      </c>
      <c r="S52" s="496">
        <v>0.88324533564973751</v>
      </c>
      <c r="T52" s="496">
        <v>0.80747595656771831</v>
      </c>
      <c r="U52" s="496">
        <v>0.59982341978294129</v>
      </c>
      <c r="V52" s="496">
        <v>0.89445701103124897</v>
      </c>
      <c r="W52" s="496">
        <v>0.78484591845718543</v>
      </c>
      <c r="X52" s="496">
        <v>0.89445701103124875</v>
      </c>
      <c r="Y52" s="496">
        <v>0.9478489689930274</v>
      </c>
      <c r="Z52" s="496">
        <v>0.89287570015393725</v>
      </c>
      <c r="AA52" s="496">
        <v>0.55131417532573734</v>
      </c>
      <c r="AB52" s="496">
        <v>0.29129461432061615</v>
      </c>
      <c r="AC52" s="496">
        <v>0.84881910165901575</v>
      </c>
      <c r="AD52" s="496">
        <v>0.93371227413174263</v>
      </c>
      <c r="AE52" s="496">
        <v>0.72310101336899124</v>
      </c>
      <c r="AF52" s="496">
        <v>0.2145644679574622</v>
      </c>
      <c r="AG52" s="496">
        <v>9.4122683544834135E-2</v>
      </c>
      <c r="AH52" s="496">
        <v>0.39261634119797306</v>
      </c>
      <c r="AI52" s="496">
        <v>0.93814875613469217</v>
      </c>
      <c r="AJ52" s="496">
        <v>0.91824032079313833</v>
      </c>
      <c r="AK52" s="496">
        <v>0.81022667837033602</v>
      </c>
      <c r="AL52" s="496">
        <v>0.49775128935202417</v>
      </c>
      <c r="AM52" s="499">
        <v>0.91310952626131425</v>
      </c>
    </row>
    <row r="53" spans="1:39" ht="12.75" customHeight="1" x14ac:dyDescent="0.3">
      <c r="A53" s="174"/>
      <c r="B53" s="174"/>
      <c r="C53" s="174"/>
      <c r="D53" s="15"/>
      <c r="E53" s="15"/>
      <c r="F53" s="505">
        <v>0.68490340569964125</v>
      </c>
      <c r="G53" s="496">
        <v>0.97154935077270033</v>
      </c>
      <c r="H53" s="496">
        <v>0.9127635936405929</v>
      </c>
      <c r="I53" s="496">
        <v>0.9934406961199892</v>
      </c>
      <c r="J53" s="496">
        <v>0.99274275936106648</v>
      </c>
      <c r="K53" s="496">
        <v>0.89784657567223025</v>
      </c>
      <c r="L53" s="496">
        <v>0.84547299791236985</v>
      </c>
      <c r="M53" s="496">
        <v>0.91483047603060885</v>
      </c>
      <c r="N53" s="496">
        <v>0.88062274857037737</v>
      </c>
      <c r="O53" s="496">
        <v>0.91483047603060885</v>
      </c>
      <c r="P53" s="496">
        <v>0.96696034583031054</v>
      </c>
      <c r="Q53" s="496">
        <v>0.87629788125051644</v>
      </c>
      <c r="R53" s="496">
        <v>0.96002347285609935</v>
      </c>
      <c r="S53" s="496">
        <v>0.89112248409780204</v>
      </c>
      <c r="T53" s="496">
        <v>0.8184578422754184</v>
      </c>
      <c r="U53" s="496">
        <v>0.61730674876363512</v>
      </c>
      <c r="V53" s="496">
        <v>0.90173630641514591</v>
      </c>
      <c r="W53" s="496">
        <v>0.7961389350241751</v>
      </c>
      <c r="X53" s="496">
        <v>0.90173630641514568</v>
      </c>
      <c r="Y53" s="496">
        <v>0.95115934990272322</v>
      </c>
      <c r="Z53" s="496">
        <v>0.89919398582872156</v>
      </c>
      <c r="AA53" s="496">
        <v>0.56712964849009706</v>
      </c>
      <c r="AB53" s="496">
        <v>0.30759850892348511</v>
      </c>
      <c r="AC53" s="496">
        <v>0.85908543929372283</v>
      </c>
      <c r="AD53" s="496">
        <v>0.937605763038874</v>
      </c>
      <c r="AE53" s="496">
        <v>0.73060337208451487</v>
      </c>
      <c r="AF53" s="496">
        <v>0.22447392080400397</v>
      </c>
      <c r="AG53" s="496">
        <v>0.10116814292066388</v>
      </c>
      <c r="AH53" s="496">
        <v>0.40568777781466669</v>
      </c>
      <c r="AI53" s="496">
        <v>0.94220398793797033</v>
      </c>
      <c r="AJ53" s="496">
        <v>0.92394290297820347</v>
      </c>
      <c r="AK53" s="496">
        <v>0.82361705041262023</v>
      </c>
      <c r="AL53" s="496">
        <v>0.51993605650221475</v>
      </c>
      <c r="AM53" s="499">
        <v>0.91934213800872322</v>
      </c>
    </row>
    <row r="54" spans="1:39" ht="12.75" customHeight="1" x14ac:dyDescent="0.3">
      <c r="A54" s="174"/>
      <c r="B54" s="174"/>
      <c r="C54" s="174"/>
      <c r="D54" s="15"/>
      <c r="E54" s="15"/>
      <c r="F54" s="505">
        <v>0.70565805435720619</v>
      </c>
      <c r="G54" s="496">
        <v>0.97332811885356718</v>
      </c>
      <c r="H54" s="496">
        <v>0.91875654484988711</v>
      </c>
      <c r="I54" s="496">
        <v>0.99385451041213912</v>
      </c>
      <c r="J54" s="496">
        <v>0.99319950602662077</v>
      </c>
      <c r="K54" s="496">
        <v>0.90480262216468088</v>
      </c>
      <c r="L54" s="496">
        <v>0.85444448155863617</v>
      </c>
      <c r="M54" s="496">
        <v>0.92070414523639121</v>
      </c>
      <c r="N54" s="496">
        <v>0.88806927196836527</v>
      </c>
      <c r="O54" s="496">
        <v>0.9207041452363911</v>
      </c>
      <c r="P54" s="496">
        <v>0.96903507416338064</v>
      </c>
      <c r="Q54" s="496">
        <v>0.88433224798414667</v>
      </c>
      <c r="R54" s="496">
        <v>0.96250340397745793</v>
      </c>
      <c r="S54" s="496">
        <v>0.89845448724774368</v>
      </c>
      <c r="T54" s="496">
        <v>0.82882846229606078</v>
      </c>
      <c r="U54" s="496">
        <v>0.63418885210343712</v>
      </c>
      <c r="V54" s="496">
        <v>0.90849232102875399</v>
      </c>
      <c r="W54" s="496">
        <v>0.8068612936138313</v>
      </c>
      <c r="X54" s="496">
        <v>0.90849232102875355</v>
      </c>
      <c r="Y54" s="496">
        <v>0.95423096073897307</v>
      </c>
      <c r="Z54" s="496">
        <v>0.90506889133541579</v>
      </c>
      <c r="AA54" s="496">
        <v>0.58237971332700811</v>
      </c>
      <c r="AB54" s="496">
        <v>0.3238552685147616</v>
      </c>
      <c r="AC54" s="496">
        <v>0.86863029792104141</v>
      </c>
      <c r="AD54" s="496">
        <v>0.94121520404532777</v>
      </c>
      <c r="AE54" s="496">
        <v>0.73768128205722405</v>
      </c>
      <c r="AF54" s="496">
        <v>0.23433260746835743</v>
      </c>
      <c r="AG54" s="496">
        <v>0.10837304606139771</v>
      </c>
      <c r="AH54" s="496">
        <v>0.41853482078955323</v>
      </c>
      <c r="AI54" s="496">
        <v>0.94595095692616726</v>
      </c>
      <c r="AJ54" s="496">
        <v>0.92917217434484967</v>
      </c>
      <c r="AK54" s="496">
        <v>0.83598081537747249</v>
      </c>
      <c r="AL54" s="496">
        <v>0.5414733280914571</v>
      </c>
      <c r="AM54" s="499">
        <v>0.92503802917030953</v>
      </c>
    </row>
    <row r="55" spans="1:39" ht="12.75" customHeight="1" x14ac:dyDescent="0.3">
      <c r="A55" s="174"/>
      <c r="B55" s="174"/>
      <c r="C55" s="174"/>
      <c r="D55" s="15"/>
      <c r="E55" s="15"/>
      <c r="F55" s="505">
        <v>0.72641270301477101</v>
      </c>
      <c r="G55" s="496">
        <v>0.97499493787082658</v>
      </c>
      <c r="H55" s="496">
        <v>0.92432068180964488</v>
      </c>
      <c r="I55" s="496">
        <v>0.9942421752325038</v>
      </c>
      <c r="J55" s="496">
        <v>0.99362745074553371</v>
      </c>
      <c r="K55" s="496">
        <v>0.91128269450351884</v>
      </c>
      <c r="L55" s="496">
        <v>0.86289718419747374</v>
      </c>
      <c r="M55" s="496">
        <v>0.92615461972588409</v>
      </c>
      <c r="N55" s="496">
        <v>0.89505129582544773</v>
      </c>
      <c r="O55" s="496">
        <v>0.92615461972588387</v>
      </c>
      <c r="P55" s="496">
        <v>0.97097540365377488</v>
      </c>
      <c r="Q55" s="496">
        <v>0.89183856578504361</v>
      </c>
      <c r="R55" s="496">
        <v>0.9648247961560904</v>
      </c>
      <c r="S55" s="496">
        <v>0.90527978919183549</v>
      </c>
      <c r="T55" s="496">
        <v>0.83862027810690998</v>
      </c>
      <c r="U55" s="496">
        <v>0.650474335947685</v>
      </c>
      <c r="V55" s="496">
        <v>0.91476419663475128</v>
      </c>
      <c r="W55" s="496">
        <v>0.81703990630199275</v>
      </c>
      <c r="X55" s="496">
        <v>0.91476419663475106</v>
      </c>
      <c r="Y55" s="496">
        <v>0.95708412471205984</v>
      </c>
      <c r="Z55" s="496">
        <v>0.91053800864824708</v>
      </c>
      <c r="AA55" s="496">
        <v>0.59707590769283325</v>
      </c>
      <c r="AB55" s="496">
        <v>0.3400337187288005</v>
      </c>
      <c r="AC55" s="496">
        <v>0.87750394560410483</v>
      </c>
      <c r="AD55" s="496">
        <v>0.94456588452580437</v>
      </c>
      <c r="AE55" s="496">
        <v>0.74437373644263938</v>
      </c>
      <c r="AF55" s="496">
        <v>0.24413368660752585</v>
      </c>
      <c r="AG55" s="496">
        <v>0.11572538907092278</v>
      </c>
      <c r="AH55" s="496">
        <v>0.43115634569409855</v>
      </c>
      <c r="AI55" s="496">
        <v>0.94941803715733641</v>
      </c>
      <c r="AJ55" s="496">
        <v>0.9339761090436598</v>
      </c>
      <c r="AK55" s="496">
        <v>0.84739553435266823</v>
      </c>
      <c r="AL55" s="496">
        <v>0.5623395188375635</v>
      </c>
      <c r="AM55" s="499">
        <v>0.93025304849245616</v>
      </c>
    </row>
    <row r="56" spans="1:39" ht="12.75" customHeight="1" x14ac:dyDescent="0.3">
      <c r="A56" s="174"/>
      <c r="B56" s="174"/>
      <c r="C56" s="174"/>
      <c r="D56" s="15"/>
      <c r="E56" s="15"/>
      <c r="F56" s="505">
        <v>0.74716735167233583</v>
      </c>
      <c r="G56" s="496">
        <v>0.97655693824116896</v>
      </c>
      <c r="H56" s="496">
        <v>0.92948818038338932</v>
      </c>
      <c r="I56" s="496">
        <v>0.99460534607712192</v>
      </c>
      <c r="J56" s="496">
        <v>0.99402841382559337</v>
      </c>
      <c r="K56" s="496">
        <v>0.91731951373080101</v>
      </c>
      <c r="L56" s="496">
        <v>0.87086096393817214</v>
      </c>
      <c r="M56" s="496">
        <v>0.93121399310130759</v>
      </c>
      <c r="N56" s="496">
        <v>0.90159779454191247</v>
      </c>
      <c r="O56" s="496">
        <v>0.93121399310130715</v>
      </c>
      <c r="P56" s="496">
        <v>0.97279051253514359</v>
      </c>
      <c r="Q56" s="496">
        <v>0.89885172800117652</v>
      </c>
      <c r="R56" s="496">
        <v>0.96699833397985935</v>
      </c>
      <c r="S56" s="496">
        <v>0.91163410807804302</v>
      </c>
      <c r="T56" s="496">
        <v>0.84786420157613995</v>
      </c>
      <c r="U56" s="496">
        <v>0.66616978092984591</v>
      </c>
      <c r="V56" s="496">
        <v>0.92058805876837313</v>
      </c>
      <c r="W56" s="496">
        <v>0.82670060254826472</v>
      </c>
      <c r="X56" s="496">
        <v>0.92058805876837313</v>
      </c>
      <c r="Y56" s="496">
        <v>0.9597370222884527</v>
      </c>
      <c r="Z56" s="496">
        <v>0.91563500704618572</v>
      </c>
      <c r="AA56" s="496">
        <v>0.6112309143264415</v>
      </c>
      <c r="AB56" s="496">
        <v>0.35610531837983372</v>
      </c>
      <c r="AC56" s="496">
        <v>0.88575348850611646</v>
      </c>
      <c r="AD56" s="496">
        <v>0.94768030243215284</v>
      </c>
      <c r="AE56" s="496">
        <v>0.75071542173289674</v>
      </c>
      <c r="AF56" s="496">
        <v>0.25387116105610369</v>
      </c>
      <c r="AG56" s="496">
        <v>0.12321348202422865</v>
      </c>
      <c r="AH56" s="496">
        <v>0.44355183020981592</v>
      </c>
      <c r="AI56" s="496">
        <v>0.9526303500819866</v>
      </c>
      <c r="AJ56" s="496">
        <v>0.93839685024538988</v>
      </c>
      <c r="AK56" s="496">
        <v>0.85793423375632838</v>
      </c>
      <c r="AL56" s="496">
        <v>0.582517907130086</v>
      </c>
      <c r="AM56" s="499">
        <v>0.9350363517420095</v>
      </c>
    </row>
    <row r="57" spans="1:39" ht="12.75" customHeight="1" x14ac:dyDescent="0.3">
      <c r="A57" s="174"/>
      <c r="B57" s="174"/>
      <c r="C57" s="174"/>
      <c r="D57" s="15"/>
      <c r="E57" s="15"/>
      <c r="F57" s="505">
        <v>0.76792200032990077</v>
      </c>
      <c r="G57" s="496">
        <v>0.97802078491111188</v>
      </c>
      <c r="H57" s="496">
        <v>0.93428867834000062</v>
      </c>
      <c r="I57" s="496">
        <v>0.99494557340821199</v>
      </c>
      <c r="J57" s="496">
        <v>0.99440410021328574</v>
      </c>
      <c r="K57" s="496">
        <v>0.92294354150621616</v>
      </c>
      <c r="L57" s="496">
        <v>0.87836397000081834</v>
      </c>
      <c r="M57" s="496">
        <v>0.93591179057595164</v>
      </c>
      <c r="N57" s="496">
        <v>0.90773593518431239</v>
      </c>
      <c r="O57" s="496">
        <v>0.93591179057595142</v>
      </c>
      <c r="P57" s="496">
        <v>0.97448888229669473</v>
      </c>
      <c r="Q57" s="496">
        <v>0.90540434397163083</v>
      </c>
      <c r="R57" s="496">
        <v>0.96903390213585183</v>
      </c>
      <c r="S57" s="496">
        <v>0.91755062421452382</v>
      </c>
      <c r="T57" s="496">
        <v>0.85658964590593756</v>
      </c>
      <c r="U57" s="496">
        <v>0.68128346086813352</v>
      </c>
      <c r="V57" s="496">
        <v>0.92599724983905107</v>
      </c>
      <c r="W57" s="496">
        <v>0.83586815062056052</v>
      </c>
      <c r="X57" s="496">
        <v>0.92599724983905107</v>
      </c>
      <c r="Y57" s="496">
        <v>0.96220597133638797</v>
      </c>
      <c r="Z57" s="496">
        <v>0.92039011251538316</v>
      </c>
      <c r="AA57" s="496">
        <v>0.62485829816892102</v>
      </c>
      <c r="AB57" s="496">
        <v>0.37204406230533221</v>
      </c>
      <c r="AC57" s="496">
        <v>0.89342298458165825</v>
      </c>
      <c r="AD57" s="496">
        <v>0.95057853949897519</v>
      </c>
      <c r="AE57" s="496">
        <v>0.75673719991531918</v>
      </c>
      <c r="AF57" s="496">
        <v>0.26353978287692126</v>
      </c>
      <c r="AG57" s="496">
        <v>0.13082597641387714</v>
      </c>
      <c r="AH57" s="496">
        <v>0.45572127592652273</v>
      </c>
      <c r="AI57" s="496">
        <v>0.95561021723102879</v>
      </c>
      <c r="AJ57" s="496">
        <v>0.94247149670885011</v>
      </c>
      <c r="AK57" s="496">
        <v>0.86766529771375678</v>
      </c>
      <c r="AL57" s="496">
        <v>0.60199784549505542</v>
      </c>
      <c r="AM57" s="499">
        <v>0.93943123414548135</v>
      </c>
    </row>
    <row r="58" spans="1:39" ht="12.75" customHeight="1" x14ac:dyDescent="0.3">
      <c r="A58" s="174"/>
      <c r="B58" s="174"/>
      <c r="C58" s="174"/>
      <c r="D58" s="15"/>
      <c r="E58" s="15"/>
      <c r="F58" s="505">
        <v>0.7886766489874657</v>
      </c>
      <c r="G58" s="496">
        <v>0.97939270829113689</v>
      </c>
      <c r="H58" s="496">
        <v>0.93874948532338054</v>
      </c>
      <c r="I58" s="496">
        <v>0.99526430934397137</v>
      </c>
      <c r="J58" s="496">
        <v>0.99475610683942695</v>
      </c>
      <c r="K58" s="496">
        <v>0.92818313699014754</v>
      </c>
      <c r="L58" s="496">
        <v>0.88543273997136918</v>
      </c>
      <c r="M58" s="496">
        <v>0.94027518525128828</v>
      </c>
      <c r="N58" s="496">
        <v>0.91349119035937887</v>
      </c>
      <c r="O58" s="496">
        <v>0.94027518525128828</v>
      </c>
      <c r="P58" s="496">
        <v>0.97607836142877336</v>
      </c>
      <c r="Q58" s="496">
        <v>0.91152688099290602</v>
      </c>
      <c r="R58" s="496">
        <v>0.9709406570953345</v>
      </c>
      <c r="S58" s="496">
        <v>0.92306015670634833</v>
      </c>
      <c r="T58" s="496">
        <v>0.86482457893873033</v>
      </c>
      <c r="U58" s="496">
        <v>0.69582509039711682</v>
      </c>
      <c r="V58" s="496">
        <v>0.93102254537301621</v>
      </c>
      <c r="W58" s="496">
        <v>0.84456628227694464</v>
      </c>
      <c r="X58" s="496">
        <v>0.93102254537301621</v>
      </c>
      <c r="Y58" s="496">
        <v>0.96450566196144827</v>
      </c>
      <c r="Z58" s="496">
        <v>0.92483052665858378</v>
      </c>
      <c r="AA58" s="496">
        <v>0.63797228450290744</v>
      </c>
      <c r="AB58" s="496">
        <v>0.38782637426209043</v>
      </c>
      <c r="AC58" s="496">
        <v>0.90055357583744822</v>
      </c>
      <c r="AD58" s="496">
        <v>0.95327857374091285</v>
      </c>
      <c r="AE58" s="496">
        <v>0.76246654978627404</v>
      </c>
      <c r="AF58" s="496">
        <v>0.27313496903643214</v>
      </c>
      <c r="AG58" s="496">
        <v>0.13855188578818223</v>
      </c>
      <c r="AH58" s="496">
        <v>0.46766514114657354</v>
      </c>
      <c r="AI58" s="496">
        <v>0.9583775378099112</v>
      </c>
      <c r="AJ58" s="496">
        <v>0.94623279042701691</v>
      </c>
      <c r="AK58" s="496">
        <v>0.87665247965832183</v>
      </c>
      <c r="AL58" s="496">
        <v>0.62077401729112758</v>
      </c>
      <c r="AM58" s="499">
        <v>0.94347587949378775</v>
      </c>
    </row>
    <row r="59" spans="1:39" ht="12.75" customHeight="1" x14ac:dyDescent="0.3">
      <c r="A59" s="174"/>
      <c r="B59" s="174"/>
      <c r="C59" s="174"/>
      <c r="D59" s="15"/>
      <c r="E59" s="15"/>
      <c r="F59" s="505">
        <v>0.80943129764503052</v>
      </c>
      <c r="G59" s="496">
        <v>0.98067853318106923</v>
      </c>
      <c r="H59" s="496">
        <v>0.94289577416367198</v>
      </c>
      <c r="I59" s="496">
        <v>0.99556291390638629</v>
      </c>
      <c r="J59" s="496">
        <v>0.9950859294821256</v>
      </c>
      <c r="K59" s="496">
        <v>0.93306470240294426</v>
      </c>
      <c r="L59" s="496">
        <v>0.89209229138545232</v>
      </c>
      <c r="M59" s="496">
        <v>0.94432919476562904</v>
      </c>
      <c r="N59" s="496">
        <v>0.9188874437982012</v>
      </c>
      <c r="O59" s="496">
        <v>0.94432919476562915</v>
      </c>
      <c r="P59" s="496">
        <v>0.97756622120737047</v>
      </c>
      <c r="Q59" s="496">
        <v>0.91724779916558785</v>
      </c>
      <c r="R59" s="496">
        <v>0.97272709016032088</v>
      </c>
      <c r="S59" s="496">
        <v>0.92819132884872035</v>
      </c>
      <c r="T59" s="496">
        <v>0.87259557786390896</v>
      </c>
      <c r="U59" s="496">
        <v>0.70980559928561116</v>
      </c>
      <c r="V59" s="496">
        <v>0.9356923540364176</v>
      </c>
      <c r="W59" s="496">
        <v>0.85281771993548661</v>
      </c>
      <c r="X59" s="496">
        <v>0.93569235403641782</v>
      </c>
      <c r="Y59" s="496">
        <v>0.9666493539046046</v>
      </c>
      <c r="Z59" s="496">
        <v>0.92898078947731855</v>
      </c>
      <c r="AA59" s="496">
        <v>0.6505875729060101</v>
      </c>
      <c r="AB59" s="496">
        <v>0.40343099280791567</v>
      </c>
      <c r="AC59" s="496">
        <v>0.9071836324198822</v>
      </c>
      <c r="AD59" s="496">
        <v>0.9557965422385466</v>
      </c>
      <c r="AE59" s="496">
        <v>0.76792796469993108</v>
      </c>
      <c r="AF59" s="496">
        <v>0.28265272695754967</v>
      </c>
      <c r="AG59" s="496">
        <v>0.14638060046558601</v>
      </c>
      <c r="AH59" s="496">
        <v>0.47938428302551095</v>
      </c>
      <c r="AI59" s="496">
        <v>0.96095010334257092</v>
      </c>
      <c r="AJ59" s="496">
        <v>0.94970970729104554</v>
      </c>
      <c r="AK59" s="496">
        <v>0.88495500722563925</v>
      </c>
      <c r="AL59" s="496">
        <v>0.63884574476627709</v>
      </c>
      <c r="AM59" s="499">
        <v>0.9472040226608226</v>
      </c>
    </row>
    <row r="60" spans="1:39" ht="12.75" customHeight="1" x14ac:dyDescent="0.3">
      <c r="A60" s="174"/>
      <c r="B60" s="174"/>
      <c r="C60" s="174"/>
      <c r="D60" s="15"/>
      <c r="E60" s="15"/>
      <c r="F60" s="505">
        <v>0.83018594630259546</v>
      </c>
      <c r="G60" s="496">
        <v>0.9818837076303748</v>
      </c>
      <c r="H60" s="496">
        <v>0.94675075583733237</v>
      </c>
      <c r="I60" s="496">
        <v>0.99584266086972051</v>
      </c>
      <c r="J60" s="496">
        <v>0.99539496918866122</v>
      </c>
      <c r="K60" s="496">
        <v>0.93761281845208178</v>
      </c>
      <c r="L60" s="496">
        <v>0.89836620814052159</v>
      </c>
      <c r="M60" s="496">
        <v>0.94809686080190558</v>
      </c>
      <c r="N60" s="496">
        <v>0.92394708935015402</v>
      </c>
      <c r="O60" s="496">
        <v>0.94809686080190547</v>
      </c>
      <c r="P60" s="496">
        <v>0.97895920506694734</v>
      </c>
      <c r="Q60" s="496">
        <v>0.92259367892550004</v>
      </c>
      <c r="R60" s="496">
        <v>0.97440108401453507</v>
      </c>
      <c r="S60" s="496">
        <v>0.93297072277469262</v>
      </c>
      <c r="T60" s="496">
        <v>0.87992788418092416</v>
      </c>
      <c r="U60" s="496">
        <v>0.72323693022156099</v>
      </c>
      <c r="V60" s="496">
        <v>0.94003290251311356</v>
      </c>
      <c r="W60" s="496">
        <v>0.86064420536135455</v>
      </c>
      <c r="X60" s="496">
        <v>0.94003290251311378</v>
      </c>
      <c r="Y60" s="496">
        <v>0.96864904670895746</v>
      </c>
      <c r="Z60" s="496">
        <v>0.93286309261236322</v>
      </c>
      <c r="AA60" s="496">
        <v>0.66271918012786202</v>
      </c>
      <c r="AB60" s="496">
        <v>0.41883885385565417</v>
      </c>
      <c r="AC60" s="496">
        <v>0.91334889988463552</v>
      </c>
      <c r="AD60" s="496">
        <v>0.95814696782159647</v>
      </c>
      <c r="AE60" s="496">
        <v>0.77314330369130002</v>
      </c>
      <c r="AF60" s="496">
        <v>0.29208958890432335</v>
      </c>
      <c r="AG60" s="496">
        <v>0.15430189748789225</v>
      </c>
      <c r="AH60" s="496">
        <v>0.49087990683735727</v>
      </c>
      <c r="AI60" s="496">
        <v>0.96334386641062808</v>
      </c>
      <c r="AJ60" s="496">
        <v>0.95292795698611799</v>
      </c>
      <c r="AK60" s="496">
        <v>0.89262774341210493</v>
      </c>
      <c r="AL60" s="496">
        <v>0.65621635570846182</v>
      </c>
      <c r="AM60" s="499">
        <v>0.95064552182503881</v>
      </c>
    </row>
    <row r="61" spans="1:39" ht="12.75" customHeight="1" x14ac:dyDescent="0.3">
      <c r="A61" s="174"/>
      <c r="B61" s="174"/>
      <c r="C61" s="174"/>
      <c r="D61" s="15"/>
      <c r="E61" s="15"/>
      <c r="F61" s="505">
        <v>0.85094059496016039</v>
      </c>
      <c r="G61" s="496">
        <v>0.98301332875740333</v>
      </c>
      <c r="H61" s="496">
        <v>0.95033583991827197</v>
      </c>
      <c r="I61" s="496">
        <v>0.99610474324364451</v>
      </c>
      <c r="J61" s="496">
        <v>0.99568453829375148</v>
      </c>
      <c r="K61" s="496">
        <v>0.94185037054298937</v>
      </c>
      <c r="L61" s="496">
        <v>0.90427672212408661</v>
      </c>
      <c r="M61" s="496">
        <v>0.95159941342566556</v>
      </c>
      <c r="N61" s="496">
        <v>0.92869112392749387</v>
      </c>
      <c r="O61" s="496">
        <v>0.95159941342566545</v>
      </c>
      <c r="P61" s="496">
        <v>0.98026357327273117</v>
      </c>
      <c r="Q61" s="496">
        <v>0.92758934141180882</v>
      </c>
      <c r="R61" s="496">
        <v>0.97596996367300781</v>
      </c>
      <c r="S61" s="496">
        <v>0.93742302396464638</v>
      </c>
      <c r="T61" s="496">
        <v>0.8868454583181743</v>
      </c>
      <c r="U61" s="496">
        <v>0.73613185751107479</v>
      </c>
      <c r="V61" s="496">
        <v>0.94406840639571099</v>
      </c>
      <c r="W61" s="496">
        <v>0.86806652929985229</v>
      </c>
      <c r="X61" s="496">
        <v>0.94406840639571121</v>
      </c>
      <c r="Y61" s="496">
        <v>0.97051562820202353</v>
      </c>
      <c r="Z61" s="496">
        <v>0.93649755120395684</v>
      </c>
      <c r="AA61" s="496">
        <v>0.67438230665504284</v>
      </c>
      <c r="AB61" s="496">
        <v>0.4340329722311036</v>
      </c>
      <c r="AC61" s="496">
        <v>0.91908264552104291</v>
      </c>
      <c r="AD61" s="496">
        <v>0.96034295663871272</v>
      </c>
      <c r="AE61" s="496">
        <v>0.77813210005676792</v>
      </c>
      <c r="AF61" s="496">
        <v>0.30144255401119524</v>
      </c>
      <c r="AG61" s="496">
        <v>0.16230594670926879</v>
      </c>
      <c r="AH61" s="496">
        <v>0.50215352106866484</v>
      </c>
      <c r="AI61" s="496">
        <v>0.9655731736099995</v>
      </c>
      <c r="AJ61" s="496">
        <v>0.95591040854253406</v>
      </c>
      <c r="AK61" s="496">
        <v>0.89972137897443716</v>
      </c>
      <c r="AL61" s="496">
        <v>0.67289260941335061</v>
      </c>
      <c r="AM61" s="499">
        <v>0.95382685114577248</v>
      </c>
    </row>
    <row r="62" spans="1:39" ht="12.75" customHeight="1" x14ac:dyDescent="0.3">
      <c r="A62" s="174"/>
      <c r="B62" s="174"/>
      <c r="C62" s="174"/>
      <c r="D62" s="15"/>
      <c r="E62" s="15"/>
      <c r="F62" s="505">
        <v>0.87169524361772521</v>
      </c>
      <c r="G62" s="496">
        <v>0.98407216583232526</v>
      </c>
      <c r="H62" s="496">
        <v>0.95367078156326512</v>
      </c>
      <c r="I62" s="496">
        <v>0.99635027841023294</v>
      </c>
      <c r="J62" s="496">
        <v>0.99595586605784747</v>
      </c>
      <c r="K62" s="496">
        <v>0.94579866629807618</v>
      </c>
      <c r="L62" s="496">
        <v>0.90984479027296694</v>
      </c>
      <c r="M62" s="496">
        <v>0.95485642136394788</v>
      </c>
      <c r="N62" s="496">
        <v>0.93313923470671911</v>
      </c>
      <c r="O62" s="496">
        <v>0.95485642136394777</v>
      </c>
      <c r="P62" s="496">
        <v>0.98148514316544699</v>
      </c>
      <c r="Q62" s="496">
        <v>0.9322579620104825</v>
      </c>
      <c r="R62" s="496">
        <v>0.97744054216657317</v>
      </c>
      <c r="S62" s="496">
        <v>0.94157115616802112</v>
      </c>
      <c r="T62" s="496">
        <v>0.89337103374481608</v>
      </c>
      <c r="U62" s="496">
        <v>0.74850382509074898</v>
      </c>
      <c r="V62" s="496">
        <v>0.94782122806132663</v>
      </c>
      <c r="W62" s="496">
        <v>0.87510456185482055</v>
      </c>
      <c r="X62" s="496">
        <v>0.94782122806132696</v>
      </c>
      <c r="Y62" s="496">
        <v>0.97225900289141509</v>
      </c>
      <c r="Z62" s="496">
        <v>0.93990244108967957</v>
      </c>
      <c r="AA62" s="496">
        <v>0.68559222408536447</v>
      </c>
      <c r="AB62" s="496">
        <v>0.44899832318036698</v>
      </c>
      <c r="AC62" s="496">
        <v>0.92441580339806551</v>
      </c>
      <c r="AD62" s="496">
        <v>0.96239636846567445</v>
      </c>
      <c r="AE62" s="496">
        <v>0.78291183475823067</v>
      </c>
      <c r="AF62" s="496">
        <v>0.31070903696536972</v>
      </c>
      <c r="AG62" s="496">
        <v>0.17038331355222783</v>
      </c>
      <c r="AH62" s="496">
        <v>0.51320689789122853</v>
      </c>
      <c r="AI62" s="496">
        <v>0.96765096580458343</v>
      </c>
      <c r="AJ62" s="496">
        <v>0.95867745790234904</v>
      </c>
      <c r="AK62" s="496">
        <v>0.90628264692062832</v>
      </c>
      <c r="AL62" s="496">
        <v>0.68888417734171281</v>
      </c>
      <c r="AM62" s="499">
        <v>0.95677153041151031</v>
      </c>
    </row>
    <row r="63" spans="1:39" ht="12.75" customHeight="1" x14ac:dyDescent="0.3">
      <c r="A63" s="174"/>
      <c r="B63" s="174"/>
      <c r="C63" s="174"/>
      <c r="D63" s="15"/>
      <c r="E63" s="15"/>
      <c r="F63" s="505">
        <v>0.89244989227529004</v>
      </c>
      <c r="G63" s="496">
        <v>0.98506468229333743</v>
      </c>
      <c r="H63" s="496">
        <v>0.9567738158942779</v>
      </c>
      <c r="I63" s="496">
        <v>0.99658031293095362</v>
      </c>
      <c r="J63" s="496">
        <v>0.99621010394406373</v>
      </c>
      <c r="K63" s="496">
        <v>0.94947754483457514</v>
      </c>
      <c r="L63" s="496">
        <v>0.91509016724674153</v>
      </c>
      <c r="M63" s="496">
        <v>0.9578859291441838</v>
      </c>
      <c r="N63" s="496">
        <v>0.93730988084887612</v>
      </c>
      <c r="O63" s="496">
        <v>0.95788592914418358</v>
      </c>
      <c r="P63" s="496">
        <v>0.98262932498990663</v>
      </c>
      <c r="Q63" s="496">
        <v>0.93662117734373074</v>
      </c>
      <c r="R63" s="496">
        <v>0.97881916146142045</v>
      </c>
      <c r="S63" s="496">
        <v>0.94543640720854483</v>
      </c>
      <c r="T63" s="496">
        <v>0.89952617040555516</v>
      </c>
      <c r="U63" s="496">
        <v>0.76036680247458566</v>
      </c>
      <c r="V63" s="496">
        <v>0.95131202233431633</v>
      </c>
      <c r="W63" s="496">
        <v>0.88177728342569051</v>
      </c>
      <c r="X63" s="496">
        <v>0.95131202233431678</v>
      </c>
      <c r="Y63" s="496">
        <v>0.97388820193856585</v>
      </c>
      <c r="Z63" s="496">
        <v>0.94309440563302216</v>
      </c>
      <c r="AA63" s="496">
        <v>0.69636418116447441</v>
      </c>
      <c r="AB63" s="496">
        <v>0.46372172455286725</v>
      </c>
      <c r="AC63" s="496">
        <v>0.92937711769166609</v>
      </c>
      <c r="AD63" s="496">
        <v>0.96431796210590426</v>
      </c>
      <c r="AE63" s="496">
        <v>0.78749817938342836</v>
      </c>
      <c r="AF63" s="496">
        <v>0.31988682262332185</v>
      </c>
      <c r="AG63" s="496">
        <v>0.17852495884692673</v>
      </c>
      <c r="AH63" s="496">
        <v>0.52404203858438225</v>
      </c>
      <c r="AI63" s="496">
        <v>0.96958894823351494</v>
      </c>
      <c r="AJ63" s="496">
        <v>0.96124734614047347</v>
      </c>
      <c r="AK63" s="496">
        <v>0.91235455437716784</v>
      </c>
      <c r="AL63" s="496">
        <v>0.70420317407663002</v>
      </c>
      <c r="AM63" s="499">
        <v>0.95950050173954571</v>
      </c>
    </row>
    <row r="64" spans="1:39" ht="12.75" customHeight="1" x14ac:dyDescent="0.3">
      <c r="A64" s="174"/>
      <c r="B64" s="174"/>
      <c r="C64" s="174"/>
      <c r="D64" s="15"/>
      <c r="E64" s="15"/>
      <c r="F64" s="505">
        <v>0.91320454093285497</v>
      </c>
      <c r="G64" s="496">
        <v>0.98599505633335705</v>
      </c>
      <c r="H64" s="496">
        <v>0.95966178087283904</v>
      </c>
      <c r="I64" s="496">
        <v>0.99679582704453285</v>
      </c>
      <c r="J64" s="496">
        <v>0.99644833055588944</v>
      </c>
      <c r="K64" s="496">
        <v>0.95290547837254491</v>
      </c>
      <c r="L64" s="496">
        <v>0.92003147395747764</v>
      </c>
      <c r="M64" s="496">
        <v>0.96070458226087996</v>
      </c>
      <c r="N64" s="496">
        <v>0.94122037007719739</v>
      </c>
      <c r="O64" s="496">
        <v>0.96070458226087962</v>
      </c>
      <c r="P64" s="496">
        <v>0.98370115403018521</v>
      </c>
      <c r="Q64" s="496">
        <v>0.94069918588393742</v>
      </c>
      <c r="R64" s="496">
        <v>0.98011172929390056</v>
      </c>
      <c r="S64" s="496">
        <v>0.94903854613846106</v>
      </c>
      <c r="T64" s="496">
        <v>0.90533130716109633</v>
      </c>
      <c r="U64" s="496">
        <v>0.77173515701790762</v>
      </c>
      <c r="V64" s="496">
        <v>0.95455987072176052</v>
      </c>
      <c r="W64" s="496">
        <v>0.88810281589273743</v>
      </c>
      <c r="X64" s="496">
        <v>0.95455987072176096</v>
      </c>
      <c r="Y64" s="496">
        <v>0.9754114778283931</v>
      </c>
      <c r="Z64" s="496">
        <v>0.94608863546292044</v>
      </c>
      <c r="AA64" s="496">
        <v>0.70671332592456992</v>
      </c>
      <c r="AB64" s="496">
        <v>0.47819172072251648</v>
      </c>
      <c r="AC64" s="496">
        <v>0.93399328241139168</v>
      </c>
      <c r="AD64" s="496">
        <v>0.96611752029114739</v>
      </c>
      <c r="AE64" s="496">
        <v>0.79190521042620488</v>
      </c>
      <c r="AF64" s="496">
        <v>0.32897402595219283</v>
      </c>
      <c r="AG64" s="496">
        <v>0.18672223622524403</v>
      </c>
      <c r="AH64" s="496">
        <v>0.53466114318048286</v>
      </c>
      <c r="AI64" s="496">
        <v>0.97139773547112485</v>
      </c>
      <c r="AJ64" s="496">
        <v>0.96363643229773199</v>
      </c>
      <c r="AK64" s="496">
        <v>0.91797662376277622</v>
      </c>
      <c r="AL64" s="496">
        <v>0.71886373645818435</v>
      </c>
      <c r="AM64" s="499">
        <v>0.96203245684167571</v>
      </c>
    </row>
    <row r="65" spans="1:39" ht="12.75" customHeight="1" x14ac:dyDescent="0.3">
      <c r="A65" s="174"/>
      <c r="B65" s="174"/>
      <c r="C65" s="174"/>
      <c r="D65" s="15"/>
      <c r="E65" s="15"/>
      <c r="F65" s="505">
        <v>0.9339591895904199</v>
      </c>
      <c r="G65" s="496">
        <v>0.98686719961561964</v>
      </c>
      <c r="H65" s="496">
        <v>0.96235022981825524</v>
      </c>
      <c r="I65" s="496">
        <v>0.99699773887841037</v>
      </c>
      <c r="J65" s="496">
        <v>0.99667155625976223</v>
      </c>
      <c r="K65" s="496">
        <v>0.95609966678665781</v>
      </c>
      <c r="L65" s="496">
        <v>0.92468626222333261</v>
      </c>
      <c r="M65" s="496">
        <v>0.96332774159619183</v>
      </c>
      <c r="N65" s="496">
        <v>0.94488693048053807</v>
      </c>
      <c r="O65" s="496">
        <v>0.96332774159619161</v>
      </c>
      <c r="P65" s="496">
        <v>0.98470531978781184</v>
      </c>
      <c r="Q65" s="496">
        <v>0.94451084240482963</v>
      </c>
      <c r="R65" s="496">
        <v>0.98132375254889592</v>
      </c>
      <c r="S65" s="496">
        <v>0.95239593224842978</v>
      </c>
      <c r="T65" s="496">
        <v>0.91080581293303353</v>
      </c>
      <c r="U65" s="496">
        <v>0.78262354081385033</v>
      </c>
      <c r="V65" s="496">
        <v>0.95758240505895564</v>
      </c>
      <c r="W65" s="496">
        <v>0.89409845374392127</v>
      </c>
      <c r="X65" s="496">
        <v>0.9575824050589562</v>
      </c>
      <c r="Y65" s="496">
        <v>0.9768363868937936</v>
      </c>
      <c r="Z65" s="496">
        <v>0.94889902469218268</v>
      </c>
      <c r="AA65" s="496">
        <v>0.71665464123920986</v>
      </c>
      <c r="AB65" s="496">
        <v>0.49239846930733777</v>
      </c>
      <c r="AC65" s="496">
        <v>0.93828907562260044</v>
      </c>
      <c r="AD65" s="496">
        <v>0.96780395830911703</v>
      </c>
      <c r="AE65" s="496">
        <v>0.79614559674732133</v>
      </c>
      <c r="AF65" s="496">
        <v>0.33796905666859883</v>
      </c>
      <c r="AG65" s="496">
        <v>0.19496688754861835</v>
      </c>
      <c r="AH65" s="496">
        <v>0.54506658359413129</v>
      </c>
      <c r="AI65" s="496">
        <v>0.97308697660888255</v>
      </c>
      <c r="AJ65" s="496">
        <v>0.96585942600531705</v>
      </c>
      <c r="AK65" s="496">
        <v>0.9231851339269439</v>
      </c>
      <c r="AL65" s="496">
        <v>0.73288164910519371</v>
      </c>
      <c r="AM65" s="499">
        <v>0.96438411857088446</v>
      </c>
    </row>
    <row r="66" spans="1:39" ht="12.75" customHeight="1" x14ac:dyDescent="0.3">
      <c r="A66" s="174"/>
      <c r="B66" s="174"/>
      <c r="C66" s="174"/>
      <c r="D66" s="15"/>
      <c r="E66" s="15"/>
      <c r="F66" s="505">
        <v>0.95471383824798473</v>
      </c>
      <c r="G66" s="496">
        <v>0.98768477468800475</v>
      </c>
      <c r="H66" s="496">
        <v>0.96485353452547118</v>
      </c>
      <c r="I66" s="496">
        <v>0.99718690839340363</v>
      </c>
      <c r="J66" s="496">
        <v>0.99688072751428558</v>
      </c>
      <c r="K66" s="496">
        <v>0.95907612562852596</v>
      </c>
      <c r="L66" s="496">
        <v>0.92907107577977166</v>
      </c>
      <c r="M66" s="496">
        <v>0.96576958810774138</v>
      </c>
      <c r="N66" s="496">
        <v>0.94832477786202884</v>
      </c>
      <c r="O66" s="496">
        <v>0.96576958810774105</v>
      </c>
      <c r="P66" s="496">
        <v>0.98564619249589591</v>
      </c>
      <c r="Q66" s="496">
        <v>0.94807374656777543</v>
      </c>
      <c r="R66" s="496">
        <v>0.98246036761516109</v>
      </c>
      <c r="S66" s="496">
        <v>0.95552561645380174</v>
      </c>
      <c r="T66" s="496">
        <v>0.91596803639638325</v>
      </c>
      <c r="U66" s="496">
        <v>0.79304679077043916</v>
      </c>
      <c r="V66" s="496">
        <v>0.96039592139321783</v>
      </c>
      <c r="W66" s="496">
        <v>0.89978069495254331</v>
      </c>
      <c r="X66" s="496">
        <v>0.96039592139321839</v>
      </c>
      <c r="Y66" s="496">
        <v>0.97816986166215125</v>
      </c>
      <c r="Z66" s="496">
        <v>0.95153830729705247</v>
      </c>
      <c r="AA66" s="496">
        <v>0.72620289164757867</v>
      </c>
      <c r="AB66" s="496">
        <v>0.50633363135223663</v>
      </c>
      <c r="AC66" s="496">
        <v>0.94228748742335788</v>
      </c>
      <c r="AD66" s="496">
        <v>0.96938541885088014</v>
      </c>
      <c r="AE66" s="496">
        <v>0.80023076351815581</v>
      </c>
      <c r="AF66" s="496">
        <v>0.34687058795766845</v>
      </c>
      <c r="AG66" s="496">
        <v>0.20325103675628625</v>
      </c>
      <c r="AH66" s="496">
        <v>0.55526087974486804</v>
      </c>
      <c r="AI66" s="496">
        <v>0.97466546411899546</v>
      </c>
      <c r="AJ66" s="496">
        <v>0.96792958710238397</v>
      </c>
      <c r="AK66" s="496">
        <v>0.92801335522249695</v>
      </c>
      <c r="AL66" s="496">
        <v>0.74627401314886543</v>
      </c>
      <c r="AM66" s="499">
        <v>0.96657048343374241</v>
      </c>
    </row>
    <row r="67" spans="1:39" ht="12.75" customHeight="1" x14ac:dyDescent="0.3">
      <c r="A67" s="174"/>
      <c r="B67" s="174"/>
      <c r="C67" s="174"/>
      <c r="D67" s="15"/>
      <c r="E67" s="15"/>
      <c r="F67" s="505">
        <v>0.97546848690554966</v>
      </c>
      <c r="G67" s="496">
        <v>0.98845121136979619</v>
      </c>
      <c r="H67" s="496">
        <v>0.96718497974844264</v>
      </c>
      <c r="I67" s="496">
        <v>0.9973641410777252</v>
      </c>
      <c r="J67" s="496">
        <v>0.99707673092464089</v>
      </c>
      <c r="K67" s="496">
        <v>0.96184976804902389</v>
      </c>
      <c r="L67" s="496">
        <v>0.93320150784142952</v>
      </c>
      <c r="M67" s="496">
        <v>0.96804321859149767</v>
      </c>
      <c r="N67" s="496">
        <v>0.95154817889542542</v>
      </c>
      <c r="O67" s="496">
        <v>0.96804321859149733</v>
      </c>
      <c r="P67" s="496">
        <v>0.98652784716704123</v>
      </c>
      <c r="Q67" s="496">
        <v>0.95140432596674496</v>
      </c>
      <c r="R67" s="496">
        <v>0.98352636799646598</v>
      </c>
      <c r="S67" s="496">
        <v>0.95844343554638878</v>
      </c>
      <c r="T67" s="496">
        <v>0.92083535416263051</v>
      </c>
      <c r="U67" s="496">
        <v>0.80301984067645615</v>
      </c>
      <c r="V67" s="496">
        <v>0.96301548485357324</v>
      </c>
      <c r="W67" s="496">
        <v>0.90516527149940296</v>
      </c>
      <c r="X67" s="496">
        <v>0.96301548485357358</v>
      </c>
      <c r="Y67" s="496">
        <v>0.9794182741108477</v>
      </c>
      <c r="Z67" s="496">
        <v>0.9540181766803103</v>
      </c>
      <c r="AA67" s="496">
        <v>0.73537257992815741</v>
      </c>
      <c r="AB67" s="496">
        <v>0.5199902652944276</v>
      </c>
      <c r="AC67" s="496">
        <v>0.94600984173426739</v>
      </c>
      <c r="AD67" s="496">
        <v>0.9708693545108229</v>
      </c>
      <c r="AE67" s="496">
        <v>0.80417103619279573</v>
      </c>
      <c r="AF67" s="496">
        <v>0.35567752874700292</v>
      </c>
      <c r="AG67" s="496">
        <v>0.21156718241806394</v>
      </c>
      <c r="AH67" s="496">
        <v>0.56524667837255949</v>
      </c>
      <c r="AI67" s="496">
        <v>0.97614122824517013</v>
      </c>
      <c r="AJ67" s="496">
        <v>0.96985889850352003</v>
      </c>
      <c r="AK67" s="496">
        <v>0.93249177628423907</v>
      </c>
      <c r="AL67" s="496">
        <v>0.75905895410392454</v>
      </c>
      <c r="AM67" s="499">
        <v>0.96860503204601389</v>
      </c>
    </row>
    <row r="68" spans="1:39" ht="12.75" customHeight="1" x14ac:dyDescent="0.3">
      <c r="A68" s="174"/>
      <c r="B68" s="174"/>
      <c r="C68" s="174"/>
      <c r="D68" s="15"/>
      <c r="E68" s="15"/>
      <c r="F68" s="505">
        <v>0.99622313556311448</v>
      </c>
      <c r="G68" s="496">
        <v>0.98916972192988395</v>
      </c>
      <c r="H68" s="496">
        <v>0.96935684974974778</v>
      </c>
      <c r="I68" s="496">
        <v>0.99753019140532329</v>
      </c>
      <c r="J68" s="496">
        <v>0.99726039703874314</v>
      </c>
      <c r="K68" s="496">
        <v>0.96443448101743823</v>
      </c>
      <c r="L68" s="496">
        <v>0.93709225539512131</v>
      </c>
      <c r="M68" s="496">
        <v>0.97016073325756402</v>
      </c>
      <c r="N68" s="496">
        <v>0.95457051033319018</v>
      </c>
      <c r="O68" s="496">
        <v>0.97016073325756391</v>
      </c>
      <c r="P68" s="496">
        <v>0.98735408546669989</v>
      </c>
      <c r="Q68" s="496">
        <v>0.95451791392457719</v>
      </c>
      <c r="R68" s="496">
        <v>0.98452622944182278</v>
      </c>
      <c r="S68" s="496">
        <v>0.9611640997609272</v>
      </c>
      <c r="T68" s="496">
        <v>0.92542421740104186</v>
      </c>
      <c r="U68" s="496">
        <v>0.81255764417376242</v>
      </c>
      <c r="V68" s="496">
        <v>0.96545502617419843</v>
      </c>
      <c r="W68" s="496">
        <v>0.91026717944138524</v>
      </c>
      <c r="X68" s="496">
        <v>0.96545502617419887</v>
      </c>
      <c r="Y68" s="496">
        <v>0.9805874908893889</v>
      </c>
      <c r="Z68" s="496">
        <v>0.95634939060292945</v>
      </c>
      <c r="AA68" s="496">
        <v>0.74417791217202256</v>
      </c>
      <c r="AB68" s="496">
        <v>0.53336272494470072</v>
      </c>
      <c r="AC68" s="496">
        <v>0.94947591191355385</v>
      </c>
      <c r="AD68" s="496">
        <v>0.97226259945782834</v>
      </c>
      <c r="AE68" s="496">
        <v>0.80797576706477792</v>
      </c>
      <c r="AF68" s="496">
        <v>0.36438899911674039</v>
      </c>
      <c r="AG68" s="496">
        <v>0.21990818922826494</v>
      </c>
      <c r="AH68" s="496">
        <v>0.57502673426022466</v>
      </c>
      <c r="AI68" s="496">
        <v>0.97752161859495601</v>
      </c>
      <c r="AJ68" s="496">
        <v>0.97165821608631453</v>
      </c>
      <c r="AK68" s="496">
        <v>0.93664832150153099</v>
      </c>
      <c r="AL68" s="496">
        <v>0.77125536515694793</v>
      </c>
      <c r="AM68" s="499">
        <v>0.97049991221176846</v>
      </c>
    </row>
    <row r="69" spans="1:39" ht="12.75" customHeight="1" x14ac:dyDescent="0.3">
      <c r="A69" s="174"/>
      <c r="B69" s="174"/>
      <c r="C69" s="174"/>
      <c r="D69" s="15"/>
      <c r="E69" s="15"/>
      <c r="F69" s="505">
        <v>1.0169777842206795</v>
      </c>
      <c r="G69" s="496">
        <v>0.98984331513691415</v>
      </c>
      <c r="H69" s="496">
        <v>0.97138050760627026</v>
      </c>
      <c r="I69" s="496">
        <v>0.99768576607359305</v>
      </c>
      <c r="J69" s="496">
        <v>0.99743250390113258</v>
      </c>
      <c r="K69" s="496">
        <v>0.96684319623642179</v>
      </c>
      <c r="L69" s="496">
        <v>0.94075717040791162</v>
      </c>
      <c r="M69" s="496">
        <v>0.97213331584560791</v>
      </c>
      <c r="N69" s="496">
        <v>0.95740431451320507</v>
      </c>
      <c r="O69" s="496">
        <v>0.97213331584560747</v>
      </c>
      <c r="P69" s="496">
        <v>0.98812845567906216</v>
      </c>
      <c r="Q69" s="496">
        <v>0.95742882230699244</v>
      </c>
      <c r="R69" s="496">
        <v>0.98546413289127732</v>
      </c>
      <c r="S69" s="496">
        <v>0.96370127408441142</v>
      </c>
      <c r="T69" s="496">
        <v>0.92975019682922477</v>
      </c>
      <c r="U69" s="496">
        <v>0.82167510757738194</v>
      </c>
      <c r="V69" s="496">
        <v>0.96772743049975851</v>
      </c>
      <c r="W69" s="496">
        <v>0.91510070841730573</v>
      </c>
      <c r="X69" s="496">
        <v>0.96772743049975907</v>
      </c>
      <c r="Y69" s="496">
        <v>0.98168292176324401</v>
      </c>
      <c r="Z69" s="496">
        <v>0.95854186326699164</v>
      </c>
      <c r="AA69" s="496">
        <v>0.75263277013550067</v>
      </c>
      <c r="AB69" s="496">
        <v>0.54644656173797657</v>
      </c>
      <c r="AC69" s="496">
        <v>0.95270402996242542</v>
      </c>
      <c r="AD69" s="496">
        <v>0.97357143203037599</v>
      </c>
      <c r="AE69" s="496">
        <v>0.81165344615111246</v>
      </c>
      <c r="AF69" s="496">
        <v>0.37300430848604166</v>
      </c>
      <c r="AG69" s="496">
        <v>0.22826727866534882</v>
      </c>
      <c r="AH69" s="496">
        <v>0.58460389354587916</v>
      </c>
      <c r="AI69" s="496">
        <v>0.97881337495990417</v>
      </c>
      <c r="AJ69" s="496">
        <v>0.97333739810132869</v>
      </c>
      <c r="AK69" s="496">
        <v>0.94050855769604524</v>
      </c>
      <c r="AL69" s="496">
        <v>0.78288268285467266</v>
      </c>
      <c r="AM69" s="499">
        <v>0.97226609752853443</v>
      </c>
    </row>
    <row r="70" spans="1:39" ht="12.75" customHeight="1" x14ac:dyDescent="0.3">
      <c r="A70" s="174"/>
      <c r="B70" s="174"/>
      <c r="C70" s="174"/>
      <c r="D70" s="15"/>
      <c r="E70" s="15"/>
      <c r="F70" s="505">
        <v>1.0169777842206795</v>
      </c>
      <c r="G70" s="496">
        <v>0.98984331513691415</v>
      </c>
      <c r="H70" s="496">
        <v>0.97138050760627026</v>
      </c>
      <c r="I70" s="496">
        <v>0.99768576607359305</v>
      </c>
      <c r="J70" s="496">
        <v>0.99743250390113258</v>
      </c>
      <c r="K70" s="496">
        <v>0.96684319623642179</v>
      </c>
      <c r="L70" s="496">
        <v>0.94075717040791162</v>
      </c>
      <c r="M70" s="496">
        <v>0.97213331584560791</v>
      </c>
      <c r="N70" s="496">
        <v>0.95740431451320507</v>
      </c>
      <c r="O70" s="496">
        <v>0.97213331584560747</v>
      </c>
      <c r="P70" s="496">
        <v>0.98812845567906216</v>
      </c>
      <c r="Q70" s="496">
        <v>0.95742882230699244</v>
      </c>
      <c r="R70" s="496">
        <v>0.98546413289127732</v>
      </c>
      <c r="S70" s="496">
        <v>0.96370127408441142</v>
      </c>
      <c r="T70" s="496">
        <v>0.92975019682922477</v>
      </c>
      <c r="U70" s="496">
        <v>0.82167510757738194</v>
      </c>
      <c r="V70" s="496">
        <v>0.96772743049975851</v>
      </c>
      <c r="W70" s="496">
        <v>0.91510070841730573</v>
      </c>
      <c r="X70" s="496">
        <v>0.96772743049975907</v>
      </c>
      <c r="Y70" s="496">
        <v>0.98168292176324401</v>
      </c>
      <c r="Z70" s="496">
        <v>0.95854186326699164</v>
      </c>
      <c r="AA70" s="496">
        <v>0.75263277013550067</v>
      </c>
      <c r="AB70" s="496">
        <v>0.54644656173797657</v>
      </c>
      <c r="AC70" s="496">
        <v>0.95270402996242542</v>
      </c>
      <c r="AD70" s="496">
        <v>0.97357143203037599</v>
      </c>
      <c r="AE70" s="496">
        <v>0.81165344615111246</v>
      </c>
      <c r="AF70" s="496">
        <v>0.37300430848604166</v>
      </c>
      <c r="AG70" s="496">
        <v>0.22826727866534882</v>
      </c>
      <c r="AH70" s="496">
        <v>0.58460389354587916</v>
      </c>
      <c r="AI70" s="496">
        <v>0.97881337495990417</v>
      </c>
      <c r="AJ70" s="496">
        <v>0.97333739810132869</v>
      </c>
      <c r="AK70" s="496">
        <v>0.94050855769604524</v>
      </c>
      <c r="AL70" s="496">
        <v>0.78288268285467266</v>
      </c>
      <c r="AM70" s="499">
        <v>0.97226609752853443</v>
      </c>
    </row>
    <row r="71" spans="1:39" ht="12.75" customHeight="1" x14ac:dyDescent="0.3">
      <c r="A71" s="174"/>
      <c r="B71" s="174"/>
      <c r="C71" s="174"/>
      <c r="D71" s="15"/>
      <c r="E71" s="15"/>
      <c r="F71" s="505">
        <v>1.0377324328782445</v>
      </c>
      <c r="G71" s="496">
        <v>0.41401931132213032</v>
      </c>
      <c r="H71" s="496">
        <v>0.9328028904681781</v>
      </c>
      <c r="I71" s="496">
        <v>0.32898480761151799</v>
      </c>
      <c r="J71" s="496">
        <v>0.66008642186745525</v>
      </c>
      <c r="K71" s="496">
        <v>0.93971023171711821</v>
      </c>
      <c r="L71" s="496">
        <v>0.93571832260564547</v>
      </c>
      <c r="M71" s="496">
        <v>0.93288410783521913</v>
      </c>
      <c r="N71" s="496">
        <v>0.89768991027648981</v>
      </c>
      <c r="O71" s="496">
        <v>0.93288410783521891</v>
      </c>
      <c r="P71" s="496">
        <v>0.7050663872926809</v>
      </c>
      <c r="Q71" s="496">
        <v>0.94866639190996516</v>
      </c>
      <c r="R71" s="496">
        <v>0.87811117644584136</v>
      </c>
      <c r="S71" s="496">
        <v>0.95432257376421015</v>
      </c>
      <c r="T71" s="496">
        <v>0.9312102514129883</v>
      </c>
      <c r="U71" s="496">
        <v>0.83017052212628217</v>
      </c>
      <c r="V71" s="496">
        <v>0.95644135408731557</v>
      </c>
      <c r="W71" s="496">
        <v>0.91154388993218216</v>
      </c>
      <c r="X71" s="496">
        <v>0.95644135408731668</v>
      </c>
      <c r="Y71" s="496">
        <v>0.9317508957746049</v>
      </c>
      <c r="Z71" s="496">
        <v>0.95707443681477966</v>
      </c>
      <c r="AA71" s="496">
        <v>0.76070485770961838</v>
      </c>
      <c r="AB71" s="496">
        <v>0.55923789077306452</v>
      </c>
      <c r="AC71" s="496">
        <v>0.95400368163507043</v>
      </c>
      <c r="AD71" s="496">
        <v>0.96546409366405206</v>
      </c>
      <c r="AE71" s="496">
        <v>0.81486458975227405</v>
      </c>
      <c r="AF71" s="496">
        <v>0.3815216314119601</v>
      </c>
      <c r="AG71" s="496">
        <v>0.2366380071642506</v>
      </c>
      <c r="AH71" s="496">
        <v>0.59392601128404732</v>
      </c>
      <c r="AI71" s="496">
        <v>0.97353479642737872</v>
      </c>
      <c r="AJ71" s="496">
        <v>0.97442453857410893</v>
      </c>
      <c r="AK71" s="496">
        <v>0.94408317380339857</v>
      </c>
      <c r="AL71" s="496">
        <v>0.79396054304468311</v>
      </c>
      <c r="AM71" s="499">
        <v>0.97352633528596411</v>
      </c>
    </row>
    <row r="72" spans="1:39" ht="12.75" customHeight="1" x14ac:dyDescent="0.3">
      <c r="A72" s="174"/>
      <c r="B72" s="174"/>
      <c r="C72" s="174"/>
      <c r="D72" s="15"/>
      <c r="E72" s="15"/>
      <c r="F72" s="505">
        <v>1.0584870815358094</v>
      </c>
      <c r="G72" s="496">
        <v>0.28171092877484211</v>
      </c>
      <c r="H72" s="496">
        <v>0.87298998517789195</v>
      </c>
      <c r="I72" s="496">
        <v>0.12963747771891612</v>
      </c>
      <c r="J72" s="496">
        <v>0.32097181423413007</v>
      </c>
      <c r="K72" s="496">
        <v>0.88662674382417528</v>
      </c>
      <c r="L72" s="496">
        <v>0.90758075090204426</v>
      </c>
      <c r="M72" s="496">
        <v>0.87214946549754324</v>
      </c>
      <c r="N72" s="496">
        <v>0.84169608231498938</v>
      </c>
      <c r="O72" s="496">
        <v>0.87214946549754346</v>
      </c>
      <c r="P72" s="496">
        <v>0.47948934392676196</v>
      </c>
      <c r="Q72" s="496">
        <v>0.91639882870543876</v>
      </c>
      <c r="R72" s="496">
        <v>0.6633221925240691</v>
      </c>
      <c r="S72" s="496">
        <v>0.91893673765151418</v>
      </c>
      <c r="T72" s="496">
        <v>0.91946045429427081</v>
      </c>
      <c r="U72" s="496">
        <v>0.83673657680396651</v>
      </c>
      <c r="V72" s="496">
        <v>0.91807438994268353</v>
      </c>
      <c r="W72" s="496">
        <v>0.89091023008940873</v>
      </c>
      <c r="X72" s="496">
        <v>0.91807438994268431</v>
      </c>
      <c r="Y72" s="496">
        <v>0.81563844718887712</v>
      </c>
      <c r="Z72" s="496">
        <v>0.93742117223154697</v>
      </c>
      <c r="AA72" s="496">
        <v>0.76782750710485659</v>
      </c>
      <c r="AB72" s="496">
        <v>0.5717179044742795</v>
      </c>
      <c r="AC72" s="496">
        <v>0.94590185356075096</v>
      </c>
      <c r="AD72" s="496">
        <v>0.91599883165484541</v>
      </c>
      <c r="AE72" s="496">
        <v>0.81379929100564941</v>
      </c>
      <c r="AF72" s="496">
        <v>0.38990431058705644</v>
      </c>
      <c r="AG72" s="496">
        <v>0.2450135289744004</v>
      </c>
      <c r="AH72" s="496">
        <v>0.60235915826082298</v>
      </c>
      <c r="AI72" s="496">
        <v>0.93711340504927232</v>
      </c>
      <c r="AJ72" s="496">
        <v>0.96951169998281828</v>
      </c>
      <c r="AK72" s="496">
        <v>0.94704212529747944</v>
      </c>
      <c r="AL72" s="496">
        <v>0.80449988078400503</v>
      </c>
      <c r="AM72" s="499">
        <v>0.96984832583464342</v>
      </c>
    </row>
    <row r="73" spans="1:39" ht="12.75" customHeight="1" x14ac:dyDescent="0.3">
      <c r="A73" s="174"/>
      <c r="B73" s="174"/>
      <c r="C73" s="174"/>
      <c r="D73" s="15"/>
      <c r="E73" s="15"/>
      <c r="F73" s="505">
        <v>1.0792417301933741</v>
      </c>
      <c r="G73" s="496">
        <v>0.22432940338276061</v>
      </c>
      <c r="H73" s="496">
        <v>0.81034490966536865</v>
      </c>
      <c r="I73" s="496">
        <v>6.8796619941859052E-2</v>
      </c>
      <c r="J73" s="496">
        <v>0.15327182312741522</v>
      </c>
      <c r="K73" s="496">
        <v>0.82901105356564375</v>
      </c>
      <c r="L73" s="496">
        <v>0.86605187850679222</v>
      </c>
      <c r="M73" s="496">
        <v>0.80863448609703803</v>
      </c>
      <c r="N73" s="496">
        <v>0.78919368028209891</v>
      </c>
      <c r="O73" s="496">
        <v>0.80863448609703792</v>
      </c>
      <c r="P73" s="496">
        <v>0.3548465892508389</v>
      </c>
      <c r="Q73" s="496">
        <v>0.87202893616813437</v>
      </c>
      <c r="R73" s="496">
        <v>0.48972495519227399</v>
      </c>
      <c r="S73" s="496">
        <v>0.86991005116659681</v>
      </c>
      <c r="T73" s="496">
        <v>0.89408891416967584</v>
      </c>
      <c r="U73" s="496">
        <v>0.84026951935304184</v>
      </c>
      <c r="V73" s="496">
        <v>0.86626113355177636</v>
      </c>
      <c r="W73" s="496">
        <v>0.86091711000124438</v>
      </c>
      <c r="X73" s="496">
        <v>0.86626113355177714</v>
      </c>
      <c r="Y73" s="496">
        <v>0.69937803196829951</v>
      </c>
      <c r="Z73" s="496">
        <v>0.89801278168919829</v>
      </c>
      <c r="AA73" s="496">
        <v>0.7729738981180454</v>
      </c>
      <c r="AB73" s="496">
        <v>0.58381626533076714</v>
      </c>
      <c r="AC73" s="496">
        <v>0.92646657577467562</v>
      </c>
      <c r="AD73" s="496">
        <v>0.83363772121197977</v>
      </c>
      <c r="AE73" s="496">
        <v>0.80348996244066395</v>
      </c>
      <c r="AF73" s="496">
        <v>0.39801989156332274</v>
      </c>
      <c r="AG73" s="496">
        <v>0.2533827077941686</v>
      </c>
      <c r="AH73" s="496">
        <v>0.60895465872271215</v>
      </c>
      <c r="AI73" s="496">
        <v>0.87124987250547103</v>
      </c>
      <c r="AJ73" s="496">
        <v>0.95120219391817284</v>
      </c>
      <c r="AK73" s="496">
        <v>0.94814837154852916</v>
      </c>
      <c r="AL73" s="496">
        <v>0.81445694756788578</v>
      </c>
      <c r="AM73" s="499">
        <v>0.95488378864010437</v>
      </c>
    </row>
    <row r="74" spans="1:39" ht="12.75" customHeight="1" x14ac:dyDescent="0.3">
      <c r="A74" s="174"/>
      <c r="B74" s="174"/>
      <c r="C74" s="174"/>
      <c r="D74" s="15"/>
      <c r="E74" s="15"/>
      <c r="F74" s="505">
        <v>1.099996378850939</v>
      </c>
      <c r="G74" s="496">
        <v>0.19494723838167305</v>
      </c>
      <c r="H74" s="496">
        <v>0.74988038277263758</v>
      </c>
      <c r="I74" s="496">
        <v>4.8919588622210353E-2</v>
      </c>
      <c r="J74" s="496">
        <v>8.3634050396341711E-2</v>
      </c>
      <c r="K74" s="496">
        <v>0.77296065100368994</v>
      </c>
      <c r="L74" s="496">
        <v>0.82023833957834735</v>
      </c>
      <c r="M74" s="496">
        <v>0.74742234001483754</v>
      </c>
      <c r="N74" s="496">
        <v>0.73996575540953435</v>
      </c>
      <c r="O74" s="496">
        <v>0.74742234001483698</v>
      </c>
      <c r="P74" s="496">
        <v>0.28661794113314792</v>
      </c>
      <c r="Q74" s="496">
        <v>0.82341242129699765</v>
      </c>
      <c r="R74" s="496">
        <v>0.37791112100784313</v>
      </c>
      <c r="S74" s="496">
        <v>0.81660289026310451</v>
      </c>
      <c r="T74" s="496">
        <v>0.86028971639498197</v>
      </c>
      <c r="U74" s="496">
        <v>0.8404410312930074</v>
      </c>
      <c r="V74" s="496">
        <v>0.81027288367669859</v>
      </c>
      <c r="W74" s="496">
        <v>0.82699471880036801</v>
      </c>
      <c r="X74" s="496">
        <v>0.81027288367669947</v>
      </c>
      <c r="Y74" s="496">
        <v>0.60199175173811847</v>
      </c>
      <c r="Z74" s="496">
        <v>0.845761898064046</v>
      </c>
      <c r="AA74" s="496">
        <v>0.77538312693440015</v>
      </c>
      <c r="AB74" s="496">
        <v>0.59541039959236086</v>
      </c>
      <c r="AC74" s="496">
        <v>0.89809903669901159</v>
      </c>
      <c r="AD74" s="496">
        <v>0.74100606535625524</v>
      </c>
      <c r="AE74" s="496">
        <v>0.78266618837096813</v>
      </c>
      <c r="AF74" s="496">
        <v>0.40567611592425418</v>
      </c>
      <c r="AG74" s="496">
        <v>0.26172554404819615</v>
      </c>
      <c r="AH74" s="496">
        <v>0.61324564699835626</v>
      </c>
      <c r="AI74" s="496">
        <v>0.79099078971405168</v>
      </c>
      <c r="AJ74" s="496">
        <v>0.91725505937032414</v>
      </c>
      <c r="AK74" s="496">
        <v>0.94567999910734413</v>
      </c>
      <c r="AL74" s="496">
        <v>0.82368331366976955</v>
      </c>
      <c r="AM74" s="499">
        <v>0.92624520747964778</v>
      </c>
    </row>
    <row r="75" spans="1:39" ht="12.75" customHeight="1" x14ac:dyDescent="0.3">
      <c r="A75" s="174"/>
      <c r="B75" s="174"/>
      <c r="C75" s="174"/>
      <c r="D75" s="15"/>
      <c r="E75" s="15"/>
      <c r="F75" s="505">
        <v>1.120751027508504</v>
      </c>
      <c r="G75" s="496">
        <v>0.17648953727519387</v>
      </c>
      <c r="H75" s="496">
        <v>0.69317561976358533</v>
      </c>
      <c r="I75" s="496">
        <v>4.1243693155905342E-2</v>
      </c>
      <c r="J75" s="496">
        <v>5.6118421730602754E-2</v>
      </c>
      <c r="K75" s="496">
        <v>0.72007176407698881</v>
      </c>
      <c r="L75" s="496">
        <v>0.77446395415196567</v>
      </c>
      <c r="M75" s="496">
        <v>0.69010360642777924</v>
      </c>
      <c r="N75" s="496">
        <v>0.69380836322572681</v>
      </c>
      <c r="O75" s="496">
        <v>0.69010360642777879</v>
      </c>
      <c r="P75" s="496">
        <v>0.24614179645842724</v>
      </c>
      <c r="Q75" s="496">
        <v>0.77445940067226871</v>
      </c>
      <c r="R75" s="496">
        <v>0.30989396186548757</v>
      </c>
      <c r="S75" s="496">
        <v>0.76353798746501012</v>
      </c>
      <c r="T75" s="496">
        <v>0.82256418564643474</v>
      </c>
      <c r="U75" s="496">
        <v>0.83735292620581436</v>
      </c>
      <c r="V75" s="496">
        <v>0.75464806490550362</v>
      </c>
      <c r="W75" s="496">
        <v>0.79191212298961111</v>
      </c>
      <c r="X75" s="496">
        <v>0.75464806490550462</v>
      </c>
      <c r="Y75" s="496">
        <v>0.52337679632720557</v>
      </c>
      <c r="Z75" s="496">
        <v>0.78746176838060944</v>
      </c>
      <c r="AA75" s="496">
        <v>0.77472414428184055</v>
      </c>
      <c r="AB75" s="496">
        <v>0.6063523210977001</v>
      </c>
      <c r="AC75" s="496">
        <v>0.86370117220244902</v>
      </c>
      <c r="AD75" s="496">
        <v>0.65249924150562999</v>
      </c>
      <c r="AE75" s="496">
        <v>0.75300544567888383</v>
      </c>
      <c r="AF75" s="496">
        <v>0.41269166675433377</v>
      </c>
      <c r="AG75" s="496">
        <v>0.27001240478125232</v>
      </c>
      <c r="AH75" s="496">
        <v>0.61523474198516692</v>
      </c>
      <c r="AI75" s="496">
        <v>0.70841357447027375</v>
      </c>
      <c r="AJ75" s="496">
        <v>0.86997197026949646</v>
      </c>
      <c r="AK75" s="496">
        <v>0.93818418313661633</v>
      </c>
      <c r="AL75" s="496">
        <v>0.83192721432930172</v>
      </c>
      <c r="AM75" s="499">
        <v>0.8853170411511232</v>
      </c>
    </row>
    <row r="76" spans="1:39" ht="12.75" customHeight="1" x14ac:dyDescent="0.3">
      <c r="A76" s="174"/>
      <c r="B76" s="174"/>
      <c r="C76" s="174"/>
      <c r="D76" s="15"/>
      <c r="E76" s="15"/>
      <c r="F76" s="505">
        <v>1.1415056761660689</v>
      </c>
      <c r="G76" s="496">
        <v>0.16264989168503161</v>
      </c>
      <c r="H76" s="496">
        <v>0.64057655634808852</v>
      </c>
      <c r="I76" s="496">
        <v>3.7281074615824805E-2</v>
      </c>
      <c r="J76" s="496">
        <v>4.4758070174008631E-2</v>
      </c>
      <c r="K76" s="496">
        <v>0.67062768064287603</v>
      </c>
      <c r="L76" s="496">
        <v>0.73037662386499691</v>
      </c>
      <c r="M76" s="496">
        <v>0.63701578337506159</v>
      </c>
      <c r="N76" s="496">
        <v>0.6505300876100728</v>
      </c>
      <c r="O76" s="496">
        <v>0.63701578337506148</v>
      </c>
      <c r="P76" s="496">
        <v>0.21900766909698099</v>
      </c>
      <c r="Q76" s="496">
        <v>0.72691160455365256</v>
      </c>
      <c r="R76" s="496">
        <v>0.26717594060444705</v>
      </c>
      <c r="S76" s="496">
        <v>0.71257888117341428</v>
      </c>
      <c r="T76" s="496">
        <v>0.7836610974526842</v>
      </c>
      <c r="U76" s="496">
        <v>0.83128435334857287</v>
      </c>
      <c r="V76" s="496">
        <v>0.70133999171267025</v>
      </c>
      <c r="W76" s="496">
        <v>0.75696320465777889</v>
      </c>
      <c r="X76" s="496">
        <v>0.70133999171267114</v>
      </c>
      <c r="Y76" s="496">
        <v>0.45943288530709092</v>
      </c>
      <c r="Z76" s="496">
        <v>0.72779077546802939</v>
      </c>
      <c r="AA76" s="496">
        <v>0.77099198708294703</v>
      </c>
      <c r="AB76" s="496">
        <v>0.61649363163325954</v>
      </c>
      <c r="AC76" s="496">
        <v>0.82559361476286952</v>
      </c>
      <c r="AD76" s="496">
        <v>0.57390182036881121</v>
      </c>
      <c r="AE76" s="496">
        <v>0.71724925723462762</v>
      </c>
      <c r="AF76" s="496">
        <v>0.4189340791999126</v>
      </c>
      <c r="AG76" s="496">
        <v>0.27820643191171401</v>
      </c>
      <c r="AH76" s="496">
        <v>0.61515994750315073</v>
      </c>
      <c r="AI76" s="496">
        <v>0.63024228531510962</v>
      </c>
      <c r="AJ76" s="496">
        <v>0.81355993127031501</v>
      </c>
      <c r="AK76" s="496">
        <v>0.92485745980059397</v>
      </c>
      <c r="AL76" s="496">
        <v>0.83887528367961151</v>
      </c>
      <c r="AM76" s="499">
        <v>0.83528129850182409</v>
      </c>
    </row>
    <row r="77" spans="1:39" ht="12.75" customHeight="1" x14ac:dyDescent="0.3">
      <c r="A77" s="174"/>
      <c r="B77" s="174"/>
      <c r="C77" s="174"/>
      <c r="D77" s="15"/>
      <c r="E77" s="15"/>
      <c r="F77" s="505">
        <v>1.1622603248236336</v>
      </c>
      <c r="G77" s="496">
        <v>0.15105188598633848</v>
      </c>
      <c r="H77" s="496">
        <v>0.59199450047373081</v>
      </c>
      <c r="I77" s="496">
        <v>3.4521597095971655E-2</v>
      </c>
      <c r="J77" s="496">
        <v>3.9276588018425117E-2</v>
      </c>
      <c r="K77" s="496">
        <v>0.62453762456717765</v>
      </c>
      <c r="L77" s="496">
        <v>0.68849044655097824</v>
      </c>
      <c r="M77" s="496">
        <v>0.58805603271615248</v>
      </c>
      <c r="N77" s="496">
        <v>0.60995138127315796</v>
      </c>
      <c r="O77" s="496">
        <v>0.58805603271615214</v>
      </c>
      <c r="P77" s="496">
        <v>0.19856076890183932</v>
      </c>
      <c r="Q77" s="496">
        <v>0.68148056490736719</v>
      </c>
      <c r="R77" s="496">
        <v>0.2380100308065804</v>
      </c>
      <c r="S77" s="496">
        <v>0.66438804152098796</v>
      </c>
      <c r="T77" s="496">
        <v>0.74503106323307389</v>
      </c>
      <c r="U77" s="496">
        <v>0.82256881755271005</v>
      </c>
      <c r="V77" s="496">
        <v>0.6510827770191786</v>
      </c>
      <c r="W77" s="496">
        <v>0.72273497687266142</v>
      </c>
      <c r="X77" s="496">
        <v>0.65108277701917938</v>
      </c>
      <c r="Y77" s="496">
        <v>0.40645170773397149</v>
      </c>
      <c r="Z77" s="496">
        <v>0.66955177160788104</v>
      </c>
      <c r="AA77" s="496">
        <v>0.76437771992278192</v>
      </c>
      <c r="AB77" s="496">
        <v>0.62570126583610974</v>
      </c>
      <c r="AC77" s="496">
        <v>0.78544847082381197</v>
      </c>
      <c r="AD77" s="496">
        <v>0.50620831003191624</v>
      </c>
      <c r="AE77" s="496">
        <v>0.67804993929038349</v>
      </c>
      <c r="AF77" s="496">
        <v>0.42432680182779997</v>
      </c>
      <c r="AG77" s="496">
        <v>0.28626699760094004</v>
      </c>
      <c r="AH77" s="496">
        <v>0.61332764624347103</v>
      </c>
      <c r="AI77" s="496">
        <v>0.5593671383966764</v>
      </c>
      <c r="AJ77" s="496">
        <v>0.75229872229194206</v>
      </c>
      <c r="AK77" s="496">
        <v>0.90557321661980339</v>
      </c>
      <c r="AL77" s="496">
        <v>0.84420442332462242</v>
      </c>
      <c r="AM77" s="499">
        <v>0.77963737568931191</v>
      </c>
    </row>
    <row r="78" spans="1:39" ht="12.75" customHeight="1" x14ac:dyDescent="0.3">
      <c r="A78" s="174"/>
      <c r="B78" s="174"/>
      <c r="C78" s="174"/>
      <c r="D78" s="15"/>
      <c r="E78" s="15"/>
      <c r="F78" s="505">
        <v>1.1830149734811986</v>
      </c>
      <c r="G78" s="496">
        <v>0.14076452375297638</v>
      </c>
      <c r="H78" s="496">
        <v>0.54719673372648137</v>
      </c>
      <c r="I78" s="496">
        <v>3.2218079803676108E-2</v>
      </c>
      <c r="J78" s="496">
        <v>3.5915201733054854E-2</v>
      </c>
      <c r="K78" s="496">
        <v>0.581612651913057</v>
      </c>
      <c r="L78" s="496">
        <v>0.6488942530090398</v>
      </c>
      <c r="M78" s="496">
        <v>0.54297675698584336</v>
      </c>
      <c r="N78" s="496">
        <v>0.57190386943481741</v>
      </c>
      <c r="O78" s="496">
        <v>0.54297675698584302</v>
      </c>
      <c r="P78" s="496">
        <v>0.18180200057581264</v>
      </c>
      <c r="Q78" s="496">
        <v>0.63841605548216152</v>
      </c>
      <c r="R78" s="496">
        <v>0.21607416706215271</v>
      </c>
      <c r="S78" s="496">
        <v>0.61912758676164636</v>
      </c>
      <c r="T78" s="496">
        <v>0.70738042378351906</v>
      </c>
      <c r="U78" s="496">
        <v>0.81154220239340968</v>
      </c>
      <c r="V78" s="496">
        <v>0.60407144551991621</v>
      </c>
      <c r="W78" s="496">
        <v>0.68949284029787627</v>
      </c>
      <c r="X78" s="496">
        <v>0.60407144551991709</v>
      </c>
      <c r="Y78" s="496">
        <v>0.36178527973327007</v>
      </c>
      <c r="Z78" s="496">
        <v>0.61428007909724991</v>
      </c>
      <c r="AA78" s="496">
        <v>0.75517319145969297</v>
      </c>
      <c r="AB78" s="496">
        <v>0.6338653515044278</v>
      </c>
      <c r="AC78" s="496">
        <v>0.74444486054694414</v>
      </c>
      <c r="AD78" s="496">
        <v>0.44845466566098902</v>
      </c>
      <c r="AE78" s="496">
        <v>0.63752989526701453</v>
      </c>
      <c r="AF78" s="496">
        <v>0.42884123875847974</v>
      </c>
      <c r="AG78" s="496">
        <v>0.29415286936076079</v>
      </c>
      <c r="AH78" s="496">
        <v>0.61003300995255938</v>
      </c>
      <c r="AI78" s="496">
        <v>0.49653536657104413</v>
      </c>
      <c r="AJ78" s="496">
        <v>0.68971421521385634</v>
      </c>
      <c r="AK78" s="496">
        <v>0.88073618648380247</v>
      </c>
      <c r="AL78" s="496">
        <v>0.84762492370586318</v>
      </c>
      <c r="AM78" s="499">
        <v>0.72146171284842453</v>
      </c>
    </row>
    <row r="79" spans="1:39" ht="12.75" customHeight="1" x14ac:dyDescent="0.3">
      <c r="A79" s="174"/>
      <c r="B79" s="174"/>
      <c r="C79" s="174"/>
      <c r="D79" s="15"/>
      <c r="E79" s="15"/>
      <c r="F79" s="505">
        <v>1.2037696221387635</v>
      </c>
      <c r="G79" s="496">
        <v>0.13139672938881633</v>
      </c>
      <c r="H79" s="496">
        <v>0.50591233171082739</v>
      </c>
      <c r="I79" s="496">
        <v>3.014363093783945E-2</v>
      </c>
      <c r="J79" s="496">
        <v>3.3359146613479405E-2</v>
      </c>
      <c r="K79" s="496">
        <v>0.54164615855385367</v>
      </c>
      <c r="L79" s="496">
        <v>0.61153034681482454</v>
      </c>
      <c r="M79" s="496">
        <v>0.50149309455758684</v>
      </c>
      <c r="N79" s="496">
        <v>0.53622967026221635</v>
      </c>
      <c r="O79" s="496">
        <v>0.50149309455758662</v>
      </c>
      <c r="P79" s="496">
        <v>0.16735656820404551</v>
      </c>
      <c r="Q79" s="496">
        <v>0.5977652031785079</v>
      </c>
      <c r="R79" s="496">
        <v>0.19820749104015251</v>
      </c>
      <c r="S79" s="496">
        <v>0.57675987783333138</v>
      </c>
      <c r="T79" s="496">
        <v>0.67103331156434309</v>
      </c>
      <c r="U79" s="496">
        <v>0.79852274857787153</v>
      </c>
      <c r="V79" s="496">
        <v>0.56027103095808528</v>
      </c>
      <c r="W79" s="496">
        <v>0.65735666610784937</v>
      </c>
      <c r="X79" s="496">
        <v>0.56027103095808639</v>
      </c>
      <c r="Y79" s="496">
        <v>0.32362211410981001</v>
      </c>
      <c r="Z79" s="496">
        <v>0.56272923514087747</v>
      </c>
      <c r="AA79" s="496">
        <v>0.74371143483051905</v>
      </c>
      <c r="AB79" s="496">
        <v>0.640901946030485</v>
      </c>
      <c r="AC79" s="496">
        <v>0.70341795419940267</v>
      </c>
      <c r="AD79" s="496">
        <v>0.39915189218889957</v>
      </c>
      <c r="AE79" s="496">
        <v>0.59722155675457833</v>
      </c>
      <c r="AF79" s="496">
        <v>0.43248460818805995</v>
      </c>
      <c r="AG79" s="496">
        <v>0.30182459735212525</v>
      </c>
      <c r="AH79" s="496">
        <v>0.60553274749226216</v>
      </c>
      <c r="AI79" s="496">
        <v>0.4414597401604432</v>
      </c>
      <c r="AJ79" s="496">
        <v>0.6283732128789179</v>
      </c>
      <c r="AK79" s="496">
        <v>0.85109426487588347</v>
      </c>
      <c r="AL79" s="496">
        <v>0.84890845459967812</v>
      </c>
      <c r="AM79" s="499">
        <v>0.66315724694721301</v>
      </c>
    </row>
    <row r="80" spans="1:39" ht="12.75" customHeight="1" x14ac:dyDescent="0.3">
      <c r="A80" s="174"/>
      <c r="B80" s="174"/>
      <c r="C80" s="174"/>
      <c r="D80" s="15"/>
      <c r="E80" s="15"/>
      <c r="F80" s="505">
        <v>1.2245242707963282</v>
      </c>
      <c r="G80" s="496">
        <v>0.12276331249905184</v>
      </c>
      <c r="H80" s="496">
        <v>0.46787044341396583</v>
      </c>
      <c r="I80" s="496">
        <v>2.822531119444676E-2</v>
      </c>
      <c r="J80" s="496">
        <v>3.1159139520628789E-2</v>
      </c>
      <c r="K80" s="496">
        <v>0.50443682686343905</v>
      </c>
      <c r="L80" s="496">
        <v>0.57629571966106907</v>
      </c>
      <c r="M80" s="496">
        <v>0.46332168167407534</v>
      </c>
      <c r="N80" s="496">
        <v>0.50278074644818116</v>
      </c>
      <c r="O80" s="496">
        <v>0.46332168167407495</v>
      </c>
      <c r="P80" s="496">
        <v>0.15455689764618838</v>
      </c>
      <c r="Q80" s="496">
        <v>0.5594862636781146</v>
      </c>
      <c r="R80" s="496">
        <v>0.18286565520306089</v>
      </c>
      <c r="S80" s="496">
        <v>0.53717035518894185</v>
      </c>
      <c r="T80" s="496">
        <v>0.63612714715168295</v>
      </c>
      <c r="U80" s="496">
        <v>0.78380431135500961</v>
      </c>
      <c r="V80" s="496">
        <v>0.51955162250836551</v>
      </c>
      <c r="W80" s="496">
        <v>0.62637839379794447</v>
      </c>
      <c r="X80" s="496">
        <v>0.5195516225083664</v>
      </c>
      <c r="Y80" s="496">
        <v>0.29069432005310863</v>
      </c>
      <c r="Z80" s="496">
        <v>0.51518673479331256</v>
      </c>
      <c r="AA80" s="496">
        <v>0.7303318326117525</v>
      </c>
      <c r="AB80" s="496">
        <v>0.64675279452567669</v>
      </c>
      <c r="AC80" s="496">
        <v>0.66296352239652323</v>
      </c>
      <c r="AD80" s="496">
        <v>0.35686144373255957</v>
      </c>
      <c r="AE80" s="496">
        <v>0.55815405478075897</v>
      </c>
      <c r="AF80" s="496">
        <v>0.43528856142833333</v>
      </c>
      <c r="AG80" s="496">
        <v>0.30924609388958552</v>
      </c>
      <c r="AH80" s="496">
        <v>0.60004153703041962</v>
      </c>
      <c r="AI80" s="496">
        <v>0.39342691545451652</v>
      </c>
      <c r="AJ80" s="496">
        <v>0.56996667365845</v>
      </c>
      <c r="AK80" s="496">
        <v>0.81757078813824102</v>
      </c>
      <c r="AL80" s="496">
        <v>0.84790153287289749</v>
      </c>
      <c r="AM80" s="499">
        <v>0.60645105141667677</v>
      </c>
    </row>
    <row r="81" spans="1:39" ht="12.75" customHeight="1" x14ac:dyDescent="0.3">
      <c r="A81" s="174"/>
      <c r="B81" s="174"/>
      <c r="C81" s="174"/>
      <c r="D81" s="15"/>
      <c r="E81" s="15"/>
      <c r="F81" s="505">
        <v>1.2452789194538934</v>
      </c>
      <c r="G81" s="496">
        <v>0.11476196866442551</v>
      </c>
      <c r="H81" s="496">
        <v>0.43281364614022239</v>
      </c>
      <c r="I81" s="496">
        <v>2.6435934718051921E-2</v>
      </c>
      <c r="J81" s="496">
        <v>2.9161156874703227E-2</v>
      </c>
      <c r="K81" s="496">
        <v>0.4697946665976816</v>
      </c>
      <c r="L81" s="496">
        <v>0.5430769791323532</v>
      </c>
      <c r="M81" s="496">
        <v>0.42819406368886537</v>
      </c>
      <c r="N81" s="496">
        <v>0.4714182912858158</v>
      </c>
      <c r="O81" s="496">
        <v>0.42819406368886509</v>
      </c>
      <c r="P81" s="496">
        <v>0.14304489909811685</v>
      </c>
      <c r="Q81" s="496">
        <v>0.52349826287998547</v>
      </c>
      <c r="R81" s="496">
        <v>0.16927901146424579</v>
      </c>
      <c r="S81" s="496">
        <v>0.50021694968890429</v>
      </c>
      <c r="T81" s="496">
        <v>0.60270925024717925</v>
      </c>
      <c r="U81" s="496">
        <v>0.76765491359226601</v>
      </c>
      <c r="V81" s="496">
        <v>0.48174668878363514</v>
      </c>
      <c r="W81" s="496">
        <v>0.59657613670124243</v>
      </c>
      <c r="X81" s="496">
        <v>0.48174668878363608</v>
      </c>
      <c r="Y81" s="496">
        <v>0.26207444033280131</v>
      </c>
      <c r="Z81" s="496">
        <v>0.47166678936347206</v>
      </c>
      <c r="AA81" s="496">
        <v>0.7153606347761684</v>
      </c>
      <c r="AB81" s="496">
        <v>0.65138349005437746</v>
      </c>
      <c r="AC81" s="496">
        <v>0.62350642376357235</v>
      </c>
      <c r="AD81" s="496">
        <v>0.32036598781754544</v>
      </c>
      <c r="AE81" s="496">
        <v>0.52097190822130501</v>
      </c>
      <c r="AF81" s="496">
        <v>0.43730012055948247</v>
      </c>
      <c r="AG81" s="496">
        <v>0.31638554714974321</v>
      </c>
      <c r="AH81" s="496">
        <v>0.59373682070271239</v>
      </c>
      <c r="AI81" s="496">
        <v>0.35160029311882085</v>
      </c>
      <c r="AJ81" s="496">
        <v>0.51548932158935634</v>
      </c>
      <c r="AK81" s="496">
        <v>0.78113807672153668</v>
      </c>
      <c r="AL81" s="496">
        <v>0.84452779498635566</v>
      </c>
      <c r="AM81" s="499">
        <v>0.55249215928279383</v>
      </c>
    </row>
    <row r="82" spans="1:39" ht="12.75" customHeight="1" x14ac:dyDescent="0.3">
      <c r="A82" s="174"/>
      <c r="B82" s="174"/>
      <c r="C82" s="174"/>
      <c r="D82" s="15"/>
      <c r="E82" s="15"/>
      <c r="F82" s="505">
        <v>1.2660335681114581</v>
      </c>
      <c r="G82" s="496">
        <v>0.10732498928872283</v>
      </c>
      <c r="H82" s="496">
        <v>0.40050208270816562</v>
      </c>
      <c r="I82" s="496">
        <v>2.4762205048847789E-2</v>
      </c>
      <c r="J82" s="496">
        <v>2.7309771986480318E-2</v>
      </c>
      <c r="K82" s="496">
        <v>0.4375421175245085</v>
      </c>
      <c r="L82" s="496">
        <v>0.51176183063325553</v>
      </c>
      <c r="M82" s="496">
        <v>0.39586074427364948</v>
      </c>
      <c r="N82" s="496">
        <v>0.44201215772026492</v>
      </c>
      <c r="O82" s="496">
        <v>0.3958607442736492</v>
      </c>
      <c r="P82" s="496">
        <v>0.13260309856190944</v>
      </c>
      <c r="Q82" s="496">
        <v>0.48970297045620509</v>
      </c>
      <c r="R82" s="496">
        <v>0.15703925144437203</v>
      </c>
      <c r="S82" s="496">
        <v>0.46574999959735036</v>
      </c>
      <c r="T82" s="496">
        <v>0.57078254376102733</v>
      </c>
      <c r="U82" s="496">
        <v>0.75031733456392902</v>
      </c>
      <c r="V82" s="496">
        <v>0.44667836038485514</v>
      </c>
      <c r="W82" s="496">
        <v>0.56794951576582031</v>
      </c>
      <c r="X82" s="496">
        <v>0.44667836038485614</v>
      </c>
      <c r="Y82" s="496">
        <v>0.23705409417568479</v>
      </c>
      <c r="Z82" s="496">
        <v>0.43202653829769361</v>
      </c>
      <c r="AA82" s="496">
        <v>0.69910065495596352</v>
      </c>
      <c r="AB82" s="496">
        <v>0.65478088294157077</v>
      </c>
      <c r="AC82" s="496">
        <v>0.58534578906118528</v>
      </c>
      <c r="AD82" s="496">
        <v>0.28868183685169158</v>
      </c>
      <c r="AE82" s="496">
        <v>0.48604175272594918</v>
      </c>
      <c r="AF82" s="496">
        <v>0.43857501827496093</v>
      </c>
      <c r="AG82" s="496">
        <v>0.32321584677993742</v>
      </c>
      <c r="AH82" s="496">
        <v>0.58676533059829172</v>
      </c>
      <c r="AI82" s="496">
        <v>0.31515888077535065</v>
      </c>
      <c r="AJ82" s="496">
        <v>0.46542529961835793</v>
      </c>
      <c r="AK82" s="496">
        <v>0.74273247259492081</v>
      </c>
      <c r="AL82" s="496">
        <v>0.83878286760561527</v>
      </c>
      <c r="AM82" s="499">
        <v>0.50197437602389383</v>
      </c>
    </row>
    <row r="83" spans="1:39" ht="12.75" customHeight="1" x14ac:dyDescent="0.3">
      <c r="A83" s="174"/>
      <c r="B83" s="174"/>
      <c r="C83" s="174"/>
      <c r="D83" s="15"/>
      <c r="E83" s="15"/>
      <c r="F83" s="505">
        <v>1.286788216769023</v>
      </c>
      <c r="G83" s="496">
        <v>0.10040106830159481</v>
      </c>
      <c r="H83" s="496">
        <v>0.37071414915772494</v>
      </c>
      <c r="I83" s="496">
        <v>2.3195257277597615E-2</v>
      </c>
      <c r="J83" s="496">
        <v>2.5582002064687987E-2</v>
      </c>
      <c r="K83" s="496">
        <v>0.40751376390526589</v>
      </c>
      <c r="L83" s="496">
        <v>0.48224263330838607</v>
      </c>
      <c r="M83" s="496">
        <v>0.36609174200033545</v>
      </c>
      <c r="N83" s="496">
        <v>0.41444033568617439</v>
      </c>
      <c r="O83" s="496">
        <v>0.36609174200033506</v>
      </c>
      <c r="P83" s="496">
        <v>0.12308215753732427</v>
      </c>
      <c r="Q83" s="496">
        <v>0.45799509250576886</v>
      </c>
      <c r="R83" s="496">
        <v>0.14590670692873906</v>
      </c>
      <c r="S83" s="496">
        <v>0.43362051355052667</v>
      </c>
      <c r="T83" s="496">
        <v>0.54032706007060927</v>
      </c>
      <c r="U83" s="496">
        <v>0.73201044123011993</v>
      </c>
      <c r="V83" s="496">
        <v>0.41416868434029303</v>
      </c>
      <c r="W83" s="496">
        <v>0.5404869967669208</v>
      </c>
      <c r="X83" s="496">
        <v>0.41416868434029391</v>
      </c>
      <c r="Y83" s="496">
        <v>0.21507355163658595</v>
      </c>
      <c r="Z83" s="496">
        <v>0.39603710757360833</v>
      </c>
      <c r="AA83" s="496">
        <v>0.68182638727138922</v>
      </c>
      <c r="AB83" s="496">
        <v>0.65695018976487174</v>
      </c>
      <c r="AC83" s="496">
        <v>0.54868619196109425</v>
      </c>
      <c r="AD83" s="496">
        <v>0.26102308342623309</v>
      </c>
      <c r="AE83" s="496">
        <v>0.45353643207836086</v>
      </c>
      <c r="AF83" s="496">
        <v>0.43917299287327205</v>
      </c>
      <c r="AG83" s="496">
        <v>0.32971467169219337</v>
      </c>
      <c r="AH83" s="496">
        <v>0.57924904530905508</v>
      </c>
      <c r="AI83" s="496">
        <v>0.28335437488554355</v>
      </c>
      <c r="AJ83" s="496">
        <v>0.41990669299923428</v>
      </c>
      <c r="AK83" s="496">
        <v>0.70320318096813805</v>
      </c>
      <c r="AL83" s="496">
        <v>0.83072488845391557</v>
      </c>
      <c r="AM83" s="499">
        <v>0.45525218410120155</v>
      </c>
    </row>
    <row r="84" spans="1:39" ht="12.75" customHeight="1" x14ac:dyDescent="0.3">
      <c r="A84" s="174"/>
      <c r="B84" s="174"/>
      <c r="C84" s="174"/>
      <c r="D84" s="15"/>
      <c r="E84" s="15"/>
      <c r="F84" s="505">
        <v>1.3075428654265879</v>
      </c>
      <c r="G84" s="496">
        <v>9.3947818558337379E-2</v>
      </c>
      <c r="H84" s="496">
        <v>0.34324573589703994</v>
      </c>
      <c r="I84" s="496">
        <v>2.1727851729388827E-2</v>
      </c>
      <c r="J84" s="496">
        <v>2.3965651753866498E-2</v>
      </c>
      <c r="K84" s="496">
        <v>0.3795555514551906</v>
      </c>
      <c r="L84" s="496">
        <v>0.45441723756230168</v>
      </c>
      <c r="M84" s="496">
        <v>0.33867568790225883</v>
      </c>
      <c r="N84" s="496">
        <v>0.38858837181104738</v>
      </c>
      <c r="O84" s="496">
        <v>0.33867568790225844</v>
      </c>
      <c r="P84" s="496">
        <v>0.11436922866165497</v>
      </c>
      <c r="Q84" s="496">
        <v>0.42826720691954279</v>
      </c>
      <c r="R84" s="496">
        <v>0.13572322828317701</v>
      </c>
      <c r="S84" s="496">
        <v>0.40368359356674105</v>
      </c>
      <c r="T84" s="496">
        <v>0.5113102143902285</v>
      </c>
      <c r="U84" s="496">
        <v>0.71293094294677017</v>
      </c>
      <c r="V84" s="496">
        <v>0.38404461511350119</v>
      </c>
      <c r="W84" s="496">
        <v>0.51416970442749554</v>
      </c>
      <c r="X84" s="496">
        <v>0.38404461511350202</v>
      </c>
      <c r="Y84" s="496">
        <v>0.19567956149689894</v>
      </c>
      <c r="Z84" s="496">
        <v>0.36342723837600516</v>
      </c>
      <c r="AA84" s="496">
        <v>0.66378261647346715</v>
      </c>
      <c r="AB84" s="496">
        <v>0.65791208567132642</v>
      </c>
      <c r="AC84" s="496">
        <v>0.51366023965950769</v>
      </c>
      <c r="AD84" s="496">
        <v>0.23675878512555507</v>
      </c>
      <c r="AE84" s="496">
        <v>0.42349727001418958</v>
      </c>
      <c r="AF84" s="496">
        <v>0.43915463229585899</v>
      </c>
      <c r="AG84" s="496">
        <v>0.33586433368828622</v>
      </c>
      <c r="AH84" s="496">
        <v>0.57129010769237643</v>
      </c>
      <c r="AI84" s="496">
        <v>0.25552829031839275</v>
      </c>
      <c r="AJ84" s="496">
        <v>0.37883641112330357</v>
      </c>
      <c r="AK84" s="496">
        <v>0.66328711474758173</v>
      </c>
      <c r="AL84" s="496">
        <v>0.82046307979807376</v>
      </c>
      <c r="AM84" s="499">
        <v>0.41243813355926467</v>
      </c>
    </row>
    <row r="85" spans="1:39" ht="12.75" customHeight="1" x14ac:dyDescent="0.3">
      <c r="A85" s="174"/>
      <c r="B85" s="174"/>
      <c r="C85" s="174"/>
      <c r="D85" s="15"/>
      <c r="E85" s="15"/>
      <c r="F85" s="505">
        <v>1.3282975140841526</v>
      </c>
      <c r="G85" s="496">
        <v>8.7928538412250942E-2</v>
      </c>
      <c r="H85" s="496">
        <v>0.31790929155533854</v>
      </c>
      <c r="I85" s="496">
        <v>2.0353525831390201E-2</v>
      </c>
      <c r="J85" s="496">
        <v>2.2452275298592991E-2</v>
      </c>
      <c r="K85" s="496">
        <v>0.3535241293511755</v>
      </c>
      <c r="L85" s="496">
        <v>0.42818910638228164</v>
      </c>
      <c r="M85" s="496">
        <v>0.31341876411610747</v>
      </c>
      <c r="N85" s="496">
        <v>0.3643489609096292</v>
      </c>
      <c r="O85" s="496">
        <v>0.31341876411610697</v>
      </c>
      <c r="P85" s="496">
        <v>0.10637360023437276</v>
      </c>
      <c r="Q85" s="496">
        <v>0.40041247348817427</v>
      </c>
      <c r="R85" s="496">
        <v>0.12637310995840154</v>
      </c>
      <c r="S85" s="496">
        <v>0.3758000721354024</v>
      </c>
      <c r="T85" s="496">
        <v>0.48369201143402801</v>
      </c>
      <c r="U85" s="496">
        <v>0.69325492305581604</v>
      </c>
      <c r="V85" s="496">
        <v>0.35614048081139987</v>
      </c>
      <c r="W85" s="496">
        <v>0.48897364574042801</v>
      </c>
      <c r="X85" s="496">
        <v>0.35614048081140059</v>
      </c>
      <c r="Y85" s="496">
        <v>0.17849949183495345</v>
      </c>
      <c r="Z85" s="496">
        <v>0.33391049838643772</v>
      </c>
      <c r="AA85" s="496">
        <v>0.64518461081383982</v>
      </c>
      <c r="AB85" s="496">
        <v>0.65769997200569486</v>
      </c>
      <c r="AC85" s="496">
        <v>0.48034514120569582</v>
      </c>
      <c r="AD85" s="496">
        <v>0.21537781842993878</v>
      </c>
      <c r="AE85" s="496">
        <v>0.39587839507317923</v>
      </c>
      <c r="AF85" s="496">
        <v>0.43857924508611773</v>
      </c>
      <c r="AG85" s="496">
        <v>0.34165151503515395</v>
      </c>
      <c r="AH85" s="496">
        <v>0.56297450942873895</v>
      </c>
      <c r="AI85" s="496">
        <v>0.23111238718363997</v>
      </c>
      <c r="AJ85" s="496">
        <v>0.34197754930013252</v>
      </c>
      <c r="AK85" s="496">
        <v>0.62359984418969183</v>
      </c>
      <c r="AL85" s="496">
        <v>0.80814604294277759</v>
      </c>
      <c r="AM85" s="499">
        <v>0.3734786946776058</v>
      </c>
    </row>
    <row r="86" spans="1:39" ht="12.75" customHeight="1" x14ac:dyDescent="0.3">
      <c r="A86" s="174"/>
      <c r="B86" s="174"/>
      <c r="C86" s="174"/>
      <c r="D86" s="15"/>
      <c r="E86" s="15"/>
      <c r="F86" s="505">
        <v>1.3490521627417178</v>
      </c>
      <c r="G86" s="496">
        <v>8.2310526120787653E-2</v>
      </c>
      <c r="H86" s="496">
        <v>0.29453282785920654</v>
      </c>
      <c r="I86" s="496">
        <v>1.9066329071949484E-2</v>
      </c>
      <c r="J86" s="496">
        <v>2.1034905735693457E-2</v>
      </c>
      <c r="K86" s="496">
        <v>0.32928626279047918</v>
      </c>
      <c r="L86" s="496">
        <v>0.4034672187000648</v>
      </c>
      <c r="M86" s="496">
        <v>0.29014359537197809</v>
      </c>
      <c r="N86" s="496">
        <v>0.34162160937051933</v>
      </c>
      <c r="O86" s="496">
        <v>0.2901435953719777</v>
      </c>
      <c r="P86" s="496">
        <v>9.9019644474392529E-2</v>
      </c>
      <c r="Q86" s="496">
        <v>0.37432628813979046</v>
      </c>
      <c r="R86" s="496">
        <v>0.11776506206550075</v>
      </c>
      <c r="S86" s="496">
        <v>0.34983736285514155</v>
      </c>
      <c r="T86" s="496">
        <v>0.45742797349919956</v>
      </c>
      <c r="U86" s="496">
        <v>0.67313929390780824</v>
      </c>
      <c r="V86" s="496">
        <v>0.33029925365235463</v>
      </c>
      <c r="W86" s="496">
        <v>0.46487119302200158</v>
      </c>
      <c r="X86" s="496">
        <v>0.33029925365235524</v>
      </c>
      <c r="Y86" s="496">
        <v>0.16322398775155803</v>
      </c>
      <c r="Z86" s="496">
        <v>0.30720244004562519</v>
      </c>
      <c r="AA86" s="496">
        <v>0.62621938111345665</v>
      </c>
      <c r="AB86" s="496">
        <v>0.65635739995340292</v>
      </c>
      <c r="AC86" s="496">
        <v>0.44877557991573019</v>
      </c>
      <c r="AD86" s="496">
        <v>0.19646190888893636</v>
      </c>
      <c r="AE86" s="496">
        <v>0.37057858053565196</v>
      </c>
      <c r="AF86" s="496">
        <v>0.43750345724342915</v>
      </c>
      <c r="AG86" s="496">
        <v>0.34706692140146123</v>
      </c>
      <c r="AH86" s="496">
        <v>0.55437494158860035</v>
      </c>
      <c r="AI86" s="496">
        <v>0.20962179307929563</v>
      </c>
      <c r="AJ86" s="496">
        <v>0.30901711713253061</v>
      </c>
      <c r="AK86" s="496">
        <v>0.58463747438762381</v>
      </c>
      <c r="AL86" s="496">
        <v>0.7939504264171976</v>
      </c>
      <c r="AM86" s="499">
        <v>0.33821252404656671</v>
      </c>
    </row>
    <row r="87" spans="1:39" ht="12.75" customHeight="1" x14ac:dyDescent="0.3">
      <c r="A87" s="174"/>
      <c r="B87" s="174"/>
      <c r="C87" s="174"/>
      <c r="D87" s="15"/>
      <c r="E87" s="15"/>
      <c r="F87" s="505">
        <v>1.3698068113992825</v>
      </c>
      <c r="G87" s="496">
        <v>7.7064425523961824E-2</v>
      </c>
      <c r="H87" s="496">
        <v>0.27295820018047157</v>
      </c>
      <c r="I87" s="496">
        <v>1.7860707650378532E-2</v>
      </c>
      <c r="J87" s="496">
        <v>1.9707302595782957E-2</v>
      </c>
      <c r="K87" s="496">
        <v>0.30671773506634836</v>
      </c>
      <c r="L87" s="496">
        <v>0.38016552871303011</v>
      </c>
      <c r="M87" s="496">
        <v>0.26868740473505137</v>
      </c>
      <c r="N87" s="496">
        <v>0.32031191273952081</v>
      </c>
      <c r="O87" s="496">
        <v>0.26868740473505104</v>
      </c>
      <c r="P87" s="496">
        <v>9.2242620481263485E-2</v>
      </c>
      <c r="Q87" s="496">
        <v>0.34990691453124068</v>
      </c>
      <c r="R87" s="496">
        <v>0.10982327969751488</v>
      </c>
      <c r="S87" s="496">
        <v>0.32566935423932492</v>
      </c>
      <c r="T87" s="496">
        <v>0.43247076162211906</v>
      </c>
      <c r="U87" s="496">
        <v>0.65272385410152811</v>
      </c>
      <c r="V87" s="496">
        <v>0.30637252015498057</v>
      </c>
      <c r="W87" s="496">
        <v>0.44183204335828818</v>
      </c>
      <c r="X87" s="496">
        <v>0.30637252015498118</v>
      </c>
      <c r="Y87" s="496">
        <v>0.14959338759667479</v>
      </c>
      <c r="Z87" s="496">
        <v>0.28302981021828094</v>
      </c>
      <c r="AA87" s="496">
        <v>0.60704837154260027</v>
      </c>
      <c r="AB87" s="496">
        <v>0.65393590467450413</v>
      </c>
      <c r="AC87" s="496">
        <v>0.4189539677337395</v>
      </c>
      <c r="AD87" s="496">
        <v>0.17966401122131989</v>
      </c>
      <c r="AE87" s="496">
        <v>0.34746324992222188</v>
      </c>
      <c r="AF87" s="496">
        <v>0.4359805907454099</v>
      </c>
      <c r="AG87" s="496">
        <v>0.35210484674351739</v>
      </c>
      <c r="AH87" s="496">
        <v>0.54555331905851989</v>
      </c>
      <c r="AI87" s="496">
        <v>0.19064349219833251</v>
      </c>
      <c r="AJ87" s="496">
        <v>0.2796080062604584</v>
      </c>
      <c r="AK87" s="496">
        <v>0.54678741180103785</v>
      </c>
      <c r="AL87" s="496">
        <v>0.77807143906147125</v>
      </c>
      <c r="AM87" s="499">
        <v>0.30641276895986591</v>
      </c>
    </row>
    <row r="88" spans="1:39" ht="12.75" customHeight="1" x14ac:dyDescent="0.3">
      <c r="A88" s="174"/>
      <c r="B88" s="174"/>
      <c r="C88" s="174"/>
      <c r="D88" s="15"/>
      <c r="E88" s="15"/>
      <c r="F88" s="505">
        <v>1.3905614600568472</v>
      </c>
      <c r="G88" s="496">
        <v>7.2163303589605224E-2</v>
      </c>
      <c r="H88" s="496">
        <v>0.25304050587388838</v>
      </c>
      <c r="I88" s="496">
        <v>1.6731476351588115E-2</v>
      </c>
      <c r="J88" s="496">
        <v>1.8463723609601343E-2</v>
      </c>
      <c r="K88" s="496">
        <v>0.28570309560620238</v>
      </c>
      <c r="L88" s="496">
        <v>0.35820295144696007</v>
      </c>
      <c r="M88" s="496">
        <v>0.24890133474468756</v>
      </c>
      <c r="N88" s="496">
        <v>0.30033145702693764</v>
      </c>
      <c r="O88" s="496">
        <v>0.24890133474468723</v>
      </c>
      <c r="P88" s="496">
        <v>8.5986649141520322E-2</v>
      </c>
      <c r="Q88" s="496">
        <v>0.32705636031093144</v>
      </c>
      <c r="R88" s="496">
        <v>0.10248322599648864</v>
      </c>
      <c r="S88" s="496">
        <v>0.30317686073484484</v>
      </c>
      <c r="T88" s="496">
        <v>0.40877143599784743</v>
      </c>
      <c r="U88" s="496">
        <v>0.63213226185135651</v>
      </c>
      <c r="V88" s="496">
        <v>0.28422102363688712</v>
      </c>
      <c r="W88" s="496">
        <v>0.41982405111956667</v>
      </c>
      <c r="X88" s="496">
        <v>0.28422102363688767</v>
      </c>
      <c r="Y88" s="496">
        <v>0.13738937007793611</v>
      </c>
      <c r="Z88" s="496">
        <v>0.26113705959806127</v>
      </c>
      <c r="AA88" s="496">
        <v>0.58780919213007088</v>
      </c>
      <c r="AB88" s="496">
        <v>0.65049294400421298</v>
      </c>
      <c r="AC88" s="496">
        <v>0.39085811784206881</v>
      </c>
      <c r="AD88" s="496">
        <v>0.16469484773136839</v>
      </c>
      <c r="AE88" s="496">
        <v>0.32638004975773982</v>
      </c>
      <c r="AF88" s="496">
        <v>0.43406007947309927</v>
      </c>
      <c r="AG88" s="496">
        <v>0.35676280889219464</v>
      </c>
      <c r="AH88" s="496">
        <v>0.53656234639007294</v>
      </c>
      <c r="AI88" s="496">
        <v>0.17382786412126308</v>
      </c>
      <c r="AJ88" s="496">
        <v>0.25339756157264137</v>
      </c>
      <c r="AK88" s="496">
        <v>0.51033881668591186</v>
      </c>
      <c r="AL88" s="496">
        <v>0.76071399778401538</v>
      </c>
      <c r="AM88" s="499">
        <v>0.27781767571446531</v>
      </c>
    </row>
    <row r="89" spans="1:39" ht="12.75" customHeight="1" x14ac:dyDescent="0.3">
      <c r="A89" s="174"/>
      <c r="B89" s="174"/>
      <c r="C89" s="174"/>
      <c r="D89" s="15"/>
      <c r="E89" s="15"/>
      <c r="F89" s="505">
        <v>1.4113161087144124</v>
      </c>
      <c r="G89" s="496">
        <v>6.7582864782433846E-2</v>
      </c>
      <c r="H89" s="496">
        <v>0.23464690961717963</v>
      </c>
      <c r="I89" s="496">
        <v>1.5673786752155167E-2</v>
      </c>
      <c r="J89" s="496">
        <v>1.7298825577243916E-2</v>
      </c>
      <c r="K89" s="496">
        <v>0.26613499399995183</v>
      </c>
      <c r="L89" s="496">
        <v>0.33750306017269766</v>
      </c>
      <c r="M89" s="496">
        <v>0.23064918194710096</v>
      </c>
      <c r="N89" s="496">
        <v>0.28159740942792189</v>
      </c>
      <c r="O89" s="496">
        <v>0.23064918194710074</v>
      </c>
      <c r="P89" s="496">
        <v>8.0202892127459013E-2</v>
      </c>
      <c r="Q89" s="496">
        <v>0.30568072916012456</v>
      </c>
      <c r="R89" s="496">
        <v>9.5688965244306756E-2</v>
      </c>
      <c r="S89" s="496">
        <v>0.2822475230414247</v>
      </c>
      <c r="T89" s="496">
        <v>0.38628030956875714</v>
      </c>
      <c r="U89" s="496">
        <v>0.61147355809489512</v>
      </c>
      <c r="V89" s="496">
        <v>0.2637144839665449</v>
      </c>
      <c r="W89" s="496">
        <v>0.39881386090659038</v>
      </c>
      <c r="X89" s="496">
        <v>0.2637144839665454</v>
      </c>
      <c r="Y89" s="496">
        <v>0.12642730475027164</v>
      </c>
      <c r="Z89" s="496">
        <v>0.24128904784753644</v>
      </c>
      <c r="AA89" s="496">
        <v>0.5686182652840448</v>
      </c>
      <c r="AB89" s="496">
        <v>0.64609010299380976</v>
      </c>
      <c r="AC89" s="496">
        <v>0.36444777668818895</v>
      </c>
      <c r="AD89" s="496">
        <v>0.15131123118339182</v>
      </c>
      <c r="AE89" s="496">
        <v>0.30716971092698869</v>
      </c>
      <c r="AF89" s="496">
        <v>0.43178733888090032</v>
      </c>
      <c r="AG89" s="496">
        <v>0.36104111584029464</v>
      </c>
      <c r="AH89" s="496">
        <v>0.52744705679917436</v>
      </c>
      <c r="AI89" s="496">
        <v>0.15887875931657683</v>
      </c>
      <c r="AJ89" s="496">
        <v>0.2300450295058358</v>
      </c>
      <c r="AK89" s="496">
        <v>0.47549711115469984</v>
      </c>
      <c r="AL89" s="496">
        <v>0.74208560920002997</v>
      </c>
      <c r="AM89" s="499">
        <v>0.25215224856545876</v>
      </c>
    </row>
    <row r="90" spans="1:39" ht="12.75" customHeight="1" x14ac:dyDescent="0.3">
      <c r="A90" s="174"/>
      <c r="B90" s="174"/>
      <c r="C90" s="174"/>
      <c r="D90" s="15"/>
      <c r="E90" s="15"/>
      <c r="F90" s="505">
        <v>1.4320707573719773</v>
      </c>
      <c r="G90" s="496">
        <v>6.3300619809918232E-2</v>
      </c>
      <c r="H90" s="496">
        <v>0.21765529268074033</v>
      </c>
      <c r="I90" s="496">
        <v>1.4683089773779899E-2</v>
      </c>
      <c r="J90" s="496">
        <v>1.6207604060937571E-2</v>
      </c>
      <c r="K90" s="496">
        <v>0.24791330572387862</v>
      </c>
      <c r="L90" s="496">
        <v>0.31799359595693405</v>
      </c>
      <c r="M90" s="496">
        <v>0.21380596437415358</v>
      </c>
      <c r="N90" s="496">
        <v>0.26403192555774185</v>
      </c>
      <c r="O90" s="496">
        <v>0.21380596437415339</v>
      </c>
      <c r="P90" s="496">
        <v>7.4848356336224553E-2</v>
      </c>
      <c r="Q90" s="496">
        <v>0.28569013357989315</v>
      </c>
      <c r="R90" s="496">
        <v>8.9391350472491388E-2</v>
      </c>
      <c r="S90" s="496">
        <v>0.26277532566867884</v>
      </c>
      <c r="T90" s="496">
        <v>0.36494738130522358</v>
      </c>
      <c r="U90" s="496">
        <v>0.59084372670322727</v>
      </c>
      <c r="V90" s="496">
        <v>0.24473095974418055</v>
      </c>
      <c r="W90" s="496">
        <v>0.3787672595197879</v>
      </c>
      <c r="X90" s="496">
        <v>0.24473095974418102</v>
      </c>
      <c r="Y90" s="496">
        <v>0.11655008329322245</v>
      </c>
      <c r="Z90" s="496">
        <v>0.22327134852762384</v>
      </c>
      <c r="AA90" s="496">
        <v>0.54957344479800363</v>
      </c>
      <c r="AB90" s="496">
        <v>0.64079187607129739</v>
      </c>
      <c r="AC90" s="496">
        <v>0.33966930708765636</v>
      </c>
      <c r="AD90" s="496">
        <v>0.13930708751770696</v>
      </c>
      <c r="AE90" s="496">
        <v>0.28967263563892709</v>
      </c>
      <c r="AF90" s="496">
        <v>0.4292039086640469</v>
      </c>
      <c r="AG90" s="496">
        <v>0.36494250773744813</v>
      </c>
      <c r="AH90" s="496">
        <v>0.5182460952301795</v>
      </c>
      <c r="AI90" s="496">
        <v>0.14554462254143</v>
      </c>
      <c r="AJ90" s="496">
        <v>0.20923045875554963</v>
      </c>
      <c r="AK90" s="496">
        <v>0.4423975141168055</v>
      </c>
      <c r="AL90" s="496">
        <v>0.72239157847648527</v>
      </c>
      <c r="AM90" s="499">
        <v>0.22914151836789839</v>
      </c>
    </row>
    <row r="91" spans="1:39" ht="12.75" customHeight="1" x14ac:dyDescent="0.3">
      <c r="A91" s="174"/>
      <c r="B91" s="174"/>
      <c r="C91" s="174"/>
      <c r="D91" s="15"/>
      <c r="E91" s="15"/>
      <c r="F91" s="505">
        <v>1.452825406029542</v>
      </c>
      <c r="G91" s="496">
        <v>5.9295882421121243E-2</v>
      </c>
      <c r="H91" s="496">
        <v>0.20195383131873268</v>
      </c>
      <c r="I91" s="496">
        <v>1.3755133736384919E-2</v>
      </c>
      <c r="J91" s="496">
        <v>1.5185384842068233E-2</v>
      </c>
      <c r="K91" s="496">
        <v>0.2309450176348094</v>
      </c>
      <c r="L91" s="496">
        <v>0.2996065181166318</v>
      </c>
      <c r="M91" s="496">
        <v>0.19825744508442539</v>
      </c>
      <c r="N91" s="496">
        <v>0.24756214289627806</v>
      </c>
      <c r="O91" s="496">
        <v>0.19825744508442528</v>
      </c>
      <c r="P91" s="496">
        <v>6.9885118994305453E-2</v>
      </c>
      <c r="Q91" s="496">
        <v>0.26699916801667106</v>
      </c>
      <c r="R91" s="496">
        <v>8.354704931906469E-2</v>
      </c>
      <c r="S91" s="496">
        <v>0.24466083590234955</v>
      </c>
      <c r="T91" s="496">
        <v>0.34472301438036895</v>
      </c>
      <c r="U91" s="496">
        <v>0.57032651637426224</v>
      </c>
      <c r="V91" s="496">
        <v>0.22715701699607174</v>
      </c>
      <c r="W91" s="496">
        <v>0.35964970596629475</v>
      </c>
      <c r="X91" s="496">
        <v>0.2271570169960721</v>
      </c>
      <c r="Y91" s="496">
        <v>0.10762407029486236</v>
      </c>
      <c r="Z91" s="496">
        <v>0.20689091045414695</v>
      </c>
      <c r="AA91" s="496">
        <v>0.5307558850762657</v>
      </c>
      <c r="AB91" s="496">
        <v>0.63466415484990246</v>
      </c>
      <c r="AC91" s="496">
        <v>0.31645987202943732</v>
      </c>
      <c r="AD91" s="496">
        <v>0.12850764388565905</v>
      </c>
      <c r="AE91" s="496">
        <v>0.27373432991752089</v>
      </c>
      <c r="AF91" s="496">
        <v>0.42634741284095584</v>
      </c>
      <c r="AG91" s="496">
        <v>0.36847178634877509</v>
      </c>
      <c r="AH91" s="496">
        <v>0.50899254426576002</v>
      </c>
      <c r="AI91" s="496">
        <v>0.13361235150286549</v>
      </c>
      <c r="AJ91" s="496">
        <v>0.19066113235967411</v>
      </c>
      <c r="AK91" s="496">
        <v>0.41111721252714134</v>
      </c>
      <c r="AL91" s="496">
        <v>0.70182989672762386</v>
      </c>
      <c r="AM91" s="499">
        <v>0.20852102021010838</v>
      </c>
    </row>
    <row r="92" spans="1:39" ht="12.75" customHeight="1" x14ac:dyDescent="0.3">
      <c r="A92" s="174"/>
      <c r="B92" s="174"/>
      <c r="C92" s="174"/>
      <c r="D92" s="15"/>
      <c r="E92" s="15"/>
      <c r="F92" s="505">
        <v>1.473580054687107</v>
      </c>
      <c r="G92" s="496">
        <v>5.5549768204960451E-2</v>
      </c>
      <c r="H92" s="496">
        <v>0.18743987041228233</v>
      </c>
      <c r="I92" s="496">
        <v>1.2885935014538861E-2</v>
      </c>
      <c r="J92" s="496">
        <v>1.4227789449817433E-2</v>
      </c>
      <c r="K92" s="496">
        <v>0.21514351173040819</v>
      </c>
      <c r="L92" s="496">
        <v>0.28227760499501392</v>
      </c>
      <c r="M92" s="496">
        <v>0.18389894118820321</v>
      </c>
      <c r="N92" s="496">
        <v>0.23211969678500413</v>
      </c>
      <c r="O92" s="496">
        <v>0.18389894118820307</v>
      </c>
      <c r="P92" s="496">
        <v>6.527944514057997E-2</v>
      </c>
      <c r="Q92" s="496">
        <v>0.24952672268471207</v>
      </c>
      <c r="R92" s="496">
        <v>7.8117556132932059E-2</v>
      </c>
      <c r="S92" s="496">
        <v>0.22781072677258948</v>
      </c>
      <c r="T92" s="496">
        <v>0.32555817833141215</v>
      </c>
      <c r="U92" s="496">
        <v>0.54999477367833283</v>
      </c>
      <c r="V92" s="496">
        <v>0.21088706986625175</v>
      </c>
      <c r="W92" s="496">
        <v>0.34142656057992543</v>
      </c>
      <c r="X92" s="496">
        <v>0.21088706986625219</v>
      </c>
      <c r="Y92" s="496">
        <v>9.9534954085226821E-2</v>
      </c>
      <c r="Z92" s="496">
        <v>0.19197463737391643</v>
      </c>
      <c r="AA92" s="496">
        <v>0.51223233855042027</v>
      </c>
      <c r="AB92" s="496">
        <v>0.62777335197176098</v>
      </c>
      <c r="AC92" s="496">
        <v>0.29475040519382795</v>
      </c>
      <c r="AD92" s="496">
        <v>0.11876372634897432</v>
      </c>
      <c r="AE92" s="496">
        <v>0.25920803399331938</v>
      </c>
      <c r="AF92" s="496">
        <v>0.42325185429311712</v>
      </c>
      <c r="AG92" s="496">
        <v>0.37163549749692643</v>
      </c>
      <c r="AH92" s="496">
        <v>0.49971482249213944</v>
      </c>
      <c r="AI92" s="496">
        <v>0.12290068416154458</v>
      </c>
      <c r="AJ92" s="496">
        <v>0.17407272938014234</v>
      </c>
      <c r="AK92" s="496">
        <v>0.38168699568678099</v>
      </c>
      <c r="AL92" s="496">
        <v>0.68058859773927372</v>
      </c>
      <c r="AM92" s="499">
        <v>0.19004182754236859</v>
      </c>
    </row>
    <row r="93" spans="1:39" ht="12.75" customHeight="1" x14ac:dyDescent="0.3">
      <c r="A93" s="174"/>
      <c r="B93" s="174"/>
      <c r="C93" s="174"/>
      <c r="D93" s="15"/>
      <c r="E93" s="15"/>
      <c r="F93" s="505">
        <v>1.4943347033446719</v>
      </c>
      <c r="G93" s="496">
        <v>5.2044717536023334E-2</v>
      </c>
      <c r="H93" s="496">
        <v>0.17401929773153288</v>
      </c>
      <c r="I93" s="496">
        <v>1.207176626305201E-2</v>
      </c>
      <c r="J93" s="496">
        <v>1.3330721680596722E-2</v>
      </c>
      <c r="K93" s="496">
        <v>0.2004282357694446</v>
      </c>
      <c r="L93" s="496">
        <v>0.26594632596814277</v>
      </c>
      <c r="M93" s="496">
        <v>0.17063464973245471</v>
      </c>
      <c r="N93" s="496">
        <v>0.21764053200085959</v>
      </c>
      <c r="O93" s="496">
        <v>0.17063464973245465</v>
      </c>
      <c r="P93" s="496">
        <v>6.1001306955532013E-2</v>
      </c>
      <c r="Q93" s="496">
        <v>0.23319605942555663</v>
      </c>
      <c r="R93" s="496">
        <v>7.3068527403878328E-2</v>
      </c>
      <c r="S93" s="496">
        <v>0.21213765081271097</v>
      </c>
      <c r="T93" s="496">
        <v>0.30740479667378168</v>
      </c>
      <c r="U93" s="496">
        <v>0.52991137712637604</v>
      </c>
      <c r="V93" s="496">
        <v>0.19582312003982197</v>
      </c>
      <c r="W93" s="496">
        <v>0.32406338356413378</v>
      </c>
      <c r="X93" s="496">
        <v>0.1958231200398223</v>
      </c>
      <c r="Y93" s="496">
        <v>9.2184773395428743E-2</v>
      </c>
      <c r="Z93" s="496">
        <v>0.17836828014174355</v>
      </c>
      <c r="AA93" s="496">
        <v>0.49405695898267615</v>
      </c>
      <c r="AB93" s="496">
        <v>0.62018545882214493</v>
      </c>
      <c r="AC93" s="496">
        <v>0.27446814995784197</v>
      </c>
      <c r="AD93" s="496">
        <v>0.1099477459733566</v>
      </c>
      <c r="AE93" s="496">
        <v>0.24595668214418467</v>
      </c>
      <c r="AF93" s="496">
        <v>0.41994780872611193</v>
      </c>
      <c r="AG93" s="496">
        <v>0.37444162564245453</v>
      </c>
      <c r="AH93" s="496">
        <v>0.49043732436181264</v>
      </c>
      <c r="AI93" s="496">
        <v>0.11325534782339471</v>
      </c>
      <c r="AJ93" s="496">
        <v>0.15922954800234396</v>
      </c>
      <c r="AK93" s="496">
        <v>0.35410116986943779</v>
      </c>
      <c r="AL93" s="496">
        <v>0.65884332986255167</v>
      </c>
      <c r="AM93" s="499">
        <v>0.17347399782057568</v>
      </c>
    </row>
    <row r="94" spans="1:39" ht="12.75" customHeight="1" x14ac:dyDescent="0.3">
      <c r="A94" s="174"/>
      <c r="B94" s="174"/>
      <c r="C94" s="174"/>
      <c r="D94" s="15"/>
      <c r="E94" s="15"/>
      <c r="F94" s="505">
        <v>1.5150893520022368</v>
      </c>
      <c r="G94" s="496">
        <v>4.8764548489595716E-2</v>
      </c>
      <c r="H94" s="496">
        <v>0.16160568908953946</v>
      </c>
      <c r="I94" s="496">
        <v>1.1309134710214155E-2</v>
      </c>
      <c r="J94" s="496">
        <v>1.2490343333236136E-2</v>
      </c>
      <c r="K94" s="496">
        <v>0.18672416657113536</v>
      </c>
      <c r="L94" s="496">
        <v>0.25055554835391569</v>
      </c>
      <c r="M94" s="496">
        <v>0.15837674498802165</v>
      </c>
      <c r="N94" s="496">
        <v>0.2040645434720009</v>
      </c>
      <c r="O94" s="496">
        <v>0.15837674498802154</v>
      </c>
      <c r="P94" s="496">
        <v>5.7023794339034276E-2</v>
      </c>
      <c r="Q94" s="496">
        <v>0.21793462031035338</v>
      </c>
      <c r="R94" s="496">
        <v>6.8369168963756652E-2</v>
      </c>
      <c r="S94" s="496">
        <v>0.1975598416121708</v>
      </c>
      <c r="T94" s="496">
        <v>0.29021589202608156</v>
      </c>
      <c r="U94" s="496">
        <v>0.51013029224602791</v>
      </c>
      <c r="V94" s="496">
        <v>0.18187419254246012</v>
      </c>
      <c r="W94" s="496">
        <v>0.30752608884786836</v>
      </c>
      <c r="X94" s="496">
        <v>0.18187419254246037</v>
      </c>
      <c r="Y94" s="496">
        <v>8.5489187595604657E-2</v>
      </c>
      <c r="Z94" s="496">
        <v>0.16593464636936997</v>
      </c>
      <c r="AA94" s="496">
        <v>0.47627309375471166</v>
      </c>
      <c r="AB94" s="496">
        <v>0.611965449719855</v>
      </c>
      <c r="AC94" s="496">
        <v>0.25553846442971034</v>
      </c>
      <c r="AD94" s="496">
        <v>0.10195005856962989</v>
      </c>
      <c r="AE94" s="496">
        <v>0.23385357436683299</v>
      </c>
      <c r="AF94" s="496">
        <v>0.41646273249688887</v>
      </c>
      <c r="AG94" s="496">
        <v>0.37689933786908669</v>
      </c>
      <c r="AH94" s="496">
        <v>0.48118102936476881</v>
      </c>
      <c r="AI94" s="496">
        <v>0.10454453667924493</v>
      </c>
      <c r="AJ94" s="496">
        <v>0.14592278339450745</v>
      </c>
      <c r="AK94" s="496">
        <v>0.3283260949581604</v>
      </c>
      <c r="AL94" s="496">
        <v>0.63675624465712521</v>
      </c>
      <c r="AM94" s="499">
        <v>0.1586075449838833</v>
      </c>
    </row>
    <row r="95" spans="1:39" ht="12.75" customHeight="1" x14ac:dyDescent="0.3">
      <c r="A95" s="174"/>
      <c r="B95" s="174"/>
      <c r="C95" s="174"/>
      <c r="D95" s="15"/>
      <c r="E95" s="15"/>
      <c r="F95" s="505">
        <v>1.5358440006598018</v>
      </c>
      <c r="G95" s="496">
        <v>4.5694223553773554E-2</v>
      </c>
      <c r="H95" s="496">
        <v>0.15011975894746007</v>
      </c>
      <c r="I95" s="496">
        <v>1.0594770805981309E-2</v>
      </c>
      <c r="J95" s="496">
        <v>1.1703061665951536E-2</v>
      </c>
      <c r="K95" s="496">
        <v>0.1739615043210829</v>
      </c>
      <c r="L95" s="496">
        <v>0.23605140379681155</v>
      </c>
      <c r="M95" s="496">
        <v>0.14704479177946339</v>
      </c>
      <c r="N95" s="496">
        <v>0.19133539192754295</v>
      </c>
      <c r="O95" s="496">
        <v>0.14704479177946328</v>
      </c>
      <c r="P95" s="496">
        <v>5.3322760425748641E-2</v>
      </c>
      <c r="Q95" s="496">
        <v>0.20367399003185649</v>
      </c>
      <c r="R95" s="496">
        <v>6.3991795915615227E-2</v>
      </c>
      <c r="S95" s="496">
        <v>0.18400092317969216</v>
      </c>
      <c r="T95" s="496">
        <v>0.27394578879401638</v>
      </c>
      <c r="U95" s="496">
        <v>0.49069737247307504</v>
      </c>
      <c r="V95" s="496">
        <v>0.16895601408691902</v>
      </c>
      <c r="W95" s="496">
        <v>0.29178113335444639</v>
      </c>
      <c r="X95" s="496">
        <v>0.16895601408691921</v>
      </c>
      <c r="Y95" s="496">
        <v>7.9375454554986222E-2</v>
      </c>
      <c r="Z95" s="496">
        <v>0.15455215914745662</v>
      </c>
      <c r="AA95" s="496">
        <v>0.4589147210309022</v>
      </c>
      <c r="AB95" s="496">
        <v>0.6031766752614367</v>
      </c>
      <c r="AC95" s="496">
        <v>0.23788634711752771</v>
      </c>
      <c r="AD95" s="496">
        <v>9.4676292905434958E-2</v>
      </c>
      <c r="AE95" s="496">
        <v>0.22278279038011217</v>
      </c>
      <c r="AF95" s="496">
        <v>0.41282119452547889</v>
      </c>
      <c r="AG95" s="496">
        <v>0.37901874562206322</v>
      </c>
      <c r="AH95" s="496">
        <v>0.47196395360909343</v>
      </c>
      <c r="AI95" s="496">
        <v>9.6655524147705812E-2</v>
      </c>
      <c r="AJ95" s="496">
        <v>0.13396878238252297</v>
      </c>
      <c r="AK95" s="496">
        <v>0.30430724853267088</v>
      </c>
      <c r="AL95" s="496">
        <v>0.61447506862462342</v>
      </c>
      <c r="AM95" s="499">
        <v>0.1452528185325036</v>
      </c>
    </row>
    <row r="96" spans="1:39" ht="12.75" customHeight="1" x14ac:dyDescent="0.3">
      <c r="A96" s="174"/>
      <c r="B96" s="174"/>
      <c r="C96" s="174"/>
      <c r="D96" s="15"/>
      <c r="E96" s="15"/>
      <c r="F96" s="505">
        <v>1.5565986493173665</v>
      </c>
      <c r="G96" s="496">
        <v>4.2819854022778471E-2</v>
      </c>
      <c r="H96" s="496">
        <v>0.13948873712108931</v>
      </c>
      <c r="I96" s="496">
        <v>9.9256132925370291E-3</v>
      </c>
      <c r="J96" s="496">
        <v>1.0965512847435473E-2</v>
      </c>
      <c r="K96" s="496">
        <v>0.16207529390342146</v>
      </c>
      <c r="L96" s="496">
        <v>0.22238309455220728</v>
      </c>
      <c r="M96" s="496">
        <v>0.1365650866441504</v>
      </c>
      <c r="N96" s="496">
        <v>0.17940025800982393</v>
      </c>
      <c r="O96" s="496">
        <v>0.13656508664415029</v>
      </c>
      <c r="P96" s="496">
        <v>4.9876437532177499E-2</v>
      </c>
      <c r="Q96" s="496">
        <v>0.19034974590119474</v>
      </c>
      <c r="R96" s="496">
        <v>5.991143190148121E-2</v>
      </c>
      <c r="S96" s="496">
        <v>0.17138961013086698</v>
      </c>
      <c r="T96" s="496">
        <v>0.25855022519491755</v>
      </c>
      <c r="U96" s="496">
        <v>0.47165119408561268</v>
      </c>
      <c r="V96" s="496">
        <v>0.1569905726342859</v>
      </c>
      <c r="W96" s="496">
        <v>0.27679564145521912</v>
      </c>
      <c r="X96" s="496">
        <v>0.15699057263428615</v>
      </c>
      <c r="Y96" s="496">
        <v>7.3780614045816692E-2</v>
      </c>
      <c r="Z96" s="496">
        <v>0.14411320658220289</v>
      </c>
      <c r="AA96" s="496">
        <v>0.44200781688809987</v>
      </c>
      <c r="AB96" s="496">
        <v>0.5938804390570035</v>
      </c>
      <c r="AC96" s="496">
        <v>0.22143755914428437</v>
      </c>
      <c r="AD96" s="496">
        <v>8.8044955883027173E-2</v>
      </c>
      <c r="AE96" s="496">
        <v>0.21263900780401035</v>
      </c>
      <c r="AF96" s="496">
        <v>0.40904514790105556</v>
      </c>
      <c r="AG96" s="496">
        <v>0.3808106947075704</v>
      </c>
      <c r="AH96" s="496">
        <v>0.4628015675314725</v>
      </c>
      <c r="AI96" s="496">
        <v>8.9491607033194795E-2</v>
      </c>
      <c r="AJ96" s="496">
        <v>0.1232066329993563</v>
      </c>
      <c r="AK96" s="496">
        <v>0.28197518726487059</v>
      </c>
      <c r="AL96" s="496">
        <v>0.59213291160424231</v>
      </c>
      <c r="AM96" s="499">
        <v>0.13323978678947926</v>
      </c>
    </row>
    <row r="97" spans="1:39" ht="12.75" customHeight="1" x14ac:dyDescent="0.3">
      <c r="A97" s="174"/>
      <c r="B97" s="174"/>
      <c r="C97" s="174"/>
      <c r="D97" s="15"/>
      <c r="E97" s="15"/>
      <c r="F97" s="505">
        <v>1.5773532979749314</v>
      </c>
      <c r="G97" s="496">
        <v>4.0128545279819849E-2</v>
      </c>
      <c r="H97" s="496">
        <v>0.12964581515746487</v>
      </c>
      <c r="I97" s="496">
        <v>9.298795611466475E-3</v>
      </c>
      <c r="J97" s="496">
        <v>1.0274547000279178E-2</v>
      </c>
      <c r="K97" s="496">
        <v>0.15100508181998828</v>
      </c>
      <c r="L97" s="496">
        <v>0.20950271469535409</v>
      </c>
      <c r="M97" s="496">
        <v>0.12687007388080104</v>
      </c>
      <c r="N97" s="496">
        <v>0.16820961738028783</v>
      </c>
      <c r="O97" s="496">
        <v>0.12687007388080093</v>
      </c>
      <c r="P97" s="496">
        <v>4.6665151308647866E-2</v>
      </c>
      <c r="Q97" s="496">
        <v>0.17790129702472615</v>
      </c>
      <c r="R97" s="496">
        <v>5.6105470293159522E-2</v>
      </c>
      <c r="S97" s="496">
        <v>0.15965941849002582</v>
      </c>
      <c r="T97" s="496">
        <v>0.24398642828489303</v>
      </c>
      <c r="U97" s="496">
        <v>0.45302379813246385</v>
      </c>
      <c r="V97" s="496">
        <v>0.14590570032374869</v>
      </c>
      <c r="W97" s="496">
        <v>0.26253749767437373</v>
      </c>
      <c r="X97" s="496">
        <v>0.14590570032374894</v>
      </c>
      <c r="Y97" s="496">
        <v>6.8649999481367963E-2</v>
      </c>
      <c r="Z97" s="496">
        <v>0.13452261201445956</v>
      </c>
      <c r="AA97" s="496">
        <v>0.42557152505676688</v>
      </c>
      <c r="AB97" s="496">
        <v>0.58413568062055921</v>
      </c>
      <c r="AC97" s="496">
        <v>0.20611945222736128</v>
      </c>
      <c r="AD97" s="496">
        <v>8.1985478196337003E-2</v>
      </c>
      <c r="AE97" s="496">
        <v>0.20332707366292538</v>
      </c>
      <c r="AF97" s="496">
        <v>0.40515418263975878</v>
      </c>
      <c r="AG97" s="496">
        <v>0.38228658709149005</v>
      </c>
      <c r="AH97" s="496">
        <v>0.45370714270736306</v>
      </c>
      <c r="AI97" s="496">
        <v>8.2969603178137008E-2</v>
      </c>
      <c r="AJ97" s="496">
        <v>0.11349575316863683</v>
      </c>
      <c r="AK97" s="496">
        <v>0.26125030914718278</v>
      </c>
      <c r="AL97" s="496">
        <v>0.56984842551411152</v>
      </c>
      <c r="AM97" s="499">
        <v>0.12241689759512493</v>
      </c>
    </row>
    <row r="98" spans="1:39" ht="12.75" customHeight="1" x14ac:dyDescent="0.3">
      <c r="A98" s="174"/>
      <c r="B98" s="174"/>
      <c r="C98" s="174"/>
      <c r="D98" s="15"/>
      <c r="E98" s="15"/>
      <c r="F98" s="505">
        <v>1.5981079466324963</v>
      </c>
      <c r="G98" s="496">
        <v>3.7608275127393564E-2</v>
      </c>
      <c r="H98" s="496">
        <v>0.12052964816778901</v>
      </c>
      <c r="I98" s="496">
        <v>8.7116337245627846E-3</v>
      </c>
      <c r="J98" s="496">
        <v>9.6272148032161033E-3</v>
      </c>
      <c r="K98" s="496">
        <v>0.14069460754755428</v>
      </c>
      <c r="L98" s="496">
        <v>0.19736509130781904</v>
      </c>
      <c r="M98" s="496">
        <v>0.1178978206687399</v>
      </c>
      <c r="N98" s="496">
        <v>0.15771703941380405</v>
      </c>
      <c r="O98" s="496">
        <v>0.11789782066873981</v>
      </c>
      <c r="P98" s="496">
        <v>4.3671076872398421E-2</v>
      </c>
      <c r="Q98" s="496">
        <v>0.16627172558819339</v>
      </c>
      <c r="R98" s="496">
        <v>5.2553389025515707E-2</v>
      </c>
      <c r="S98" s="496">
        <v>0.14874839328668446</v>
      </c>
      <c r="T98" s="496">
        <v>0.23021317255699042</v>
      </c>
      <c r="U98" s="496">
        <v>0.43484137455159527</v>
      </c>
      <c r="V98" s="496">
        <v>0.13563468219526958</v>
      </c>
      <c r="W98" s="496">
        <v>0.24897542602680492</v>
      </c>
      <c r="X98" s="496">
        <v>0.13563468219526981</v>
      </c>
      <c r="Y98" s="496">
        <v>6.3935992808197825E-2</v>
      </c>
      <c r="Z98" s="496">
        <v>0.12569621485180218</v>
      </c>
      <c r="AA98" s="496">
        <v>0.40961918778453538</v>
      </c>
      <c r="AB98" s="496">
        <v>0.57399872931683127</v>
      </c>
      <c r="AC98" s="496">
        <v>0.19186159484189247</v>
      </c>
      <c r="AD98" s="496">
        <v>7.643657827877974E-2</v>
      </c>
      <c r="AE98" s="496">
        <v>0.19476141627389232</v>
      </c>
      <c r="AF98" s="496">
        <v>0.40116576231074258</v>
      </c>
      <c r="AG98" s="496">
        <v>0.38345822109461991</v>
      </c>
      <c r="AH98" s="496">
        <v>0.44469204782010591</v>
      </c>
      <c r="AI98" s="496">
        <v>7.7017756419409916E-2</v>
      </c>
      <c r="AJ98" s="496">
        <v>0.10471354641627983</v>
      </c>
      <c r="AK98" s="496">
        <v>0.24204671597215094</v>
      </c>
      <c r="AL98" s="496">
        <v>0.54772624374505985</v>
      </c>
      <c r="AM98" s="499">
        <v>0.11264968454695998</v>
      </c>
    </row>
    <row r="99" spans="1:39" ht="12.75" customHeight="1" x14ac:dyDescent="0.3">
      <c r="A99" s="174"/>
      <c r="B99" s="174"/>
      <c r="C99" s="174"/>
      <c r="D99" s="15"/>
      <c r="E99" s="15"/>
      <c r="F99" s="505">
        <v>1.618862595290061</v>
      </c>
      <c r="G99" s="496">
        <v>3.524791169303438E-2</v>
      </c>
      <c r="H99" s="496">
        <v>0.11208383618413574</v>
      </c>
      <c r="I99" s="496">
        <v>8.1616119099799066E-3</v>
      </c>
      <c r="J99" s="496">
        <v>9.020751802028909E-3</v>
      </c>
      <c r="K99" s="496">
        <v>0.13109145907542574</v>
      </c>
      <c r="L99" s="496">
        <v>0.18592758687807373</v>
      </c>
      <c r="M99" s="496">
        <v>0.10959147472892863</v>
      </c>
      <c r="N99" s="496">
        <v>0.14787895017960029</v>
      </c>
      <c r="O99" s="496">
        <v>0.10959147472892861</v>
      </c>
      <c r="P99" s="496">
        <v>4.0877984413143449E-2</v>
      </c>
      <c r="Q99" s="496">
        <v>0.15540756262604544</v>
      </c>
      <c r="R99" s="496">
        <v>4.9236494046523804E-2</v>
      </c>
      <c r="S99" s="496">
        <v>0.13859877954159069</v>
      </c>
      <c r="T99" s="496">
        <v>0.21719076935814435</v>
      </c>
      <c r="U99" s="496">
        <v>0.4171249052107453</v>
      </c>
      <c r="V99" s="496">
        <v>0.12611581476412584</v>
      </c>
      <c r="W99" s="496">
        <v>0.23607901455115726</v>
      </c>
      <c r="X99" s="496">
        <v>0.12611581476412609</v>
      </c>
      <c r="Y99" s="496">
        <v>5.9596943705890852E-2</v>
      </c>
      <c r="Z99" s="496">
        <v>0.11755949944043254</v>
      </c>
      <c r="AA99" s="496">
        <v>0.39415924445734701</v>
      </c>
      <c r="AB99" s="496">
        <v>0.56352319318477229</v>
      </c>
      <c r="AC99" s="496">
        <v>0.17859613925972206</v>
      </c>
      <c r="AD99" s="496">
        <v>7.1344838248782919E-2</v>
      </c>
      <c r="AE99" s="496">
        <v>0.1868652826632296</v>
      </c>
      <c r="AF99" s="496">
        <v>0.39709545938894153</v>
      </c>
      <c r="AG99" s="496">
        <v>0.38433766861086177</v>
      </c>
      <c r="AH99" s="496">
        <v>0.43576601038644558</v>
      </c>
      <c r="AI99" s="496">
        <v>7.1573925407180924E-2</v>
      </c>
      <c r="AJ99" s="496">
        <v>9.6753102506573443E-2</v>
      </c>
      <c r="AK99" s="496">
        <v>0.22427514314089247</v>
      </c>
      <c r="AL99" s="496">
        <v>0.52585771946676862</v>
      </c>
      <c r="AM99" s="499">
        <v>0.10381913608115562</v>
      </c>
    </row>
    <row r="100" spans="1:39" ht="12.75" customHeight="1" x14ac:dyDescent="0.3">
      <c r="A100" s="174"/>
      <c r="B100" s="174"/>
      <c r="C100" s="174"/>
      <c r="D100" s="15"/>
      <c r="E100" s="15"/>
      <c r="F100" s="505">
        <v>1.6396172439476262</v>
      </c>
      <c r="G100" s="496">
        <v>3.3037056593176753E-2</v>
      </c>
      <c r="H100" s="496">
        <v>0.1042565585097868</v>
      </c>
      <c r="I100" s="496">
        <v>7.6463740076350558E-3</v>
      </c>
      <c r="J100" s="496">
        <v>8.4525688263690328E-3</v>
      </c>
      <c r="K100" s="496">
        <v>0.12214684783334699</v>
      </c>
      <c r="L100" s="496">
        <v>0.17514998769124515</v>
      </c>
      <c r="M100" s="496">
        <v>0.10189887934609498</v>
      </c>
      <c r="N100" s="496">
        <v>0.13865448796179825</v>
      </c>
      <c r="O100" s="496">
        <v>0.101898879346095</v>
      </c>
      <c r="P100" s="496">
        <v>3.8271091123911492E-2</v>
      </c>
      <c r="Q100" s="496">
        <v>0.14525865954585149</v>
      </c>
      <c r="R100" s="496">
        <v>4.6137724840582151E-2</v>
      </c>
      <c r="S100" s="496">
        <v>0.12915681078380187</v>
      </c>
      <c r="T100" s="496">
        <v>0.20488110598511525</v>
      </c>
      <c r="U100" s="496">
        <v>0.39989069338994027</v>
      </c>
      <c r="V100" s="496">
        <v>0.11729210157793026</v>
      </c>
      <c r="W100" s="496">
        <v>0.22381877383343812</v>
      </c>
      <c r="X100" s="496">
        <v>0.11729210157793044</v>
      </c>
      <c r="Y100" s="496">
        <v>5.5596342669243348E-2</v>
      </c>
      <c r="Z100" s="496">
        <v>0.11004651101890453</v>
      </c>
      <c r="AA100" s="496">
        <v>0.37919597462110244</v>
      </c>
      <c r="AB100" s="496">
        <v>0.55275981090763204</v>
      </c>
      <c r="AC100" s="496">
        <v>0.16625816610230737</v>
      </c>
      <c r="AD100" s="496">
        <v>6.6663615569856241E-2</v>
      </c>
      <c r="AE100" s="496">
        <v>0.17957009630976711</v>
      </c>
      <c r="AF100" s="496">
        <v>0.39295713947241623</v>
      </c>
      <c r="AG100" s="496">
        <v>0.38493715483581065</v>
      </c>
      <c r="AH100" s="496">
        <v>0.42693731928219814</v>
      </c>
      <c r="AI100" s="496">
        <v>6.6584195869410084E-2</v>
      </c>
      <c r="AJ100" s="496">
        <v>8.9521325296519225E-2</v>
      </c>
      <c r="AK100" s="496">
        <v>0.20784534390719514</v>
      </c>
      <c r="AL100" s="496">
        <v>0.50432159064537518</v>
      </c>
      <c r="AM100" s="499">
        <v>9.5820304978794207E-2</v>
      </c>
    </row>
    <row r="101" spans="1:39" ht="12.75" customHeight="1" x14ac:dyDescent="0.3">
      <c r="A101" s="174"/>
      <c r="B101" s="174"/>
      <c r="C101" s="174"/>
      <c r="D101" s="15"/>
      <c r="E101" s="15"/>
      <c r="F101" s="505">
        <v>1.6603718926051909</v>
      </c>
      <c r="G101" s="496">
        <v>3.0966059829865542E-2</v>
      </c>
      <c r="H101" s="496">
        <v>9.7000454370353761E-2</v>
      </c>
      <c r="I101" s="496">
        <v>7.1637261103955473E-3</v>
      </c>
      <c r="J101" s="496">
        <v>7.9202549278708286E-3</v>
      </c>
      <c r="K101" s="496">
        <v>0.11381561810591818</v>
      </c>
      <c r="L101" s="496">
        <v>0.16499459118617221</v>
      </c>
      <c r="M101" s="496">
        <v>9.4772436706822727E-2</v>
      </c>
      <c r="N101" s="496">
        <v>0.13000555810177286</v>
      </c>
      <c r="O101" s="496">
        <v>9.4772436706822727E-2</v>
      </c>
      <c r="P101" s="496">
        <v>3.5836971644596156E-2</v>
      </c>
      <c r="Q101" s="496">
        <v>0.13577829047983334</v>
      </c>
      <c r="R101" s="496">
        <v>4.3241561953385091E-2</v>
      </c>
      <c r="S101" s="496">
        <v>0.12037274507660063</v>
      </c>
      <c r="T101" s="496">
        <v>0.193247866872785</v>
      </c>
      <c r="U101" s="496">
        <v>0.3831508518825601</v>
      </c>
      <c r="V101" s="496">
        <v>0.10911120907231403</v>
      </c>
      <c r="W101" s="496">
        <v>0.21216634210584001</v>
      </c>
      <c r="X101" s="496">
        <v>0.10911120907231416</v>
      </c>
      <c r="Y101" s="496">
        <v>5.1902243955983036E-2</v>
      </c>
      <c r="Z101" s="496">
        <v>0.10309910670700156</v>
      </c>
      <c r="AA101" s="496">
        <v>0.36473020394056455</v>
      </c>
      <c r="AB101" s="496">
        <v>0.54175611237552346</v>
      </c>
      <c r="AC101" s="496">
        <v>0.15478624313641243</v>
      </c>
      <c r="AD101" s="496">
        <v>6.2352269647803486E-2</v>
      </c>
      <c r="AE101" s="496">
        <v>0.17281503999441813</v>
      </c>
      <c r="AF101" s="496">
        <v>0.38876308143649535</v>
      </c>
      <c r="AG101" s="496">
        <v>0.38526887706657387</v>
      </c>
      <c r="AH101" s="496">
        <v>0.41821297844985422</v>
      </c>
      <c r="AI101" s="496">
        <v>6.2001876473882771E-2</v>
      </c>
      <c r="AJ101" s="496">
        <v>8.2937523622384726E-2</v>
      </c>
      <c r="AK101" s="496">
        <v>0.19266846752450884</v>
      </c>
      <c r="AL101" s="496">
        <v>0.4831845493121909</v>
      </c>
      <c r="AM101" s="499">
        <v>8.8561282820006887E-2</v>
      </c>
    </row>
    <row r="102" spans="1:39" ht="12.75" customHeight="1" x14ac:dyDescent="0.3">
      <c r="A102" s="174"/>
      <c r="B102" s="174"/>
      <c r="C102" s="174"/>
      <c r="D102" s="15"/>
      <c r="E102" s="15"/>
      <c r="F102" s="505">
        <v>1.6811265412627556</v>
      </c>
      <c r="G102" s="496">
        <v>2.9025884642267692E-2</v>
      </c>
      <c r="H102" s="496">
        <v>9.0271515319823206E-2</v>
      </c>
      <c r="I102" s="496">
        <v>6.7115914817479213E-3</v>
      </c>
      <c r="J102" s="496">
        <v>7.4215277904900656E-3</v>
      </c>
      <c r="K102" s="496">
        <v>0.10605528517444085</v>
      </c>
      <c r="L102" s="496">
        <v>0.1554254617539354</v>
      </c>
      <c r="M102" s="496">
        <v>8.816798217445225E-2</v>
      </c>
      <c r="N102" s="496">
        <v>0.12189605641537034</v>
      </c>
      <c r="O102" s="496">
        <v>8.8167982174452278E-2</v>
      </c>
      <c r="P102" s="496">
        <v>3.3563191509148931E-2</v>
      </c>
      <c r="Q102" s="496">
        <v>0.12692222488359642</v>
      </c>
      <c r="R102" s="496">
        <v>4.0533629217551742E-2</v>
      </c>
      <c r="S102" s="496">
        <v>0.1121998233185971</v>
      </c>
      <c r="T102" s="496">
        <v>0.1822559182456818</v>
      </c>
      <c r="U102" s="496">
        <v>0.36691392597218669</v>
      </c>
      <c r="V102" s="496">
        <v>0.10152430806261938</v>
      </c>
      <c r="W102" s="496">
        <v>0.20109402835338763</v>
      </c>
      <c r="X102" s="496">
        <v>0.10152430806261953</v>
      </c>
      <c r="Y102" s="496">
        <v>4.8486157883633585E-2</v>
      </c>
      <c r="Z102" s="496">
        <v>9.6665133449988089E-2</v>
      </c>
      <c r="AA102" s="496">
        <v>0.35075984768265273</v>
      </c>
      <c r="AB102" s="496">
        <v>0.53055717734730123</v>
      </c>
      <c r="AC102" s="496">
        <v>0.14412151287394567</v>
      </c>
      <c r="AD102" s="496">
        <v>5.837472086014589E-2</v>
      </c>
      <c r="AE102" s="496">
        <v>0.16654539955535269</v>
      </c>
      <c r="AF102" s="496">
        <v>0.38452433327010099</v>
      </c>
      <c r="AG102" s="496">
        <v>0.38534513083851524</v>
      </c>
      <c r="AH102" s="496">
        <v>0.40959896911404847</v>
      </c>
      <c r="AI102" s="496">
        <v>5.7785760202839202E-2</v>
      </c>
      <c r="AJ102" s="496">
        <v>7.6930593419236762E-2</v>
      </c>
      <c r="AK102" s="496">
        <v>0.17865688049852188</v>
      </c>
      <c r="AL102" s="496">
        <v>0.46250314449849428</v>
      </c>
      <c r="AM102" s="499">
        <v>8.1960391644712485E-2</v>
      </c>
    </row>
    <row r="103" spans="1:39" ht="12.75" customHeight="1" x14ac:dyDescent="0.3">
      <c r="A103" s="174"/>
      <c r="B103" s="174"/>
      <c r="C103" s="174"/>
      <c r="D103" s="15"/>
      <c r="E103" s="15"/>
      <c r="F103" s="505">
        <v>1.7018811899203208</v>
      </c>
      <c r="G103" s="496">
        <v>2.7208141179242529E-2</v>
      </c>
      <c r="H103" s="496">
        <v>8.4029633288061692E-2</v>
      </c>
      <c r="I103" s="496">
        <v>6.2880423927347768E-3</v>
      </c>
      <c r="J103" s="496">
        <v>6.9542687682251931E-3</v>
      </c>
      <c r="K103" s="496">
        <v>9.8826652397913314E-2</v>
      </c>
      <c r="L103" s="496">
        <v>0.14640901166513395</v>
      </c>
      <c r="M103" s="496">
        <v>8.2045322498975032E-2</v>
      </c>
      <c r="N103" s="496">
        <v>0.11429242826832786</v>
      </c>
      <c r="O103" s="496">
        <v>8.2045322498975046E-2</v>
      </c>
      <c r="P103" s="496">
        <v>3.1438453153414266E-2</v>
      </c>
      <c r="Q103" s="496">
        <v>0.11864942843151027</v>
      </c>
      <c r="R103" s="496">
        <v>3.8000838431075074E-2</v>
      </c>
      <c r="S103" s="496">
        <v>0.10459495910524522</v>
      </c>
      <c r="T103" s="496">
        <v>0.17187196823591039</v>
      </c>
      <c r="U103" s="496">
        <v>0.3511851354444438</v>
      </c>
      <c r="V103" s="496">
        <v>9.4486733816155216E-2</v>
      </c>
      <c r="W103" s="496">
        <v>0.19057535649855389</v>
      </c>
      <c r="X103" s="496">
        <v>9.4486733816155369E-2</v>
      </c>
      <c r="Y103" s="496">
        <v>4.532309337864867E-2</v>
      </c>
      <c r="Z103" s="496">
        <v>9.0698651023323404E-2</v>
      </c>
      <c r="AA103" s="496">
        <v>0.33728042929121843</v>
      </c>
      <c r="AB103" s="496">
        <v>0.51920476891198197</v>
      </c>
      <c r="AC103" s="496">
        <v>0.1342088725842015</v>
      </c>
      <c r="AD103" s="496">
        <v>5.4699476229805824E-2</v>
      </c>
      <c r="AE103" s="496">
        <v>0.16071297427101536</v>
      </c>
      <c r="AF103" s="496">
        <v>0.3802506411517384</v>
      </c>
      <c r="AG103" s="496">
        <v>0.3851780036770609</v>
      </c>
      <c r="AH103" s="496">
        <v>0.40110026547396471</v>
      </c>
      <c r="AI103" s="496">
        <v>5.3900081986994294E-2</v>
      </c>
      <c r="AJ103" s="496">
        <v>7.1439041249175106E-2</v>
      </c>
      <c r="AK103" s="496">
        <v>0.16572682513079431</v>
      </c>
      <c r="AL103" s="496">
        <v>0.44232356361618036</v>
      </c>
      <c r="AM103" s="499">
        <v>7.5946520592610811E-2</v>
      </c>
    </row>
    <row r="104" spans="1:39" ht="12.75" customHeight="1" x14ac:dyDescent="0.3">
      <c r="A104" s="174"/>
      <c r="B104" s="174"/>
      <c r="C104" s="174"/>
      <c r="D104" s="15"/>
      <c r="E104" s="15"/>
      <c r="F104" s="505">
        <v>1.7226358385778857</v>
      </c>
      <c r="G104" s="496">
        <v>2.5504967808289206E-2</v>
      </c>
      <c r="H104" s="496">
        <v>7.8237765580925711E-2</v>
      </c>
      <c r="I104" s="496">
        <v>5.8912664567280617E-3</v>
      </c>
      <c r="J104" s="496">
        <v>6.5164858693480343E-3</v>
      </c>
      <c r="K104" s="496">
        <v>9.2093089433521749E-2</v>
      </c>
      <c r="L104" s="496">
        <v>0.13791344872044817</v>
      </c>
      <c r="M104" s="496">
        <v>7.636738705162234E-2</v>
      </c>
      <c r="N104" s="496">
        <v>0.10716308915924501</v>
      </c>
      <c r="O104" s="496">
        <v>7.6367387051622382E-2</v>
      </c>
      <c r="P104" s="496">
        <v>2.9452331351063388E-2</v>
      </c>
      <c r="Q104" s="496">
        <v>0.11092136207866295</v>
      </c>
      <c r="R104" s="496">
        <v>3.5631097284238786E-2</v>
      </c>
      <c r="S104" s="496">
        <v>9.7517949604781037E-2</v>
      </c>
      <c r="T104" s="496">
        <v>0.16206411022453254</v>
      </c>
      <c r="U104" s="496">
        <v>0.33596688115758877</v>
      </c>
      <c r="V104" s="496">
        <v>8.7957105120785903E-2</v>
      </c>
      <c r="W104" s="496">
        <v>0.18058473100083949</v>
      </c>
      <c r="X104" s="496">
        <v>8.7957105120786069E-2</v>
      </c>
      <c r="Y104" s="496">
        <v>4.23907606956168E-2</v>
      </c>
      <c r="Z104" s="496">
        <v>8.5158567546515962E-2</v>
      </c>
      <c r="AA104" s="496">
        <v>0.32428549263232176</v>
      </c>
      <c r="AB104" s="496">
        <v>0.50773792892982272</v>
      </c>
      <c r="AC104" s="496">
        <v>0.12499623535994454</v>
      </c>
      <c r="AD104" s="496">
        <v>5.1298590007201168E-2</v>
      </c>
      <c r="AE104" s="496">
        <v>0.15527476031689399</v>
      </c>
      <c r="AF104" s="496">
        <v>0.37595072026989107</v>
      </c>
      <c r="AG104" s="496">
        <v>0.3847794637530384</v>
      </c>
      <c r="AH104" s="496">
        <v>0.39272102873427667</v>
      </c>
      <c r="AI104" s="496">
        <v>5.0313273843737162E-2</v>
      </c>
      <c r="AJ104" s="496">
        <v>6.6408873231999788E-2</v>
      </c>
      <c r="AK104" s="496">
        <v>0.1537980194680294</v>
      </c>
      <c r="AL104" s="496">
        <v>0.42268327886206764</v>
      </c>
      <c r="AM104" s="499">
        <v>7.0456924801477042E-2</v>
      </c>
    </row>
    <row r="105" spans="1:39" ht="12.75" customHeight="1" x14ac:dyDescent="0.3">
      <c r="A105" s="174"/>
      <c r="B105" s="174"/>
      <c r="C105" s="174"/>
      <c r="D105" s="15"/>
      <c r="E105" s="15"/>
      <c r="F105" s="505">
        <v>1.7433904872354506</v>
      </c>
      <c r="G105" s="496">
        <v>2.3909058062036897E-2</v>
      </c>
      <c r="H105" s="496">
        <v>7.2861871116317534E-2</v>
      </c>
      <c r="I105" s="496">
        <v>5.5195684737934497E-3</v>
      </c>
      <c r="J105" s="496">
        <v>6.1063157723898597E-3</v>
      </c>
      <c r="K105" s="496">
        <v>8.5820541614697279E-2</v>
      </c>
      <c r="L105" s="496">
        <v>0.12990883407902482</v>
      </c>
      <c r="M105" s="496">
        <v>7.110015486199496E-2</v>
      </c>
      <c r="N105" s="496">
        <v>0.10047846176951027</v>
      </c>
      <c r="O105" s="496">
        <v>7.1100154861995016E-2</v>
      </c>
      <c r="P105" s="496">
        <v>2.7595234917554723E-2</v>
      </c>
      <c r="Q105" s="496">
        <v>0.10370203186847959</v>
      </c>
      <c r="R105" s="496">
        <v>3.3413275144792004E-2</v>
      </c>
      <c r="S105" s="496">
        <v>9.0931487760306698E-2</v>
      </c>
      <c r="T105" s="496">
        <v>0.15280194793400825</v>
      </c>
      <c r="U105" s="496">
        <v>0.32125905366915208</v>
      </c>
      <c r="V105" s="496">
        <v>8.1897288806053084E-2</v>
      </c>
      <c r="W105" s="496">
        <v>0.17109755782500383</v>
      </c>
      <c r="X105" s="496">
        <v>8.1897288806053195E-2</v>
      </c>
      <c r="Y105" s="496">
        <v>3.9669329927337016E-2</v>
      </c>
      <c r="Z105" s="496">
        <v>8.0008258525914241E-2</v>
      </c>
      <c r="AA105" s="496">
        <v>0.31176697262930081</v>
      </c>
      <c r="AB105" s="496">
        <v>0.49619283424315713</v>
      </c>
      <c r="AC105" s="496">
        <v>0.11643474091499942</v>
      </c>
      <c r="AD105" s="496">
        <v>4.8147332868050528E-2</v>
      </c>
      <c r="AE105" s="496">
        <v>0.15019262107629522</v>
      </c>
      <c r="AF105" s="496">
        <v>0.37163232197549778</v>
      </c>
      <c r="AG105" s="496">
        <v>0.38416125607040719</v>
      </c>
      <c r="AH105" s="496">
        <v>0.38446468083303259</v>
      </c>
      <c r="AI105" s="496">
        <v>4.6997543328235088E-2</v>
      </c>
      <c r="AJ105" s="496">
        <v>6.1792871133601095E-2</v>
      </c>
      <c r="AK105" s="496">
        <v>0.14279448542283021</v>
      </c>
      <c r="AL105" s="496">
        <v>0.40361167269824716</v>
      </c>
      <c r="AM105" s="499">
        <v>6.5436546774867835E-2</v>
      </c>
    </row>
    <row r="106" spans="1:39" ht="12.75" customHeight="1" x14ac:dyDescent="0.3">
      <c r="A106" s="174"/>
      <c r="B106" s="174"/>
      <c r="C106" s="174"/>
      <c r="D106" s="15"/>
      <c r="E106" s="15"/>
      <c r="F106" s="505">
        <v>1.7641451358930154</v>
      </c>
      <c r="G106" s="496">
        <v>2.2413571287075957E-2</v>
      </c>
      <c r="H106" s="496">
        <v>6.7870604126185577E-2</v>
      </c>
      <c r="I106" s="496">
        <v>5.1713602597949441E-3</v>
      </c>
      <c r="J106" s="496">
        <v>5.7220126745787551E-3</v>
      </c>
      <c r="K106" s="496">
        <v>7.9977295789536967E-2</v>
      </c>
      <c r="L106" s="496">
        <v>0.12236692987493814</v>
      </c>
      <c r="M106" s="496">
        <v>6.6212339475274815E-2</v>
      </c>
      <c r="N106" s="496">
        <v>9.4210803475484634E-2</v>
      </c>
      <c r="O106" s="496">
        <v>6.6212339475274828E-2</v>
      </c>
      <c r="P106" s="496">
        <v>2.5858318206092384E-2</v>
      </c>
      <c r="Q106" s="496">
        <v>9.6957777838935152E-2</v>
      </c>
      <c r="R106" s="496">
        <v>3.1337091280743773E-2</v>
      </c>
      <c r="S106" s="496">
        <v>8.4800903355176496E-2</v>
      </c>
      <c r="T106" s="496">
        <v>0.1440565054880853</v>
      </c>
      <c r="U106" s="496">
        <v>0.30705936468021877</v>
      </c>
      <c r="V106" s="496">
        <v>7.6272086518715504E-2</v>
      </c>
      <c r="W106" s="496">
        <v>0.16209019469528604</v>
      </c>
      <c r="X106" s="496">
        <v>7.6272086518715546E-2</v>
      </c>
      <c r="Y106" s="496">
        <v>3.7141071115484314E-2</v>
      </c>
      <c r="Z106" s="496">
        <v>7.52149481650672E-2</v>
      </c>
      <c r="AA106" s="496">
        <v>0.29971550470328256</v>
      </c>
      <c r="AB106" s="496">
        <v>0.48460294212314975</v>
      </c>
      <c r="AC106" s="496">
        <v>0.10847858250887396</v>
      </c>
      <c r="AD106" s="496">
        <v>4.5223715882413425E-2</v>
      </c>
      <c r="AE106" s="496">
        <v>0.14543267409729435</v>
      </c>
      <c r="AF106" s="496">
        <v>0.36730235519162469</v>
      </c>
      <c r="AG106" s="496">
        <v>0.38333488069088029</v>
      </c>
      <c r="AH106" s="496">
        <v>0.37633400159053709</v>
      </c>
      <c r="AI106" s="496">
        <v>4.3928296005043617E-2</v>
      </c>
      <c r="AJ106" s="496">
        <v>5.754957768654017E-2</v>
      </c>
      <c r="AK106" s="496">
        <v>0.13264466494359442</v>
      </c>
      <c r="AL106" s="496">
        <v>0.38513097666223928</v>
      </c>
      <c r="AM106" s="499">
        <v>6.083695240982441E-2</v>
      </c>
    </row>
    <row r="107" spans="1:39" ht="12.75" customHeight="1" x14ac:dyDescent="0.3">
      <c r="A107" s="174"/>
      <c r="B107" s="174"/>
      <c r="C107" s="174"/>
      <c r="D107" s="15"/>
      <c r="E107" s="15"/>
      <c r="F107" s="505">
        <v>1.7848997845505801</v>
      </c>
      <c r="G107" s="496">
        <v>2.1012102056432801E-2</v>
      </c>
      <c r="H107" s="496">
        <v>6.3235120477202339E-2</v>
      </c>
      <c r="I107" s="496">
        <v>4.8451553660532748E-3</v>
      </c>
      <c r="J107" s="496">
        <v>5.3619424965200271E-3</v>
      </c>
      <c r="K107" s="496">
        <v>7.4533848414529244E-2</v>
      </c>
      <c r="L107" s="496">
        <v>0.11526112985522791</v>
      </c>
      <c r="M107" s="496">
        <v>6.167518781743498E-2</v>
      </c>
      <c r="N107" s="496">
        <v>8.8334118628714181E-2</v>
      </c>
      <c r="O107" s="496">
        <v>6.1675187817435008E-2</v>
      </c>
      <c r="P107" s="496">
        <v>2.4233420474861354E-2</v>
      </c>
      <c r="Q107" s="496">
        <v>9.0657163843808328E-2</v>
      </c>
      <c r="R107" s="496">
        <v>2.9393045648259567E-2</v>
      </c>
      <c r="S107" s="496">
        <v>7.9094014534378129E-2</v>
      </c>
      <c r="T107" s="496">
        <v>0.13580021089505412</v>
      </c>
      <c r="U107" s="496">
        <v>0.29336363617246658</v>
      </c>
      <c r="V107" s="496">
        <v>7.1049041564805918E-2</v>
      </c>
      <c r="W107" s="496">
        <v>0.15353995845433613</v>
      </c>
      <c r="X107" s="496">
        <v>7.1049041564805945E-2</v>
      </c>
      <c r="Y107" s="496">
        <v>3.4790100303263634E-2</v>
      </c>
      <c r="Z107" s="496">
        <v>7.0749267543516972E-2</v>
      </c>
      <c r="AA107" s="496">
        <v>0.28812069907591442</v>
      </c>
      <c r="AB107" s="496">
        <v>0.47299905294833716</v>
      </c>
      <c r="AC107" s="496">
        <v>0.1010849392995942</v>
      </c>
      <c r="AD107" s="496">
        <v>4.2508150236666445E-2</v>
      </c>
      <c r="AE107" s="496">
        <v>0.14096483952812769</v>
      </c>
      <c r="AF107" s="496">
        <v>0.36296697347527174</v>
      </c>
      <c r="AG107" s="496">
        <v>0.38231155091157082</v>
      </c>
      <c r="AH107" s="496">
        <v>0.36833120287498033</v>
      </c>
      <c r="AI107" s="496">
        <v>4.1083720617462204E-2</v>
      </c>
      <c r="AJ107" s="496">
        <v>5.3642551058447056E-2</v>
      </c>
      <c r="AK107" s="496">
        <v>0.12328158481478795</v>
      </c>
      <c r="AL107" s="496">
        <v>0.36725705716230245</v>
      </c>
      <c r="AM107" s="499">
        <v>5.6615539222341235E-2</v>
      </c>
    </row>
    <row r="108" spans="1:39" ht="12.75" customHeight="1" x14ac:dyDescent="0.3">
      <c r="A108" s="174"/>
      <c r="B108" s="174"/>
      <c r="C108" s="174"/>
      <c r="D108" s="15"/>
      <c r="E108" s="15"/>
      <c r="F108" s="505">
        <v>1.8056544332081452</v>
      </c>
      <c r="G108" s="496">
        <v>1.9698697628908805E-2</v>
      </c>
      <c r="H108" s="496">
        <v>5.8928807968401074E-2</v>
      </c>
      <c r="I108" s="496">
        <v>4.5395594018090802E-3</v>
      </c>
      <c r="J108" s="496">
        <v>5.0245722177558729E-3</v>
      </c>
      <c r="K108" s="496">
        <v>6.9462689090718177E-2</v>
      </c>
      <c r="L108" s="496">
        <v>0.10856630936808483</v>
      </c>
      <c r="M108" s="496">
        <v>5.7462204315858835E-2</v>
      </c>
      <c r="N108" s="496">
        <v>8.2823993710007329E-2</v>
      </c>
      <c r="O108" s="496">
        <v>5.7462204315858856E-2</v>
      </c>
      <c r="P108" s="496">
        <v>2.2712972766276672E-2</v>
      </c>
      <c r="Q108" s="496">
        <v>8.4770772335452355E-2</v>
      </c>
      <c r="R108" s="496">
        <v>2.7572330959959045E-2</v>
      </c>
      <c r="S108" s="496">
        <v>7.3780885926620438E-2</v>
      </c>
      <c r="T108" s="496">
        <v>0.12800678846154606</v>
      </c>
      <c r="U108" s="496">
        <v>0.28016605010216644</v>
      </c>
      <c r="V108" s="496">
        <v>6.6198156642614123E-2</v>
      </c>
      <c r="W108" s="496">
        <v>0.14542505651102339</v>
      </c>
      <c r="X108" s="496">
        <v>6.6198156642614164E-2</v>
      </c>
      <c r="Y108" s="496">
        <v>3.2602114149782188E-2</v>
      </c>
      <c r="Z108" s="496">
        <v>6.6584777769231454E-2</v>
      </c>
      <c r="AA108" s="496">
        <v>0.27697134426155934</v>
      </c>
      <c r="AB108" s="496">
        <v>0.4614094821754578</v>
      </c>
      <c r="AC108" s="496">
        <v>9.4213755885583853E-2</v>
      </c>
      <c r="AD108" s="496">
        <v>3.998309490195108E-2</v>
      </c>
      <c r="AE108" s="496">
        <v>0.13676233766315143</v>
      </c>
      <c r="AF108" s="496">
        <v>0.35863167172506205</v>
      </c>
      <c r="AG108" s="496">
        <v>0.38110219394803135</v>
      </c>
      <c r="AH108" s="496">
        <v>0.36045800050782145</v>
      </c>
      <c r="AI108" s="496">
        <v>3.8444368515905845E-2</v>
      </c>
      <c r="AJ108" s="496">
        <v>5.0039608367982165E-2</v>
      </c>
      <c r="AK108" s="496">
        <v>0.11464269842002919</v>
      </c>
      <c r="AL108" s="496">
        <v>0.35000020485533384</v>
      </c>
      <c r="AM108" s="499">
        <v>5.273470273260026E-2</v>
      </c>
    </row>
    <row r="109" spans="1:39" ht="12.75" customHeight="1" x14ac:dyDescent="0.3">
      <c r="A109" s="174"/>
      <c r="B109" s="174"/>
      <c r="C109" s="174"/>
      <c r="D109" s="15"/>
      <c r="E109" s="15"/>
      <c r="F109" s="505">
        <v>1.8264090818657102</v>
      </c>
      <c r="G109" s="496">
        <v>1.8467767897008755E-2</v>
      </c>
      <c r="H109" s="496">
        <v>5.4927218875763593E-2</v>
      </c>
      <c r="I109" s="496">
        <v>4.2532702742882943E-3</v>
      </c>
      <c r="J109" s="496">
        <v>4.7084701975772785E-3</v>
      </c>
      <c r="K109" s="496">
        <v>6.473828218749518E-2</v>
      </c>
      <c r="L109" s="496">
        <v>0.10225885089028308</v>
      </c>
      <c r="M109" s="496">
        <v>5.3549077516665704E-2</v>
      </c>
      <c r="N109" s="496">
        <v>7.7657605136514568E-2</v>
      </c>
      <c r="O109" s="496">
        <v>5.3549077516665732E-2</v>
      </c>
      <c r="P109" s="496">
        <v>2.1289995588380892E-2</v>
      </c>
      <c r="Q109" s="496">
        <v>7.9271205779069542E-2</v>
      </c>
      <c r="R109" s="496">
        <v>2.5866805766520087E-2</v>
      </c>
      <c r="S109" s="496">
        <v>6.8833801435769434E-2</v>
      </c>
      <c r="T109" s="496">
        <v>0.12065132744818564</v>
      </c>
      <c r="U109" s="496">
        <v>0.26745940657111189</v>
      </c>
      <c r="V109" s="496">
        <v>6.1691831861755024E-2</v>
      </c>
      <c r="W109" s="496">
        <v>0.13772466228304828</v>
      </c>
      <c r="X109" s="496">
        <v>6.1691831861755059E-2</v>
      </c>
      <c r="Y109" s="496">
        <v>3.0564254126079382E-2</v>
      </c>
      <c r="Z109" s="496">
        <v>6.2697730423706577E-2</v>
      </c>
      <c r="AA109" s="496">
        <v>0.26625564899626653</v>
      </c>
      <c r="AB109" s="496">
        <v>0.44986004451638884</v>
      </c>
      <c r="AC109" s="496">
        <v>8.7827785642279277E-2</v>
      </c>
      <c r="AD109" s="496">
        <v>3.7632871106394211E-2</v>
      </c>
      <c r="AE109" s="496">
        <v>0.13280141862851008</v>
      </c>
      <c r="AF109" s="496">
        <v>0.35430133515843049</v>
      </c>
      <c r="AG109" s="496">
        <v>0.37971738418260675</v>
      </c>
      <c r="AH109" s="496">
        <v>0.35271566500889789</v>
      </c>
      <c r="AI109" s="496">
        <v>3.599292450401944E-2</v>
      </c>
      <c r="AJ109" s="496">
        <v>4.6712389527130853E-2</v>
      </c>
      <c r="AK109" s="496">
        <v>0.10667007426733069</v>
      </c>
      <c r="AL109" s="496">
        <v>0.33336578522506799</v>
      </c>
      <c r="AM109" s="499">
        <v>4.9161356222553486E-2</v>
      </c>
    </row>
    <row r="110" spans="1:39" ht="12.75" customHeight="1" x14ac:dyDescent="0.3">
      <c r="A110" s="174"/>
      <c r="B110" s="174"/>
      <c r="C110" s="174"/>
      <c r="D110" s="15"/>
      <c r="E110" s="15"/>
      <c r="F110" s="505">
        <v>1.8471637305232749</v>
      </c>
      <c r="G110" s="496">
        <v>1.7314081270446854E-2</v>
      </c>
      <c r="H110" s="496">
        <v>5.1207736045581001E-2</v>
      </c>
      <c r="I110" s="496">
        <v>3.9850640983162874E-3</v>
      </c>
      <c r="J110" s="496">
        <v>4.4122906612393724E-3</v>
      </c>
      <c r="K110" s="496">
        <v>6.0336768596711665E-2</v>
      </c>
      <c r="L110" s="496">
        <v>9.6316409741944567E-2</v>
      </c>
      <c r="M110" s="496">
        <v>4.991334225462131E-2</v>
      </c>
      <c r="N110" s="496">
        <v>7.2813476223927906E-2</v>
      </c>
      <c r="O110" s="496">
        <v>4.9913342254621337E-2</v>
      </c>
      <c r="P110" s="496">
        <v>1.9957991893911911E-2</v>
      </c>
      <c r="Q110" s="496">
        <v>7.4132785507519186E-2</v>
      </c>
      <c r="R110" s="496">
        <v>2.426888853395991E-2</v>
      </c>
      <c r="S110" s="496">
        <v>6.4226932470774184E-2</v>
      </c>
      <c r="T110" s="496">
        <v>0.11371007298898858</v>
      </c>
      <c r="U110" s="496">
        <v>0.25523529641360659</v>
      </c>
      <c r="V110" s="496">
        <v>5.7504502193360313E-2</v>
      </c>
      <c r="W110" s="496">
        <v>0.13041875934187214</v>
      </c>
      <c r="X110" s="496">
        <v>5.7504502193360368E-2</v>
      </c>
      <c r="Y110" s="496">
        <v>2.8664851567333973E-2</v>
      </c>
      <c r="Z110" s="496">
        <v>5.9066597334207771E-2</v>
      </c>
      <c r="AA110" s="496">
        <v>0.25596133642718649</v>
      </c>
      <c r="AB110" s="496">
        <v>0.438374340433902</v>
      </c>
      <c r="AC110" s="496">
        <v>8.189220718242482E-2</v>
      </c>
      <c r="AD110" s="496">
        <v>3.5443330151913484E-2</v>
      </c>
      <c r="AE110" s="496">
        <v>0.12906085357041877</v>
      </c>
      <c r="AF110" s="496">
        <v>0.34998033748475404</v>
      </c>
      <c r="AG110" s="496">
        <v>0.37816739658096021</v>
      </c>
      <c r="AH110" s="496">
        <v>0.34510508299059967</v>
      </c>
      <c r="AI110" s="496">
        <v>3.3713820365523249E-2</v>
      </c>
      <c r="AJ110" s="496">
        <v>4.3635665998316531E-2</v>
      </c>
      <c r="AK110" s="496">
        <v>9.930986834656623E-2</v>
      </c>
      <c r="AL110" s="496">
        <v>0.31735493881824872</v>
      </c>
      <c r="AM110" s="499">
        <v>4.5866137707045909E-2</v>
      </c>
    </row>
    <row r="111" spans="1:39" ht="12.75" customHeight="1" x14ac:dyDescent="0.3">
      <c r="A111" s="174"/>
      <c r="B111" s="174"/>
      <c r="C111" s="174"/>
      <c r="D111" s="15"/>
      <c r="E111" s="15"/>
      <c r="F111" s="505">
        <v>1.8679183791808398</v>
      </c>
      <c r="G111" s="496">
        <v>1.6232759212127506E-2</v>
      </c>
      <c r="H111" s="496">
        <v>4.774954462808581E-2</v>
      </c>
      <c r="I111" s="496">
        <v>3.7337966852435808E-3</v>
      </c>
      <c r="J111" s="496">
        <v>4.134775351363835E-3</v>
      </c>
      <c r="K111" s="496">
        <v>5.6235976584294411E-2</v>
      </c>
      <c r="L111" s="496">
        <v>9.0717958527467044E-2</v>
      </c>
      <c r="M111" s="496">
        <v>4.6534346869063797E-2</v>
      </c>
      <c r="N111" s="496">
        <v>6.8271506360507342E-2</v>
      </c>
      <c r="O111" s="496">
        <v>4.6534346869063825E-2</v>
      </c>
      <c r="P111" s="496">
        <v>1.8710942258030761E-2</v>
      </c>
      <c r="Q111" s="496">
        <v>6.933157797939922E-2</v>
      </c>
      <c r="R111" s="496">
        <v>2.2771550328704569E-2</v>
      </c>
      <c r="S111" s="496">
        <v>5.993634225062211E-2</v>
      </c>
      <c r="T111" s="496">
        <v>0.10716050375444768</v>
      </c>
      <c r="U111" s="496">
        <v>0.24348431681220303</v>
      </c>
      <c r="V111" s="496">
        <v>5.361261528046779E-2</v>
      </c>
      <c r="W111" s="496">
        <v>0.12348822202185543</v>
      </c>
      <c r="X111" s="496">
        <v>5.3612615280467839E-2</v>
      </c>
      <c r="Y111" s="496">
        <v>2.6893350426290652E-2</v>
      </c>
      <c r="Z111" s="496">
        <v>5.5671928156101884E-2</v>
      </c>
      <c r="AA111" s="496">
        <v>0.24607583690508744</v>
      </c>
      <c r="AB111" s="496">
        <v>0.42697373530530564</v>
      </c>
      <c r="AC111" s="496">
        <v>7.6374676427252444E-2</v>
      </c>
      <c r="AD111" s="496">
        <v>3.3401743585087122E-2</v>
      </c>
      <c r="AE111" s="496">
        <v>0.12552175545970959</v>
      </c>
      <c r="AF111" s="496">
        <v>0.34567257184655836</v>
      </c>
      <c r="AG111" s="496">
        <v>0.37646214475353967</v>
      </c>
      <c r="AH111" s="496">
        <v>0.33762679377380056</v>
      </c>
      <c r="AI111" s="496">
        <v>3.1593098716201154E-2</v>
      </c>
      <c r="AJ111" s="496">
        <v>4.0787068740555231E-2</v>
      </c>
      <c r="AK111" s="496">
        <v>9.2512440977960533E-2</v>
      </c>
      <c r="AL111" s="496">
        <v>0.30196511624792277</v>
      </c>
      <c r="AM111" s="499">
        <v>4.2823096933827666E-2</v>
      </c>
    </row>
    <row r="112" spans="1:39" ht="12.75" customHeight="1" x14ac:dyDescent="0.3">
      <c r="A112" s="174"/>
      <c r="B112" s="174"/>
      <c r="C112" s="174"/>
      <c r="D112" s="15"/>
      <c r="E112" s="15"/>
      <c r="F112" s="505">
        <v>1.8886730278384045</v>
      </c>
      <c r="G112" s="496">
        <v>1.5219238773474975E-2</v>
      </c>
      <c r="H112" s="496">
        <v>4.4533459214475053E-2</v>
      </c>
      <c r="I112" s="496">
        <v>3.4983972192099283E-3</v>
      </c>
      <c r="J112" s="496">
        <v>3.8747465901687117E-3</v>
      </c>
      <c r="K112" s="496">
        <v>5.2415279352253749E-2</v>
      </c>
      <c r="L112" s="496">
        <v>8.5443690200932218E-2</v>
      </c>
      <c r="M112" s="496">
        <v>4.3393076959901869E-2</v>
      </c>
      <c r="N112" s="496">
        <v>6.4012863246876078E-2</v>
      </c>
      <c r="O112" s="496">
        <v>4.3393076959901897E-2</v>
      </c>
      <c r="P112" s="496">
        <v>1.7543259836390792E-2</v>
      </c>
      <c r="Q112" s="496">
        <v>6.4845255093357812E-2</v>
      </c>
      <c r="R112" s="496">
        <v>2.1368260853275242E-2</v>
      </c>
      <c r="S112" s="496">
        <v>5.5939822902897611E-2</v>
      </c>
      <c r="T112" s="496">
        <v>0.10098125865841405</v>
      </c>
      <c r="U112" s="496">
        <v>0.23219624531071861</v>
      </c>
      <c r="V112" s="496">
        <v>4.9994444163078473E-2</v>
      </c>
      <c r="W112" s="496">
        <v>0.1169147708869584</v>
      </c>
      <c r="X112" s="496">
        <v>4.9994444163078522E-2</v>
      </c>
      <c r="Y112" s="496">
        <v>2.5240164407192192E-2</v>
      </c>
      <c r="Z112" s="496">
        <v>5.2496084464786985E-2</v>
      </c>
      <c r="AA112" s="496">
        <v>0.23658640201984601</v>
      </c>
      <c r="AB112" s="496">
        <v>0.41567751090921506</v>
      </c>
      <c r="AC112" s="496">
        <v>7.1245143266707486E-2</v>
      </c>
      <c r="AD112" s="496">
        <v>3.1496614826390809E-2</v>
      </c>
      <c r="AE112" s="496">
        <v>0.1221672723369132</v>
      </c>
      <c r="AF112" s="496">
        <v>0.34138150857947752</v>
      </c>
      <c r="AG112" s="496">
        <v>0.37461118408011029</v>
      </c>
      <c r="AH112" s="496">
        <v>0.33028103286972305</v>
      </c>
      <c r="AI112" s="496">
        <v>2.9618192705225827E-2</v>
      </c>
      <c r="AJ112" s="496">
        <v>3.814668092859444E-2</v>
      </c>
      <c r="AK112" s="496">
        <v>8.6232075399653135E-2</v>
      </c>
      <c r="AL112" s="496">
        <v>0.28719064664993188</v>
      </c>
      <c r="AM112" s="499">
        <v>4.0009217000002761E-2</v>
      </c>
    </row>
    <row r="113" spans="5:39" ht="12.75" customHeight="1" x14ac:dyDescent="0.3">
      <c r="E113" s="15"/>
      <c r="F113" s="505">
        <v>1.9094276764959695</v>
      </c>
      <c r="G113" s="496">
        <v>1.4269229005404296E-2</v>
      </c>
      <c r="H113" s="496">
        <v>4.1541769786001763E-2</v>
      </c>
      <c r="I113" s="496">
        <v>3.2778621805224844E-3</v>
      </c>
      <c r="J113" s="496">
        <v>3.6311006142953788E-3</v>
      </c>
      <c r="K113" s="496">
        <v>4.8855462446079981E-2</v>
      </c>
      <c r="L113" s="496">
        <v>8.0474920586522766E-2</v>
      </c>
      <c r="M113" s="496">
        <v>4.0471998967535977E-2</v>
      </c>
      <c r="N113" s="496">
        <v>6.0019878593183355E-2</v>
      </c>
      <c r="O113" s="496">
        <v>4.0471998967535998E-2</v>
      </c>
      <c r="P113" s="496">
        <v>1.6449751763521613E-2</v>
      </c>
      <c r="Q113" s="496">
        <v>6.0652961302673308E-2</v>
      </c>
      <c r="R113" s="496">
        <v>2.0052939423333652E-2</v>
      </c>
      <c r="S113" s="496">
        <v>5.2216745105046758E-2</v>
      </c>
      <c r="T113" s="496">
        <v>9.5152055284561249E-2</v>
      </c>
      <c r="U113" s="496">
        <v>0.22136015771948012</v>
      </c>
      <c r="V113" s="496">
        <v>4.6629918811189552E-2</v>
      </c>
      <c r="W113" s="496">
        <v>0.11068091628886444</v>
      </c>
      <c r="X113" s="496">
        <v>4.6629918811189601E-2</v>
      </c>
      <c r="Y113" s="496">
        <v>2.369655803895452E-2</v>
      </c>
      <c r="Z113" s="496">
        <v>4.9523017918231035E-2</v>
      </c>
      <c r="AA113" s="496">
        <v>0.22748017351369418</v>
      </c>
      <c r="AB113" s="496">
        <v>0.4045029979668332</v>
      </c>
      <c r="AC113" s="496">
        <v>6.6475674709906785E-2</v>
      </c>
      <c r="AD113" s="496">
        <v>2.9717523910911772E-2</v>
      </c>
      <c r="AE113" s="496">
        <v>0.11898233287923872</v>
      </c>
      <c r="AF113" s="496">
        <v>0.33711024272995599</v>
      </c>
      <c r="AG113" s="496">
        <v>0.37262372569484087</v>
      </c>
      <c r="AH113" s="496">
        <v>0.32306776360781531</v>
      </c>
      <c r="AI113" s="496">
        <v>2.7777745842145918E-2</v>
      </c>
      <c r="AJ113" s="496">
        <v>3.5696707705858914E-2</v>
      </c>
      <c r="AK113" s="496">
        <v>8.0426698050159645E-2</v>
      </c>
      <c r="AL113" s="496">
        <v>0.27302316775777197</v>
      </c>
      <c r="AM113" s="499">
        <v>3.7404023976206319E-2</v>
      </c>
    </row>
    <row r="114" spans="5:39" ht="12.75" customHeight="1" x14ac:dyDescent="0.3">
      <c r="E114" s="15"/>
      <c r="F114" s="505">
        <v>1.9301823251535346</v>
      </c>
      <c r="G114" s="496">
        <v>1.3378738386881734E-2</v>
      </c>
      <c r="H114" s="496">
        <v>3.8758109733126933E-2</v>
      </c>
      <c r="I114" s="496">
        <v>3.0712509128135801E-3</v>
      </c>
      <c r="J114" s="496">
        <v>3.4028026876735452E-3</v>
      </c>
      <c r="K114" s="496">
        <v>4.5538619231932864E-2</v>
      </c>
      <c r="L114" s="496">
        <v>7.5794025799442694E-2</v>
      </c>
      <c r="M114" s="496">
        <v>3.7754925320629365E-2</v>
      </c>
      <c r="N114" s="496">
        <v>5.6275973561130163E-2</v>
      </c>
      <c r="O114" s="496">
        <v>3.7754925320629379E-2</v>
      </c>
      <c r="P114" s="496">
        <v>1.542557590271355E-2</v>
      </c>
      <c r="Q114" s="496">
        <v>5.6735212037914429E-2</v>
      </c>
      <c r="R114" s="496">
        <v>1.8819919477889618E-2</v>
      </c>
      <c r="S114" s="496">
        <v>4.8747935798334301E-2</v>
      </c>
      <c r="T114" s="496">
        <v>8.9653648602059904E-2</v>
      </c>
      <c r="U114" s="496">
        <v>0.21096460670752282</v>
      </c>
      <c r="V114" s="496">
        <v>4.3500483046870805E-2</v>
      </c>
      <c r="W114" s="496">
        <v>0.10476994196954391</v>
      </c>
      <c r="X114" s="496">
        <v>4.3500483046870854E-2</v>
      </c>
      <c r="Y114" s="496">
        <v>2.2254545060555245E-2</v>
      </c>
      <c r="Z114" s="496">
        <v>4.6738076533458045E-2</v>
      </c>
      <c r="AA114" s="496">
        <v>0.21874429515513588</v>
      </c>
      <c r="AB114" s="496">
        <v>0.39346572060288504</v>
      </c>
      <c r="AC114" s="496">
        <v>6.2040308383231157E-2</v>
      </c>
      <c r="AD114" s="496">
        <v>2.8054991111270564E-2</v>
      </c>
      <c r="AE114" s="496">
        <v>0.11595341036136518</v>
      </c>
      <c r="AF114" s="496">
        <v>0.33286153915191968</v>
      </c>
      <c r="AG114" s="496">
        <v>0.37050862888265607</v>
      </c>
      <c r="AH114" s="496">
        <v>0.31598671682100798</v>
      </c>
      <c r="AI114" s="496">
        <v>2.6061453441251988E-2</v>
      </c>
      <c r="AJ114" s="496">
        <v>3.3421178142470837E-2</v>
      </c>
      <c r="AK114" s="496">
        <v>7.505761090429891E-2</v>
      </c>
      <c r="AL114" s="496">
        <v>0.25945215635547814</v>
      </c>
      <c r="AM114" s="499">
        <v>3.4989227702731232E-2</v>
      </c>
    </row>
    <row r="115" spans="5:39" ht="12.75" customHeight="1" x14ac:dyDescent="0.3">
      <c r="F115" s="505">
        <v>1.9509369738110993</v>
      </c>
      <c r="G115" s="496">
        <v>1.25440055991029E-2</v>
      </c>
      <c r="H115" s="496">
        <v>3.6167342166658491E-2</v>
      </c>
      <c r="I115" s="496">
        <v>2.8776811551167077E-3</v>
      </c>
      <c r="J115" s="496">
        <v>3.1888822230659694E-3</v>
      </c>
      <c r="K115" s="496">
        <v>4.2448052183500166E-2</v>
      </c>
      <c r="L115" s="496">
        <v>7.1384371753148199E-2</v>
      </c>
      <c r="M115" s="496">
        <v>3.522689910027111E-2</v>
      </c>
      <c r="N115" s="496">
        <v>5.2765582132818498E-2</v>
      </c>
      <c r="O115" s="496">
        <v>3.5226899100271117E-2</v>
      </c>
      <c r="P115" s="496">
        <v>1.446622134569363E-2</v>
      </c>
      <c r="Q115" s="496">
        <v>5.3073794036841163E-2</v>
      </c>
      <c r="R115" s="496">
        <v>1.7663911862982495E-2</v>
      </c>
      <c r="S115" s="496">
        <v>4.5515565133641793E-2</v>
      </c>
      <c r="T115" s="496">
        <v>8.4467772188512397E-2</v>
      </c>
      <c r="U115" s="496">
        <v>0.20099772145248504</v>
      </c>
      <c r="V115" s="496">
        <v>4.0588968192850731E-2</v>
      </c>
      <c r="W115" s="496">
        <v>9.9165866416616649E-2</v>
      </c>
      <c r="X115" s="496">
        <v>4.058896819285078E-2</v>
      </c>
      <c r="Y115" s="496">
        <v>2.090680594015918E-2</v>
      </c>
      <c r="Z115" s="496">
        <v>4.4127850899331314E-2</v>
      </c>
      <c r="AA115" s="496">
        <v>0.21036596565791249</v>
      </c>
      <c r="AB115" s="496">
        <v>0.38257951195009393</v>
      </c>
      <c r="AC115" s="496">
        <v>5.7914912036277022E-2</v>
      </c>
      <c r="AD115" s="496">
        <v>2.6500370442516449E-2</v>
      </c>
      <c r="AE115" s="496">
        <v>0.11306834076651677</v>
      </c>
      <c r="AF115" s="496">
        <v>0.32863786688609115</v>
      </c>
      <c r="AG115" s="496">
        <v>0.36827441020718599</v>
      </c>
      <c r="AH115" s="496">
        <v>0.30903741556607767</v>
      </c>
      <c r="AI115" s="496">
        <v>2.4459940008439478E-2</v>
      </c>
      <c r="AJ115" s="496">
        <v>3.1305719493054926E-2</v>
      </c>
      <c r="AK115" s="496">
        <v>7.0089244504583786E-2</v>
      </c>
      <c r="AL115" s="496">
        <v>0.24646527103920934</v>
      </c>
      <c r="AM115" s="499">
        <v>3.2748449914263851E-2</v>
      </c>
    </row>
    <row r="116" spans="5:39" ht="12.75" customHeight="1" x14ac:dyDescent="0.3">
      <c r="F116" s="505">
        <v>1.9716916224686643</v>
      </c>
      <c r="G116" s="496">
        <v>1.1761525579843507E-2</v>
      </c>
      <c r="H116" s="496">
        <v>3.3755534528726497E-2</v>
      </c>
      <c r="I116" s="496">
        <v>2.6963288765724058E-3</v>
      </c>
      <c r="J116" s="496">
        <v>2.9884325894596725E-3</v>
      </c>
      <c r="K116" s="496">
        <v>3.9568262432580985E-2</v>
      </c>
      <c r="L116" s="496">
        <v>6.723031816262344E-2</v>
      </c>
      <c r="M116" s="496">
        <v>3.2874167063397478E-2</v>
      </c>
      <c r="N116" s="496">
        <v>4.9474149534084265E-2</v>
      </c>
      <c r="O116" s="496">
        <v>3.2874167063397464E-2</v>
      </c>
      <c r="P116" s="496">
        <v>1.356749718741336E-2</v>
      </c>
      <c r="Q116" s="496">
        <v>4.965175868356668E-2</v>
      </c>
      <c r="R116" s="496">
        <v>1.6580000183522986E-2</v>
      </c>
      <c r="S116" s="496">
        <v>4.2503130988759547E-2</v>
      </c>
      <c r="T116" s="496">
        <v>7.9577153599542705E-2</v>
      </c>
      <c r="U116" s="496">
        <v>0.19144728928595148</v>
      </c>
      <c r="V116" s="496">
        <v>3.7879567482072676E-2</v>
      </c>
      <c r="W116" s="496">
        <v>9.3853462119691936E-2</v>
      </c>
      <c r="X116" s="496">
        <v>3.7879567482072746E-2</v>
      </c>
      <c r="Y116" s="496">
        <v>1.9646658539275278E-2</v>
      </c>
      <c r="Z116" s="496">
        <v>4.1680116219296862E-2</v>
      </c>
      <c r="AA116" s="496">
        <v>0.20233250110333892</v>
      </c>
      <c r="AB116" s="496">
        <v>0.37185652131886904</v>
      </c>
      <c r="AC116" s="496">
        <v>5.4077172027324344E-2</v>
      </c>
      <c r="AD116" s="496">
        <v>2.504580772939596E-2</v>
      </c>
      <c r="AE116" s="496">
        <v>0.11031624366548128</v>
      </c>
      <c r="AF116" s="496">
        <v>0.32444141200493104</v>
      </c>
      <c r="AG116" s="496">
        <v>0.36592922566069225</v>
      </c>
      <c r="AH116" s="496">
        <v>0.30221918703944106</v>
      </c>
      <c r="AI116" s="496">
        <v>2.2964709227724749E-2</v>
      </c>
      <c r="AJ116" s="496">
        <v>2.9337456603375001E-2</v>
      </c>
      <c r="AK116" s="496">
        <v>6.5489119937774884E-2</v>
      </c>
      <c r="AL116" s="496">
        <v>0.23404858361697189</v>
      </c>
      <c r="AM116" s="499">
        <v>3.0667100093133288E-2</v>
      </c>
    </row>
    <row r="117" spans="5:39" ht="12.75" customHeight="1" x14ac:dyDescent="0.3">
      <c r="F117" s="505">
        <v>1.9924462711262292</v>
      </c>
      <c r="G117" s="496">
        <v>1.1028027782296937E-2</v>
      </c>
      <c r="H117" s="496">
        <v>3.1509829167580036E-2</v>
      </c>
      <c r="I117" s="496">
        <v>2.5264230924695015E-3</v>
      </c>
      <c r="J117" s="496">
        <v>2.8006054215279955E-3</v>
      </c>
      <c r="K117" s="496">
        <v>3.6884835639193779E-2</v>
      </c>
      <c r="L117" s="496">
        <v>6.3317137088169176E-2</v>
      </c>
      <c r="M117" s="496">
        <v>3.0684048677141283E-2</v>
      </c>
      <c r="N117" s="496">
        <v>4.6388043466919292E-2</v>
      </c>
      <c r="O117" s="496">
        <v>3.0684048677141237E-2</v>
      </c>
      <c r="P117" s="496">
        <v>1.2725499264852653E-2</v>
      </c>
      <c r="Q117" s="496">
        <v>4.6453305807018085E-2</v>
      </c>
      <c r="R117" s="496">
        <v>1.5563602908502042E-2</v>
      </c>
      <c r="S117" s="496">
        <v>3.9695328267256601E-2</v>
      </c>
      <c r="T117" s="496">
        <v>7.496544446322774E-2</v>
      </c>
      <c r="U117" s="496">
        <v>0.1823008699351783</v>
      </c>
      <c r="V117" s="496">
        <v>3.5357692067829967E-2</v>
      </c>
      <c r="W117" s="496">
        <v>8.8818210427120292E-2</v>
      </c>
      <c r="X117" s="496">
        <v>3.5357692067830057E-2</v>
      </c>
      <c r="Y117" s="496">
        <v>1.8467973873600056E-2</v>
      </c>
      <c r="Z117" s="496">
        <v>3.9383672983360901E-2</v>
      </c>
      <c r="AA117" s="496">
        <v>0.19463138818586076</v>
      </c>
      <c r="AB117" s="496">
        <v>0.36130736791264628</v>
      </c>
      <c r="AC117" s="496">
        <v>5.0506422852738979E-2</v>
      </c>
      <c r="AD117" s="496">
        <v>2.368413115639758E-2</v>
      </c>
      <c r="AE117" s="496">
        <v>0.10768733196547747</v>
      </c>
      <c r="AF117" s="496">
        <v>0.32027411478579731</v>
      </c>
      <c r="AG117" s="496">
        <v>0.36348088336795692</v>
      </c>
      <c r="AH117" s="496">
        <v>0.29553119130192101</v>
      </c>
      <c r="AI117" s="496">
        <v>2.156801915773875E-2</v>
      </c>
      <c r="AJ117" s="496">
        <v>2.7504783716369833E-2</v>
      </c>
      <c r="AK117" s="496">
        <v>6.1227535416110694E-2</v>
      </c>
      <c r="AL117" s="496">
        <v>0.22218695629062937</v>
      </c>
      <c r="AM117" s="499">
        <v>2.8732097988166505E-2</v>
      </c>
    </row>
    <row r="118" spans="5:39" ht="12.75" customHeight="1" x14ac:dyDescent="0.3">
      <c r="F118" s="505">
        <v>2.0132009197837939</v>
      </c>
      <c r="G118" s="496">
        <v>1.0340415787938427E-2</v>
      </c>
      <c r="H118" s="496">
        <v>2.9418296175902452E-2</v>
      </c>
      <c r="I118" s="496">
        <v>2.3672395567212196E-3</v>
      </c>
      <c r="J118" s="496">
        <v>2.6246037130731419E-3</v>
      </c>
      <c r="K118" s="496">
        <v>3.4384306039139258E-2</v>
      </c>
      <c r="L118" s="496">
        <v>5.9630910922313984E-2</v>
      </c>
      <c r="M118" s="496">
        <v>2.8644787858215701E-2</v>
      </c>
      <c r="N118" s="496">
        <v>4.3494445479256329E-2</v>
      </c>
      <c r="O118" s="496">
        <v>2.8644787858215653E-2</v>
      </c>
      <c r="P118" s="496">
        <v>1.1936579307317221E-2</v>
      </c>
      <c r="Q118" s="496">
        <v>4.3463643120215112E-2</v>
      </c>
      <c r="R118" s="496">
        <v>1.4610428206244103E-2</v>
      </c>
      <c r="S118" s="496">
        <v>3.7077894594827736E-2</v>
      </c>
      <c r="T118" s="496">
        <v>7.061712723094371E-2</v>
      </c>
      <c r="U118" s="496">
        <v>0.17354590035784453</v>
      </c>
      <c r="V118" s="496">
        <v>3.3009805246165487E-2</v>
      </c>
      <c r="W118" s="496">
        <v>8.4046237352039088E-2</v>
      </c>
      <c r="X118" s="496">
        <v>3.3009805246165577E-2</v>
      </c>
      <c r="Y118" s="496">
        <v>1.7365087543682132E-2</v>
      </c>
      <c r="Z118" s="496">
        <v>3.7228181246992884E-2</v>
      </c>
      <c r="AA118" s="496">
        <v>0.18725032023747201</v>
      </c>
      <c r="AB118" s="496">
        <v>0.35094133144981787</v>
      </c>
      <c r="AC118" s="496">
        <v>4.7183439875567397E-2</v>
      </c>
      <c r="AD118" s="496">
        <v>2.2408738690049945E-2</v>
      </c>
      <c r="AE118" s="496">
        <v>0.10517271763186135</v>
      </c>
      <c r="AF118" s="496">
        <v>0.31613770904997296</v>
      </c>
      <c r="AG118" s="496">
        <v>0.36093686750081599</v>
      </c>
      <c r="AH118" s="496">
        <v>0.28897245116521947</v>
      </c>
      <c r="AI118" s="496">
        <v>2.0262755164056005E-2</v>
      </c>
      <c r="AJ118" s="496">
        <v>2.5797136533447108E-2</v>
      </c>
      <c r="AK118" s="496">
        <v>5.7277188253579692E-2</v>
      </c>
      <c r="AL118" s="496">
        <v>0.21086440087600708</v>
      </c>
      <c r="AM118" s="499">
        <v>2.6931596390769832E-2</v>
      </c>
    </row>
    <row r="119" spans="5:39" ht="12.75" customHeight="1" x14ac:dyDescent="0.3">
      <c r="F119" s="506">
        <v>2.0339555684413591</v>
      </c>
      <c r="G119" s="500">
        <v>9.695815116238668E-3</v>
      </c>
      <c r="H119" s="500">
        <v>2.7469911415108537E-2</v>
      </c>
      <c r="I119" s="500">
        <v>2.2181002085043238E-3</v>
      </c>
      <c r="J119" s="500">
        <v>2.4596811844702841E-3</v>
      </c>
      <c r="K119" s="500">
        <v>3.2054141575021768E-2</v>
      </c>
      <c r="L119" s="500">
        <v>5.6158526668586881E-2</v>
      </c>
      <c r="M119" s="500">
        <v>2.6745530347315222E-2</v>
      </c>
      <c r="N119" s="500">
        <v>4.0781342129130101E-2</v>
      </c>
      <c r="O119" s="500">
        <v>2.6745530347315187E-2</v>
      </c>
      <c r="P119" s="500">
        <v>1.1197329754835504E-2</v>
      </c>
      <c r="Q119" s="500">
        <v>4.0668972247887278E-2</v>
      </c>
      <c r="R119" s="500">
        <v>1.371647125087702E-2</v>
      </c>
      <c r="S119" s="500">
        <v>3.4637591656471109E-2</v>
      </c>
      <c r="T119" s="500">
        <v>6.651751440816446E-2</v>
      </c>
      <c r="U119" s="500">
        <v>0.16516973947692232</v>
      </c>
      <c r="V119" s="500">
        <v>3.0823399215993887E-2</v>
      </c>
      <c r="W119" s="500">
        <v>7.9524317364137481E-2</v>
      </c>
      <c r="X119" s="500">
        <v>3.0823399215993964E-2</v>
      </c>
      <c r="Y119" s="500">
        <v>1.6332785410073651E-2</v>
      </c>
      <c r="Z119" s="500">
        <v>3.5204130797088555E-2</v>
      </c>
      <c r="AA119" s="500">
        <v>0.18017722427021646</v>
      </c>
      <c r="AB119" s="500">
        <v>0.34076637645969954</v>
      </c>
      <c r="AC119" s="500">
        <v>4.4090414222883956E-2</v>
      </c>
      <c r="AD119" s="500">
        <v>2.12135771818701E-2</v>
      </c>
      <c r="AE119" s="500">
        <v>0.10276437046366764</v>
      </c>
      <c r="AF119" s="500">
        <v>0.31203372941455543</v>
      </c>
      <c r="AG119" s="500">
        <v>0.35830433266636852</v>
      </c>
      <c r="AH119" s="500">
        <v>0.28254185906371848</v>
      </c>
      <c r="AI119" s="500">
        <v>1.9042405887840504E-2</v>
      </c>
      <c r="AJ119" s="500">
        <v>2.420494531788225E-2</v>
      </c>
      <c r="AK119" s="500">
        <v>5.3613113123079738E-2</v>
      </c>
      <c r="AL119" s="500">
        <v>0.20006420481581336</v>
      </c>
      <c r="AM119" s="501">
        <v>2.525492170935912E-2</v>
      </c>
    </row>
  </sheetData>
  <hyperlinks>
    <hyperlink ref="J11" r:id="rId1" display="Information on the R script can be found at https://github.com/jormercury/SimpleBox/blob/master/Dynamic_SB4_Rnotebook.md" xr:uid="{30123E00-C199-4F9D-A5ED-27D0BD06E083}"/>
  </hyperlinks>
  <printOptions gridLines="1" gridLinesSet="0"/>
  <pageMargins left="0.75" right="0.75" top="1" bottom="1" header="0.5" footer="0.5"/>
  <pageSetup paperSize="9" scale="14" orientation="portrait" r:id="rId2"/>
  <headerFooter alignWithMargins="0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AC5034"/>
  <sheetViews>
    <sheetView tabSelected="1" topLeftCell="B1" zoomScaleNormal="100" workbookViewId="0">
      <pane ySplit="4" topLeftCell="A3995" activePane="bottomLeft" state="frozen"/>
      <selection pane="bottomLeft" activeCell="B4002" sqref="B4002"/>
    </sheetView>
  </sheetViews>
  <sheetFormatPr defaultColWidth="9.109375" defaultRowHeight="12.75" customHeight="1" x14ac:dyDescent="0.3"/>
  <cols>
    <col min="1" max="1" width="11.77734375" style="23" bestFit="1" customWidth="1"/>
    <col min="2" max="2" width="255.77734375" style="7" bestFit="1" customWidth="1"/>
    <col min="3" max="3" width="40.88671875" style="22" bestFit="1" customWidth="1"/>
    <col min="4" max="4" width="15.33203125" style="18" bestFit="1" customWidth="1"/>
    <col min="5" max="5" width="6.44140625" style="539" bestFit="1" customWidth="1"/>
    <col min="6" max="6" width="12" style="23" bestFit="1" customWidth="1"/>
    <col min="7" max="7" width="7.77734375" style="23" bestFit="1" customWidth="1"/>
    <col min="8" max="8" width="8.44140625" style="8" bestFit="1" customWidth="1"/>
    <col min="9" max="9" width="10.44140625" style="8" bestFit="1" customWidth="1"/>
    <col min="10" max="10" width="6.88671875" style="8" bestFit="1" customWidth="1"/>
    <col min="11" max="11" width="8.44140625" style="8" bestFit="1" customWidth="1"/>
    <col min="12" max="12" width="7.21875" style="8" bestFit="1" customWidth="1"/>
    <col min="13" max="16" width="8" style="8" customWidth="1"/>
    <col min="17" max="17" width="8.88671875" style="8" customWidth="1"/>
    <col min="18" max="18" width="12" style="8" customWidth="1"/>
    <col min="19" max="19" width="10" style="8" customWidth="1"/>
    <col min="20" max="20" width="9.5546875" style="8" customWidth="1"/>
    <col min="21" max="21" width="10.88671875" style="182" bestFit="1" customWidth="1"/>
    <col min="22" max="22" width="11.6640625" style="183" customWidth="1"/>
    <col min="23" max="23" width="11.6640625" style="179" customWidth="1"/>
    <col min="24" max="24" width="9.6640625" style="187" customWidth="1"/>
    <col min="25" max="25" width="12" style="188" customWidth="1"/>
    <col min="26" max="26" width="9.33203125" style="188" customWidth="1"/>
    <col min="27" max="27" width="5.109375" style="196" hidden="1" customWidth="1"/>
    <col min="28" max="28" width="3.6640625" style="7" customWidth="1"/>
    <col min="29" max="16384" width="9.109375" style="7"/>
  </cols>
  <sheetData>
    <row r="1" spans="1:29" ht="12.75" customHeight="1" x14ac:dyDescent="0.3">
      <c r="A1" s="442" t="s">
        <v>1543</v>
      </c>
      <c r="B1" s="163"/>
      <c r="C1" s="164"/>
      <c r="D1" s="529"/>
      <c r="E1" s="439"/>
      <c r="F1" s="161"/>
      <c r="G1" s="16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80"/>
      <c r="V1" s="180"/>
      <c r="W1" s="176"/>
      <c r="X1" s="184"/>
      <c r="Y1" s="185"/>
      <c r="Z1" s="185"/>
      <c r="AA1" s="192"/>
      <c r="AB1" s="172"/>
    </row>
    <row r="2" spans="1:29" ht="12.75" customHeight="1" thickBot="1" x14ac:dyDescent="0.35">
      <c r="A2" s="161"/>
      <c r="B2" s="165"/>
      <c r="C2" s="165"/>
      <c r="D2" s="165"/>
      <c r="E2" s="439"/>
      <c r="F2" s="161"/>
      <c r="G2" s="16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80"/>
      <c r="V2" s="180"/>
      <c r="W2" s="176"/>
      <c r="X2" s="184"/>
      <c r="Y2" s="185"/>
      <c r="Z2" s="185"/>
      <c r="AA2" s="192"/>
      <c r="AB2" s="172"/>
    </row>
    <row r="3" spans="1:29" ht="12.75" customHeight="1" x14ac:dyDescent="0.3">
      <c r="A3" s="189" t="s">
        <v>1747</v>
      </c>
      <c r="B3" s="166" t="s">
        <v>728</v>
      </c>
      <c r="C3" s="167" t="s">
        <v>323</v>
      </c>
      <c r="D3" s="528" t="s">
        <v>404</v>
      </c>
      <c r="E3" s="536" t="s">
        <v>1339</v>
      </c>
      <c r="F3" s="168" t="s">
        <v>117</v>
      </c>
      <c r="G3" s="168" t="s">
        <v>1361</v>
      </c>
      <c r="H3" s="169" t="s">
        <v>696</v>
      </c>
      <c r="I3" s="169" t="s">
        <v>698</v>
      </c>
      <c r="J3" s="170" t="s">
        <v>1740</v>
      </c>
      <c r="K3" s="170" t="s">
        <v>2014</v>
      </c>
      <c r="L3" s="170" t="s">
        <v>1542</v>
      </c>
      <c r="M3" s="170" t="s">
        <v>1745</v>
      </c>
      <c r="N3" s="170" t="s">
        <v>1742</v>
      </c>
      <c r="O3" s="170" t="s">
        <v>1743</v>
      </c>
      <c r="P3" s="170" t="s">
        <v>1744</v>
      </c>
      <c r="Q3" s="169" t="s">
        <v>724</v>
      </c>
      <c r="R3" s="169" t="s">
        <v>725</v>
      </c>
      <c r="S3" s="169" t="s">
        <v>726</v>
      </c>
      <c r="T3" s="169" t="s">
        <v>727</v>
      </c>
      <c r="U3" s="181" t="s">
        <v>2006</v>
      </c>
      <c r="V3" s="181" t="s">
        <v>2007</v>
      </c>
      <c r="W3" s="170" t="s">
        <v>2008</v>
      </c>
      <c r="X3" s="186" t="s">
        <v>2009</v>
      </c>
      <c r="Y3" s="186" t="s">
        <v>2010</v>
      </c>
      <c r="Z3" s="186" t="s">
        <v>2011</v>
      </c>
      <c r="AA3" s="194"/>
      <c r="AB3" s="172"/>
    </row>
    <row r="4" spans="1:29" ht="12.75" customHeight="1" x14ac:dyDescent="0.3">
      <c r="A4" s="234"/>
      <c r="B4" s="235"/>
      <c r="C4" s="236"/>
      <c r="D4" s="238"/>
      <c r="E4" s="537" t="s">
        <v>486</v>
      </c>
      <c r="F4" s="234" t="s">
        <v>1485</v>
      </c>
      <c r="G4" s="237" t="s">
        <v>1486</v>
      </c>
      <c r="H4" s="238" t="s">
        <v>488</v>
      </c>
      <c r="I4" s="238" t="s">
        <v>1487</v>
      </c>
      <c r="J4" s="238" t="s">
        <v>486</v>
      </c>
      <c r="K4" s="238" t="s">
        <v>486</v>
      </c>
      <c r="L4" s="238" t="s">
        <v>486</v>
      </c>
      <c r="M4" s="239" t="s">
        <v>1498</v>
      </c>
      <c r="N4" s="239" t="s">
        <v>1498</v>
      </c>
      <c r="O4" s="239" t="s">
        <v>1498</v>
      </c>
      <c r="P4" s="239" t="s">
        <v>1498</v>
      </c>
      <c r="Q4" s="238" t="s">
        <v>1488</v>
      </c>
      <c r="R4" s="238" t="s">
        <v>1488</v>
      </c>
      <c r="S4" s="238" t="s">
        <v>1488</v>
      </c>
      <c r="T4" s="238" t="s">
        <v>1488</v>
      </c>
      <c r="U4" s="240" t="s">
        <v>1489</v>
      </c>
      <c r="V4" s="240" t="s">
        <v>1489</v>
      </c>
      <c r="W4" s="239" t="s">
        <v>2012</v>
      </c>
      <c r="X4" s="241" t="s">
        <v>486</v>
      </c>
      <c r="Y4" s="241" t="s">
        <v>486</v>
      </c>
      <c r="Z4" s="241" t="s">
        <v>486</v>
      </c>
      <c r="AA4" s="242"/>
      <c r="AB4" s="172"/>
    </row>
    <row r="5" spans="1:29" ht="12.75" customHeight="1" x14ac:dyDescent="0.3">
      <c r="A5" s="161"/>
      <c r="B5" s="160"/>
      <c r="C5" s="160"/>
      <c r="D5" s="165"/>
      <c r="E5" s="538"/>
      <c r="F5" s="423"/>
      <c r="G5" s="423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538"/>
      <c r="V5" s="538"/>
      <c r="W5" s="160"/>
      <c r="X5" s="160"/>
      <c r="Y5" s="160"/>
      <c r="Z5" s="160"/>
      <c r="AA5" s="160"/>
      <c r="AB5" s="172"/>
    </row>
    <row r="6" spans="1:29" ht="12.75" customHeight="1" x14ac:dyDescent="0.3">
      <c r="A6" s="543">
        <f>ChemRowNr</f>
        <v>1</v>
      </c>
      <c r="B6" s="438" t="str">
        <f>IF(ISBLANK(VLOOKUP($A6,$A$8:$Z$5034,COLUMN(),0)),"",VLOOKUP($A6,$A$8:$Z$5034,COLUMN(),0))</f>
        <v>default substance</v>
      </c>
      <c r="C6" s="438" t="str">
        <f>IF(ISBLANK(VLOOKUP($A6,$A$8:$Z$5034,COLUMN(),0)),"",VLOOKUP($A6,$A$8:$Z$5034,COLUMN(),0))</f>
        <v/>
      </c>
      <c r="D6" s="438" t="str">
        <f>IF(ISBLANK(VLOOKUP($A6,$A$8:$Z$5034,COLUMN(),0)),"",VLOOKUP($A6,$A$8:$Z$5034,COLUMN(),0))</f>
        <v>neutral</v>
      </c>
      <c r="E6" s="543" t="str">
        <f>IF(ISBLANK(VLOOKUP($A6,$A$8:$Z$5034,COLUMN(),0)),"",VLOOKUP($A6,$A$8:$Z$5034,COLUMN(),0))</f>
        <v/>
      </c>
      <c r="F6" s="543">
        <f>IF(ISBLANK(VLOOKUP($A6,$A$8:$Z$5034,COLUMN(),0)),"",VLOOKUP($A6,$A$8:$Z$5034,COLUMN(),0))</f>
        <v>147</v>
      </c>
      <c r="G6" s="543">
        <f>IF(ISBLANK(VLOOKUP($A6,$A$8:$Z$5034,COLUMN(),0)),"",VLOOKUP($A6,$A$8:$Z$5034,COLUMN(),0))</f>
        <v>52.1</v>
      </c>
      <c r="H6" s="544">
        <f>IF(ISBLANK(VLOOKUP($A6,$A$8:$Z$5034,COLUMN(),0)),"",VLOOKUP($A6,$A$8:$Z$5034,COLUMN(),0))</f>
        <v>232</v>
      </c>
      <c r="I6" s="544">
        <f>IF(ISBLANK(VLOOKUP($A6,$A$8:$Z$5034,COLUMN(),0)),"",VLOOKUP($A6,$A$8:$Z$5034,COLUMN(),0))</f>
        <v>81.3</v>
      </c>
      <c r="J6" s="544" t="str">
        <f>IF(ISBLANK(VLOOKUP($A6,$A$8:$Z$5034,COLUMN(),0)),"",VLOOKUP($A6,$A$8:$Z$5034,COLUMN(),0))</f>
        <v/>
      </c>
      <c r="K6" s="544">
        <f>IF(ISBLANK(VLOOKUP($A6,$A$8:$Z$5034,COLUMN(),0)),"",VLOOKUP($A6,$A$8:$Z$5034,COLUMN(),0))</f>
        <v>2750</v>
      </c>
      <c r="L6" s="544" t="str">
        <f>IF(ISBLANK(VLOOKUP($A6,$A$8:$Z$5034,COLUMN(),0)),"",VLOOKUP($A6,$A$8:$Z$5034,COLUMN(),0))</f>
        <v/>
      </c>
      <c r="M6" s="544" t="str">
        <f>IF(ISBLANK(VLOOKUP($A6,$A$8:$Z$5034,COLUMN(),0)),"",VLOOKUP($A6,$A$8:$Z$5034,COLUMN(),0))</f>
        <v/>
      </c>
      <c r="N6" s="544" t="str">
        <f>IF(ISBLANK(VLOOKUP($A6,$A$8:$Z$5034,COLUMN(),0)),"",VLOOKUP($A6,$A$8:$Z$5034,COLUMN(),0))</f>
        <v/>
      </c>
      <c r="O6" s="544" t="str">
        <f>IF(ISBLANK(VLOOKUP($A6,$A$8:$Z$5034,COLUMN(),0)),"",VLOOKUP($A6,$A$8:$Z$5034,COLUMN(),0))</f>
        <v/>
      </c>
      <c r="P6" s="544" t="str">
        <f>IF(ISBLANK(VLOOKUP($A6,$A$8:$Z$5034,COLUMN(),0)),"",VLOOKUP($A6,$A$8:$Z$5034,COLUMN(),0))</f>
        <v/>
      </c>
      <c r="Q6" s="544">
        <f>IF(ISBLANK(VLOOKUP($A6,$A$8:$Z$5034,COLUMN(),0)),"",VLOOKUP($A6,$A$8:$Z$5034,COLUMN(),0))</f>
        <v>2.3999999999999998E-7</v>
      </c>
      <c r="R6" s="544">
        <f>IF(ISBLANK(VLOOKUP($A6,$A$8:$Z$5034,COLUMN(),0)),"",VLOOKUP($A6,$A$8:$Z$5034,COLUMN(),0))</f>
        <v>2.1400000000000001E-7</v>
      </c>
      <c r="S6" s="544">
        <f>IF(ISBLANK(VLOOKUP($A6,$A$8:$Z$5034,COLUMN(),0)),"",VLOOKUP($A6,$A$8:$Z$5034,COLUMN(),0))</f>
        <v>2.3800000000000001E-8</v>
      </c>
      <c r="T6" s="544">
        <f>IF(ISBLANK(VLOOKUP($A6,$A$8:$Z$5034,COLUMN(),0)),"",VLOOKUP($A6,$A$8:$Z$5034,COLUMN(),0))</f>
        <v>1.0700000000000001E-7</v>
      </c>
      <c r="U6" s="544">
        <f>IF(ISBLANK(VLOOKUP($A6,$A$8:$Z$5034,COLUMN(),0)),"",VLOOKUP($A6,$A$8:$Z$5034,COLUMN(),0))</f>
        <v>-1.9900000000000002</v>
      </c>
      <c r="V6" s="544">
        <f>IF(ISBLANK(VLOOKUP($A6,$A$8:$Z$5034,COLUMN(),0)),"",VLOOKUP($A6,$A$8:$Z$5034,COLUMN(),0))</f>
        <v>0.4107142857142857</v>
      </c>
      <c r="W6" s="544">
        <f>IF(ISBLANK(VLOOKUP($A6,$A$8:$Z$5034,COLUMN(),0)),"",VLOOKUP($A6,$A$8:$Z$5034,COLUMN(),0))</f>
        <v>30000</v>
      </c>
      <c r="X6" s="544">
        <f>IF(ISBLANK(VLOOKUP($A6,$A$8:$Z$5034,COLUMN(),0)),"",VLOOKUP($A6,$A$8:$Z$5034,COLUMN(),0))</f>
        <v>0.33333333333333331</v>
      </c>
      <c r="Y6" s="544">
        <f>IF(ISBLANK(VLOOKUP($A6,$A$8:$Z$5034,COLUMN(),0)),"",VLOOKUP($A6,$A$8:$Z$5034,COLUMN(),0))</f>
        <v>0.33333333333333331</v>
      </c>
      <c r="Z6" s="544">
        <f>IF(ISBLANK(VLOOKUP($A6,$A$8:$Z$5034,COLUMN(),0)),"",VLOOKUP($A6,$A$8:$Z$5034,COLUMN(),0))</f>
        <v>0.33333333333333331</v>
      </c>
      <c r="AA6" s="544"/>
      <c r="AB6" s="407"/>
    </row>
    <row r="7" spans="1:29" ht="12.75" customHeight="1" x14ac:dyDescent="0.3">
      <c r="A7" s="175"/>
      <c r="B7" s="160"/>
      <c r="C7" s="160"/>
      <c r="D7" s="165"/>
      <c r="E7" s="439"/>
      <c r="F7" s="161"/>
      <c r="G7" s="16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439"/>
      <c r="V7" s="439"/>
      <c r="W7" s="191"/>
      <c r="X7" s="185"/>
      <c r="Y7" s="185"/>
      <c r="Z7" s="172"/>
      <c r="AA7" s="195"/>
      <c r="AB7" s="172"/>
    </row>
    <row r="8" spans="1:29" ht="12.75" customHeight="1" x14ac:dyDescent="0.3">
      <c r="A8" s="175">
        <v>1</v>
      </c>
      <c r="B8" s="160" t="s">
        <v>2058</v>
      </c>
      <c r="C8" s="160"/>
      <c r="D8" s="160" t="s">
        <v>2060</v>
      </c>
      <c r="E8" s="545" t="s">
        <v>2408</v>
      </c>
      <c r="F8" s="161">
        <v>147</v>
      </c>
      <c r="G8" s="161">
        <v>52.1</v>
      </c>
      <c r="H8" s="191">
        <v>232</v>
      </c>
      <c r="I8" s="191">
        <v>81.3</v>
      </c>
      <c r="J8" s="191"/>
      <c r="K8" s="191">
        <v>2750</v>
      </c>
      <c r="L8" s="191"/>
      <c r="M8" s="191"/>
      <c r="N8" s="191"/>
      <c r="O8" s="191"/>
      <c r="P8" s="191"/>
      <c r="Q8" s="191">
        <v>2.3999999999999998E-7</v>
      </c>
      <c r="R8" s="191">
        <v>2.1400000000000001E-7</v>
      </c>
      <c r="S8" s="191">
        <v>2.3800000000000001E-8</v>
      </c>
      <c r="T8" s="191">
        <v>1.0700000000000001E-7</v>
      </c>
      <c r="U8" s="439">
        <v>-1.9900000000000002</v>
      </c>
      <c r="V8" s="439">
        <v>0.4107142857142857</v>
      </c>
      <c r="W8" s="178">
        <v>30000</v>
      </c>
      <c r="X8" s="172">
        <f>1/3</f>
        <v>0.33333333333333331</v>
      </c>
      <c r="Y8" s="172">
        <f>1/3</f>
        <v>0.33333333333333331</v>
      </c>
      <c r="Z8" s="172">
        <f>1/3</f>
        <v>0.33333333333333331</v>
      </c>
      <c r="AA8" s="195">
        <f t="shared" ref="AA8:AA13" si="0">A8</f>
        <v>1</v>
      </c>
      <c r="AB8" s="172"/>
    </row>
    <row r="9" spans="1:29" ht="12.75" customHeight="1" x14ac:dyDescent="0.3">
      <c r="A9" s="161">
        <v>2</v>
      </c>
      <c r="B9" s="160" t="s">
        <v>2122</v>
      </c>
      <c r="C9" s="160"/>
      <c r="D9" s="160" t="s">
        <v>2060</v>
      </c>
      <c r="E9" s="545"/>
      <c r="F9" s="161">
        <v>261</v>
      </c>
      <c r="G9" s="161">
        <v>99.5</v>
      </c>
      <c r="H9" s="191">
        <v>0.24</v>
      </c>
      <c r="I9" s="191">
        <v>2.09</v>
      </c>
      <c r="J9" s="191"/>
      <c r="K9" s="191">
        <v>24000</v>
      </c>
      <c r="L9" s="191"/>
      <c r="M9" s="191"/>
      <c r="N9" s="191"/>
      <c r="O9" s="191"/>
      <c r="P9" s="191"/>
      <c r="Q9" s="191">
        <v>5.3899999999999998E-9</v>
      </c>
      <c r="R9" s="191">
        <v>4.4600000000000002E-8</v>
      </c>
      <c r="S9" s="191">
        <v>4.9499999999999997E-9</v>
      </c>
      <c r="T9" s="191">
        <v>2.2300000000000001E-8</v>
      </c>
      <c r="U9" s="440"/>
      <c r="V9" s="439"/>
      <c r="W9" s="178">
        <v>30000</v>
      </c>
      <c r="X9" s="172">
        <f t="shared" ref="X9:Z4065" si="1">1/3</f>
        <v>0.33333333333333331</v>
      </c>
      <c r="Y9" s="172">
        <f t="shared" si="1"/>
        <v>0.33333333333333331</v>
      </c>
      <c r="Z9" s="172">
        <f t="shared" si="1"/>
        <v>0.33333333333333331</v>
      </c>
      <c r="AA9" s="195">
        <f t="shared" si="0"/>
        <v>2</v>
      </c>
      <c r="AB9" s="159"/>
    </row>
    <row r="10" spans="1:29" ht="12.75" customHeight="1" x14ac:dyDescent="0.3">
      <c r="A10" s="161">
        <v>3</v>
      </c>
      <c r="B10" s="160" t="s">
        <v>2123</v>
      </c>
      <c r="C10" s="160"/>
      <c r="D10" s="160" t="s">
        <v>2061</v>
      </c>
      <c r="E10" s="545">
        <v>7.89</v>
      </c>
      <c r="F10" s="161">
        <v>163</v>
      </c>
      <c r="G10" s="161">
        <v>45</v>
      </c>
      <c r="H10" s="191">
        <v>12</v>
      </c>
      <c r="I10" s="191">
        <v>4500</v>
      </c>
      <c r="J10" s="191"/>
      <c r="K10" s="191">
        <v>1148.1500000000001</v>
      </c>
      <c r="L10" s="191"/>
      <c r="M10" s="191"/>
      <c r="N10" s="191"/>
      <c r="O10" s="191"/>
      <c r="P10" s="191"/>
      <c r="Q10" s="191">
        <v>7.9500000000000001E-7</v>
      </c>
      <c r="R10" s="191">
        <v>2.1400000000000001E-7</v>
      </c>
      <c r="S10" s="191">
        <v>2.3800000000000001E-8</v>
      </c>
      <c r="T10" s="191">
        <v>1.0700000000000001E-7</v>
      </c>
      <c r="U10" s="440"/>
      <c r="V10" s="439"/>
      <c r="W10" s="178">
        <v>30000</v>
      </c>
      <c r="X10" s="172">
        <f t="shared" si="1"/>
        <v>0.33333333333333331</v>
      </c>
      <c r="Y10" s="172">
        <f t="shared" si="1"/>
        <v>0.33333333333333331</v>
      </c>
      <c r="Z10" s="172">
        <f t="shared" si="1"/>
        <v>0.33333333333333331</v>
      </c>
      <c r="AA10" s="195">
        <f t="shared" si="0"/>
        <v>3</v>
      </c>
      <c r="AB10" s="159"/>
    </row>
    <row r="11" spans="1:29" ht="12.75" customHeight="1" x14ac:dyDescent="0.3">
      <c r="A11" s="161">
        <v>4</v>
      </c>
      <c r="B11" s="160" t="s">
        <v>2124</v>
      </c>
      <c r="C11" s="160"/>
      <c r="D11" s="160" t="s">
        <v>2062</v>
      </c>
      <c r="E11" s="545">
        <v>5.13</v>
      </c>
      <c r="F11" s="161">
        <v>140</v>
      </c>
      <c r="G11" s="161">
        <v>65.099999999999994</v>
      </c>
      <c r="H11" s="191">
        <v>0.53300000000000003</v>
      </c>
      <c r="I11" s="191">
        <v>449000</v>
      </c>
      <c r="J11" s="191"/>
      <c r="K11" s="191">
        <v>7.08E-5</v>
      </c>
      <c r="L11" s="191"/>
      <c r="M11" s="191"/>
      <c r="N11" s="191"/>
      <c r="O11" s="191"/>
      <c r="P11" s="191"/>
      <c r="Q11" s="191">
        <v>3.8200000000000002E-4</v>
      </c>
      <c r="R11" s="191">
        <v>1.3400000000000001E-7</v>
      </c>
      <c r="S11" s="191">
        <v>1.4899999999999999E-8</v>
      </c>
      <c r="T11" s="191">
        <v>6.6899999999999997E-8</v>
      </c>
      <c r="U11" s="440"/>
      <c r="V11" s="439"/>
      <c r="W11" s="178">
        <v>30000</v>
      </c>
      <c r="X11" s="172">
        <f t="shared" si="1"/>
        <v>0.33333333333333331</v>
      </c>
      <c r="Y11" s="172">
        <f t="shared" si="1"/>
        <v>0.33333333333333331</v>
      </c>
      <c r="Z11" s="172">
        <f t="shared" si="1"/>
        <v>0.33333333333333331</v>
      </c>
      <c r="AA11" s="195">
        <f t="shared" si="0"/>
        <v>4</v>
      </c>
      <c r="AB11" s="159"/>
    </row>
    <row r="12" spans="1:29" ht="12.75" customHeight="1" x14ac:dyDescent="0.3">
      <c r="A12" s="161">
        <v>5</v>
      </c>
      <c r="B12" s="160" t="s">
        <v>2125</v>
      </c>
      <c r="C12" s="160"/>
      <c r="D12" s="160" t="s">
        <v>2126</v>
      </c>
      <c r="E12" s="545"/>
      <c r="F12" s="161">
        <v>65.38</v>
      </c>
      <c r="G12" s="161">
        <v>420</v>
      </c>
      <c r="H12" s="191">
        <v>9.9999999999999995E-21</v>
      </c>
      <c r="I12" s="191"/>
      <c r="J12" s="191"/>
      <c r="K12" s="191"/>
      <c r="L12" s="191"/>
      <c r="M12" s="191">
        <v>126000</v>
      </c>
      <c r="N12" s="191">
        <v>500</v>
      </c>
      <c r="O12" s="191">
        <v>12600</v>
      </c>
      <c r="P12" s="191">
        <v>950</v>
      </c>
      <c r="Q12" s="191">
        <v>9.9999999999999995E-21</v>
      </c>
      <c r="R12" s="191">
        <v>9.9999999999999995E-21</v>
      </c>
      <c r="S12" s="191">
        <v>9.9999999999999995E-21</v>
      </c>
      <c r="T12" s="191">
        <v>9.9999999999999995E-21</v>
      </c>
      <c r="U12" s="439"/>
      <c r="V12" s="441"/>
      <c r="W12" s="178">
        <v>30000</v>
      </c>
      <c r="X12" s="172">
        <f t="shared" si="1"/>
        <v>0.33333333333333331</v>
      </c>
      <c r="Y12" s="172">
        <f t="shared" si="1"/>
        <v>0.33333333333333331</v>
      </c>
      <c r="Z12" s="172">
        <f t="shared" si="1"/>
        <v>0.33333333333333331</v>
      </c>
      <c r="AA12" s="195">
        <f t="shared" si="0"/>
        <v>5</v>
      </c>
      <c r="AB12" s="172"/>
    </row>
    <row r="13" spans="1:29" ht="12.75" customHeight="1" x14ac:dyDescent="0.3">
      <c r="A13" s="234">
        <v>6</v>
      </c>
      <c r="B13" s="235" t="s">
        <v>2144</v>
      </c>
      <c r="C13" s="235"/>
      <c r="D13" s="235" t="s">
        <v>2408</v>
      </c>
      <c r="E13" s="594"/>
      <c r="F13" s="234">
        <v>201.22</v>
      </c>
      <c r="G13" s="234">
        <v>43</v>
      </c>
      <c r="H13" s="238">
        <v>0.13300000000000001</v>
      </c>
      <c r="I13" s="238">
        <v>75</v>
      </c>
      <c r="J13" s="238"/>
      <c r="K13" s="238">
        <v>1348.96288259165</v>
      </c>
      <c r="L13" s="238"/>
      <c r="M13" s="238"/>
      <c r="N13" s="238"/>
      <c r="O13" s="238"/>
      <c r="P13" s="238"/>
      <c r="Q13" s="238">
        <v>3.5007433361613397E-6</v>
      </c>
      <c r="R13" s="238">
        <v>3.5007433361613399E-7</v>
      </c>
      <c r="S13" s="238">
        <v>3.5007433361613399E-8</v>
      </c>
      <c r="T13" s="238">
        <v>1.1325934322874922E-7</v>
      </c>
      <c r="U13" s="537">
        <v>-3.5012239326625707</v>
      </c>
      <c r="V13" s="595">
        <v>0.44070556766650409</v>
      </c>
      <c r="W13" s="596">
        <v>30000</v>
      </c>
      <c r="X13" s="597">
        <f t="shared" si="1"/>
        <v>0.33333333333333331</v>
      </c>
      <c r="Y13" s="597">
        <f t="shared" si="1"/>
        <v>0.33333333333333331</v>
      </c>
      <c r="Z13" s="597">
        <f t="shared" si="1"/>
        <v>0.33333333333333331</v>
      </c>
      <c r="AA13" s="195">
        <f t="shared" si="0"/>
        <v>6</v>
      </c>
      <c r="AB13" s="172"/>
    </row>
    <row r="14" spans="1:29" ht="12.75" customHeight="1" x14ac:dyDescent="0.3">
      <c r="A14" s="161"/>
      <c r="B14" s="160"/>
      <c r="C14" s="160"/>
      <c r="D14" s="160"/>
      <c r="E14" s="545"/>
      <c r="F14" s="161"/>
      <c r="G14" s="16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439"/>
      <c r="V14" s="441"/>
      <c r="W14" s="178"/>
      <c r="X14" s="172"/>
      <c r="Y14" s="172"/>
      <c r="Z14" s="172"/>
      <c r="AA14" s="195"/>
      <c r="AB14" s="172"/>
    </row>
    <row r="15" spans="1:29" s="159" customFormat="1" ht="12.75" customHeight="1" x14ac:dyDescent="0.3">
      <c r="A15" s="161"/>
      <c r="B15" s="160" t="s">
        <v>4053</v>
      </c>
      <c r="C15" s="160" t="s">
        <v>4054</v>
      </c>
      <c r="D15" s="160" t="s">
        <v>398</v>
      </c>
      <c r="E15" s="439">
        <v>-0.21</v>
      </c>
      <c r="F15" s="439">
        <v>214</v>
      </c>
      <c r="G15" s="655">
        <v>-17.5</v>
      </c>
      <c r="H15" s="439">
        <v>734.8</v>
      </c>
      <c r="I15" s="439">
        <v>447</v>
      </c>
      <c r="J15" s="191"/>
      <c r="K15" s="439">
        <f>10^2.14</f>
        <v>138.0384264602886</v>
      </c>
      <c r="L15" s="191"/>
      <c r="M15" s="191"/>
      <c r="N15" s="191"/>
      <c r="O15" s="191"/>
      <c r="P15" s="191"/>
      <c r="Q15" s="191"/>
      <c r="R15" s="191"/>
      <c r="S15" s="191"/>
      <c r="T15" s="191"/>
      <c r="U15" s="439"/>
      <c r="V15" s="441"/>
      <c r="W15" s="178">
        <v>30000</v>
      </c>
      <c r="X15" s="172">
        <f t="shared" ref="X15:Z62" si="2">1/3</f>
        <v>0.33333333333333331</v>
      </c>
      <c r="Y15" s="172">
        <f t="shared" si="2"/>
        <v>0.33333333333333331</v>
      </c>
      <c r="Z15" s="172">
        <f t="shared" si="2"/>
        <v>0.33333333333333331</v>
      </c>
      <c r="AA15" s="195"/>
      <c r="AB15" s="172"/>
      <c r="AC15" s="666" t="s">
        <v>4072</v>
      </c>
    </row>
    <row r="16" spans="1:29" ht="12.75" customHeight="1" x14ac:dyDescent="0.3">
      <c r="A16" s="161"/>
      <c r="B16" s="160" t="s">
        <v>4055</v>
      </c>
      <c r="C16" s="160" t="s">
        <v>4056</v>
      </c>
      <c r="D16" s="160" t="s">
        <v>398</v>
      </c>
      <c r="E16" s="439">
        <v>-0.8</v>
      </c>
      <c r="F16" s="439">
        <v>264.10000000000002</v>
      </c>
      <c r="G16" s="655">
        <v>-9.5500000000000007</v>
      </c>
      <c r="H16" s="439">
        <v>1070.0999999999999</v>
      </c>
      <c r="I16" s="439">
        <v>100000</v>
      </c>
      <c r="J16" s="191"/>
      <c r="K16" s="439">
        <f>10^1.98</f>
        <v>95.499258602143655</v>
      </c>
      <c r="L16" s="191"/>
      <c r="M16" s="191"/>
      <c r="N16" s="191"/>
      <c r="O16" s="191"/>
      <c r="P16" s="191"/>
      <c r="Q16" s="191"/>
      <c r="R16" s="191"/>
      <c r="S16" s="191"/>
      <c r="T16" s="191"/>
      <c r="U16" s="439"/>
      <c r="V16" s="441"/>
      <c r="W16" s="178">
        <v>30000</v>
      </c>
      <c r="X16" s="172">
        <f t="shared" si="2"/>
        <v>0.33333333333333331</v>
      </c>
      <c r="Y16" s="172">
        <f t="shared" si="2"/>
        <v>0.33333333333333331</v>
      </c>
      <c r="Z16" s="172">
        <f t="shared" si="2"/>
        <v>0.33333333333333331</v>
      </c>
      <c r="AA16" s="195"/>
      <c r="AB16" s="172"/>
      <c r="AC16" s="656" t="s">
        <v>4073</v>
      </c>
    </row>
    <row r="17" spans="1:29" ht="12.75" customHeight="1" x14ac:dyDescent="0.3">
      <c r="A17" s="161"/>
      <c r="B17" s="160" t="s">
        <v>4074</v>
      </c>
      <c r="C17" s="160" t="s">
        <v>4075</v>
      </c>
      <c r="D17" s="160" t="s">
        <v>398</v>
      </c>
      <c r="E17" s="439">
        <v>0.2</v>
      </c>
      <c r="F17" s="439">
        <v>314.10000000000002</v>
      </c>
      <c r="G17" s="655">
        <f>AVERAGE(7.8,14.8)</f>
        <v>11.3</v>
      </c>
      <c r="H17" s="439">
        <v>65.099999999999994</v>
      </c>
      <c r="I17" s="439">
        <v>15700</v>
      </c>
      <c r="J17" s="191"/>
      <c r="K17" s="439">
        <f>10^2.81</f>
        <v>645.65422903465594</v>
      </c>
      <c r="L17" s="191"/>
      <c r="M17" s="191"/>
      <c r="N17" s="191"/>
      <c r="O17" s="191"/>
      <c r="P17" s="191"/>
      <c r="Q17" s="191"/>
      <c r="R17" s="191"/>
      <c r="S17" s="191"/>
      <c r="T17" s="191"/>
      <c r="U17" s="439"/>
      <c r="V17" s="441"/>
      <c r="W17" s="178">
        <v>30000</v>
      </c>
      <c r="X17" s="172">
        <f t="shared" si="2"/>
        <v>0.33333333333333331</v>
      </c>
      <c r="Y17" s="172">
        <f t="shared" si="2"/>
        <v>0.33333333333333331</v>
      </c>
      <c r="Z17" s="172">
        <f t="shared" si="2"/>
        <v>0.33333333333333331</v>
      </c>
      <c r="AA17" s="195"/>
      <c r="AB17" s="172"/>
      <c r="AC17" s="656" t="s">
        <v>4076</v>
      </c>
    </row>
    <row r="18" spans="1:29" ht="12.75" customHeight="1" x14ac:dyDescent="0.3">
      <c r="A18" s="161"/>
      <c r="B18" s="160" t="s">
        <v>4077</v>
      </c>
      <c r="C18" s="160" t="s">
        <v>4078</v>
      </c>
      <c r="D18" s="160" t="s">
        <v>398</v>
      </c>
      <c r="E18" s="439">
        <v>0.06</v>
      </c>
      <c r="F18" s="439">
        <v>364.1</v>
      </c>
      <c r="G18" s="655">
        <f>AVERAGE(24,30)</f>
        <v>27</v>
      </c>
      <c r="H18" s="439">
        <v>318.2</v>
      </c>
      <c r="I18" s="439">
        <v>118000</v>
      </c>
      <c r="J18" s="191"/>
      <c r="K18" s="439">
        <f>10^2.05</f>
        <v>112.20184543019634</v>
      </c>
      <c r="L18" s="191"/>
      <c r="M18" s="191"/>
      <c r="N18" s="191"/>
      <c r="O18" s="191"/>
      <c r="P18" s="191"/>
      <c r="Q18" s="191"/>
      <c r="R18" s="191"/>
      <c r="S18" s="191"/>
      <c r="T18" s="191"/>
      <c r="U18" s="439"/>
      <c r="V18" s="441"/>
      <c r="W18" s="178">
        <v>30000</v>
      </c>
      <c r="X18" s="172">
        <f t="shared" si="2"/>
        <v>0.33333333333333331</v>
      </c>
      <c r="Y18" s="172">
        <f t="shared" si="2"/>
        <v>0.33333333333333331</v>
      </c>
      <c r="Z18" s="172">
        <f t="shared" si="2"/>
        <v>0.33333333333333331</v>
      </c>
      <c r="AA18" s="195"/>
      <c r="AB18" s="172"/>
      <c r="AC18" s="656" t="s">
        <v>4079</v>
      </c>
    </row>
    <row r="19" spans="1:29" s="677" customFormat="1" ht="12.75" customHeight="1" x14ac:dyDescent="0.3">
      <c r="A19" s="667"/>
      <c r="B19" s="668" t="s">
        <v>4080</v>
      </c>
      <c r="C19" s="668" t="s">
        <v>4081</v>
      </c>
      <c r="D19" s="668" t="s">
        <v>398</v>
      </c>
      <c r="E19" s="669">
        <v>3.8</v>
      </c>
      <c r="F19" s="669">
        <v>414.1</v>
      </c>
      <c r="G19" s="670">
        <v>58</v>
      </c>
      <c r="H19" s="669">
        <v>2.34</v>
      </c>
      <c r="I19" s="669">
        <v>9500</v>
      </c>
      <c r="J19" s="671"/>
      <c r="K19" s="669">
        <v>83</v>
      </c>
      <c r="L19" s="671"/>
      <c r="M19" s="671"/>
      <c r="N19" s="671"/>
      <c r="O19" s="671"/>
      <c r="P19" s="671"/>
      <c r="Q19" s="671"/>
      <c r="R19" s="671"/>
      <c r="S19" s="671"/>
      <c r="T19" s="671"/>
      <c r="U19" s="669"/>
      <c r="V19" s="672"/>
      <c r="W19" s="673">
        <v>30000</v>
      </c>
      <c r="X19" s="674">
        <f t="shared" si="2"/>
        <v>0.33333333333333331</v>
      </c>
      <c r="Y19" s="674">
        <f t="shared" si="2"/>
        <v>0.33333333333333331</v>
      </c>
      <c r="Z19" s="674">
        <f t="shared" si="2"/>
        <v>0.33333333333333331</v>
      </c>
      <c r="AA19" s="675"/>
      <c r="AB19" s="674"/>
      <c r="AC19" s="676" t="s">
        <v>4082</v>
      </c>
    </row>
    <row r="20" spans="1:29" ht="12.75" customHeight="1" x14ac:dyDescent="0.3">
      <c r="A20" s="161"/>
      <c r="B20" s="160" t="s">
        <v>4083</v>
      </c>
      <c r="C20" s="160" t="s">
        <v>4084</v>
      </c>
      <c r="D20" s="160" t="s">
        <v>398</v>
      </c>
      <c r="E20" s="439">
        <v>0.23</v>
      </c>
      <c r="F20" s="439">
        <v>464.1</v>
      </c>
      <c r="G20" s="655">
        <f>AVERAGE(53.2,66.5)</f>
        <v>59.85</v>
      </c>
      <c r="H20" s="439">
        <v>2.9</v>
      </c>
      <c r="I20" s="439">
        <v>3000</v>
      </c>
      <c r="J20" s="191"/>
      <c r="K20" s="439">
        <f>10^3.54</f>
        <v>3467.3685045253224</v>
      </c>
      <c r="L20" s="191"/>
      <c r="M20" s="191"/>
      <c r="N20" s="191"/>
      <c r="O20" s="191"/>
      <c r="P20" s="191"/>
      <c r="Q20" s="191"/>
      <c r="R20" s="191"/>
      <c r="S20" s="191"/>
      <c r="T20" s="191"/>
      <c r="U20" s="439"/>
      <c r="V20" s="441"/>
      <c r="W20" s="178">
        <v>30000</v>
      </c>
      <c r="X20" s="172">
        <f t="shared" si="2"/>
        <v>0.33333333333333331</v>
      </c>
      <c r="Y20" s="172">
        <f t="shared" si="2"/>
        <v>0.33333333333333331</v>
      </c>
      <c r="Z20" s="172">
        <f t="shared" si="2"/>
        <v>0.33333333333333331</v>
      </c>
      <c r="AA20" s="195"/>
      <c r="AB20" s="172"/>
      <c r="AC20" s="656" t="s">
        <v>4085</v>
      </c>
    </row>
    <row r="21" spans="1:29" ht="12.75" customHeight="1" x14ac:dyDescent="0.3">
      <c r="A21" s="161"/>
      <c r="B21" s="160" t="s">
        <v>4086</v>
      </c>
      <c r="C21" s="160" t="s">
        <v>4087</v>
      </c>
      <c r="D21" s="160" t="s">
        <v>398</v>
      </c>
      <c r="E21" s="439">
        <v>0.4</v>
      </c>
      <c r="F21" s="439">
        <v>514</v>
      </c>
      <c r="G21" s="655">
        <f>AVERAGE(79.7,82.9)</f>
        <v>81.300000000000011</v>
      </c>
      <c r="H21" s="439">
        <v>1.4</v>
      </c>
      <c r="I21" s="439">
        <v>670</v>
      </c>
      <c r="J21" s="191"/>
      <c r="K21" s="439">
        <f>10^4.15</f>
        <v>14125.375446227561</v>
      </c>
      <c r="L21" s="191"/>
      <c r="M21" s="191"/>
      <c r="N21" s="191"/>
      <c r="O21" s="191"/>
      <c r="P21" s="191"/>
      <c r="Q21" s="191"/>
      <c r="R21" s="191"/>
      <c r="S21" s="191"/>
      <c r="T21" s="191"/>
      <c r="U21" s="439"/>
      <c r="V21" s="441"/>
      <c r="W21" s="178">
        <v>30000</v>
      </c>
      <c r="X21" s="172">
        <f t="shared" si="2"/>
        <v>0.33333333333333331</v>
      </c>
      <c r="Y21" s="172">
        <f t="shared" si="2"/>
        <v>0.33333333333333331</v>
      </c>
      <c r="Z21" s="172">
        <f t="shared" si="2"/>
        <v>0.33333333333333331</v>
      </c>
      <c r="AA21" s="195"/>
      <c r="AB21" s="172"/>
      <c r="AC21" s="656" t="s">
        <v>4088</v>
      </c>
    </row>
    <row r="22" spans="1:29" ht="12.75" customHeight="1" x14ac:dyDescent="0.3">
      <c r="A22" s="161"/>
      <c r="B22" s="160" t="s">
        <v>4089</v>
      </c>
      <c r="C22" s="160" t="s">
        <v>4090</v>
      </c>
      <c r="D22" s="160" t="s">
        <v>398</v>
      </c>
      <c r="E22" s="439">
        <v>0.54</v>
      </c>
      <c r="F22" s="439">
        <v>564.1</v>
      </c>
      <c r="G22" s="655">
        <f>AVERAGE(97.9,100.3)</f>
        <v>99.1</v>
      </c>
      <c r="H22" s="439">
        <v>0.9</v>
      </c>
      <c r="I22" s="439">
        <v>92.3</v>
      </c>
      <c r="J22" s="191"/>
      <c r="K22" s="439">
        <f>10^4</f>
        <v>10000</v>
      </c>
      <c r="L22" s="191"/>
      <c r="M22" s="191"/>
      <c r="N22" s="191"/>
      <c r="O22" s="191"/>
      <c r="P22" s="191"/>
      <c r="Q22" s="191"/>
      <c r="R22" s="191"/>
      <c r="S22" s="191"/>
      <c r="T22" s="191"/>
      <c r="U22" s="439"/>
      <c r="V22" s="441"/>
      <c r="W22" s="178">
        <v>30000</v>
      </c>
      <c r="X22" s="172">
        <f t="shared" si="2"/>
        <v>0.33333333333333331</v>
      </c>
      <c r="Y22" s="172">
        <f t="shared" si="2"/>
        <v>0.33333333333333331</v>
      </c>
      <c r="Z22" s="172">
        <f t="shared" si="2"/>
        <v>0.33333333333333331</v>
      </c>
      <c r="AA22" s="195"/>
      <c r="AB22" s="172"/>
      <c r="AC22" s="656" t="s">
        <v>4091</v>
      </c>
    </row>
    <row r="23" spans="1:29" ht="12.75" customHeight="1" x14ac:dyDescent="0.3">
      <c r="A23" s="161"/>
      <c r="B23" s="160" t="s">
        <v>4092</v>
      </c>
      <c r="C23" s="160" t="s">
        <v>4093</v>
      </c>
      <c r="D23" s="160" t="s">
        <v>398</v>
      </c>
      <c r="E23" s="439">
        <v>0.54</v>
      </c>
      <c r="F23" s="439">
        <v>614.1</v>
      </c>
      <c r="G23" s="655">
        <f>AVERAGE(108,114)</f>
        <v>111</v>
      </c>
      <c r="H23" s="439">
        <v>1.1000000000000001</v>
      </c>
      <c r="I23" s="439">
        <v>0.52</v>
      </c>
      <c r="J23" s="191"/>
      <c r="K23" s="191">
        <f>10^9.24</f>
        <v>1737800828.7493825</v>
      </c>
      <c r="L23" s="191"/>
      <c r="M23" s="191"/>
      <c r="N23" s="191"/>
      <c r="O23" s="191"/>
      <c r="P23" s="191"/>
      <c r="Q23" s="191"/>
      <c r="R23" s="191"/>
      <c r="S23" s="191"/>
      <c r="T23" s="191"/>
      <c r="U23" s="439"/>
      <c r="V23" s="441"/>
      <c r="W23" s="178">
        <v>30000</v>
      </c>
      <c r="X23" s="172">
        <f t="shared" si="2"/>
        <v>0.33333333333333331</v>
      </c>
      <c r="Y23" s="172">
        <f t="shared" si="2"/>
        <v>0.33333333333333331</v>
      </c>
      <c r="Z23" s="172">
        <f t="shared" si="2"/>
        <v>0.33333333333333331</v>
      </c>
      <c r="AA23" s="195"/>
      <c r="AB23" s="172"/>
      <c r="AC23" s="656" t="s">
        <v>4094</v>
      </c>
    </row>
    <row r="24" spans="1:29" ht="12.75" customHeight="1" x14ac:dyDescent="0.3">
      <c r="A24" s="161"/>
      <c r="B24" s="160" t="s">
        <v>4095</v>
      </c>
      <c r="C24" s="160" t="s">
        <v>4096</v>
      </c>
      <c r="D24" s="160" t="s">
        <v>398</v>
      </c>
      <c r="E24" s="439">
        <v>0.54</v>
      </c>
      <c r="F24" s="439">
        <v>664.1</v>
      </c>
      <c r="G24" s="655">
        <f>AVERAGE(112,123)</f>
        <v>117.5</v>
      </c>
      <c r="H24" s="439">
        <v>0.02</v>
      </c>
      <c r="I24" s="439">
        <v>8.5</v>
      </c>
      <c r="J24" s="191"/>
      <c r="K24" s="191">
        <f>10^8.73</f>
        <v>537031796.37025368</v>
      </c>
      <c r="L24" s="191"/>
      <c r="M24" s="191"/>
      <c r="N24" s="191"/>
      <c r="O24" s="191"/>
      <c r="P24" s="191"/>
      <c r="Q24" s="191"/>
      <c r="R24" s="191"/>
      <c r="S24" s="191"/>
      <c r="T24" s="191"/>
      <c r="U24" s="439"/>
      <c r="V24" s="441"/>
      <c r="W24" s="178">
        <v>30000</v>
      </c>
      <c r="X24" s="172">
        <f t="shared" si="2"/>
        <v>0.33333333333333331</v>
      </c>
      <c r="Y24" s="172">
        <f t="shared" si="2"/>
        <v>0.33333333333333331</v>
      </c>
      <c r="Z24" s="172">
        <f t="shared" si="2"/>
        <v>0.33333333333333331</v>
      </c>
      <c r="AA24" s="195"/>
      <c r="AB24" s="172"/>
      <c r="AC24" s="656" t="s">
        <v>4097</v>
      </c>
    </row>
    <row r="25" spans="1:29" ht="12.75" customHeight="1" x14ac:dyDescent="0.3">
      <c r="A25" s="161"/>
      <c r="B25" s="160" t="s">
        <v>4098</v>
      </c>
      <c r="C25" s="160" t="s">
        <v>4099</v>
      </c>
      <c r="D25" s="160" t="s">
        <v>398</v>
      </c>
      <c r="E25" s="439">
        <v>0.54</v>
      </c>
      <c r="F25" s="439">
        <v>714.1</v>
      </c>
      <c r="G25" s="655">
        <f>AVERAGE(130,135)</f>
        <v>132.5</v>
      </c>
      <c r="H25" s="439">
        <v>1.7</v>
      </c>
      <c r="I25" s="439">
        <v>3.6</v>
      </c>
      <c r="J25" s="191"/>
      <c r="K25" s="191">
        <f>10^5.1</f>
        <v>125892.54117941685</v>
      </c>
      <c r="L25" s="191"/>
      <c r="M25" s="191"/>
      <c r="N25" s="191"/>
      <c r="O25" s="191"/>
      <c r="P25" s="191"/>
      <c r="Q25" s="191"/>
      <c r="R25" s="191"/>
      <c r="S25" s="191"/>
      <c r="T25" s="191"/>
      <c r="U25" s="439"/>
      <c r="V25" s="441"/>
      <c r="W25" s="178">
        <v>30000</v>
      </c>
      <c r="X25" s="172">
        <f t="shared" si="2"/>
        <v>0.33333333333333331</v>
      </c>
      <c r="Y25" s="172">
        <f t="shared" si="2"/>
        <v>0.33333333333333331</v>
      </c>
      <c r="Z25" s="172">
        <f t="shared" si="2"/>
        <v>0.33333333333333331</v>
      </c>
      <c r="AA25" s="195"/>
      <c r="AB25" s="172"/>
      <c r="AC25" s="656" t="s">
        <v>4100</v>
      </c>
    </row>
    <row r="26" spans="1:29" ht="12.75" customHeight="1" x14ac:dyDescent="0.3">
      <c r="A26" s="161"/>
      <c r="B26" s="160" t="s">
        <v>4057</v>
      </c>
      <c r="C26" s="160" t="s">
        <v>4058</v>
      </c>
      <c r="D26" s="160" t="s">
        <v>398</v>
      </c>
      <c r="E26" s="439">
        <v>-1.61</v>
      </c>
      <c r="F26" s="439">
        <v>300</v>
      </c>
      <c r="G26" s="655">
        <v>-21</v>
      </c>
      <c r="H26" s="439">
        <v>65.900000000000006</v>
      </c>
      <c r="I26" s="439">
        <v>344</v>
      </c>
      <c r="J26" s="191"/>
      <c r="K26" s="191">
        <f>10^2.77</f>
        <v>588.84365535558959</v>
      </c>
      <c r="L26" s="191"/>
      <c r="M26" s="191"/>
      <c r="N26" s="191"/>
      <c r="O26" s="191"/>
      <c r="P26" s="191"/>
      <c r="Q26" s="191"/>
      <c r="R26" s="191"/>
      <c r="S26" s="191"/>
      <c r="T26" s="191"/>
      <c r="U26" s="439"/>
      <c r="V26" s="441"/>
      <c r="W26" s="178">
        <v>30000</v>
      </c>
      <c r="X26" s="172">
        <f t="shared" si="2"/>
        <v>0.33333333333333331</v>
      </c>
      <c r="Y26" s="172">
        <f t="shared" si="2"/>
        <v>0.33333333333333331</v>
      </c>
      <c r="Z26" s="172">
        <f t="shared" si="2"/>
        <v>0.33333333333333331</v>
      </c>
      <c r="AA26" s="195"/>
      <c r="AB26" s="172"/>
      <c r="AC26" s="656" t="s">
        <v>4101</v>
      </c>
    </row>
    <row r="27" spans="1:29" ht="12.75" customHeight="1" x14ac:dyDescent="0.3">
      <c r="A27" s="161"/>
      <c r="B27" s="160" t="s">
        <v>4102</v>
      </c>
      <c r="C27" s="160" t="s">
        <v>4103</v>
      </c>
      <c r="D27" s="160" t="s">
        <v>398</v>
      </c>
      <c r="E27" s="439">
        <v>-1.77</v>
      </c>
      <c r="F27" s="439">
        <v>350.1</v>
      </c>
      <c r="G27" s="655">
        <f>AVERAGE(10.7,135)</f>
        <v>72.849999999999994</v>
      </c>
      <c r="H27" s="439">
        <v>3.8000000000000002E-5</v>
      </c>
      <c r="I27" s="439">
        <v>65875.899999999994</v>
      </c>
      <c r="J27" s="191"/>
      <c r="K27" s="191">
        <f>10^3.38</f>
        <v>2398.8329190194918</v>
      </c>
      <c r="L27" s="191"/>
      <c r="M27" s="191"/>
      <c r="N27" s="191"/>
      <c r="O27" s="191"/>
      <c r="P27" s="191"/>
      <c r="Q27" s="191"/>
      <c r="R27" s="191"/>
      <c r="S27" s="191"/>
      <c r="T27" s="191"/>
      <c r="U27" s="439"/>
      <c r="V27" s="441"/>
      <c r="W27" s="178">
        <v>30000</v>
      </c>
      <c r="X27" s="172">
        <f t="shared" si="2"/>
        <v>0.33333333333333331</v>
      </c>
      <c r="Y27" s="172">
        <f t="shared" si="2"/>
        <v>0.33333333333333331</v>
      </c>
      <c r="Z27" s="172">
        <f t="shared" si="2"/>
        <v>0.33333333333333331</v>
      </c>
      <c r="AA27" s="195"/>
      <c r="AB27" s="172"/>
      <c r="AC27" s="656" t="s">
        <v>4104</v>
      </c>
    </row>
    <row r="28" spans="1:29" ht="12.75" customHeight="1" x14ac:dyDescent="0.3">
      <c r="A28" s="161"/>
      <c r="B28" s="160" t="s">
        <v>4105</v>
      </c>
      <c r="C28" s="160" t="s">
        <v>4106</v>
      </c>
      <c r="D28" s="160" t="s">
        <v>398</v>
      </c>
      <c r="E28" s="439">
        <v>-1.64</v>
      </c>
      <c r="F28" s="439">
        <v>400.1</v>
      </c>
      <c r="G28" s="655">
        <v>41</v>
      </c>
      <c r="H28" s="439">
        <v>25.5</v>
      </c>
      <c r="I28" s="439">
        <v>6.2</v>
      </c>
      <c r="J28" s="191"/>
      <c r="K28" s="191">
        <f>10^2.2</f>
        <v>158.48931924611153</v>
      </c>
      <c r="L28" s="191"/>
      <c r="M28" s="191"/>
      <c r="N28" s="191"/>
      <c r="O28" s="191"/>
      <c r="P28" s="191"/>
      <c r="Q28" s="191"/>
      <c r="R28" s="191"/>
      <c r="S28" s="191"/>
      <c r="T28" s="191"/>
      <c r="U28" s="439"/>
      <c r="V28" s="441"/>
      <c r="W28" s="178">
        <v>30000</v>
      </c>
      <c r="X28" s="172">
        <f t="shared" si="2"/>
        <v>0.33333333333333331</v>
      </c>
      <c r="Y28" s="172">
        <f t="shared" si="2"/>
        <v>0.33333333333333331</v>
      </c>
      <c r="Z28" s="172">
        <f t="shared" si="2"/>
        <v>0.33333333333333331</v>
      </c>
      <c r="AA28" s="195"/>
      <c r="AB28" s="172"/>
      <c r="AC28" s="656" t="s">
        <v>4107</v>
      </c>
    </row>
    <row r="29" spans="1:29" ht="12.75" customHeight="1" x14ac:dyDescent="0.3">
      <c r="A29" s="161"/>
      <c r="B29" s="160" t="s">
        <v>4108</v>
      </c>
      <c r="C29" s="160" t="s">
        <v>4109</v>
      </c>
      <c r="D29" s="160" t="s">
        <v>398</v>
      </c>
      <c r="E29" s="439">
        <v>-1.81</v>
      </c>
      <c r="F29" s="439">
        <v>450.1</v>
      </c>
      <c r="G29" s="655">
        <f>AVERAGE(24.9,182)</f>
        <v>103.45</v>
      </c>
      <c r="H29" s="439">
        <v>4.3999999999999999E-5</v>
      </c>
      <c r="I29" s="439">
        <v>3155.4</v>
      </c>
      <c r="J29" s="191"/>
      <c r="K29" s="191">
        <f>10^4.81</f>
        <v>64565.422903465565</v>
      </c>
      <c r="L29" s="191"/>
      <c r="M29" s="191"/>
      <c r="N29" s="191"/>
      <c r="O29" s="191"/>
      <c r="P29" s="191"/>
      <c r="Q29" s="191"/>
      <c r="R29" s="191"/>
      <c r="S29" s="191"/>
      <c r="T29" s="191"/>
      <c r="U29" s="439"/>
      <c r="V29" s="441"/>
      <c r="W29" s="178">
        <v>30000</v>
      </c>
      <c r="X29" s="172">
        <f t="shared" si="2"/>
        <v>0.33333333333333331</v>
      </c>
      <c r="Y29" s="172">
        <f t="shared" si="2"/>
        <v>0.33333333333333331</v>
      </c>
      <c r="Z29" s="172">
        <f t="shared" si="2"/>
        <v>0.33333333333333331</v>
      </c>
      <c r="AA29" s="195"/>
      <c r="AB29" s="172"/>
      <c r="AC29" s="656" t="s">
        <v>4110</v>
      </c>
    </row>
    <row r="30" spans="1:29" ht="12.75" customHeight="1" x14ac:dyDescent="0.3">
      <c r="A30" s="161"/>
      <c r="B30" s="160" t="s">
        <v>4111</v>
      </c>
      <c r="C30" s="160" t="s">
        <v>4112</v>
      </c>
      <c r="D30" s="160" t="s">
        <v>398</v>
      </c>
      <c r="E30" s="439">
        <v>-1.64</v>
      </c>
      <c r="F30" s="439">
        <v>500.1</v>
      </c>
      <c r="G30" s="655">
        <v>53</v>
      </c>
      <c r="H30" s="439">
        <v>8</v>
      </c>
      <c r="I30" s="439">
        <v>570</v>
      </c>
      <c r="J30" s="191"/>
      <c r="K30" s="191">
        <f>10^5.5</f>
        <v>316227.7660168382</v>
      </c>
      <c r="L30" s="191"/>
      <c r="M30" s="191"/>
      <c r="N30" s="191"/>
      <c r="O30" s="191"/>
      <c r="P30" s="191"/>
      <c r="Q30" s="191"/>
      <c r="R30" s="191"/>
      <c r="S30" s="191"/>
      <c r="T30" s="191"/>
      <c r="U30" s="439"/>
      <c r="V30" s="441"/>
      <c r="W30" s="178">
        <v>30000</v>
      </c>
      <c r="X30" s="172">
        <f t="shared" si="2"/>
        <v>0.33333333333333331</v>
      </c>
      <c r="Y30" s="172">
        <f t="shared" si="2"/>
        <v>0.33333333333333331</v>
      </c>
      <c r="Z30" s="172">
        <f t="shared" si="2"/>
        <v>0.33333333333333331</v>
      </c>
      <c r="AA30" s="195"/>
      <c r="AB30" s="172"/>
      <c r="AC30" s="656" t="s">
        <v>4113</v>
      </c>
    </row>
    <row r="31" spans="1:29" ht="12.75" customHeight="1" x14ac:dyDescent="0.3">
      <c r="A31" s="161"/>
      <c r="B31" s="160" t="s">
        <v>4114</v>
      </c>
      <c r="C31" s="160" t="s">
        <v>4115</v>
      </c>
      <c r="D31" s="160" t="s">
        <v>398</v>
      </c>
      <c r="E31" s="439">
        <v>-1.68</v>
      </c>
      <c r="F31" s="439">
        <v>550.1</v>
      </c>
      <c r="G31" s="655">
        <f>AVERAGE(13.4,183)</f>
        <v>98.2</v>
      </c>
      <c r="H31" s="439">
        <v>2.0000000000000001E-4</v>
      </c>
      <c r="I31" s="439">
        <v>329.7</v>
      </c>
      <c r="J31" s="191"/>
      <c r="K31" s="191">
        <f>10^6.58</f>
        <v>3801893.963205616</v>
      </c>
      <c r="L31" s="191"/>
      <c r="M31" s="191"/>
      <c r="N31" s="191"/>
      <c r="O31" s="191"/>
      <c r="P31" s="191"/>
      <c r="Q31" s="191"/>
      <c r="R31" s="191"/>
      <c r="S31" s="191"/>
      <c r="T31" s="191"/>
      <c r="U31" s="439"/>
      <c r="V31" s="441"/>
      <c r="W31" s="178">
        <v>30000</v>
      </c>
      <c r="X31" s="172">
        <f t="shared" si="2"/>
        <v>0.33333333333333331</v>
      </c>
      <c r="Y31" s="172">
        <f t="shared" si="2"/>
        <v>0.33333333333333331</v>
      </c>
      <c r="Z31" s="172">
        <f t="shared" si="2"/>
        <v>0.33333333333333331</v>
      </c>
      <c r="AA31" s="195"/>
      <c r="AB31" s="172"/>
      <c r="AC31" s="656" t="s">
        <v>4116</v>
      </c>
    </row>
    <row r="32" spans="1:29" ht="12.75" customHeight="1" x14ac:dyDescent="0.3">
      <c r="A32" s="161"/>
      <c r="B32" s="160" t="s">
        <v>4117</v>
      </c>
      <c r="C32" s="160" t="s">
        <v>4118</v>
      </c>
      <c r="D32" s="160" t="s">
        <v>398</v>
      </c>
      <c r="E32" s="439">
        <v>-1.54</v>
      </c>
      <c r="F32" s="439">
        <v>600.1</v>
      </c>
      <c r="G32" s="655">
        <f>AVERAGE(11.6,186)</f>
        <v>98.8</v>
      </c>
      <c r="H32" s="439">
        <v>0.4</v>
      </c>
      <c r="I32" s="439">
        <v>85.1</v>
      </c>
      <c r="J32" s="191"/>
      <c r="K32" s="191">
        <f>10^6.9</f>
        <v>7943282.3472428275</v>
      </c>
      <c r="L32" s="191"/>
      <c r="M32" s="191"/>
      <c r="N32" s="191"/>
      <c r="O32" s="191"/>
      <c r="P32" s="191"/>
      <c r="Q32" s="191"/>
      <c r="R32" s="191"/>
      <c r="S32" s="191"/>
      <c r="T32" s="191"/>
      <c r="U32" s="439"/>
      <c r="V32" s="441"/>
      <c r="W32" s="178">
        <v>30000</v>
      </c>
      <c r="X32" s="172">
        <f t="shared" si="2"/>
        <v>0.33333333333333331</v>
      </c>
      <c r="Y32" s="172">
        <f t="shared" si="2"/>
        <v>0.33333333333333331</v>
      </c>
      <c r="Z32" s="172">
        <f t="shared" si="2"/>
        <v>0.33333333333333331</v>
      </c>
      <c r="AA32" s="195"/>
      <c r="AB32" s="172"/>
      <c r="AC32" s="656" t="s">
        <v>4119</v>
      </c>
    </row>
    <row r="33" spans="1:29" ht="12.75" customHeight="1" x14ac:dyDescent="0.3">
      <c r="A33" s="161"/>
      <c r="B33" s="160" t="s">
        <v>4120</v>
      </c>
      <c r="C33" s="160" t="s">
        <v>4121</v>
      </c>
      <c r="D33" s="160" t="s">
        <v>398</v>
      </c>
      <c r="E33" s="439">
        <v>3.54</v>
      </c>
      <c r="F33" s="439">
        <v>342.1</v>
      </c>
      <c r="G33" s="655">
        <f>AVERAGE(53.9,57.3)</f>
        <v>55.599999999999994</v>
      </c>
      <c r="H33" s="439">
        <v>39.1</v>
      </c>
      <c r="I33" s="439">
        <v>145.69999999999999</v>
      </c>
      <c r="J33" s="191"/>
      <c r="K33" s="191">
        <f>10^3.83</f>
        <v>6760.8297539198229</v>
      </c>
      <c r="L33" s="191"/>
      <c r="M33" s="191"/>
      <c r="N33" s="191"/>
      <c r="O33" s="191"/>
      <c r="P33" s="191"/>
      <c r="Q33" s="191"/>
      <c r="R33" s="191"/>
      <c r="S33" s="191"/>
      <c r="T33" s="191"/>
      <c r="U33" s="439"/>
      <c r="V33" s="441"/>
      <c r="W33" s="178">
        <v>30000</v>
      </c>
      <c r="X33" s="172">
        <f t="shared" si="2"/>
        <v>0.33333333333333331</v>
      </c>
      <c r="Y33" s="172">
        <f t="shared" si="2"/>
        <v>0.33333333333333331</v>
      </c>
      <c r="Z33" s="172">
        <f t="shared" si="2"/>
        <v>0.33333333333333331</v>
      </c>
      <c r="AA33" s="195"/>
      <c r="AB33" s="172"/>
      <c r="AC33" s="656" t="s">
        <v>4122</v>
      </c>
    </row>
    <row r="34" spans="1:29" ht="12.75" customHeight="1" x14ac:dyDescent="0.3">
      <c r="A34" s="161"/>
      <c r="B34" s="160" t="s">
        <v>4123</v>
      </c>
      <c r="C34" s="160" t="s">
        <v>4124</v>
      </c>
      <c r="D34" s="160" t="s">
        <v>398</v>
      </c>
      <c r="E34" s="439">
        <v>2.72</v>
      </c>
      <c r="F34" s="439">
        <v>378.1</v>
      </c>
      <c r="G34" s="655">
        <v>55</v>
      </c>
      <c r="H34" s="439">
        <v>18.7</v>
      </c>
      <c r="I34" s="439">
        <v>1279.7</v>
      </c>
      <c r="J34" s="191"/>
      <c r="K34" s="191">
        <f>10^4.74</f>
        <v>54954.087385762505</v>
      </c>
      <c r="L34" s="191"/>
      <c r="M34" s="191"/>
      <c r="N34" s="191"/>
      <c r="O34" s="191"/>
      <c r="P34" s="191"/>
      <c r="Q34" s="191"/>
      <c r="R34" s="191"/>
      <c r="S34" s="191"/>
      <c r="T34" s="191"/>
      <c r="U34" s="439"/>
      <c r="V34" s="441"/>
      <c r="W34" s="178">
        <v>30000</v>
      </c>
      <c r="X34" s="172">
        <f t="shared" si="2"/>
        <v>0.33333333333333331</v>
      </c>
      <c r="Y34" s="172">
        <f t="shared" si="2"/>
        <v>0.33333333333333331</v>
      </c>
      <c r="Z34" s="172">
        <f t="shared" si="2"/>
        <v>0.33333333333333331</v>
      </c>
      <c r="AA34" s="195"/>
      <c r="AB34" s="172"/>
      <c r="AC34" s="656" t="s">
        <v>4125</v>
      </c>
    </row>
    <row r="35" spans="1:29" ht="12.75" customHeight="1" x14ac:dyDescent="0.3">
      <c r="A35" s="161"/>
      <c r="B35" s="160" t="s">
        <v>4126</v>
      </c>
      <c r="C35" s="160" t="s">
        <v>4127</v>
      </c>
      <c r="D35" s="160" t="s">
        <v>398</v>
      </c>
      <c r="E35" s="439">
        <v>0.93</v>
      </c>
      <c r="F35" s="439">
        <v>328.2</v>
      </c>
      <c r="G35" s="655">
        <v>90.6</v>
      </c>
      <c r="H35" s="439">
        <v>0.2</v>
      </c>
      <c r="I35" s="439">
        <v>11216.1</v>
      </c>
      <c r="J35" s="191"/>
      <c r="K35" s="191">
        <f>10^2.04</f>
        <v>109.64781961431861</v>
      </c>
      <c r="L35" s="191"/>
      <c r="M35" s="191"/>
      <c r="N35" s="191"/>
      <c r="O35" s="191"/>
      <c r="P35" s="191"/>
      <c r="Q35" s="191"/>
      <c r="R35" s="191"/>
      <c r="S35" s="191"/>
      <c r="T35" s="191"/>
      <c r="U35" s="439"/>
      <c r="V35" s="441"/>
      <c r="W35" s="178">
        <v>30000</v>
      </c>
      <c r="X35" s="172">
        <f t="shared" si="2"/>
        <v>0.33333333333333331</v>
      </c>
      <c r="Y35" s="172">
        <f t="shared" si="2"/>
        <v>0.33333333333333331</v>
      </c>
      <c r="Z35" s="172">
        <f t="shared" si="2"/>
        <v>0.33333333333333331</v>
      </c>
      <c r="AA35" s="195"/>
      <c r="AB35" s="172"/>
      <c r="AC35" s="656" t="s">
        <v>4128</v>
      </c>
    </row>
    <row r="36" spans="1:29" ht="12.75" customHeight="1" x14ac:dyDescent="0.3">
      <c r="A36" s="161"/>
      <c r="B36" s="160" t="s">
        <v>4129</v>
      </c>
      <c r="C36" s="160" t="s">
        <v>4130</v>
      </c>
      <c r="D36" s="160" t="s">
        <v>398</v>
      </c>
      <c r="E36" s="439">
        <v>1.23</v>
      </c>
      <c r="F36" s="439">
        <v>428.2</v>
      </c>
      <c r="G36" s="655">
        <f>AVERAGE(18.7,126)</f>
        <v>72.349999999999994</v>
      </c>
      <c r="H36" s="439">
        <v>0.1</v>
      </c>
      <c r="I36" s="439">
        <v>557.29999999999995</v>
      </c>
      <c r="J36" s="191"/>
      <c r="K36" s="191">
        <f>10^3.73</f>
        <v>5370.3179637025269</v>
      </c>
      <c r="L36" s="191"/>
      <c r="M36" s="191"/>
      <c r="N36" s="191"/>
      <c r="O36" s="191"/>
      <c r="P36" s="191"/>
      <c r="Q36" s="191"/>
      <c r="R36" s="191"/>
      <c r="S36" s="191"/>
      <c r="T36" s="191"/>
      <c r="U36" s="439"/>
      <c r="V36" s="441"/>
      <c r="W36" s="178">
        <v>30000</v>
      </c>
      <c r="X36" s="172">
        <f t="shared" si="2"/>
        <v>0.33333333333333331</v>
      </c>
      <c r="Y36" s="172">
        <f t="shared" si="2"/>
        <v>0.33333333333333331</v>
      </c>
      <c r="Z36" s="172">
        <f t="shared" si="2"/>
        <v>0.33333333333333331</v>
      </c>
      <c r="AA36" s="195"/>
      <c r="AB36" s="172"/>
      <c r="AC36" s="656" t="s">
        <v>4131</v>
      </c>
    </row>
    <row r="37" spans="1:29" ht="12.75" customHeight="1" x14ac:dyDescent="0.3">
      <c r="A37" s="161"/>
      <c r="B37" s="160" t="s">
        <v>4132</v>
      </c>
      <c r="C37" s="160" t="s">
        <v>4133</v>
      </c>
      <c r="D37" s="160" t="s">
        <v>398</v>
      </c>
      <c r="E37" s="439">
        <v>5.22</v>
      </c>
      <c r="F37" s="439">
        <v>528.20000000000005</v>
      </c>
      <c r="G37" s="655">
        <f>AVERAGE(16.8,162)</f>
        <v>89.4</v>
      </c>
      <c r="H37" s="439">
        <v>5.0000000000000001E-3</v>
      </c>
      <c r="I37" s="439">
        <v>104.1</v>
      </c>
      <c r="J37" s="191"/>
      <c r="K37" s="191">
        <f>10^6.22</f>
        <v>1659586.9074375622</v>
      </c>
      <c r="L37" s="191"/>
      <c r="M37" s="191"/>
      <c r="N37" s="191"/>
      <c r="O37" s="191"/>
      <c r="P37" s="191"/>
      <c r="Q37" s="191"/>
      <c r="R37" s="191"/>
      <c r="S37" s="191"/>
      <c r="T37" s="191"/>
      <c r="U37" s="439"/>
      <c r="V37" s="441"/>
      <c r="W37" s="178">
        <v>30000</v>
      </c>
      <c r="X37" s="172">
        <f t="shared" si="2"/>
        <v>0.33333333333333331</v>
      </c>
      <c r="Y37" s="172">
        <f t="shared" si="2"/>
        <v>0.33333333333333331</v>
      </c>
      <c r="Z37" s="172">
        <f t="shared" si="2"/>
        <v>0.33333333333333331</v>
      </c>
      <c r="AA37" s="195"/>
      <c r="AB37" s="172"/>
      <c r="AC37" s="656" t="s">
        <v>4134</v>
      </c>
    </row>
    <row r="38" spans="1:29" ht="12.75" customHeight="1" x14ac:dyDescent="0.3">
      <c r="A38" s="161"/>
      <c r="B38" s="160" t="s">
        <v>4135</v>
      </c>
      <c r="C38" s="160" t="s">
        <v>4136</v>
      </c>
      <c r="D38" s="160" t="s">
        <v>398</v>
      </c>
      <c r="E38" s="439">
        <v>1.48</v>
      </c>
      <c r="F38" s="439">
        <v>628.20000000000005</v>
      </c>
      <c r="G38" s="655">
        <v>173</v>
      </c>
      <c r="H38" s="439">
        <v>1.5E-3</v>
      </c>
      <c r="I38" s="439">
        <v>30.8</v>
      </c>
      <c r="J38" s="191"/>
      <c r="K38" s="191">
        <f>10^6.87</f>
        <v>7413102.4130091891</v>
      </c>
      <c r="L38" s="191"/>
      <c r="M38" s="191"/>
      <c r="N38" s="191"/>
      <c r="O38" s="191"/>
      <c r="P38" s="191"/>
      <c r="Q38" s="191"/>
      <c r="R38" s="191"/>
      <c r="S38" s="191"/>
      <c r="T38" s="191"/>
      <c r="U38" s="439"/>
      <c r="V38" s="441"/>
      <c r="W38" s="178">
        <v>30000</v>
      </c>
      <c r="X38" s="172">
        <f t="shared" si="2"/>
        <v>0.33333333333333331</v>
      </c>
      <c r="Y38" s="172">
        <f t="shared" si="2"/>
        <v>0.33333333333333331</v>
      </c>
      <c r="Z38" s="172">
        <f t="shared" si="2"/>
        <v>0.33333333333333331</v>
      </c>
      <c r="AA38" s="195"/>
      <c r="AB38" s="172"/>
      <c r="AC38" s="656" t="s">
        <v>4137</v>
      </c>
    </row>
    <row r="39" spans="1:29" ht="12.75" customHeight="1" x14ac:dyDescent="0.3">
      <c r="A39" s="161"/>
      <c r="B39" s="160" t="s">
        <v>4138</v>
      </c>
      <c r="C39" s="160" t="s">
        <v>4139</v>
      </c>
      <c r="D39" s="160" t="s">
        <v>398</v>
      </c>
      <c r="E39" s="439">
        <v>6.97</v>
      </c>
      <c r="F39" s="439">
        <v>299.10000000000002</v>
      </c>
      <c r="G39" s="655">
        <f>AVERAGE(67.4,71.1)</f>
        <v>69.25</v>
      </c>
      <c r="H39" s="439">
        <v>0.84</v>
      </c>
      <c r="I39" s="439">
        <v>1626.9</v>
      </c>
      <c r="J39" s="191"/>
      <c r="K39" s="191">
        <f>10^3.37</f>
        <v>2344.2288153199238</v>
      </c>
      <c r="L39" s="191"/>
      <c r="M39" s="191"/>
      <c r="N39" s="191"/>
      <c r="O39" s="191"/>
      <c r="P39" s="191"/>
      <c r="Q39" s="191"/>
      <c r="R39" s="191"/>
      <c r="S39" s="191"/>
      <c r="T39" s="191"/>
      <c r="U39" s="439"/>
      <c r="V39" s="441"/>
      <c r="W39" s="178">
        <v>30000</v>
      </c>
      <c r="X39" s="172">
        <f t="shared" si="2"/>
        <v>0.33333333333333331</v>
      </c>
      <c r="Y39" s="172">
        <f t="shared" si="2"/>
        <v>0.33333333333333331</v>
      </c>
      <c r="Z39" s="172">
        <f t="shared" si="2"/>
        <v>0.33333333333333331</v>
      </c>
      <c r="AA39" s="195"/>
      <c r="AB39" s="172"/>
      <c r="AC39" s="656" t="s">
        <v>4140</v>
      </c>
    </row>
    <row r="40" spans="1:29" ht="12.75" customHeight="1" x14ac:dyDescent="0.3">
      <c r="A40" s="161"/>
      <c r="B40" s="160" t="s">
        <v>4141</v>
      </c>
      <c r="C40" s="160" t="s">
        <v>4142</v>
      </c>
      <c r="D40" s="160" t="s">
        <v>398</v>
      </c>
      <c r="E40" s="439">
        <v>7.05</v>
      </c>
      <c r="F40" s="439">
        <v>399.1</v>
      </c>
      <c r="G40" s="655">
        <v>117</v>
      </c>
      <c r="H40" s="439">
        <v>153</v>
      </c>
      <c r="I40" s="439">
        <v>37.1</v>
      </c>
      <c r="J40" s="191"/>
      <c r="K40" s="191">
        <f>10^4.26</f>
        <v>18197.008586099837</v>
      </c>
      <c r="L40" s="191"/>
      <c r="M40" s="191"/>
      <c r="N40" s="191"/>
      <c r="O40" s="191"/>
      <c r="P40" s="191"/>
      <c r="Q40" s="191"/>
      <c r="R40" s="191"/>
      <c r="S40" s="191"/>
      <c r="T40" s="191"/>
      <c r="U40" s="439"/>
      <c r="V40" s="441"/>
      <c r="W40" s="178">
        <v>30000</v>
      </c>
      <c r="X40" s="172">
        <f t="shared" si="2"/>
        <v>0.33333333333333331</v>
      </c>
      <c r="Y40" s="172">
        <f t="shared" si="2"/>
        <v>0.33333333333333331</v>
      </c>
      <c r="Z40" s="172">
        <f t="shared" si="2"/>
        <v>0.33333333333333331</v>
      </c>
      <c r="AA40" s="195"/>
      <c r="AB40" s="172"/>
      <c r="AC40" s="656" t="s">
        <v>4143</v>
      </c>
    </row>
    <row r="41" spans="1:29" ht="12.75" customHeight="1" x14ac:dyDescent="0.3">
      <c r="A41" s="161"/>
      <c r="B41" s="160" t="s">
        <v>4144</v>
      </c>
      <c r="C41" s="160" t="s">
        <v>4145</v>
      </c>
      <c r="D41" s="160" t="s">
        <v>398</v>
      </c>
      <c r="E41" s="439">
        <v>-1.3</v>
      </c>
      <c r="F41" s="439">
        <v>499.1</v>
      </c>
      <c r="G41" s="655">
        <v>198</v>
      </c>
      <c r="H41" s="439">
        <v>29.2</v>
      </c>
      <c r="I41" s="439">
        <v>5.2</v>
      </c>
      <c r="J41" s="191"/>
      <c r="K41" s="191">
        <f>10^4.3</f>
        <v>19952.623149688792</v>
      </c>
      <c r="L41" s="191"/>
      <c r="M41" s="191"/>
      <c r="N41" s="191"/>
      <c r="O41" s="191"/>
      <c r="P41" s="191"/>
      <c r="Q41" s="191"/>
      <c r="R41" s="191"/>
      <c r="S41" s="191"/>
      <c r="T41" s="191"/>
      <c r="U41" s="439"/>
      <c r="V41" s="441"/>
      <c r="W41" s="178">
        <v>30000</v>
      </c>
      <c r="X41" s="172">
        <f t="shared" si="2"/>
        <v>0.33333333333333331</v>
      </c>
      <c r="Y41" s="172">
        <f t="shared" si="2"/>
        <v>0.33333333333333331</v>
      </c>
      <c r="Z41" s="172">
        <f t="shared" si="2"/>
        <v>0.33333333333333331</v>
      </c>
      <c r="AA41" s="195"/>
      <c r="AB41" s="172"/>
      <c r="AC41" s="656" t="s">
        <v>4146</v>
      </c>
    </row>
    <row r="42" spans="1:29" ht="12.75" customHeight="1" x14ac:dyDescent="0.3">
      <c r="A42" s="161"/>
      <c r="B42" s="160" t="s">
        <v>4147</v>
      </c>
      <c r="C42" s="160" t="s">
        <v>4148</v>
      </c>
      <c r="D42" s="160" t="s">
        <v>398</v>
      </c>
      <c r="E42" s="439">
        <v>0.17199999999999999</v>
      </c>
      <c r="F42" s="439">
        <v>513.20000000000005</v>
      </c>
      <c r="G42" s="655">
        <f>AVERAGE(21.2,102)</f>
        <v>61.6</v>
      </c>
      <c r="H42" s="439">
        <v>10</v>
      </c>
      <c r="I42" s="439">
        <v>0.4</v>
      </c>
      <c r="J42" s="191"/>
      <c r="K42" s="191">
        <f>10^6.84</f>
        <v>6918309.7091893675</v>
      </c>
      <c r="L42" s="191"/>
      <c r="M42" s="191"/>
      <c r="N42" s="191"/>
      <c r="O42" s="191"/>
      <c r="P42" s="191"/>
      <c r="Q42" s="191"/>
      <c r="R42" s="191"/>
      <c r="S42" s="191"/>
      <c r="T42" s="191"/>
      <c r="U42" s="439"/>
      <c r="V42" s="441"/>
      <c r="W42" s="178">
        <v>30000</v>
      </c>
      <c r="X42" s="172">
        <f t="shared" si="2"/>
        <v>0.33333333333333331</v>
      </c>
      <c r="Y42" s="172">
        <f t="shared" si="2"/>
        <v>0.33333333333333331</v>
      </c>
      <c r="Z42" s="172">
        <f t="shared" si="2"/>
        <v>0.33333333333333331</v>
      </c>
      <c r="AA42" s="195"/>
      <c r="AB42" s="172"/>
      <c r="AC42" s="656" t="s">
        <v>4149</v>
      </c>
    </row>
    <row r="43" spans="1:29" ht="12.75" customHeight="1" x14ac:dyDescent="0.3">
      <c r="A43" s="161"/>
      <c r="B43" s="160" t="s">
        <v>4150</v>
      </c>
      <c r="C43" s="160" t="s">
        <v>4151</v>
      </c>
      <c r="D43" s="160" t="s">
        <v>398</v>
      </c>
      <c r="E43" s="439">
        <v>0.17199999999999999</v>
      </c>
      <c r="F43" s="439">
        <v>527.20000000000005</v>
      </c>
      <c r="G43" s="655">
        <v>90</v>
      </c>
      <c r="H43" s="439">
        <v>14</v>
      </c>
      <c r="I43" s="439">
        <v>0.2</v>
      </c>
      <c r="J43" s="191"/>
      <c r="K43" s="191">
        <f>10^6.8</f>
        <v>6309573.4448019378</v>
      </c>
      <c r="L43" s="191"/>
      <c r="M43" s="191"/>
      <c r="N43" s="191"/>
      <c r="O43" s="191"/>
      <c r="P43" s="191"/>
      <c r="Q43" s="191"/>
      <c r="R43" s="191"/>
      <c r="S43" s="191"/>
      <c r="T43" s="191"/>
      <c r="U43" s="439"/>
      <c r="V43" s="441"/>
      <c r="W43" s="178">
        <v>30000</v>
      </c>
      <c r="X43" s="172">
        <f t="shared" si="2"/>
        <v>0.33333333333333331</v>
      </c>
      <c r="Y43" s="172">
        <f t="shared" si="2"/>
        <v>0.33333333333333331</v>
      </c>
      <c r="Z43" s="172">
        <f t="shared" si="2"/>
        <v>0.33333333333333331</v>
      </c>
      <c r="AA43" s="195"/>
      <c r="AB43" s="172"/>
      <c r="AC43" s="656" t="s">
        <v>4152</v>
      </c>
    </row>
    <row r="44" spans="1:29" ht="12.75" customHeight="1" x14ac:dyDescent="0.3">
      <c r="A44" s="161"/>
      <c r="B44" s="160" t="s">
        <v>4153</v>
      </c>
      <c r="C44" s="160" t="s">
        <v>4154</v>
      </c>
      <c r="D44" s="160" t="s">
        <v>398</v>
      </c>
      <c r="E44" s="439">
        <v>8.42</v>
      </c>
      <c r="F44" s="439">
        <v>543.20000000000005</v>
      </c>
      <c r="G44" s="655">
        <v>91.1</v>
      </c>
      <c r="H44" s="439">
        <v>0.03</v>
      </c>
      <c r="I44" s="439">
        <v>1.2</v>
      </c>
      <c r="J44" s="191"/>
      <c r="K44" s="191">
        <f>10^5.93</f>
        <v>851138.03820237669</v>
      </c>
      <c r="L44" s="191"/>
      <c r="M44" s="191"/>
      <c r="N44" s="191"/>
      <c r="O44" s="191"/>
      <c r="P44" s="191"/>
      <c r="Q44" s="191"/>
      <c r="R44" s="191"/>
      <c r="S44" s="191"/>
      <c r="T44" s="191"/>
      <c r="U44" s="439"/>
      <c r="V44" s="441"/>
      <c r="W44" s="178">
        <v>30000</v>
      </c>
      <c r="X44" s="172">
        <f t="shared" si="2"/>
        <v>0.33333333333333331</v>
      </c>
      <c r="Y44" s="172">
        <f t="shared" si="2"/>
        <v>0.33333333333333331</v>
      </c>
      <c r="Z44" s="172">
        <f t="shared" si="2"/>
        <v>0.33333333333333331</v>
      </c>
      <c r="AA44" s="195"/>
      <c r="AB44" s="172"/>
      <c r="AC44" s="656" t="s">
        <v>4155</v>
      </c>
    </row>
    <row r="45" spans="1:29" ht="12.75" customHeight="1" x14ac:dyDescent="0.3">
      <c r="A45" s="161"/>
      <c r="B45" s="160" t="s">
        <v>4156</v>
      </c>
      <c r="C45" s="160" t="s">
        <v>4157</v>
      </c>
      <c r="D45" s="160" t="s">
        <v>398</v>
      </c>
      <c r="E45" s="439">
        <v>-1.45</v>
      </c>
      <c r="F45" s="439">
        <v>557.20000000000005</v>
      </c>
      <c r="G45" s="655">
        <f>AVERAGE(75,95)</f>
        <v>85</v>
      </c>
      <c r="H45" s="439">
        <v>1.3</v>
      </c>
      <c r="I45" s="439">
        <v>0.4</v>
      </c>
      <c r="J45" s="191"/>
      <c r="K45" s="191">
        <f>10^4.58</f>
        <v>38018.939632056143</v>
      </c>
      <c r="L45" s="191"/>
      <c r="M45" s="191"/>
      <c r="N45" s="191"/>
      <c r="O45" s="191"/>
      <c r="P45" s="191"/>
      <c r="Q45" s="191"/>
      <c r="R45" s="191"/>
      <c r="S45" s="191"/>
      <c r="T45" s="191"/>
      <c r="U45" s="439"/>
      <c r="V45" s="441"/>
      <c r="W45" s="178">
        <v>30000</v>
      </c>
      <c r="X45" s="172">
        <f t="shared" si="2"/>
        <v>0.33333333333333331</v>
      </c>
      <c r="Y45" s="172">
        <f t="shared" si="2"/>
        <v>0.33333333333333331</v>
      </c>
      <c r="Z45" s="172">
        <f t="shared" si="2"/>
        <v>0.33333333333333331</v>
      </c>
      <c r="AA45" s="195"/>
      <c r="AB45" s="172"/>
      <c r="AC45" s="656" t="s">
        <v>4158</v>
      </c>
    </row>
    <row r="46" spans="1:29" ht="12.75" customHeight="1" x14ac:dyDescent="0.3">
      <c r="A46" s="161"/>
      <c r="B46" s="160" t="s">
        <v>4159</v>
      </c>
      <c r="C46" s="160" t="s">
        <v>4160</v>
      </c>
      <c r="D46" s="160" t="s">
        <v>398</v>
      </c>
      <c r="E46" s="439">
        <v>-1.86</v>
      </c>
      <c r="F46" s="439">
        <v>571.29999999999995</v>
      </c>
      <c r="G46" s="655">
        <f>AVERAGE(57.5,60)</f>
        <v>58.75</v>
      </c>
      <c r="H46" s="439">
        <v>1.1000000000000001</v>
      </c>
      <c r="I46" s="439">
        <v>1677778.1</v>
      </c>
      <c r="J46" s="191"/>
      <c r="K46" s="191">
        <f>10^6.96</f>
        <v>9120108.3935591076</v>
      </c>
      <c r="L46" s="191"/>
      <c r="M46" s="191"/>
      <c r="N46" s="191"/>
      <c r="O46" s="191"/>
      <c r="P46" s="191"/>
      <c r="Q46" s="191"/>
      <c r="R46" s="191"/>
      <c r="S46" s="191"/>
      <c r="T46" s="191"/>
      <c r="U46" s="439"/>
      <c r="V46" s="441"/>
      <c r="W46" s="178">
        <v>30000</v>
      </c>
      <c r="X46" s="172">
        <f t="shared" si="2"/>
        <v>0.33333333333333331</v>
      </c>
      <c r="Y46" s="172">
        <f t="shared" si="2"/>
        <v>0.33333333333333331</v>
      </c>
      <c r="Z46" s="172">
        <f t="shared" si="2"/>
        <v>0.33333333333333331</v>
      </c>
      <c r="AA46" s="195"/>
      <c r="AB46" s="172"/>
      <c r="AC46" s="656" t="s">
        <v>4161</v>
      </c>
    </row>
    <row r="47" spans="1:29" ht="12.75" customHeight="1" x14ac:dyDescent="0.3">
      <c r="A47" s="161"/>
      <c r="B47" s="160" t="s">
        <v>4162</v>
      </c>
      <c r="C47" s="160" t="s">
        <v>4163</v>
      </c>
      <c r="D47" s="160" t="s">
        <v>398</v>
      </c>
      <c r="E47" s="439">
        <v>2.59</v>
      </c>
      <c r="F47" s="439">
        <v>557.20000000000005</v>
      </c>
      <c r="G47" s="655">
        <f>AVERAGE(54.8,153)</f>
        <v>103.9</v>
      </c>
      <c r="H47" s="439">
        <v>0.7</v>
      </c>
      <c r="I47" s="439">
        <v>4.2</v>
      </c>
      <c r="J47" s="191"/>
      <c r="K47" s="191">
        <f>10^6.12</f>
        <v>1318256.7385564097</v>
      </c>
      <c r="L47" s="191"/>
      <c r="M47" s="191"/>
      <c r="N47" s="191"/>
      <c r="O47" s="191"/>
      <c r="P47" s="191"/>
      <c r="Q47" s="191"/>
      <c r="R47" s="191"/>
      <c r="S47" s="191"/>
      <c r="T47" s="191"/>
      <c r="U47" s="439"/>
      <c r="V47" s="441"/>
      <c r="W47" s="178">
        <v>30000</v>
      </c>
      <c r="X47" s="172">
        <f t="shared" si="2"/>
        <v>0.33333333333333331</v>
      </c>
      <c r="Y47" s="172">
        <f t="shared" si="2"/>
        <v>0.33333333333333331</v>
      </c>
      <c r="Z47" s="172">
        <f t="shared" si="2"/>
        <v>0.33333333333333331</v>
      </c>
      <c r="AA47" s="195"/>
      <c r="AB47" s="172"/>
      <c r="AC47" s="656" t="s">
        <v>4164</v>
      </c>
    </row>
    <row r="48" spans="1:29" ht="12.75" customHeight="1" x14ac:dyDescent="0.3">
      <c r="A48" s="161"/>
      <c r="B48" s="160" t="s">
        <v>4165</v>
      </c>
      <c r="C48" s="160" t="s">
        <v>4166</v>
      </c>
      <c r="D48" s="160" t="s">
        <v>398</v>
      </c>
      <c r="E48" s="439">
        <v>-0.36</v>
      </c>
      <c r="F48" s="439">
        <v>571.20000000000005</v>
      </c>
      <c r="G48" s="655">
        <f>AVERAGE(66.8,88.1)</f>
        <v>77.449999999999989</v>
      </c>
      <c r="H48" s="439">
        <v>0.6</v>
      </c>
      <c r="I48" s="439">
        <v>1</v>
      </c>
      <c r="J48" s="191"/>
      <c r="K48" s="191">
        <f>10^6.63</f>
        <v>4265795.1880159294</v>
      </c>
      <c r="L48" s="191"/>
      <c r="M48" s="191"/>
      <c r="N48" s="191"/>
      <c r="O48" s="191"/>
      <c r="P48" s="191"/>
      <c r="Q48" s="191"/>
      <c r="R48" s="191"/>
      <c r="S48" s="191"/>
      <c r="T48" s="191"/>
      <c r="U48" s="439"/>
      <c r="V48" s="441"/>
      <c r="W48" s="178">
        <v>30000</v>
      </c>
      <c r="X48" s="172">
        <f t="shared" si="2"/>
        <v>0.33333333333333331</v>
      </c>
      <c r="Y48" s="172">
        <f t="shared" si="2"/>
        <v>0.33333333333333331</v>
      </c>
      <c r="Z48" s="172">
        <f t="shared" si="2"/>
        <v>0.33333333333333331</v>
      </c>
      <c r="AA48" s="195"/>
      <c r="AB48" s="172"/>
      <c r="AC48" s="656" t="s">
        <v>4167</v>
      </c>
    </row>
    <row r="49" spans="1:29" ht="12.75" customHeight="1" x14ac:dyDescent="0.3">
      <c r="A49" s="161"/>
      <c r="B49" s="160" t="s">
        <v>4168</v>
      </c>
      <c r="C49" s="160" t="s">
        <v>4169</v>
      </c>
      <c r="D49" s="160" t="s">
        <v>398</v>
      </c>
      <c r="E49" s="439">
        <v>-6</v>
      </c>
      <c r="F49" s="439">
        <v>585.20000000000005</v>
      </c>
      <c r="G49" s="655">
        <f>AVERAGE(64.9,129)</f>
        <v>96.95</v>
      </c>
      <c r="H49" s="439">
        <v>0.6</v>
      </c>
      <c r="I49" s="439">
        <v>0.7</v>
      </c>
      <c r="J49" s="191"/>
      <c r="K49" s="191">
        <f>10^7.35</f>
        <v>22387211.385683414</v>
      </c>
      <c r="L49" s="191"/>
      <c r="M49" s="191"/>
      <c r="N49" s="191"/>
      <c r="O49" s="191"/>
      <c r="P49" s="191"/>
      <c r="Q49" s="191"/>
      <c r="R49" s="191"/>
      <c r="S49" s="191"/>
      <c r="T49" s="191"/>
      <c r="U49" s="439"/>
      <c r="V49" s="441"/>
      <c r="W49" s="178">
        <v>30000</v>
      </c>
      <c r="X49" s="172">
        <f t="shared" si="2"/>
        <v>0.33333333333333331</v>
      </c>
      <c r="Y49" s="172">
        <f t="shared" si="2"/>
        <v>0.33333333333333331</v>
      </c>
      <c r="Z49" s="172">
        <f t="shared" si="2"/>
        <v>0.33333333333333331</v>
      </c>
      <c r="AA49" s="195"/>
      <c r="AB49" s="172"/>
      <c r="AC49" s="656" t="s">
        <v>4170</v>
      </c>
    </row>
    <row r="50" spans="1:29" ht="12.75" customHeight="1" x14ac:dyDescent="0.3">
      <c r="A50" s="161"/>
      <c r="B50" s="160" t="s">
        <v>4171</v>
      </c>
      <c r="C50" s="160" t="s">
        <v>4172</v>
      </c>
      <c r="D50" s="160" t="s">
        <v>398</v>
      </c>
      <c r="E50" s="439">
        <v>9.75</v>
      </c>
      <c r="F50" s="439">
        <v>264.10000000000002</v>
      </c>
      <c r="G50" s="655">
        <v>-44</v>
      </c>
      <c r="H50" s="439">
        <v>418.2</v>
      </c>
      <c r="I50" s="439">
        <v>55442.8</v>
      </c>
      <c r="J50" s="191"/>
      <c r="K50" s="191">
        <f>10^3.3</f>
        <v>1995.2623149688804</v>
      </c>
      <c r="L50" s="191"/>
      <c r="M50" s="191"/>
      <c r="N50" s="191"/>
      <c r="O50" s="191"/>
      <c r="P50" s="191"/>
      <c r="Q50" s="191"/>
      <c r="R50" s="191"/>
      <c r="S50" s="191"/>
      <c r="T50" s="191"/>
      <c r="U50" s="439"/>
      <c r="V50" s="441"/>
      <c r="W50" s="178">
        <v>30000</v>
      </c>
      <c r="X50" s="172">
        <f t="shared" si="2"/>
        <v>0.33333333333333331</v>
      </c>
      <c r="Y50" s="172">
        <f t="shared" si="2"/>
        <v>0.33333333333333331</v>
      </c>
      <c r="Z50" s="172">
        <f t="shared" si="2"/>
        <v>0.33333333333333331</v>
      </c>
      <c r="AA50" s="195"/>
      <c r="AB50" s="172"/>
      <c r="AC50" s="656" t="s">
        <v>4173</v>
      </c>
    </row>
    <row r="51" spans="1:29" ht="12.75" customHeight="1" x14ac:dyDescent="0.3">
      <c r="A51" s="161"/>
      <c r="B51" s="160" t="s">
        <v>4174</v>
      </c>
      <c r="C51" s="160" t="s">
        <v>4175</v>
      </c>
      <c r="D51" s="160" t="s">
        <v>398</v>
      </c>
      <c r="E51" s="439">
        <v>9.74</v>
      </c>
      <c r="F51" s="439">
        <v>364.1</v>
      </c>
      <c r="G51" s="655">
        <v>-35</v>
      </c>
      <c r="H51" s="439">
        <v>148</v>
      </c>
      <c r="I51" s="439">
        <v>38662.6</v>
      </c>
      <c r="J51" s="191"/>
      <c r="K51" s="191">
        <f>10^4.54</f>
        <v>34673.685045253202</v>
      </c>
      <c r="L51" s="191"/>
      <c r="M51" s="191"/>
      <c r="N51" s="191"/>
      <c r="O51" s="191"/>
      <c r="P51" s="191"/>
      <c r="Q51" s="191"/>
      <c r="R51" s="191"/>
      <c r="S51" s="191"/>
      <c r="T51" s="191"/>
      <c r="U51" s="439"/>
      <c r="V51" s="441"/>
      <c r="W51" s="178">
        <v>30000</v>
      </c>
      <c r="X51" s="172">
        <f t="shared" si="2"/>
        <v>0.33333333333333331</v>
      </c>
      <c r="Y51" s="172">
        <f t="shared" si="2"/>
        <v>0.33333333333333331</v>
      </c>
      <c r="Z51" s="172">
        <f t="shared" si="2"/>
        <v>0.33333333333333331</v>
      </c>
      <c r="AA51" s="195"/>
      <c r="AB51" s="172"/>
      <c r="AC51" s="656" t="s">
        <v>4176</v>
      </c>
    </row>
    <row r="52" spans="1:29" ht="12.75" customHeight="1" x14ac:dyDescent="0.3">
      <c r="A52" s="161"/>
      <c r="B52" s="160" t="s">
        <v>4177</v>
      </c>
      <c r="C52" s="160" t="s">
        <v>4178</v>
      </c>
      <c r="D52" s="160" t="s">
        <v>398</v>
      </c>
      <c r="E52" s="439">
        <v>9.73</v>
      </c>
      <c r="F52" s="439">
        <v>464.1</v>
      </c>
      <c r="G52" s="655">
        <v>48</v>
      </c>
      <c r="H52" s="439">
        <v>37.200000000000003</v>
      </c>
      <c r="I52" s="439">
        <v>12452.3</v>
      </c>
      <c r="J52" s="191"/>
      <c r="K52" s="191">
        <f>10^5.58</f>
        <v>380189.39632056188</v>
      </c>
      <c r="L52" s="191"/>
      <c r="M52" s="191"/>
      <c r="N52" s="191"/>
      <c r="O52" s="191"/>
      <c r="P52" s="191"/>
      <c r="Q52" s="191"/>
      <c r="R52" s="191"/>
      <c r="S52" s="191"/>
      <c r="T52" s="191"/>
      <c r="U52" s="439"/>
      <c r="V52" s="441"/>
      <c r="W52" s="178">
        <v>30000</v>
      </c>
      <c r="X52" s="172">
        <f t="shared" si="2"/>
        <v>0.33333333333333331</v>
      </c>
      <c r="Y52" s="172">
        <f t="shared" si="2"/>
        <v>0.33333333333333331</v>
      </c>
      <c r="Z52" s="172">
        <f t="shared" si="2"/>
        <v>0.33333333333333331</v>
      </c>
      <c r="AA52" s="195"/>
      <c r="AB52" s="172"/>
      <c r="AC52" s="656" t="s">
        <v>4179</v>
      </c>
    </row>
    <row r="53" spans="1:29" ht="12.75" customHeight="1" x14ac:dyDescent="0.3">
      <c r="A53" s="161"/>
      <c r="B53" s="160" t="s">
        <v>4180</v>
      </c>
      <c r="C53" s="160" t="s">
        <v>4181</v>
      </c>
      <c r="D53" s="160" t="s">
        <v>398</v>
      </c>
      <c r="E53" s="439">
        <v>9.8699999999999992</v>
      </c>
      <c r="F53" s="439">
        <v>564.1</v>
      </c>
      <c r="G53" s="655">
        <v>94</v>
      </c>
      <c r="H53" s="439">
        <v>15.7</v>
      </c>
      <c r="I53" s="439">
        <v>2560.1999999999998</v>
      </c>
      <c r="J53" s="191"/>
      <c r="K53" s="191">
        <f>10^7.1</f>
        <v>12589254.117941668</v>
      </c>
      <c r="L53" s="191"/>
      <c r="M53" s="191"/>
      <c r="N53" s="191"/>
      <c r="O53" s="191"/>
      <c r="P53" s="191"/>
      <c r="Q53" s="191"/>
      <c r="R53" s="191"/>
      <c r="S53" s="191"/>
      <c r="T53" s="191"/>
      <c r="U53" s="439"/>
      <c r="V53" s="441"/>
      <c r="W53" s="178">
        <v>30000</v>
      </c>
      <c r="X53" s="172">
        <f t="shared" si="2"/>
        <v>0.33333333333333331</v>
      </c>
      <c r="Y53" s="172">
        <f t="shared" si="2"/>
        <v>0.33333333333333331</v>
      </c>
      <c r="Z53" s="172">
        <f t="shared" si="2"/>
        <v>0.33333333333333331</v>
      </c>
      <c r="AA53" s="195"/>
      <c r="AB53" s="172"/>
      <c r="AC53" s="656" t="s">
        <v>4182</v>
      </c>
    </row>
    <row r="54" spans="1:29" ht="12.75" customHeight="1" x14ac:dyDescent="0.3">
      <c r="A54" s="161"/>
      <c r="B54" s="160" t="s">
        <v>4183</v>
      </c>
      <c r="C54" s="160" t="s">
        <v>4184</v>
      </c>
      <c r="D54" s="160" t="s">
        <v>398</v>
      </c>
      <c r="E54" s="439">
        <v>-0.73</v>
      </c>
      <c r="F54" s="439">
        <v>330.1</v>
      </c>
      <c r="G54" s="655">
        <v>27.8</v>
      </c>
      <c r="H54" s="439">
        <v>306</v>
      </c>
      <c r="I54" s="439">
        <v>5447</v>
      </c>
      <c r="J54" s="191"/>
      <c r="K54" s="191">
        <f>10^5.41</f>
        <v>257039.57827688678</v>
      </c>
      <c r="L54" s="191"/>
      <c r="M54" s="191"/>
      <c r="N54" s="191"/>
      <c r="O54" s="191"/>
      <c r="P54" s="191"/>
      <c r="Q54" s="191"/>
      <c r="R54" s="191"/>
      <c r="S54" s="191"/>
      <c r="T54" s="191"/>
      <c r="U54" s="439"/>
      <c r="V54" s="441"/>
      <c r="W54" s="178">
        <v>30000</v>
      </c>
      <c r="X54" s="172">
        <f t="shared" si="2"/>
        <v>0.33333333333333331</v>
      </c>
      <c r="Y54" s="172">
        <f t="shared" si="2"/>
        <v>0.33333333333333331</v>
      </c>
      <c r="Z54" s="172">
        <f t="shared" si="2"/>
        <v>0.33333333333333331</v>
      </c>
      <c r="AA54" s="195"/>
      <c r="AB54" s="172"/>
      <c r="AC54" s="656" t="s">
        <v>4185</v>
      </c>
    </row>
    <row r="55" spans="1:29" ht="12.75" customHeight="1" x14ac:dyDescent="0.3">
      <c r="A55" s="161"/>
      <c r="B55" s="160" t="s">
        <v>4186</v>
      </c>
      <c r="C55" s="160" t="s">
        <v>4187</v>
      </c>
      <c r="D55" s="160" t="s">
        <v>398</v>
      </c>
      <c r="E55" s="439">
        <v>-0.73</v>
      </c>
      <c r="F55" s="439">
        <v>347.1</v>
      </c>
      <c r="G55" s="655">
        <v>-21</v>
      </c>
      <c r="H55" s="439">
        <v>0.03</v>
      </c>
      <c r="I55" s="439">
        <v>740000</v>
      </c>
      <c r="J55" s="191"/>
      <c r="K55" s="191">
        <f>10^5.12</f>
        <v>131825.67385564081</v>
      </c>
      <c r="L55" s="191"/>
      <c r="M55" s="191"/>
      <c r="N55" s="191"/>
      <c r="O55" s="191"/>
      <c r="P55" s="191"/>
      <c r="Q55" s="191"/>
      <c r="R55" s="191"/>
      <c r="S55" s="191"/>
      <c r="T55" s="191"/>
      <c r="U55" s="439"/>
      <c r="V55" s="441"/>
      <c r="W55" s="178">
        <v>30000</v>
      </c>
      <c r="X55" s="172">
        <f t="shared" si="2"/>
        <v>0.33333333333333331</v>
      </c>
      <c r="Y55" s="172">
        <f t="shared" si="2"/>
        <v>0.33333333333333331</v>
      </c>
      <c r="Z55" s="172">
        <f t="shared" si="2"/>
        <v>0.33333333333333331</v>
      </c>
      <c r="AA55" s="195"/>
      <c r="AB55" s="172"/>
      <c r="AC55" s="656" t="s">
        <v>4188</v>
      </c>
    </row>
    <row r="56" spans="1:29" ht="12.75" customHeight="1" x14ac:dyDescent="0.3">
      <c r="A56" s="161"/>
      <c r="B56" s="160" t="s">
        <v>4189</v>
      </c>
      <c r="C56" s="160" t="s">
        <v>4190</v>
      </c>
      <c r="D56" s="160" t="s">
        <v>398</v>
      </c>
      <c r="E56" s="439">
        <v>3.15</v>
      </c>
      <c r="F56" s="439">
        <v>230</v>
      </c>
      <c r="G56" s="655">
        <v>5</v>
      </c>
      <c r="H56" s="439">
        <v>467.9</v>
      </c>
      <c r="I56" s="439">
        <v>10967.9</v>
      </c>
      <c r="J56" s="191"/>
      <c r="K56" s="191">
        <f>10^3.7</f>
        <v>5011.8723362727324</v>
      </c>
      <c r="L56" s="191"/>
      <c r="M56" s="191"/>
      <c r="N56" s="191"/>
      <c r="O56" s="191"/>
      <c r="P56" s="191"/>
      <c r="Q56" s="191"/>
      <c r="R56" s="191"/>
      <c r="S56" s="191"/>
      <c r="T56" s="191"/>
      <c r="U56" s="439"/>
      <c r="V56" s="441"/>
      <c r="W56" s="178">
        <v>30000</v>
      </c>
      <c r="X56" s="172">
        <f t="shared" si="2"/>
        <v>0.33333333333333331</v>
      </c>
      <c r="Y56" s="172">
        <f t="shared" si="2"/>
        <v>0.33333333333333331</v>
      </c>
      <c r="Z56" s="172">
        <f t="shared" si="2"/>
        <v>0.33333333333333331</v>
      </c>
      <c r="AA56" s="195"/>
      <c r="AB56" s="172"/>
      <c r="AC56" s="656" t="s">
        <v>4191</v>
      </c>
    </row>
    <row r="57" spans="1:29" ht="12.75" customHeight="1" x14ac:dyDescent="0.3">
      <c r="A57" s="161"/>
      <c r="B57" s="160" t="s">
        <v>4192</v>
      </c>
      <c r="C57" s="160" t="s">
        <v>4193</v>
      </c>
      <c r="D57" s="160" t="s">
        <v>398</v>
      </c>
      <c r="E57" s="439">
        <v>-0.28999999999999998</v>
      </c>
      <c r="F57" s="439">
        <v>280</v>
      </c>
      <c r="G57" s="655">
        <v>14</v>
      </c>
      <c r="H57" s="439">
        <v>203.9</v>
      </c>
      <c r="I57" s="439">
        <v>1269.3</v>
      </c>
      <c r="J57" s="191"/>
      <c r="K57" s="191">
        <f>10^4.18</f>
        <v>15135.612484362096</v>
      </c>
      <c r="L57" s="191"/>
      <c r="M57" s="191"/>
      <c r="N57" s="191"/>
      <c r="O57" s="191"/>
      <c r="P57" s="191"/>
      <c r="Q57" s="191"/>
      <c r="R57" s="191"/>
      <c r="S57" s="191"/>
      <c r="T57" s="191"/>
      <c r="U57" s="439"/>
      <c r="V57" s="441"/>
      <c r="W57" s="178">
        <v>30000</v>
      </c>
      <c r="X57" s="172">
        <f t="shared" si="2"/>
        <v>0.33333333333333331</v>
      </c>
      <c r="Y57" s="172">
        <f t="shared" si="2"/>
        <v>0.33333333333333331</v>
      </c>
      <c r="Z57" s="172">
        <f t="shared" si="2"/>
        <v>0.33333333333333331</v>
      </c>
      <c r="AA57" s="195"/>
      <c r="AB57" s="172"/>
      <c r="AC57" s="656" t="s">
        <v>4194</v>
      </c>
    </row>
    <row r="58" spans="1:29" ht="12.75" customHeight="1" x14ac:dyDescent="0.3">
      <c r="A58" s="161"/>
      <c r="B58" s="160" t="s">
        <v>4195</v>
      </c>
      <c r="C58" s="160" t="s">
        <v>4196</v>
      </c>
      <c r="D58" s="160" t="s">
        <v>398</v>
      </c>
      <c r="E58" s="439">
        <v>5.04</v>
      </c>
      <c r="F58" s="439">
        <v>296</v>
      </c>
      <c r="G58" s="655">
        <v>20</v>
      </c>
      <c r="H58" s="439">
        <v>60.3</v>
      </c>
      <c r="I58" s="439">
        <v>1624.9</v>
      </c>
      <c r="J58" s="191"/>
      <c r="K58" s="191">
        <f>10^4.89</f>
        <v>77624.711662869129</v>
      </c>
      <c r="L58" s="191"/>
      <c r="M58" s="191"/>
      <c r="N58" s="191"/>
      <c r="O58" s="191"/>
      <c r="P58" s="191"/>
      <c r="Q58" s="191"/>
      <c r="R58" s="191"/>
      <c r="S58" s="191"/>
      <c r="T58" s="191"/>
      <c r="U58" s="439"/>
      <c r="V58" s="441"/>
      <c r="W58" s="178">
        <v>30000</v>
      </c>
      <c r="X58" s="172">
        <f t="shared" si="2"/>
        <v>0.33333333333333331</v>
      </c>
      <c r="Y58" s="172">
        <f t="shared" si="2"/>
        <v>0.33333333333333331</v>
      </c>
      <c r="Z58" s="172">
        <f t="shared" si="2"/>
        <v>0.33333333333333331</v>
      </c>
      <c r="AA58" s="195"/>
      <c r="AB58" s="172"/>
      <c r="AC58" s="656" t="s">
        <v>4197</v>
      </c>
    </row>
    <row r="59" spans="1:29" ht="12.75" customHeight="1" x14ac:dyDescent="0.3">
      <c r="A59" s="161"/>
      <c r="B59" s="160" t="s">
        <v>4198</v>
      </c>
      <c r="C59" s="160" t="s">
        <v>4199</v>
      </c>
      <c r="D59" s="160" t="s">
        <v>398</v>
      </c>
      <c r="E59" s="439">
        <v>1.96</v>
      </c>
      <c r="F59" s="439">
        <v>632.6</v>
      </c>
      <c r="G59" s="655">
        <v>179</v>
      </c>
      <c r="H59" s="439">
        <v>4.6000000000000001E-4</v>
      </c>
      <c r="I59" s="439">
        <v>13.7</v>
      </c>
      <c r="J59" s="191"/>
      <c r="K59" s="191">
        <f>10^8.44</f>
        <v>275422870.33381695</v>
      </c>
      <c r="L59" s="191"/>
      <c r="M59" s="191"/>
      <c r="N59" s="191"/>
      <c r="O59" s="191"/>
      <c r="P59" s="191"/>
      <c r="Q59" s="191"/>
      <c r="R59" s="191"/>
      <c r="S59" s="191"/>
      <c r="T59" s="191"/>
      <c r="U59" s="439"/>
      <c r="V59" s="441"/>
      <c r="W59" s="178">
        <v>30000</v>
      </c>
      <c r="X59" s="172">
        <f t="shared" si="2"/>
        <v>0.33333333333333331</v>
      </c>
      <c r="Y59" s="172">
        <f t="shared" si="2"/>
        <v>0.33333333333333331</v>
      </c>
      <c r="Z59" s="172">
        <f t="shared" si="2"/>
        <v>0.33333333333333331</v>
      </c>
      <c r="AA59" s="195"/>
      <c r="AB59" s="172"/>
      <c r="AC59" s="656" t="s">
        <v>4200</v>
      </c>
    </row>
    <row r="60" spans="1:29" ht="12.75" customHeight="1" x14ac:dyDescent="0.3">
      <c r="A60" s="161"/>
      <c r="B60" s="160" t="s">
        <v>4201</v>
      </c>
      <c r="C60" s="160" t="s">
        <v>4202</v>
      </c>
      <c r="D60" s="160" t="s">
        <v>398</v>
      </c>
      <c r="E60" s="439">
        <v>1.58</v>
      </c>
      <c r="F60" s="439">
        <v>532.6</v>
      </c>
      <c r="G60" s="655">
        <v>171</v>
      </c>
      <c r="H60" s="439">
        <v>2.9999999999999997E-4</v>
      </c>
      <c r="I60" s="439">
        <v>235</v>
      </c>
      <c r="J60" s="191"/>
      <c r="K60" s="191">
        <f>10^6.93</f>
        <v>8511380.382023776</v>
      </c>
      <c r="L60" s="191"/>
      <c r="M60" s="191"/>
      <c r="N60" s="191"/>
      <c r="O60" s="191"/>
      <c r="P60" s="191"/>
      <c r="Q60" s="191"/>
      <c r="R60" s="191"/>
      <c r="S60" s="191"/>
      <c r="T60" s="191"/>
      <c r="U60" s="439"/>
      <c r="V60" s="441"/>
      <c r="W60" s="178">
        <v>30000</v>
      </c>
      <c r="X60" s="172">
        <f t="shared" si="2"/>
        <v>0.33333333333333331</v>
      </c>
      <c r="Y60" s="172">
        <f t="shared" si="2"/>
        <v>0.33333333333333331</v>
      </c>
      <c r="Z60" s="172">
        <f t="shared" si="2"/>
        <v>0.33333333333333331</v>
      </c>
      <c r="AA60" s="195"/>
      <c r="AB60" s="172"/>
      <c r="AC60" s="656" t="s">
        <v>4203</v>
      </c>
    </row>
    <row r="61" spans="1:29" ht="12.75" customHeight="1" x14ac:dyDescent="0.3">
      <c r="A61" s="161"/>
      <c r="B61" s="160" t="s">
        <v>4204</v>
      </c>
      <c r="C61" s="160" t="s">
        <v>4205</v>
      </c>
      <c r="D61" s="160" t="s">
        <v>398</v>
      </c>
      <c r="E61" s="439">
        <v>6.58</v>
      </c>
      <c r="F61" s="439">
        <v>316.10000000000002</v>
      </c>
      <c r="G61" s="655">
        <f>AVERAGE(2.64,112)</f>
        <v>57.32</v>
      </c>
      <c r="H61" s="439">
        <v>19.600000000000001</v>
      </c>
      <c r="I61" s="439">
        <v>237604.6</v>
      </c>
      <c r="J61" s="191"/>
      <c r="K61" s="191">
        <f>10^3.55</f>
        <v>3548.1338923357539</v>
      </c>
      <c r="L61" s="191"/>
      <c r="M61" s="191"/>
      <c r="N61" s="191"/>
      <c r="O61" s="191"/>
      <c r="P61" s="191"/>
      <c r="Q61" s="191"/>
      <c r="R61" s="191"/>
      <c r="S61" s="191"/>
      <c r="T61" s="191"/>
      <c r="U61" s="439"/>
      <c r="V61" s="441"/>
      <c r="W61" s="178">
        <v>30000</v>
      </c>
      <c r="X61" s="172">
        <f t="shared" si="2"/>
        <v>0.33333333333333331</v>
      </c>
      <c r="Y61" s="172">
        <f t="shared" si="2"/>
        <v>0.33333333333333331</v>
      </c>
      <c r="Z61" s="172">
        <f t="shared" si="2"/>
        <v>0.33333333333333331</v>
      </c>
      <c r="AA61" s="195"/>
      <c r="AB61" s="172"/>
      <c r="AC61" s="656" t="s">
        <v>4206</v>
      </c>
    </row>
    <row r="62" spans="1:29" ht="12.75" customHeight="1" x14ac:dyDescent="0.3">
      <c r="A62" s="161"/>
      <c r="B62" s="160" t="s">
        <v>4207</v>
      </c>
      <c r="C62" s="160" t="s">
        <v>4208</v>
      </c>
      <c r="D62" s="160" t="s">
        <v>398</v>
      </c>
      <c r="E62" s="439">
        <v>-0.22</v>
      </c>
      <c r="F62" s="439">
        <v>378.1</v>
      </c>
      <c r="G62" s="655">
        <v>48.5</v>
      </c>
      <c r="H62" s="439">
        <v>23</v>
      </c>
      <c r="I62" s="439">
        <v>1241.4000000000001</v>
      </c>
      <c r="J62" s="191"/>
      <c r="K62" s="191">
        <f>10^5.74</f>
        <v>549540.87385762564</v>
      </c>
      <c r="L62" s="191"/>
      <c r="M62" s="191"/>
      <c r="N62" s="191"/>
      <c r="O62" s="191"/>
      <c r="P62" s="191"/>
      <c r="Q62" s="191"/>
      <c r="R62" s="191"/>
      <c r="S62" s="191"/>
      <c r="T62" s="191"/>
      <c r="U62" s="439"/>
      <c r="V62" s="441"/>
      <c r="W62" s="178">
        <v>30000</v>
      </c>
      <c r="X62" s="172">
        <f t="shared" si="2"/>
        <v>0.33333333333333331</v>
      </c>
      <c r="Y62" s="172">
        <f t="shared" si="2"/>
        <v>0.33333333333333331</v>
      </c>
      <c r="Z62" s="172">
        <f t="shared" si="2"/>
        <v>0.33333333333333331</v>
      </c>
      <c r="AA62" s="195"/>
      <c r="AB62" s="172"/>
      <c r="AC62" s="656" t="s">
        <v>4209</v>
      </c>
    </row>
    <row r="63" spans="1:29" ht="12.75" customHeight="1" x14ac:dyDescent="0.3">
      <c r="A63" s="161" t="s">
        <v>4219</v>
      </c>
      <c r="B63" s="678" t="s">
        <v>4220</v>
      </c>
      <c r="C63" s="160" t="s">
        <v>4221</v>
      </c>
      <c r="D63" s="160"/>
      <c r="E63" s="439"/>
      <c r="F63" s="439">
        <v>728.01904999999999</v>
      </c>
      <c r="G63" s="655"/>
      <c r="H63" s="654"/>
      <c r="I63" s="654"/>
      <c r="J63" s="191"/>
      <c r="K63" s="191">
        <v>0.261324422907382</v>
      </c>
      <c r="L63" s="191"/>
      <c r="M63" s="191"/>
      <c r="N63" s="191"/>
      <c r="O63" s="191"/>
      <c r="P63" s="191"/>
      <c r="Q63" s="191"/>
      <c r="R63" s="191"/>
      <c r="S63" s="191"/>
      <c r="T63" s="191"/>
      <c r="U63" s="439"/>
      <c r="V63" s="441"/>
      <c r="W63" s="178"/>
      <c r="X63" s="172"/>
      <c r="Y63" s="172"/>
      <c r="Z63" s="172"/>
      <c r="AA63" s="195"/>
      <c r="AB63" s="172"/>
      <c r="AC63" s="656"/>
    </row>
    <row r="64" spans="1:29" ht="12.75" customHeight="1" x14ac:dyDescent="0.3">
      <c r="A64" s="161"/>
      <c r="B64" s="678" t="s">
        <v>4222</v>
      </c>
      <c r="C64" s="160" t="s">
        <v>4223</v>
      </c>
      <c r="D64" s="160"/>
      <c r="E64" s="439"/>
      <c r="F64" s="160">
        <v>3396.007662</v>
      </c>
      <c r="G64" s="655"/>
      <c r="H64" s="654"/>
      <c r="I64" s="654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439"/>
      <c r="V64" s="441"/>
      <c r="W64" s="178"/>
      <c r="X64" s="172"/>
      <c r="Y64" s="172"/>
      <c r="Z64" s="172"/>
      <c r="AA64" s="195"/>
      <c r="AB64" s="172"/>
      <c r="AC64" s="656"/>
    </row>
    <row r="65" spans="1:29" ht="12.75" customHeight="1" x14ac:dyDescent="0.3">
      <c r="A65" s="161"/>
      <c r="B65" s="678" t="s">
        <v>4224</v>
      </c>
      <c r="C65" s="160" t="s">
        <v>4225</v>
      </c>
      <c r="D65" s="160"/>
      <c r="E65" s="439"/>
      <c r="F65" s="655">
        <v>3207.8136330000002</v>
      </c>
      <c r="G65" s="655"/>
      <c r="H65" s="654"/>
      <c r="I65" s="654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439"/>
      <c r="V65" s="441"/>
      <c r="W65" s="178"/>
      <c r="X65" s="172"/>
      <c r="Y65" s="172"/>
      <c r="Z65" s="172"/>
      <c r="AA65" s="195"/>
      <c r="AB65" s="172"/>
      <c r="AC65" s="656"/>
    </row>
    <row r="66" spans="1:29" ht="12.75" customHeight="1" x14ac:dyDescent="0.3">
      <c r="A66" s="161"/>
      <c r="B66" s="678" t="s">
        <v>4226</v>
      </c>
      <c r="C66" s="160" t="s">
        <v>4227</v>
      </c>
      <c r="D66" s="160"/>
      <c r="E66" s="439">
        <v>10.48</v>
      </c>
      <c r="F66" s="655">
        <v>1089.0767217130001</v>
      </c>
      <c r="G66" s="655"/>
      <c r="H66" s="654"/>
      <c r="I66" s="654"/>
      <c r="J66" s="191"/>
      <c r="K66" s="191">
        <v>553821740.30548704</v>
      </c>
      <c r="L66" s="191"/>
      <c r="M66" s="191"/>
      <c r="N66" s="191"/>
      <c r="O66" s="191"/>
      <c r="P66" s="191"/>
      <c r="Q66" s="191"/>
      <c r="R66" s="191"/>
      <c r="S66" s="191"/>
      <c r="T66" s="191"/>
      <c r="U66" s="439"/>
      <c r="V66" s="441"/>
      <c r="W66" s="178"/>
      <c r="X66" s="172"/>
      <c r="Y66" s="172"/>
      <c r="Z66" s="172"/>
      <c r="AA66" s="195"/>
      <c r="AB66" s="172"/>
      <c r="AC66" s="656"/>
    </row>
    <row r="67" spans="1:29" ht="12.75" customHeight="1" x14ac:dyDescent="0.3">
      <c r="A67" s="161"/>
      <c r="B67" s="678" t="s">
        <v>4228</v>
      </c>
      <c r="C67" s="160" t="s">
        <v>4229</v>
      </c>
      <c r="D67" s="160"/>
      <c r="E67" s="439"/>
      <c r="F67" s="655">
        <v>1221.0043015680001</v>
      </c>
      <c r="G67" s="655"/>
      <c r="H67" s="654"/>
      <c r="I67" s="654"/>
      <c r="J67" s="191"/>
      <c r="K67" s="191">
        <v>26912249.473681901</v>
      </c>
      <c r="L67" s="191"/>
      <c r="M67" s="191"/>
      <c r="N67" s="191"/>
      <c r="O67" s="191"/>
      <c r="P67" s="191"/>
      <c r="Q67" s="191"/>
      <c r="R67" s="191"/>
      <c r="S67" s="191"/>
      <c r="T67" s="191"/>
      <c r="U67" s="439"/>
      <c r="V67" s="441"/>
      <c r="W67" s="178"/>
      <c r="X67" s="172"/>
      <c r="Y67" s="172"/>
      <c r="Z67" s="172"/>
      <c r="AA67" s="195"/>
      <c r="AB67" s="172"/>
      <c r="AC67" s="656"/>
    </row>
    <row r="68" spans="1:29" ht="12.75" customHeight="1" x14ac:dyDescent="0.3">
      <c r="A68" s="161"/>
      <c r="B68" s="160" t="s">
        <v>4230</v>
      </c>
      <c r="C68" s="160" t="s">
        <v>4231</v>
      </c>
      <c r="D68" s="160"/>
      <c r="E68" s="439">
        <v>2.73</v>
      </c>
      <c r="F68" s="655">
        <v>957.97972406999997</v>
      </c>
      <c r="G68" s="655"/>
      <c r="H68" s="654"/>
      <c r="I68" s="654"/>
      <c r="J68" s="191"/>
      <c r="K68" s="191">
        <v>39803384.325649098</v>
      </c>
      <c r="L68" s="191"/>
      <c r="M68" s="191"/>
      <c r="N68" s="191"/>
      <c r="O68" s="191"/>
      <c r="P68" s="191"/>
      <c r="Q68" s="191"/>
      <c r="R68" s="191"/>
      <c r="S68" s="191"/>
      <c r="T68" s="191"/>
      <c r="U68" s="439"/>
      <c r="V68" s="441"/>
      <c r="W68" s="178"/>
      <c r="X68" s="172"/>
      <c r="Y68" s="172"/>
      <c r="Z68" s="172"/>
      <c r="AA68" s="195"/>
      <c r="AB68" s="172"/>
      <c r="AC68" s="656"/>
    </row>
    <row r="69" spans="1:29" ht="12.75" customHeight="1" x14ac:dyDescent="0.3">
      <c r="A69" s="161"/>
      <c r="B69" s="160" t="s">
        <v>4232</v>
      </c>
      <c r="C69" s="160" t="s">
        <v>4233</v>
      </c>
      <c r="D69" s="160"/>
      <c r="E69" s="439"/>
      <c r="F69" s="655">
        <v>2035.9275580890001</v>
      </c>
      <c r="G69" s="655"/>
      <c r="H69" s="654"/>
      <c r="I69" s="654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439"/>
      <c r="V69" s="441"/>
      <c r="W69" s="178"/>
      <c r="X69" s="172"/>
      <c r="Y69" s="172"/>
      <c r="Z69" s="172"/>
      <c r="AA69" s="195"/>
      <c r="AB69" s="172"/>
      <c r="AC69" s="656"/>
    </row>
    <row r="70" spans="1:29" ht="12.75" customHeight="1" x14ac:dyDescent="0.3">
      <c r="A70" s="161"/>
      <c r="B70" s="160" t="s">
        <v>4234</v>
      </c>
      <c r="C70" s="160" t="s">
        <v>4235</v>
      </c>
      <c r="D70" s="160"/>
      <c r="E70" s="439"/>
      <c r="F70" s="655">
        <v>951.94101608599999</v>
      </c>
      <c r="G70" s="655"/>
      <c r="H70" s="654"/>
      <c r="I70" s="654"/>
      <c r="J70" s="191"/>
      <c r="K70" s="191">
        <v>21680535.255999699</v>
      </c>
      <c r="L70" s="191"/>
      <c r="M70" s="191"/>
      <c r="N70" s="191"/>
      <c r="O70" s="191"/>
      <c r="P70" s="191"/>
      <c r="Q70" s="191"/>
      <c r="R70" s="191"/>
      <c r="S70" s="191"/>
      <c r="T70" s="191"/>
      <c r="U70" s="439"/>
      <c r="V70" s="441"/>
      <c r="W70" s="178"/>
      <c r="X70" s="172"/>
      <c r="Y70" s="172"/>
      <c r="Z70" s="172"/>
      <c r="AA70" s="195"/>
      <c r="AB70" s="172"/>
      <c r="AC70" s="656"/>
    </row>
    <row r="71" spans="1:29" ht="12.75" customHeight="1" x14ac:dyDescent="0.3">
      <c r="A71" s="161"/>
      <c r="B71" s="160" t="s">
        <v>4236</v>
      </c>
      <c r="C71" s="160" t="s">
        <v>4237</v>
      </c>
      <c r="D71" s="160"/>
      <c r="E71" s="439"/>
      <c r="F71" s="655">
        <v>808.01639104000003</v>
      </c>
      <c r="G71" s="655"/>
      <c r="H71" s="654"/>
      <c r="I71" s="654"/>
      <c r="J71" s="191"/>
      <c r="K71" s="191">
        <v>251286.98754593299</v>
      </c>
      <c r="L71" s="191"/>
      <c r="M71" s="191"/>
      <c r="N71" s="191"/>
      <c r="O71" s="191"/>
      <c r="P71" s="191"/>
      <c r="Q71" s="191"/>
      <c r="R71" s="191"/>
      <c r="S71" s="191"/>
      <c r="T71" s="191"/>
      <c r="U71" s="439"/>
      <c r="V71" s="441"/>
      <c r="W71" s="178"/>
      <c r="X71" s="172"/>
      <c r="Y71" s="172"/>
      <c r="Z71" s="172"/>
      <c r="AA71" s="195"/>
      <c r="AB71" s="172"/>
      <c r="AC71" s="656"/>
    </row>
    <row r="72" spans="1:29" ht="12.75" customHeight="1" x14ac:dyDescent="0.3">
      <c r="A72" s="161"/>
      <c r="B72" s="160" t="s">
        <v>4238</v>
      </c>
      <c r="C72" s="160" t="s">
        <v>4239</v>
      </c>
      <c r="D72" s="160"/>
      <c r="E72" s="439"/>
      <c r="F72" s="655">
        <v>951.94101608599999</v>
      </c>
      <c r="G72" s="655"/>
      <c r="H72" s="654"/>
      <c r="I72" s="654"/>
      <c r="J72" s="191"/>
      <c r="K72" s="191">
        <v>21680535.255999699</v>
      </c>
      <c r="L72" s="191"/>
      <c r="M72" s="191"/>
      <c r="N72" s="191"/>
      <c r="O72" s="191"/>
      <c r="P72" s="191"/>
      <c r="Q72" s="191"/>
      <c r="R72" s="191"/>
      <c r="S72" s="191"/>
      <c r="T72" s="191"/>
      <c r="U72" s="439"/>
      <c r="V72" s="441"/>
      <c r="W72" s="178"/>
      <c r="X72" s="172"/>
      <c r="Y72" s="172"/>
      <c r="Z72" s="172"/>
      <c r="AA72" s="195"/>
      <c r="AB72" s="172"/>
      <c r="AC72" s="656"/>
    </row>
    <row r="73" spans="1:29" ht="12.75" customHeight="1" x14ac:dyDescent="0.3">
      <c r="A73" s="161"/>
      <c r="B73" s="160" t="s">
        <v>4240</v>
      </c>
      <c r="C73" s="160" t="s">
        <v>4241</v>
      </c>
      <c r="D73" s="160"/>
      <c r="E73" s="439">
        <v>36</v>
      </c>
      <c r="F73" s="655">
        <v>528.28382763699994</v>
      </c>
      <c r="G73" s="655"/>
      <c r="H73" s="654"/>
      <c r="I73" s="654"/>
      <c r="J73" s="191"/>
      <c r="K73" s="191">
        <v>176725817.78419301</v>
      </c>
      <c r="L73" s="191"/>
      <c r="M73" s="191"/>
      <c r="N73" s="191"/>
      <c r="O73" s="191"/>
      <c r="P73" s="191"/>
      <c r="Q73" s="191"/>
      <c r="R73" s="191"/>
      <c r="S73" s="191"/>
      <c r="T73" s="191"/>
      <c r="U73" s="439"/>
      <c r="V73" s="441"/>
      <c r="W73" s="178"/>
      <c r="X73" s="172"/>
      <c r="Y73" s="172"/>
      <c r="Z73" s="172"/>
      <c r="AA73" s="195"/>
      <c r="AB73" s="172"/>
      <c r="AC73" s="656"/>
    </row>
    <row r="74" spans="1:29" ht="12.75" customHeight="1" x14ac:dyDescent="0.3">
      <c r="A74" s="161"/>
      <c r="B74" s="160" t="s">
        <v>4242</v>
      </c>
      <c r="C74" s="160" t="s">
        <v>4243</v>
      </c>
      <c r="D74" s="160"/>
      <c r="E74" s="439">
        <v>36</v>
      </c>
      <c r="F74" s="655">
        <v>528.28382763699994</v>
      </c>
      <c r="G74" s="655"/>
      <c r="H74" s="654"/>
      <c r="I74" s="654"/>
      <c r="J74" s="191"/>
      <c r="K74" s="191">
        <v>176725817.78419301</v>
      </c>
      <c r="L74" s="191"/>
      <c r="M74" s="191"/>
      <c r="N74" s="191"/>
      <c r="O74" s="191"/>
      <c r="P74" s="191"/>
      <c r="Q74" s="191"/>
      <c r="R74" s="191"/>
      <c r="S74" s="191"/>
      <c r="T74" s="191"/>
      <c r="U74" s="439"/>
      <c r="V74" s="441"/>
      <c r="W74" s="178"/>
      <c r="X74" s="172"/>
      <c r="Y74" s="172"/>
      <c r="Z74" s="172"/>
      <c r="AA74" s="195"/>
      <c r="AB74" s="172"/>
      <c r="AC74" s="656"/>
    </row>
    <row r="75" spans="1:29" ht="12.75" customHeight="1" x14ac:dyDescent="0.3">
      <c r="A75" s="161"/>
      <c r="B75" s="160" t="s">
        <v>4244</v>
      </c>
      <c r="C75" s="160" t="s">
        <v>4245</v>
      </c>
      <c r="D75" s="160"/>
      <c r="E75" s="439">
        <v>35</v>
      </c>
      <c r="F75" s="655">
        <v>528.28382763699994</v>
      </c>
      <c r="G75" s="655"/>
      <c r="H75" s="654"/>
      <c r="I75" s="654"/>
      <c r="J75" s="191"/>
      <c r="K75" s="191">
        <v>210329408.264485</v>
      </c>
      <c r="L75" s="191"/>
      <c r="M75" s="191"/>
      <c r="N75" s="191"/>
      <c r="O75" s="191"/>
      <c r="P75" s="191"/>
      <c r="Q75" s="191"/>
      <c r="R75" s="191"/>
      <c r="S75" s="191"/>
      <c r="T75" s="191"/>
      <c r="U75" s="439"/>
      <c r="V75" s="441"/>
      <c r="W75" s="178"/>
      <c r="X75" s="172"/>
      <c r="Y75" s="172"/>
      <c r="Z75" s="172"/>
      <c r="AA75" s="195"/>
      <c r="AB75" s="172"/>
      <c r="AC75" s="656"/>
    </row>
    <row r="76" spans="1:29" ht="12.75" customHeight="1" x14ac:dyDescent="0.3">
      <c r="A76" s="161"/>
      <c r="B76" s="160" t="s">
        <v>4246</v>
      </c>
      <c r="C76" s="160" t="s">
        <v>4247</v>
      </c>
      <c r="D76" s="160"/>
      <c r="E76" s="439">
        <v>35</v>
      </c>
      <c r="F76" s="655">
        <v>528.28382763699994</v>
      </c>
      <c r="G76" s="655"/>
      <c r="H76" s="654"/>
      <c r="I76" s="654"/>
      <c r="J76" s="191"/>
      <c r="K76" s="191">
        <v>210329408.264485</v>
      </c>
      <c r="L76" s="191"/>
      <c r="M76" s="191"/>
      <c r="N76" s="191"/>
      <c r="O76" s="191"/>
      <c r="P76" s="191"/>
      <c r="Q76" s="191"/>
      <c r="R76" s="191"/>
      <c r="S76" s="191"/>
      <c r="T76" s="191"/>
      <c r="U76" s="439"/>
      <c r="V76" s="441"/>
      <c r="W76" s="178"/>
      <c r="X76" s="172"/>
      <c r="Y76" s="172"/>
      <c r="Z76" s="172"/>
      <c r="AA76" s="195"/>
      <c r="AB76" s="172"/>
      <c r="AC76" s="656"/>
    </row>
    <row r="77" spans="1:29" ht="12.75" customHeight="1" x14ac:dyDescent="0.3">
      <c r="A77" s="161"/>
      <c r="B77" s="160" t="s">
        <v>4248</v>
      </c>
      <c r="C77" s="160" t="s">
        <v>4249</v>
      </c>
      <c r="D77" s="160"/>
      <c r="E77" s="439">
        <v>6.47</v>
      </c>
      <c r="F77" s="655">
        <v>386.9269099</v>
      </c>
      <c r="G77" s="655"/>
      <c r="H77" s="654"/>
      <c r="I77" s="654"/>
      <c r="J77" s="191"/>
      <c r="K77" s="191">
        <v>4481.1553496485303</v>
      </c>
      <c r="L77" s="191"/>
      <c r="M77" s="191"/>
      <c r="N77" s="191"/>
      <c r="O77" s="191"/>
      <c r="P77" s="191"/>
      <c r="Q77" s="191"/>
      <c r="R77" s="191"/>
      <c r="S77" s="191"/>
      <c r="T77" s="191"/>
      <c r="U77" s="439"/>
      <c r="V77" s="441"/>
      <c r="W77" s="178"/>
      <c r="X77" s="172"/>
      <c r="Y77" s="172"/>
      <c r="Z77" s="172"/>
      <c r="AA77" s="195"/>
      <c r="AB77" s="172"/>
      <c r="AC77" s="656"/>
    </row>
    <row r="78" spans="1:29" ht="12.75" customHeight="1" x14ac:dyDescent="0.3">
      <c r="A78" s="161"/>
      <c r="B78" s="160" t="s">
        <v>4250</v>
      </c>
      <c r="C78" s="160" t="s">
        <v>4251</v>
      </c>
      <c r="D78" s="160"/>
      <c r="E78" s="439">
        <v>0.36</v>
      </c>
      <c r="F78" s="655">
        <v>923.89906805999999</v>
      </c>
      <c r="G78" s="655"/>
      <c r="H78" s="654"/>
      <c r="I78" s="654"/>
      <c r="J78" s="191"/>
      <c r="K78" s="191">
        <v>30651377.720840901</v>
      </c>
      <c r="L78" s="191"/>
      <c r="M78" s="191"/>
      <c r="N78" s="191"/>
      <c r="O78" s="191"/>
      <c r="P78" s="191"/>
      <c r="Q78" s="191"/>
      <c r="R78" s="191"/>
      <c r="S78" s="191"/>
      <c r="T78" s="191"/>
      <c r="U78" s="439"/>
      <c r="V78" s="441"/>
      <c r="W78" s="178"/>
      <c r="X78" s="172"/>
      <c r="Y78" s="172"/>
      <c r="Z78" s="172"/>
      <c r="AA78" s="195"/>
      <c r="AB78" s="172"/>
      <c r="AC78" s="656"/>
    </row>
    <row r="79" spans="1:29" ht="12.75" customHeight="1" x14ac:dyDescent="0.3">
      <c r="A79" s="161"/>
      <c r="B79" s="160" t="s">
        <v>4252</v>
      </c>
      <c r="C79" s="160" t="s">
        <v>4253</v>
      </c>
      <c r="D79" s="160"/>
      <c r="E79" s="439">
        <v>1.61</v>
      </c>
      <c r="F79" s="655">
        <v>1047.9455693</v>
      </c>
      <c r="G79" s="655"/>
      <c r="H79" s="654"/>
      <c r="I79" s="654"/>
      <c r="J79" s="191"/>
      <c r="K79" s="191">
        <v>462157494.40015501</v>
      </c>
      <c r="L79" s="191"/>
      <c r="M79" s="191"/>
      <c r="N79" s="191"/>
      <c r="O79" s="191"/>
      <c r="P79" s="191"/>
      <c r="Q79" s="191"/>
      <c r="R79" s="191"/>
      <c r="S79" s="191"/>
      <c r="T79" s="191"/>
      <c r="U79" s="439"/>
      <c r="V79" s="441"/>
      <c r="W79" s="178"/>
      <c r="X79" s="172"/>
      <c r="Y79" s="172"/>
      <c r="Z79" s="172"/>
      <c r="AA79" s="195"/>
      <c r="AB79" s="172"/>
      <c r="AC79" s="656"/>
    </row>
    <row r="80" spans="1:29" ht="12.75" customHeight="1" x14ac:dyDescent="0.3">
      <c r="A80" s="161"/>
      <c r="B80" s="160" t="s">
        <v>4254</v>
      </c>
      <c r="C80" s="160" t="s">
        <v>4255</v>
      </c>
      <c r="D80" s="160"/>
      <c r="E80" s="439">
        <v>4.9800000000000004</v>
      </c>
      <c r="F80" s="655">
        <v>1027.9975795769999</v>
      </c>
      <c r="G80" s="655"/>
      <c r="H80" s="654"/>
      <c r="I80" s="654"/>
      <c r="J80" s="191"/>
      <c r="K80" s="191">
        <v>21006804.8050825</v>
      </c>
      <c r="L80" s="191"/>
      <c r="M80" s="191"/>
      <c r="N80" s="191"/>
      <c r="O80" s="191"/>
      <c r="P80" s="191"/>
      <c r="Q80" s="191"/>
      <c r="R80" s="191"/>
      <c r="S80" s="191"/>
      <c r="T80" s="191"/>
      <c r="U80" s="439"/>
      <c r="V80" s="441"/>
      <c r="W80" s="178"/>
      <c r="X80" s="172"/>
      <c r="Y80" s="172"/>
      <c r="Z80" s="172"/>
      <c r="AA80" s="195"/>
      <c r="AB80" s="172"/>
      <c r="AC80" s="656"/>
    </row>
    <row r="81" spans="1:29" ht="12.75" customHeight="1" x14ac:dyDescent="0.3">
      <c r="A81" s="161"/>
      <c r="B81" s="160" t="s">
        <v>4256</v>
      </c>
      <c r="C81" s="160" t="s">
        <v>4257</v>
      </c>
      <c r="D81" s="160"/>
      <c r="E81" s="439">
        <v>6.81</v>
      </c>
      <c r="F81" s="655">
        <v>1058.0081442620001</v>
      </c>
      <c r="G81" s="655"/>
      <c r="H81" s="654"/>
      <c r="I81" s="654"/>
      <c r="J81" s="191"/>
      <c r="K81" s="191">
        <v>21603295.193349499</v>
      </c>
      <c r="L81" s="191"/>
      <c r="M81" s="191"/>
      <c r="N81" s="191"/>
      <c r="O81" s="191"/>
      <c r="P81" s="191"/>
      <c r="Q81" s="191"/>
      <c r="R81" s="191"/>
      <c r="S81" s="191"/>
      <c r="T81" s="191"/>
      <c r="U81" s="439"/>
      <c r="V81" s="441"/>
      <c r="W81" s="178"/>
      <c r="X81" s="172"/>
      <c r="Y81" s="172"/>
      <c r="Z81" s="172"/>
      <c r="AA81" s="195"/>
      <c r="AB81" s="172"/>
      <c r="AC81" s="656"/>
    </row>
    <row r="82" spans="1:29" ht="12.75" customHeight="1" x14ac:dyDescent="0.3">
      <c r="A82" s="161"/>
      <c r="B82" s="160" t="s">
        <v>4258</v>
      </c>
      <c r="C82" s="192" t="s">
        <v>4259</v>
      </c>
      <c r="D82" s="160"/>
      <c r="E82" s="439">
        <v>1.7</v>
      </c>
      <c r="F82" s="655">
        <v>563.00009166500001</v>
      </c>
      <c r="G82" s="655">
        <v>11.307</v>
      </c>
      <c r="H82" s="654">
        <v>1.1452533118599999</v>
      </c>
      <c r="I82" s="654">
        <v>1.37882100449308</v>
      </c>
      <c r="J82" s="191"/>
      <c r="K82" s="191">
        <v>76941.385061533496</v>
      </c>
      <c r="L82" s="191"/>
      <c r="M82" s="191"/>
      <c r="N82" s="191"/>
      <c r="O82" s="191"/>
      <c r="P82" s="191"/>
      <c r="Q82" s="191"/>
      <c r="R82" s="191"/>
      <c r="S82" s="191"/>
      <c r="T82" s="191"/>
      <c r="U82" s="439"/>
      <c r="V82" s="441"/>
      <c r="W82" s="178"/>
      <c r="X82" s="172"/>
      <c r="Y82" s="172"/>
      <c r="Z82" s="172"/>
      <c r="AA82" s="195"/>
      <c r="AB82" s="172"/>
      <c r="AC82" s="656"/>
    </row>
    <row r="83" spans="1:29" ht="12.75" customHeight="1" x14ac:dyDescent="0.3">
      <c r="A83" s="161"/>
      <c r="B83" s="160" t="s">
        <v>4260</v>
      </c>
      <c r="C83" s="192" t="s">
        <v>4261</v>
      </c>
      <c r="D83" s="160"/>
      <c r="E83" s="439">
        <v>5.16</v>
      </c>
      <c r="F83" s="655">
        <v>1106.989715062</v>
      </c>
      <c r="G83" s="655">
        <v>-38.307000000000002</v>
      </c>
      <c r="H83" s="654"/>
      <c r="I83" s="654"/>
      <c r="J83" s="191"/>
      <c r="K83" s="191">
        <v>26904194.872478999</v>
      </c>
      <c r="L83" s="191"/>
      <c r="M83" s="191"/>
      <c r="N83" s="191"/>
      <c r="O83" s="191"/>
      <c r="P83" s="191"/>
      <c r="Q83" s="191"/>
      <c r="R83" s="191"/>
      <c r="S83" s="191"/>
      <c r="T83" s="191"/>
      <c r="U83" s="439"/>
      <c r="V83" s="441"/>
      <c r="W83" s="178"/>
      <c r="X83" s="172"/>
      <c r="Y83" s="172"/>
      <c r="Z83" s="172"/>
      <c r="AA83" s="195"/>
      <c r="AB83" s="172"/>
      <c r="AC83" s="656"/>
    </row>
    <row r="84" spans="1:29" ht="12.75" customHeight="1" x14ac:dyDescent="0.3">
      <c r="A84" s="161"/>
      <c r="B84" s="160" t="s">
        <v>4262</v>
      </c>
      <c r="C84" s="192" t="s">
        <v>4263</v>
      </c>
      <c r="D84" s="160"/>
      <c r="E84" s="439">
        <v>5.16</v>
      </c>
      <c r="F84" s="655">
        <v>1306.976940366</v>
      </c>
      <c r="G84" s="655">
        <v>-45.441000000000003</v>
      </c>
      <c r="H84" s="654"/>
      <c r="I84" s="654"/>
      <c r="J84" s="191"/>
      <c r="K84" s="191">
        <v>38424657.050130002</v>
      </c>
      <c r="L84" s="191"/>
      <c r="M84" s="191"/>
      <c r="N84" s="191"/>
      <c r="O84" s="191"/>
      <c r="P84" s="191"/>
      <c r="Q84" s="191"/>
      <c r="R84" s="191"/>
      <c r="S84" s="191"/>
      <c r="T84" s="191"/>
      <c r="U84" s="439"/>
      <c r="V84" s="441"/>
      <c r="W84" s="178"/>
      <c r="X84" s="172"/>
      <c r="Y84" s="172"/>
      <c r="Z84" s="172"/>
      <c r="AA84" s="195"/>
      <c r="AB84" s="172"/>
      <c r="AC84" s="656"/>
    </row>
    <row r="85" spans="1:29" ht="12.75" customHeight="1" x14ac:dyDescent="0.3">
      <c r="A85" s="161"/>
      <c r="B85" s="160" t="s">
        <v>4264</v>
      </c>
      <c r="C85" s="192" t="s">
        <v>4265</v>
      </c>
      <c r="D85" s="160"/>
      <c r="E85" s="439">
        <v>5.16</v>
      </c>
      <c r="F85" s="655">
        <v>1506.9641656700001</v>
      </c>
      <c r="G85" s="655">
        <v>-52.576000000000001</v>
      </c>
      <c r="H85" s="654"/>
      <c r="I85" s="654"/>
      <c r="J85" s="191"/>
      <c r="K85" s="191">
        <v>236733653.17239499</v>
      </c>
      <c r="L85" s="191"/>
      <c r="M85" s="191"/>
      <c r="N85" s="191"/>
      <c r="O85" s="191"/>
      <c r="P85" s="191"/>
      <c r="Q85" s="191"/>
      <c r="R85" s="191"/>
      <c r="S85" s="191"/>
      <c r="T85" s="191"/>
      <c r="U85" s="439"/>
      <c r="V85" s="441"/>
      <c r="W85" s="178"/>
      <c r="X85" s="172"/>
      <c r="Y85" s="172"/>
      <c r="Z85" s="172"/>
      <c r="AA85" s="195"/>
      <c r="AB85" s="172"/>
      <c r="AC85" s="656"/>
    </row>
    <row r="86" spans="1:29" ht="12.75" customHeight="1" x14ac:dyDescent="0.3">
      <c r="A86" s="161"/>
      <c r="B86" s="160" t="s">
        <v>4266</v>
      </c>
      <c r="C86" s="192" t="s">
        <v>4267</v>
      </c>
      <c r="D86" s="160"/>
      <c r="E86" s="439">
        <v>5.16</v>
      </c>
      <c r="F86" s="655">
        <v>1706.9513909740001</v>
      </c>
      <c r="G86" s="655">
        <v>-59.710999999999999</v>
      </c>
      <c r="H86" s="654"/>
      <c r="I86" s="654"/>
      <c r="J86" s="191"/>
      <c r="K86" s="191">
        <v>9896235.0073833708</v>
      </c>
      <c r="L86" s="191"/>
      <c r="M86" s="191"/>
      <c r="N86" s="191"/>
      <c r="O86" s="191"/>
      <c r="P86" s="191"/>
      <c r="Q86" s="191"/>
      <c r="R86" s="191"/>
      <c r="S86" s="191"/>
      <c r="T86" s="191"/>
      <c r="U86" s="439"/>
      <c r="V86" s="441"/>
      <c r="W86" s="178"/>
      <c r="X86" s="172"/>
      <c r="Y86" s="172"/>
      <c r="Z86" s="172"/>
      <c r="AA86" s="195"/>
      <c r="AB86" s="172"/>
      <c r="AC86" s="656"/>
    </row>
    <row r="87" spans="1:29" ht="12.75" customHeight="1" x14ac:dyDescent="0.3">
      <c r="A87" s="161"/>
      <c r="B87" s="160" t="s">
        <v>4268</v>
      </c>
      <c r="C87" s="192" t="s">
        <v>4269</v>
      </c>
      <c r="D87" s="160"/>
      <c r="E87" s="439">
        <v>5.16</v>
      </c>
      <c r="F87" s="655">
        <v>1906.9386162779999</v>
      </c>
      <c r="G87" s="655"/>
      <c r="H87" s="654"/>
      <c r="I87" s="654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439"/>
      <c r="V87" s="441"/>
      <c r="W87" s="178"/>
      <c r="X87" s="172"/>
      <c r="Y87" s="172"/>
      <c r="Z87" s="172"/>
      <c r="AA87" s="195"/>
      <c r="AB87" s="172"/>
      <c r="AC87" s="656"/>
    </row>
    <row r="88" spans="1:29" ht="12.75" customHeight="1" x14ac:dyDescent="0.3">
      <c r="A88" s="161"/>
      <c r="B88" s="160" t="s">
        <v>4270</v>
      </c>
      <c r="C88" s="192" t="s">
        <v>4271</v>
      </c>
      <c r="D88" s="160"/>
      <c r="E88" s="439">
        <v>4.6399999999999997</v>
      </c>
      <c r="F88" s="655">
        <v>1806.945003626</v>
      </c>
      <c r="G88" s="655"/>
      <c r="H88" s="654"/>
      <c r="I88" s="654"/>
      <c r="J88" s="191"/>
      <c r="K88" s="191">
        <v>9360951.6050410103</v>
      </c>
      <c r="L88" s="191"/>
      <c r="M88" s="191"/>
      <c r="N88" s="191"/>
      <c r="O88" s="191"/>
      <c r="P88" s="191"/>
      <c r="Q88" s="191"/>
      <c r="R88" s="191"/>
      <c r="S88" s="191"/>
      <c r="T88" s="191"/>
      <c r="U88" s="439"/>
      <c r="V88" s="441"/>
      <c r="W88" s="178"/>
      <c r="X88" s="172"/>
      <c r="Y88" s="172"/>
      <c r="Z88" s="172"/>
      <c r="AA88" s="195"/>
      <c r="AB88" s="172"/>
      <c r="AC88" s="656"/>
    </row>
    <row r="89" spans="1:29" ht="12.75" customHeight="1" x14ac:dyDescent="0.3">
      <c r="A89" s="161"/>
      <c r="B89" s="160" t="s">
        <v>4272</v>
      </c>
      <c r="C89" s="192" t="s">
        <v>4273</v>
      </c>
      <c r="D89" s="160"/>
      <c r="E89" s="439">
        <v>4.6399999999999997</v>
      </c>
      <c r="F89" s="655">
        <v>1606.957778322</v>
      </c>
      <c r="G89" s="655">
        <v>-46.375</v>
      </c>
      <c r="H89" s="654"/>
      <c r="I89" s="654"/>
      <c r="J89" s="191"/>
      <c r="K89" s="191">
        <v>249936681.93762499</v>
      </c>
      <c r="L89" s="191"/>
      <c r="M89" s="191"/>
      <c r="N89" s="191"/>
      <c r="O89" s="191"/>
      <c r="P89" s="191"/>
      <c r="Q89" s="191"/>
      <c r="R89" s="191"/>
      <c r="S89" s="191"/>
      <c r="T89" s="191"/>
      <c r="U89" s="439"/>
      <c r="V89" s="441"/>
      <c r="W89" s="178"/>
      <c r="X89" s="172"/>
      <c r="Y89" s="172"/>
      <c r="Z89" s="172"/>
      <c r="AA89" s="195"/>
      <c r="AB89" s="172"/>
      <c r="AC89" s="656"/>
    </row>
    <row r="90" spans="1:29" ht="12.75" customHeight="1" x14ac:dyDescent="0.3">
      <c r="A90" s="161"/>
      <c r="B90" s="160" t="s">
        <v>4274</v>
      </c>
      <c r="C90" s="192" t="s">
        <v>4275</v>
      </c>
      <c r="D90" s="160"/>
      <c r="E90" s="439">
        <v>4.6399999999999997</v>
      </c>
      <c r="F90" s="655">
        <v>1406.9705530179999</v>
      </c>
      <c r="G90" s="655">
        <v>-39.24</v>
      </c>
      <c r="H90" s="654"/>
      <c r="I90" s="654"/>
      <c r="J90" s="191"/>
      <c r="K90" s="191">
        <v>43028875.842140898</v>
      </c>
      <c r="L90" s="191"/>
      <c r="M90" s="191"/>
      <c r="N90" s="191"/>
      <c r="O90" s="191"/>
      <c r="P90" s="191"/>
      <c r="Q90" s="191"/>
      <c r="R90" s="191"/>
      <c r="S90" s="191"/>
      <c r="T90" s="191"/>
      <c r="U90" s="439"/>
      <c r="V90" s="441"/>
      <c r="W90" s="178"/>
      <c r="X90" s="172"/>
      <c r="Y90" s="172"/>
      <c r="Z90" s="172"/>
      <c r="AA90" s="195"/>
      <c r="AB90" s="172"/>
      <c r="AC90" s="656"/>
    </row>
    <row r="91" spans="1:29" ht="12.75" customHeight="1" x14ac:dyDescent="0.3">
      <c r="A91" s="161"/>
      <c r="B91" s="160" t="s">
        <v>4276</v>
      </c>
      <c r="C91" s="192" t="s">
        <v>4277</v>
      </c>
      <c r="D91" s="160"/>
      <c r="E91" s="439">
        <v>4.6399999999999997</v>
      </c>
      <c r="F91" s="655">
        <v>1206.9833277140001</v>
      </c>
      <c r="G91" s="655">
        <v>-32.106000000000002</v>
      </c>
      <c r="H91" s="654"/>
      <c r="I91" s="654"/>
      <c r="J91" s="191"/>
      <c r="K91" s="191">
        <v>34952641.2941802</v>
      </c>
      <c r="L91" s="191"/>
      <c r="M91" s="191"/>
      <c r="N91" s="191"/>
      <c r="O91" s="191"/>
      <c r="P91" s="191"/>
      <c r="Q91" s="191"/>
      <c r="R91" s="191"/>
      <c r="S91" s="191"/>
      <c r="T91" s="191"/>
      <c r="U91" s="439"/>
      <c r="V91" s="441"/>
      <c r="W91" s="178"/>
      <c r="X91" s="172"/>
      <c r="Y91" s="172"/>
      <c r="Z91" s="172"/>
      <c r="AA91" s="195"/>
      <c r="AB91" s="172"/>
      <c r="AC91" s="656"/>
    </row>
    <row r="92" spans="1:29" ht="12.75" customHeight="1" x14ac:dyDescent="0.3">
      <c r="A92" s="161"/>
      <c r="B92" s="160" t="s">
        <v>4278</v>
      </c>
      <c r="C92" s="160" t="s">
        <v>4279</v>
      </c>
      <c r="D92" s="160"/>
      <c r="E92" s="439">
        <v>4.6399999999999997</v>
      </c>
      <c r="F92" s="655">
        <v>1006.99610241</v>
      </c>
      <c r="G92" s="655">
        <v>-24.971</v>
      </c>
      <c r="H92" s="654"/>
      <c r="I92" s="654"/>
      <c r="J92" s="191"/>
      <c r="K92" s="191">
        <v>20893923.487120301</v>
      </c>
      <c r="L92" s="191"/>
      <c r="M92" s="191"/>
      <c r="N92" s="191"/>
      <c r="O92" s="191"/>
      <c r="P92" s="191"/>
      <c r="Q92" s="191"/>
      <c r="R92" s="191"/>
      <c r="S92" s="191"/>
      <c r="T92" s="191"/>
      <c r="U92" s="439"/>
      <c r="V92" s="441"/>
      <c r="W92" s="178"/>
      <c r="X92" s="172"/>
      <c r="Y92" s="172"/>
      <c r="Z92" s="172"/>
      <c r="AA92" s="195"/>
      <c r="AB92" s="172"/>
      <c r="AC92" s="656"/>
    </row>
    <row r="93" spans="1:29" ht="12.75" customHeight="1" x14ac:dyDescent="0.3">
      <c r="A93" s="161"/>
      <c r="B93" s="160" t="s">
        <v>4280</v>
      </c>
      <c r="C93" s="160" t="s">
        <v>4281</v>
      </c>
      <c r="D93" s="160"/>
      <c r="E93" s="439"/>
      <c r="F93" s="655">
        <v>1121.0106889159999</v>
      </c>
      <c r="G93" s="655"/>
      <c r="H93" s="654"/>
      <c r="I93" s="654"/>
      <c r="J93" s="191"/>
      <c r="K93" s="191">
        <v>27977570.578499299</v>
      </c>
      <c r="L93" s="191"/>
      <c r="M93" s="191"/>
      <c r="N93" s="191"/>
      <c r="O93" s="191"/>
      <c r="P93" s="191"/>
      <c r="Q93" s="191"/>
      <c r="R93" s="191"/>
      <c r="S93" s="191"/>
      <c r="T93" s="191"/>
      <c r="U93" s="439"/>
      <c r="V93" s="441"/>
      <c r="W93" s="178"/>
      <c r="X93" s="172"/>
      <c r="Y93" s="172"/>
      <c r="Z93" s="172"/>
      <c r="AA93" s="195"/>
      <c r="AB93" s="172"/>
      <c r="AC93" s="656"/>
    </row>
    <row r="94" spans="1:29" ht="12.75" customHeight="1" x14ac:dyDescent="0.3">
      <c r="A94" s="161"/>
      <c r="B94" s="160" t="s">
        <v>4282</v>
      </c>
      <c r="C94" s="160" t="s">
        <v>4283</v>
      </c>
      <c r="D94" s="160"/>
      <c r="E94" s="439">
        <v>7.6</v>
      </c>
      <c r="F94" s="655">
        <v>334.01883916999998</v>
      </c>
      <c r="G94" s="655"/>
      <c r="H94" s="654"/>
      <c r="I94" s="654"/>
      <c r="J94" s="191"/>
      <c r="K94" s="191">
        <v>14729.9068354176</v>
      </c>
      <c r="L94" s="191"/>
      <c r="M94" s="191"/>
      <c r="N94" s="191"/>
      <c r="O94" s="191"/>
      <c r="P94" s="191"/>
      <c r="Q94" s="191"/>
      <c r="R94" s="191"/>
      <c r="S94" s="191"/>
      <c r="T94" s="191"/>
      <c r="U94" s="439"/>
      <c r="V94" s="441"/>
      <c r="W94" s="178"/>
      <c r="X94" s="172"/>
      <c r="Y94" s="172"/>
      <c r="Z94" s="172"/>
      <c r="AA94" s="195"/>
      <c r="AB94" s="172"/>
      <c r="AC94" s="656"/>
    </row>
    <row r="95" spans="1:29" ht="12.75" customHeight="1" x14ac:dyDescent="0.3">
      <c r="A95" s="161"/>
      <c r="B95" s="657" t="s">
        <v>4210</v>
      </c>
      <c r="C95" s="657" t="s">
        <v>4211</v>
      </c>
      <c r="D95" s="657" t="s">
        <v>2060</v>
      </c>
      <c r="E95" s="658"/>
      <c r="F95" s="658"/>
      <c r="G95" s="659"/>
      <c r="H95" s="658"/>
      <c r="I95" s="658"/>
      <c r="J95" s="660"/>
      <c r="K95" s="660"/>
      <c r="L95" s="660"/>
      <c r="M95" s="660"/>
      <c r="N95" s="660"/>
      <c r="O95" s="660"/>
      <c r="P95" s="660"/>
      <c r="Q95" s="660"/>
      <c r="R95" s="660"/>
      <c r="S95" s="660"/>
      <c r="T95" s="660"/>
      <c r="U95" s="658"/>
      <c r="V95" s="661"/>
      <c r="W95" s="662"/>
      <c r="X95" s="663"/>
      <c r="Y95" s="663"/>
      <c r="Z95" s="663"/>
      <c r="AA95" s="664"/>
      <c r="AB95" s="663"/>
      <c r="AC95" s="665" t="s">
        <v>4212</v>
      </c>
    </row>
    <row r="96" spans="1:29" ht="12.75" customHeight="1" x14ac:dyDescent="0.3">
      <c r="A96" s="161"/>
      <c r="B96" s="160" t="s">
        <v>4213</v>
      </c>
      <c r="C96" s="160" t="s">
        <v>4214</v>
      </c>
      <c r="D96" s="160" t="s">
        <v>2060</v>
      </c>
      <c r="E96" s="439"/>
      <c r="F96" s="439"/>
      <c r="G96" s="655">
        <v>90.5</v>
      </c>
      <c r="H96" s="439"/>
      <c r="I96" s="439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439"/>
      <c r="V96" s="441"/>
      <c r="W96" s="178"/>
      <c r="X96" s="172"/>
      <c r="Y96" s="172"/>
      <c r="Z96" s="172"/>
      <c r="AA96" s="195"/>
      <c r="AB96" s="172"/>
      <c r="AC96" s="656" t="s">
        <v>4215</v>
      </c>
    </row>
    <row r="97" spans="1:29" ht="12.75" customHeight="1" x14ac:dyDescent="0.3">
      <c r="A97" s="161"/>
      <c r="B97" s="160" t="s">
        <v>4216</v>
      </c>
      <c r="C97" s="160" t="s">
        <v>4217</v>
      </c>
      <c r="D97" s="160" t="s">
        <v>2060</v>
      </c>
      <c r="E97" s="439"/>
      <c r="F97" s="439"/>
      <c r="G97" s="655"/>
      <c r="H97" s="439"/>
      <c r="I97" s="439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439"/>
      <c r="V97" s="441"/>
      <c r="W97" s="178"/>
      <c r="X97" s="172"/>
      <c r="Y97" s="172"/>
      <c r="Z97" s="172"/>
      <c r="AA97" s="195"/>
      <c r="AB97" s="172"/>
      <c r="AC97" s="656" t="s">
        <v>4218</v>
      </c>
    </row>
    <row r="98" spans="1:29" ht="12.75" customHeight="1" x14ac:dyDescent="0.3">
      <c r="A98" s="679" t="s">
        <v>4284</v>
      </c>
      <c r="B98" s="680" t="s">
        <v>4059</v>
      </c>
      <c r="C98" s="680" t="s">
        <v>3055</v>
      </c>
      <c r="D98" s="680" t="s">
        <v>398</v>
      </c>
      <c r="E98" s="681">
        <v>3.95</v>
      </c>
      <c r="F98" s="681">
        <v>60.021129369000001</v>
      </c>
      <c r="G98" s="682">
        <v>17.634</v>
      </c>
      <c r="H98" s="681">
        <v>405.41620336</v>
      </c>
      <c r="I98" s="681">
        <v>314270.63337608398</v>
      </c>
      <c r="J98" s="683"/>
      <c r="K98" s="683">
        <v>0.67578881581230499</v>
      </c>
      <c r="L98" s="191"/>
      <c r="M98" s="191"/>
      <c r="N98" s="191"/>
      <c r="O98" s="191"/>
      <c r="P98" s="191"/>
      <c r="Q98" s="191"/>
      <c r="R98" s="191"/>
      <c r="S98" s="191"/>
      <c r="T98" s="191"/>
      <c r="U98" s="439"/>
      <c r="V98" s="441"/>
      <c r="W98" s="178"/>
      <c r="X98" s="172"/>
      <c r="Y98" s="172"/>
      <c r="Z98" s="172"/>
      <c r="AA98" s="195"/>
      <c r="AB98" s="172"/>
      <c r="AC98" s="656"/>
    </row>
    <row r="99" spans="1:29" ht="12.75" customHeight="1" x14ac:dyDescent="0.3">
      <c r="A99" s="679"/>
      <c r="B99" s="680" t="s">
        <v>4060</v>
      </c>
      <c r="C99" s="680" t="s">
        <v>4061</v>
      </c>
      <c r="D99" s="680" t="s">
        <v>657</v>
      </c>
      <c r="E99" s="681"/>
      <c r="F99" s="681">
        <v>346.29032174700001</v>
      </c>
      <c r="G99" s="682">
        <v>10.074999999999999</v>
      </c>
      <c r="H99" s="681">
        <v>1.1243510887E-3</v>
      </c>
      <c r="I99" s="681">
        <v>3.7020166846363001</v>
      </c>
      <c r="J99" s="683"/>
      <c r="K99" s="683">
        <v>38197065.5526862</v>
      </c>
      <c r="L99" s="191"/>
      <c r="M99" s="191"/>
      <c r="N99" s="191"/>
      <c r="O99" s="191"/>
      <c r="P99" s="191"/>
      <c r="Q99" s="191"/>
      <c r="R99" s="191"/>
      <c r="S99" s="191"/>
      <c r="T99" s="191"/>
      <c r="U99" s="439"/>
      <c r="V99" s="441"/>
      <c r="W99" s="178"/>
      <c r="X99" s="172"/>
      <c r="Y99" s="172"/>
      <c r="Z99" s="172"/>
      <c r="AA99" s="195"/>
      <c r="AB99" s="172"/>
      <c r="AC99" s="656"/>
    </row>
    <row r="100" spans="1:29" ht="12.75" customHeight="1" x14ac:dyDescent="0.3">
      <c r="A100" s="679"/>
      <c r="B100" s="680" t="s">
        <v>4062</v>
      </c>
      <c r="C100" s="680" t="s">
        <v>4063</v>
      </c>
      <c r="D100" s="680" t="s">
        <v>657</v>
      </c>
      <c r="E100" s="681"/>
      <c r="F100" s="681">
        <v>234.16512123199999</v>
      </c>
      <c r="G100" s="682">
        <v>-83.433000000000007</v>
      </c>
      <c r="H100" s="681">
        <v>3.9618898774</v>
      </c>
      <c r="I100" s="681">
        <v>21.3561166379917</v>
      </c>
      <c r="J100" s="683"/>
      <c r="K100" s="683">
        <v>1174.00514450626</v>
      </c>
      <c r="L100" s="191"/>
      <c r="M100" s="191"/>
      <c r="N100" s="191"/>
      <c r="O100" s="191"/>
      <c r="P100" s="191"/>
      <c r="Q100" s="191"/>
      <c r="R100" s="191"/>
      <c r="S100" s="191"/>
      <c r="T100" s="191"/>
      <c r="U100" s="439"/>
      <c r="V100" s="441"/>
      <c r="W100" s="178"/>
      <c r="X100" s="172"/>
      <c r="Y100" s="172"/>
      <c r="Z100" s="172"/>
      <c r="AA100" s="195"/>
      <c r="AB100" s="172"/>
      <c r="AC100" s="656"/>
    </row>
    <row r="101" spans="1:29" ht="12.75" customHeight="1" x14ac:dyDescent="0.3">
      <c r="A101" s="679"/>
      <c r="B101" s="680" t="s">
        <v>4285</v>
      </c>
      <c r="C101" s="680" t="s">
        <v>4064</v>
      </c>
      <c r="D101" s="680" t="s">
        <v>657</v>
      </c>
      <c r="E101" s="681"/>
      <c r="F101" s="681">
        <v>162.08961826999999</v>
      </c>
      <c r="G101" s="682">
        <v>-45.625999999999998</v>
      </c>
      <c r="H101" s="681">
        <v>6351.8733781999999</v>
      </c>
      <c r="I101" s="681">
        <v>3.0672866823705101</v>
      </c>
      <c r="J101" s="683"/>
      <c r="K101" s="683">
        <v>20874.688331894198</v>
      </c>
      <c r="L101" s="191"/>
      <c r="M101" s="191"/>
      <c r="N101" s="191"/>
      <c r="O101" s="191"/>
      <c r="P101" s="191"/>
      <c r="Q101" s="191"/>
      <c r="R101" s="191"/>
      <c r="S101" s="191"/>
      <c r="T101" s="191"/>
      <c r="U101" s="439"/>
      <c r="V101" s="441"/>
      <c r="W101" s="178"/>
      <c r="X101" s="172"/>
      <c r="Y101" s="172"/>
      <c r="Z101" s="172"/>
      <c r="AA101" s="195"/>
      <c r="AB101" s="172"/>
      <c r="AC101" s="656"/>
    </row>
    <row r="102" spans="1:29" ht="12.75" customHeight="1" x14ac:dyDescent="0.3">
      <c r="A102" s="679"/>
      <c r="B102" s="680" t="s">
        <v>4286</v>
      </c>
      <c r="C102" s="680" t="s">
        <v>4065</v>
      </c>
      <c r="D102" s="680" t="s">
        <v>657</v>
      </c>
      <c r="E102" s="681"/>
      <c r="F102" s="681">
        <v>136.055570781</v>
      </c>
      <c r="G102" s="682">
        <v>-44.526000000000003</v>
      </c>
      <c r="H102" s="681">
        <v>8972.2639593999993</v>
      </c>
      <c r="I102" s="681">
        <v>60773.846578740202</v>
      </c>
      <c r="J102" s="683"/>
      <c r="K102" s="683">
        <v>41.388529828459099</v>
      </c>
      <c r="L102" s="191"/>
      <c r="M102" s="191"/>
      <c r="N102" s="191"/>
      <c r="O102" s="191"/>
      <c r="P102" s="191"/>
      <c r="Q102" s="191"/>
      <c r="R102" s="191"/>
      <c r="S102" s="191"/>
      <c r="T102" s="191"/>
      <c r="U102" s="439"/>
      <c r="V102" s="441"/>
      <c r="W102" s="178"/>
      <c r="X102" s="172"/>
      <c r="Y102" s="172"/>
      <c r="Z102" s="172"/>
      <c r="AA102" s="195"/>
      <c r="AB102" s="172"/>
      <c r="AC102" s="656"/>
    </row>
    <row r="103" spans="1:29" ht="12.75" customHeight="1" x14ac:dyDescent="0.3">
      <c r="A103" s="679"/>
      <c r="B103" s="680" t="s">
        <v>4287</v>
      </c>
      <c r="C103" s="680" t="s">
        <v>4066</v>
      </c>
      <c r="D103" s="680" t="s">
        <v>657</v>
      </c>
      <c r="E103" s="681"/>
      <c r="F103" s="681">
        <v>198.07122084599999</v>
      </c>
      <c r="G103" s="682">
        <v>18.91</v>
      </c>
      <c r="H103" s="681">
        <v>46.978806462000001</v>
      </c>
      <c r="I103" s="681">
        <v>60773.846578740202</v>
      </c>
      <c r="J103" s="683"/>
      <c r="K103" s="683">
        <v>76.109698230797093</v>
      </c>
      <c r="L103" s="191"/>
      <c r="M103" s="191"/>
      <c r="N103" s="191"/>
      <c r="O103" s="191"/>
      <c r="P103" s="191"/>
      <c r="Q103" s="191"/>
      <c r="R103" s="191"/>
      <c r="S103" s="191"/>
      <c r="T103" s="191"/>
      <c r="U103" s="439"/>
      <c r="V103" s="441"/>
      <c r="W103" s="178"/>
      <c r="X103" s="172"/>
      <c r="Y103" s="172"/>
      <c r="Z103" s="172"/>
      <c r="AA103" s="195"/>
      <c r="AB103" s="172"/>
      <c r="AC103" s="656"/>
    </row>
    <row r="104" spans="1:29" ht="12.75" customHeight="1" x14ac:dyDescent="0.3">
      <c r="A104" s="679"/>
      <c r="B104" s="680" t="s">
        <v>4067</v>
      </c>
      <c r="C104" s="680" t="s">
        <v>4068</v>
      </c>
      <c r="D104" s="680" t="s">
        <v>396</v>
      </c>
      <c r="E104" s="681"/>
      <c r="F104" s="681">
        <v>210.12559443999999</v>
      </c>
      <c r="G104" s="682">
        <v>25.568000000000001</v>
      </c>
      <c r="H104" s="681">
        <v>9.4384776611999996E-2</v>
      </c>
      <c r="I104" s="681">
        <v>74.727175276291604</v>
      </c>
      <c r="J104" s="683"/>
      <c r="K104" s="683">
        <v>393.15155705050398</v>
      </c>
      <c r="L104" s="191"/>
      <c r="M104" s="191"/>
      <c r="N104" s="191"/>
      <c r="O104" s="191"/>
      <c r="P104" s="191"/>
      <c r="Q104" s="191"/>
      <c r="R104" s="191"/>
      <c r="S104" s="191"/>
      <c r="T104" s="191"/>
      <c r="U104" s="439"/>
      <c r="V104" s="441"/>
      <c r="W104" s="178"/>
      <c r="X104" s="172"/>
      <c r="Y104" s="172"/>
      <c r="Z104" s="172"/>
      <c r="AA104" s="195"/>
      <c r="AB104" s="172"/>
      <c r="AC104" s="656"/>
    </row>
    <row r="105" spans="1:29" ht="12.75" customHeight="1" x14ac:dyDescent="0.3">
      <c r="A105" s="679"/>
      <c r="B105" s="680" t="s">
        <v>4069</v>
      </c>
      <c r="C105" s="680" t="s">
        <v>4070</v>
      </c>
      <c r="D105" s="680" t="s">
        <v>657</v>
      </c>
      <c r="E105" s="681"/>
      <c r="F105" s="681">
        <v>332.27467168300001</v>
      </c>
      <c r="G105" s="682">
        <v>5.9</v>
      </c>
      <c r="H105" s="681">
        <v>1.9050247257999999E-2</v>
      </c>
      <c r="I105" s="681">
        <v>15.685457833869201</v>
      </c>
      <c r="J105" s="683"/>
      <c r="K105" s="683">
        <v>5480119.1359094298</v>
      </c>
      <c r="L105" s="191"/>
      <c r="M105" s="191"/>
      <c r="N105" s="191"/>
      <c r="O105" s="191"/>
      <c r="P105" s="191"/>
      <c r="Q105" s="191"/>
      <c r="R105" s="191"/>
      <c r="S105" s="191"/>
      <c r="T105" s="191"/>
      <c r="U105" s="439"/>
      <c r="V105" s="441"/>
      <c r="W105" s="178"/>
      <c r="X105" s="172"/>
      <c r="Y105" s="172"/>
      <c r="Z105" s="172"/>
      <c r="AA105" s="195"/>
      <c r="AB105" s="172"/>
      <c r="AC105" s="656"/>
    </row>
    <row r="106" spans="1:29" ht="12.6" customHeight="1" x14ac:dyDescent="0.3">
      <c r="A106" s="679"/>
      <c r="B106" s="680" t="s">
        <v>4071</v>
      </c>
      <c r="C106" s="680" t="s">
        <v>1592</v>
      </c>
      <c r="D106" s="680" t="s">
        <v>386</v>
      </c>
      <c r="E106" s="681"/>
      <c r="F106" s="681">
        <v>92.047344117999998</v>
      </c>
      <c r="G106" s="682">
        <v>30.658999999999999</v>
      </c>
      <c r="H106" s="681">
        <v>0.89104958767999998</v>
      </c>
      <c r="I106" s="681">
        <v>598427.39831435296</v>
      </c>
      <c r="J106" s="683"/>
      <c r="K106" s="683">
        <v>1.37997112764942E-2</v>
      </c>
      <c r="L106" s="191"/>
      <c r="M106" s="191"/>
      <c r="N106" s="191"/>
      <c r="O106" s="191"/>
      <c r="P106" s="191"/>
      <c r="Q106" s="191"/>
      <c r="R106" s="191"/>
      <c r="S106" s="191"/>
      <c r="T106" s="191"/>
      <c r="U106" s="439"/>
      <c r="V106" s="441"/>
      <c r="W106" s="178"/>
      <c r="X106" s="172"/>
      <c r="Y106" s="172"/>
      <c r="Z106" s="172"/>
      <c r="AA106" s="195"/>
      <c r="AB106" s="172"/>
      <c r="AC106" s="656"/>
    </row>
    <row r="107" spans="1:29" ht="12.75" customHeight="1" x14ac:dyDescent="0.3">
      <c r="A107" s="679"/>
      <c r="B107" s="680" t="s">
        <v>4288</v>
      </c>
      <c r="C107" s="680" t="s">
        <v>4289</v>
      </c>
      <c r="D107" s="680"/>
      <c r="E107" s="681"/>
      <c r="F107" s="681">
        <v>208.11308565900001</v>
      </c>
      <c r="G107" s="682">
        <v>-60.938000000000002</v>
      </c>
      <c r="H107" s="681">
        <v>228.50857511999999</v>
      </c>
      <c r="I107" s="681">
        <v>1528.61974999734</v>
      </c>
      <c r="J107" s="683"/>
      <c r="K107" s="683">
        <v>33.0323901950701</v>
      </c>
      <c r="L107" s="191"/>
      <c r="M107" s="191"/>
      <c r="N107" s="191"/>
      <c r="O107" s="191"/>
      <c r="P107" s="191"/>
      <c r="Q107" s="191"/>
      <c r="R107" s="191"/>
      <c r="S107" s="191"/>
      <c r="T107" s="191"/>
      <c r="U107" s="439"/>
      <c r="V107" s="441"/>
      <c r="W107" s="178"/>
      <c r="X107" s="172"/>
      <c r="Y107" s="172"/>
      <c r="Z107" s="172"/>
      <c r="AA107" s="195"/>
      <c r="AB107" s="172"/>
      <c r="AC107" s="656"/>
    </row>
    <row r="108" spans="1:29" ht="12.75" customHeight="1" x14ac:dyDescent="0.3">
      <c r="A108" s="679"/>
      <c r="B108" s="680" t="s">
        <v>4290</v>
      </c>
      <c r="C108" s="680" t="s">
        <v>4291</v>
      </c>
      <c r="D108" s="680"/>
      <c r="E108" s="681"/>
      <c r="F108" s="681">
        <v>148.09195629000001</v>
      </c>
      <c r="G108" s="682">
        <v>-59.341000000000001</v>
      </c>
      <c r="H108" s="681">
        <v>3889.5760246</v>
      </c>
      <c r="I108" s="681">
        <v>1319.8710413541801</v>
      </c>
      <c r="J108" s="683"/>
      <c r="K108" s="683">
        <v>4.1071730345794997</v>
      </c>
      <c r="L108" s="191"/>
      <c r="M108" s="191"/>
      <c r="N108" s="191"/>
      <c r="O108" s="191"/>
      <c r="P108" s="191"/>
      <c r="Q108" s="191"/>
      <c r="R108" s="191"/>
      <c r="S108" s="191"/>
      <c r="T108" s="191"/>
      <c r="U108" s="439"/>
      <c r="V108" s="441"/>
      <c r="W108" s="178"/>
      <c r="X108" s="172"/>
      <c r="Y108" s="172"/>
      <c r="Z108" s="172"/>
      <c r="AA108" s="195"/>
      <c r="AB108" s="172"/>
      <c r="AC108" s="656"/>
    </row>
    <row r="109" spans="1:29" ht="12.75" customHeight="1" x14ac:dyDescent="0.3">
      <c r="A109" s="679"/>
      <c r="B109" s="680" t="s">
        <v>4292</v>
      </c>
      <c r="C109" s="680" t="s">
        <v>4293</v>
      </c>
      <c r="D109" s="680"/>
      <c r="E109" s="681"/>
      <c r="F109" s="681">
        <v>248.18077129700001</v>
      </c>
      <c r="G109" s="682"/>
      <c r="H109" s="681"/>
      <c r="I109" s="681"/>
      <c r="J109" s="683"/>
      <c r="K109" s="683">
        <v>4139.1388945562403</v>
      </c>
      <c r="L109" s="191"/>
      <c r="M109" s="191"/>
      <c r="N109" s="191"/>
      <c r="O109" s="191"/>
      <c r="P109" s="191"/>
      <c r="Q109" s="191"/>
      <c r="R109" s="191"/>
      <c r="S109" s="191"/>
      <c r="T109" s="191"/>
      <c r="U109" s="439"/>
      <c r="V109" s="441"/>
      <c r="W109" s="178"/>
      <c r="X109" s="172"/>
      <c r="Y109" s="172"/>
      <c r="Z109" s="172"/>
      <c r="AA109" s="195"/>
      <c r="AB109" s="172"/>
      <c r="AC109" s="656"/>
    </row>
    <row r="110" spans="1:29" ht="12.75" customHeight="1" x14ac:dyDescent="0.3">
      <c r="A110" s="679"/>
      <c r="B110" s="680" t="s">
        <v>4294</v>
      </c>
      <c r="C110" s="680" t="s">
        <v>4295</v>
      </c>
      <c r="D110" s="680"/>
      <c r="E110" s="681"/>
      <c r="F110" s="681">
        <v>248.10800027900001</v>
      </c>
      <c r="G110" s="682">
        <v>17.388000000000002</v>
      </c>
      <c r="H110" s="681">
        <v>53.198811050000003</v>
      </c>
      <c r="I110" s="681">
        <v>808.42766486908499</v>
      </c>
      <c r="J110" s="683"/>
      <c r="K110" s="683">
        <v>51.432780110843801</v>
      </c>
      <c r="L110" s="191"/>
      <c r="M110" s="191"/>
      <c r="N110" s="191"/>
      <c r="O110" s="191"/>
      <c r="P110" s="191"/>
      <c r="Q110" s="191"/>
      <c r="R110" s="191"/>
      <c r="S110" s="191"/>
      <c r="T110" s="191"/>
      <c r="U110" s="439"/>
      <c r="V110" s="441"/>
      <c r="W110" s="178"/>
      <c r="X110" s="172"/>
      <c r="Y110" s="172"/>
      <c r="Z110" s="172"/>
      <c r="AA110" s="195"/>
      <c r="AB110" s="172"/>
      <c r="AC110" s="656"/>
    </row>
    <row r="111" spans="1:29" ht="12.75" customHeight="1" x14ac:dyDescent="0.3">
      <c r="A111" s="679"/>
      <c r="B111" s="680" t="s">
        <v>4296</v>
      </c>
      <c r="C111" s="680" t="s">
        <v>4297</v>
      </c>
      <c r="D111" s="680"/>
      <c r="E111" s="681"/>
      <c r="F111" s="681">
        <v>198.089208931</v>
      </c>
      <c r="G111" s="682">
        <v>56.182000000000002</v>
      </c>
      <c r="H111" s="681">
        <v>63.518733781999998</v>
      </c>
      <c r="I111" s="681">
        <v>548.10095575954097</v>
      </c>
      <c r="J111" s="683"/>
      <c r="K111" s="683">
        <v>32.624960910649797</v>
      </c>
      <c r="L111" s="191"/>
      <c r="M111" s="191"/>
      <c r="N111" s="191"/>
      <c r="O111" s="191"/>
      <c r="P111" s="191"/>
      <c r="Q111" s="191"/>
      <c r="R111" s="191"/>
      <c r="S111" s="191"/>
      <c r="T111" s="191"/>
      <c r="U111" s="439"/>
      <c r="V111" s="441"/>
      <c r="W111" s="178"/>
      <c r="X111" s="172"/>
      <c r="Y111" s="172"/>
      <c r="Z111" s="172"/>
      <c r="AA111" s="195"/>
      <c r="AB111" s="172"/>
      <c r="AC111" s="656"/>
    </row>
    <row r="112" spans="1:29" ht="12.75" customHeight="1" x14ac:dyDescent="0.3">
      <c r="A112" s="679"/>
      <c r="B112" s="680" t="s">
        <v>4298</v>
      </c>
      <c r="C112" s="680" t="s">
        <v>4299</v>
      </c>
      <c r="D112" s="680"/>
      <c r="E112" s="681"/>
      <c r="F112" s="681">
        <v>146.13067982000001</v>
      </c>
      <c r="G112" s="682">
        <v>-32.015999999999998</v>
      </c>
      <c r="H112" s="681"/>
      <c r="I112" s="681">
        <v>502.043640975995</v>
      </c>
      <c r="J112" s="683"/>
      <c r="K112" s="683">
        <v>291.81660462246202</v>
      </c>
      <c r="L112" s="191"/>
      <c r="M112" s="191"/>
      <c r="N112" s="191"/>
      <c r="O112" s="191"/>
      <c r="P112" s="191"/>
      <c r="Q112" s="191"/>
      <c r="R112" s="191"/>
      <c r="S112" s="191"/>
      <c r="T112" s="191"/>
      <c r="U112" s="439"/>
      <c r="V112" s="441"/>
      <c r="W112" s="178"/>
      <c r="X112" s="172"/>
      <c r="Y112" s="172"/>
      <c r="Z112" s="172"/>
      <c r="AA112" s="195"/>
      <c r="AB112" s="172"/>
      <c r="AC112" s="656"/>
    </row>
    <row r="113" spans="1:29" ht="12.75" customHeight="1" x14ac:dyDescent="0.3">
      <c r="A113" s="679"/>
      <c r="B113" s="680" t="s">
        <v>4300</v>
      </c>
      <c r="C113" s="680" t="s">
        <v>4301</v>
      </c>
      <c r="D113" s="680"/>
      <c r="E113" s="681">
        <v>8.9499999999999993</v>
      </c>
      <c r="F113" s="681">
        <v>164.10619640199999</v>
      </c>
      <c r="G113" s="682">
        <v>73.853999999999999</v>
      </c>
      <c r="H113" s="681">
        <v>0.45803839676000002</v>
      </c>
      <c r="I113" s="681">
        <v>713.05783398633002</v>
      </c>
      <c r="J113" s="683"/>
      <c r="K113" s="683">
        <v>12.611594544997301</v>
      </c>
      <c r="L113" s="191"/>
      <c r="M113" s="191"/>
      <c r="N113" s="191"/>
      <c r="O113" s="191"/>
      <c r="P113" s="191"/>
      <c r="Q113" s="191"/>
      <c r="R113" s="191"/>
      <c r="S113" s="191"/>
      <c r="T113" s="191"/>
      <c r="U113" s="439"/>
      <c r="V113" s="441"/>
      <c r="W113" s="178"/>
      <c r="X113" s="172"/>
      <c r="Y113" s="172"/>
      <c r="Z113" s="172"/>
      <c r="AA113" s="195"/>
      <c r="AB113" s="172"/>
      <c r="AC113" s="656"/>
    </row>
    <row r="114" spans="1:29" ht="12.75" customHeight="1" x14ac:dyDescent="0.3">
      <c r="A114" s="679"/>
      <c r="B114" s="680" t="s">
        <v>4302</v>
      </c>
      <c r="C114" s="680" t="s">
        <v>4303</v>
      </c>
      <c r="D114" s="680"/>
      <c r="E114" s="681"/>
      <c r="F114" s="681">
        <v>148.055570781</v>
      </c>
      <c r="G114" s="682">
        <v>-54.972999999999999</v>
      </c>
      <c r="H114" s="681">
        <v>3697.4456903999999</v>
      </c>
      <c r="I114" s="681">
        <v>19652.748409899101</v>
      </c>
      <c r="J114" s="683"/>
      <c r="K114" s="683">
        <v>39.408508648335904</v>
      </c>
      <c r="L114" s="191"/>
      <c r="M114" s="191"/>
      <c r="N114" s="191"/>
      <c r="O114" s="191"/>
      <c r="P114" s="191"/>
      <c r="Q114" s="191"/>
      <c r="R114" s="191"/>
      <c r="S114" s="191"/>
      <c r="T114" s="191"/>
      <c r="U114" s="439"/>
      <c r="V114" s="441"/>
      <c r="W114" s="178"/>
      <c r="X114" s="172"/>
      <c r="Y114" s="172"/>
      <c r="Z114" s="172"/>
      <c r="AA114" s="195"/>
      <c r="AB114" s="172"/>
      <c r="AC114" s="656"/>
    </row>
    <row r="115" spans="1:29" ht="12.75" customHeight="1" x14ac:dyDescent="0.3">
      <c r="A115" s="679"/>
      <c r="B115" s="680" t="s">
        <v>4304</v>
      </c>
      <c r="C115" s="680" t="s">
        <v>4305</v>
      </c>
      <c r="D115" s="680"/>
      <c r="E115" s="681"/>
      <c r="F115" s="681">
        <v>206.133821103</v>
      </c>
      <c r="G115" s="682">
        <v>-68.73</v>
      </c>
      <c r="H115" s="681">
        <v>192.26632264</v>
      </c>
      <c r="I115" s="681">
        <v>213.37736357655899</v>
      </c>
      <c r="J115" s="683"/>
      <c r="K115" s="683">
        <v>756.04909869770597</v>
      </c>
      <c r="L115" s="191"/>
      <c r="M115" s="191"/>
      <c r="N115" s="191"/>
      <c r="O115" s="191"/>
      <c r="P115" s="191"/>
      <c r="Q115" s="191"/>
      <c r="R115" s="191"/>
      <c r="S115" s="191"/>
      <c r="T115" s="191"/>
      <c r="U115" s="439"/>
      <c r="V115" s="441"/>
      <c r="W115" s="178"/>
      <c r="X115" s="172"/>
      <c r="Y115" s="172"/>
      <c r="Z115" s="172"/>
      <c r="AA115" s="195"/>
      <c r="AB115" s="172"/>
      <c r="AC115" s="656"/>
    </row>
    <row r="116" spans="1:29" ht="12.75" customHeight="1" x14ac:dyDescent="0.3">
      <c r="A116" s="679"/>
      <c r="B116" s="680" t="s">
        <v>4306</v>
      </c>
      <c r="C116" s="680" t="s">
        <v>1725</v>
      </c>
      <c r="D116" s="680"/>
      <c r="E116" s="681">
        <v>4.76</v>
      </c>
      <c r="F116" s="681">
        <v>86.036779433000007</v>
      </c>
      <c r="G116" s="682">
        <v>25.64</v>
      </c>
      <c r="H116" s="681">
        <v>142.85718944000001</v>
      </c>
      <c r="I116" s="681">
        <v>76680.3657064406</v>
      </c>
      <c r="J116" s="683"/>
      <c r="K116" s="683">
        <v>8.4627400333276697</v>
      </c>
      <c r="L116" s="191"/>
      <c r="M116" s="191"/>
      <c r="N116" s="191"/>
      <c r="O116" s="191"/>
      <c r="P116" s="191"/>
      <c r="Q116" s="191"/>
      <c r="R116" s="191"/>
      <c r="S116" s="191"/>
      <c r="T116" s="191"/>
      <c r="U116" s="439"/>
      <c r="V116" s="441"/>
      <c r="W116" s="178"/>
      <c r="X116" s="172"/>
      <c r="Y116" s="172"/>
      <c r="Z116" s="172"/>
      <c r="AA116" s="195"/>
      <c r="AB116" s="172"/>
      <c r="AC116" s="656"/>
    </row>
    <row r="117" spans="1:29" ht="12.75" customHeight="1" x14ac:dyDescent="0.3">
      <c r="A117" s="679"/>
      <c r="B117" s="680" t="s">
        <v>4307</v>
      </c>
      <c r="C117" s="680" t="s">
        <v>4308</v>
      </c>
      <c r="D117" s="680"/>
      <c r="E117" s="681"/>
      <c r="F117" s="681">
        <v>161.105602686</v>
      </c>
      <c r="G117" s="682">
        <v>-14.853999999999999</v>
      </c>
      <c r="H117" s="681">
        <v>3426.908688</v>
      </c>
      <c r="I117" s="681"/>
      <c r="J117" s="683"/>
      <c r="K117" s="683">
        <v>14441.4233663945</v>
      </c>
      <c r="L117" s="191"/>
      <c r="M117" s="191"/>
      <c r="N117" s="191"/>
      <c r="O117" s="191"/>
      <c r="P117" s="191"/>
      <c r="Q117" s="191"/>
      <c r="R117" s="191"/>
      <c r="S117" s="191"/>
      <c r="T117" s="191"/>
      <c r="U117" s="439"/>
      <c r="V117" s="441"/>
      <c r="W117" s="178"/>
      <c r="X117" s="172"/>
      <c r="Y117" s="172"/>
      <c r="Z117" s="172"/>
      <c r="AA117" s="195"/>
      <c r="AB117" s="172"/>
      <c r="AC117" s="656"/>
    </row>
    <row r="118" spans="1:29" ht="12.75" customHeight="1" x14ac:dyDescent="0.3">
      <c r="A118" s="679"/>
      <c r="B118" s="680" t="s">
        <v>4309</v>
      </c>
      <c r="C118" s="680" t="s">
        <v>4064</v>
      </c>
      <c r="D118" s="680"/>
      <c r="E118" s="681"/>
      <c r="F118" s="681">
        <v>162.08961826999999</v>
      </c>
      <c r="G118" s="682">
        <v>-45.625999999999998</v>
      </c>
      <c r="H118" s="681">
        <v>6351.8733781999999</v>
      </c>
      <c r="I118" s="681">
        <v>3.0672866823705101</v>
      </c>
      <c r="J118" s="683"/>
      <c r="K118" s="683">
        <v>20874.688331894198</v>
      </c>
      <c r="L118" s="191"/>
      <c r="M118" s="191"/>
      <c r="N118" s="191"/>
      <c r="O118" s="191"/>
      <c r="P118" s="191"/>
      <c r="Q118" s="191"/>
      <c r="R118" s="191"/>
      <c r="S118" s="191"/>
      <c r="T118" s="191"/>
      <c r="U118" s="439"/>
      <c r="V118" s="441"/>
      <c r="W118" s="178"/>
      <c r="X118" s="172"/>
      <c r="Y118" s="172"/>
      <c r="Z118" s="172"/>
      <c r="AA118" s="195"/>
      <c r="AB118" s="172"/>
      <c r="AC118" s="656"/>
    </row>
    <row r="119" spans="1:29" ht="12.75" customHeight="1" x14ac:dyDescent="0.3">
      <c r="A119" s="679"/>
      <c r="B119" s="680" t="s">
        <v>4310</v>
      </c>
      <c r="C119" s="680" t="s">
        <v>4311</v>
      </c>
      <c r="D119" s="680"/>
      <c r="E119" s="681"/>
      <c r="F119" s="681">
        <v>147.90695969999999</v>
      </c>
      <c r="G119" s="682">
        <v>-48.031999999999996</v>
      </c>
      <c r="H119" s="681">
        <v>11964.7029138</v>
      </c>
      <c r="I119" s="681">
        <v>194.08351251833901</v>
      </c>
      <c r="J119" s="683"/>
      <c r="K119" s="683">
        <v>383.27456552144201</v>
      </c>
      <c r="L119" s="191"/>
      <c r="M119" s="191"/>
      <c r="N119" s="191"/>
      <c r="O119" s="191"/>
      <c r="P119" s="191"/>
      <c r="Q119" s="191"/>
      <c r="R119" s="191"/>
      <c r="S119" s="191"/>
      <c r="T119" s="191"/>
      <c r="U119" s="439"/>
      <c r="V119" s="441"/>
      <c r="W119" s="178"/>
      <c r="X119" s="172"/>
      <c r="Y119" s="172"/>
      <c r="Z119" s="172"/>
      <c r="AA119" s="195"/>
      <c r="AB119" s="172"/>
      <c r="AC119" s="656"/>
    </row>
    <row r="120" spans="1:29" ht="12.75" customHeight="1" x14ac:dyDescent="0.3">
      <c r="A120" s="679"/>
      <c r="B120" s="680" t="s">
        <v>4312</v>
      </c>
      <c r="C120" s="680" t="s">
        <v>4313</v>
      </c>
      <c r="D120" s="680"/>
      <c r="E120" s="681"/>
      <c r="F120" s="681">
        <v>152.050485401</v>
      </c>
      <c r="G120" s="682">
        <v>-50.372</v>
      </c>
      <c r="H120" s="681">
        <v>3539.1791441999999</v>
      </c>
      <c r="I120" s="681">
        <v>108889.890766528</v>
      </c>
      <c r="J120" s="683"/>
      <c r="K120" s="683">
        <v>0.73440732520195895</v>
      </c>
      <c r="L120" s="191"/>
      <c r="M120" s="191"/>
      <c r="N120" s="191"/>
      <c r="O120" s="191"/>
      <c r="P120" s="191"/>
      <c r="Q120" s="191"/>
      <c r="R120" s="191"/>
      <c r="S120" s="191"/>
      <c r="T120" s="191"/>
      <c r="U120" s="439"/>
      <c r="V120" s="441"/>
      <c r="W120" s="178"/>
      <c r="X120" s="172"/>
      <c r="Y120" s="172"/>
      <c r="Z120" s="172"/>
      <c r="AA120" s="195"/>
      <c r="AB120" s="172"/>
      <c r="AC120" s="656"/>
    </row>
    <row r="121" spans="1:29" ht="12.75" customHeight="1" x14ac:dyDescent="0.3">
      <c r="A121" s="679"/>
      <c r="B121" s="680" t="s">
        <v>4314</v>
      </c>
      <c r="C121" s="680" t="s">
        <v>4315</v>
      </c>
      <c r="D121" s="680"/>
      <c r="E121" s="681"/>
      <c r="F121" s="681">
        <v>108.0162045</v>
      </c>
      <c r="G121" s="682">
        <v>-73.269000000000005</v>
      </c>
      <c r="H121" s="681">
        <v>40635.079057999901</v>
      </c>
      <c r="I121" s="681">
        <v>196.55708732865</v>
      </c>
      <c r="J121" s="683"/>
      <c r="K121" s="683">
        <v>435.19109487194902</v>
      </c>
      <c r="L121" s="191"/>
      <c r="M121" s="191"/>
      <c r="N121" s="191"/>
      <c r="O121" s="191"/>
      <c r="P121" s="191"/>
      <c r="Q121" s="191"/>
      <c r="R121" s="191"/>
      <c r="S121" s="191"/>
      <c r="T121" s="191"/>
      <c r="U121" s="439"/>
      <c r="V121" s="441"/>
      <c r="W121" s="178"/>
      <c r="X121" s="172"/>
      <c r="Y121" s="172"/>
      <c r="Z121" s="172"/>
      <c r="AA121" s="195"/>
      <c r="AB121" s="172"/>
      <c r="AC121" s="656"/>
    </row>
    <row r="122" spans="1:29" ht="12.75" customHeight="1" x14ac:dyDescent="0.3">
      <c r="A122" s="679"/>
      <c r="B122" s="680" t="s">
        <v>4316</v>
      </c>
      <c r="C122" s="680" t="s">
        <v>4317</v>
      </c>
      <c r="D122" s="680"/>
      <c r="E122" s="681"/>
      <c r="F122" s="681">
        <v>178.102520975</v>
      </c>
      <c r="G122" s="682">
        <v>-69.772999999999996</v>
      </c>
      <c r="H122" s="681">
        <v>580.63330864</v>
      </c>
      <c r="I122" s="681">
        <v>596.58110938390803</v>
      </c>
      <c r="J122" s="683"/>
      <c r="K122" s="683">
        <v>373.55108312526897</v>
      </c>
      <c r="L122" s="191"/>
      <c r="M122" s="191"/>
      <c r="N122" s="191"/>
      <c r="O122" s="191"/>
      <c r="P122" s="191"/>
      <c r="Q122" s="191"/>
      <c r="R122" s="191"/>
      <c r="S122" s="191"/>
      <c r="T122" s="191"/>
      <c r="U122" s="439"/>
      <c r="V122" s="441"/>
      <c r="W122" s="178"/>
      <c r="X122" s="172"/>
      <c r="Y122" s="172"/>
      <c r="Z122" s="172"/>
      <c r="AA122" s="195"/>
      <c r="AB122" s="172"/>
      <c r="AC122" s="656"/>
    </row>
    <row r="123" spans="1:29" ht="12.75" customHeight="1" x14ac:dyDescent="0.3">
      <c r="A123" s="679"/>
      <c r="B123" s="680" t="s">
        <v>4318</v>
      </c>
      <c r="C123" s="680" t="s">
        <v>4303</v>
      </c>
      <c r="D123" s="680"/>
      <c r="E123" s="681"/>
      <c r="F123" s="681">
        <v>148.055570781</v>
      </c>
      <c r="G123" s="682">
        <v>-54.972999999999999</v>
      </c>
      <c r="H123" s="681">
        <v>3697.4456903999999</v>
      </c>
      <c r="I123" s="681">
        <v>19652.748409899101</v>
      </c>
      <c r="J123" s="683"/>
      <c r="K123" s="683">
        <v>39.408508648335904</v>
      </c>
      <c r="L123" s="191"/>
      <c r="M123" s="191"/>
      <c r="N123" s="191"/>
      <c r="O123" s="191"/>
      <c r="P123" s="191"/>
      <c r="Q123" s="191"/>
      <c r="R123" s="191"/>
      <c r="S123" s="191"/>
      <c r="T123" s="191"/>
      <c r="U123" s="439"/>
      <c r="V123" s="441"/>
      <c r="W123" s="178"/>
      <c r="X123" s="172"/>
      <c r="Y123" s="172"/>
      <c r="Z123" s="172"/>
      <c r="AA123" s="195"/>
      <c r="AB123" s="172"/>
      <c r="AC123" s="656"/>
    </row>
    <row r="124" spans="1:29" ht="12.75" customHeight="1" x14ac:dyDescent="0.3">
      <c r="A124" s="679"/>
      <c r="B124" s="680" t="s">
        <v>4319</v>
      </c>
      <c r="C124" s="680" t="s">
        <v>4320</v>
      </c>
      <c r="D124" s="680"/>
      <c r="E124" s="681">
        <v>12.31</v>
      </c>
      <c r="F124" s="681">
        <v>46.041864812999997</v>
      </c>
      <c r="G124" s="682">
        <v>-69.463999999999999</v>
      </c>
      <c r="H124" s="681">
        <v>4206.3091000000004</v>
      </c>
      <c r="I124" s="681">
        <v>300021.682843655</v>
      </c>
      <c r="J124" s="683"/>
      <c r="K124" s="683">
        <v>0.49009807872344902</v>
      </c>
      <c r="L124" s="191"/>
      <c r="M124" s="191"/>
      <c r="N124" s="191"/>
      <c r="O124" s="191"/>
      <c r="P124" s="191"/>
      <c r="Q124" s="191"/>
      <c r="R124" s="191"/>
      <c r="S124" s="191"/>
      <c r="T124" s="191"/>
      <c r="U124" s="439"/>
      <c r="V124" s="441"/>
      <c r="W124" s="178"/>
      <c r="X124" s="172"/>
      <c r="Y124" s="172"/>
      <c r="Z124" s="172"/>
      <c r="AA124" s="195"/>
      <c r="AB124" s="172"/>
      <c r="AC124" s="656"/>
    </row>
    <row r="125" spans="1:29" ht="12.75" customHeight="1" x14ac:dyDescent="0.3">
      <c r="A125" s="679"/>
      <c r="B125" s="680" t="s">
        <v>4321</v>
      </c>
      <c r="C125" s="680" t="s">
        <v>1715</v>
      </c>
      <c r="D125" s="680"/>
      <c r="E125" s="681">
        <v>13</v>
      </c>
      <c r="F125" s="681">
        <v>60.057514877999999</v>
      </c>
      <c r="G125" s="682">
        <v>-83.427999999999997</v>
      </c>
      <c r="H125" s="681">
        <v>2147.3507930000001</v>
      </c>
      <c r="I125" s="681">
        <v>131694.719199627</v>
      </c>
      <c r="J125" s="683"/>
      <c r="K125" s="683">
        <v>1.7730745656734399</v>
      </c>
      <c r="L125" s="191"/>
      <c r="M125" s="191"/>
      <c r="N125" s="191"/>
      <c r="O125" s="191"/>
      <c r="P125" s="191"/>
      <c r="Q125" s="191"/>
      <c r="R125" s="191"/>
      <c r="S125" s="191"/>
      <c r="T125" s="191"/>
      <c r="U125" s="439"/>
      <c r="V125" s="441"/>
      <c r="W125" s="178"/>
      <c r="X125" s="172"/>
      <c r="Y125" s="172"/>
      <c r="Z125" s="172"/>
      <c r="AA125" s="195"/>
      <c r="AB125" s="172"/>
      <c r="AC125" s="656"/>
    </row>
    <row r="126" spans="1:29" ht="12.75" customHeight="1" x14ac:dyDescent="0.3">
      <c r="A126" s="679"/>
      <c r="B126" s="680" t="s">
        <v>4322</v>
      </c>
      <c r="C126" s="680" t="s">
        <v>4323</v>
      </c>
      <c r="D126" s="680"/>
      <c r="E126" s="681">
        <v>11.68</v>
      </c>
      <c r="F126" s="681">
        <v>60.057514877999999</v>
      </c>
      <c r="G126" s="682">
        <v>-45.893000000000001</v>
      </c>
      <c r="H126" s="681">
        <v>2127.6591336000001</v>
      </c>
      <c r="I126" s="681">
        <v>287453.28346057102</v>
      </c>
      <c r="J126" s="683"/>
      <c r="K126" s="683">
        <v>1.1270617213691101</v>
      </c>
      <c r="L126" s="191"/>
      <c r="M126" s="191"/>
      <c r="N126" s="191"/>
      <c r="O126" s="191"/>
      <c r="P126" s="191"/>
      <c r="Q126" s="191"/>
      <c r="R126" s="191"/>
      <c r="S126" s="191"/>
      <c r="T126" s="191"/>
      <c r="U126" s="439"/>
      <c r="V126" s="441"/>
      <c r="W126" s="178"/>
      <c r="X126" s="172"/>
      <c r="Y126" s="172"/>
      <c r="Z126" s="172"/>
      <c r="AA126" s="195"/>
      <c r="AB126" s="172"/>
      <c r="AC126" s="656"/>
    </row>
    <row r="127" spans="1:29" ht="12.75" customHeight="1" x14ac:dyDescent="0.3">
      <c r="A127" s="679"/>
      <c r="B127" s="680" t="s">
        <v>4324</v>
      </c>
      <c r="C127" s="680" t="s">
        <v>4325</v>
      </c>
      <c r="D127" s="680" t="s">
        <v>618</v>
      </c>
      <c r="E127" s="681"/>
      <c r="F127" s="681">
        <v>62.995642896</v>
      </c>
      <c r="G127" s="682"/>
      <c r="H127" s="681"/>
      <c r="I127" s="681"/>
      <c r="J127" s="683"/>
      <c r="K127" s="683"/>
      <c r="L127" s="191"/>
      <c r="M127" s="191"/>
      <c r="N127" s="191"/>
      <c r="O127" s="191"/>
      <c r="P127" s="191"/>
      <c r="Q127" s="191"/>
      <c r="R127" s="191"/>
      <c r="S127" s="191"/>
      <c r="T127" s="191"/>
      <c r="U127" s="439"/>
      <c r="V127" s="441"/>
      <c r="W127" s="178"/>
      <c r="X127" s="172"/>
      <c r="Y127" s="172"/>
      <c r="Z127" s="172"/>
      <c r="AA127" s="195"/>
      <c r="AB127" s="172"/>
      <c r="AC127" s="656"/>
    </row>
    <row r="128" spans="1:29" ht="12.75" customHeight="1" x14ac:dyDescent="0.3">
      <c r="A128" s="679"/>
      <c r="B128" s="680" t="s">
        <v>4326</v>
      </c>
      <c r="C128" s="680" t="s">
        <v>4327</v>
      </c>
      <c r="D128" s="680" t="s">
        <v>618</v>
      </c>
      <c r="E128" s="681"/>
      <c r="F128" s="681">
        <v>97.967379718000004</v>
      </c>
      <c r="G128" s="682"/>
      <c r="H128" s="681"/>
      <c r="I128" s="681"/>
      <c r="J128" s="683"/>
      <c r="K128" s="683"/>
      <c r="L128" s="191"/>
      <c r="M128" s="191"/>
      <c r="N128" s="191"/>
      <c r="O128" s="191"/>
      <c r="P128" s="191"/>
      <c r="Q128" s="191"/>
      <c r="R128" s="191"/>
      <c r="S128" s="191"/>
      <c r="T128" s="191"/>
      <c r="U128" s="439"/>
      <c r="V128" s="441"/>
      <c r="W128" s="178"/>
      <c r="X128" s="172"/>
      <c r="Y128" s="172"/>
      <c r="Z128" s="172"/>
      <c r="AA128" s="195"/>
      <c r="AB128" s="172"/>
      <c r="AC128" s="656"/>
    </row>
    <row r="129" spans="1:29" ht="12.75" customHeight="1" x14ac:dyDescent="0.3">
      <c r="A129" s="679"/>
      <c r="B129" s="680" t="s">
        <v>4328</v>
      </c>
      <c r="C129" s="680" t="s">
        <v>4329</v>
      </c>
      <c r="D129" s="680"/>
      <c r="E129" s="681"/>
      <c r="F129" s="681">
        <v>120.060656161</v>
      </c>
      <c r="G129" s="682">
        <v>-50.487000000000002</v>
      </c>
      <c r="H129" s="681">
        <v>15484.68369</v>
      </c>
      <c r="I129" s="681">
        <v>41821.568785154202</v>
      </c>
      <c r="J129" s="683"/>
      <c r="K129" s="683">
        <v>123.089214436687</v>
      </c>
      <c r="L129" s="191"/>
      <c r="M129" s="191"/>
      <c r="N129" s="191"/>
      <c r="O129" s="191"/>
      <c r="P129" s="191"/>
      <c r="Q129" s="191"/>
      <c r="R129" s="191"/>
      <c r="S129" s="191"/>
      <c r="T129" s="191"/>
      <c r="U129" s="439"/>
      <c r="V129" s="441"/>
      <c r="W129" s="178"/>
      <c r="X129" s="172"/>
      <c r="Y129" s="172"/>
      <c r="Z129" s="172"/>
      <c r="AA129" s="195"/>
      <c r="AB129" s="172"/>
      <c r="AC129" s="656"/>
    </row>
    <row r="130" spans="1:29" ht="12.75" customHeight="1" x14ac:dyDescent="0.3">
      <c r="A130" s="679"/>
      <c r="B130" s="680" t="s">
        <v>4330</v>
      </c>
      <c r="C130" s="680" t="s">
        <v>4331</v>
      </c>
      <c r="D130" s="680"/>
      <c r="E130" s="681">
        <v>9.35</v>
      </c>
      <c r="F130" s="681">
        <v>170.07316494200001</v>
      </c>
      <c r="G130" s="682">
        <v>67.233000000000004</v>
      </c>
      <c r="H130" s="681">
        <v>5.9279094182000003E-2</v>
      </c>
      <c r="I130" s="681">
        <v>212.14586448535101</v>
      </c>
      <c r="J130" s="683"/>
      <c r="K130" s="683">
        <v>1233.13322684387</v>
      </c>
      <c r="L130" s="191"/>
      <c r="M130" s="191"/>
      <c r="N130" s="191"/>
      <c r="O130" s="191"/>
      <c r="P130" s="191"/>
      <c r="Q130" s="191"/>
      <c r="R130" s="191"/>
      <c r="S130" s="191"/>
      <c r="T130" s="191"/>
      <c r="U130" s="439"/>
      <c r="V130" s="441"/>
      <c r="W130" s="178"/>
      <c r="X130" s="172"/>
      <c r="Y130" s="172"/>
      <c r="Z130" s="172"/>
      <c r="AA130" s="195"/>
      <c r="AB130" s="172"/>
      <c r="AC130" s="656"/>
    </row>
    <row r="131" spans="1:29" ht="12.75" customHeight="1" x14ac:dyDescent="0.3">
      <c r="A131" s="679"/>
      <c r="B131" s="680" t="s">
        <v>4332</v>
      </c>
      <c r="C131" s="680" t="s">
        <v>1725</v>
      </c>
      <c r="D131" s="680"/>
      <c r="E131" s="681">
        <v>4.76</v>
      </c>
      <c r="F131" s="681">
        <v>86.036779433000007</v>
      </c>
      <c r="G131" s="682">
        <v>25.64</v>
      </c>
      <c r="H131" s="681">
        <v>142.85718944000001</v>
      </c>
      <c r="I131" s="681">
        <v>76680.3657064406</v>
      </c>
      <c r="J131" s="683"/>
      <c r="K131" s="683">
        <v>8.4627400333276697</v>
      </c>
      <c r="L131" s="191"/>
      <c r="M131" s="191"/>
      <c r="N131" s="191"/>
      <c r="O131" s="191"/>
      <c r="P131" s="191"/>
      <c r="Q131" s="191"/>
      <c r="R131" s="191"/>
      <c r="S131" s="191"/>
      <c r="T131" s="191"/>
      <c r="U131" s="439"/>
      <c r="V131" s="441"/>
      <c r="W131" s="178"/>
      <c r="X131" s="172"/>
      <c r="Y131" s="172"/>
      <c r="Z131" s="172"/>
      <c r="AA131" s="195"/>
      <c r="AB131" s="172"/>
      <c r="AC131" s="656"/>
    </row>
    <row r="132" spans="1:29" ht="12.75" customHeight="1" x14ac:dyDescent="0.3">
      <c r="A132" s="679"/>
      <c r="B132" s="680" t="s">
        <v>4333</v>
      </c>
      <c r="C132" s="680" t="s">
        <v>4334</v>
      </c>
      <c r="D132" s="680"/>
      <c r="E132" s="681">
        <v>9.9</v>
      </c>
      <c r="F132" s="681">
        <v>164.08372962600001</v>
      </c>
      <c r="G132" s="682">
        <v>32.593000000000004</v>
      </c>
      <c r="H132" s="681">
        <v>0.75666234489999995</v>
      </c>
      <c r="I132" s="681">
        <v>1675.1964292436801</v>
      </c>
      <c r="J132" s="683"/>
      <c r="K132" s="683">
        <v>187.24921254503701</v>
      </c>
      <c r="L132" s="191"/>
      <c r="M132" s="191"/>
      <c r="N132" s="191"/>
      <c r="O132" s="191"/>
      <c r="P132" s="191"/>
      <c r="Q132" s="191"/>
      <c r="R132" s="191"/>
      <c r="S132" s="191"/>
      <c r="T132" s="191"/>
      <c r="U132" s="439"/>
      <c r="V132" s="441"/>
      <c r="W132" s="178"/>
      <c r="X132" s="172"/>
      <c r="Y132" s="172"/>
      <c r="Z132" s="172"/>
      <c r="AA132" s="195"/>
      <c r="AB132" s="172"/>
      <c r="AC132" s="656"/>
    </row>
    <row r="133" spans="1:29" ht="12.75" customHeight="1" x14ac:dyDescent="0.3">
      <c r="A133" s="679"/>
      <c r="B133" s="680" t="s">
        <v>4335</v>
      </c>
      <c r="C133" s="680" t="s">
        <v>4336</v>
      </c>
      <c r="D133" s="680"/>
      <c r="E133" s="681">
        <v>13</v>
      </c>
      <c r="F133" s="681">
        <v>326.10345999999998</v>
      </c>
      <c r="G133" s="682"/>
      <c r="H133" s="681"/>
      <c r="I133" s="681"/>
      <c r="J133" s="683"/>
      <c r="K133" s="683">
        <v>4.2899279677473803E-3</v>
      </c>
      <c r="L133" s="191"/>
      <c r="M133" s="191"/>
      <c r="N133" s="191"/>
      <c r="O133" s="191"/>
      <c r="P133" s="191"/>
      <c r="Q133" s="191"/>
      <c r="R133" s="191"/>
      <c r="S133" s="191"/>
      <c r="T133" s="191"/>
      <c r="U133" s="439"/>
      <c r="V133" s="441"/>
      <c r="W133" s="178"/>
      <c r="X133" s="172"/>
      <c r="Y133" s="172"/>
      <c r="Z133" s="172"/>
      <c r="AA133" s="195"/>
      <c r="AB133" s="172"/>
      <c r="AC133" s="656"/>
    </row>
    <row r="134" spans="1:29" ht="12.75" customHeight="1" x14ac:dyDescent="0.3">
      <c r="A134" s="679"/>
      <c r="B134" s="680" t="s">
        <v>4337</v>
      </c>
      <c r="C134" s="680" t="s">
        <v>4338</v>
      </c>
      <c r="D134" s="680"/>
      <c r="E134" s="681"/>
      <c r="F134" s="681">
        <v>284.14670100000001</v>
      </c>
      <c r="G134" s="682"/>
      <c r="H134" s="681"/>
      <c r="I134" s="681"/>
      <c r="J134" s="683"/>
      <c r="K134" s="683"/>
      <c r="L134" s="191"/>
      <c r="M134" s="191"/>
      <c r="N134" s="191"/>
      <c r="O134" s="191"/>
      <c r="P134" s="191"/>
      <c r="Q134" s="191"/>
      <c r="R134" s="191"/>
      <c r="S134" s="191"/>
      <c r="T134" s="191"/>
      <c r="U134" s="439"/>
      <c r="V134" s="441"/>
      <c r="W134" s="178"/>
      <c r="X134" s="172"/>
      <c r="Y134" s="172"/>
      <c r="Z134" s="172"/>
      <c r="AA134" s="195"/>
      <c r="AB134" s="172"/>
      <c r="AC134" s="656"/>
    </row>
    <row r="135" spans="1:29" ht="12.75" customHeight="1" x14ac:dyDescent="0.3">
      <c r="A135" s="679"/>
      <c r="B135" s="680" t="s">
        <v>4339</v>
      </c>
      <c r="C135" s="680" t="s">
        <v>4340</v>
      </c>
      <c r="D135" s="680"/>
      <c r="E135" s="681"/>
      <c r="F135" s="681">
        <v>59.966755775000003</v>
      </c>
      <c r="G135" s="682"/>
      <c r="H135" s="681"/>
      <c r="I135" s="681"/>
      <c r="J135" s="683"/>
      <c r="K135" s="683"/>
      <c r="L135" s="191"/>
      <c r="M135" s="191"/>
      <c r="N135" s="191"/>
      <c r="O135" s="191"/>
      <c r="P135" s="191"/>
      <c r="Q135" s="191"/>
      <c r="R135" s="191"/>
      <c r="S135" s="191"/>
      <c r="T135" s="191"/>
      <c r="U135" s="439"/>
      <c r="V135" s="441"/>
      <c r="W135" s="178"/>
      <c r="X135" s="172"/>
      <c r="Y135" s="172"/>
      <c r="Z135" s="172"/>
      <c r="AA135" s="195"/>
      <c r="AB135" s="172"/>
      <c r="AC135" s="656"/>
    </row>
    <row r="136" spans="1:29" ht="12.75" customHeight="1" x14ac:dyDescent="0.3">
      <c r="A136" s="679"/>
      <c r="B136" s="680" t="s">
        <v>4341</v>
      </c>
      <c r="C136" s="680" t="s">
        <v>3241</v>
      </c>
      <c r="D136" s="680"/>
      <c r="E136" s="681">
        <v>8.85</v>
      </c>
      <c r="F136" s="681">
        <v>100.052429498</v>
      </c>
      <c r="G136" s="682">
        <v>-9.0609999999999999</v>
      </c>
      <c r="H136" s="681">
        <v>986.05617810000001</v>
      </c>
      <c r="I136" s="681">
        <v>109705.487895967</v>
      </c>
      <c r="J136" s="683"/>
      <c r="K136" s="683">
        <v>2.4996833646827299</v>
      </c>
      <c r="L136" s="191"/>
      <c r="M136" s="191"/>
      <c r="N136" s="191"/>
      <c r="O136" s="191"/>
      <c r="P136" s="191"/>
      <c r="Q136" s="191"/>
      <c r="R136" s="191"/>
      <c r="S136" s="191"/>
      <c r="T136" s="191"/>
      <c r="U136" s="439"/>
      <c r="V136" s="441"/>
      <c r="W136" s="178"/>
      <c r="X136" s="172"/>
      <c r="Y136" s="172"/>
      <c r="Z136" s="172"/>
      <c r="AA136" s="195"/>
      <c r="AB136" s="172"/>
      <c r="AC136" s="656"/>
    </row>
    <row r="137" spans="1:29" ht="12.75" customHeight="1" x14ac:dyDescent="0.3">
      <c r="A137" s="679"/>
      <c r="B137" s="680" t="s">
        <v>4294</v>
      </c>
      <c r="C137" s="680" t="s">
        <v>4295</v>
      </c>
      <c r="D137" s="680"/>
      <c r="E137" s="681"/>
      <c r="F137" s="681">
        <v>248.10800027900001</v>
      </c>
      <c r="G137" s="682">
        <v>17.388000000000002</v>
      </c>
      <c r="H137" s="681">
        <v>53.198811050000003</v>
      </c>
      <c r="I137" s="681">
        <v>808.42766486908499</v>
      </c>
      <c r="J137" s="683"/>
      <c r="K137" s="683">
        <v>51.432780110843801</v>
      </c>
      <c r="L137" s="191"/>
      <c r="M137" s="191"/>
      <c r="N137" s="191"/>
      <c r="O137" s="191"/>
      <c r="P137" s="191"/>
      <c r="Q137" s="191"/>
      <c r="R137" s="191"/>
      <c r="S137" s="191"/>
      <c r="T137" s="191"/>
      <c r="U137" s="439"/>
      <c r="V137" s="441"/>
      <c r="W137" s="178"/>
      <c r="X137" s="172"/>
      <c r="Y137" s="172"/>
      <c r="Z137" s="172"/>
      <c r="AA137" s="195"/>
      <c r="AB137" s="172"/>
      <c r="AC137" s="656"/>
    </row>
    <row r="138" spans="1:29" ht="12.75" customHeight="1" x14ac:dyDescent="0.3">
      <c r="A138" s="679"/>
      <c r="B138" s="680" t="s">
        <v>4342</v>
      </c>
      <c r="C138" s="680" t="s">
        <v>4297</v>
      </c>
      <c r="D138" s="680"/>
      <c r="E138" s="681"/>
      <c r="F138" s="681">
        <v>198.089208931</v>
      </c>
      <c r="G138" s="682">
        <v>56.182000000000002</v>
      </c>
      <c r="H138" s="681">
        <v>63.518733781999998</v>
      </c>
      <c r="I138" s="681">
        <v>548.10095575954097</v>
      </c>
      <c r="J138" s="683"/>
      <c r="K138" s="683">
        <v>32.624960910649797</v>
      </c>
      <c r="L138" s="191"/>
      <c r="M138" s="191"/>
      <c r="N138" s="191"/>
      <c r="O138" s="191"/>
      <c r="P138" s="191"/>
      <c r="Q138" s="191"/>
      <c r="R138" s="191"/>
      <c r="S138" s="191"/>
      <c r="T138" s="191"/>
      <c r="U138" s="439"/>
      <c r="V138" s="441"/>
      <c r="W138" s="178"/>
      <c r="X138" s="172"/>
      <c r="Y138" s="172"/>
      <c r="Z138" s="172"/>
      <c r="AA138" s="195"/>
      <c r="AB138" s="172"/>
      <c r="AC138" s="656"/>
    </row>
    <row r="139" spans="1:29" ht="12.75" customHeight="1" x14ac:dyDescent="0.3">
      <c r="A139" s="679"/>
      <c r="B139" s="680" t="s">
        <v>4343</v>
      </c>
      <c r="C139" s="680" t="s">
        <v>4344</v>
      </c>
      <c r="D139" s="680"/>
      <c r="E139" s="681"/>
      <c r="F139" s="681">
        <v>246.183109317</v>
      </c>
      <c r="G139" s="682">
        <v>6.8029999999999999</v>
      </c>
      <c r="H139" s="681"/>
      <c r="I139" s="681"/>
      <c r="J139" s="683"/>
      <c r="K139" s="683">
        <v>53482.290668557303</v>
      </c>
      <c r="L139" s="191"/>
      <c r="M139" s="191"/>
      <c r="N139" s="191"/>
      <c r="O139" s="191"/>
      <c r="P139" s="191"/>
      <c r="Q139" s="191"/>
      <c r="R139" s="191"/>
      <c r="S139" s="191"/>
      <c r="T139" s="191"/>
      <c r="U139" s="439"/>
      <c r="V139" s="441"/>
      <c r="W139" s="178"/>
      <c r="X139" s="172"/>
      <c r="Y139" s="172"/>
      <c r="Z139" s="172"/>
      <c r="AA139" s="195"/>
      <c r="AB139" s="172"/>
      <c r="AC139" s="656"/>
    </row>
    <row r="140" spans="1:29" ht="12.75" customHeight="1" x14ac:dyDescent="0.3">
      <c r="A140" s="679"/>
      <c r="B140" s="680" t="s">
        <v>4300</v>
      </c>
      <c r="C140" s="680" t="s">
        <v>4301</v>
      </c>
      <c r="D140" s="680"/>
      <c r="E140" s="681">
        <v>8.9499999999999993</v>
      </c>
      <c r="F140" s="681">
        <v>164.10619640199999</v>
      </c>
      <c r="G140" s="682">
        <v>73.853999999999999</v>
      </c>
      <c r="H140" s="681">
        <v>0.45803839676000002</v>
      </c>
      <c r="I140" s="681">
        <v>713.05783398633002</v>
      </c>
      <c r="J140" s="683"/>
      <c r="K140" s="683">
        <v>12.611594544997301</v>
      </c>
      <c r="L140" s="191"/>
      <c r="M140" s="191"/>
      <c r="N140" s="191"/>
      <c r="O140" s="191"/>
      <c r="P140" s="191"/>
      <c r="Q140" s="191"/>
      <c r="R140" s="191"/>
      <c r="S140" s="191"/>
      <c r="T140" s="191"/>
      <c r="U140" s="439"/>
      <c r="V140" s="441"/>
      <c r="W140" s="178"/>
      <c r="X140" s="172"/>
      <c r="Y140" s="172"/>
      <c r="Z140" s="172"/>
      <c r="AA140" s="195"/>
      <c r="AB140" s="172"/>
      <c r="AC140" s="656"/>
    </row>
    <row r="141" spans="1:29" ht="12.75" customHeight="1" x14ac:dyDescent="0.3">
      <c r="A141" s="679"/>
      <c r="B141" s="680" t="s">
        <v>4345</v>
      </c>
      <c r="C141" s="680" t="s">
        <v>4061</v>
      </c>
      <c r="D141" s="680"/>
      <c r="E141" s="681"/>
      <c r="F141" s="681">
        <v>346.29032174700001</v>
      </c>
      <c r="G141" s="682">
        <v>10.074999999999999</v>
      </c>
      <c r="H141" s="681">
        <v>1.1243510887E-3</v>
      </c>
      <c r="I141" s="681">
        <v>3.7020166846363001</v>
      </c>
      <c r="J141" s="683"/>
      <c r="K141" s="683">
        <v>38197065.5526862</v>
      </c>
      <c r="L141" s="191"/>
      <c r="M141" s="191"/>
      <c r="N141" s="191"/>
      <c r="O141" s="191"/>
      <c r="P141" s="191"/>
      <c r="Q141" s="191"/>
      <c r="R141" s="191"/>
      <c r="S141" s="191"/>
      <c r="T141" s="191"/>
      <c r="U141" s="439"/>
      <c r="V141" s="441"/>
      <c r="W141" s="178"/>
      <c r="X141" s="172"/>
      <c r="Y141" s="172"/>
      <c r="Z141" s="172"/>
      <c r="AA141" s="195"/>
      <c r="AB141" s="172"/>
      <c r="AC141" s="656"/>
    </row>
    <row r="142" spans="1:29" ht="12.75" customHeight="1" x14ac:dyDescent="0.3">
      <c r="A142" s="679"/>
      <c r="B142" s="680" t="s">
        <v>4346</v>
      </c>
      <c r="C142" s="680" t="s">
        <v>4063</v>
      </c>
      <c r="D142" s="680"/>
      <c r="E142" s="681"/>
      <c r="F142" s="681">
        <v>234.16512123199999</v>
      </c>
      <c r="G142" s="682">
        <v>-83.433000000000007</v>
      </c>
      <c r="H142" s="681">
        <v>3.9618898774</v>
      </c>
      <c r="I142" s="681">
        <v>21.3561166379917</v>
      </c>
      <c r="J142" s="683"/>
      <c r="K142" s="683">
        <v>1174.00514450626</v>
      </c>
      <c r="L142" s="191"/>
      <c r="M142" s="191"/>
      <c r="N142" s="191"/>
      <c r="O142" s="191"/>
      <c r="P142" s="191"/>
      <c r="Q142" s="191"/>
      <c r="R142" s="191"/>
      <c r="S142" s="191"/>
      <c r="T142" s="191"/>
      <c r="U142" s="439"/>
      <c r="V142" s="441"/>
      <c r="W142" s="178"/>
      <c r="X142" s="172"/>
      <c r="Y142" s="172"/>
      <c r="Z142" s="172"/>
      <c r="AA142" s="195"/>
      <c r="AB142" s="172"/>
      <c r="AC142" s="656"/>
    </row>
    <row r="143" spans="1:29" ht="12.75" customHeight="1" x14ac:dyDescent="0.3">
      <c r="A143" s="679"/>
      <c r="B143" s="680" t="s">
        <v>4347</v>
      </c>
      <c r="C143" s="680" t="s">
        <v>4348</v>
      </c>
      <c r="D143" s="680"/>
      <c r="E143" s="681"/>
      <c r="F143" s="681">
        <v>276.21207142499998</v>
      </c>
      <c r="G143" s="682">
        <v>-54.738999999999997</v>
      </c>
      <c r="H143" s="681">
        <v>0.59689992585999996</v>
      </c>
      <c r="I143" s="681">
        <v>15.604241899462499</v>
      </c>
      <c r="J143" s="683"/>
      <c r="K143" s="683">
        <v>51253.0836604988</v>
      </c>
      <c r="L143" s="191"/>
      <c r="M143" s="191"/>
      <c r="N143" s="191"/>
      <c r="O143" s="191"/>
      <c r="P143" s="191"/>
      <c r="Q143" s="191"/>
      <c r="R143" s="191"/>
      <c r="S143" s="191"/>
      <c r="T143" s="191"/>
      <c r="U143" s="439"/>
      <c r="V143" s="441"/>
      <c r="W143" s="178"/>
      <c r="X143" s="172"/>
      <c r="Y143" s="172"/>
      <c r="Z143" s="172"/>
      <c r="AA143" s="195"/>
      <c r="AB143" s="172"/>
      <c r="AC143" s="656"/>
    </row>
    <row r="144" spans="1:29" ht="12.75" customHeight="1" x14ac:dyDescent="0.3">
      <c r="A144" s="679"/>
      <c r="B144" s="680" t="s">
        <v>4349</v>
      </c>
      <c r="C144" s="680" t="s">
        <v>4350</v>
      </c>
      <c r="D144" s="680"/>
      <c r="E144" s="681"/>
      <c r="F144" s="681">
        <v>246.18351865599999</v>
      </c>
      <c r="G144" s="682">
        <v>-35.375</v>
      </c>
      <c r="H144" s="681">
        <v>33.258372797999897</v>
      </c>
      <c r="I144" s="681">
        <v>0.37779815139987</v>
      </c>
      <c r="J144" s="683"/>
      <c r="K144" s="683">
        <v>280304.45484169503</v>
      </c>
      <c r="L144" s="191"/>
      <c r="M144" s="191"/>
      <c r="N144" s="191"/>
      <c r="O144" s="191"/>
      <c r="P144" s="191"/>
      <c r="Q144" s="191"/>
      <c r="R144" s="191"/>
      <c r="S144" s="191"/>
      <c r="T144" s="191"/>
      <c r="U144" s="439"/>
      <c r="V144" s="441"/>
      <c r="W144" s="178"/>
      <c r="X144" s="172"/>
      <c r="Y144" s="172"/>
      <c r="Z144" s="172"/>
      <c r="AA144" s="195"/>
      <c r="AB144" s="172"/>
      <c r="AC144" s="656"/>
    </row>
    <row r="145" spans="1:29" ht="12.75" customHeight="1" x14ac:dyDescent="0.3">
      <c r="A145" s="679"/>
      <c r="B145" s="680" t="s">
        <v>4351</v>
      </c>
      <c r="C145" s="680" t="s">
        <v>4308</v>
      </c>
      <c r="D145" s="680"/>
      <c r="E145" s="681"/>
      <c r="F145" s="681">
        <v>161.105602686</v>
      </c>
      <c r="G145" s="682">
        <v>-14.853999999999999</v>
      </c>
      <c r="H145" s="681">
        <v>3426.908688</v>
      </c>
      <c r="I145" s="681"/>
      <c r="J145" s="683"/>
      <c r="K145" s="683">
        <v>14441.4233663945</v>
      </c>
      <c r="L145" s="191"/>
      <c r="M145" s="191"/>
      <c r="N145" s="191"/>
      <c r="O145" s="191"/>
      <c r="P145" s="191"/>
      <c r="Q145" s="191"/>
      <c r="R145" s="191"/>
      <c r="S145" s="191"/>
      <c r="T145" s="191"/>
      <c r="U145" s="439"/>
      <c r="V145" s="441"/>
      <c r="W145" s="178"/>
      <c r="X145" s="172"/>
      <c r="Y145" s="172"/>
      <c r="Z145" s="172"/>
      <c r="AA145" s="195"/>
      <c r="AB145" s="172"/>
      <c r="AC145" s="656"/>
    </row>
    <row r="146" spans="1:29" ht="12.75" customHeight="1" x14ac:dyDescent="0.3">
      <c r="A146" s="679"/>
      <c r="B146" s="680" t="s">
        <v>4352</v>
      </c>
      <c r="C146" s="680" t="s">
        <v>4353</v>
      </c>
      <c r="D146" s="680"/>
      <c r="E146" s="681"/>
      <c r="F146" s="681">
        <v>221.14472014</v>
      </c>
      <c r="G146" s="682">
        <v>-22.274000000000001</v>
      </c>
      <c r="H146" s="681">
        <v>7.1269141608000002</v>
      </c>
      <c r="I146" s="681">
        <v>161.31578526388401</v>
      </c>
      <c r="J146" s="683"/>
      <c r="K146" s="683">
        <v>783.91685082119704</v>
      </c>
      <c r="L146" s="191"/>
      <c r="M146" s="191"/>
      <c r="N146" s="191"/>
      <c r="O146" s="191"/>
      <c r="P146" s="191"/>
      <c r="Q146" s="191"/>
      <c r="R146" s="191"/>
      <c r="S146" s="191"/>
      <c r="T146" s="191"/>
      <c r="U146" s="439"/>
      <c r="V146" s="441"/>
      <c r="W146" s="178"/>
      <c r="X146" s="172"/>
      <c r="Y146" s="172"/>
      <c r="Z146" s="172"/>
      <c r="AA146" s="195"/>
      <c r="AB146" s="172"/>
      <c r="AC146" s="656"/>
    </row>
    <row r="147" spans="1:29" ht="12.75" customHeight="1" x14ac:dyDescent="0.3">
      <c r="A147" s="679"/>
      <c r="B147" s="680" t="s">
        <v>4354</v>
      </c>
      <c r="C147" s="680" t="s">
        <v>1989</v>
      </c>
      <c r="D147" s="680"/>
      <c r="E147" s="681"/>
      <c r="F147" s="681">
        <v>296.12598836400002</v>
      </c>
      <c r="G147" s="682"/>
      <c r="H147" s="681"/>
      <c r="I147" s="681"/>
      <c r="J147" s="683"/>
      <c r="K147" s="683">
        <v>1926.32694728051</v>
      </c>
      <c r="L147" s="191"/>
      <c r="M147" s="191"/>
      <c r="N147" s="191"/>
      <c r="O147" s="191"/>
      <c r="P147" s="191"/>
      <c r="Q147" s="191"/>
      <c r="R147" s="191"/>
      <c r="S147" s="191"/>
      <c r="T147" s="191"/>
      <c r="U147" s="439"/>
      <c r="V147" s="441"/>
      <c r="W147" s="178"/>
      <c r="X147" s="172"/>
      <c r="Y147" s="172"/>
      <c r="Z147" s="172"/>
      <c r="AA147" s="195"/>
      <c r="AB147" s="172"/>
      <c r="AC147" s="656"/>
    </row>
    <row r="148" spans="1:29" ht="12.75" customHeight="1" x14ac:dyDescent="0.3">
      <c r="A148" s="667" t="s">
        <v>4219</v>
      </c>
      <c r="B148" s="668" t="s">
        <v>4355</v>
      </c>
      <c r="C148" s="684" t="s">
        <v>4356</v>
      </c>
      <c r="D148" s="160"/>
      <c r="E148" s="439"/>
      <c r="F148" s="161">
        <v>281.022367196</v>
      </c>
      <c r="G148" s="161"/>
      <c r="H148" s="654"/>
      <c r="I148" s="654"/>
      <c r="J148" s="191"/>
      <c r="K148" s="191">
        <v>4689.5373590235304</v>
      </c>
      <c r="L148" s="191"/>
      <c r="M148" s="191"/>
      <c r="N148" s="191"/>
      <c r="O148" s="191"/>
      <c r="P148" s="191"/>
      <c r="Q148" s="191"/>
      <c r="R148" s="191"/>
      <c r="S148" s="191"/>
      <c r="T148" s="191"/>
      <c r="U148" s="439"/>
      <c r="V148" s="441"/>
      <c r="W148" s="178"/>
      <c r="X148" s="172"/>
      <c r="Y148" s="172"/>
      <c r="Z148" s="172"/>
      <c r="AA148" s="195"/>
      <c r="AB148" s="172"/>
    </row>
    <row r="149" spans="1:29" ht="12.75" customHeight="1" x14ac:dyDescent="0.3">
      <c r="A149" s="667"/>
      <c r="B149" s="668" t="s">
        <v>4357</v>
      </c>
      <c r="C149" s="160" t="s">
        <v>4358</v>
      </c>
      <c r="D149" s="160"/>
      <c r="E149" s="439">
        <v>-1.64</v>
      </c>
      <c r="F149" s="161">
        <v>498.93021738499999</v>
      </c>
      <c r="G149" s="161"/>
      <c r="H149" s="654"/>
      <c r="I149" s="654"/>
      <c r="J149" s="191"/>
      <c r="K149" s="191">
        <v>406686.72830731299</v>
      </c>
      <c r="L149" s="191"/>
      <c r="M149" s="191"/>
      <c r="N149" s="191"/>
      <c r="O149" s="191"/>
      <c r="P149" s="191"/>
      <c r="Q149" s="191"/>
      <c r="R149" s="191"/>
      <c r="S149" s="191"/>
      <c r="T149" s="191"/>
      <c r="U149" s="439"/>
      <c r="V149" s="441"/>
      <c r="W149" s="178"/>
      <c r="X149" s="172"/>
      <c r="Y149" s="172"/>
      <c r="Z149" s="172"/>
      <c r="AA149" s="195"/>
      <c r="AB149" s="172"/>
    </row>
    <row r="150" spans="1:29" ht="12.75" customHeight="1" x14ac:dyDescent="0.3">
      <c r="A150" s="667"/>
      <c r="B150" s="668" t="s">
        <v>4359</v>
      </c>
      <c r="C150" s="160" t="s">
        <v>4360</v>
      </c>
      <c r="D150" s="160"/>
      <c r="E150" s="439"/>
      <c r="F150" s="161">
        <v>644.11014048000004</v>
      </c>
      <c r="G150" s="161"/>
      <c r="H150" s="654"/>
      <c r="I150" s="654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439"/>
      <c r="V150" s="441"/>
      <c r="W150" s="178"/>
      <c r="X150" s="172"/>
      <c r="Y150" s="172"/>
      <c r="Z150" s="172"/>
      <c r="AA150" s="195"/>
      <c r="AB150" s="172"/>
    </row>
    <row r="151" spans="1:29" ht="12.75" customHeight="1" x14ac:dyDescent="0.3">
      <c r="A151" s="667"/>
      <c r="B151" s="668" t="s">
        <v>4361</v>
      </c>
      <c r="C151" s="160" t="s">
        <v>4362</v>
      </c>
      <c r="D151" s="160"/>
      <c r="E151" s="439"/>
      <c r="F151" s="161">
        <v>692.05035999999996</v>
      </c>
      <c r="G151" s="161"/>
      <c r="H151" s="654"/>
      <c r="I151" s="654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439"/>
      <c r="V151" s="441"/>
      <c r="W151" s="178"/>
      <c r="X151" s="172"/>
      <c r="Y151" s="172"/>
      <c r="Z151" s="172"/>
      <c r="AA151" s="195"/>
      <c r="AB151" s="172"/>
    </row>
    <row r="152" spans="1:29" ht="12.75" customHeight="1" x14ac:dyDescent="0.3">
      <c r="A152" s="667"/>
      <c r="B152" s="668" t="s">
        <v>4363</v>
      </c>
      <c r="C152" s="160" t="s">
        <v>4364</v>
      </c>
      <c r="D152" s="160"/>
      <c r="E152" s="439"/>
      <c r="F152" s="161">
        <v>692.09488434000002</v>
      </c>
      <c r="G152" s="161"/>
      <c r="H152" s="654"/>
      <c r="I152" s="654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439"/>
      <c r="V152" s="441"/>
      <c r="W152" s="178"/>
      <c r="X152" s="172"/>
      <c r="Y152" s="172"/>
      <c r="Z152" s="172"/>
      <c r="AA152" s="195"/>
      <c r="AB152" s="172"/>
    </row>
    <row r="153" spans="1:29" ht="12.75" customHeight="1" x14ac:dyDescent="0.3">
      <c r="A153" s="667"/>
      <c r="B153" s="668" t="s">
        <v>4365</v>
      </c>
      <c r="C153" s="160" t="s">
        <v>4366</v>
      </c>
      <c r="D153" s="160"/>
      <c r="E153" s="439"/>
      <c r="F153" s="161">
        <v>586.08940503600002</v>
      </c>
      <c r="G153" s="161"/>
      <c r="H153" s="654"/>
      <c r="I153" s="654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439"/>
      <c r="V153" s="441"/>
      <c r="W153" s="178"/>
      <c r="X153" s="172"/>
      <c r="Y153" s="172"/>
      <c r="Z153" s="172"/>
      <c r="AA153" s="195"/>
      <c r="AB153" s="172"/>
    </row>
    <row r="154" spans="1:29" ht="12.75" customHeight="1" x14ac:dyDescent="0.3">
      <c r="A154" s="667"/>
      <c r="B154" s="668" t="s">
        <v>4367</v>
      </c>
      <c r="C154" s="160" t="s">
        <v>4368</v>
      </c>
      <c r="D154" s="160"/>
      <c r="E154" s="439"/>
      <c r="F154" s="161">
        <v>115.9640622</v>
      </c>
      <c r="G154" s="161">
        <v>-109.27500000000001</v>
      </c>
      <c r="H154" s="654">
        <v>379229.09612</v>
      </c>
      <c r="I154" s="654">
        <v>530.05781262873597</v>
      </c>
      <c r="J154" s="191"/>
      <c r="K154" s="191">
        <v>200.70121425295201</v>
      </c>
      <c r="L154" s="191"/>
      <c r="M154" s="191"/>
      <c r="N154" s="191"/>
      <c r="O154" s="191"/>
      <c r="P154" s="191"/>
      <c r="Q154" s="191"/>
      <c r="R154" s="191"/>
      <c r="S154" s="191"/>
      <c r="T154" s="191"/>
      <c r="U154" s="439"/>
      <c r="V154" s="441"/>
      <c r="W154" s="178"/>
      <c r="X154" s="172"/>
      <c r="Y154" s="172"/>
      <c r="Z154" s="172"/>
      <c r="AA154" s="195"/>
      <c r="AB154" s="172"/>
    </row>
    <row r="155" spans="1:29" ht="12.75" customHeight="1" x14ac:dyDescent="0.3">
      <c r="A155" s="667"/>
      <c r="B155" s="668" t="s">
        <v>4369</v>
      </c>
      <c r="C155" s="160" t="s">
        <v>4370</v>
      </c>
      <c r="D155" s="160"/>
      <c r="E155" s="439"/>
      <c r="F155" s="161">
        <v>149.99041897800001</v>
      </c>
      <c r="G155" s="161">
        <v>-116.426</v>
      </c>
      <c r="H155" s="654">
        <v>777860.5429</v>
      </c>
      <c r="I155" s="654">
        <v>315.54684363753603</v>
      </c>
      <c r="J155" s="191"/>
      <c r="K155" s="191">
        <v>42.808498962834797</v>
      </c>
      <c r="L155" s="191"/>
      <c r="M155" s="191"/>
      <c r="N155" s="191"/>
      <c r="O155" s="191"/>
      <c r="P155" s="191"/>
      <c r="Q155" s="191"/>
      <c r="R155" s="191"/>
      <c r="S155" s="191"/>
      <c r="T155" s="191"/>
      <c r="U155" s="439"/>
      <c r="V155" s="441"/>
      <c r="W155" s="178"/>
      <c r="X155" s="172"/>
      <c r="Y155" s="172"/>
      <c r="Z155" s="172"/>
      <c r="AA155" s="195"/>
      <c r="AB155" s="172"/>
    </row>
    <row r="156" spans="1:29" ht="12.75" customHeight="1" x14ac:dyDescent="0.3">
      <c r="A156" s="667"/>
      <c r="B156" s="668" t="s">
        <v>4371</v>
      </c>
      <c r="C156" s="160" t="s">
        <v>4372</v>
      </c>
      <c r="D156" s="160"/>
      <c r="E156" s="439"/>
      <c r="F156" s="161">
        <v>99.993612651999996</v>
      </c>
      <c r="G156" s="161">
        <v>-120.033</v>
      </c>
      <c r="H156" s="654">
        <v>1670711.3108000001</v>
      </c>
      <c r="I156" s="654">
        <v>920.39120765533301</v>
      </c>
      <c r="J156" s="191"/>
      <c r="K156" s="191">
        <v>28.2052530205777</v>
      </c>
      <c r="L156" s="191"/>
      <c r="M156" s="191"/>
      <c r="N156" s="191"/>
      <c r="O156" s="191"/>
      <c r="P156" s="191"/>
      <c r="Q156" s="191"/>
      <c r="R156" s="191"/>
      <c r="S156" s="191"/>
      <c r="T156" s="191"/>
      <c r="U156" s="439"/>
      <c r="V156" s="441"/>
      <c r="W156" s="178"/>
      <c r="X156" s="172"/>
      <c r="Y156" s="172"/>
      <c r="Z156" s="172"/>
      <c r="AA156" s="195"/>
      <c r="AB156" s="172"/>
    </row>
    <row r="157" spans="1:29" ht="12.75" customHeight="1" x14ac:dyDescent="0.3">
      <c r="A157" s="667"/>
      <c r="B157" s="668" t="s">
        <v>4373</v>
      </c>
      <c r="C157" s="160" t="s">
        <v>4163</v>
      </c>
      <c r="D157" s="160"/>
      <c r="E157" s="439">
        <v>2.59</v>
      </c>
      <c r="F157" s="161">
        <v>556.95895755799995</v>
      </c>
      <c r="G157" s="161">
        <v>54.756999999999998</v>
      </c>
      <c r="H157" s="654">
        <v>1.9315291394</v>
      </c>
      <c r="I157" s="654">
        <v>0.51858894105391395</v>
      </c>
      <c r="J157" s="191"/>
      <c r="K157" s="191">
        <v>82279.188556650697</v>
      </c>
      <c r="L157" s="191"/>
      <c r="M157" s="191"/>
      <c r="N157" s="191"/>
      <c r="O157" s="191"/>
      <c r="P157" s="191"/>
      <c r="Q157" s="191"/>
      <c r="R157" s="191"/>
      <c r="S157" s="191"/>
      <c r="T157" s="191"/>
      <c r="U157" s="439"/>
      <c r="V157" s="441"/>
      <c r="W157" s="178"/>
      <c r="X157" s="172"/>
      <c r="Y157" s="172"/>
      <c r="Z157" s="172"/>
      <c r="AA157" s="195"/>
      <c r="AB157" s="172"/>
    </row>
    <row r="158" spans="1:29" ht="12.75" customHeight="1" x14ac:dyDescent="0.3">
      <c r="A158" s="667"/>
      <c r="B158" s="668" t="s">
        <v>4374</v>
      </c>
      <c r="C158" s="160" t="s">
        <v>4375</v>
      </c>
      <c r="D158" s="160"/>
      <c r="E158" s="439"/>
      <c r="F158" s="161">
        <v>925.978150486</v>
      </c>
      <c r="G158" s="161"/>
      <c r="H158" s="654"/>
      <c r="I158" s="654"/>
      <c r="J158" s="191"/>
      <c r="K158" s="191">
        <v>18277214.133267</v>
      </c>
      <c r="L158" s="191"/>
      <c r="M158" s="191"/>
      <c r="N158" s="191"/>
      <c r="O158" s="191"/>
      <c r="P158" s="191"/>
      <c r="Q158" s="191"/>
      <c r="R158" s="191"/>
      <c r="S158" s="191"/>
      <c r="T158" s="191"/>
      <c r="U158" s="439"/>
      <c r="V158" s="441"/>
      <c r="W158" s="178"/>
      <c r="X158" s="172"/>
      <c r="Y158" s="172"/>
      <c r="Z158" s="172"/>
      <c r="AA158" s="195"/>
      <c r="AB158" s="172"/>
    </row>
    <row r="159" spans="1:29" ht="12.75" customHeight="1" x14ac:dyDescent="0.3">
      <c r="A159" s="667"/>
      <c r="B159" s="668" t="s">
        <v>4376</v>
      </c>
      <c r="C159" s="160" t="s">
        <v>4377</v>
      </c>
      <c r="D159" s="160"/>
      <c r="E159" s="439">
        <v>6.81</v>
      </c>
      <c r="F159" s="161">
        <v>1058.0081442620001</v>
      </c>
      <c r="G159" s="161"/>
      <c r="H159" s="654"/>
      <c r="I159" s="654"/>
      <c r="J159" s="191"/>
      <c r="K159" s="191">
        <v>21603295.193349499</v>
      </c>
      <c r="L159" s="191"/>
      <c r="M159" s="191"/>
      <c r="N159" s="191"/>
      <c r="O159" s="191"/>
      <c r="P159" s="191"/>
      <c r="Q159" s="191"/>
      <c r="R159" s="191"/>
      <c r="S159" s="191"/>
      <c r="T159" s="191"/>
      <c r="U159" s="439"/>
      <c r="V159" s="441"/>
      <c r="W159" s="178"/>
      <c r="X159" s="172"/>
      <c r="Y159" s="172"/>
      <c r="Z159" s="172"/>
      <c r="AA159" s="195"/>
      <c r="AB159" s="172"/>
    </row>
    <row r="160" spans="1:29" ht="12.75" customHeight="1" x14ac:dyDescent="0.3">
      <c r="A160" s="667"/>
      <c r="B160" s="668" t="s">
        <v>4378</v>
      </c>
      <c r="C160" s="160" t="s">
        <v>4379</v>
      </c>
      <c r="D160" s="160"/>
      <c r="E160" s="439">
        <v>4.6399999999999997</v>
      </c>
      <c r="F160" s="161">
        <v>1389.9440039179999</v>
      </c>
      <c r="G160" s="161">
        <v>-39.24</v>
      </c>
      <c r="H160" s="654"/>
      <c r="I160" s="654"/>
      <c r="J160" s="191"/>
      <c r="K160" s="191">
        <v>42809484.676298901</v>
      </c>
      <c r="L160" s="191"/>
      <c r="M160" s="191"/>
      <c r="N160" s="191"/>
      <c r="O160" s="191"/>
      <c r="P160" s="191"/>
      <c r="Q160" s="191"/>
      <c r="R160" s="191"/>
      <c r="S160" s="191"/>
      <c r="T160" s="191"/>
      <c r="U160" s="439"/>
      <c r="V160" s="441"/>
      <c r="W160" s="178"/>
      <c r="X160" s="172"/>
      <c r="Y160" s="172"/>
      <c r="Z160" s="172"/>
      <c r="AA160" s="195"/>
      <c r="AB160" s="172"/>
    </row>
    <row r="161" spans="1:28" ht="12.75" customHeight="1" x14ac:dyDescent="0.3">
      <c r="A161" s="667"/>
      <c r="B161" s="668" t="s">
        <v>4380</v>
      </c>
      <c r="C161" s="160" t="s">
        <v>4381</v>
      </c>
      <c r="D161" s="160"/>
      <c r="E161" s="439">
        <v>4.6399999999999997</v>
      </c>
      <c r="F161" s="161">
        <v>1189.9567786140001</v>
      </c>
      <c r="G161" s="161">
        <v>-32.106000000000002</v>
      </c>
      <c r="H161" s="654"/>
      <c r="I161" s="654"/>
      <c r="J161" s="191"/>
      <c r="K161" s="191">
        <v>34066694.820941098</v>
      </c>
      <c r="L161" s="191"/>
      <c r="M161" s="191"/>
      <c r="N161" s="191"/>
      <c r="O161" s="191"/>
      <c r="P161" s="191"/>
      <c r="Q161" s="191"/>
      <c r="R161" s="191"/>
      <c r="S161" s="191"/>
      <c r="T161" s="191"/>
      <c r="U161" s="439"/>
      <c r="V161" s="441"/>
      <c r="W161" s="178"/>
      <c r="X161" s="172"/>
      <c r="Y161" s="172"/>
      <c r="Z161" s="172"/>
      <c r="AA161" s="195"/>
      <c r="AB161" s="172"/>
    </row>
    <row r="162" spans="1:28" ht="12.75" customHeight="1" x14ac:dyDescent="0.3">
      <c r="A162" s="667"/>
      <c r="B162" s="668" t="s">
        <v>4382</v>
      </c>
      <c r="C162" s="160" t="s">
        <v>4383</v>
      </c>
      <c r="D162" s="160"/>
      <c r="E162" s="439">
        <v>5.16</v>
      </c>
      <c r="F162" s="161">
        <v>1089.9631659619999</v>
      </c>
      <c r="G162" s="161">
        <v>-38.307000000000002</v>
      </c>
      <c r="H162" s="654"/>
      <c r="I162" s="654"/>
      <c r="J162" s="191"/>
      <c r="K162" s="191">
        <v>25187206.337992001</v>
      </c>
      <c r="L162" s="191"/>
      <c r="M162" s="191"/>
      <c r="N162" s="191"/>
      <c r="O162" s="191"/>
      <c r="P162" s="191"/>
      <c r="Q162" s="191"/>
      <c r="R162" s="191"/>
      <c r="S162" s="191"/>
      <c r="T162" s="191"/>
      <c r="U162" s="439"/>
      <c r="V162" s="441"/>
      <c r="W162" s="178"/>
      <c r="X162" s="172"/>
      <c r="Y162" s="172"/>
      <c r="Z162" s="172"/>
      <c r="AA162" s="195"/>
      <c r="AB162" s="172"/>
    </row>
    <row r="163" spans="1:28" ht="12.75" customHeight="1" x14ac:dyDescent="0.3">
      <c r="A163" s="667"/>
      <c r="B163" s="668" t="s">
        <v>4384</v>
      </c>
      <c r="C163" s="160" t="s">
        <v>4385</v>
      </c>
      <c r="D163" s="160"/>
      <c r="E163" s="439">
        <v>5.16</v>
      </c>
      <c r="F163" s="161">
        <v>1289.950391266</v>
      </c>
      <c r="G163" s="161"/>
      <c r="H163" s="654"/>
      <c r="I163" s="654"/>
      <c r="J163" s="191"/>
      <c r="K163" s="191">
        <v>37940233.5532896</v>
      </c>
      <c r="L163" s="191"/>
      <c r="M163" s="191"/>
      <c r="N163" s="191"/>
      <c r="O163" s="191"/>
      <c r="P163" s="191"/>
      <c r="Q163" s="191"/>
      <c r="R163" s="191"/>
      <c r="S163" s="191"/>
      <c r="T163" s="191"/>
      <c r="U163" s="439"/>
      <c r="V163" s="441"/>
      <c r="W163" s="178"/>
      <c r="X163" s="172"/>
      <c r="Y163" s="172"/>
      <c r="Z163" s="172"/>
      <c r="AA163" s="195"/>
      <c r="AB163" s="172"/>
    </row>
    <row r="164" spans="1:28" ht="12.75" customHeight="1" x14ac:dyDescent="0.3">
      <c r="A164" s="667"/>
      <c r="B164" s="668" t="s">
        <v>4386</v>
      </c>
      <c r="C164" s="160" t="s">
        <v>4387</v>
      </c>
      <c r="D164" s="160"/>
      <c r="E164" s="439">
        <v>5.16</v>
      </c>
      <c r="F164" s="161">
        <v>1489.93761657</v>
      </c>
      <c r="G164" s="161"/>
      <c r="H164" s="654"/>
      <c r="I164" s="654"/>
      <c r="J164" s="191"/>
      <c r="K164" s="191">
        <v>235326047.21455899</v>
      </c>
      <c r="L164" s="191"/>
      <c r="M164" s="191"/>
      <c r="N164" s="191"/>
      <c r="O164" s="191"/>
      <c r="P164" s="191"/>
      <c r="Q164" s="191"/>
      <c r="R164" s="191"/>
      <c r="S164" s="191"/>
      <c r="T164" s="191"/>
      <c r="U164" s="439"/>
      <c r="V164" s="441"/>
      <c r="W164" s="178"/>
      <c r="X164" s="172"/>
      <c r="Y164" s="172"/>
      <c r="Z164" s="172"/>
      <c r="AA164" s="195"/>
      <c r="AB164" s="172"/>
    </row>
    <row r="165" spans="1:28" ht="12.75" customHeight="1" x14ac:dyDescent="0.3">
      <c r="A165" s="667"/>
      <c r="B165" s="668" t="s">
        <v>4388</v>
      </c>
      <c r="C165" s="160" t="s">
        <v>4389</v>
      </c>
      <c r="D165" s="160"/>
      <c r="E165" s="439">
        <v>5.16</v>
      </c>
      <c r="F165" s="161">
        <v>1689.9248418740001</v>
      </c>
      <c r="G165" s="161"/>
      <c r="H165" s="654"/>
      <c r="I165" s="654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439"/>
      <c r="V165" s="441"/>
      <c r="W165" s="178"/>
      <c r="X165" s="172"/>
      <c r="Y165" s="172"/>
      <c r="Z165" s="172"/>
      <c r="AA165" s="195"/>
      <c r="AB165" s="172"/>
    </row>
    <row r="166" spans="1:28" ht="12.75" customHeight="1" x14ac:dyDescent="0.3">
      <c r="A166" s="667"/>
      <c r="B166" s="668" t="s">
        <v>4390</v>
      </c>
      <c r="C166" s="160" t="s">
        <v>4391</v>
      </c>
      <c r="D166" s="160"/>
      <c r="E166" s="439">
        <v>4.9800000000000004</v>
      </c>
      <c r="F166" s="161">
        <v>993.944481376</v>
      </c>
      <c r="G166" s="161">
        <v>-1.1970000000000001</v>
      </c>
      <c r="H166" s="654"/>
      <c r="I166" s="654"/>
      <c r="J166" s="191"/>
      <c r="K166" s="191">
        <v>17854594.858735599</v>
      </c>
      <c r="L166" s="191"/>
      <c r="M166" s="191"/>
      <c r="N166" s="191"/>
      <c r="O166" s="191"/>
      <c r="P166" s="191"/>
      <c r="Q166" s="191"/>
      <c r="R166" s="191"/>
      <c r="S166" s="191"/>
      <c r="T166" s="191"/>
      <c r="U166" s="439"/>
      <c r="V166" s="441"/>
      <c r="W166" s="178"/>
      <c r="X166" s="172"/>
      <c r="Y166" s="172"/>
      <c r="Z166" s="172"/>
      <c r="AA166" s="195"/>
      <c r="AB166" s="172"/>
    </row>
    <row r="167" spans="1:28" ht="12.75" customHeight="1" x14ac:dyDescent="0.3">
      <c r="A167" s="667"/>
      <c r="B167" s="668" t="s">
        <v>4392</v>
      </c>
      <c r="C167" s="160" t="s">
        <v>4393</v>
      </c>
      <c r="D167" s="160"/>
      <c r="E167" s="439"/>
      <c r="F167" s="161">
        <v>982.00436523500002</v>
      </c>
      <c r="G167" s="161">
        <v>-22.094999999999999</v>
      </c>
      <c r="H167" s="654"/>
      <c r="I167" s="654"/>
      <c r="J167" s="191"/>
      <c r="K167" s="191">
        <v>21858482.083991401</v>
      </c>
      <c r="L167" s="191"/>
      <c r="M167" s="191"/>
      <c r="N167" s="191"/>
      <c r="O167" s="191"/>
      <c r="P167" s="191"/>
      <c r="Q167" s="191"/>
      <c r="R167" s="191"/>
      <c r="S167" s="191"/>
      <c r="T167" s="191"/>
      <c r="U167" s="439"/>
      <c r="V167" s="441"/>
      <c r="W167" s="178"/>
      <c r="X167" s="172"/>
      <c r="Y167" s="172"/>
      <c r="Z167" s="172"/>
      <c r="AA167" s="195"/>
      <c r="AB167" s="172"/>
    </row>
    <row r="168" spans="1:28" ht="12.75" customHeight="1" x14ac:dyDescent="0.3">
      <c r="A168" s="667"/>
      <c r="B168" s="668" t="s">
        <v>4394</v>
      </c>
      <c r="C168" s="160" t="s">
        <v>4395</v>
      </c>
      <c r="D168" s="160"/>
      <c r="E168" s="439"/>
      <c r="F168" s="161">
        <v>967.98871516999998</v>
      </c>
      <c r="G168" s="161">
        <v>-53.923999999999999</v>
      </c>
      <c r="H168" s="654"/>
      <c r="I168" s="654"/>
      <c r="J168" s="191"/>
      <c r="K168" s="191">
        <v>18943054.1183169</v>
      </c>
      <c r="L168" s="191"/>
      <c r="M168" s="191"/>
      <c r="N168" s="191"/>
      <c r="O168" s="191"/>
      <c r="P168" s="191"/>
      <c r="Q168" s="191"/>
      <c r="R168" s="191"/>
      <c r="S168" s="191"/>
      <c r="T168" s="191"/>
      <c r="U168" s="439"/>
      <c r="V168" s="441"/>
      <c r="W168" s="178"/>
      <c r="X168" s="172"/>
      <c r="Y168" s="172"/>
      <c r="Z168" s="172"/>
      <c r="AA168" s="195"/>
      <c r="AB168" s="172"/>
    </row>
    <row r="169" spans="1:28" ht="12.75" customHeight="1" x14ac:dyDescent="0.3">
      <c r="A169" s="667"/>
      <c r="B169" s="668" t="s">
        <v>4396</v>
      </c>
      <c r="C169" s="160" t="s">
        <v>4397</v>
      </c>
      <c r="D169" s="160"/>
      <c r="E169" s="439"/>
      <c r="F169" s="161">
        <v>1073.8766900000001</v>
      </c>
      <c r="G169" s="161">
        <v>34.725999999999999</v>
      </c>
      <c r="H169" s="654"/>
      <c r="I169" s="654"/>
      <c r="J169" s="191"/>
      <c r="K169" s="191">
        <v>24425305.254126702</v>
      </c>
      <c r="L169" s="191"/>
      <c r="M169" s="191"/>
      <c r="N169" s="191"/>
      <c r="O169" s="191"/>
      <c r="P169" s="191"/>
      <c r="Q169" s="191"/>
      <c r="R169" s="191"/>
      <c r="S169" s="191"/>
      <c r="T169" s="191"/>
      <c r="U169" s="439"/>
      <c r="V169" s="441"/>
      <c r="W169" s="178"/>
      <c r="X169" s="172"/>
      <c r="Y169" s="172"/>
      <c r="Z169" s="172"/>
      <c r="AA169" s="195"/>
      <c r="AB169" s="172"/>
    </row>
    <row r="170" spans="1:28" ht="12.75" customHeight="1" x14ac:dyDescent="0.3">
      <c r="A170" s="667"/>
      <c r="B170" s="668" t="s">
        <v>4398</v>
      </c>
      <c r="C170" s="160" t="s">
        <v>4399</v>
      </c>
      <c r="D170" s="160"/>
      <c r="E170" s="439">
        <v>9.8699999999999992</v>
      </c>
      <c r="F170" s="161">
        <v>963.97495681199996</v>
      </c>
      <c r="G170" s="161">
        <v>47.646999999999998</v>
      </c>
      <c r="H170" s="654"/>
      <c r="I170" s="654"/>
      <c r="J170" s="191"/>
      <c r="K170" s="191">
        <v>3908678.95057524</v>
      </c>
      <c r="L170" s="191"/>
      <c r="M170" s="191"/>
      <c r="N170" s="191"/>
      <c r="O170" s="191"/>
      <c r="P170" s="191"/>
      <c r="Q170" s="191"/>
      <c r="R170" s="191"/>
      <c r="S170" s="191"/>
      <c r="T170" s="191"/>
      <c r="U170" s="439"/>
      <c r="V170" s="441"/>
      <c r="W170" s="178"/>
      <c r="X170" s="172"/>
      <c r="Y170" s="172"/>
      <c r="Z170" s="172"/>
      <c r="AA170" s="195"/>
      <c r="AB170" s="172"/>
    </row>
    <row r="171" spans="1:28" ht="12.75" customHeight="1" x14ac:dyDescent="0.3">
      <c r="A171" s="667"/>
      <c r="B171" s="668" t="s">
        <v>4400</v>
      </c>
      <c r="C171" s="160" t="s">
        <v>4401</v>
      </c>
      <c r="D171" s="160"/>
      <c r="E171" s="439">
        <v>4.6399999999999997</v>
      </c>
      <c r="F171" s="161">
        <v>1589.931229222</v>
      </c>
      <c r="G171" s="161"/>
      <c r="H171" s="654"/>
      <c r="I171" s="654"/>
      <c r="J171" s="191"/>
      <c r="K171" s="191">
        <v>249092126.36714599</v>
      </c>
      <c r="L171" s="191"/>
      <c r="M171" s="191"/>
      <c r="N171" s="191"/>
      <c r="O171" s="191"/>
      <c r="P171" s="191"/>
      <c r="Q171" s="191"/>
      <c r="R171" s="191"/>
      <c r="S171" s="191"/>
      <c r="T171" s="191"/>
      <c r="U171" s="439"/>
      <c r="V171" s="441"/>
      <c r="W171" s="178"/>
      <c r="X171" s="172"/>
      <c r="Y171" s="172"/>
      <c r="Z171" s="172"/>
      <c r="AA171" s="195"/>
      <c r="AB171" s="172"/>
    </row>
    <row r="172" spans="1:28" ht="12.75" customHeight="1" x14ac:dyDescent="0.3">
      <c r="A172" s="667"/>
      <c r="B172" s="668" t="s">
        <v>4402</v>
      </c>
      <c r="C172" s="160" t="s">
        <v>4403</v>
      </c>
      <c r="D172" s="160"/>
      <c r="E172" s="439">
        <v>7.64</v>
      </c>
      <c r="F172" s="161">
        <v>235.988368119</v>
      </c>
      <c r="G172" s="161">
        <v>-27.521999999999998</v>
      </c>
      <c r="H172" s="654">
        <v>13800.693508</v>
      </c>
      <c r="I172" s="654">
        <v>101.599364161168</v>
      </c>
      <c r="J172" s="191"/>
      <c r="K172" s="191">
        <v>107.92200371718199</v>
      </c>
      <c r="L172" s="191"/>
      <c r="M172" s="191"/>
      <c r="N172" s="191"/>
      <c r="O172" s="191"/>
      <c r="P172" s="191"/>
      <c r="Q172" s="191"/>
      <c r="R172" s="191"/>
      <c r="S172" s="191"/>
      <c r="T172" s="191"/>
      <c r="U172" s="439"/>
      <c r="V172" s="441"/>
      <c r="W172" s="178"/>
      <c r="X172" s="172"/>
      <c r="Y172" s="172"/>
      <c r="Z172" s="172"/>
      <c r="AA172" s="195"/>
      <c r="AB172" s="172"/>
    </row>
    <row r="173" spans="1:28" ht="12.75" customHeight="1" x14ac:dyDescent="0.3">
      <c r="A173" s="667"/>
      <c r="B173" s="668" t="s">
        <v>4404</v>
      </c>
      <c r="C173" s="160" t="s">
        <v>4405</v>
      </c>
      <c r="D173" s="160"/>
      <c r="E173" s="439">
        <v>3.38</v>
      </c>
      <c r="F173" s="161">
        <v>391.96715540000002</v>
      </c>
      <c r="G173" s="161">
        <v>43.345999999999997</v>
      </c>
      <c r="H173" s="654"/>
      <c r="I173" s="654">
        <v>3.39820628979894</v>
      </c>
      <c r="J173" s="191"/>
      <c r="K173" s="191">
        <v>708.59812691676905</v>
      </c>
      <c r="L173" s="191"/>
      <c r="M173" s="191"/>
      <c r="N173" s="191"/>
      <c r="O173" s="191"/>
      <c r="P173" s="191"/>
      <c r="Q173" s="191"/>
      <c r="R173" s="191"/>
      <c r="S173" s="191"/>
      <c r="T173" s="191"/>
      <c r="U173" s="439"/>
      <c r="V173" s="441"/>
      <c r="W173" s="178"/>
      <c r="X173" s="172"/>
      <c r="Y173" s="172"/>
      <c r="Z173" s="172"/>
      <c r="AA173" s="195"/>
      <c r="AB173" s="172"/>
    </row>
    <row r="174" spans="1:28" ht="12.75" customHeight="1" x14ac:dyDescent="0.3">
      <c r="A174" s="667"/>
      <c r="B174" s="668" t="s">
        <v>4406</v>
      </c>
      <c r="C174" s="160" t="s">
        <v>4407</v>
      </c>
      <c r="D174" s="160"/>
      <c r="E174" s="439">
        <v>4.68</v>
      </c>
      <c r="F174" s="161">
        <v>685.95741522499998</v>
      </c>
      <c r="G174" s="161">
        <v>-7.5919999999999996</v>
      </c>
      <c r="H174" s="654"/>
      <c r="I174" s="654"/>
      <c r="J174" s="191"/>
      <c r="K174" s="191">
        <v>18039728.621584501</v>
      </c>
      <c r="L174" s="191"/>
      <c r="M174" s="191"/>
      <c r="N174" s="191"/>
      <c r="O174" s="191"/>
      <c r="P174" s="191"/>
      <c r="Q174" s="191"/>
      <c r="R174" s="191"/>
      <c r="S174" s="191"/>
      <c r="T174" s="191"/>
      <c r="U174" s="439"/>
      <c r="V174" s="441"/>
      <c r="W174" s="178"/>
      <c r="X174" s="172"/>
      <c r="Y174" s="172"/>
      <c r="Z174" s="172"/>
      <c r="AA174" s="195"/>
      <c r="AB174" s="172"/>
    </row>
    <row r="175" spans="1:28" ht="12.75" customHeight="1" x14ac:dyDescent="0.3">
      <c r="A175" s="667"/>
      <c r="B175" s="668" t="s">
        <v>4408</v>
      </c>
      <c r="C175" s="160" t="s">
        <v>4409</v>
      </c>
      <c r="D175" s="160"/>
      <c r="E175" s="439">
        <v>2.4900000000000002</v>
      </c>
      <c r="F175" s="161">
        <v>765.92374611499997</v>
      </c>
      <c r="G175" s="161"/>
      <c r="H175" s="654"/>
      <c r="I175" s="654"/>
      <c r="J175" s="191"/>
      <c r="K175" s="191">
        <v>3773201.51375922</v>
      </c>
      <c r="L175" s="191"/>
      <c r="M175" s="191"/>
      <c r="N175" s="191"/>
      <c r="O175" s="191"/>
      <c r="P175" s="191"/>
      <c r="Q175" s="191"/>
      <c r="R175" s="191"/>
      <c r="S175" s="191"/>
      <c r="T175" s="191"/>
      <c r="U175" s="439"/>
      <c r="V175" s="441"/>
      <c r="W175" s="178"/>
      <c r="X175" s="172"/>
      <c r="Y175" s="172"/>
      <c r="Z175" s="172"/>
      <c r="AA175" s="195"/>
      <c r="AB175" s="172"/>
    </row>
    <row r="176" spans="1:28" ht="12.75" customHeight="1" x14ac:dyDescent="0.3">
      <c r="A176" s="667"/>
      <c r="B176" s="668" t="s">
        <v>4410</v>
      </c>
      <c r="C176" s="160" t="s">
        <v>4411</v>
      </c>
      <c r="D176" s="160"/>
      <c r="E176" s="439">
        <v>-9.2669999999999995</v>
      </c>
      <c r="F176" s="161">
        <v>1003.990527164</v>
      </c>
      <c r="G176" s="161">
        <v>55.093000000000004</v>
      </c>
      <c r="H176" s="654"/>
      <c r="I176" s="654"/>
      <c r="J176" s="191"/>
      <c r="K176" s="191">
        <v>21344697.288554601</v>
      </c>
      <c r="L176" s="191"/>
      <c r="M176" s="191"/>
      <c r="N176" s="191"/>
      <c r="O176" s="191"/>
      <c r="P176" s="191"/>
      <c r="Q176" s="191"/>
      <c r="R176" s="191"/>
      <c r="S176" s="191"/>
      <c r="T176" s="191"/>
      <c r="U176" s="439"/>
      <c r="V176" s="441"/>
      <c r="W176" s="178"/>
      <c r="X176" s="172"/>
      <c r="Y176" s="172"/>
      <c r="Z176" s="172"/>
      <c r="AA176" s="195"/>
      <c r="AB176" s="172"/>
    </row>
    <row r="177" spans="1:28" ht="12.75" customHeight="1" x14ac:dyDescent="0.3">
      <c r="A177" s="667"/>
      <c r="B177" s="668" t="s">
        <v>4412</v>
      </c>
      <c r="C177" s="160" t="s">
        <v>4413</v>
      </c>
      <c r="D177" s="160"/>
      <c r="E177" s="439"/>
      <c r="F177" s="161">
        <v>1606.987761936</v>
      </c>
      <c r="G177" s="161"/>
      <c r="H177" s="654"/>
      <c r="I177" s="654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439"/>
      <c r="V177" s="441"/>
      <c r="W177" s="178"/>
      <c r="X177" s="172"/>
      <c r="Y177" s="172"/>
      <c r="Z177" s="172"/>
      <c r="AA177" s="195"/>
      <c r="AB177" s="172"/>
    </row>
    <row r="178" spans="1:28" ht="12.75" customHeight="1" x14ac:dyDescent="0.3">
      <c r="A178" s="667" t="s">
        <v>4414</v>
      </c>
      <c r="B178" s="668" t="s">
        <v>4415</v>
      </c>
      <c r="C178" s="160" t="s">
        <v>4416</v>
      </c>
      <c r="D178" s="160"/>
      <c r="E178" s="439"/>
      <c r="F178" s="161"/>
      <c r="G178" s="161"/>
      <c r="H178" s="654"/>
      <c r="I178" s="654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439"/>
      <c r="V178" s="441"/>
      <c r="W178" s="178"/>
      <c r="X178" s="172"/>
      <c r="Y178" s="172"/>
      <c r="Z178" s="172"/>
      <c r="AA178" s="195"/>
      <c r="AB178" s="172"/>
    </row>
    <row r="179" spans="1:28" ht="12.75" customHeight="1" x14ac:dyDescent="0.3">
      <c r="A179" s="667" t="s">
        <v>4414</v>
      </c>
      <c r="B179" s="668" t="s">
        <v>4417</v>
      </c>
      <c r="C179" s="160" t="s">
        <v>4418</v>
      </c>
      <c r="D179" s="160"/>
      <c r="E179" s="439"/>
      <c r="F179" s="161"/>
      <c r="G179" s="161"/>
      <c r="H179" s="654"/>
      <c r="I179" s="654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439"/>
      <c r="V179" s="441"/>
      <c r="W179" s="178"/>
      <c r="X179" s="172"/>
      <c r="Y179" s="172"/>
      <c r="Z179" s="172"/>
      <c r="AA179" s="195"/>
      <c r="AB179" s="172"/>
    </row>
    <row r="180" spans="1:28" ht="12.75" customHeight="1" x14ac:dyDescent="0.3">
      <c r="A180" s="667"/>
      <c r="B180" s="668" t="s">
        <v>4419</v>
      </c>
      <c r="C180" s="160" t="s">
        <v>4420</v>
      </c>
      <c r="D180" s="160"/>
      <c r="E180" s="439">
        <v>-9.1920000000000002</v>
      </c>
      <c r="F180" s="161">
        <v>1203.9777524680001</v>
      </c>
      <c r="G180" s="161">
        <v>47.957999999999998</v>
      </c>
      <c r="H180" s="654"/>
      <c r="I180" s="654"/>
      <c r="J180" s="191"/>
      <c r="K180" s="191">
        <v>26872619.324974</v>
      </c>
      <c r="L180" s="191"/>
      <c r="M180" s="191"/>
      <c r="N180" s="191"/>
      <c r="O180" s="191"/>
      <c r="P180" s="191"/>
      <c r="Q180" s="191"/>
      <c r="R180" s="191"/>
      <c r="S180" s="191"/>
      <c r="T180" s="191"/>
      <c r="U180" s="439"/>
      <c r="V180" s="441"/>
      <c r="W180" s="178"/>
      <c r="X180" s="172"/>
      <c r="Y180" s="172"/>
      <c r="Z180" s="172"/>
      <c r="AA180" s="195"/>
      <c r="AB180" s="172"/>
    </row>
    <row r="181" spans="1:28" ht="12.75" customHeight="1" x14ac:dyDescent="0.3">
      <c r="A181" s="667"/>
      <c r="B181" s="668" t="s">
        <v>4421</v>
      </c>
      <c r="C181" s="160" t="s">
        <v>4422</v>
      </c>
      <c r="D181" s="160"/>
      <c r="E181" s="439"/>
      <c r="F181" s="161">
        <v>1756.9781809139999</v>
      </c>
      <c r="G181" s="161"/>
      <c r="H181" s="654"/>
      <c r="I181" s="654"/>
      <c r="J181" s="191"/>
      <c r="K181" s="191"/>
      <c r="L181" s="191"/>
      <c r="M181" s="191"/>
      <c r="N181" s="191"/>
      <c r="O181" s="191"/>
      <c r="P181" s="191"/>
      <c r="Q181" s="191"/>
      <c r="R181" s="191"/>
      <c r="S181" s="191"/>
      <c r="T181" s="191"/>
      <c r="U181" s="439"/>
      <c r="V181" s="441"/>
      <c r="W181" s="178"/>
      <c r="X181" s="172"/>
      <c r="Y181" s="172"/>
      <c r="Z181" s="172"/>
      <c r="AA181" s="195"/>
      <c r="AB181" s="172"/>
    </row>
    <row r="182" spans="1:28" ht="12.75" customHeight="1" x14ac:dyDescent="0.3">
      <c r="A182" s="667"/>
      <c r="B182" s="668" t="s">
        <v>4423</v>
      </c>
      <c r="C182" s="160" t="s">
        <v>4424</v>
      </c>
      <c r="D182" s="160"/>
      <c r="E182" s="439">
        <v>6.48</v>
      </c>
      <c r="F182" s="161">
        <v>599.04229325999995</v>
      </c>
      <c r="G182" s="161">
        <v>59.993000000000002</v>
      </c>
      <c r="H182" s="654">
        <v>4.3843206343999999</v>
      </c>
      <c r="I182" s="654">
        <v>0.208668595307308</v>
      </c>
      <c r="J182" s="191"/>
      <c r="K182" s="191">
        <v>232487.710150164</v>
      </c>
      <c r="L182" s="191"/>
      <c r="M182" s="191"/>
      <c r="N182" s="191"/>
      <c r="O182" s="191"/>
      <c r="P182" s="191"/>
      <c r="Q182" s="191"/>
      <c r="R182" s="191"/>
      <c r="S182" s="191"/>
      <c r="T182" s="191"/>
      <c r="U182" s="439"/>
      <c r="V182" s="441"/>
      <c r="W182" s="178"/>
      <c r="X182" s="172"/>
      <c r="Y182" s="172"/>
      <c r="Z182" s="172"/>
      <c r="AA182" s="195"/>
      <c r="AB182" s="172"/>
    </row>
    <row r="183" spans="1:28" ht="12.75" customHeight="1" x14ac:dyDescent="0.3">
      <c r="A183" s="667"/>
      <c r="B183" s="668" t="s">
        <v>4425</v>
      </c>
      <c r="C183" s="160" t="s">
        <v>4426</v>
      </c>
      <c r="D183" s="160"/>
      <c r="E183" s="439">
        <v>-9.2129999999999992</v>
      </c>
      <c r="F183" s="161">
        <v>1103.9841398159999</v>
      </c>
      <c r="G183" s="161">
        <v>51.526000000000003</v>
      </c>
      <c r="H183" s="654"/>
      <c r="I183" s="654"/>
      <c r="J183" s="191"/>
      <c r="K183" s="191">
        <v>27992391.272131398</v>
      </c>
      <c r="L183" s="191"/>
      <c r="M183" s="191"/>
      <c r="N183" s="191"/>
      <c r="O183" s="191"/>
      <c r="P183" s="191"/>
      <c r="Q183" s="191"/>
      <c r="R183" s="191"/>
      <c r="S183" s="191"/>
      <c r="T183" s="191"/>
      <c r="U183" s="439"/>
      <c r="V183" s="441"/>
      <c r="W183" s="178"/>
      <c r="X183" s="172"/>
      <c r="Y183" s="172"/>
      <c r="Z183" s="172"/>
      <c r="AA183" s="195"/>
      <c r="AB183" s="172"/>
    </row>
    <row r="184" spans="1:28" ht="12.75" customHeight="1" x14ac:dyDescent="0.3">
      <c r="A184" s="667"/>
      <c r="B184" s="668" t="s">
        <v>4427</v>
      </c>
      <c r="C184" s="160" t="s">
        <v>4428</v>
      </c>
      <c r="D184" s="160"/>
      <c r="E184" s="439">
        <v>5.16</v>
      </c>
      <c r="F184" s="161">
        <v>1889.9120671779999</v>
      </c>
      <c r="G184" s="161"/>
      <c r="H184" s="654"/>
      <c r="I184" s="654"/>
      <c r="J184" s="191"/>
      <c r="K184" s="191"/>
      <c r="L184" s="191"/>
      <c r="M184" s="191"/>
      <c r="N184" s="191"/>
      <c r="O184" s="191"/>
      <c r="P184" s="191"/>
      <c r="Q184" s="191"/>
      <c r="R184" s="191"/>
      <c r="S184" s="191"/>
      <c r="T184" s="191"/>
      <c r="U184" s="439"/>
      <c r="V184" s="441"/>
      <c r="W184" s="178"/>
      <c r="X184" s="172"/>
      <c r="Y184" s="172"/>
      <c r="Z184" s="172"/>
      <c r="AA184" s="195"/>
      <c r="AB184" s="172"/>
    </row>
    <row r="185" spans="1:28" ht="12.75" customHeight="1" x14ac:dyDescent="0.3">
      <c r="A185" s="667"/>
      <c r="B185" s="668" t="s">
        <v>4429</v>
      </c>
      <c r="C185" s="160" t="s">
        <v>4430</v>
      </c>
      <c r="D185" s="160"/>
      <c r="E185" s="439">
        <v>4.6399999999999997</v>
      </c>
      <c r="F185" s="161">
        <v>1789.918454526</v>
      </c>
      <c r="G185" s="161"/>
      <c r="H185" s="654"/>
      <c r="I185" s="654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439"/>
      <c r="V185" s="441"/>
      <c r="W185" s="178"/>
      <c r="X185" s="172"/>
      <c r="Y185" s="172"/>
      <c r="Z185" s="172"/>
      <c r="AA185" s="195"/>
      <c r="AB185" s="172"/>
    </row>
    <row r="186" spans="1:28" ht="12.75" customHeight="1" x14ac:dyDescent="0.3">
      <c r="A186" s="667"/>
      <c r="B186" s="668" t="s">
        <v>4431</v>
      </c>
      <c r="C186" s="160" t="s">
        <v>4432</v>
      </c>
      <c r="D186" s="160"/>
      <c r="E186" s="439"/>
      <c r="F186" s="161">
        <v>1032.0011715610001</v>
      </c>
      <c r="G186" s="161">
        <v>-19.661000000000001</v>
      </c>
      <c r="H186" s="654"/>
      <c r="I186" s="654"/>
      <c r="J186" s="191"/>
      <c r="K186" s="191">
        <v>26984849.4838924</v>
      </c>
      <c r="L186" s="191"/>
      <c r="M186" s="191"/>
      <c r="N186" s="191"/>
      <c r="O186" s="191"/>
      <c r="P186" s="191"/>
      <c r="Q186" s="191"/>
      <c r="R186" s="191"/>
      <c r="S186" s="191"/>
      <c r="T186" s="191"/>
      <c r="U186" s="439"/>
      <c r="V186" s="441"/>
      <c r="W186" s="178"/>
      <c r="X186" s="172"/>
      <c r="Y186" s="172"/>
      <c r="Z186" s="172"/>
      <c r="AA186" s="195"/>
      <c r="AB186" s="172"/>
    </row>
    <row r="187" spans="1:28" ht="12.75" customHeight="1" x14ac:dyDescent="0.3">
      <c r="A187" s="667"/>
      <c r="B187" s="668" t="s">
        <v>4433</v>
      </c>
      <c r="C187" s="160" t="s">
        <v>4434</v>
      </c>
      <c r="D187" s="160"/>
      <c r="E187" s="439"/>
      <c r="F187" s="161">
        <v>1017.985521496</v>
      </c>
      <c r="G187" s="161">
        <v>-51.49</v>
      </c>
      <c r="H187" s="654"/>
      <c r="I187" s="654"/>
      <c r="J187" s="191"/>
      <c r="K187" s="191">
        <v>24305244.822202999</v>
      </c>
      <c r="L187" s="191"/>
      <c r="M187" s="191"/>
      <c r="N187" s="191"/>
      <c r="O187" s="191"/>
      <c r="P187" s="191"/>
      <c r="Q187" s="191"/>
      <c r="R187" s="191"/>
      <c r="S187" s="191"/>
      <c r="T187" s="191"/>
      <c r="U187" s="439"/>
      <c r="V187" s="441"/>
      <c r="W187" s="178"/>
      <c r="X187" s="172"/>
      <c r="Y187" s="172"/>
      <c r="Z187" s="172"/>
      <c r="AA187" s="195"/>
      <c r="AB187" s="172"/>
    </row>
    <row r="188" spans="1:28" ht="12.75" customHeight="1" x14ac:dyDescent="0.3">
      <c r="A188" s="667"/>
      <c r="B188" s="668" t="s">
        <v>4435</v>
      </c>
      <c r="C188" s="160" t="s">
        <v>4436</v>
      </c>
      <c r="D188" s="160"/>
      <c r="E188" s="439">
        <v>8.4</v>
      </c>
      <c r="F188" s="161">
        <v>622.31152198200004</v>
      </c>
      <c r="G188" s="161">
        <v>191.971</v>
      </c>
      <c r="H188" s="654">
        <v>1.14262020236E-10</v>
      </c>
      <c r="I188" s="654">
        <v>2.19284533312319E-2</v>
      </c>
      <c r="J188" s="191"/>
      <c r="K188" s="191">
        <v>8602605353.5315895</v>
      </c>
      <c r="L188" s="191"/>
      <c r="M188" s="191"/>
      <c r="N188" s="191"/>
      <c r="O188" s="191"/>
      <c r="P188" s="191"/>
      <c r="Q188" s="191"/>
      <c r="R188" s="191"/>
      <c r="S188" s="191"/>
      <c r="T188" s="191"/>
      <c r="U188" s="439"/>
      <c r="V188" s="441"/>
      <c r="W188" s="178"/>
      <c r="X188" s="172"/>
      <c r="Y188" s="172"/>
      <c r="Z188" s="172"/>
      <c r="AA188" s="195"/>
      <c r="AB188" s="172"/>
    </row>
    <row r="189" spans="1:28" ht="12.75" customHeight="1" x14ac:dyDescent="0.3">
      <c r="A189" s="667"/>
      <c r="B189" s="668" t="s">
        <v>4437</v>
      </c>
      <c r="C189" s="160" t="s">
        <v>4438</v>
      </c>
      <c r="D189" s="160"/>
      <c r="E189" s="439"/>
      <c r="F189" s="161">
        <v>590.32169274199998</v>
      </c>
      <c r="G189" s="161">
        <v>148.72200000000001</v>
      </c>
      <c r="H189" s="654">
        <v>2.1722153459999999E-8</v>
      </c>
      <c r="I189" s="654">
        <v>1.4557569071694801E-2</v>
      </c>
      <c r="J189" s="191"/>
      <c r="K189" s="191">
        <v>8666026245.8349895</v>
      </c>
      <c r="L189" s="191"/>
      <c r="M189" s="191"/>
      <c r="N189" s="191"/>
      <c r="O189" s="191"/>
      <c r="P189" s="191"/>
      <c r="Q189" s="191"/>
      <c r="R189" s="191"/>
      <c r="S189" s="191"/>
      <c r="T189" s="191"/>
      <c r="U189" s="439"/>
      <c r="V189" s="441"/>
      <c r="W189" s="178"/>
      <c r="X189" s="172"/>
      <c r="Y189" s="172"/>
      <c r="Z189" s="172"/>
      <c r="AA189" s="195"/>
      <c r="AB189" s="172"/>
    </row>
    <row r="190" spans="1:28" ht="12.75" customHeight="1" x14ac:dyDescent="0.3">
      <c r="A190" s="667"/>
      <c r="B190" s="668" t="s">
        <v>4439</v>
      </c>
      <c r="C190" s="160" t="s">
        <v>4440</v>
      </c>
      <c r="D190" s="160"/>
      <c r="E190" s="439">
        <v>11</v>
      </c>
      <c r="F190" s="161">
        <v>1161.1162485059999</v>
      </c>
      <c r="G190" s="161"/>
      <c r="H190" s="654"/>
      <c r="I190" s="654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439"/>
      <c r="V190" s="441"/>
      <c r="W190" s="178"/>
      <c r="X190" s="172"/>
      <c r="Y190" s="172"/>
      <c r="Z190" s="172"/>
      <c r="AA190" s="195"/>
      <c r="AB190" s="172"/>
    </row>
    <row r="191" spans="1:28" ht="12.75" customHeight="1" x14ac:dyDescent="0.3">
      <c r="A191" s="667"/>
      <c r="B191" s="668" t="s">
        <v>4441</v>
      </c>
      <c r="C191" s="160" t="s">
        <v>4442</v>
      </c>
      <c r="D191" s="160"/>
      <c r="E191" s="439"/>
      <c r="F191" s="161">
        <v>1026.0509758759999</v>
      </c>
      <c r="G191" s="161"/>
      <c r="H191" s="654"/>
      <c r="I191" s="654"/>
      <c r="J191" s="191"/>
      <c r="K191" s="191">
        <v>827141859.69671595</v>
      </c>
      <c r="L191" s="191"/>
      <c r="M191" s="191"/>
      <c r="N191" s="191"/>
      <c r="O191" s="191"/>
      <c r="P191" s="191"/>
      <c r="Q191" s="191"/>
      <c r="R191" s="191"/>
      <c r="S191" s="191"/>
      <c r="T191" s="191"/>
      <c r="U191" s="439"/>
      <c r="V191" s="441"/>
      <c r="W191" s="178"/>
      <c r="X191" s="172"/>
      <c r="Y191" s="172"/>
      <c r="Z191" s="172"/>
      <c r="AA191" s="195"/>
      <c r="AB191" s="172"/>
    </row>
    <row r="192" spans="1:28" ht="12.75" customHeight="1" x14ac:dyDescent="0.3">
      <c r="A192" s="667"/>
      <c r="B192" s="668" t="s">
        <v>4443</v>
      </c>
      <c r="C192" s="160" t="s">
        <v>4444</v>
      </c>
      <c r="D192" s="160"/>
      <c r="E192" s="439">
        <v>0.71199999999999997</v>
      </c>
      <c r="F192" s="161">
        <v>1316.064913703</v>
      </c>
      <c r="G192" s="161">
        <v>108.461</v>
      </c>
      <c r="H192" s="654"/>
      <c r="I192" s="654"/>
      <c r="J192" s="191"/>
      <c r="K192" s="191">
        <v>10164359.1004078</v>
      </c>
      <c r="L192" s="191"/>
      <c r="M192" s="191"/>
      <c r="N192" s="191"/>
      <c r="O192" s="191"/>
      <c r="P192" s="191"/>
      <c r="Q192" s="191"/>
      <c r="R192" s="191"/>
      <c r="S192" s="191"/>
      <c r="T192" s="191"/>
      <c r="U192" s="439"/>
      <c r="V192" s="441"/>
      <c r="W192" s="178"/>
      <c r="X192" s="172"/>
      <c r="Y192" s="172"/>
      <c r="Z192" s="172"/>
      <c r="AA192" s="195"/>
      <c r="AB192" s="172"/>
    </row>
    <row r="193" spans="1:28" ht="12.75" customHeight="1" x14ac:dyDescent="0.3">
      <c r="A193" s="667"/>
      <c r="B193" s="668" t="s">
        <v>4445</v>
      </c>
      <c r="C193" s="160" t="s">
        <v>4446</v>
      </c>
      <c r="D193" s="160"/>
      <c r="E193" s="439"/>
      <c r="F193" s="161">
        <v>1117.979134148</v>
      </c>
      <c r="G193" s="161"/>
      <c r="H193" s="654"/>
      <c r="I193" s="654"/>
      <c r="J193" s="191"/>
      <c r="K193" s="191">
        <v>32846568.101418599</v>
      </c>
      <c r="L193" s="191"/>
      <c r="M193" s="191"/>
      <c r="N193" s="191"/>
      <c r="O193" s="191"/>
      <c r="P193" s="191"/>
      <c r="Q193" s="191"/>
      <c r="R193" s="191"/>
      <c r="S193" s="191"/>
      <c r="T193" s="191"/>
      <c r="U193" s="439"/>
      <c r="V193" s="441"/>
      <c r="W193" s="178"/>
      <c r="X193" s="172"/>
      <c r="Y193" s="172"/>
      <c r="Z193" s="172"/>
      <c r="AA193" s="195"/>
      <c r="AB193" s="172"/>
    </row>
    <row r="194" spans="1:28" ht="12.75" customHeight="1" x14ac:dyDescent="0.3">
      <c r="A194" s="667"/>
      <c r="B194" s="668" t="s">
        <v>4447</v>
      </c>
      <c r="C194" s="160" t="s">
        <v>4448</v>
      </c>
      <c r="D194" s="160"/>
      <c r="E194" s="439"/>
      <c r="F194" s="161">
        <v>218.03662027999999</v>
      </c>
      <c r="G194" s="161">
        <v>5.2869999999999999</v>
      </c>
      <c r="H194" s="654">
        <v>539.388814719999</v>
      </c>
      <c r="I194" s="654">
        <v>65.242225739903205</v>
      </c>
      <c r="J194" s="191"/>
      <c r="K194" s="191">
        <v>102.220970525765</v>
      </c>
      <c r="L194" s="191"/>
      <c r="M194" s="191"/>
      <c r="N194" s="191"/>
      <c r="O194" s="191"/>
      <c r="P194" s="191"/>
      <c r="Q194" s="191"/>
      <c r="R194" s="191"/>
      <c r="S194" s="191"/>
      <c r="T194" s="191"/>
      <c r="U194" s="439"/>
      <c r="V194" s="441"/>
      <c r="W194" s="178"/>
      <c r="X194" s="172"/>
      <c r="Y194" s="172"/>
      <c r="Z194" s="172"/>
      <c r="AA194" s="195"/>
      <c r="AB194" s="172"/>
    </row>
    <row r="195" spans="1:28" ht="12.75" customHeight="1" x14ac:dyDescent="0.3">
      <c r="A195" s="667" t="s">
        <v>4414</v>
      </c>
      <c r="B195" s="668" t="s">
        <v>4449</v>
      </c>
      <c r="C195" s="160" t="s">
        <v>4450</v>
      </c>
      <c r="D195" s="160"/>
      <c r="E195" s="439"/>
      <c r="F195" s="161"/>
      <c r="G195" s="161"/>
      <c r="H195" s="654"/>
      <c r="I195" s="654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439"/>
      <c r="V195" s="441"/>
      <c r="W195" s="178"/>
      <c r="X195" s="172"/>
      <c r="Y195" s="172"/>
      <c r="Z195" s="172"/>
      <c r="AA195" s="195"/>
      <c r="AB195" s="172"/>
    </row>
    <row r="196" spans="1:28" ht="12.75" customHeight="1" x14ac:dyDescent="0.3">
      <c r="A196" s="667"/>
      <c r="B196" s="668" t="s">
        <v>4451</v>
      </c>
      <c r="C196" s="160" t="s">
        <v>4452</v>
      </c>
      <c r="D196" s="160"/>
      <c r="E196" s="439">
        <v>34.484000000000002</v>
      </c>
      <c r="F196" s="161">
        <v>312.00082450999997</v>
      </c>
      <c r="G196" s="161">
        <v>-63.323999999999998</v>
      </c>
      <c r="H196" s="654">
        <v>1213.1142098600001</v>
      </c>
      <c r="I196" s="654">
        <v>7.3647170623936402</v>
      </c>
      <c r="J196" s="191"/>
      <c r="K196" s="191">
        <v>3597.8247081992599</v>
      </c>
      <c r="L196" s="191"/>
      <c r="M196" s="191"/>
      <c r="N196" s="191"/>
      <c r="O196" s="191"/>
      <c r="P196" s="191"/>
      <c r="Q196" s="191"/>
      <c r="R196" s="191"/>
      <c r="S196" s="191"/>
      <c r="T196" s="191"/>
      <c r="U196" s="439"/>
      <c r="V196" s="441"/>
      <c r="W196" s="178"/>
      <c r="X196" s="172"/>
      <c r="Y196" s="172"/>
      <c r="Z196" s="172"/>
      <c r="AA196" s="195"/>
      <c r="AB196" s="172"/>
    </row>
    <row r="197" spans="1:28" ht="12.75" customHeight="1" x14ac:dyDescent="0.3">
      <c r="A197" s="667"/>
      <c r="B197" s="668" t="s">
        <v>4453</v>
      </c>
      <c r="C197" s="160" t="s">
        <v>4454</v>
      </c>
      <c r="D197" s="160"/>
      <c r="E197" s="439"/>
      <c r="F197" s="161">
        <v>162.01040553199999</v>
      </c>
      <c r="G197" s="161">
        <v>-85.14</v>
      </c>
      <c r="H197" s="654">
        <v>39893.408772000003</v>
      </c>
      <c r="I197" s="654">
        <v>530.32648157250401</v>
      </c>
      <c r="J197" s="191"/>
      <c r="K197" s="191">
        <v>49.511946453339498</v>
      </c>
      <c r="L197" s="191"/>
      <c r="M197" s="191"/>
      <c r="N197" s="191"/>
      <c r="O197" s="191"/>
      <c r="P197" s="191"/>
      <c r="Q197" s="191"/>
      <c r="R197" s="191"/>
      <c r="S197" s="191"/>
      <c r="T197" s="191"/>
      <c r="U197" s="439"/>
      <c r="V197" s="441"/>
      <c r="W197" s="178"/>
      <c r="X197" s="172"/>
      <c r="Y197" s="172"/>
      <c r="Z197" s="172"/>
      <c r="AA197" s="195"/>
      <c r="AB197" s="172"/>
    </row>
    <row r="198" spans="1:28" ht="12.75" customHeight="1" x14ac:dyDescent="0.3">
      <c r="A198" s="667"/>
      <c r="B198" s="668" t="s">
        <v>4455</v>
      </c>
      <c r="C198" s="160" t="s">
        <v>4456</v>
      </c>
      <c r="D198" s="160"/>
      <c r="E198" s="439">
        <v>6.13</v>
      </c>
      <c r="F198" s="161">
        <v>385.01828852300002</v>
      </c>
      <c r="G198" s="161"/>
      <c r="H198" s="654"/>
      <c r="I198" s="654"/>
      <c r="J198" s="191"/>
      <c r="K198" s="191">
        <v>8191.0579785745504</v>
      </c>
      <c r="L198" s="191"/>
      <c r="M198" s="191"/>
      <c r="N198" s="191"/>
      <c r="O198" s="191"/>
      <c r="P198" s="191"/>
      <c r="Q198" s="191"/>
      <c r="R198" s="191"/>
      <c r="S198" s="191"/>
      <c r="T198" s="191"/>
      <c r="U198" s="439"/>
      <c r="V198" s="441"/>
      <c r="W198" s="178"/>
      <c r="X198" s="172"/>
      <c r="Y198" s="172"/>
      <c r="Z198" s="172"/>
      <c r="AA198" s="195"/>
      <c r="AB198" s="172"/>
    </row>
    <row r="199" spans="1:28" ht="12.75" customHeight="1" x14ac:dyDescent="0.3">
      <c r="A199" s="667"/>
      <c r="B199" s="668" t="s">
        <v>4457</v>
      </c>
      <c r="C199" s="160" t="s">
        <v>4458</v>
      </c>
      <c r="D199" s="160"/>
      <c r="E199" s="439"/>
      <c r="F199" s="161">
        <v>395.94571999999999</v>
      </c>
      <c r="G199" s="161"/>
      <c r="H199" s="654"/>
      <c r="I199" s="654"/>
      <c r="J199" s="191"/>
      <c r="K199" s="191">
        <v>7248.86480473763</v>
      </c>
      <c r="L199" s="191"/>
      <c r="M199" s="191"/>
      <c r="N199" s="191"/>
      <c r="O199" s="191"/>
      <c r="P199" s="191"/>
      <c r="Q199" s="191"/>
      <c r="R199" s="191"/>
      <c r="S199" s="191"/>
      <c r="T199" s="191"/>
      <c r="U199" s="439"/>
      <c r="V199" s="441"/>
      <c r="W199" s="178"/>
      <c r="X199" s="172"/>
      <c r="Y199" s="172"/>
      <c r="Z199" s="172"/>
      <c r="AA199" s="195"/>
      <c r="AB199" s="172"/>
    </row>
    <row r="200" spans="1:28" ht="12.75" customHeight="1" x14ac:dyDescent="0.3">
      <c r="A200" s="667"/>
      <c r="B200" s="668" t="s">
        <v>4459</v>
      </c>
      <c r="C200" s="160" t="s">
        <v>4460</v>
      </c>
      <c r="D200" s="160"/>
      <c r="E200" s="439">
        <v>3.1179999999999999</v>
      </c>
      <c r="F200" s="161">
        <v>246.06792040900001</v>
      </c>
      <c r="G200" s="161">
        <v>-14.788</v>
      </c>
      <c r="H200" s="654">
        <v>87.478563690000001</v>
      </c>
      <c r="I200" s="654">
        <v>41.500585116579899</v>
      </c>
      <c r="J200" s="191"/>
      <c r="K200" s="191">
        <v>29411.6913647279</v>
      </c>
      <c r="L200" s="191"/>
      <c r="M200" s="191"/>
      <c r="N200" s="191"/>
      <c r="O200" s="191"/>
      <c r="P200" s="191"/>
      <c r="Q200" s="191"/>
      <c r="R200" s="191"/>
      <c r="S200" s="191"/>
      <c r="T200" s="191"/>
      <c r="U200" s="439"/>
      <c r="V200" s="441"/>
      <c r="W200" s="178"/>
      <c r="X200" s="172"/>
      <c r="Y200" s="172"/>
      <c r="Z200" s="172"/>
      <c r="AA200" s="195"/>
      <c r="AB200" s="172"/>
    </row>
    <row r="201" spans="1:28" ht="12.75" customHeight="1" x14ac:dyDescent="0.3">
      <c r="A201" s="667"/>
      <c r="B201" s="668" t="s">
        <v>4461</v>
      </c>
      <c r="C201" s="160" t="s">
        <v>4462</v>
      </c>
      <c r="D201" s="160"/>
      <c r="E201" s="439"/>
      <c r="F201" s="161">
        <v>262.13446323199997</v>
      </c>
      <c r="G201" s="161"/>
      <c r="H201" s="654"/>
      <c r="I201" s="654"/>
      <c r="J201" s="191"/>
      <c r="K201" s="191">
        <v>672078.49627418502</v>
      </c>
      <c r="L201" s="191"/>
      <c r="M201" s="191"/>
      <c r="N201" s="191"/>
      <c r="O201" s="191"/>
      <c r="P201" s="191"/>
      <c r="Q201" s="191"/>
      <c r="R201" s="191"/>
      <c r="S201" s="191"/>
      <c r="T201" s="191"/>
      <c r="U201" s="439"/>
      <c r="V201" s="441"/>
      <c r="W201" s="178"/>
      <c r="X201" s="172"/>
      <c r="Y201" s="172"/>
      <c r="Z201" s="172"/>
      <c r="AA201" s="195"/>
      <c r="AB201" s="172"/>
    </row>
    <row r="202" spans="1:28" ht="12.75" customHeight="1" x14ac:dyDescent="0.3">
      <c r="A202" s="667"/>
      <c r="B202" s="668" t="s">
        <v>4463</v>
      </c>
      <c r="C202" s="160" t="s">
        <v>4464</v>
      </c>
      <c r="D202" s="160"/>
      <c r="E202" s="439">
        <v>32</v>
      </c>
      <c r="F202" s="161">
        <v>1270.223385949</v>
      </c>
      <c r="G202" s="161"/>
      <c r="H202" s="654"/>
      <c r="I202" s="654"/>
      <c r="J202" s="191"/>
      <c r="K202" s="191">
        <v>13784467.6974121</v>
      </c>
      <c r="L202" s="191"/>
      <c r="M202" s="191"/>
      <c r="N202" s="191"/>
      <c r="O202" s="191"/>
      <c r="P202" s="191"/>
      <c r="Q202" s="191"/>
      <c r="R202" s="191"/>
      <c r="S202" s="191"/>
      <c r="T202" s="191"/>
      <c r="U202" s="439"/>
      <c r="V202" s="441"/>
      <c r="W202" s="178"/>
      <c r="X202" s="172"/>
      <c r="Y202" s="172"/>
      <c r="Z202" s="172"/>
      <c r="AA202" s="195"/>
      <c r="AB202" s="172"/>
    </row>
    <row r="203" spans="1:28" ht="12.75" customHeight="1" x14ac:dyDescent="0.3">
      <c r="A203" s="667"/>
      <c r="B203" s="668" t="s">
        <v>4465</v>
      </c>
      <c r="C203" s="160" t="s">
        <v>4466</v>
      </c>
      <c r="D203" s="160"/>
      <c r="E203" s="439"/>
      <c r="F203" s="161">
        <v>730.21969093099995</v>
      </c>
      <c r="G203" s="161"/>
      <c r="H203" s="654"/>
      <c r="I203" s="654"/>
      <c r="J203" s="191"/>
      <c r="K203" s="191"/>
      <c r="L203" s="191"/>
      <c r="M203" s="191"/>
      <c r="N203" s="191"/>
      <c r="O203" s="191"/>
      <c r="P203" s="191"/>
      <c r="Q203" s="191"/>
      <c r="R203" s="191"/>
      <c r="S203" s="191"/>
      <c r="T203" s="191"/>
      <c r="U203" s="439"/>
      <c r="V203" s="441"/>
      <c r="W203" s="178"/>
      <c r="X203" s="172"/>
      <c r="Y203" s="172"/>
      <c r="Z203" s="172"/>
      <c r="AA203" s="195"/>
      <c r="AB203" s="172"/>
    </row>
    <row r="204" spans="1:28" ht="12.75" customHeight="1" x14ac:dyDescent="0.3">
      <c r="A204" s="667"/>
      <c r="B204" s="668" t="s">
        <v>4467</v>
      </c>
      <c r="C204" s="160" t="s">
        <v>4468</v>
      </c>
      <c r="D204" s="160"/>
      <c r="E204" s="439">
        <v>9.17</v>
      </c>
      <c r="F204" s="161">
        <v>255.049411023</v>
      </c>
      <c r="G204" s="161"/>
      <c r="H204" s="654"/>
      <c r="I204" s="654"/>
      <c r="J204" s="191"/>
      <c r="K204" s="191">
        <v>412.38228432173003</v>
      </c>
      <c r="L204" s="191"/>
      <c r="M204" s="191"/>
      <c r="N204" s="191"/>
      <c r="O204" s="191"/>
      <c r="P204" s="191"/>
      <c r="Q204" s="191"/>
      <c r="R204" s="191"/>
      <c r="S204" s="191"/>
      <c r="T204" s="191"/>
      <c r="U204" s="439"/>
      <c r="V204" s="441"/>
      <c r="W204" s="178"/>
      <c r="X204" s="172"/>
      <c r="Y204" s="172"/>
      <c r="Z204" s="172"/>
      <c r="AA204" s="195"/>
      <c r="AB204" s="172"/>
    </row>
    <row r="205" spans="1:28" ht="12.75" customHeight="1" x14ac:dyDescent="0.3">
      <c r="A205" s="667"/>
      <c r="B205" s="668" t="s">
        <v>4469</v>
      </c>
      <c r="C205" s="160" t="s">
        <v>4470</v>
      </c>
      <c r="D205" s="160"/>
      <c r="E205" s="439">
        <v>5.92</v>
      </c>
      <c r="F205" s="161">
        <v>1186.1016940669999</v>
      </c>
      <c r="G205" s="161"/>
      <c r="H205" s="654"/>
      <c r="I205" s="654"/>
      <c r="J205" s="191"/>
      <c r="K205" s="191">
        <v>4905462.9508989695</v>
      </c>
      <c r="L205" s="191"/>
      <c r="M205" s="191"/>
      <c r="N205" s="191"/>
      <c r="O205" s="191"/>
      <c r="P205" s="191"/>
      <c r="Q205" s="191"/>
      <c r="R205" s="191"/>
      <c r="S205" s="191"/>
      <c r="T205" s="191"/>
      <c r="U205" s="439"/>
      <c r="V205" s="441"/>
      <c r="W205" s="178"/>
      <c r="X205" s="172"/>
      <c r="Y205" s="172"/>
      <c r="Z205" s="172"/>
      <c r="AA205" s="195"/>
      <c r="AB205" s="172"/>
    </row>
    <row r="206" spans="1:28" ht="12.75" customHeight="1" x14ac:dyDescent="0.3">
      <c r="A206" s="667"/>
      <c r="B206" s="668" t="s">
        <v>4471</v>
      </c>
      <c r="C206" s="160" t="s">
        <v>4472</v>
      </c>
      <c r="D206" s="160"/>
      <c r="E206" s="439">
        <v>5.92</v>
      </c>
      <c r="F206" s="161">
        <v>1586.076144675</v>
      </c>
      <c r="G206" s="161"/>
      <c r="H206" s="654"/>
      <c r="I206" s="654"/>
      <c r="J206" s="191"/>
      <c r="K206" s="191">
        <v>40819717.990681998</v>
      </c>
      <c r="L206" s="191"/>
      <c r="M206" s="191"/>
      <c r="N206" s="191"/>
      <c r="O206" s="191"/>
      <c r="P206" s="191"/>
      <c r="Q206" s="191"/>
      <c r="R206" s="191"/>
      <c r="S206" s="191"/>
      <c r="T206" s="191"/>
      <c r="U206" s="439"/>
      <c r="V206" s="441"/>
      <c r="W206" s="178"/>
      <c r="X206" s="172"/>
      <c r="Y206" s="172"/>
      <c r="Z206" s="172"/>
      <c r="AA206" s="195"/>
      <c r="AB206" s="172"/>
    </row>
    <row r="207" spans="1:28" ht="12.75" customHeight="1" x14ac:dyDescent="0.3">
      <c r="A207" s="667"/>
      <c r="B207" s="668" t="s">
        <v>4473</v>
      </c>
      <c r="C207" s="160" t="s">
        <v>4474</v>
      </c>
      <c r="D207" s="160"/>
      <c r="E207" s="439">
        <v>5.41</v>
      </c>
      <c r="F207" s="161">
        <v>1486.0825320230001</v>
      </c>
      <c r="G207" s="161"/>
      <c r="H207" s="654"/>
      <c r="I207" s="654"/>
      <c r="J207" s="191"/>
      <c r="K207" s="191">
        <v>38726656.196108103</v>
      </c>
      <c r="L207" s="191"/>
      <c r="M207" s="191"/>
      <c r="N207" s="191"/>
      <c r="O207" s="191"/>
      <c r="P207" s="191"/>
      <c r="Q207" s="191"/>
      <c r="R207" s="191"/>
      <c r="S207" s="191"/>
      <c r="T207" s="191"/>
      <c r="U207" s="439"/>
      <c r="V207" s="441"/>
      <c r="W207" s="178"/>
      <c r="X207" s="172"/>
      <c r="Y207" s="172"/>
      <c r="Z207" s="172"/>
      <c r="AA207" s="195"/>
      <c r="AB207" s="172"/>
    </row>
    <row r="208" spans="1:28" ht="12.75" customHeight="1" x14ac:dyDescent="0.3">
      <c r="A208" s="667"/>
      <c r="B208" s="668" t="s">
        <v>4475</v>
      </c>
      <c r="C208" s="160" t="s">
        <v>4476</v>
      </c>
      <c r="D208" s="160"/>
      <c r="E208" s="439">
        <v>5.41</v>
      </c>
      <c r="F208" s="161">
        <v>1086.108081415</v>
      </c>
      <c r="G208" s="161"/>
      <c r="H208" s="654"/>
      <c r="I208" s="654"/>
      <c r="J208" s="191"/>
      <c r="K208" s="191">
        <v>281611.24979804998</v>
      </c>
      <c r="L208" s="191"/>
      <c r="M208" s="191"/>
      <c r="N208" s="191"/>
      <c r="O208" s="191"/>
      <c r="P208" s="191"/>
      <c r="Q208" s="191"/>
      <c r="R208" s="191"/>
      <c r="S208" s="191"/>
      <c r="T208" s="191"/>
      <c r="U208" s="439"/>
      <c r="V208" s="441"/>
      <c r="W208" s="178"/>
      <c r="X208" s="172"/>
      <c r="Y208" s="172"/>
      <c r="Z208" s="172"/>
      <c r="AA208" s="195"/>
      <c r="AB208" s="172"/>
    </row>
    <row r="209" spans="1:28" ht="12.75" customHeight="1" x14ac:dyDescent="0.3">
      <c r="A209" s="667"/>
      <c r="B209" s="668" t="s">
        <v>4477</v>
      </c>
      <c r="C209" s="160" t="s">
        <v>4478</v>
      </c>
      <c r="D209" s="160"/>
      <c r="E209" s="439">
        <v>9.4700000000000006</v>
      </c>
      <c r="F209" s="161">
        <v>164.02605559599999</v>
      </c>
      <c r="G209" s="161"/>
      <c r="H209" s="654"/>
      <c r="I209" s="654"/>
      <c r="J209" s="191"/>
      <c r="K209" s="191">
        <v>19.633150693154601</v>
      </c>
      <c r="L209" s="191"/>
      <c r="M209" s="191"/>
      <c r="N209" s="191"/>
      <c r="O209" s="191"/>
      <c r="P209" s="191"/>
      <c r="Q209" s="191"/>
      <c r="R209" s="191"/>
      <c r="S209" s="191"/>
      <c r="T209" s="191"/>
      <c r="U209" s="439"/>
      <c r="V209" s="441"/>
      <c r="W209" s="178"/>
      <c r="X209" s="172"/>
      <c r="Y209" s="172"/>
      <c r="Z209" s="172"/>
      <c r="AA209" s="195"/>
      <c r="AB209" s="172"/>
    </row>
    <row r="210" spans="1:28" ht="12.75" customHeight="1" x14ac:dyDescent="0.3">
      <c r="A210" s="667"/>
      <c r="B210" s="668" t="s">
        <v>4479</v>
      </c>
      <c r="C210" s="160" t="s">
        <v>4480</v>
      </c>
      <c r="D210" s="160"/>
      <c r="E210" s="439"/>
      <c r="F210" s="161">
        <v>146.03547746500001</v>
      </c>
      <c r="G210" s="161"/>
      <c r="H210" s="654"/>
      <c r="I210" s="654"/>
      <c r="J210" s="191"/>
      <c r="K210" s="191">
        <v>4.9033286138837102</v>
      </c>
      <c r="L210" s="191"/>
      <c r="M210" s="191"/>
      <c r="N210" s="191"/>
      <c r="O210" s="191"/>
      <c r="P210" s="191"/>
      <c r="Q210" s="191"/>
      <c r="R210" s="191"/>
      <c r="S210" s="191"/>
      <c r="T210" s="191"/>
      <c r="U210" s="439"/>
      <c r="V210" s="441"/>
      <c r="W210" s="178"/>
      <c r="X210" s="172"/>
      <c r="Y210" s="172"/>
      <c r="Z210" s="172"/>
      <c r="AA210" s="195"/>
      <c r="AB210" s="172"/>
    </row>
    <row r="211" spans="1:28" ht="12.75" customHeight="1" x14ac:dyDescent="0.3">
      <c r="A211" s="667"/>
      <c r="B211" s="668" t="s">
        <v>4481</v>
      </c>
      <c r="C211" s="160" t="s">
        <v>4482</v>
      </c>
      <c r="D211" s="160"/>
      <c r="E211" s="439">
        <v>6.61</v>
      </c>
      <c r="F211" s="161">
        <v>1386.088919371</v>
      </c>
      <c r="G211" s="161"/>
      <c r="H211" s="654"/>
      <c r="I211" s="654"/>
      <c r="J211" s="191"/>
      <c r="K211" s="191">
        <v>33763697.451108299</v>
      </c>
      <c r="L211" s="191"/>
      <c r="M211" s="191"/>
      <c r="N211" s="191"/>
      <c r="O211" s="191"/>
      <c r="P211" s="191"/>
      <c r="Q211" s="191"/>
      <c r="R211" s="191"/>
      <c r="S211" s="191"/>
      <c r="T211" s="191"/>
      <c r="U211" s="439"/>
      <c r="V211" s="441"/>
      <c r="W211" s="178"/>
      <c r="X211" s="172"/>
      <c r="Y211" s="172"/>
      <c r="Z211" s="172"/>
      <c r="AA211" s="195"/>
      <c r="AB211" s="172"/>
    </row>
    <row r="212" spans="1:28" ht="12.75" customHeight="1" x14ac:dyDescent="0.3">
      <c r="A212" s="667"/>
      <c r="B212" s="668" t="s">
        <v>4483</v>
      </c>
      <c r="C212" s="160" t="s">
        <v>4484</v>
      </c>
      <c r="D212" s="160"/>
      <c r="E212" s="439">
        <v>6.1</v>
      </c>
      <c r="F212" s="161">
        <v>1286.0953067190001</v>
      </c>
      <c r="G212" s="161"/>
      <c r="H212" s="654"/>
      <c r="I212" s="654"/>
      <c r="J212" s="191"/>
      <c r="K212" s="191">
        <v>29507335.862734798</v>
      </c>
      <c r="L212" s="191"/>
      <c r="M212" s="191"/>
      <c r="N212" s="191"/>
      <c r="O212" s="191"/>
      <c r="P212" s="191"/>
      <c r="Q212" s="191"/>
      <c r="R212" s="191"/>
      <c r="S212" s="191"/>
      <c r="T212" s="191"/>
      <c r="U212" s="439"/>
      <c r="V212" s="441"/>
      <c r="W212" s="178"/>
      <c r="X212" s="172"/>
      <c r="Y212" s="172"/>
      <c r="Z212" s="172"/>
      <c r="AA212" s="195"/>
      <c r="AB212" s="172"/>
    </row>
    <row r="213" spans="1:28" ht="12.75" customHeight="1" x14ac:dyDescent="0.3">
      <c r="A213" s="667"/>
      <c r="B213" s="668" t="s">
        <v>4485</v>
      </c>
      <c r="C213" s="160" t="s">
        <v>4486</v>
      </c>
      <c r="D213" s="160"/>
      <c r="E213" s="439">
        <v>45</v>
      </c>
      <c r="F213" s="161">
        <v>1203.1631986990001</v>
      </c>
      <c r="G213" s="161"/>
      <c r="H213" s="654"/>
      <c r="I213" s="654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439"/>
      <c r="V213" s="441"/>
      <c r="W213" s="178"/>
      <c r="X213" s="172"/>
      <c r="Y213" s="172"/>
      <c r="Z213" s="172"/>
      <c r="AA213" s="195"/>
      <c r="AB213" s="172"/>
    </row>
    <row r="214" spans="1:28" ht="12.75" customHeight="1" x14ac:dyDescent="0.3">
      <c r="A214" s="667"/>
      <c r="B214" s="668" t="s">
        <v>4487</v>
      </c>
      <c r="C214" s="160" t="s">
        <v>4488</v>
      </c>
      <c r="D214" s="160"/>
      <c r="E214" s="439"/>
      <c r="F214" s="161">
        <v>304.01925613899999</v>
      </c>
      <c r="G214" s="161">
        <v>39.183</v>
      </c>
      <c r="H214" s="654">
        <v>1.7656365747999999E-2</v>
      </c>
      <c r="I214" s="654">
        <v>17.5752315896931</v>
      </c>
      <c r="J214" s="191"/>
      <c r="K214" s="191">
        <v>2763.948839398</v>
      </c>
      <c r="L214" s="191"/>
      <c r="M214" s="191"/>
      <c r="N214" s="191"/>
      <c r="O214" s="191"/>
      <c r="P214" s="191"/>
      <c r="Q214" s="191"/>
      <c r="R214" s="191"/>
      <c r="S214" s="191"/>
      <c r="T214" s="191"/>
      <c r="U214" s="439"/>
      <c r="V214" s="441"/>
      <c r="W214" s="178"/>
      <c r="X214" s="172"/>
      <c r="Y214" s="172"/>
      <c r="Z214" s="172"/>
      <c r="AA214" s="195"/>
      <c r="AB214" s="172"/>
    </row>
    <row r="215" spans="1:28" ht="12.75" customHeight="1" x14ac:dyDescent="0.3">
      <c r="A215" s="667"/>
      <c r="B215" s="668" t="s">
        <v>4489</v>
      </c>
      <c r="C215" s="160" t="s">
        <v>4490</v>
      </c>
      <c r="D215" s="160"/>
      <c r="E215" s="439"/>
      <c r="F215" s="161">
        <v>1547.075929587</v>
      </c>
      <c r="G215" s="161"/>
      <c r="H215" s="654"/>
      <c r="I215" s="654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439"/>
      <c r="V215" s="441"/>
      <c r="W215" s="178"/>
      <c r="X215" s="172"/>
      <c r="Y215" s="172"/>
      <c r="Z215" s="172"/>
      <c r="AA215" s="195"/>
      <c r="AB215" s="172"/>
    </row>
    <row r="216" spans="1:28" ht="12.75" customHeight="1" x14ac:dyDescent="0.3">
      <c r="A216" s="667"/>
      <c r="B216" s="668" t="s">
        <v>4491</v>
      </c>
      <c r="C216" s="160" t="s">
        <v>4492</v>
      </c>
      <c r="D216" s="160"/>
      <c r="E216" s="439"/>
      <c r="F216" s="161">
        <v>1147.1014789789999</v>
      </c>
      <c r="G216" s="161"/>
      <c r="H216" s="654"/>
      <c r="I216" s="654"/>
      <c r="J216" s="191"/>
      <c r="K216" s="191">
        <v>378416443.73235798</v>
      </c>
      <c r="L216" s="191"/>
      <c r="M216" s="191"/>
      <c r="N216" s="191"/>
      <c r="O216" s="191"/>
      <c r="P216" s="191"/>
      <c r="Q216" s="191"/>
      <c r="R216" s="191"/>
      <c r="S216" s="191"/>
      <c r="T216" s="191"/>
      <c r="U216" s="439"/>
      <c r="V216" s="441"/>
      <c r="W216" s="178"/>
      <c r="X216" s="172"/>
      <c r="Y216" s="172"/>
      <c r="Z216" s="172"/>
      <c r="AA216" s="195"/>
      <c r="AB216" s="172"/>
    </row>
    <row r="217" spans="1:28" ht="12.75" customHeight="1" x14ac:dyDescent="0.3">
      <c r="A217" s="667"/>
      <c r="B217" s="668" t="s">
        <v>4493</v>
      </c>
      <c r="C217" s="160" t="s">
        <v>4494</v>
      </c>
      <c r="D217" s="160"/>
      <c r="E217" s="439">
        <v>8.94</v>
      </c>
      <c r="F217" s="161">
        <v>1347.088704283</v>
      </c>
      <c r="G217" s="161"/>
      <c r="H217" s="654"/>
      <c r="I217" s="654"/>
      <c r="J217" s="191"/>
      <c r="K217" s="191">
        <v>411699178.10949999</v>
      </c>
      <c r="L217" s="191"/>
      <c r="M217" s="191"/>
      <c r="N217" s="191"/>
      <c r="O217" s="191"/>
      <c r="P217" s="191"/>
      <c r="Q217" s="191"/>
      <c r="R217" s="191"/>
      <c r="S217" s="191"/>
      <c r="T217" s="191"/>
      <c r="U217" s="439"/>
      <c r="V217" s="441"/>
      <c r="W217" s="178"/>
      <c r="X217" s="172"/>
      <c r="Y217" s="172"/>
      <c r="Z217" s="172"/>
      <c r="AA217" s="195"/>
      <c r="AB217" s="172"/>
    </row>
    <row r="218" spans="1:28" ht="12.75" customHeight="1" x14ac:dyDescent="0.3">
      <c r="A218" s="667" t="s">
        <v>4414</v>
      </c>
      <c r="B218" s="668" t="s">
        <v>4495</v>
      </c>
      <c r="C218" s="160" t="s">
        <v>4496</v>
      </c>
      <c r="D218" s="160"/>
      <c r="E218" s="439"/>
      <c r="F218" s="161"/>
      <c r="G218" s="161"/>
      <c r="H218" s="654"/>
      <c r="I218" s="654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439"/>
      <c r="V218" s="441"/>
      <c r="W218" s="178"/>
      <c r="X218" s="172"/>
      <c r="Y218" s="172"/>
      <c r="Z218" s="172"/>
      <c r="AA218" s="195"/>
      <c r="AB218" s="172"/>
    </row>
    <row r="219" spans="1:28" ht="12.75" customHeight="1" x14ac:dyDescent="0.3">
      <c r="A219" s="667"/>
      <c r="B219" s="668" t="s">
        <v>4497</v>
      </c>
      <c r="C219" s="160" t="s">
        <v>4498</v>
      </c>
      <c r="D219" s="160"/>
      <c r="E219" s="439"/>
      <c r="F219" s="161">
        <v>541.22721866400002</v>
      </c>
      <c r="G219" s="161"/>
      <c r="H219" s="654"/>
      <c r="I219" s="654"/>
      <c r="J219" s="191"/>
      <c r="K219" s="191"/>
      <c r="L219" s="191"/>
      <c r="M219" s="191"/>
      <c r="N219" s="191"/>
      <c r="O219" s="191"/>
      <c r="P219" s="191"/>
      <c r="Q219" s="191"/>
      <c r="R219" s="191"/>
      <c r="S219" s="191"/>
      <c r="T219" s="191"/>
      <c r="U219" s="439"/>
      <c r="V219" s="441"/>
      <c r="W219" s="178"/>
      <c r="X219" s="172"/>
      <c r="Y219" s="172"/>
      <c r="Z219" s="172"/>
      <c r="AA219" s="195"/>
      <c r="AB219" s="172"/>
    </row>
    <row r="220" spans="1:28" ht="12.75" customHeight="1" x14ac:dyDescent="0.3">
      <c r="A220" s="667"/>
      <c r="B220" s="668" t="s">
        <v>4499</v>
      </c>
      <c r="C220" s="160" t="s">
        <v>4500</v>
      </c>
      <c r="D220" s="160"/>
      <c r="E220" s="439"/>
      <c r="F220" s="161">
        <v>558.19790665799997</v>
      </c>
      <c r="G220" s="161"/>
      <c r="H220" s="654"/>
      <c r="I220" s="654"/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439"/>
      <c r="V220" s="441"/>
      <c r="W220" s="178"/>
      <c r="X220" s="172"/>
      <c r="Y220" s="172"/>
      <c r="Z220" s="172"/>
      <c r="AA220" s="195"/>
      <c r="AB220" s="172"/>
    </row>
    <row r="221" spans="1:28" ht="12.75" customHeight="1" x14ac:dyDescent="0.3">
      <c r="A221" s="667" t="s">
        <v>4414</v>
      </c>
      <c r="B221" s="668" t="s">
        <v>4501</v>
      </c>
      <c r="C221" s="160" t="s">
        <v>4502</v>
      </c>
      <c r="D221" s="160"/>
      <c r="E221" s="439"/>
      <c r="F221" s="161"/>
      <c r="G221" s="161"/>
      <c r="H221" s="654"/>
      <c r="I221" s="654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439"/>
      <c r="V221" s="441"/>
      <c r="W221" s="178"/>
      <c r="X221" s="172"/>
      <c r="Y221" s="172"/>
      <c r="Z221" s="172"/>
      <c r="AA221" s="195"/>
      <c r="AB221" s="172"/>
    </row>
    <row r="222" spans="1:28" ht="12.75" customHeight="1" x14ac:dyDescent="0.3">
      <c r="A222" s="667"/>
      <c r="B222" s="668" t="s">
        <v>4503</v>
      </c>
      <c r="C222" s="160" t="s">
        <v>4504</v>
      </c>
      <c r="D222" s="160"/>
      <c r="E222" s="439"/>
      <c r="F222" s="161">
        <v>264.01367599999998</v>
      </c>
      <c r="G222" s="161">
        <v>-19.052</v>
      </c>
      <c r="H222" s="654">
        <v>145.17832546</v>
      </c>
      <c r="I222" s="654">
        <v>10.755389132888</v>
      </c>
      <c r="J222" s="191"/>
      <c r="K222" s="191">
        <v>109683.171592967</v>
      </c>
      <c r="L222" s="191"/>
      <c r="M222" s="191"/>
      <c r="N222" s="191"/>
      <c r="O222" s="191"/>
      <c r="P222" s="191"/>
      <c r="Q222" s="191"/>
      <c r="R222" s="191"/>
      <c r="S222" s="191"/>
      <c r="T222" s="191"/>
      <c r="U222" s="439"/>
      <c r="V222" s="441"/>
      <c r="W222" s="178"/>
      <c r="X222" s="172"/>
      <c r="Y222" s="172"/>
      <c r="Z222" s="172"/>
      <c r="AA222" s="195"/>
      <c r="AB222" s="172"/>
    </row>
    <row r="223" spans="1:28" ht="12.75" customHeight="1" x14ac:dyDescent="0.3">
      <c r="A223" s="667" t="s">
        <v>4414</v>
      </c>
      <c r="B223" s="668" t="s">
        <v>4505</v>
      </c>
      <c r="C223" s="160" t="s">
        <v>4506</v>
      </c>
      <c r="D223" s="160"/>
      <c r="E223" s="439"/>
      <c r="F223" s="161"/>
      <c r="G223" s="161"/>
      <c r="H223" s="654"/>
      <c r="I223" s="654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439"/>
      <c r="V223" s="441"/>
      <c r="W223" s="178"/>
      <c r="X223" s="172"/>
      <c r="Y223" s="172"/>
      <c r="Z223" s="172"/>
      <c r="AA223" s="195"/>
      <c r="AB223" s="172"/>
    </row>
    <row r="224" spans="1:28" ht="12.75" customHeight="1" x14ac:dyDescent="0.3">
      <c r="A224" s="667"/>
      <c r="B224" s="668" t="s">
        <v>4507</v>
      </c>
      <c r="C224" s="160" t="s">
        <v>4508</v>
      </c>
      <c r="D224" s="160"/>
      <c r="E224" s="439">
        <v>6.92</v>
      </c>
      <c r="F224" s="161">
        <v>438.01615504699998</v>
      </c>
      <c r="G224" s="161"/>
      <c r="H224" s="654"/>
      <c r="I224" s="654"/>
      <c r="J224" s="191"/>
      <c r="K224" s="191">
        <v>7592.7657264652498</v>
      </c>
      <c r="L224" s="191"/>
      <c r="M224" s="191"/>
      <c r="N224" s="191"/>
      <c r="O224" s="191"/>
      <c r="P224" s="191"/>
      <c r="Q224" s="191"/>
      <c r="R224" s="191"/>
      <c r="S224" s="191"/>
      <c r="T224" s="191"/>
      <c r="U224" s="439"/>
      <c r="V224" s="441"/>
      <c r="W224" s="178"/>
      <c r="X224" s="172"/>
      <c r="Y224" s="172"/>
      <c r="Z224" s="172"/>
      <c r="AA224" s="195"/>
      <c r="AB224" s="172"/>
    </row>
    <row r="225" spans="1:28" ht="12.75" customHeight="1" x14ac:dyDescent="0.3">
      <c r="A225" s="667"/>
      <c r="B225" s="668" t="s">
        <v>4509</v>
      </c>
      <c r="C225" s="160" t="s">
        <v>4510</v>
      </c>
      <c r="D225" s="160"/>
      <c r="E225" s="439"/>
      <c r="F225" s="161">
        <v>192.02097021599999</v>
      </c>
      <c r="G225" s="161">
        <v>-75.811000000000007</v>
      </c>
      <c r="H225" s="654">
        <v>4101.1180420000001</v>
      </c>
      <c r="I225" s="654">
        <v>126.575231021161</v>
      </c>
      <c r="J225" s="191"/>
      <c r="K225" s="191">
        <v>131.54368384739399</v>
      </c>
      <c r="L225" s="191"/>
      <c r="M225" s="191"/>
      <c r="N225" s="191"/>
      <c r="O225" s="191"/>
      <c r="P225" s="191"/>
      <c r="Q225" s="191"/>
      <c r="R225" s="191"/>
      <c r="S225" s="191"/>
      <c r="T225" s="191"/>
      <c r="U225" s="439"/>
      <c r="V225" s="441"/>
      <c r="W225" s="178"/>
      <c r="X225" s="172"/>
      <c r="Y225" s="172"/>
      <c r="Z225" s="172"/>
      <c r="AA225" s="195"/>
      <c r="AB225" s="172"/>
    </row>
    <row r="226" spans="1:28" ht="12.75" customHeight="1" x14ac:dyDescent="0.3">
      <c r="A226" s="667"/>
      <c r="B226" s="668" t="s">
        <v>4511</v>
      </c>
      <c r="C226" s="160" t="s">
        <v>4512</v>
      </c>
      <c r="D226" s="160"/>
      <c r="E226" s="439"/>
      <c r="F226" s="161">
        <v>1187.9329718040001</v>
      </c>
      <c r="G226" s="161"/>
      <c r="H226" s="654"/>
      <c r="I226" s="654"/>
      <c r="J226" s="191"/>
      <c r="K226" s="191">
        <v>421085.221895002</v>
      </c>
      <c r="L226" s="191"/>
      <c r="M226" s="191"/>
      <c r="N226" s="191"/>
      <c r="O226" s="191"/>
      <c r="P226" s="191"/>
      <c r="Q226" s="191"/>
      <c r="R226" s="191"/>
      <c r="S226" s="191"/>
      <c r="T226" s="191"/>
      <c r="U226" s="439"/>
      <c r="V226" s="441"/>
      <c r="W226" s="178"/>
      <c r="X226" s="172"/>
      <c r="Y226" s="172"/>
      <c r="Z226" s="172"/>
      <c r="AA226" s="195"/>
      <c r="AB226" s="172"/>
    </row>
    <row r="227" spans="1:28" ht="12.75" customHeight="1" x14ac:dyDescent="0.3">
      <c r="A227" s="667"/>
      <c r="B227" s="668" t="s">
        <v>4513</v>
      </c>
      <c r="C227" s="160" t="s">
        <v>4514</v>
      </c>
      <c r="D227" s="160"/>
      <c r="E227" s="439"/>
      <c r="F227" s="161">
        <v>234.0315349</v>
      </c>
      <c r="G227" s="161"/>
      <c r="H227" s="654"/>
      <c r="I227" s="654"/>
      <c r="J227" s="191"/>
      <c r="K227" s="191">
        <v>181.267522914426</v>
      </c>
      <c r="L227" s="191"/>
      <c r="M227" s="191"/>
      <c r="N227" s="191"/>
      <c r="O227" s="191"/>
      <c r="P227" s="191"/>
      <c r="Q227" s="191"/>
      <c r="R227" s="191"/>
      <c r="S227" s="191"/>
      <c r="T227" s="191"/>
      <c r="U227" s="439"/>
      <c r="V227" s="441"/>
      <c r="W227" s="178"/>
      <c r="X227" s="172"/>
      <c r="Y227" s="172"/>
      <c r="Z227" s="172"/>
      <c r="AA227" s="195"/>
      <c r="AB227" s="172"/>
    </row>
    <row r="228" spans="1:28" ht="12.75" customHeight="1" x14ac:dyDescent="0.3">
      <c r="A228" s="667"/>
      <c r="B228" s="668" t="s">
        <v>4515</v>
      </c>
      <c r="C228" s="160" t="s">
        <v>4516</v>
      </c>
      <c r="D228" s="160"/>
      <c r="E228" s="439"/>
      <c r="F228" s="161">
        <v>190.061692214</v>
      </c>
      <c r="G228" s="161">
        <v>-52.960999999999999</v>
      </c>
      <c r="H228" s="654">
        <v>3125.3743205999999</v>
      </c>
      <c r="I228" s="654">
        <v>767.17451753720002</v>
      </c>
      <c r="J228" s="191"/>
      <c r="K228" s="191">
        <v>49.188094643838603</v>
      </c>
      <c r="L228" s="191"/>
      <c r="M228" s="191"/>
      <c r="N228" s="191"/>
      <c r="O228" s="191"/>
      <c r="P228" s="191"/>
      <c r="Q228" s="191"/>
      <c r="R228" s="191"/>
      <c r="S228" s="191"/>
      <c r="T228" s="191"/>
      <c r="U228" s="439"/>
      <c r="V228" s="441"/>
      <c r="W228" s="178"/>
      <c r="X228" s="172"/>
      <c r="Y228" s="172"/>
      <c r="Z228" s="172"/>
      <c r="AA228" s="195"/>
      <c r="AB228" s="172"/>
    </row>
    <row r="229" spans="1:28" ht="12.75" customHeight="1" x14ac:dyDescent="0.3">
      <c r="A229" s="667"/>
      <c r="B229" s="668" t="s">
        <v>4517</v>
      </c>
      <c r="C229" s="160" t="s">
        <v>4518</v>
      </c>
      <c r="D229" s="160"/>
      <c r="E229" s="439">
        <v>7.69</v>
      </c>
      <c r="F229" s="161">
        <v>179.01248949999999</v>
      </c>
      <c r="G229" s="161"/>
      <c r="H229" s="654"/>
      <c r="I229" s="654"/>
      <c r="J229" s="191"/>
      <c r="K229" s="191">
        <v>0.91025987689253696</v>
      </c>
      <c r="L229" s="191"/>
      <c r="M229" s="191"/>
      <c r="N229" s="191"/>
      <c r="O229" s="191"/>
      <c r="P229" s="191"/>
      <c r="Q229" s="191"/>
      <c r="R229" s="191"/>
      <c r="S229" s="191"/>
      <c r="T229" s="191"/>
      <c r="U229" s="439"/>
      <c r="V229" s="441"/>
      <c r="W229" s="178"/>
      <c r="X229" s="172"/>
      <c r="Y229" s="172"/>
      <c r="Z229" s="172"/>
      <c r="AA229" s="195"/>
      <c r="AB229" s="172"/>
    </row>
    <row r="230" spans="1:28" ht="12.75" customHeight="1" x14ac:dyDescent="0.3">
      <c r="A230" s="667"/>
      <c r="B230" s="668" t="s">
        <v>4519</v>
      </c>
      <c r="C230" s="160" t="s">
        <v>4520</v>
      </c>
      <c r="D230" s="160"/>
      <c r="E230" s="439"/>
      <c r="F230" s="161">
        <v>3207.8136330000002</v>
      </c>
      <c r="G230" s="161"/>
      <c r="H230" s="654"/>
      <c r="I230" s="654"/>
      <c r="J230" s="191"/>
      <c r="K230" s="191">
        <v>7.1156732963375298</v>
      </c>
      <c r="L230" s="191"/>
      <c r="M230" s="191"/>
      <c r="N230" s="191"/>
      <c r="O230" s="191"/>
      <c r="P230" s="191"/>
      <c r="Q230" s="191"/>
      <c r="R230" s="191"/>
      <c r="S230" s="191"/>
      <c r="T230" s="191"/>
      <c r="U230" s="439"/>
      <c r="V230" s="441"/>
      <c r="W230" s="178"/>
      <c r="X230" s="172"/>
      <c r="Y230" s="172"/>
      <c r="Z230" s="172"/>
      <c r="AA230" s="195"/>
      <c r="AB230" s="172"/>
    </row>
    <row r="231" spans="1:28" ht="12.75" customHeight="1" x14ac:dyDescent="0.3">
      <c r="A231" s="667"/>
      <c r="B231" s="668" t="s">
        <v>4521</v>
      </c>
      <c r="C231" s="160" t="s">
        <v>4522</v>
      </c>
      <c r="D231" s="160"/>
      <c r="E231" s="439">
        <v>93.302000000000007</v>
      </c>
      <c r="F231" s="161">
        <v>3376.0014339999998</v>
      </c>
      <c r="G231" s="161"/>
      <c r="H231" s="654"/>
      <c r="I231" s="654"/>
      <c r="J231" s="191"/>
      <c r="K231" s="191">
        <v>7.1717971945247498</v>
      </c>
      <c r="L231" s="191"/>
      <c r="M231" s="191"/>
      <c r="N231" s="191"/>
      <c r="O231" s="191"/>
      <c r="P231" s="191"/>
      <c r="Q231" s="191"/>
      <c r="R231" s="191"/>
      <c r="S231" s="191"/>
      <c r="T231" s="191"/>
      <c r="U231" s="439"/>
      <c r="V231" s="441"/>
      <c r="W231" s="178"/>
      <c r="X231" s="172"/>
      <c r="Y231" s="172"/>
      <c r="Z231" s="172"/>
      <c r="AA231" s="195"/>
      <c r="AB231" s="172"/>
    </row>
    <row r="232" spans="1:28" ht="12.75" customHeight="1" x14ac:dyDescent="0.3">
      <c r="A232" s="667"/>
      <c r="B232" s="668" t="s">
        <v>4523</v>
      </c>
      <c r="C232" s="160" t="s">
        <v>4199</v>
      </c>
      <c r="D232" s="160"/>
      <c r="E232" s="439">
        <v>1.96</v>
      </c>
      <c r="F232" s="161">
        <v>631.89647060000004</v>
      </c>
      <c r="G232" s="161"/>
      <c r="H232" s="654"/>
      <c r="I232" s="654"/>
      <c r="J232" s="191"/>
      <c r="K232" s="191">
        <v>2566492.50313089</v>
      </c>
      <c r="L232" s="191"/>
      <c r="M232" s="191"/>
      <c r="N232" s="191"/>
      <c r="O232" s="191"/>
      <c r="P232" s="191"/>
      <c r="Q232" s="191"/>
      <c r="R232" s="191"/>
      <c r="S232" s="191"/>
      <c r="T232" s="191"/>
      <c r="U232" s="439"/>
      <c r="V232" s="441"/>
      <c r="W232" s="178"/>
      <c r="X232" s="172"/>
      <c r="Y232" s="172"/>
      <c r="Z232" s="172"/>
      <c r="AA232" s="195"/>
      <c r="AB232" s="172"/>
    </row>
    <row r="233" spans="1:28" ht="12.75" customHeight="1" x14ac:dyDescent="0.3">
      <c r="A233" s="667"/>
      <c r="B233" s="668" t="s">
        <v>4524</v>
      </c>
      <c r="C233" s="160" t="s">
        <v>4525</v>
      </c>
      <c r="D233" s="160"/>
      <c r="E233" s="439">
        <v>6.07</v>
      </c>
      <c r="F233" s="161">
        <v>145.05146188099999</v>
      </c>
      <c r="G233" s="161">
        <v>-57.896000000000001</v>
      </c>
      <c r="H233" s="654">
        <v>3096.7234228000002</v>
      </c>
      <c r="I233" s="654">
        <v>8620.2923384183196</v>
      </c>
      <c r="J233" s="191"/>
      <c r="K233" s="191">
        <v>30.2642558661612</v>
      </c>
      <c r="L233" s="191"/>
      <c r="M233" s="191"/>
      <c r="N233" s="191"/>
      <c r="O233" s="191"/>
      <c r="P233" s="191"/>
      <c r="Q233" s="191"/>
      <c r="R233" s="191"/>
      <c r="S233" s="191"/>
      <c r="T233" s="191"/>
      <c r="U233" s="439"/>
      <c r="V233" s="441"/>
      <c r="W233" s="178"/>
      <c r="X233" s="172"/>
      <c r="Y233" s="172"/>
      <c r="Z233" s="172"/>
      <c r="AA233" s="195"/>
      <c r="AB233" s="172"/>
    </row>
    <row r="234" spans="1:28" ht="12.75" customHeight="1" x14ac:dyDescent="0.3">
      <c r="A234" s="667"/>
      <c r="B234" s="668" t="s">
        <v>4526</v>
      </c>
      <c r="C234" s="160" t="s">
        <v>4527</v>
      </c>
      <c r="D234" s="160"/>
      <c r="E234" s="439">
        <v>4.93</v>
      </c>
      <c r="F234" s="161">
        <v>526.98477838199994</v>
      </c>
      <c r="G234" s="161"/>
      <c r="H234" s="654"/>
      <c r="I234" s="654"/>
      <c r="J234" s="191"/>
      <c r="K234" s="191"/>
      <c r="L234" s="191"/>
      <c r="M234" s="191"/>
      <c r="N234" s="191"/>
      <c r="O234" s="191"/>
      <c r="P234" s="191"/>
      <c r="Q234" s="191"/>
      <c r="R234" s="191"/>
      <c r="S234" s="191"/>
      <c r="T234" s="191"/>
      <c r="U234" s="439"/>
      <c r="V234" s="441"/>
      <c r="W234" s="178"/>
      <c r="X234" s="172"/>
      <c r="Y234" s="172"/>
      <c r="Z234" s="172"/>
      <c r="AA234" s="195"/>
      <c r="AB234" s="172"/>
    </row>
    <row r="235" spans="1:28" ht="12.75" customHeight="1" x14ac:dyDescent="0.3">
      <c r="A235" s="667"/>
      <c r="B235" s="668" t="s">
        <v>4528</v>
      </c>
      <c r="C235" s="160" t="s">
        <v>4529</v>
      </c>
      <c r="D235" s="160"/>
      <c r="E235" s="439"/>
      <c r="F235" s="161">
        <v>927.95741504199998</v>
      </c>
      <c r="G235" s="161">
        <v>-51.926000000000002</v>
      </c>
      <c r="H235" s="654"/>
      <c r="I235" s="654"/>
      <c r="J235" s="191"/>
      <c r="K235" s="191">
        <v>278708.36269913899</v>
      </c>
      <c r="L235" s="191"/>
      <c r="M235" s="191"/>
      <c r="N235" s="191"/>
      <c r="O235" s="191"/>
      <c r="P235" s="191"/>
      <c r="Q235" s="191"/>
      <c r="R235" s="191"/>
      <c r="S235" s="191"/>
      <c r="T235" s="191"/>
      <c r="U235" s="439"/>
      <c r="V235" s="441"/>
      <c r="W235" s="178"/>
      <c r="X235" s="172"/>
      <c r="Y235" s="172"/>
      <c r="Z235" s="172"/>
      <c r="AA235" s="195"/>
      <c r="AB235" s="172"/>
    </row>
    <row r="236" spans="1:28" ht="12.75" customHeight="1" x14ac:dyDescent="0.3">
      <c r="A236" s="667"/>
      <c r="B236" s="668" t="s">
        <v>4530</v>
      </c>
      <c r="C236" s="160" t="s">
        <v>4531</v>
      </c>
      <c r="D236" s="160"/>
      <c r="E236" s="439"/>
      <c r="F236" s="161">
        <v>193.9757697</v>
      </c>
      <c r="G236" s="161">
        <v>-71.837000000000003</v>
      </c>
      <c r="H236" s="654">
        <v>18616.684114</v>
      </c>
      <c r="I236" s="654">
        <v>344.94323174211598</v>
      </c>
      <c r="J236" s="191"/>
      <c r="K236" s="191">
        <v>54.666340233377902</v>
      </c>
      <c r="L236" s="191"/>
      <c r="M236" s="191"/>
      <c r="N236" s="191"/>
      <c r="O236" s="191"/>
      <c r="P236" s="191"/>
      <c r="Q236" s="191"/>
      <c r="R236" s="191"/>
      <c r="S236" s="191"/>
      <c r="T236" s="191"/>
      <c r="U236" s="439"/>
      <c r="V236" s="441"/>
      <c r="W236" s="178"/>
      <c r="X236" s="172"/>
      <c r="Y236" s="172"/>
      <c r="Z236" s="172"/>
      <c r="AA236" s="195"/>
      <c r="AB236" s="172"/>
    </row>
    <row r="237" spans="1:28" ht="12.75" customHeight="1" x14ac:dyDescent="0.3">
      <c r="A237" s="667"/>
      <c r="B237" s="668" t="s">
        <v>4532</v>
      </c>
      <c r="C237" s="160" t="s">
        <v>4533</v>
      </c>
      <c r="D237" s="160"/>
      <c r="E237" s="439"/>
      <c r="F237" s="161">
        <v>178.005320152</v>
      </c>
      <c r="G237" s="161">
        <v>-81.510000000000005</v>
      </c>
      <c r="H237" s="654">
        <v>22956.315213999998</v>
      </c>
      <c r="I237" s="654">
        <v>166.507244502101</v>
      </c>
      <c r="J237" s="191"/>
      <c r="K237" s="191">
        <v>65.092357349494606</v>
      </c>
      <c r="L237" s="191"/>
      <c r="M237" s="191"/>
      <c r="N237" s="191"/>
      <c r="O237" s="191"/>
      <c r="P237" s="191"/>
      <c r="Q237" s="191"/>
      <c r="R237" s="191"/>
      <c r="S237" s="191"/>
      <c r="T237" s="191"/>
      <c r="U237" s="439"/>
      <c r="V237" s="441"/>
      <c r="W237" s="178"/>
      <c r="X237" s="172"/>
      <c r="Y237" s="172"/>
      <c r="Z237" s="172"/>
      <c r="AA237" s="195"/>
      <c r="AB237" s="172"/>
    </row>
    <row r="238" spans="1:28" ht="12.75" customHeight="1" x14ac:dyDescent="0.3">
      <c r="A238" s="667"/>
      <c r="B238" s="668" t="s">
        <v>4534</v>
      </c>
      <c r="C238" s="160" t="s">
        <v>4535</v>
      </c>
      <c r="D238" s="160"/>
      <c r="E238" s="439"/>
      <c r="F238" s="161">
        <v>1007.931988142</v>
      </c>
      <c r="G238" s="161"/>
      <c r="H238" s="654"/>
      <c r="I238" s="654"/>
      <c r="J238" s="191"/>
      <c r="K238" s="191">
        <v>281021.79275595897</v>
      </c>
      <c r="L238" s="191"/>
      <c r="M238" s="191"/>
      <c r="N238" s="191"/>
      <c r="O238" s="191"/>
      <c r="P238" s="191"/>
      <c r="Q238" s="191"/>
      <c r="R238" s="191"/>
      <c r="S238" s="191"/>
      <c r="T238" s="191"/>
      <c r="U238" s="439"/>
      <c r="V238" s="441"/>
      <c r="W238" s="178"/>
      <c r="X238" s="172"/>
      <c r="Y238" s="172"/>
      <c r="Z238" s="172"/>
      <c r="AA238" s="195"/>
      <c r="AB238" s="172"/>
    </row>
    <row r="239" spans="1:28" ht="12.75" customHeight="1" x14ac:dyDescent="0.3">
      <c r="A239" s="667"/>
      <c r="B239" s="668" t="s">
        <v>4536</v>
      </c>
      <c r="C239" s="160" t="s">
        <v>4537</v>
      </c>
      <c r="D239" s="160"/>
      <c r="E239" s="439"/>
      <c r="F239" s="161">
        <v>981.97401210800001</v>
      </c>
      <c r="G239" s="161"/>
      <c r="H239" s="654"/>
      <c r="I239" s="654"/>
      <c r="J239" s="191"/>
      <c r="K239" s="191">
        <v>14874761.122049499</v>
      </c>
      <c r="L239" s="191"/>
      <c r="M239" s="191"/>
      <c r="N239" s="191"/>
      <c r="O239" s="191"/>
      <c r="P239" s="191"/>
      <c r="Q239" s="191"/>
      <c r="R239" s="191"/>
      <c r="S239" s="191"/>
      <c r="T239" s="191"/>
      <c r="U239" s="439"/>
      <c r="V239" s="441"/>
      <c r="W239" s="178"/>
      <c r="X239" s="172"/>
      <c r="Y239" s="172"/>
      <c r="Z239" s="172"/>
      <c r="AA239" s="195"/>
      <c r="AB239" s="172"/>
    </row>
    <row r="240" spans="1:28" ht="12.75" customHeight="1" x14ac:dyDescent="0.3">
      <c r="A240" s="667"/>
      <c r="B240" s="668" t="s">
        <v>4538</v>
      </c>
      <c r="C240" s="160" t="s">
        <v>4539</v>
      </c>
      <c r="D240" s="160"/>
      <c r="E240" s="439"/>
      <c r="F240" s="161">
        <v>328.00114730000001</v>
      </c>
      <c r="G240" s="161">
        <v>-12.599</v>
      </c>
      <c r="H240" s="654">
        <v>7.0453344290000004</v>
      </c>
      <c r="I240" s="654">
        <v>1.5027110162631601</v>
      </c>
      <c r="J240" s="191"/>
      <c r="K240" s="191">
        <v>146926.45493623</v>
      </c>
      <c r="L240" s="191"/>
      <c r="M240" s="191"/>
      <c r="N240" s="191"/>
      <c r="O240" s="191"/>
      <c r="P240" s="191"/>
      <c r="Q240" s="191"/>
      <c r="R240" s="191"/>
      <c r="S240" s="191"/>
      <c r="T240" s="191"/>
      <c r="U240" s="439"/>
      <c r="V240" s="441"/>
      <c r="W240" s="178"/>
      <c r="X240" s="172"/>
      <c r="Y240" s="172"/>
      <c r="Z240" s="172"/>
      <c r="AA240" s="195"/>
      <c r="AB240" s="172"/>
    </row>
    <row r="241" spans="1:28" ht="12.75" customHeight="1" x14ac:dyDescent="0.3">
      <c r="A241" s="667"/>
      <c r="B241" s="668" t="s">
        <v>4540</v>
      </c>
      <c r="C241" s="160" t="s">
        <v>4541</v>
      </c>
      <c r="D241" s="160"/>
      <c r="E241" s="439"/>
      <c r="F241" s="161">
        <v>239.97766139999999</v>
      </c>
      <c r="G241" s="161">
        <v>-63.667999999999999</v>
      </c>
      <c r="H241" s="654">
        <v>447.61261636</v>
      </c>
      <c r="I241" s="654">
        <v>33.587033511882503</v>
      </c>
      <c r="J241" s="191"/>
      <c r="K241" s="191">
        <v>20054.415098954501</v>
      </c>
      <c r="L241" s="191"/>
      <c r="M241" s="191"/>
      <c r="N241" s="191"/>
      <c r="O241" s="191"/>
      <c r="P241" s="191"/>
      <c r="Q241" s="191"/>
      <c r="R241" s="191"/>
      <c r="S241" s="191"/>
      <c r="T241" s="191"/>
      <c r="U241" s="439"/>
      <c r="V241" s="441"/>
      <c r="W241" s="178"/>
      <c r="X241" s="172"/>
      <c r="Y241" s="172"/>
      <c r="Z241" s="172"/>
      <c r="AA241" s="195"/>
      <c r="AB241" s="172"/>
    </row>
    <row r="242" spans="1:28" ht="12.75" customHeight="1" x14ac:dyDescent="0.3">
      <c r="A242" s="667"/>
      <c r="B242" s="668" t="s">
        <v>4542</v>
      </c>
      <c r="C242" s="160" t="s">
        <v>4543</v>
      </c>
      <c r="D242" s="160"/>
      <c r="E242" s="439"/>
      <c r="F242" s="161">
        <v>313.96591859799997</v>
      </c>
      <c r="G242" s="161">
        <v>-60.564</v>
      </c>
      <c r="H242" s="654">
        <v>151.32180321999999</v>
      </c>
      <c r="I242" s="654">
        <v>101.597487462801</v>
      </c>
      <c r="J242" s="191"/>
      <c r="K242" s="191">
        <v>781.84380617241095</v>
      </c>
      <c r="L242" s="191"/>
      <c r="M242" s="191"/>
      <c r="N242" s="191"/>
      <c r="O242" s="191"/>
      <c r="P242" s="191"/>
      <c r="Q242" s="191"/>
      <c r="R242" s="191"/>
      <c r="S242" s="191"/>
      <c r="T242" s="191"/>
      <c r="U242" s="439"/>
      <c r="V242" s="441"/>
      <c r="W242" s="178"/>
      <c r="X242" s="172"/>
      <c r="Y242" s="172"/>
      <c r="Z242" s="172"/>
      <c r="AA242" s="195"/>
      <c r="AB242" s="172"/>
    </row>
    <row r="243" spans="1:28" ht="12.75" customHeight="1" x14ac:dyDescent="0.3">
      <c r="A243" s="667"/>
      <c r="B243" s="668" t="s">
        <v>4544</v>
      </c>
      <c r="C243" s="160" t="s">
        <v>4545</v>
      </c>
      <c r="D243" s="160"/>
      <c r="E243" s="439"/>
      <c r="F243" s="161">
        <v>340.15030472500001</v>
      </c>
      <c r="G243" s="161"/>
      <c r="H243" s="654"/>
      <c r="I243" s="654"/>
      <c r="J243" s="191"/>
      <c r="K243" s="191">
        <v>5.1084953217537503</v>
      </c>
      <c r="L243" s="191"/>
      <c r="M243" s="191"/>
      <c r="N243" s="191"/>
      <c r="O243" s="191"/>
      <c r="P243" s="191"/>
      <c r="Q243" s="191"/>
      <c r="R243" s="191"/>
      <c r="S243" s="191"/>
      <c r="T243" s="191"/>
      <c r="U243" s="439"/>
      <c r="V243" s="441"/>
      <c r="W243" s="178"/>
      <c r="X243" s="172"/>
      <c r="Y243" s="172"/>
      <c r="Z243" s="172"/>
      <c r="AA243" s="195"/>
      <c r="AB243" s="172"/>
    </row>
    <row r="244" spans="1:28" ht="12.75" customHeight="1" x14ac:dyDescent="0.3">
      <c r="A244" s="667"/>
      <c r="B244" s="668" t="s">
        <v>4546</v>
      </c>
      <c r="C244" s="160" t="s">
        <v>4547</v>
      </c>
      <c r="D244" s="160"/>
      <c r="E244" s="439"/>
      <c r="F244" s="161">
        <v>165.98533359800001</v>
      </c>
      <c r="G244" s="161">
        <v>-92.305999999999997</v>
      </c>
      <c r="H244" s="654">
        <v>217221.53459999899</v>
      </c>
      <c r="I244" s="654"/>
      <c r="J244" s="191"/>
      <c r="K244" s="191">
        <v>45.803640779082599</v>
      </c>
      <c r="L244" s="191"/>
      <c r="M244" s="191"/>
      <c r="N244" s="191"/>
      <c r="O244" s="191"/>
      <c r="P244" s="191"/>
      <c r="Q244" s="191"/>
      <c r="R244" s="191"/>
      <c r="S244" s="191"/>
      <c r="T244" s="191"/>
      <c r="U244" s="439"/>
      <c r="V244" s="441"/>
      <c r="W244" s="178"/>
      <c r="X244" s="172"/>
      <c r="Y244" s="172"/>
      <c r="Z244" s="172"/>
      <c r="AA244" s="195"/>
      <c r="AB244" s="172"/>
    </row>
    <row r="245" spans="1:28" ht="12.75" customHeight="1" x14ac:dyDescent="0.3">
      <c r="A245" s="667"/>
      <c r="B245" s="668" t="s">
        <v>4548</v>
      </c>
      <c r="C245" s="160" t="s">
        <v>4549</v>
      </c>
      <c r="D245" s="160"/>
      <c r="E245" s="439"/>
      <c r="F245" s="161">
        <v>995.91200158799995</v>
      </c>
      <c r="G245" s="161"/>
      <c r="H245" s="654"/>
      <c r="I245" s="654"/>
      <c r="J245" s="191"/>
      <c r="K245" s="191">
        <v>281753.94138702302</v>
      </c>
      <c r="L245" s="191"/>
      <c r="M245" s="191"/>
      <c r="N245" s="191"/>
      <c r="O245" s="191"/>
      <c r="P245" s="191"/>
      <c r="Q245" s="191"/>
      <c r="R245" s="191"/>
      <c r="S245" s="191"/>
      <c r="T245" s="191"/>
      <c r="U245" s="439"/>
      <c r="V245" s="441"/>
      <c r="W245" s="178"/>
      <c r="X245" s="172"/>
      <c r="Y245" s="172"/>
      <c r="Z245" s="172"/>
      <c r="AA245" s="195"/>
      <c r="AB245" s="172"/>
    </row>
    <row r="246" spans="1:28" ht="12.75" customHeight="1" x14ac:dyDescent="0.3">
      <c r="A246" s="667"/>
      <c r="B246" s="668" t="s">
        <v>4550</v>
      </c>
      <c r="C246" s="160" t="s">
        <v>4551</v>
      </c>
      <c r="D246" s="160"/>
      <c r="E246" s="439"/>
      <c r="F246" s="161">
        <v>1161.897335186</v>
      </c>
      <c r="G246" s="161"/>
      <c r="H246" s="654"/>
      <c r="I246" s="654"/>
      <c r="J246" s="191"/>
      <c r="K246" s="191">
        <v>420978.58109976503</v>
      </c>
      <c r="L246" s="191"/>
      <c r="M246" s="191"/>
      <c r="N246" s="191"/>
      <c r="O246" s="191"/>
      <c r="P246" s="191"/>
      <c r="Q246" s="191"/>
      <c r="R246" s="191"/>
      <c r="S246" s="191"/>
      <c r="T246" s="191"/>
      <c r="U246" s="439"/>
      <c r="V246" s="441"/>
      <c r="W246" s="178"/>
      <c r="X246" s="172"/>
      <c r="Y246" s="172"/>
      <c r="Z246" s="172"/>
      <c r="AA246" s="195"/>
      <c r="AB246" s="172"/>
    </row>
    <row r="247" spans="1:28" ht="12.75" customHeight="1" x14ac:dyDescent="0.3">
      <c r="A247" s="667"/>
      <c r="B247" s="668" t="s">
        <v>4552</v>
      </c>
      <c r="C247" s="160" t="s">
        <v>4553</v>
      </c>
      <c r="D247" s="160"/>
      <c r="E247" s="439"/>
      <c r="F247" s="161">
        <v>1327.8826687840001</v>
      </c>
      <c r="G247" s="161"/>
      <c r="H247" s="654"/>
      <c r="I247" s="654"/>
      <c r="J247" s="191"/>
      <c r="K247" s="191">
        <v>9804151.1923690494</v>
      </c>
      <c r="L247" s="191"/>
      <c r="M247" s="191"/>
      <c r="N247" s="191"/>
      <c r="O247" s="191"/>
      <c r="P247" s="191"/>
      <c r="Q247" s="191"/>
      <c r="R247" s="191"/>
      <c r="S247" s="191"/>
      <c r="T247" s="191"/>
      <c r="U247" s="439"/>
      <c r="V247" s="441"/>
      <c r="W247" s="178"/>
      <c r="X247" s="172"/>
      <c r="Y247" s="172"/>
      <c r="Z247" s="172"/>
      <c r="AA247" s="195"/>
      <c r="AB247" s="172"/>
    </row>
    <row r="248" spans="1:28" ht="12.75" customHeight="1" x14ac:dyDescent="0.3">
      <c r="A248" s="667"/>
      <c r="B248" s="668" t="s">
        <v>4554</v>
      </c>
      <c r="C248" s="160" t="s">
        <v>4555</v>
      </c>
      <c r="D248" s="160"/>
      <c r="E248" s="439"/>
      <c r="F248" s="161">
        <v>1493.868002382</v>
      </c>
      <c r="G248" s="161"/>
      <c r="H248" s="654"/>
      <c r="I248" s="654"/>
      <c r="J248" s="191"/>
      <c r="K248" s="191">
        <v>10435421.6089822</v>
      </c>
      <c r="L248" s="191"/>
      <c r="M248" s="191"/>
      <c r="N248" s="191"/>
      <c r="O248" s="191"/>
      <c r="P248" s="191"/>
      <c r="Q248" s="191"/>
      <c r="R248" s="191"/>
      <c r="S248" s="191"/>
      <c r="T248" s="191"/>
      <c r="U248" s="439"/>
      <c r="V248" s="441"/>
      <c r="W248" s="178"/>
      <c r="X248" s="172"/>
      <c r="Y248" s="172"/>
      <c r="Z248" s="172"/>
      <c r="AA248" s="195"/>
      <c r="AB248" s="172"/>
    </row>
    <row r="249" spans="1:28" ht="12.75" customHeight="1" x14ac:dyDescent="0.3">
      <c r="A249" s="667"/>
      <c r="B249" s="668" t="s">
        <v>4556</v>
      </c>
      <c r="C249" s="160" t="s">
        <v>4557</v>
      </c>
      <c r="D249" s="160"/>
      <c r="E249" s="439"/>
      <c r="F249" s="161">
        <v>1659.8533359800001</v>
      </c>
      <c r="G249" s="161"/>
      <c r="H249" s="654"/>
      <c r="I249" s="654"/>
      <c r="J249" s="191"/>
      <c r="K249" s="191"/>
      <c r="L249" s="191"/>
      <c r="M249" s="191"/>
      <c r="N249" s="191"/>
      <c r="O249" s="191"/>
      <c r="P249" s="191"/>
      <c r="Q249" s="191"/>
      <c r="R249" s="191"/>
      <c r="S249" s="191"/>
      <c r="T249" s="191"/>
      <c r="U249" s="439"/>
      <c r="V249" s="441"/>
      <c r="W249" s="178"/>
      <c r="X249" s="172"/>
      <c r="Y249" s="172"/>
      <c r="Z249" s="172"/>
      <c r="AA249" s="195"/>
      <c r="AB249" s="172"/>
    </row>
    <row r="250" spans="1:28" ht="12.75" customHeight="1" x14ac:dyDescent="0.3">
      <c r="A250" s="667"/>
      <c r="B250" s="668" t="s">
        <v>4558</v>
      </c>
      <c r="C250" s="160" t="s">
        <v>4559</v>
      </c>
      <c r="D250" s="160"/>
      <c r="E250" s="439"/>
      <c r="F250" s="161">
        <v>267.75341700000001</v>
      </c>
      <c r="G250" s="161">
        <v>-10.286</v>
      </c>
      <c r="H250" s="654">
        <v>2147.3507930000001</v>
      </c>
      <c r="I250" s="654">
        <v>854.54574049218002</v>
      </c>
      <c r="J250" s="191"/>
      <c r="K250" s="191">
        <v>342.86250987183797</v>
      </c>
      <c r="L250" s="191"/>
      <c r="M250" s="191"/>
      <c r="N250" s="191"/>
      <c r="O250" s="191"/>
      <c r="P250" s="191"/>
      <c r="Q250" s="191"/>
      <c r="R250" s="191"/>
      <c r="S250" s="191"/>
      <c r="T250" s="191"/>
      <c r="U250" s="439"/>
      <c r="V250" s="441"/>
      <c r="W250" s="178"/>
      <c r="X250" s="172"/>
      <c r="Y250" s="172"/>
      <c r="Z250" s="172"/>
      <c r="AA250" s="195"/>
      <c r="AB250" s="172"/>
    </row>
    <row r="251" spans="1:28" ht="12.75" customHeight="1" x14ac:dyDescent="0.3">
      <c r="A251" s="667"/>
      <c r="B251" s="668" t="s">
        <v>4560</v>
      </c>
      <c r="C251" s="160" t="s">
        <v>4561</v>
      </c>
      <c r="D251" s="160"/>
      <c r="E251" s="439"/>
      <c r="F251" s="161">
        <v>1145.8389999999999</v>
      </c>
      <c r="G251" s="161">
        <v>31.925000000000001</v>
      </c>
      <c r="H251" s="654"/>
      <c r="I251" s="654"/>
      <c r="J251" s="191"/>
      <c r="K251" s="191">
        <v>27415741.719278801</v>
      </c>
      <c r="L251" s="191"/>
      <c r="M251" s="191"/>
      <c r="N251" s="191"/>
      <c r="O251" s="191"/>
      <c r="P251" s="191"/>
      <c r="Q251" s="191"/>
      <c r="R251" s="191"/>
      <c r="S251" s="191"/>
      <c r="T251" s="191"/>
      <c r="U251" s="439"/>
      <c r="V251" s="441"/>
      <c r="W251" s="178"/>
      <c r="X251" s="172"/>
      <c r="Y251" s="172"/>
      <c r="Z251" s="172"/>
      <c r="AA251" s="195"/>
      <c r="AB251" s="172"/>
    </row>
    <row r="252" spans="1:28" ht="12.75" customHeight="1" x14ac:dyDescent="0.3">
      <c r="A252" s="667"/>
      <c r="B252" s="668" t="s">
        <v>4562</v>
      </c>
      <c r="C252" s="160" t="s">
        <v>4563</v>
      </c>
      <c r="D252" s="160"/>
      <c r="E252" s="439"/>
      <c r="F252" s="161">
        <v>1045.84539</v>
      </c>
      <c r="G252" s="161">
        <v>17.945</v>
      </c>
      <c r="H252" s="654"/>
      <c r="I252" s="654"/>
      <c r="J252" s="191"/>
      <c r="K252" s="191">
        <v>4674013.9042850304</v>
      </c>
      <c r="L252" s="191"/>
      <c r="M252" s="191"/>
      <c r="N252" s="191"/>
      <c r="O252" s="191"/>
      <c r="P252" s="191"/>
      <c r="Q252" s="191"/>
      <c r="R252" s="191"/>
      <c r="S252" s="191"/>
      <c r="T252" s="191"/>
      <c r="U252" s="439"/>
      <c r="V252" s="441"/>
      <c r="W252" s="178"/>
      <c r="X252" s="172"/>
      <c r="Y252" s="172"/>
      <c r="Z252" s="172"/>
      <c r="AA252" s="195"/>
      <c r="AB252" s="172"/>
    </row>
    <row r="253" spans="1:28" ht="12.75" customHeight="1" x14ac:dyDescent="0.3">
      <c r="A253" s="667"/>
      <c r="B253" s="668" t="s">
        <v>4564</v>
      </c>
      <c r="C253" s="160" t="s">
        <v>4565</v>
      </c>
      <c r="D253" s="160"/>
      <c r="E253" s="439"/>
      <c r="F253" s="161">
        <v>1284.0750844629999</v>
      </c>
      <c r="G253" s="161"/>
      <c r="H253" s="654"/>
      <c r="I253" s="654"/>
      <c r="J253" s="191"/>
      <c r="K253" s="191">
        <v>36284404.5141377</v>
      </c>
      <c r="L253" s="191"/>
      <c r="M253" s="191"/>
      <c r="N253" s="191"/>
      <c r="O253" s="191"/>
      <c r="P253" s="191"/>
      <c r="Q253" s="191"/>
      <c r="R253" s="191"/>
      <c r="S253" s="191"/>
      <c r="T253" s="191"/>
      <c r="U253" s="439"/>
      <c r="V253" s="441"/>
      <c r="W253" s="178"/>
      <c r="X253" s="172"/>
      <c r="Y253" s="172"/>
      <c r="Z253" s="172"/>
      <c r="AA253" s="195"/>
      <c r="AB253" s="172"/>
    </row>
    <row r="254" spans="1:28" ht="12.75" customHeight="1" x14ac:dyDescent="0.3">
      <c r="A254" s="667"/>
      <c r="B254" s="668" t="s">
        <v>4566</v>
      </c>
      <c r="C254" s="160" t="s">
        <v>4567</v>
      </c>
      <c r="D254" s="160"/>
      <c r="E254" s="439">
        <v>8.17</v>
      </c>
      <c r="F254" s="161">
        <v>492.98288667600002</v>
      </c>
      <c r="G254" s="161"/>
      <c r="H254" s="654"/>
      <c r="I254" s="654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439"/>
      <c r="V254" s="441"/>
      <c r="W254" s="178"/>
      <c r="X254" s="172"/>
      <c r="Y254" s="172"/>
      <c r="Z254" s="172"/>
      <c r="AA254" s="195"/>
      <c r="AB254" s="172"/>
    </row>
    <row r="255" spans="1:28" ht="12.75" customHeight="1" x14ac:dyDescent="0.3">
      <c r="A255" s="667"/>
      <c r="B255" s="668" t="s">
        <v>4568</v>
      </c>
      <c r="C255" s="160" t="s">
        <v>4569</v>
      </c>
      <c r="D255" s="160"/>
      <c r="E255" s="439">
        <v>0.56999999999999995</v>
      </c>
      <c r="F255" s="161">
        <v>657.96715521600004</v>
      </c>
      <c r="G255" s="161"/>
      <c r="H255" s="654"/>
      <c r="I255" s="654"/>
      <c r="J255" s="191"/>
      <c r="K255" s="191"/>
      <c r="L255" s="191"/>
      <c r="M255" s="191"/>
      <c r="N255" s="191"/>
      <c r="O255" s="191"/>
      <c r="P255" s="191"/>
      <c r="Q255" s="191"/>
      <c r="R255" s="191"/>
      <c r="S255" s="191"/>
      <c r="T255" s="191"/>
      <c r="U255" s="439"/>
      <c r="V255" s="441"/>
      <c r="W255" s="178"/>
      <c r="X255" s="172"/>
      <c r="Y255" s="172"/>
      <c r="Z255" s="172"/>
      <c r="AA255" s="195"/>
      <c r="AB255" s="172"/>
    </row>
    <row r="256" spans="1:28" ht="12.75" customHeight="1" x14ac:dyDescent="0.3">
      <c r="A256" s="667"/>
      <c r="B256" s="668" t="s">
        <v>4570</v>
      </c>
      <c r="C256" s="160" t="s">
        <v>4571</v>
      </c>
      <c r="D256" s="160"/>
      <c r="E256" s="439">
        <v>4.6399999999999997</v>
      </c>
      <c r="F256" s="161">
        <v>1289.950391266</v>
      </c>
      <c r="G256" s="161"/>
      <c r="H256" s="654"/>
      <c r="I256" s="654"/>
      <c r="J256" s="191"/>
      <c r="K256" s="191"/>
      <c r="L256" s="191"/>
      <c r="M256" s="191"/>
      <c r="N256" s="191"/>
      <c r="O256" s="191"/>
      <c r="P256" s="191"/>
      <c r="Q256" s="191"/>
      <c r="R256" s="191"/>
      <c r="S256" s="191"/>
      <c r="T256" s="191"/>
      <c r="U256" s="439"/>
      <c r="V256" s="441"/>
      <c r="W256" s="178"/>
      <c r="X256" s="172"/>
      <c r="Y256" s="172"/>
      <c r="Z256" s="172"/>
      <c r="AA256" s="195"/>
      <c r="AB256" s="172"/>
    </row>
    <row r="257" spans="1:28" ht="12.75" customHeight="1" x14ac:dyDescent="0.3">
      <c r="A257" s="667"/>
      <c r="B257" s="668" t="s">
        <v>4572</v>
      </c>
      <c r="C257" s="160" t="s">
        <v>4573</v>
      </c>
      <c r="D257" s="160"/>
      <c r="E257" s="439">
        <v>73.433000000000007</v>
      </c>
      <c r="F257" s="161">
        <v>1042.189880377</v>
      </c>
      <c r="G257" s="161"/>
      <c r="H257" s="654"/>
      <c r="I257" s="654"/>
      <c r="J257" s="191"/>
      <c r="K257" s="191"/>
      <c r="L257" s="191"/>
      <c r="M257" s="191"/>
      <c r="N257" s="191"/>
      <c r="O257" s="191"/>
      <c r="P257" s="191"/>
      <c r="Q257" s="191"/>
      <c r="R257" s="191"/>
      <c r="S257" s="191"/>
      <c r="T257" s="191"/>
      <c r="U257" s="439"/>
      <c r="V257" s="441"/>
      <c r="W257" s="178"/>
      <c r="X257" s="172"/>
      <c r="Y257" s="172"/>
      <c r="Z257" s="172"/>
      <c r="AA257" s="195"/>
      <c r="AB257" s="172"/>
    </row>
    <row r="258" spans="1:28" ht="12.75" customHeight="1" x14ac:dyDescent="0.3">
      <c r="A258" s="667"/>
      <c r="B258" s="668" t="s">
        <v>4574</v>
      </c>
      <c r="C258" s="160" t="s">
        <v>4575</v>
      </c>
      <c r="D258" s="160"/>
      <c r="E258" s="439"/>
      <c r="F258" s="161">
        <v>197.9462192</v>
      </c>
      <c r="G258" s="161">
        <v>-67.453000000000003</v>
      </c>
      <c r="H258" s="654">
        <v>11665.461684800001</v>
      </c>
      <c r="I258" s="654">
        <v>3833.0701778326402</v>
      </c>
      <c r="J258" s="191"/>
      <c r="K258" s="191">
        <v>164.19880798586999</v>
      </c>
      <c r="L258" s="191"/>
      <c r="M258" s="191"/>
      <c r="N258" s="191"/>
      <c r="O258" s="191"/>
      <c r="P258" s="191"/>
      <c r="Q258" s="191"/>
      <c r="R258" s="191"/>
      <c r="S258" s="191"/>
      <c r="T258" s="191"/>
      <c r="U258" s="439"/>
      <c r="V258" s="441"/>
      <c r="W258" s="178"/>
      <c r="X258" s="172"/>
      <c r="Y258" s="172"/>
      <c r="Z258" s="172"/>
      <c r="AA258" s="195"/>
      <c r="AB258" s="172"/>
    </row>
    <row r="259" spans="1:28" ht="12.75" customHeight="1" x14ac:dyDescent="0.3">
      <c r="A259" s="667"/>
      <c r="B259" s="668" t="s">
        <v>4576</v>
      </c>
      <c r="C259" s="160" t="s">
        <v>4577</v>
      </c>
      <c r="D259" s="160"/>
      <c r="E259" s="439">
        <v>2.62</v>
      </c>
      <c r="F259" s="161">
        <v>465.98615810799998</v>
      </c>
      <c r="G259" s="161"/>
      <c r="H259" s="654"/>
      <c r="I259" s="654"/>
      <c r="J259" s="191"/>
      <c r="K259" s="191"/>
      <c r="L259" s="191"/>
      <c r="M259" s="191"/>
      <c r="N259" s="191"/>
      <c r="O259" s="191"/>
      <c r="P259" s="191"/>
      <c r="Q259" s="191"/>
      <c r="R259" s="191"/>
      <c r="S259" s="191"/>
      <c r="T259" s="191"/>
      <c r="U259" s="439"/>
      <c r="V259" s="441"/>
      <c r="W259" s="178"/>
      <c r="X259" s="172"/>
      <c r="Y259" s="172"/>
      <c r="Z259" s="172"/>
      <c r="AA259" s="195"/>
      <c r="AB259" s="172"/>
    </row>
    <row r="260" spans="1:28" ht="12.75" customHeight="1" x14ac:dyDescent="0.3">
      <c r="A260" s="667"/>
      <c r="B260" s="668" t="s">
        <v>4578</v>
      </c>
      <c r="C260" s="160" t="s">
        <v>4579</v>
      </c>
      <c r="D260" s="160"/>
      <c r="E260" s="439">
        <v>4.6399999999999997</v>
      </c>
      <c r="F260" s="161">
        <v>1089.9631659619999</v>
      </c>
      <c r="G260" s="161"/>
      <c r="H260" s="654"/>
      <c r="I260" s="654"/>
      <c r="J260" s="191"/>
      <c r="K260" s="191">
        <v>26776881.707072701</v>
      </c>
      <c r="L260" s="191"/>
      <c r="M260" s="191"/>
      <c r="N260" s="191"/>
      <c r="O260" s="191"/>
      <c r="P260" s="191"/>
      <c r="Q260" s="191"/>
      <c r="R260" s="191"/>
      <c r="S260" s="191"/>
      <c r="T260" s="191"/>
      <c r="U260" s="439"/>
      <c r="V260" s="441"/>
      <c r="W260" s="178"/>
      <c r="X260" s="172"/>
      <c r="Y260" s="172"/>
      <c r="Z260" s="172"/>
      <c r="AA260" s="195"/>
      <c r="AB260" s="172"/>
    </row>
    <row r="261" spans="1:28" ht="12.75" customHeight="1" x14ac:dyDescent="0.3">
      <c r="A261" s="667"/>
      <c r="B261" s="668" t="s">
        <v>4580</v>
      </c>
      <c r="C261" s="160" t="s">
        <v>4581</v>
      </c>
      <c r="D261" s="160"/>
      <c r="E261" s="439">
        <v>8.61</v>
      </c>
      <c r="F261" s="161">
        <v>442.98608035000001</v>
      </c>
      <c r="G261" s="161"/>
      <c r="H261" s="654"/>
      <c r="I261" s="654"/>
      <c r="J261" s="191"/>
      <c r="K261" s="191"/>
      <c r="L261" s="191"/>
      <c r="M261" s="191"/>
      <c r="N261" s="191"/>
      <c r="O261" s="191"/>
      <c r="P261" s="191"/>
      <c r="Q261" s="191"/>
      <c r="R261" s="191"/>
      <c r="S261" s="191"/>
      <c r="T261" s="191"/>
      <c r="U261" s="439"/>
      <c r="V261" s="441"/>
      <c r="W261" s="178"/>
      <c r="X261" s="172"/>
      <c r="Y261" s="172"/>
      <c r="Z261" s="172"/>
      <c r="AA261" s="195"/>
      <c r="AB261" s="172"/>
    </row>
    <row r="262" spans="1:28" ht="12.75" customHeight="1" x14ac:dyDescent="0.3">
      <c r="A262" s="667"/>
      <c r="B262" s="668" t="s">
        <v>4582</v>
      </c>
      <c r="C262" s="160" t="s">
        <v>4583</v>
      </c>
      <c r="D262" s="160"/>
      <c r="E262" s="439"/>
      <c r="F262" s="161">
        <v>183.96174126099999</v>
      </c>
      <c r="G262" s="161"/>
      <c r="H262" s="654"/>
      <c r="I262" s="654"/>
      <c r="J262" s="191"/>
      <c r="K262" s="191">
        <v>15.0251909496709</v>
      </c>
      <c r="L262" s="191"/>
      <c r="M262" s="191"/>
      <c r="N262" s="191"/>
      <c r="O262" s="191"/>
      <c r="P262" s="191"/>
      <c r="Q262" s="191"/>
      <c r="R262" s="191"/>
      <c r="S262" s="191"/>
      <c r="T262" s="191"/>
      <c r="U262" s="439"/>
      <c r="V262" s="441"/>
      <c r="W262" s="178"/>
      <c r="X262" s="172"/>
      <c r="Y262" s="172"/>
      <c r="Z262" s="172"/>
      <c r="AA262" s="195"/>
      <c r="AB262" s="172"/>
    </row>
    <row r="263" spans="1:28" ht="12.75" customHeight="1" x14ac:dyDescent="0.3">
      <c r="A263" s="667"/>
      <c r="B263" s="668" t="s">
        <v>4584</v>
      </c>
      <c r="C263" s="160" t="s">
        <v>4585</v>
      </c>
      <c r="D263" s="160"/>
      <c r="E263" s="439"/>
      <c r="F263" s="161">
        <v>205.93542600000001</v>
      </c>
      <c r="G263" s="161">
        <v>-70.218999999999994</v>
      </c>
      <c r="H263" s="654">
        <v>20984.616156</v>
      </c>
      <c r="I263" s="654">
        <v>159.85675662622199</v>
      </c>
      <c r="J263" s="191"/>
      <c r="K263" s="191">
        <v>910.26951831738404</v>
      </c>
      <c r="L263" s="191"/>
      <c r="M263" s="191"/>
      <c r="N263" s="191"/>
      <c r="O263" s="191"/>
      <c r="P263" s="191"/>
      <c r="Q263" s="191"/>
      <c r="R263" s="191"/>
      <c r="S263" s="191"/>
      <c r="T263" s="191"/>
      <c r="U263" s="439"/>
      <c r="V263" s="441"/>
      <c r="W263" s="178"/>
      <c r="X263" s="172"/>
      <c r="Y263" s="172"/>
      <c r="Z263" s="172"/>
      <c r="AA263" s="195"/>
      <c r="AB263" s="172"/>
    </row>
    <row r="264" spans="1:28" ht="12.75" customHeight="1" x14ac:dyDescent="0.3">
      <c r="A264" s="667"/>
      <c r="B264" s="668" t="s">
        <v>4586</v>
      </c>
      <c r="C264" s="160" t="s">
        <v>4587</v>
      </c>
      <c r="D264" s="160"/>
      <c r="E264" s="439"/>
      <c r="F264" s="161">
        <v>285.86158899999998</v>
      </c>
      <c r="G264" s="161">
        <v>-62.362000000000002</v>
      </c>
      <c r="H264" s="654">
        <v>1261.5420931399999</v>
      </c>
      <c r="I264" s="654">
        <v>22.087981845010901</v>
      </c>
      <c r="J264" s="191"/>
      <c r="K264" s="191">
        <v>3529.3928374635202</v>
      </c>
      <c r="L264" s="191"/>
      <c r="M264" s="191"/>
      <c r="N264" s="191"/>
      <c r="O264" s="191"/>
      <c r="P264" s="191"/>
      <c r="Q264" s="191"/>
      <c r="R264" s="191"/>
      <c r="S264" s="191"/>
      <c r="T264" s="191"/>
      <c r="U264" s="439"/>
      <c r="V264" s="441"/>
      <c r="W264" s="178"/>
      <c r="X264" s="172"/>
      <c r="Y264" s="172"/>
      <c r="Z264" s="172"/>
      <c r="AA264" s="195"/>
      <c r="AB264" s="172"/>
    </row>
    <row r="265" spans="1:28" ht="12.75" customHeight="1" x14ac:dyDescent="0.3">
      <c r="A265" s="667"/>
      <c r="B265" s="668" t="s">
        <v>4588</v>
      </c>
      <c r="C265" s="160" t="s">
        <v>4589</v>
      </c>
      <c r="D265" s="160"/>
      <c r="E265" s="439">
        <v>4.6399999999999997</v>
      </c>
      <c r="F265" s="161">
        <v>889.97594065800001</v>
      </c>
      <c r="G265" s="161"/>
      <c r="H265" s="654"/>
      <c r="I265" s="654"/>
      <c r="J265" s="191"/>
      <c r="K265" s="191">
        <v>267941.50967049698</v>
      </c>
      <c r="L265" s="191"/>
      <c r="M265" s="191"/>
      <c r="N265" s="191"/>
      <c r="O265" s="191"/>
      <c r="P265" s="191"/>
      <c r="Q265" s="191"/>
      <c r="R265" s="191"/>
      <c r="S265" s="191"/>
      <c r="T265" s="191"/>
      <c r="U265" s="439"/>
      <c r="V265" s="441"/>
      <c r="W265" s="178"/>
      <c r="X265" s="172"/>
      <c r="Y265" s="172"/>
      <c r="Z265" s="172"/>
      <c r="AA265" s="195"/>
      <c r="AB265" s="172"/>
    </row>
    <row r="266" spans="1:28" ht="12.75" customHeight="1" x14ac:dyDescent="0.3">
      <c r="A266" s="667"/>
      <c r="B266" s="668" t="s">
        <v>4590</v>
      </c>
      <c r="C266" s="160" t="s">
        <v>4591</v>
      </c>
      <c r="D266" s="160"/>
      <c r="E266" s="439">
        <v>40.994</v>
      </c>
      <c r="F266" s="161">
        <v>441.98501529200001</v>
      </c>
      <c r="G266" s="161">
        <v>-26.388000000000002</v>
      </c>
      <c r="H266" s="654">
        <v>187.88936138</v>
      </c>
      <c r="I266" s="654">
        <v>0.516901475383994</v>
      </c>
      <c r="J266" s="191"/>
      <c r="K266" s="191">
        <v>16395.3238678173</v>
      </c>
      <c r="L266" s="191"/>
      <c r="M266" s="191"/>
      <c r="N266" s="191"/>
      <c r="O266" s="191"/>
      <c r="P266" s="191"/>
      <c r="Q266" s="191"/>
      <c r="R266" s="191"/>
      <c r="S266" s="191"/>
      <c r="T266" s="191"/>
      <c r="U266" s="439"/>
      <c r="V266" s="441"/>
      <c r="W266" s="178"/>
      <c r="X266" s="172"/>
      <c r="Y266" s="172"/>
      <c r="Z266" s="172"/>
      <c r="AA266" s="195"/>
      <c r="AB266" s="172"/>
    </row>
    <row r="267" spans="1:28" ht="12.75" customHeight="1" x14ac:dyDescent="0.3">
      <c r="A267" s="667"/>
      <c r="B267" s="668" t="s">
        <v>4592</v>
      </c>
      <c r="C267" s="160" t="s">
        <v>4593</v>
      </c>
      <c r="D267" s="160"/>
      <c r="E267" s="439">
        <v>4.75</v>
      </c>
      <c r="F267" s="161">
        <v>689.98871535399996</v>
      </c>
      <c r="G267" s="161"/>
      <c r="H267" s="654"/>
      <c r="I267" s="654"/>
      <c r="J267" s="191"/>
      <c r="K267" s="191">
        <v>308773.485338094</v>
      </c>
      <c r="L267" s="191"/>
      <c r="M267" s="191"/>
      <c r="N267" s="191"/>
      <c r="O267" s="191"/>
      <c r="P267" s="191"/>
      <c r="Q267" s="191"/>
      <c r="R267" s="191"/>
      <c r="S267" s="191"/>
      <c r="T267" s="191"/>
      <c r="U267" s="439"/>
      <c r="V267" s="441"/>
      <c r="W267" s="178"/>
      <c r="X267" s="172"/>
      <c r="Y267" s="172"/>
      <c r="Z267" s="172"/>
      <c r="AA267" s="195"/>
      <c r="AB267" s="172"/>
    </row>
    <row r="268" spans="1:28" ht="12.75" customHeight="1" x14ac:dyDescent="0.3">
      <c r="A268" s="667"/>
      <c r="B268" s="668" t="s">
        <v>4594</v>
      </c>
      <c r="C268" s="160" t="s">
        <v>4595</v>
      </c>
      <c r="D268" s="160"/>
      <c r="E268" s="439">
        <v>4.6399999999999997</v>
      </c>
      <c r="F268" s="161">
        <v>589.99510270200005</v>
      </c>
      <c r="G268" s="161"/>
      <c r="H268" s="654"/>
      <c r="I268" s="654"/>
      <c r="J268" s="191"/>
      <c r="K268" s="191">
        <v>159635.692292041</v>
      </c>
      <c r="L268" s="191"/>
      <c r="M268" s="191"/>
      <c r="N268" s="191"/>
      <c r="O268" s="191"/>
      <c r="P268" s="191"/>
      <c r="Q268" s="191"/>
      <c r="R268" s="191"/>
      <c r="S268" s="191"/>
      <c r="T268" s="191"/>
      <c r="U268" s="439"/>
      <c r="V268" s="441"/>
      <c r="W268" s="178"/>
      <c r="X268" s="172"/>
      <c r="Y268" s="172"/>
      <c r="Z268" s="172"/>
      <c r="AA268" s="195"/>
      <c r="AB268" s="172"/>
    </row>
    <row r="269" spans="1:28" ht="12.75" customHeight="1" x14ac:dyDescent="0.3">
      <c r="A269" s="667"/>
      <c r="B269" s="668" t="s">
        <v>4596</v>
      </c>
      <c r="C269" s="160" t="s">
        <v>4597</v>
      </c>
      <c r="D269" s="160"/>
      <c r="E269" s="439">
        <v>6.54</v>
      </c>
      <c r="F269" s="161">
        <v>448.956671927</v>
      </c>
      <c r="G269" s="161"/>
      <c r="H269" s="654"/>
      <c r="I269" s="654"/>
      <c r="J269" s="191"/>
      <c r="K269" s="191"/>
      <c r="L269" s="191"/>
      <c r="M269" s="191"/>
      <c r="N269" s="191"/>
      <c r="O269" s="191"/>
      <c r="P269" s="191"/>
      <c r="Q269" s="191"/>
      <c r="R269" s="191"/>
      <c r="S269" s="191"/>
      <c r="T269" s="191"/>
      <c r="U269" s="439"/>
      <c r="V269" s="441"/>
      <c r="W269" s="178"/>
      <c r="X269" s="172"/>
      <c r="Y269" s="172"/>
      <c r="Z269" s="172"/>
      <c r="AA269" s="195"/>
      <c r="AB269" s="172"/>
    </row>
    <row r="270" spans="1:28" ht="12.75" customHeight="1" x14ac:dyDescent="0.3">
      <c r="A270" s="667"/>
      <c r="B270" s="668" t="s">
        <v>4598</v>
      </c>
      <c r="C270" s="160" t="s">
        <v>4154</v>
      </c>
      <c r="D270" s="160"/>
      <c r="E270" s="439">
        <v>8.42</v>
      </c>
      <c r="F270" s="161">
        <v>542.97969300199998</v>
      </c>
      <c r="G270" s="161"/>
      <c r="H270" s="654"/>
      <c r="I270" s="654"/>
      <c r="J270" s="191"/>
      <c r="K270" s="191">
        <v>81942.649095528104</v>
      </c>
      <c r="L270" s="191"/>
      <c r="M270" s="191"/>
      <c r="N270" s="191"/>
      <c r="O270" s="191"/>
      <c r="P270" s="191"/>
      <c r="Q270" s="191"/>
      <c r="R270" s="191"/>
      <c r="S270" s="191"/>
      <c r="T270" s="191"/>
      <c r="U270" s="439"/>
      <c r="V270" s="441"/>
      <c r="W270" s="178"/>
      <c r="X270" s="172"/>
      <c r="Y270" s="172"/>
      <c r="Z270" s="172"/>
      <c r="AA270" s="195"/>
      <c r="AB270" s="172"/>
    </row>
    <row r="271" spans="1:28" ht="12.75" customHeight="1" x14ac:dyDescent="0.3">
      <c r="A271" s="667"/>
      <c r="B271" s="668" t="s">
        <v>4599</v>
      </c>
      <c r="C271" s="160" t="s">
        <v>4600</v>
      </c>
      <c r="D271" s="160"/>
      <c r="E271" s="439">
        <v>8.4700000000000006</v>
      </c>
      <c r="F271" s="161">
        <v>426.99116572999998</v>
      </c>
      <c r="G271" s="161"/>
      <c r="H271" s="654"/>
      <c r="I271" s="654"/>
      <c r="J271" s="191"/>
      <c r="K271" s="191"/>
      <c r="L271" s="191"/>
      <c r="M271" s="191"/>
      <c r="N271" s="191"/>
      <c r="O271" s="191"/>
      <c r="P271" s="191"/>
      <c r="Q271" s="191"/>
      <c r="R271" s="191"/>
      <c r="S271" s="191"/>
      <c r="T271" s="191"/>
      <c r="U271" s="439"/>
      <c r="V271" s="441"/>
      <c r="W271" s="178"/>
      <c r="X271" s="172"/>
      <c r="Y271" s="172"/>
      <c r="Z271" s="172"/>
      <c r="AA271" s="195"/>
      <c r="AB271" s="172"/>
    </row>
    <row r="272" spans="1:28" ht="12.75" customHeight="1" x14ac:dyDescent="0.3">
      <c r="A272" s="667"/>
      <c r="B272" s="668" t="s">
        <v>4601</v>
      </c>
      <c r="C272" s="160" t="s">
        <v>4602</v>
      </c>
      <c r="D272" s="160"/>
      <c r="E272" s="439">
        <v>8.41</v>
      </c>
      <c r="F272" s="161">
        <v>326.99755307800001</v>
      </c>
      <c r="G272" s="161"/>
      <c r="H272" s="654"/>
      <c r="I272" s="654"/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439"/>
      <c r="V272" s="441"/>
      <c r="W272" s="178"/>
      <c r="X272" s="172"/>
      <c r="Y272" s="172"/>
      <c r="Z272" s="172"/>
      <c r="AA272" s="195"/>
      <c r="AB272" s="172"/>
    </row>
    <row r="273" spans="1:28" ht="12.75" customHeight="1" x14ac:dyDescent="0.3">
      <c r="A273" s="667"/>
      <c r="B273" s="668" t="s">
        <v>4603</v>
      </c>
      <c r="C273" s="160" t="s">
        <v>4604</v>
      </c>
      <c r="D273" s="160"/>
      <c r="E273" s="439">
        <v>6.66</v>
      </c>
      <c r="F273" s="161">
        <v>348.96305927499998</v>
      </c>
      <c r="G273" s="161"/>
      <c r="H273" s="654"/>
      <c r="I273" s="654"/>
      <c r="J273" s="191"/>
      <c r="K273" s="191"/>
      <c r="L273" s="191"/>
      <c r="M273" s="191"/>
      <c r="N273" s="191"/>
      <c r="O273" s="191"/>
      <c r="P273" s="191"/>
      <c r="Q273" s="191"/>
      <c r="R273" s="191"/>
      <c r="S273" s="191"/>
      <c r="T273" s="191"/>
      <c r="U273" s="439"/>
      <c r="V273" s="441"/>
      <c r="W273" s="178"/>
      <c r="X273" s="172"/>
      <c r="Y273" s="172"/>
      <c r="Z273" s="172"/>
      <c r="AA273" s="195"/>
      <c r="AB273" s="172"/>
    </row>
    <row r="274" spans="1:28" ht="12.75" customHeight="1" x14ac:dyDescent="0.3">
      <c r="A274" s="667"/>
      <c r="B274" s="668" t="s">
        <v>4605</v>
      </c>
      <c r="C274" s="160" t="s">
        <v>4606</v>
      </c>
      <c r="D274" s="160"/>
      <c r="E274" s="439">
        <v>8.3000000000000007</v>
      </c>
      <c r="F274" s="161">
        <v>376.99435940400002</v>
      </c>
      <c r="G274" s="161"/>
      <c r="H274" s="654"/>
      <c r="I274" s="654"/>
      <c r="J274" s="191"/>
      <c r="K274" s="191"/>
      <c r="L274" s="191"/>
      <c r="M274" s="191"/>
      <c r="N274" s="191"/>
      <c r="O274" s="191"/>
      <c r="P274" s="191"/>
      <c r="Q274" s="191"/>
      <c r="R274" s="191"/>
      <c r="S274" s="191"/>
      <c r="T274" s="191"/>
      <c r="U274" s="439"/>
      <c r="V274" s="441"/>
      <c r="W274" s="178"/>
      <c r="X274" s="172"/>
      <c r="Y274" s="172"/>
      <c r="Z274" s="172"/>
      <c r="AA274" s="195"/>
      <c r="AB274" s="172"/>
    </row>
    <row r="275" spans="1:28" ht="12.75" customHeight="1" x14ac:dyDescent="0.3">
      <c r="A275" s="667"/>
      <c r="B275" s="668" t="s">
        <v>4607</v>
      </c>
      <c r="C275" s="160" t="s">
        <v>4608</v>
      </c>
      <c r="D275" s="160"/>
      <c r="E275" s="439"/>
      <c r="F275" s="161">
        <v>944.03906300000006</v>
      </c>
      <c r="G275" s="161"/>
      <c r="H275" s="654"/>
      <c r="I275" s="654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439"/>
      <c r="V275" s="441"/>
      <c r="W275" s="178"/>
      <c r="X275" s="172"/>
      <c r="Y275" s="172"/>
      <c r="Z275" s="172"/>
      <c r="AA275" s="195"/>
      <c r="AB275" s="172"/>
    </row>
    <row r="276" spans="1:28" ht="12.75" customHeight="1" x14ac:dyDescent="0.3">
      <c r="A276" s="667"/>
      <c r="B276" s="668" t="s">
        <v>4609</v>
      </c>
      <c r="C276" s="160" t="s">
        <v>4610</v>
      </c>
      <c r="D276" s="160"/>
      <c r="E276" s="439">
        <v>4.6399999999999997</v>
      </c>
      <c r="F276" s="161">
        <v>989.96955331000004</v>
      </c>
      <c r="G276" s="161">
        <v>-24.971</v>
      </c>
      <c r="H276" s="654"/>
      <c r="I276" s="654"/>
      <c r="J276" s="191"/>
      <c r="K276" s="191">
        <v>18013578.646691401</v>
      </c>
      <c r="L276" s="191"/>
      <c r="M276" s="191"/>
      <c r="N276" s="191"/>
      <c r="O276" s="191"/>
      <c r="P276" s="191"/>
      <c r="Q276" s="191"/>
      <c r="R276" s="191"/>
      <c r="S276" s="191"/>
      <c r="T276" s="191"/>
      <c r="U276" s="439"/>
      <c r="V276" s="441"/>
      <c r="W276" s="178"/>
      <c r="X276" s="172"/>
      <c r="Y276" s="172"/>
      <c r="Z276" s="172"/>
      <c r="AA276" s="195"/>
      <c r="AB276" s="172"/>
    </row>
    <row r="277" spans="1:28" ht="12.75" customHeight="1" x14ac:dyDescent="0.3">
      <c r="A277" s="667"/>
      <c r="B277" s="668" t="s">
        <v>4611</v>
      </c>
      <c r="C277" s="160" t="s">
        <v>4612</v>
      </c>
      <c r="D277" s="160"/>
      <c r="E277" s="439"/>
      <c r="F277" s="161">
        <v>476.11774615399997</v>
      </c>
      <c r="G277" s="161"/>
      <c r="H277" s="654"/>
      <c r="I277" s="654"/>
      <c r="J277" s="191"/>
      <c r="K277" s="191">
        <v>7344969.5554499496</v>
      </c>
      <c r="L277" s="191"/>
      <c r="M277" s="191"/>
      <c r="N277" s="191"/>
      <c r="O277" s="191"/>
      <c r="P277" s="191"/>
      <c r="Q277" s="191"/>
      <c r="R277" s="191"/>
      <c r="S277" s="191"/>
      <c r="T277" s="191"/>
      <c r="U277" s="439"/>
      <c r="V277" s="441"/>
      <c r="W277" s="178"/>
      <c r="X277" s="172"/>
      <c r="Y277" s="172"/>
      <c r="Z277" s="172"/>
      <c r="AA277" s="195"/>
      <c r="AB277" s="172"/>
    </row>
    <row r="278" spans="1:28" ht="12.75" customHeight="1" x14ac:dyDescent="0.3">
      <c r="A278" s="667"/>
      <c r="B278" s="668" t="s">
        <v>4613</v>
      </c>
      <c r="C278" s="160" t="s">
        <v>4614</v>
      </c>
      <c r="D278" s="160"/>
      <c r="E278" s="439"/>
      <c r="F278" s="161">
        <v>379.85755069999999</v>
      </c>
      <c r="G278" s="161">
        <v>-45.783999999999999</v>
      </c>
      <c r="H278" s="654">
        <v>83.157597670000001</v>
      </c>
      <c r="I278" s="654"/>
      <c r="J278" s="191"/>
      <c r="K278" s="191">
        <v>26161.340900348099</v>
      </c>
      <c r="L278" s="191"/>
      <c r="M278" s="191"/>
      <c r="N278" s="191"/>
      <c r="O278" s="191"/>
      <c r="P278" s="191"/>
      <c r="Q278" s="191"/>
      <c r="R278" s="191"/>
      <c r="S278" s="191"/>
      <c r="T278" s="191"/>
      <c r="U278" s="439"/>
      <c r="V278" s="441"/>
      <c r="W278" s="178"/>
      <c r="X278" s="172"/>
      <c r="Y278" s="172"/>
      <c r="Z278" s="172"/>
      <c r="AA278" s="195"/>
      <c r="AB278" s="172"/>
    </row>
    <row r="279" spans="1:28" ht="12.75" customHeight="1" x14ac:dyDescent="0.3">
      <c r="A279" s="667"/>
      <c r="B279" s="668" t="s">
        <v>4615</v>
      </c>
      <c r="C279" s="160" t="s">
        <v>4616</v>
      </c>
      <c r="D279" s="160"/>
      <c r="E279" s="439"/>
      <c r="F279" s="161">
        <v>235.8985739</v>
      </c>
      <c r="G279" s="161">
        <v>-44.838999999999999</v>
      </c>
      <c r="H279" s="654">
        <v>14187.327308</v>
      </c>
      <c r="I279" s="654">
        <v>28.8886111569417</v>
      </c>
      <c r="J279" s="191"/>
      <c r="K279" s="191">
        <v>318.64712176947103</v>
      </c>
      <c r="L279" s="191"/>
      <c r="M279" s="191"/>
      <c r="N279" s="191"/>
      <c r="O279" s="191"/>
      <c r="P279" s="191"/>
      <c r="Q279" s="191"/>
      <c r="R279" s="191"/>
      <c r="S279" s="191"/>
      <c r="T279" s="191"/>
      <c r="U279" s="439"/>
      <c r="V279" s="441"/>
      <c r="W279" s="178"/>
      <c r="X279" s="172"/>
      <c r="Y279" s="172"/>
      <c r="Z279" s="172"/>
      <c r="AA279" s="195"/>
      <c r="AB279" s="172"/>
    </row>
    <row r="280" spans="1:28" ht="12.75" customHeight="1" x14ac:dyDescent="0.3">
      <c r="A280" s="667"/>
      <c r="B280" s="668" t="s">
        <v>4617</v>
      </c>
      <c r="C280" s="160" t="s">
        <v>4618</v>
      </c>
      <c r="D280" s="160"/>
      <c r="E280" s="439"/>
      <c r="F280" s="161">
        <v>370.04513410599998</v>
      </c>
      <c r="G280" s="161">
        <v>-49.57</v>
      </c>
      <c r="H280" s="654">
        <v>6.1080407723999999</v>
      </c>
      <c r="I280" s="654"/>
      <c r="J280" s="191"/>
      <c r="K280" s="191">
        <v>4625.5140024582197</v>
      </c>
      <c r="L280" s="191"/>
      <c r="M280" s="191"/>
      <c r="N280" s="191"/>
      <c r="O280" s="191"/>
      <c r="P280" s="191"/>
      <c r="Q280" s="191"/>
      <c r="R280" s="191"/>
      <c r="S280" s="191"/>
      <c r="T280" s="191"/>
      <c r="U280" s="439"/>
      <c r="V280" s="441"/>
      <c r="W280" s="178"/>
      <c r="X280" s="172"/>
      <c r="Y280" s="172"/>
      <c r="Z280" s="172"/>
      <c r="AA280" s="195"/>
      <c r="AB280" s="172"/>
    </row>
    <row r="281" spans="1:28" ht="12.75" customHeight="1" x14ac:dyDescent="0.3">
      <c r="A281" s="667"/>
      <c r="B281" s="668" t="s">
        <v>4619</v>
      </c>
      <c r="C281" s="160" t="s">
        <v>4620</v>
      </c>
      <c r="D281" s="160"/>
      <c r="E281" s="439"/>
      <c r="F281" s="161">
        <v>164.00606904200001</v>
      </c>
      <c r="G281" s="161">
        <v>-98.105000000000004</v>
      </c>
      <c r="H281" s="654">
        <v>164779.3259</v>
      </c>
      <c r="I281" s="654">
        <v>265.37494019547898</v>
      </c>
      <c r="J281" s="191"/>
      <c r="K281" s="191">
        <v>100.802197526803</v>
      </c>
      <c r="L281" s="191"/>
      <c r="M281" s="191"/>
      <c r="N281" s="191"/>
      <c r="O281" s="191"/>
      <c r="P281" s="191"/>
      <c r="Q281" s="191"/>
      <c r="R281" s="191"/>
      <c r="S281" s="191"/>
      <c r="T281" s="191"/>
      <c r="U281" s="439"/>
      <c r="V281" s="441"/>
      <c r="W281" s="178"/>
      <c r="X281" s="172"/>
      <c r="Y281" s="172"/>
      <c r="Z281" s="172"/>
      <c r="AA281" s="195"/>
      <c r="AB281" s="172"/>
    </row>
    <row r="282" spans="1:28" ht="12.75" customHeight="1" x14ac:dyDescent="0.3">
      <c r="A282" s="667"/>
      <c r="B282" s="668" t="s">
        <v>4621</v>
      </c>
      <c r="C282" s="160" t="s">
        <v>4622</v>
      </c>
      <c r="D282" s="160"/>
      <c r="E282" s="439">
        <v>0.91500000000000004</v>
      </c>
      <c r="F282" s="161">
        <v>257.992704608</v>
      </c>
      <c r="G282" s="161">
        <v>-58.131</v>
      </c>
      <c r="H282" s="654">
        <v>2084.0228430000002</v>
      </c>
      <c r="I282" s="654">
        <v>145.414492039843</v>
      </c>
      <c r="J282" s="191"/>
      <c r="K282" s="191">
        <v>1147.0702072018701</v>
      </c>
      <c r="L282" s="191"/>
      <c r="M282" s="191"/>
      <c r="N282" s="191"/>
      <c r="O282" s="191"/>
      <c r="P282" s="191"/>
      <c r="Q282" s="191"/>
      <c r="R282" s="191"/>
      <c r="S282" s="191"/>
      <c r="T282" s="191"/>
      <c r="U282" s="439"/>
      <c r="V282" s="441"/>
      <c r="W282" s="178"/>
      <c r="X282" s="172"/>
      <c r="Y282" s="172"/>
      <c r="Z282" s="172"/>
      <c r="AA282" s="195"/>
      <c r="AB282" s="172"/>
    </row>
    <row r="283" spans="1:28" ht="12.75" customHeight="1" x14ac:dyDescent="0.3">
      <c r="A283" s="667"/>
      <c r="B283" s="668" t="s">
        <v>4623</v>
      </c>
      <c r="C283" s="160" t="s">
        <v>4624</v>
      </c>
      <c r="D283" s="160"/>
      <c r="E283" s="439">
        <v>5.5670000000000002</v>
      </c>
      <c r="F283" s="161">
        <v>301.86582979999997</v>
      </c>
      <c r="G283" s="161">
        <v>-3.5009999999999999</v>
      </c>
      <c r="H283" s="654">
        <v>3925.5596323999998</v>
      </c>
      <c r="I283" s="654">
        <v>22.793647315534098</v>
      </c>
      <c r="J283" s="191"/>
      <c r="K283" s="191">
        <v>6491.72329408513</v>
      </c>
      <c r="L283" s="191"/>
      <c r="M283" s="191"/>
      <c r="N283" s="191"/>
      <c r="O283" s="191"/>
      <c r="P283" s="191"/>
      <c r="Q283" s="191"/>
      <c r="R283" s="191"/>
      <c r="S283" s="191"/>
      <c r="T283" s="191"/>
      <c r="U283" s="439"/>
      <c r="V283" s="441"/>
      <c r="W283" s="178"/>
      <c r="X283" s="172"/>
      <c r="Y283" s="172"/>
      <c r="Z283" s="172"/>
      <c r="AA283" s="195"/>
      <c r="AB283" s="172"/>
    </row>
    <row r="284" spans="1:28" ht="12.75" customHeight="1" x14ac:dyDescent="0.3">
      <c r="A284" s="667"/>
      <c r="B284" s="668" t="s">
        <v>4625</v>
      </c>
      <c r="C284" s="160" t="s">
        <v>4626</v>
      </c>
      <c r="D284" s="160"/>
      <c r="E284" s="439"/>
      <c r="F284" s="161">
        <v>307.82709499999999</v>
      </c>
      <c r="G284" s="161"/>
      <c r="H284" s="654"/>
      <c r="I284" s="654"/>
      <c r="J284" s="191"/>
      <c r="K284" s="191">
        <v>394.62991141573599</v>
      </c>
      <c r="L284" s="191"/>
      <c r="M284" s="191"/>
      <c r="N284" s="191"/>
      <c r="O284" s="191"/>
      <c r="P284" s="191"/>
      <c r="Q284" s="191"/>
      <c r="R284" s="191"/>
      <c r="S284" s="191"/>
      <c r="T284" s="191"/>
      <c r="U284" s="439"/>
      <c r="V284" s="441"/>
      <c r="W284" s="178"/>
      <c r="X284" s="172"/>
      <c r="Y284" s="172"/>
      <c r="Z284" s="172"/>
      <c r="AA284" s="195"/>
      <c r="AB284" s="172"/>
    </row>
    <row r="285" spans="1:28" ht="12.75" customHeight="1" x14ac:dyDescent="0.3">
      <c r="A285" s="667"/>
      <c r="B285" s="668" t="s">
        <v>4627</v>
      </c>
      <c r="C285" s="160" t="s">
        <v>4628</v>
      </c>
      <c r="D285" s="160"/>
      <c r="E285" s="439"/>
      <c r="F285" s="161">
        <v>495.88051999999999</v>
      </c>
      <c r="G285" s="161">
        <v>-43.295999999999999</v>
      </c>
      <c r="H285" s="654">
        <v>1166.54616848</v>
      </c>
      <c r="I285" s="654">
        <v>0.43589038233195998</v>
      </c>
      <c r="J285" s="191"/>
      <c r="K285" s="191">
        <v>299212.68409021402</v>
      </c>
      <c r="L285" s="191"/>
      <c r="M285" s="191"/>
      <c r="N285" s="191"/>
      <c r="O285" s="191"/>
      <c r="P285" s="191"/>
      <c r="Q285" s="191"/>
      <c r="R285" s="191"/>
      <c r="S285" s="191"/>
      <c r="T285" s="191"/>
      <c r="U285" s="439"/>
      <c r="V285" s="441"/>
      <c r="W285" s="178"/>
      <c r="X285" s="172"/>
      <c r="Y285" s="172"/>
      <c r="Z285" s="172"/>
      <c r="AA285" s="195"/>
      <c r="AB285" s="172"/>
    </row>
    <row r="286" spans="1:28" ht="12.75" customHeight="1" x14ac:dyDescent="0.3">
      <c r="A286" s="667"/>
      <c r="B286" s="668" t="s">
        <v>4629</v>
      </c>
      <c r="C286" s="160" t="s">
        <v>4630</v>
      </c>
      <c r="D286" s="160"/>
      <c r="E286" s="439"/>
      <c r="F286" s="161">
        <v>369.91854339999998</v>
      </c>
      <c r="G286" s="161"/>
      <c r="H286" s="654"/>
      <c r="I286" s="654"/>
      <c r="J286" s="191"/>
      <c r="K286" s="191">
        <v>43212.560441549504</v>
      </c>
      <c r="L286" s="191"/>
      <c r="M286" s="191"/>
      <c r="N286" s="191"/>
      <c r="O286" s="191"/>
      <c r="P286" s="191"/>
      <c r="Q286" s="191"/>
      <c r="R286" s="191"/>
      <c r="S286" s="191"/>
      <c r="T286" s="191"/>
      <c r="U286" s="439"/>
      <c r="V286" s="441"/>
      <c r="W286" s="178"/>
      <c r="X286" s="172"/>
      <c r="Y286" s="172"/>
      <c r="Z286" s="172"/>
      <c r="AA286" s="195"/>
      <c r="AB286" s="172"/>
    </row>
    <row r="287" spans="1:28" ht="12.75" customHeight="1" x14ac:dyDescent="0.3">
      <c r="A287" s="667"/>
      <c r="B287" s="668" t="s">
        <v>4631</v>
      </c>
      <c r="C287" s="160" t="s">
        <v>4632</v>
      </c>
      <c r="D287" s="160"/>
      <c r="E287" s="439"/>
      <c r="F287" s="161">
        <v>219.9281244</v>
      </c>
      <c r="G287" s="161">
        <v>-61.371000000000002</v>
      </c>
      <c r="H287" s="654">
        <v>83733.948676</v>
      </c>
      <c r="I287" s="654">
        <v>27.560072981061602</v>
      </c>
      <c r="J287" s="191"/>
      <c r="K287" s="191">
        <v>1941.9140324458101</v>
      </c>
      <c r="L287" s="191"/>
      <c r="M287" s="191"/>
      <c r="N287" s="191"/>
      <c r="O287" s="191"/>
      <c r="P287" s="191"/>
      <c r="Q287" s="191"/>
      <c r="R287" s="191"/>
      <c r="S287" s="191"/>
      <c r="T287" s="191"/>
      <c r="U287" s="439"/>
      <c r="V287" s="441"/>
      <c r="W287" s="178"/>
      <c r="X287" s="172"/>
      <c r="Y287" s="172"/>
      <c r="Z287" s="172"/>
      <c r="AA287" s="195"/>
      <c r="AB287" s="172"/>
    </row>
    <row r="288" spans="1:28" ht="12.75" customHeight="1" x14ac:dyDescent="0.3">
      <c r="A288" s="667"/>
      <c r="B288" s="668" t="s">
        <v>4633</v>
      </c>
      <c r="C288" s="160" t="s">
        <v>4634</v>
      </c>
      <c r="D288" s="160"/>
      <c r="E288" s="439">
        <v>117</v>
      </c>
      <c r="F288" s="161">
        <v>3020.7699941780002</v>
      </c>
      <c r="G288" s="161"/>
      <c r="H288" s="654"/>
      <c r="I288" s="654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439"/>
      <c r="V288" s="441"/>
      <c r="W288" s="178"/>
      <c r="X288" s="172"/>
      <c r="Y288" s="172"/>
      <c r="Z288" s="172"/>
      <c r="AA288" s="195"/>
      <c r="AB288" s="172"/>
    </row>
    <row r="289" spans="1:28" ht="12.75" customHeight="1" x14ac:dyDescent="0.3">
      <c r="A289" s="667"/>
      <c r="B289" s="668" t="s">
        <v>4635</v>
      </c>
      <c r="C289" s="160" t="s">
        <v>4636</v>
      </c>
      <c r="D289" s="160"/>
      <c r="E289" s="439"/>
      <c r="F289" s="161">
        <v>265.97894624999998</v>
      </c>
      <c r="G289" s="161"/>
      <c r="H289" s="654"/>
      <c r="I289" s="654"/>
      <c r="J289" s="191"/>
      <c r="K289" s="191">
        <v>506.23247282362598</v>
      </c>
      <c r="L289" s="191"/>
      <c r="M289" s="191"/>
      <c r="N289" s="191"/>
      <c r="O289" s="191"/>
      <c r="P289" s="191"/>
      <c r="Q289" s="191"/>
      <c r="R289" s="191"/>
      <c r="S289" s="191"/>
      <c r="T289" s="191"/>
      <c r="U289" s="439"/>
      <c r="V289" s="441"/>
      <c r="W289" s="178"/>
      <c r="X289" s="172"/>
      <c r="Y289" s="172"/>
      <c r="Z289" s="172"/>
      <c r="AA289" s="195"/>
      <c r="AB289" s="172"/>
    </row>
    <row r="290" spans="1:28" ht="12.75" customHeight="1" x14ac:dyDescent="0.3">
      <c r="A290" s="667"/>
      <c r="B290" s="668" t="s">
        <v>4637</v>
      </c>
      <c r="C290" s="160" t="s">
        <v>4638</v>
      </c>
      <c r="D290" s="160"/>
      <c r="E290" s="439">
        <v>6.55</v>
      </c>
      <c r="F290" s="161">
        <v>214.01655353999999</v>
      </c>
      <c r="G290" s="161">
        <v>-12.738</v>
      </c>
      <c r="H290" s="654">
        <v>763.66308312000001</v>
      </c>
      <c r="I290" s="654">
        <v>171.57236260884</v>
      </c>
      <c r="J290" s="191"/>
      <c r="K290" s="191">
        <v>77.383790676792003</v>
      </c>
      <c r="L290" s="191"/>
      <c r="M290" s="191"/>
      <c r="N290" s="191"/>
      <c r="O290" s="191"/>
      <c r="P290" s="191"/>
      <c r="Q290" s="191"/>
      <c r="R290" s="191"/>
      <c r="S290" s="191"/>
      <c r="T290" s="191"/>
      <c r="U290" s="439"/>
      <c r="V290" s="441"/>
      <c r="W290" s="178"/>
      <c r="X290" s="172"/>
      <c r="Y290" s="172"/>
      <c r="Z290" s="172"/>
      <c r="AA290" s="195"/>
      <c r="AB290" s="172"/>
    </row>
    <row r="291" spans="1:28" ht="12.75" customHeight="1" x14ac:dyDescent="0.3">
      <c r="A291" s="667"/>
      <c r="B291" s="668" t="s">
        <v>4639</v>
      </c>
      <c r="C291" s="160" t="s">
        <v>4640</v>
      </c>
      <c r="D291" s="160"/>
      <c r="E291" s="439"/>
      <c r="F291" s="161">
        <v>201.93754620000001</v>
      </c>
      <c r="G291" s="161">
        <v>-88.475999999999999</v>
      </c>
      <c r="H291" s="654">
        <v>37661.865136</v>
      </c>
      <c r="I291" s="654">
        <v>159.667777091869</v>
      </c>
      <c r="J291" s="191"/>
      <c r="K291" s="191">
        <v>1580.2652860857099</v>
      </c>
      <c r="L291" s="191"/>
      <c r="M291" s="191"/>
      <c r="N291" s="191"/>
      <c r="O291" s="191"/>
      <c r="P291" s="191"/>
      <c r="Q291" s="191"/>
      <c r="R291" s="191"/>
      <c r="S291" s="191"/>
      <c r="T291" s="191"/>
      <c r="U291" s="439"/>
      <c r="V291" s="441"/>
      <c r="W291" s="178"/>
      <c r="X291" s="172"/>
      <c r="Y291" s="172"/>
      <c r="Z291" s="172"/>
      <c r="AA291" s="195"/>
      <c r="AB291" s="172"/>
    </row>
    <row r="292" spans="1:28" ht="12.75" customHeight="1" x14ac:dyDescent="0.3">
      <c r="A292" s="667"/>
      <c r="B292" s="668" t="s">
        <v>4641</v>
      </c>
      <c r="C292" s="160" t="s">
        <v>4642</v>
      </c>
      <c r="D292" s="160"/>
      <c r="E292" s="439">
        <v>32.456000000000003</v>
      </c>
      <c r="F292" s="161">
        <v>241.99778998799999</v>
      </c>
      <c r="G292" s="161"/>
      <c r="H292" s="654"/>
      <c r="I292" s="654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439"/>
      <c r="V292" s="441"/>
      <c r="W292" s="178"/>
      <c r="X292" s="172"/>
      <c r="Y292" s="172"/>
      <c r="Z292" s="172"/>
      <c r="AA292" s="195"/>
      <c r="AB292" s="172"/>
    </row>
    <row r="293" spans="1:28" ht="12.75" customHeight="1" x14ac:dyDescent="0.3">
      <c r="A293" s="667"/>
      <c r="B293" s="668" t="s">
        <v>4643</v>
      </c>
      <c r="C293" s="160" t="s">
        <v>4644</v>
      </c>
      <c r="D293" s="160"/>
      <c r="E293" s="439"/>
      <c r="F293" s="161">
        <v>1258.052335935</v>
      </c>
      <c r="G293" s="161"/>
      <c r="H293" s="654"/>
      <c r="I293" s="654"/>
      <c r="J293" s="191"/>
      <c r="K293" s="191">
        <v>593663024.05859399</v>
      </c>
      <c r="L293" s="191"/>
      <c r="M293" s="191"/>
      <c r="N293" s="191"/>
      <c r="O293" s="191"/>
      <c r="P293" s="191"/>
      <c r="Q293" s="191"/>
      <c r="R293" s="191"/>
      <c r="S293" s="191"/>
      <c r="T293" s="191"/>
      <c r="U293" s="439"/>
      <c r="V293" s="441"/>
      <c r="W293" s="178"/>
      <c r="X293" s="172"/>
      <c r="Y293" s="172"/>
      <c r="Z293" s="172"/>
      <c r="AA293" s="195"/>
      <c r="AB293" s="172"/>
    </row>
    <row r="294" spans="1:28" ht="12.75" customHeight="1" x14ac:dyDescent="0.3">
      <c r="A294" s="667"/>
      <c r="B294" s="668" t="s">
        <v>4645</v>
      </c>
      <c r="C294" s="160" t="s">
        <v>4646</v>
      </c>
      <c r="D294" s="160"/>
      <c r="E294" s="439">
        <v>4.76</v>
      </c>
      <c r="F294" s="161">
        <v>285.89538019999998</v>
      </c>
      <c r="G294" s="161">
        <v>-48.822000000000003</v>
      </c>
      <c r="H294" s="654">
        <v>15307.36543</v>
      </c>
      <c r="I294" s="654">
        <v>17.791269509846</v>
      </c>
      <c r="J294" s="191"/>
      <c r="K294" s="191">
        <v>9848.2712087361797</v>
      </c>
      <c r="L294" s="191"/>
      <c r="M294" s="191"/>
      <c r="N294" s="191"/>
      <c r="O294" s="191"/>
      <c r="P294" s="191"/>
      <c r="Q294" s="191"/>
      <c r="R294" s="191"/>
      <c r="S294" s="191"/>
      <c r="T294" s="191"/>
      <c r="U294" s="439"/>
      <c r="V294" s="441"/>
      <c r="W294" s="178"/>
      <c r="X294" s="172"/>
      <c r="Y294" s="172"/>
      <c r="Z294" s="172"/>
      <c r="AA294" s="195"/>
      <c r="AB294" s="172"/>
    </row>
    <row r="295" spans="1:28" ht="12.75" customHeight="1" x14ac:dyDescent="0.3">
      <c r="A295" s="667"/>
      <c r="B295" s="668" t="s">
        <v>4647</v>
      </c>
      <c r="C295" s="160" t="s">
        <v>4648</v>
      </c>
      <c r="D295" s="160"/>
      <c r="E295" s="439">
        <v>7.14</v>
      </c>
      <c r="F295" s="161">
        <v>949.95299836499998</v>
      </c>
      <c r="G295" s="161"/>
      <c r="H295" s="654"/>
      <c r="I295" s="654"/>
      <c r="J295" s="191"/>
      <c r="K295" s="191">
        <v>26650170.9994676</v>
      </c>
      <c r="L295" s="191"/>
      <c r="M295" s="191"/>
      <c r="N295" s="191"/>
      <c r="O295" s="191"/>
      <c r="P295" s="191"/>
      <c r="Q295" s="191"/>
      <c r="R295" s="191"/>
      <c r="S295" s="191"/>
      <c r="T295" s="191"/>
      <c r="U295" s="439"/>
      <c r="V295" s="441"/>
      <c r="W295" s="178"/>
      <c r="X295" s="172"/>
      <c r="Y295" s="172"/>
      <c r="Z295" s="172"/>
      <c r="AA295" s="195"/>
      <c r="AB295" s="172"/>
    </row>
    <row r="296" spans="1:28" ht="12.75" customHeight="1" x14ac:dyDescent="0.3">
      <c r="A296" s="667"/>
      <c r="B296" s="668" t="s">
        <v>4649</v>
      </c>
      <c r="C296" s="160" t="s">
        <v>4650</v>
      </c>
      <c r="D296" s="160"/>
      <c r="E296" s="439">
        <v>8.15</v>
      </c>
      <c r="F296" s="161">
        <v>906.04197252400002</v>
      </c>
      <c r="G296" s="161"/>
      <c r="H296" s="654"/>
      <c r="I296" s="654"/>
      <c r="J296" s="191"/>
      <c r="K296" s="191">
        <v>21376175.184975501</v>
      </c>
      <c r="L296" s="191"/>
      <c r="M296" s="191"/>
      <c r="N296" s="191"/>
      <c r="O296" s="191"/>
      <c r="P296" s="191"/>
      <c r="Q296" s="191"/>
      <c r="R296" s="191"/>
      <c r="S296" s="191"/>
      <c r="T296" s="191"/>
      <c r="U296" s="439"/>
      <c r="V296" s="441"/>
      <c r="W296" s="178"/>
      <c r="X296" s="172"/>
      <c r="Y296" s="172"/>
      <c r="Z296" s="172"/>
      <c r="AA296" s="195"/>
      <c r="AB296" s="172"/>
    </row>
    <row r="297" spans="1:28" ht="12.75" customHeight="1" x14ac:dyDescent="0.3">
      <c r="A297" s="667"/>
      <c r="B297" s="668" t="s">
        <v>4651</v>
      </c>
      <c r="C297" s="160" t="s">
        <v>4652</v>
      </c>
      <c r="D297" s="160"/>
      <c r="E297" s="439">
        <v>4.51</v>
      </c>
      <c r="F297" s="161">
        <v>997.9179504</v>
      </c>
      <c r="G297" s="161">
        <v>62.338000000000001</v>
      </c>
      <c r="H297" s="654"/>
      <c r="I297" s="654"/>
      <c r="J297" s="191"/>
      <c r="K297" s="191">
        <v>1946345789.8334301</v>
      </c>
      <c r="L297" s="191"/>
      <c r="M297" s="191"/>
      <c r="N297" s="191"/>
      <c r="O297" s="191"/>
      <c r="P297" s="191"/>
      <c r="Q297" s="191"/>
      <c r="R297" s="191"/>
      <c r="S297" s="191"/>
      <c r="T297" s="191"/>
      <c r="U297" s="439"/>
      <c r="V297" s="441"/>
      <c r="W297" s="178"/>
      <c r="X297" s="172"/>
      <c r="Y297" s="172"/>
      <c r="Z297" s="172"/>
      <c r="AA297" s="195"/>
      <c r="AB297" s="172"/>
    </row>
    <row r="298" spans="1:28" ht="12.75" customHeight="1" x14ac:dyDescent="0.3">
      <c r="A298" s="667"/>
      <c r="B298" s="668" t="s">
        <v>4653</v>
      </c>
      <c r="C298" s="160" t="s">
        <v>4654</v>
      </c>
      <c r="D298" s="160"/>
      <c r="E298" s="439">
        <v>8.09</v>
      </c>
      <c r="F298" s="161">
        <v>866.01067239600002</v>
      </c>
      <c r="G298" s="161"/>
      <c r="H298" s="654"/>
      <c r="I298" s="654"/>
      <c r="J298" s="191"/>
      <c r="K298" s="191">
        <v>245115.06262084201</v>
      </c>
      <c r="L298" s="191"/>
      <c r="M298" s="191"/>
      <c r="N298" s="191"/>
      <c r="O298" s="191"/>
      <c r="P298" s="191"/>
      <c r="Q298" s="191"/>
      <c r="R298" s="191"/>
      <c r="S298" s="191"/>
      <c r="T298" s="191"/>
      <c r="U298" s="439"/>
      <c r="V298" s="441"/>
      <c r="W298" s="178"/>
      <c r="X298" s="172"/>
      <c r="Y298" s="172"/>
      <c r="Z298" s="172"/>
      <c r="AA298" s="195"/>
      <c r="AB298" s="172"/>
    </row>
    <row r="299" spans="1:28" ht="12.75" customHeight="1" x14ac:dyDescent="0.3">
      <c r="A299" s="667"/>
      <c r="B299" s="668" t="s">
        <v>4655</v>
      </c>
      <c r="C299" s="160" t="s">
        <v>4656</v>
      </c>
      <c r="D299" s="160"/>
      <c r="E299" s="439"/>
      <c r="F299" s="161">
        <v>859.97003058500002</v>
      </c>
      <c r="G299" s="161"/>
      <c r="H299" s="654"/>
      <c r="I299" s="654"/>
      <c r="J299" s="191"/>
      <c r="K299" s="191">
        <v>262107.833073802</v>
      </c>
      <c r="L299" s="191"/>
      <c r="M299" s="191"/>
      <c r="N299" s="191"/>
      <c r="O299" s="191"/>
      <c r="P299" s="191"/>
      <c r="Q299" s="191"/>
      <c r="R299" s="191"/>
      <c r="S299" s="191"/>
      <c r="T299" s="191"/>
      <c r="U299" s="439"/>
      <c r="V299" s="441"/>
      <c r="W299" s="178"/>
      <c r="X299" s="172"/>
      <c r="Y299" s="172"/>
      <c r="Z299" s="172"/>
      <c r="AA299" s="195"/>
      <c r="AB299" s="172"/>
    </row>
    <row r="300" spans="1:28" ht="12.75" customHeight="1" x14ac:dyDescent="0.3">
      <c r="A300" s="667"/>
      <c r="B300" s="668" t="s">
        <v>4657</v>
      </c>
      <c r="C300" s="160" t="s">
        <v>4658</v>
      </c>
      <c r="D300" s="160"/>
      <c r="E300" s="439">
        <v>7.57</v>
      </c>
      <c r="F300" s="161">
        <v>1092.1451356269999</v>
      </c>
      <c r="G300" s="161"/>
      <c r="H300" s="654"/>
      <c r="I300" s="654"/>
      <c r="J300" s="191"/>
      <c r="K300" s="191">
        <v>203722970.48550099</v>
      </c>
      <c r="L300" s="191"/>
      <c r="M300" s="191"/>
      <c r="N300" s="191"/>
      <c r="O300" s="191"/>
      <c r="P300" s="191"/>
      <c r="Q300" s="191"/>
      <c r="R300" s="191"/>
      <c r="S300" s="191"/>
      <c r="T300" s="191"/>
      <c r="U300" s="439"/>
      <c r="V300" s="441"/>
      <c r="W300" s="178"/>
      <c r="X300" s="172"/>
      <c r="Y300" s="172"/>
      <c r="Z300" s="172"/>
      <c r="AA300" s="195"/>
      <c r="AB300" s="172"/>
    </row>
    <row r="301" spans="1:28" ht="12.75" customHeight="1" x14ac:dyDescent="0.3">
      <c r="A301" s="667"/>
      <c r="B301" s="668" t="s">
        <v>4659</v>
      </c>
      <c r="C301" s="160" t="s">
        <v>4660</v>
      </c>
      <c r="D301" s="160"/>
      <c r="E301" s="439">
        <v>7.5</v>
      </c>
      <c r="F301" s="161">
        <v>1008.051235241</v>
      </c>
      <c r="G301" s="161"/>
      <c r="H301" s="654"/>
      <c r="I301" s="654"/>
      <c r="J301" s="191"/>
      <c r="K301" s="191">
        <v>8124936.9591173902</v>
      </c>
      <c r="L301" s="191"/>
      <c r="M301" s="191"/>
      <c r="N301" s="191"/>
      <c r="O301" s="191"/>
      <c r="P301" s="191"/>
      <c r="Q301" s="191"/>
      <c r="R301" s="191"/>
      <c r="S301" s="191"/>
      <c r="T301" s="191"/>
      <c r="U301" s="439"/>
      <c r="V301" s="441"/>
      <c r="W301" s="178"/>
      <c r="X301" s="172"/>
      <c r="Y301" s="172"/>
      <c r="Z301" s="172"/>
      <c r="AA301" s="195"/>
      <c r="AB301" s="172"/>
    </row>
    <row r="302" spans="1:28" ht="12.75" customHeight="1" x14ac:dyDescent="0.3">
      <c r="A302" s="667"/>
      <c r="B302" s="668" t="s">
        <v>4661</v>
      </c>
      <c r="C302" s="160" t="s">
        <v>4662</v>
      </c>
      <c r="D302" s="160"/>
      <c r="E302" s="439">
        <v>6.82</v>
      </c>
      <c r="F302" s="161">
        <v>951.988634983</v>
      </c>
      <c r="G302" s="161"/>
      <c r="H302" s="654"/>
      <c r="I302" s="654"/>
      <c r="J302" s="191"/>
      <c r="K302" s="191">
        <v>401550.34187895001</v>
      </c>
      <c r="L302" s="191"/>
      <c r="M302" s="191"/>
      <c r="N302" s="191"/>
      <c r="O302" s="191"/>
      <c r="P302" s="191"/>
      <c r="Q302" s="191"/>
      <c r="R302" s="191"/>
      <c r="S302" s="191"/>
      <c r="T302" s="191"/>
      <c r="U302" s="439"/>
      <c r="V302" s="441"/>
      <c r="W302" s="178"/>
      <c r="X302" s="172"/>
      <c r="Y302" s="172"/>
      <c r="Z302" s="172"/>
      <c r="AA302" s="195"/>
      <c r="AB302" s="172"/>
    </row>
    <row r="303" spans="1:28" ht="12.75" customHeight="1" x14ac:dyDescent="0.3">
      <c r="A303" s="667"/>
      <c r="B303" s="668" t="s">
        <v>4663</v>
      </c>
      <c r="C303" s="160" t="s">
        <v>4664</v>
      </c>
      <c r="D303" s="160"/>
      <c r="E303" s="439"/>
      <c r="F303" s="161">
        <v>1009.924064054</v>
      </c>
      <c r="G303" s="161">
        <v>28.931000000000001</v>
      </c>
      <c r="H303" s="654"/>
      <c r="I303" s="654"/>
      <c r="J303" s="191"/>
      <c r="K303" s="191">
        <v>26601124.757419299</v>
      </c>
      <c r="L303" s="191"/>
      <c r="M303" s="191"/>
      <c r="N303" s="191"/>
      <c r="O303" s="191"/>
      <c r="P303" s="191"/>
      <c r="Q303" s="191"/>
      <c r="R303" s="191"/>
      <c r="S303" s="191"/>
      <c r="T303" s="191"/>
      <c r="U303" s="439"/>
      <c r="V303" s="441"/>
      <c r="W303" s="178"/>
      <c r="X303" s="172"/>
      <c r="Y303" s="172"/>
      <c r="Z303" s="172"/>
      <c r="AA303" s="195"/>
      <c r="AB303" s="172"/>
    </row>
    <row r="304" spans="1:28" ht="12.75" customHeight="1" x14ac:dyDescent="0.3">
      <c r="A304" s="667"/>
      <c r="B304" s="668" t="s">
        <v>4665</v>
      </c>
      <c r="C304" s="160" t="s">
        <v>4666</v>
      </c>
      <c r="D304" s="160"/>
      <c r="E304" s="439"/>
      <c r="F304" s="161">
        <v>1237.9201581499999</v>
      </c>
      <c r="G304" s="161">
        <v>-102.998</v>
      </c>
      <c r="H304" s="654"/>
      <c r="I304" s="654"/>
      <c r="J304" s="191"/>
      <c r="K304" s="191">
        <v>37490393.602729298</v>
      </c>
      <c r="L304" s="191"/>
      <c r="M304" s="191"/>
      <c r="N304" s="191"/>
      <c r="O304" s="191"/>
      <c r="P304" s="191"/>
      <c r="Q304" s="191"/>
      <c r="R304" s="191"/>
      <c r="S304" s="191"/>
      <c r="T304" s="191"/>
      <c r="U304" s="439"/>
      <c r="V304" s="441"/>
      <c r="W304" s="178"/>
      <c r="X304" s="172"/>
      <c r="Y304" s="172"/>
      <c r="Z304" s="172"/>
      <c r="AA304" s="195"/>
      <c r="AB304" s="172"/>
    </row>
    <row r="305" spans="1:28" ht="12.75" customHeight="1" x14ac:dyDescent="0.3">
      <c r="A305" s="667"/>
      <c r="B305" s="668" t="s">
        <v>4667</v>
      </c>
      <c r="C305" s="160" t="s">
        <v>4668</v>
      </c>
      <c r="D305" s="160"/>
      <c r="E305" s="439"/>
      <c r="F305" s="161">
        <v>1137.926545498</v>
      </c>
      <c r="G305" s="161"/>
      <c r="H305" s="654"/>
      <c r="I305" s="654"/>
      <c r="J305" s="191"/>
      <c r="K305" s="191">
        <v>33001220.355890401</v>
      </c>
      <c r="L305" s="191"/>
      <c r="M305" s="191"/>
      <c r="N305" s="191"/>
      <c r="O305" s="191"/>
      <c r="P305" s="191"/>
      <c r="Q305" s="191"/>
      <c r="R305" s="191"/>
      <c r="S305" s="191"/>
      <c r="T305" s="191"/>
      <c r="U305" s="439"/>
      <c r="V305" s="441"/>
      <c r="W305" s="178"/>
      <c r="X305" s="172"/>
      <c r="Y305" s="172"/>
      <c r="Z305" s="172"/>
      <c r="AA305" s="195"/>
      <c r="AB305" s="172"/>
    </row>
    <row r="306" spans="1:28" ht="12.75" customHeight="1" x14ac:dyDescent="0.3">
      <c r="A306" s="667"/>
      <c r="B306" s="668" t="s">
        <v>4669</v>
      </c>
      <c r="C306" s="160" t="s">
        <v>4670</v>
      </c>
      <c r="D306" s="160"/>
      <c r="E306" s="439">
        <v>15.064</v>
      </c>
      <c r="F306" s="161">
        <v>1037.9329328460001</v>
      </c>
      <c r="G306" s="161">
        <v>-0.78700000000000003</v>
      </c>
      <c r="H306" s="654"/>
      <c r="I306" s="654"/>
      <c r="J306" s="191"/>
      <c r="K306" s="191">
        <v>26889331.1723167</v>
      </c>
      <c r="L306" s="191"/>
      <c r="M306" s="191"/>
      <c r="N306" s="191"/>
      <c r="O306" s="191"/>
      <c r="P306" s="191"/>
      <c r="Q306" s="191"/>
      <c r="R306" s="191"/>
      <c r="S306" s="191"/>
      <c r="T306" s="191"/>
      <c r="U306" s="439"/>
      <c r="V306" s="441"/>
      <c r="W306" s="178"/>
      <c r="X306" s="172"/>
      <c r="Y306" s="172"/>
      <c r="Z306" s="172"/>
      <c r="AA306" s="195"/>
      <c r="AB306" s="172"/>
    </row>
    <row r="307" spans="1:28" ht="12.75" customHeight="1" x14ac:dyDescent="0.3">
      <c r="A307" s="667"/>
      <c r="B307" s="668" t="s">
        <v>4671</v>
      </c>
      <c r="C307" s="160" t="s">
        <v>4672</v>
      </c>
      <c r="D307" s="160"/>
      <c r="E307" s="439"/>
      <c r="F307" s="161">
        <v>937.93932019399995</v>
      </c>
      <c r="G307" s="161"/>
      <c r="H307" s="654"/>
      <c r="I307" s="654"/>
      <c r="J307" s="191"/>
      <c r="K307" s="191">
        <v>4504639.0775805702</v>
      </c>
      <c r="L307" s="191"/>
      <c r="M307" s="191"/>
      <c r="N307" s="191"/>
      <c r="O307" s="191"/>
      <c r="P307" s="191"/>
      <c r="Q307" s="191"/>
      <c r="R307" s="191"/>
      <c r="S307" s="191"/>
      <c r="T307" s="191"/>
      <c r="U307" s="439"/>
      <c r="V307" s="441"/>
      <c r="W307" s="178"/>
      <c r="X307" s="172"/>
      <c r="Y307" s="172"/>
      <c r="Z307" s="172"/>
      <c r="AA307" s="195"/>
      <c r="AB307" s="172"/>
    </row>
    <row r="308" spans="1:28" ht="12.75" customHeight="1" x14ac:dyDescent="0.3">
      <c r="A308" s="667"/>
      <c r="B308" s="668" t="s">
        <v>4673</v>
      </c>
      <c r="C308" s="160" t="s">
        <v>4674</v>
      </c>
      <c r="D308" s="160"/>
      <c r="E308" s="439">
        <v>74.706000000000003</v>
      </c>
      <c r="F308" s="161">
        <v>1044.2055304420001</v>
      </c>
      <c r="G308" s="161"/>
      <c r="H308" s="654"/>
      <c r="I308" s="654"/>
      <c r="J308" s="191"/>
      <c r="K308" s="191"/>
      <c r="L308" s="191"/>
      <c r="M308" s="191"/>
      <c r="N308" s="191"/>
      <c r="O308" s="191"/>
      <c r="P308" s="191"/>
      <c r="Q308" s="191"/>
      <c r="R308" s="191"/>
      <c r="S308" s="191"/>
      <c r="T308" s="191"/>
      <c r="U308" s="439"/>
      <c r="V308" s="441"/>
      <c r="W308" s="178"/>
      <c r="X308" s="172"/>
      <c r="Y308" s="172"/>
      <c r="Z308" s="172"/>
      <c r="AA308" s="195"/>
      <c r="AB308" s="172"/>
    </row>
    <row r="309" spans="1:28" ht="12.75" customHeight="1" x14ac:dyDescent="0.3">
      <c r="A309" s="667"/>
      <c r="B309" s="668" t="s">
        <v>4675</v>
      </c>
      <c r="C309" s="160" t="s">
        <v>4676</v>
      </c>
      <c r="D309" s="160"/>
      <c r="E309" s="439">
        <v>12.098000000000001</v>
      </c>
      <c r="F309" s="161">
        <v>837.94570754200004</v>
      </c>
      <c r="G309" s="161">
        <v>-17.596</v>
      </c>
      <c r="H309" s="654">
        <v>145.84893511999999</v>
      </c>
      <c r="I309" s="654"/>
      <c r="J309" s="191"/>
      <c r="K309" s="191">
        <v>279865.90935504303</v>
      </c>
      <c r="L309" s="191"/>
      <c r="M309" s="191"/>
      <c r="N309" s="191"/>
      <c r="O309" s="191"/>
      <c r="P309" s="191"/>
      <c r="Q309" s="191"/>
      <c r="R309" s="191"/>
      <c r="S309" s="191"/>
      <c r="T309" s="191"/>
      <c r="U309" s="439"/>
      <c r="V309" s="441"/>
      <c r="W309" s="178"/>
      <c r="X309" s="172"/>
      <c r="Y309" s="172"/>
      <c r="Z309" s="172"/>
      <c r="AA309" s="195"/>
      <c r="AB309" s="172"/>
    </row>
    <row r="310" spans="1:28" ht="12.75" customHeight="1" x14ac:dyDescent="0.3">
      <c r="A310" s="667"/>
      <c r="B310" s="668" t="s">
        <v>4677</v>
      </c>
      <c r="C310" s="160" t="s">
        <v>4678</v>
      </c>
      <c r="D310" s="160"/>
      <c r="E310" s="439"/>
      <c r="F310" s="161">
        <v>787.94890121599997</v>
      </c>
      <c r="G310" s="161">
        <v>-21.73</v>
      </c>
      <c r="H310" s="654">
        <v>18.403502236000001</v>
      </c>
      <c r="I310" s="654"/>
      <c r="J310" s="191"/>
      <c r="K310" s="191">
        <v>269258.85831046902</v>
      </c>
      <c r="L310" s="191"/>
      <c r="M310" s="191"/>
      <c r="N310" s="191"/>
      <c r="O310" s="191"/>
      <c r="P310" s="191"/>
      <c r="Q310" s="191"/>
      <c r="R310" s="191"/>
      <c r="S310" s="191"/>
      <c r="T310" s="191"/>
      <c r="U310" s="439"/>
      <c r="V310" s="441"/>
      <c r="W310" s="178"/>
      <c r="X310" s="172"/>
      <c r="Y310" s="172"/>
      <c r="Z310" s="172"/>
      <c r="AA310" s="195"/>
      <c r="AB310" s="172"/>
    </row>
    <row r="311" spans="1:28" ht="12.75" customHeight="1" x14ac:dyDescent="0.3">
      <c r="A311" s="667"/>
      <c r="B311" s="668" t="s">
        <v>4679</v>
      </c>
      <c r="C311" s="160" t="s">
        <v>4680</v>
      </c>
      <c r="D311" s="160"/>
      <c r="E311" s="439"/>
      <c r="F311" s="161">
        <v>2335.9083960449998</v>
      </c>
      <c r="G311" s="161"/>
      <c r="H311" s="654"/>
      <c r="I311" s="654"/>
      <c r="J311" s="191"/>
      <c r="K311" s="191"/>
      <c r="L311" s="191"/>
      <c r="M311" s="191"/>
      <c r="N311" s="191"/>
      <c r="O311" s="191"/>
      <c r="P311" s="191"/>
      <c r="Q311" s="191"/>
      <c r="R311" s="191"/>
      <c r="S311" s="191"/>
      <c r="T311" s="191"/>
      <c r="U311" s="439"/>
      <c r="V311" s="441"/>
      <c r="W311" s="178"/>
      <c r="X311" s="172"/>
      <c r="Y311" s="172"/>
      <c r="Z311" s="172"/>
      <c r="AA311" s="195"/>
      <c r="AB311" s="172"/>
    </row>
    <row r="312" spans="1:28" ht="12.75" customHeight="1" x14ac:dyDescent="0.3">
      <c r="A312" s="667"/>
      <c r="B312" s="668" t="s">
        <v>4681</v>
      </c>
      <c r="C312" s="160" t="s">
        <v>4682</v>
      </c>
      <c r="D312" s="160"/>
      <c r="E312" s="439"/>
      <c r="F312" s="161">
        <v>1573.80735</v>
      </c>
      <c r="G312" s="161"/>
      <c r="H312" s="654"/>
      <c r="I312" s="654"/>
      <c r="J312" s="191"/>
      <c r="K312" s="191">
        <v>49174505.348538101</v>
      </c>
      <c r="L312" s="191"/>
      <c r="M312" s="191"/>
      <c r="N312" s="191"/>
      <c r="O312" s="191"/>
      <c r="P312" s="191"/>
      <c r="Q312" s="191"/>
      <c r="R312" s="191"/>
      <c r="S312" s="191"/>
      <c r="T312" s="191"/>
      <c r="U312" s="439"/>
      <c r="V312" s="441"/>
      <c r="W312" s="178"/>
      <c r="X312" s="172"/>
      <c r="Y312" s="172"/>
      <c r="Z312" s="172"/>
      <c r="AA312" s="195"/>
      <c r="AB312" s="172"/>
    </row>
    <row r="313" spans="1:28" ht="12.75" customHeight="1" x14ac:dyDescent="0.3">
      <c r="A313" s="667"/>
      <c r="B313" s="668" t="s">
        <v>4683</v>
      </c>
      <c r="C313" s="160" t="s">
        <v>4684</v>
      </c>
      <c r="D313" s="160"/>
      <c r="E313" s="439"/>
      <c r="F313" s="161">
        <v>1601.8386499999999</v>
      </c>
      <c r="G313" s="161"/>
      <c r="H313" s="654"/>
      <c r="I313" s="654"/>
      <c r="J313" s="191"/>
      <c r="K313" s="191"/>
      <c r="L313" s="191"/>
      <c r="M313" s="191"/>
      <c r="N313" s="191"/>
      <c r="O313" s="191"/>
      <c r="P313" s="191"/>
      <c r="Q313" s="191"/>
      <c r="R313" s="191"/>
      <c r="S313" s="191"/>
      <c r="T313" s="191"/>
      <c r="U313" s="439"/>
      <c r="V313" s="441"/>
      <c r="W313" s="178"/>
      <c r="X313" s="172"/>
      <c r="Y313" s="172"/>
      <c r="Z313" s="172"/>
      <c r="AA313" s="195"/>
      <c r="AB313" s="172"/>
    </row>
    <row r="314" spans="1:28" ht="12.75" customHeight="1" x14ac:dyDescent="0.3">
      <c r="A314" s="667"/>
      <c r="B314" s="668" t="s">
        <v>4685</v>
      </c>
      <c r="C314" s="160" t="s">
        <v>4686</v>
      </c>
      <c r="D314" s="160"/>
      <c r="E314" s="439"/>
      <c r="F314" s="161">
        <v>1657.9012499999999</v>
      </c>
      <c r="G314" s="161"/>
      <c r="H314" s="654"/>
      <c r="I314" s="654"/>
      <c r="J314" s="191"/>
      <c r="K314" s="191">
        <v>52311840.477968901</v>
      </c>
      <c r="L314" s="191"/>
      <c r="M314" s="191"/>
      <c r="N314" s="191"/>
      <c r="O314" s="191"/>
      <c r="P314" s="191"/>
      <c r="Q314" s="191"/>
      <c r="R314" s="191"/>
      <c r="S314" s="191"/>
      <c r="T314" s="191"/>
      <c r="U314" s="439"/>
      <c r="V314" s="441"/>
      <c r="W314" s="178"/>
      <c r="X314" s="172"/>
      <c r="Y314" s="172"/>
      <c r="Z314" s="172"/>
      <c r="AA314" s="195"/>
      <c r="AB314" s="172"/>
    </row>
    <row r="315" spans="1:28" ht="12.75" customHeight="1" x14ac:dyDescent="0.3">
      <c r="A315" s="667"/>
      <c r="B315" s="668" t="s">
        <v>4687</v>
      </c>
      <c r="C315" s="160" t="s">
        <v>4688</v>
      </c>
      <c r="D315" s="160"/>
      <c r="E315" s="439"/>
      <c r="F315" s="161">
        <v>1798.0577499999999</v>
      </c>
      <c r="G315" s="161"/>
      <c r="H315" s="654"/>
      <c r="I315" s="654"/>
      <c r="J315" s="191"/>
      <c r="K315" s="191">
        <v>285292266.97922999</v>
      </c>
      <c r="L315" s="191"/>
      <c r="M315" s="191"/>
      <c r="N315" s="191"/>
      <c r="O315" s="191"/>
      <c r="P315" s="191"/>
      <c r="Q315" s="191"/>
      <c r="R315" s="191"/>
      <c r="S315" s="191"/>
      <c r="T315" s="191"/>
      <c r="U315" s="439"/>
      <c r="V315" s="441"/>
      <c r="W315" s="178"/>
      <c r="X315" s="172"/>
      <c r="Y315" s="172"/>
      <c r="Z315" s="172"/>
      <c r="AA315" s="195"/>
      <c r="AB315" s="172"/>
    </row>
    <row r="316" spans="1:28" ht="12.75" customHeight="1" x14ac:dyDescent="0.3">
      <c r="A316" s="667"/>
      <c r="B316" s="668" t="s">
        <v>4689</v>
      </c>
      <c r="C316" s="160" t="s">
        <v>4690</v>
      </c>
      <c r="D316" s="160"/>
      <c r="E316" s="439"/>
      <c r="F316" s="161">
        <v>1322.014058536</v>
      </c>
      <c r="G316" s="161"/>
      <c r="H316" s="654"/>
      <c r="I316" s="654"/>
      <c r="J316" s="191"/>
      <c r="K316" s="191">
        <v>43368060.487084202</v>
      </c>
      <c r="L316" s="191"/>
      <c r="M316" s="191"/>
      <c r="N316" s="191"/>
      <c r="O316" s="191"/>
      <c r="P316" s="191"/>
      <c r="Q316" s="191"/>
      <c r="R316" s="191"/>
      <c r="S316" s="191"/>
      <c r="T316" s="191"/>
      <c r="U316" s="439"/>
      <c r="V316" s="441"/>
      <c r="W316" s="178"/>
      <c r="X316" s="172"/>
      <c r="Y316" s="172"/>
      <c r="Z316" s="172"/>
      <c r="AA316" s="195"/>
      <c r="AB316" s="172"/>
    </row>
    <row r="317" spans="1:28" ht="12.75" customHeight="1" x14ac:dyDescent="0.3">
      <c r="A317" s="667"/>
      <c r="B317" s="668" t="s">
        <v>4691</v>
      </c>
      <c r="C317" s="160" t="s">
        <v>4692</v>
      </c>
      <c r="D317" s="160"/>
      <c r="E317" s="439"/>
      <c r="F317" s="161">
        <v>1350.0453586650001</v>
      </c>
      <c r="G317" s="161"/>
      <c r="H317" s="654"/>
      <c r="I317" s="654"/>
      <c r="J317" s="191"/>
      <c r="K317" s="191">
        <v>45141917.216713697</v>
      </c>
      <c r="L317" s="191"/>
      <c r="M317" s="191"/>
      <c r="N317" s="191"/>
      <c r="O317" s="191"/>
      <c r="P317" s="191"/>
      <c r="Q317" s="191"/>
      <c r="R317" s="191"/>
      <c r="S317" s="191"/>
      <c r="T317" s="191"/>
      <c r="U317" s="439"/>
      <c r="V317" s="441"/>
      <c r="W317" s="178"/>
      <c r="X317" s="172"/>
      <c r="Y317" s="172"/>
      <c r="Z317" s="172"/>
      <c r="AA317" s="195"/>
      <c r="AB317" s="172"/>
    </row>
    <row r="318" spans="1:28" ht="12.75" customHeight="1" x14ac:dyDescent="0.3">
      <c r="A318" s="667"/>
      <c r="B318" s="668" t="s">
        <v>4693</v>
      </c>
      <c r="C318" s="160" t="s">
        <v>4694</v>
      </c>
      <c r="D318" s="160"/>
      <c r="E318" s="439"/>
      <c r="F318" s="161">
        <v>1378.076658794</v>
      </c>
      <c r="G318" s="161"/>
      <c r="H318" s="654"/>
      <c r="I318" s="654"/>
      <c r="J318" s="191"/>
      <c r="K318" s="191"/>
      <c r="L318" s="191"/>
      <c r="M318" s="191"/>
      <c r="N318" s="191"/>
      <c r="O318" s="191"/>
      <c r="P318" s="191"/>
      <c r="Q318" s="191"/>
      <c r="R318" s="191"/>
      <c r="S318" s="191"/>
      <c r="T318" s="191"/>
      <c r="U318" s="439"/>
      <c r="V318" s="441"/>
      <c r="W318" s="178"/>
      <c r="X318" s="172"/>
      <c r="Y318" s="172"/>
      <c r="Z318" s="172"/>
      <c r="AA318" s="195"/>
      <c r="AB318" s="172"/>
    </row>
    <row r="319" spans="1:28" ht="12.75" customHeight="1" x14ac:dyDescent="0.3">
      <c r="A319" s="667"/>
      <c r="B319" s="668" t="s">
        <v>4695</v>
      </c>
      <c r="C319" s="160" t="s">
        <v>4696</v>
      </c>
      <c r="D319" s="160"/>
      <c r="E319" s="439"/>
      <c r="F319" s="161">
        <v>1406.1079589230001</v>
      </c>
      <c r="G319" s="161"/>
      <c r="H319" s="654"/>
      <c r="I319" s="654"/>
      <c r="J319" s="191"/>
      <c r="K319" s="191"/>
      <c r="L319" s="191"/>
      <c r="M319" s="191"/>
      <c r="N319" s="191"/>
      <c r="O319" s="191"/>
      <c r="P319" s="191"/>
      <c r="Q319" s="191"/>
      <c r="R319" s="191"/>
      <c r="S319" s="191"/>
      <c r="T319" s="191"/>
      <c r="U319" s="439"/>
      <c r="V319" s="441"/>
      <c r="W319" s="178"/>
      <c r="X319" s="172"/>
      <c r="Y319" s="172"/>
      <c r="Z319" s="172"/>
      <c r="AA319" s="195"/>
      <c r="AB319" s="172"/>
    </row>
    <row r="320" spans="1:28" ht="12.75" customHeight="1" x14ac:dyDescent="0.3">
      <c r="A320" s="667"/>
      <c r="B320" s="668" t="s">
        <v>4697</v>
      </c>
      <c r="C320" s="160" t="s">
        <v>4698</v>
      </c>
      <c r="D320" s="160"/>
      <c r="E320" s="439"/>
      <c r="F320" s="161">
        <v>1518.233159438</v>
      </c>
      <c r="G320" s="161"/>
      <c r="H320" s="654"/>
      <c r="I320" s="654"/>
      <c r="J320" s="191"/>
      <c r="K320" s="191"/>
      <c r="L320" s="191"/>
      <c r="M320" s="191"/>
      <c r="N320" s="191"/>
      <c r="O320" s="191"/>
      <c r="P320" s="191"/>
      <c r="Q320" s="191"/>
      <c r="R320" s="191"/>
      <c r="S320" s="191"/>
      <c r="T320" s="191"/>
      <c r="U320" s="439"/>
      <c r="V320" s="441"/>
      <c r="W320" s="178"/>
      <c r="X320" s="172"/>
      <c r="Y320" s="172"/>
      <c r="Z320" s="172"/>
      <c r="AA320" s="195"/>
      <c r="AB320" s="172"/>
    </row>
    <row r="321" spans="1:28" ht="12.75" customHeight="1" x14ac:dyDescent="0.3">
      <c r="A321" s="667"/>
      <c r="B321" s="668" t="s">
        <v>4699</v>
      </c>
      <c r="C321" s="160" t="s">
        <v>4700</v>
      </c>
      <c r="D321" s="160"/>
      <c r="E321" s="439"/>
      <c r="F321" s="161">
        <v>1546.2644595669999</v>
      </c>
      <c r="G321" s="161"/>
      <c r="H321" s="654"/>
      <c r="I321" s="654"/>
      <c r="J321" s="191"/>
      <c r="K321" s="191"/>
      <c r="L321" s="191"/>
      <c r="M321" s="191"/>
      <c r="N321" s="191"/>
      <c r="O321" s="191"/>
      <c r="P321" s="191"/>
      <c r="Q321" s="191"/>
      <c r="R321" s="191"/>
      <c r="S321" s="191"/>
      <c r="T321" s="191"/>
      <c r="U321" s="439"/>
      <c r="V321" s="441"/>
      <c r="W321" s="178"/>
      <c r="X321" s="172"/>
      <c r="Y321" s="172"/>
      <c r="Z321" s="172"/>
      <c r="AA321" s="195"/>
      <c r="AB321" s="172"/>
    </row>
    <row r="322" spans="1:28" ht="12.75" customHeight="1" x14ac:dyDescent="0.3">
      <c r="A322" s="667"/>
      <c r="B322" s="668" t="s">
        <v>4701</v>
      </c>
      <c r="C322" s="160" t="s">
        <v>4702</v>
      </c>
      <c r="D322" s="160"/>
      <c r="E322" s="439"/>
      <c r="F322" s="161">
        <v>881.92136631400001</v>
      </c>
      <c r="G322" s="161"/>
      <c r="H322" s="654"/>
      <c r="I322" s="654"/>
      <c r="J322" s="191"/>
      <c r="K322" s="191">
        <v>261818.30082189801</v>
      </c>
      <c r="L322" s="191"/>
      <c r="M322" s="191"/>
      <c r="N322" s="191"/>
      <c r="O322" s="191"/>
      <c r="P322" s="191"/>
      <c r="Q322" s="191"/>
      <c r="R322" s="191"/>
      <c r="S322" s="191"/>
      <c r="T322" s="191"/>
      <c r="U322" s="439"/>
      <c r="V322" s="441"/>
      <c r="W322" s="178"/>
      <c r="X322" s="172"/>
      <c r="Y322" s="172"/>
      <c r="Z322" s="172"/>
      <c r="AA322" s="195"/>
      <c r="AB322" s="172"/>
    </row>
    <row r="323" spans="1:28" ht="12.75" customHeight="1" x14ac:dyDescent="0.3">
      <c r="A323" s="667"/>
      <c r="B323" s="668" t="s">
        <v>4703</v>
      </c>
      <c r="C323" s="160" t="s">
        <v>4704</v>
      </c>
      <c r="D323" s="160"/>
      <c r="E323" s="439"/>
      <c r="F323" s="161">
        <v>1373.8201200000001</v>
      </c>
      <c r="G323" s="161"/>
      <c r="H323" s="654"/>
      <c r="I323" s="654"/>
      <c r="J323" s="191"/>
      <c r="K323" s="191">
        <v>45068177.903944001</v>
      </c>
      <c r="L323" s="191"/>
      <c r="M323" s="191"/>
      <c r="N323" s="191"/>
      <c r="O323" s="191"/>
      <c r="P323" s="191"/>
      <c r="Q323" s="191"/>
      <c r="R323" s="191"/>
      <c r="S323" s="191"/>
      <c r="T323" s="191"/>
      <c r="U323" s="439"/>
      <c r="V323" s="441"/>
      <c r="W323" s="178"/>
      <c r="X323" s="172"/>
      <c r="Y323" s="172"/>
      <c r="Z323" s="172"/>
      <c r="AA323" s="195"/>
      <c r="AB323" s="172"/>
    </row>
    <row r="324" spans="1:28" ht="12.75" customHeight="1" x14ac:dyDescent="0.3">
      <c r="A324" s="667"/>
      <c r="B324" s="668" t="s">
        <v>4705</v>
      </c>
      <c r="C324" s="160" t="s">
        <v>4706</v>
      </c>
      <c r="D324" s="160"/>
      <c r="E324" s="439"/>
      <c r="F324" s="161">
        <v>1387.8357699999999</v>
      </c>
      <c r="G324" s="161"/>
      <c r="H324" s="654"/>
      <c r="I324" s="654"/>
      <c r="J324" s="191"/>
      <c r="K324" s="191">
        <v>46340423.666319497</v>
      </c>
      <c r="L324" s="191"/>
      <c r="M324" s="191"/>
      <c r="N324" s="191"/>
      <c r="O324" s="191"/>
      <c r="P324" s="191"/>
      <c r="Q324" s="191"/>
      <c r="R324" s="191"/>
      <c r="S324" s="191"/>
      <c r="T324" s="191"/>
      <c r="U324" s="439"/>
      <c r="V324" s="441"/>
      <c r="W324" s="178"/>
      <c r="X324" s="172"/>
      <c r="Y324" s="172"/>
      <c r="Z324" s="172"/>
      <c r="AA324" s="195"/>
      <c r="AB324" s="172"/>
    </row>
    <row r="325" spans="1:28" ht="12.75" customHeight="1" x14ac:dyDescent="0.3">
      <c r="A325" s="667"/>
      <c r="B325" s="668" t="s">
        <v>4707</v>
      </c>
      <c r="C325" s="160" t="s">
        <v>4708</v>
      </c>
      <c r="D325" s="160"/>
      <c r="E325" s="439"/>
      <c r="F325" s="161">
        <v>1401.85142</v>
      </c>
      <c r="G325" s="161"/>
      <c r="H325" s="654"/>
      <c r="I325" s="654"/>
      <c r="J325" s="191"/>
      <c r="K325" s="191">
        <v>47499605.206891201</v>
      </c>
      <c r="L325" s="191"/>
      <c r="M325" s="191"/>
      <c r="N325" s="191"/>
      <c r="O325" s="191"/>
      <c r="P325" s="191"/>
      <c r="Q325" s="191"/>
      <c r="R325" s="191"/>
      <c r="S325" s="191"/>
      <c r="T325" s="191"/>
      <c r="U325" s="439"/>
      <c r="V325" s="441"/>
      <c r="W325" s="178"/>
      <c r="X325" s="172"/>
      <c r="Y325" s="172"/>
      <c r="Z325" s="172"/>
      <c r="AA325" s="195"/>
      <c r="AB325" s="172"/>
    </row>
    <row r="326" spans="1:28" ht="12.75" customHeight="1" x14ac:dyDescent="0.3">
      <c r="A326" s="667"/>
      <c r="B326" s="668" t="s">
        <v>4709</v>
      </c>
      <c r="C326" s="160" t="s">
        <v>4710</v>
      </c>
      <c r="D326" s="160"/>
      <c r="E326" s="439"/>
      <c r="F326" s="161">
        <v>1457.9140199999999</v>
      </c>
      <c r="G326" s="161"/>
      <c r="H326" s="654"/>
      <c r="I326" s="654"/>
      <c r="J326" s="191"/>
      <c r="K326" s="191">
        <v>50972977.1590406</v>
      </c>
      <c r="L326" s="191"/>
      <c r="M326" s="191"/>
      <c r="N326" s="191"/>
      <c r="O326" s="191"/>
      <c r="P326" s="191"/>
      <c r="Q326" s="191"/>
      <c r="R326" s="191"/>
      <c r="S326" s="191"/>
      <c r="T326" s="191"/>
      <c r="U326" s="439"/>
      <c r="V326" s="441"/>
      <c r="W326" s="178"/>
      <c r="X326" s="172"/>
      <c r="Y326" s="172"/>
      <c r="Z326" s="172"/>
      <c r="AA326" s="195"/>
      <c r="AB326" s="172"/>
    </row>
    <row r="327" spans="1:28" ht="12.75" customHeight="1" x14ac:dyDescent="0.3">
      <c r="A327" s="667"/>
      <c r="B327" s="668" t="s">
        <v>4711</v>
      </c>
      <c r="C327" s="160" t="s">
        <v>4712</v>
      </c>
      <c r="D327" s="160"/>
      <c r="E327" s="439"/>
      <c r="F327" s="161">
        <v>1122.0268332319999</v>
      </c>
      <c r="G327" s="161"/>
      <c r="H327" s="654"/>
      <c r="I327" s="654"/>
      <c r="J327" s="191"/>
      <c r="K327" s="191">
        <v>36147644.292866997</v>
      </c>
      <c r="L327" s="191"/>
      <c r="M327" s="191"/>
      <c r="N327" s="191"/>
      <c r="O327" s="191"/>
      <c r="P327" s="191"/>
      <c r="Q327" s="191"/>
      <c r="R327" s="191"/>
      <c r="S327" s="191"/>
      <c r="T327" s="191"/>
      <c r="U327" s="439"/>
      <c r="V327" s="441"/>
      <c r="W327" s="178"/>
      <c r="X327" s="172"/>
      <c r="Y327" s="172"/>
      <c r="Z327" s="172"/>
      <c r="AA327" s="195"/>
      <c r="AB327" s="172"/>
    </row>
    <row r="328" spans="1:28" ht="12.75" customHeight="1" x14ac:dyDescent="0.3">
      <c r="A328" s="667"/>
      <c r="B328" s="668" t="s">
        <v>4713</v>
      </c>
      <c r="C328" s="160" t="s">
        <v>4714</v>
      </c>
      <c r="D328" s="160"/>
      <c r="E328" s="439"/>
      <c r="F328" s="161">
        <v>1150.058133361</v>
      </c>
      <c r="G328" s="161"/>
      <c r="H328" s="654"/>
      <c r="I328" s="654"/>
      <c r="J328" s="191"/>
      <c r="K328" s="191">
        <v>39393992.6913101</v>
      </c>
      <c r="L328" s="191"/>
      <c r="M328" s="191"/>
      <c r="N328" s="191"/>
      <c r="O328" s="191"/>
      <c r="P328" s="191"/>
      <c r="Q328" s="191"/>
      <c r="R328" s="191"/>
      <c r="S328" s="191"/>
      <c r="T328" s="191"/>
      <c r="U328" s="439"/>
      <c r="V328" s="441"/>
      <c r="W328" s="178"/>
      <c r="X328" s="172"/>
      <c r="Y328" s="172"/>
      <c r="Z328" s="172"/>
      <c r="AA328" s="195"/>
      <c r="AB328" s="172"/>
    </row>
    <row r="329" spans="1:28" ht="12.75" customHeight="1" x14ac:dyDescent="0.3">
      <c r="A329" s="667"/>
      <c r="B329" s="668" t="s">
        <v>4715</v>
      </c>
      <c r="C329" s="160" t="s">
        <v>4716</v>
      </c>
      <c r="D329" s="160"/>
      <c r="E329" s="439"/>
      <c r="F329" s="161">
        <v>1178.0894334899999</v>
      </c>
      <c r="G329" s="161"/>
      <c r="H329" s="654"/>
      <c r="I329" s="654"/>
      <c r="J329" s="191"/>
      <c r="K329" s="191"/>
      <c r="L329" s="191"/>
      <c r="M329" s="191"/>
      <c r="N329" s="191"/>
      <c r="O329" s="191"/>
      <c r="P329" s="191"/>
      <c r="Q329" s="191"/>
      <c r="R329" s="191"/>
      <c r="S329" s="191"/>
      <c r="T329" s="191"/>
      <c r="U329" s="439"/>
      <c r="V329" s="441"/>
      <c r="W329" s="178"/>
      <c r="X329" s="172"/>
      <c r="Y329" s="172"/>
      <c r="Z329" s="172"/>
      <c r="AA329" s="195"/>
      <c r="AB329" s="172"/>
    </row>
    <row r="330" spans="1:28" ht="12.75" customHeight="1" x14ac:dyDescent="0.3">
      <c r="A330" s="667"/>
      <c r="B330" s="668" t="s">
        <v>4717</v>
      </c>
      <c r="C330" s="160" t="s">
        <v>4718</v>
      </c>
      <c r="D330" s="160"/>
      <c r="E330" s="439"/>
      <c r="F330" s="161">
        <v>1206.120733619</v>
      </c>
      <c r="G330" s="161"/>
      <c r="H330" s="654"/>
      <c r="I330" s="654"/>
      <c r="J330" s="191"/>
      <c r="K330" s="191"/>
      <c r="L330" s="191"/>
      <c r="M330" s="191"/>
      <c r="N330" s="191"/>
      <c r="O330" s="191"/>
      <c r="P330" s="191"/>
      <c r="Q330" s="191"/>
      <c r="R330" s="191"/>
      <c r="S330" s="191"/>
      <c r="T330" s="191"/>
      <c r="U330" s="439"/>
      <c r="V330" s="441"/>
      <c r="W330" s="178"/>
      <c r="X330" s="172"/>
      <c r="Y330" s="172"/>
      <c r="Z330" s="172"/>
      <c r="AA330" s="195"/>
      <c r="AB330" s="172"/>
    </row>
    <row r="331" spans="1:28" ht="12.75" customHeight="1" x14ac:dyDescent="0.3">
      <c r="A331" s="667"/>
      <c r="B331" s="668" t="s">
        <v>4719</v>
      </c>
      <c r="C331" s="160" t="s">
        <v>4720</v>
      </c>
      <c r="D331" s="160"/>
      <c r="E331" s="439"/>
      <c r="F331" s="161">
        <v>1735.9467201330001</v>
      </c>
      <c r="G331" s="161">
        <v>-80.384</v>
      </c>
      <c r="H331" s="654"/>
      <c r="I331" s="654"/>
      <c r="J331" s="191"/>
      <c r="K331" s="191"/>
      <c r="L331" s="191"/>
      <c r="M331" s="191"/>
      <c r="N331" s="191"/>
      <c r="O331" s="191"/>
      <c r="P331" s="191"/>
      <c r="Q331" s="191"/>
      <c r="R331" s="191"/>
      <c r="S331" s="191"/>
      <c r="T331" s="191"/>
      <c r="U331" s="439"/>
      <c r="V331" s="441"/>
      <c r="W331" s="178"/>
      <c r="X331" s="172"/>
      <c r="Y331" s="172"/>
      <c r="Z331" s="172"/>
      <c r="AA331" s="195"/>
      <c r="AB331" s="172"/>
    </row>
    <row r="332" spans="1:28" ht="12.75" customHeight="1" x14ac:dyDescent="0.3">
      <c r="A332" s="667"/>
      <c r="B332" s="668" t="s">
        <v>4721</v>
      </c>
      <c r="C332" s="160" t="s">
        <v>4722</v>
      </c>
      <c r="D332" s="160"/>
      <c r="E332" s="439">
        <v>1.31</v>
      </c>
      <c r="F332" s="161">
        <v>1484.918202303</v>
      </c>
      <c r="G332" s="161">
        <v>-46.73</v>
      </c>
      <c r="H332" s="654"/>
      <c r="I332" s="654"/>
      <c r="J332" s="191"/>
      <c r="K332" s="191">
        <v>238215491.024351</v>
      </c>
      <c r="L332" s="191"/>
      <c r="M332" s="191"/>
      <c r="N332" s="191"/>
      <c r="O332" s="191"/>
      <c r="P332" s="191"/>
      <c r="Q332" s="191"/>
      <c r="R332" s="191"/>
      <c r="S332" s="191"/>
      <c r="T332" s="191"/>
      <c r="U332" s="439"/>
      <c r="V332" s="441"/>
      <c r="W332" s="178"/>
      <c r="X332" s="172"/>
      <c r="Y332" s="172"/>
      <c r="Z332" s="172"/>
      <c r="AA332" s="195"/>
      <c r="AB332" s="172"/>
    </row>
    <row r="333" spans="1:28" ht="12.75" customHeight="1" x14ac:dyDescent="0.3">
      <c r="A333" s="667"/>
      <c r="B333" s="668" t="s">
        <v>4723</v>
      </c>
      <c r="C333" s="160" t="s">
        <v>4724</v>
      </c>
      <c r="D333" s="160"/>
      <c r="E333" s="439"/>
      <c r="F333" s="161">
        <v>863.96135760599998</v>
      </c>
      <c r="G333" s="161"/>
      <c r="H333" s="654"/>
      <c r="I333" s="654"/>
      <c r="J333" s="191"/>
      <c r="K333" s="191">
        <v>284826.24211802299</v>
      </c>
      <c r="L333" s="191"/>
      <c r="M333" s="191"/>
      <c r="N333" s="191"/>
      <c r="O333" s="191"/>
      <c r="P333" s="191"/>
      <c r="Q333" s="191"/>
      <c r="R333" s="191"/>
      <c r="S333" s="191"/>
      <c r="T333" s="191"/>
      <c r="U333" s="439"/>
      <c r="V333" s="441"/>
      <c r="W333" s="178"/>
      <c r="X333" s="172"/>
      <c r="Y333" s="172"/>
      <c r="Z333" s="172"/>
      <c r="AA333" s="195"/>
      <c r="AB333" s="172"/>
    </row>
    <row r="334" spans="1:28" ht="12.75" customHeight="1" x14ac:dyDescent="0.3">
      <c r="A334" s="667"/>
      <c r="B334" s="668" t="s">
        <v>4725</v>
      </c>
      <c r="C334" s="160" t="s">
        <v>4726</v>
      </c>
      <c r="D334" s="160"/>
      <c r="E334" s="439"/>
      <c r="F334" s="161">
        <v>1515.986223697</v>
      </c>
      <c r="G334" s="161">
        <v>-7.3869999999999996</v>
      </c>
      <c r="H334" s="654"/>
      <c r="I334" s="654"/>
      <c r="J334" s="191"/>
      <c r="K334" s="191">
        <v>7719159.2370556099</v>
      </c>
      <c r="L334" s="191"/>
      <c r="M334" s="191"/>
      <c r="N334" s="191"/>
      <c r="O334" s="191"/>
      <c r="P334" s="191"/>
      <c r="Q334" s="191"/>
      <c r="R334" s="191"/>
      <c r="S334" s="191"/>
      <c r="T334" s="191"/>
      <c r="U334" s="439"/>
      <c r="V334" s="441"/>
      <c r="W334" s="178"/>
      <c r="X334" s="172"/>
      <c r="Y334" s="172"/>
      <c r="Z334" s="172"/>
      <c r="AA334" s="195"/>
      <c r="AB334" s="172"/>
    </row>
    <row r="335" spans="1:28" ht="12.75" customHeight="1" x14ac:dyDescent="0.3">
      <c r="A335" s="667"/>
      <c r="B335" s="668" t="s">
        <v>4727</v>
      </c>
      <c r="C335" s="160" t="s">
        <v>4728</v>
      </c>
      <c r="D335" s="160"/>
      <c r="E335" s="439"/>
      <c r="F335" s="161">
        <v>1515.986223697</v>
      </c>
      <c r="G335" s="161">
        <v>-7.3869999999999996</v>
      </c>
      <c r="H335" s="654"/>
      <c r="I335" s="654"/>
      <c r="J335" s="191"/>
      <c r="K335" s="191">
        <v>7811420.1918647597</v>
      </c>
      <c r="L335" s="191"/>
      <c r="M335" s="191"/>
      <c r="N335" s="191"/>
      <c r="O335" s="191"/>
      <c r="P335" s="191"/>
      <c r="Q335" s="191"/>
      <c r="R335" s="191"/>
      <c r="S335" s="191"/>
      <c r="T335" s="191"/>
      <c r="U335" s="439"/>
      <c r="V335" s="441"/>
      <c r="W335" s="178"/>
      <c r="X335" s="172"/>
      <c r="Y335" s="172"/>
      <c r="Z335" s="172"/>
      <c r="AA335" s="195"/>
      <c r="AB335" s="172"/>
    </row>
    <row r="336" spans="1:28" ht="12.75" customHeight="1" x14ac:dyDescent="0.3">
      <c r="A336" s="667"/>
      <c r="B336" s="668" t="s">
        <v>4729</v>
      </c>
      <c r="C336" s="160" t="s">
        <v>4730</v>
      </c>
      <c r="D336" s="160"/>
      <c r="E336" s="439"/>
      <c r="F336" s="161">
        <v>991.87365</v>
      </c>
      <c r="G336" s="161"/>
      <c r="H336" s="654"/>
      <c r="I336" s="654"/>
      <c r="J336" s="191"/>
      <c r="K336" s="191">
        <v>3581871.4881705199</v>
      </c>
      <c r="L336" s="191"/>
      <c r="M336" s="191"/>
      <c r="N336" s="191"/>
      <c r="O336" s="191"/>
      <c r="P336" s="191"/>
      <c r="Q336" s="191"/>
      <c r="R336" s="191"/>
      <c r="S336" s="191"/>
      <c r="T336" s="191"/>
      <c r="U336" s="439"/>
      <c r="V336" s="441"/>
      <c r="W336" s="178"/>
      <c r="X336" s="172"/>
      <c r="Y336" s="172"/>
      <c r="Z336" s="172"/>
      <c r="AA336" s="195"/>
      <c r="AB336" s="172"/>
    </row>
    <row r="337" spans="1:28" ht="12.75" customHeight="1" x14ac:dyDescent="0.3">
      <c r="A337" s="667"/>
      <c r="B337" s="668" t="s">
        <v>4731</v>
      </c>
      <c r="C337" s="160" t="s">
        <v>4732</v>
      </c>
      <c r="D337" s="160"/>
      <c r="E337" s="439"/>
      <c r="F337" s="161">
        <v>1159.8172500000001</v>
      </c>
      <c r="G337" s="161"/>
      <c r="H337" s="654"/>
      <c r="I337" s="654"/>
      <c r="J337" s="191"/>
      <c r="K337" s="191">
        <v>4476823.7830511201</v>
      </c>
      <c r="L337" s="191"/>
      <c r="M337" s="191"/>
      <c r="N337" s="191"/>
      <c r="O337" s="191"/>
      <c r="P337" s="191"/>
      <c r="Q337" s="191"/>
      <c r="R337" s="191"/>
      <c r="S337" s="191"/>
      <c r="T337" s="191"/>
      <c r="U337" s="439"/>
      <c r="V337" s="441"/>
      <c r="W337" s="178"/>
      <c r="X337" s="172"/>
      <c r="Y337" s="172"/>
      <c r="Z337" s="172"/>
      <c r="AA337" s="195"/>
      <c r="AB337" s="172"/>
    </row>
    <row r="338" spans="1:28" ht="12.75" customHeight="1" x14ac:dyDescent="0.3">
      <c r="A338" s="667"/>
      <c r="B338" s="668" t="s">
        <v>4733</v>
      </c>
      <c r="C338" s="160" t="s">
        <v>4734</v>
      </c>
      <c r="D338" s="160"/>
      <c r="E338" s="439"/>
      <c r="F338" s="161">
        <v>1173.8329000000001</v>
      </c>
      <c r="G338" s="161"/>
      <c r="H338" s="654"/>
      <c r="I338" s="654"/>
      <c r="J338" s="191"/>
      <c r="K338" s="191">
        <v>142085578.551155</v>
      </c>
      <c r="L338" s="191"/>
      <c r="M338" s="191"/>
      <c r="N338" s="191"/>
      <c r="O338" s="191"/>
      <c r="P338" s="191"/>
      <c r="Q338" s="191"/>
      <c r="R338" s="191"/>
      <c r="S338" s="191"/>
      <c r="T338" s="191"/>
      <c r="U338" s="439"/>
      <c r="V338" s="441"/>
      <c r="W338" s="178"/>
      <c r="X338" s="172"/>
      <c r="Y338" s="172"/>
      <c r="Z338" s="172"/>
      <c r="AA338" s="195"/>
      <c r="AB338" s="172"/>
    </row>
    <row r="339" spans="1:28" ht="12.75" customHeight="1" x14ac:dyDescent="0.3">
      <c r="A339" s="667"/>
      <c r="B339" s="668" t="s">
        <v>4735</v>
      </c>
      <c r="C339" s="160" t="s">
        <v>4736</v>
      </c>
      <c r="D339" s="160"/>
      <c r="E339" s="439"/>
      <c r="F339" s="161">
        <v>1201.8642</v>
      </c>
      <c r="G339" s="161"/>
      <c r="H339" s="654"/>
      <c r="I339" s="654"/>
      <c r="J339" s="191"/>
      <c r="K339" s="191">
        <v>565158156.72677898</v>
      </c>
      <c r="L339" s="191"/>
      <c r="M339" s="191"/>
      <c r="N339" s="191"/>
      <c r="O339" s="191"/>
      <c r="P339" s="191"/>
      <c r="Q339" s="191"/>
      <c r="R339" s="191"/>
      <c r="S339" s="191"/>
      <c r="T339" s="191"/>
      <c r="U339" s="439"/>
      <c r="V339" s="441"/>
      <c r="W339" s="178"/>
      <c r="X339" s="172"/>
      <c r="Y339" s="172"/>
      <c r="Z339" s="172"/>
      <c r="AA339" s="195"/>
      <c r="AB339" s="172"/>
    </row>
    <row r="340" spans="1:28" ht="12.75" customHeight="1" x14ac:dyDescent="0.3">
      <c r="A340" s="667"/>
      <c r="B340" s="668" t="s">
        <v>4737</v>
      </c>
      <c r="C340" s="160" t="s">
        <v>4738</v>
      </c>
      <c r="D340" s="160"/>
      <c r="E340" s="439"/>
      <c r="F340" s="161">
        <v>1317.8751600000001</v>
      </c>
      <c r="G340" s="161">
        <v>-3.359</v>
      </c>
      <c r="H340" s="654"/>
      <c r="I340" s="654"/>
      <c r="J340" s="191"/>
      <c r="K340" s="191"/>
      <c r="L340" s="191"/>
      <c r="M340" s="191"/>
      <c r="N340" s="191"/>
      <c r="O340" s="191"/>
      <c r="P340" s="191"/>
      <c r="Q340" s="191"/>
      <c r="R340" s="191"/>
      <c r="S340" s="191"/>
      <c r="T340" s="191"/>
      <c r="U340" s="439"/>
      <c r="V340" s="441"/>
      <c r="W340" s="178"/>
      <c r="X340" s="172"/>
      <c r="Y340" s="172"/>
      <c r="Z340" s="172"/>
      <c r="AA340" s="195"/>
      <c r="AB340" s="172"/>
    </row>
    <row r="341" spans="1:28" ht="12.75" customHeight="1" x14ac:dyDescent="0.3">
      <c r="A341" s="667"/>
      <c r="B341" s="668" t="s">
        <v>4739</v>
      </c>
      <c r="C341" s="160" t="s">
        <v>4740</v>
      </c>
      <c r="D341" s="160"/>
      <c r="E341" s="439"/>
      <c r="F341" s="161">
        <v>865.97700767100002</v>
      </c>
      <c r="G341" s="161"/>
      <c r="H341" s="654"/>
      <c r="I341" s="654"/>
      <c r="J341" s="191"/>
      <c r="K341" s="191">
        <v>290041.40483845602</v>
      </c>
      <c r="L341" s="191"/>
      <c r="M341" s="191"/>
      <c r="N341" s="191"/>
      <c r="O341" s="191"/>
      <c r="P341" s="191"/>
      <c r="Q341" s="191"/>
      <c r="R341" s="191"/>
      <c r="S341" s="191"/>
      <c r="T341" s="191"/>
      <c r="U341" s="439"/>
      <c r="V341" s="441"/>
      <c r="W341" s="178"/>
      <c r="X341" s="172"/>
      <c r="Y341" s="172"/>
      <c r="Z341" s="172"/>
      <c r="AA341" s="195"/>
      <c r="AB341" s="172"/>
    </row>
    <row r="342" spans="1:28" ht="12.75" customHeight="1" x14ac:dyDescent="0.3">
      <c r="A342" s="667"/>
      <c r="B342" s="668" t="s">
        <v>4741</v>
      </c>
      <c r="C342" s="160" t="s">
        <v>4742</v>
      </c>
      <c r="D342" s="160"/>
      <c r="E342" s="439"/>
      <c r="F342" s="161">
        <v>1600.0801240840001</v>
      </c>
      <c r="G342" s="161">
        <v>-10.24</v>
      </c>
      <c r="H342" s="654"/>
      <c r="I342" s="654"/>
      <c r="J342" s="191"/>
      <c r="K342" s="191">
        <v>10718647.779313</v>
      </c>
      <c r="L342" s="191"/>
      <c r="M342" s="191"/>
      <c r="N342" s="191"/>
      <c r="O342" s="191"/>
      <c r="P342" s="191"/>
      <c r="Q342" s="191"/>
      <c r="R342" s="191"/>
      <c r="S342" s="191"/>
      <c r="T342" s="191"/>
      <c r="U342" s="439"/>
      <c r="V342" s="441"/>
      <c r="W342" s="178"/>
      <c r="X342" s="172"/>
      <c r="Y342" s="172"/>
      <c r="Z342" s="172"/>
      <c r="AA342" s="195"/>
      <c r="AB342" s="172"/>
    </row>
    <row r="343" spans="1:28" ht="12.75" customHeight="1" x14ac:dyDescent="0.3">
      <c r="A343" s="667"/>
      <c r="B343" s="668" t="s">
        <v>4743</v>
      </c>
      <c r="C343" s="160" t="s">
        <v>4744</v>
      </c>
      <c r="D343" s="160"/>
      <c r="E343" s="439"/>
      <c r="F343" s="161">
        <v>1600.0801240840001</v>
      </c>
      <c r="G343" s="161">
        <v>-10.24</v>
      </c>
      <c r="H343" s="654"/>
      <c r="I343" s="654"/>
      <c r="J343" s="191"/>
      <c r="K343" s="191">
        <v>10638245.295136901</v>
      </c>
      <c r="L343" s="191"/>
      <c r="M343" s="191"/>
      <c r="N343" s="191"/>
      <c r="O343" s="191"/>
      <c r="P343" s="191"/>
      <c r="Q343" s="191"/>
      <c r="R343" s="191"/>
      <c r="S343" s="191"/>
      <c r="T343" s="191"/>
      <c r="U343" s="439"/>
      <c r="V343" s="441"/>
      <c r="W343" s="178"/>
      <c r="X343" s="172"/>
      <c r="Y343" s="172"/>
      <c r="Z343" s="172"/>
      <c r="AA343" s="195"/>
      <c r="AB343" s="172"/>
    </row>
    <row r="344" spans="1:28" ht="12.75" customHeight="1" x14ac:dyDescent="0.3">
      <c r="A344" s="667"/>
      <c r="B344" s="668" t="s">
        <v>4745</v>
      </c>
      <c r="C344" s="160" t="s">
        <v>4746</v>
      </c>
      <c r="D344" s="160"/>
      <c r="E344" s="439"/>
      <c r="F344" s="161">
        <v>1154.083795216</v>
      </c>
      <c r="G344" s="161">
        <v>14.202</v>
      </c>
      <c r="H344" s="654"/>
      <c r="I344" s="654"/>
      <c r="J344" s="191"/>
      <c r="K344" s="191">
        <v>1050122587.52154</v>
      </c>
      <c r="L344" s="191"/>
      <c r="M344" s="191"/>
      <c r="N344" s="191"/>
      <c r="O344" s="191"/>
      <c r="P344" s="191"/>
      <c r="Q344" s="191"/>
      <c r="R344" s="191"/>
      <c r="S344" s="191"/>
      <c r="T344" s="191"/>
      <c r="U344" s="439"/>
      <c r="V344" s="441"/>
      <c r="W344" s="178"/>
      <c r="X344" s="172"/>
      <c r="Y344" s="172"/>
      <c r="Z344" s="172"/>
      <c r="AA344" s="195"/>
      <c r="AB344" s="172"/>
    </row>
    <row r="345" spans="1:28" ht="12.75" customHeight="1" x14ac:dyDescent="0.3">
      <c r="A345" s="667"/>
      <c r="B345" s="668" t="s">
        <v>4747</v>
      </c>
      <c r="C345" s="160" t="s">
        <v>4748</v>
      </c>
      <c r="D345" s="160"/>
      <c r="E345" s="439"/>
      <c r="F345" s="161">
        <v>894.00830780000001</v>
      </c>
      <c r="G345" s="161"/>
      <c r="H345" s="654"/>
      <c r="I345" s="654"/>
      <c r="J345" s="191"/>
      <c r="K345" s="191">
        <v>4232334.6502183899</v>
      </c>
      <c r="L345" s="191"/>
      <c r="M345" s="191"/>
      <c r="N345" s="191"/>
      <c r="O345" s="191"/>
      <c r="P345" s="191"/>
      <c r="Q345" s="191"/>
      <c r="R345" s="191"/>
      <c r="S345" s="191"/>
      <c r="T345" s="191"/>
      <c r="U345" s="439"/>
      <c r="V345" s="441"/>
      <c r="W345" s="178"/>
      <c r="X345" s="172"/>
      <c r="Y345" s="172"/>
      <c r="Z345" s="172"/>
      <c r="AA345" s="195"/>
      <c r="AB345" s="172"/>
    </row>
    <row r="346" spans="1:28" ht="12.75" customHeight="1" x14ac:dyDescent="0.3">
      <c r="A346" s="667"/>
      <c r="B346" s="668" t="s">
        <v>4749</v>
      </c>
      <c r="C346" s="160" t="s">
        <v>4750</v>
      </c>
      <c r="D346" s="160"/>
      <c r="E346" s="439"/>
      <c r="F346" s="161">
        <v>922.03960792800001</v>
      </c>
      <c r="G346" s="161"/>
      <c r="H346" s="654"/>
      <c r="I346" s="654"/>
      <c r="J346" s="191"/>
      <c r="K346" s="191">
        <v>22508678.602559</v>
      </c>
      <c r="L346" s="191"/>
      <c r="M346" s="191"/>
      <c r="N346" s="191"/>
      <c r="O346" s="191"/>
      <c r="P346" s="191"/>
      <c r="Q346" s="191"/>
      <c r="R346" s="191"/>
      <c r="S346" s="191"/>
      <c r="T346" s="191"/>
      <c r="U346" s="439"/>
      <c r="V346" s="441"/>
      <c r="W346" s="178"/>
      <c r="X346" s="172"/>
      <c r="Y346" s="172"/>
      <c r="Z346" s="172"/>
      <c r="AA346" s="195"/>
      <c r="AB346" s="172"/>
    </row>
    <row r="347" spans="1:28" ht="12.75" customHeight="1" x14ac:dyDescent="0.3">
      <c r="A347" s="667"/>
      <c r="B347" s="668" t="s">
        <v>4751</v>
      </c>
      <c r="C347" s="160" t="s">
        <v>4752</v>
      </c>
      <c r="D347" s="160"/>
      <c r="E347" s="439"/>
      <c r="F347" s="161">
        <v>950.070908057</v>
      </c>
      <c r="G347" s="161"/>
      <c r="H347" s="654"/>
      <c r="I347" s="654"/>
      <c r="J347" s="191"/>
      <c r="K347" s="191">
        <v>27837485.254716799</v>
      </c>
      <c r="L347" s="191"/>
      <c r="M347" s="191"/>
      <c r="N347" s="191"/>
      <c r="O347" s="191"/>
      <c r="P347" s="191"/>
      <c r="Q347" s="191"/>
      <c r="R347" s="191"/>
      <c r="S347" s="191"/>
      <c r="T347" s="191"/>
      <c r="U347" s="439"/>
      <c r="V347" s="441"/>
      <c r="W347" s="178"/>
      <c r="X347" s="172"/>
      <c r="Y347" s="172"/>
      <c r="Z347" s="172"/>
      <c r="AA347" s="195"/>
      <c r="AB347" s="172"/>
    </row>
    <row r="348" spans="1:28" ht="12.75" customHeight="1" x14ac:dyDescent="0.3">
      <c r="A348" s="667"/>
      <c r="B348" s="668" t="s">
        <v>4753</v>
      </c>
      <c r="C348" s="160" t="s">
        <v>4754</v>
      </c>
      <c r="D348" s="160"/>
      <c r="E348" s="439"/>
      <c r="F348" s="161">
        <v>1435.9658821769999</v>
      </c>
      <c r="G348" s="161">
        <v>-69.682000000000002</v>
      </c>
      <c r="H348" s="654"/>
      <c r="I348" s="654"/>
      <c r="J348" s="191"/>
      <c r="K348" s="191">
        <v>227357874.230589</v>
      </c>
      <c r="L348" s="191"/>
      <c r="M348" s="191"/>
      <c r="N348" s="191"/>
      <c r="O348" s="191"/>
      <c r="P348" s="191"/>
      <c r="Q348" s="191"/>
      <c r="R348" s="191"/>
      <c r="S348" s="191"/>
      <c r="T348" s="191"/>
      <c r="U348" s="439"/>
      <c r="V348" s="441"/>
      <c r="W348" s="178"/>
      <c r="X348" s="172"/>
      <c r="Y348" s="172"/>
      <c r="Z348" s="172"/>
      <c r="AA348" s="195"/>
      <c r="AB348" s="172"/>
    </row>
    <row r="349" spans="1:28" ht="12.75" customHeight="1" x14ac:dyDescent="0.3">
      <c r="A349" s="667"/>
      <c r="B349" s="668" t="s">
        <v>4755</v>
      </c>
      <c r="C349" s="160" t="s">
        <v>4756</v>
      </c>
      <c r="D349" s="160"/>
      <c r="E349" s="439"/>
      <c r="F349" s="161">
        <v>925.98037897400002</v>
      </c>
      <c r="G349" s="161"/>
      <c r="H349" s="654"/>
      <c r="I349" s="654"/>
      <c r="J349" s="191"/>
      <c r="K349" s="191">
        <v>21344697.288554601</v>
      </c>
      <c r="L349" s="191"/>
      <c r="M349" s="191"/>
      <c r="N349" s="191"/>
      <c r="O349" s="191"/>
      <c r="P349" s="191"/>
      <c r="Q349" s="191"/>
      <c r="R349" s="191"/>
      <c r="S349" s="191"/>
      <c r="T349" s="191"/>
      <c r="U349" s="439"/>
      <c r="V349" s="441"/>
      <c r="W349" s="178"/>
      <c r="X349" s="172"/>
      <c r="Y349" s="172"/>
      <c r="Z349" s="172"/>
      <c r="AA349" s="195"/>
      <c r="AB349" s="172"/>
    </row>
    <row r="350" spans="1:28" ht="12.75" customHeight="1" x14ac:dyDescent="0.3">
      <c r="A350" s="667"/>
      <c r="B350" s="668" t="s">
        <v>4757</v>
      </c>
      <c r="C350" s="160" t="s">
        <v>4758</v>
      </c>
      <c r="D350" s="160"/>
      <c r="E350" s="439">
        <v>13.864000000000001</v>
      </c>
      <c r="F350" s="161">
        <v>957.95245014800003</v>
      </c>
      <c r="G350" s="161">
        <v>-44.624000000000002</v>
      </c>
      <c r="H350" s="654"/>
      <c r="I350" s="654"/>
      <c r="J350" s="191"/>
      <c r="K350" s="191">
        <v>34151517.025569402</v>
      </c>
      <c r="L350" s="191"/>
      <c r="M350" s="191"/>
      <c r="N350" s="191"/>
      <c r="O350" s="191"/>
      <c r="P350" s="191"/>
      <c r="Q350" s="191"/>
      <c r="R350" s="191"/>
      <c r="S350" s="191"/>
      <c r="T350" s="191"/>
      <c r="U350" s="439"/>
      <c r="V350" s="441"/>
      <c r="W350" s="178"/>
      <c r="X350" s="172"/>
      <c r="Y350" s="172"/>
      <c r="Z350" s="172"/>
      <c r="AA350" s="195"/>
      <c r="AB350" s="172"/>
    </row>
    <row r="351" spans="1:28" ht="12.75" customHeight="1" x14ac:dyDescent="0.3">
      <c r="A351" s="667"/>
      <c r="B351" s="668" t="s">
        <v>4759</v>
      </c>
      <c r="C351" s="160" t="s">
        <v>4760</v>
      </c>
      <c r="D351" s="160"/>
      <c r="E351" s="439"/>
      <c r="F351" s="161">
        <v>965.95666615100004</v>
      </c>
      <c r="G351" s="161"/>
      <c r="H351" s="654"/>
      <c r="I351" s="654"/>
      <c r="J351" s="191"/>
      <c r="K351" s="191">
        <v>23634150.677019902</v>
      </c>
      <c r="L351" s="191"/>
      <c r="M351" s="191"/>
      <c r="N351" s="191"/>
      <c r="O351" s="191"/>
      <c r="P351" s="191"/>
      <c r="Q351" s="191"/>
      <c r="R351" s="191"/>
      <c r="S351" s="191"/>
      <c r="T351" s="191"/>
      <c r="U351" s="439"/>
      <c r="V351" s="441"/>
      <c r="W351" s="178"/>
      <c r="X351" s="172"/>
      <c r="Y351" s="172"/>
      <c r="Z351" s="172"/>
      <c r="AA351" s="195"/>
      <c r="AB351" s="172"/>
    </row>
    <row r="352" spans="1:28" ht="12.75" customHeight="1" x14ac:dyDescent="0.3">
      <c r="A352" s="667"/>
      <c r="B352" s="668" t="s">
        <v>4761</v>
      </c>
      <c r="C352" s="160" t="s">
        <v>4762</v>
      </c>
      <c r="D352" s="160"/>
      <c r="E352" s="439">
        <v>5.67</v>
      </c>
      <c r="F352" s="161">
        <v>980.88040740600002</v>
      </c>
      <c r="G352" s="161">
        <v>100.985</v>
      </c>
      <c r="H352" s="654"/>
      <c r="I352" s="654"/>
      <c r="J352" s="191"/>
      <c r="K352" s="191">
        <v>27294805.253958602</v>
      </c>
      <c r="L352" s="191"/>
      <c r="M352" s="191"/>
      <c r="N352" s="191"/>
      <c r="O352" s="191"/>
      <c r="P352" s="191"/>
      <c r="Q352" s="191"/>
      <c r="R352" s="191"/>
      <c r="S352" s="191"/>
      <c r="T352" s="191"/>
      <c r="U352" s="439"/>
      <c r="V352" s="441"/>
      <c r="W352" s="178"/>
      <c r="X352" s="172"/>
      <c r="Y352" s="172"/>
      <c r="Z352" s="172"/>
      <c r="AA352" s="195"/>
      <c r="AB352" s="172"/>
    </row>
    <row r="353" spans="1:28" ht="12.75" customHeight="1" x14ac:dyDescent="0.3">
      <c r="A353" s="667"/>
      <c r="B353" s="668" t="s">
        <v>4763</v>
      </c>
      <c r="C353" s="160" t="s">
        <v>4764</v>
      </c>
      <c r="D353" s="160"/>
      <c r="E353" s="439">
        <v>1.41</v>
      </c>
      <c r="F353" s="161">
        <v>1184.9373643470001</v>
      </c>
      <c r="G353" s="161">
        <v>-36.027999999999999</v>
      </c>
      <c r="H353" s="654"/>
      <c r="I353" s="654"/>
      <c r="J353" s="191"/>
      <c r="K353" s="191">
        <v>197833575.41433901</v>
      </c>
      <c r="L353" s="191"/>
      <c r="M353" s="191"/>
      <c r="N353" s="191"/>
      <c r="O353" s="191"/>
      <c r="P353" s="191"/>
      <c r="Q353" s="191"/>
      <c r="R353" s="191"/>
      <c r="S353" s="191"/>
      <c r="T353" s="191"/>
      <c r="U353" s="439"/>
      <c r="V353" s="441"/>
      <c r="W353" s="178"/>
      <c r="X353" s="172"/>
      <c r="Y353" s="172"/>
      <c r="Z353" s="172"/>
      <c r="AA353" s="195"/>
      <c r="AB353" s="172"/>
    </row>
    <row r="354" spans="1:28" ht="12.75" customHeight="1" x14ac:dyDescent="0.3">
      <c r="A354" s="667"/>
      <c r="B354" s="668" t="s">
        <v>4765</v>
      </c>
      <c r="C354" s="160" t="s">
        <v>4766</v>
      </c>
      <c r="D354" s="160"/>
      <c r="E354" s="439"/>
      <c r="F354" s="161">
        <v>1073.8392899999999</v>
      </c>
      <c r="G354" s="161"/>
      <c r="H354" s="654"/>
      <c r="I354" s="654"/>
      <c r="J354" s="191"/>
      <c r="K354" s="191">
        <v>4836709.4577218099</v>
      </c>
      <c r="L354" s="191"/>
      <c r="M354" s="191"/>
      <c r="N354" s="191"/>
      <c r="O354" s="191"/>
      <c r="P354" s="191"/>
      <c r="Q354" s="191"/>
      <c r="R354" s="191"/>
      <c r="S354" s="191"/>
      <c r="T354" s="191"/>
      <c r="U354" s="439"/>
      <c r="V354" s="441"/>
      <c r="W354" s="178"/>
      <c r="X354" s="172"/>
      <c r="Y354" s="172"/>
      <c r="Z354" s="172"/>
      <c r="AA354" s="195"/>
      <c r="AB354" s="172"/>
    </row>
    <row r="355" spans="1:28" ht="12.75" customHeight="1" x14ac:dyDescent="0.3">
      <c r="A355" s="667"/>
      <c r="B355" s="668" t="s">
        <v>4767</v>
      </c>
      <c r="C355" s="160" t="s">
        <v>4768</v>
      </c>
      <c r="D355" s="160"/>
      <c r="E355" s="439"/>
      <c r="F355" s="161">
        <v>879.97870356299995</v>
      </c>
      <c r="G355" s="161">
        <v>-28.902000000000001</v>
      </c>
      <c r="H355" s="654">
        <v>6.8375654242000001</v>
      </c>
      <c r="I355" s="654"/>
      <c r="J355" s="191"/>
      <c r="K355" s="191">
        <v>255023.38149637601</v>
      </c>
      <c r="L355" s="191"/>
      <c r="M355" s="191"/>
      <c r="N355" s="191"/>
      <c r="O355" s="191"/>
      <c r="P355" s="191"/>
      <c r="Q355" s="191"/>
      <c r="R355" s="191"/>
      <c r="S355" s="191"/>
      <c r="T355" s="191"/>
      <c r="U355" s="439"/>
      <c r="V355" s="441"/>
      <c r="W355" s="178"/>
      <c r="X355" s="172"/>
      <c r="Y355" s="172"/>
      <c r="Z355" s="172"/>
      <c r="AA355" s="195"/>
      <c r="AB355" s="172"/>
    </row>
    <row r="356" spans="1:28" ht="12.75" customHeight="1" x14ac:dyDescent="0.3">
      <c r="A356" s="667"/>
      <c r="B356" s="668" t="s">
        <v>4769</v>
      </c>
      <c r="C356" s="160" t="s">
        <v>4770</v>
      </c>
      <c r="D356" s="160"/>
      <c r="E356" s="439"/>
      <c r="F356" s="161">
        <v>1065.8384642999999</v>
      </c>
      <c r="G356" s="161"/>
      <c r="H356" s="654"/>
      <c r="I356" s="654"/>
      <c r="J356" s="191"/>
      <c r="K356" s="191">
        <v>552446211.92270195</v>
      </c>
      <c r="L356" s="191"/>
      <c r="M356" s="191"/>
      <c r="N356" s="191"/>
      <c r="O356" s="191"/>
      <c r="P356" s="191"/>
      <c r="Q356" s="191"/>
      <c r="R356" s="191"/>
      <c r="S356" s="191"/>
      <c r="T356" s="191"/>
      <c r="U356" s="439"/>
      <c r="V356" s="441"/>
      <c r="W356" s="178"/>
      <c r="X356" s="172"/>
      <c r="Y356" s="172"/>
      <c r="Z356" s="172"/>
      <c r="AA356" s="195"/>
      <c r="AB356" s="172"/>
    </row>
    <row r="357" spans="1:28" ht="12.75" customHeight="1" x14ac:dyDescent="0.3">
      <c r="A357" s="667"/>
      <c r="B357" s="668" t="s">
        <v>4771</v>
      </c>
      <c r="C357" s="160" t="s">
        <v>4772</v>
      </c>
      <c r="D357" s="160"/>
      <c r="E357" s="439">
        <v>100</v>
      </c>
      <c r="F357" s="161">
        <v>2528.8501807819998</v>
      </c>
      <c r="G357" s="161"/>
      <c r="H357" s="654"/>
      <c r="I357" s="654"/>
      <c r="J357" s="191"/>
      <c r="K357" s="191"/>
      <c r="L357" s="191"/>
      <c r="M357" s="191"/>
      <c r="N357" s="191"/>
      <c r="O357" s="191"/>
      <c r="P357" s="191"/>
      <c r="Q357" s="191"/>
      <c r="R357" s="191"/>
      <c r="S357" s="191"/>
      <c r="T357" s="191"/>
      <c r="U357" s="439"/>
      <c r="V357" s="441"/>
      <c r="W357" s="178"/>
      <c r="X357" s="172"/>
      <c r="Y357" s="172"/>
      <c r="Z357" s="172"/>
      <c r="AA357" s="195"/>
      <c r="AB357" s="172"/>
    </row>
    <row r="358" spans="1:28" ht="12.75" customHeight="1" x14ac:dyDescent="0.3">
      <c r="A358" s="667"/>
      <c r="B358" s="668" t="s">
        <v>4773</v>
      </c>
      <c r="C358" s="160" t="s">
        <v>4774</v>
      </c>
      <c r="D358" s="160"/>
      <c r="E358" s="439"/>
      <c r="F358" s="161">
        <v>1216.0053857410001</v>
      </c>
      <c r="G358" s="161">
        <v>3.3149999999999999</v>
      </c>
      <c r="H358" s="654"/>
      <c r="I358" s="654"/>
      <c r="J358" s="191"/>
      <c r="K358" s="191">
        <v>968790786.76813996</v>
      </c>
      <c r="L358" s="191"/>
      <c r="M358" s="191"/>
      <c r="N358" s="191"/>
      <c r="O358" s="191"/>
      <c r="P358" s="191"/>
      <c r="Q358" s="191"/>
      <c r="R358" s="191"/>
      <c r="S358" s="191"/>
      <c r="T358" s="191"/>
      <c r="U358" s="439"/>
      <c r="V358" s="441"/>
      <c r="W358" s="178"/>
      <c r="X358" s="172"/>
      <c r="Y358" s="172"/>
      <c r="Z358" s="172"/>
      <c r="AA358" s="195"/>
      <c r="AB358" s="172"/>
    </row>
    <row r="359" spans="1:28" ht="12.75" customHeight="1" x14ac:dyDescent="0.3">
      <c r="A359" s="667"/>
      <c r="B359" s="668" t="s">
        <v>4775</v>
      </c>
      <c r="C359" s="160" t="s">
        <v>4776</v>
      </c>
      <c r="D359" s="160"/>
      <c r="E359" s="439"/>
      <c r="F359" s="161">
        <v>965.90936719199999</v>
      </c>
      <c r="G359" s="161"/>
      <c r="H359" s="654"/>
      <c r="I359" s="654"/>
      <c r="J359" s="191"/>
      <c r="K359" s="191">
        <v>4871806157.6629295</v>
      </c>
      <c r="L359" s="191"/>
      <c r="M359" s="191"/>
      <c r="N359" s="191"/>
      <c r="O359" s="191"/>
      <c r="P359" s="191"/>
      <c r="Q359" s="191"/>
      <c r="R359" s="191"/>
      <c r="S359" s="191"/>
      <c r="T359" s="191"/>
      <c r="U359" s="439"/>
      <c r="V359" s="441"/>
      <c r="W359" s="178"/>
      <c r="X359" s="172"/>
      <c r="Y359" s="172"/>
      <c r="Z359" s="172"/>
      <c r="AA359" s="195"/>
      <c r="AB359" s="172"/>
    </row>
    <row r="360" spans="1:28" ht="12.75" customHeight="1" x14ac:dyDescent="0.3">
      <c r="A360" s="667"/>
      <c r="B360" s="668" t="s">
        <v>4777</v>
      </c>
      <c r="C360" s="160" t="s">
        <v>4778</v>
      </c>
      <c r="D360" s="160"/>
      <c r="E360" s="439"/>
      <c r="F360" s="161">
        <v>898.04221186400002</v>
      </c>
      <c r="G360" s="161"/>
      <c r="H360" s="654"/>
      <c r="I360" s="654"/>
      <c r="J360" s="191"/>
      <c r="K360" s="191">
        <v>1115372673.18696</v>
      </c>
      <c r="L360" s="191"/>
      <c r="M360" s="191"/>
      <c r="N360" s="191"/>
      <c r="O360" s="191"/>
      <c r="P360" s="191"/>
      <c r="Q360" s="191"/>
      <c r="R360" s="191"/>
      <c r="S360" s="191"/>
      <c r="T360" s="191"/>
      <c r="U360" s="439"/>
      <c r="V360" s="441"/>
      <c r="W360" s="178"/>
      <c r="X360" s="172"/>
      <c r="Y360" s="172"/>
      <c r="Z360" s="172"/>
      <c r="AA360" s="195"/>
      <c r="AB360" s="172"/>
    </row>
    <row r="361" spans="1:28" ht="12.75" customHeight="1" x14ac:dyDescent="0.3">
      <c r="A361" s="667"/>
      <c r="B361" s="668" t="s">
        <v>4779</v>
      </c>
      <c r="C361" s="160" t="s">
        <v>4780</v>
      </c>
      <c r="D361" s="160"/>
      <c r="E361" s="439">
        <v>4.8</v>
      </c>
      <c r="F361" s="161">
        <v>849.99190762299997</v>
      </c>
      <c r="G361" s="161"/>
      <c r="H361" s="654"/>
      <c r="I361" s="654"/>
      <c r="J361" s="191"/>
      <c r="K361" s="191">
        <v>127221350.073549</v>
      </c>
      <c r="L361" s="191"/>
      <c r="M361" s="191"/>
      <c r="N361" s="191"/>
      <c r="O361" s="191"/>
      <c r="P361" s="191"/>
      <c r="Q361" s="191"/>
      <c r="R361" s="191"/>
      <c r="S361" s="191"/>
      <c r="T361" s="191"/>
      <c r="U361" s="439"/>
      <c r="V361" s="441"/>
      <c r="W361" s="178"/>
      <c r="X361" s="172"/>
      <c r="Y361" s="172"/>
      <c r="Z361" s="172"/>
      <c r="AA361" s="195"/>
      <c r="AB361" s="172"/>
    </row>
    <row r="362" spans="1:28" ht="12.75" customHeight="1" x14ac:dyDescent="0.3">
      <c r="A362" s="667"/>
      <c r="B362" s="668" t="s">
        <v>4781</v>
      </c>
      <c r="C362" s="160" t="s">
        <v>4782</v>
      </c>
      <c r="D362" s="160"/>
      <c r="E362" s="439"/>
      <c r="F362" s="161">
        <v>1239.8521639999999</v>
      </c>
      <c r="G362" s="161"/>
      <c r="H362" s="654"/>
      <c r="I362" s="654"/>
      <c r="J362" s="191"/>
      <c r="K362" s="191"/>
      <c r="L362" s="191"/>
      <c r="M362" s="191"/>
      <c r="N362" s="191"/>
      <c r="O362" s="191"/>
      <c r="P362" s="191"/>
      <c r="Q362" s="191"/>
      <c r="R362" s="191"/>
      <c r="S362" s="191"/>
      <c r="T362" s="191"/>
      <c r="U362" s="439"/>
      <c r="V362" s="441"/>
      <c r="W362" s="178"/>
      <c r="X362" s="172"/>
      <c r="Y362" s="172"/>
      <c r="Z362" s="172"/>
      <c r="AA362" s="195"/>
      <c r="AB362" s="172"/>
    </row>
    <row r="363" spans="1:28" ht="12.75" customHeight="1" x14ac:dyDescent="0.3">
      <c r="A363" s="667"/>
      <c r="B363" s="668" t="s">
        <v>4783</v>
      </c>
      <c r="C363" s="160" t="s">
        <v>4784</v>
      </c>
      <c r="D363" s="160"/>
      <c r="E363" s="439"/>
      <c r="F363" s="161">
        <v>1237.972951</v>
      </c>
      <c r="G363" s="161"/>
      <c r="H363" s="654"/>
      <c r="I363" s="654"/>
      <c r="J363" s="191"/>
      <c r="K363" s="191"/>
      <c r="L363" s="191"/>
      <c r="M363" s="191"/>
      <c r="N363" s="191"/>
      <c r="O363" s="191"/>
      <c r="P363" s="191"/>
      <c r="Q363" s="191"/>
      <c r="R363" s="191"/>
      <c r="S363" s="191"/>
      <c r="T363" s="191"/>
      <c r="U363" s="439"/>
      <c r="V363" s="441"/>
      <c r="W363" s="178"/>
      <c r="X363" s="172"/>
      <c r="Y363" s="172"/>
      <c r="Z363" s="172"/>
      <c r="AA363" s="195"/>
      <c r="AB363" s="172"/>
    </row>
    <row r="364" spans="1:28" ht="12.75" customHeight="1" x14ac:dyDescent="0.3">
      <c r="A364" s="667"/>
      <c r="B364" s="668" t="s">
        <v>4785</v>
      </c>
      <c r="C364" s="160" t="s">
        <v>4786</v>
      </c>
      <c r="D364" s="160"/>
      <c r="E364" s="439"/>
      <c r="F364" s="161">
        <v>1201.972951</v>
      </c>
      <c r="G364" s="161"/>
      <c r="H364" s="654"/>
      <c r="I364" s="654"/>
      <c r="J364" s="191"/>
      <c r="K364" s="191"/>
      <c r="L364" s="191"/>
      <c r="M364" s="191"/>
      <c r="N364" s="191"/>
      <c r="O364" s="191"/>
      <c r="P364" s="191"/>
      <c r="Q364" s="191"/>
      <c r="R364" s="191"/>
      <c r="S364" s="191"/>
      <c r="T364" s="191"/>
      <c r="U364" s="439"/>
      <c r="V364" s="441"/>
      <c r="W364" s="178"/>
      <c r="X364" s="172"/>
      <c r="Y364" s="172"/>
      <c r="Z364" s="172"/>
      <c r="AA364" s="195"/>
      <c r="AB364" s="172"/>
    </row>
    <row r="365" spans="1:28" ht="12.75" customHeight="1" x14ac:dyDescent="0.3">
      <c r="A365" s="667"/>
      <c r="B365" s="668" t="s">
        <v>4787</v>
      </c>
      <c r="C365" s="160" t="s">
        <v>4788</v>
      </c>
      <c r="D365" s="160"/>
      <c r="E365" s="439"/>
      <c r="F365" s="161">
        <v>1202.9430480000001</v>
      </c>
      <c r="G365" s="161"/>
      <c r="H365" s="654"/>
      <c r="I365" s="654"/>
      <c r="J365" s="191"/>
      <c r="K365" s="191"/>
      <c r="L365" s="191"/>
      <c r="M365" s="191"/>
      <c r="N365" s="191"/>
      <c r="O365" s="191"/>
      <c r="P365" s="191"/>
      <c r="Q365" s="191"/>
      <c r="R365" s="191"/>
      <c r="S365" s="191"/>
      <c r="T365" s="191"/>
      <c r="U365" s="439"/>
      <c r="V365" s="441"/>
      <c r="W365" s="178"/>
      <c r="X365" s="172"/>
      <c r="Y365" s="172"/>
      <c r="Z365" s="172"/>
      <c r="AA365" s="195"/>
      <c r="AB365" s="172"/>
    </row>
    <row r="366" spans="1:28" ht="12.75" customHeight="1" x14ac:dyDescent="0.3">
      <c r="A366" s="667"/>
      <c r="B366" s="668" t="s">
        <v>4789</v>
      </c>
      <c r="C366" s="160" t="s">
        <v>4790</v>
      </c>
      <c r="D366" s="160"/>
      <c r="E366" s="439"/>
      <c r="F366" s="161">
        <v>1161.9416510000001</v>
      </c>
      <c r="G366" s="161"/>
      <c r="H366" s="654"/>
      <c r="I366" s="654"/>
      <c r="J366" s="191"/>
      <c r="K366" s="191"/>
      <c r="L366" s="191"/>
      <c r="M366" s="191"/>
      <c r="N366" s="191"/>
      <c r="O366" s="191"/>
      <c r="P366" s="191"/>
      <c r="Q366" s="191"/>
      <c r="R366" s="191"/>
      <c r="S366" s="191"/>
      <c r="T366" s="191"/>
      <c r="U366" s="439"/>
      <c r="V366" s="441"/>
      <c r="W366" s="178"/>
      <c r="X366" s="172"/>
      <c r="Y366" s="172"/>
      <c r="Z366" s="172"/>
      <c r="AA366" s="195"/>
      <c r="AB366" s="172"/>
    </row>
    <row r="367" spans="1:28" ht="12.75" customHeight="1" x14ac:dyDescent="0.3">
      <c r="A367" s="667"/>
      <c r="B367" s="668" t="s">
        <v>4791</v>
      </c>
      <c r="C367" s="160" t="s">
        <v>4792</v>
      </c>
      <c r="D367" s="160"/>
      <c r="E367" s="439"/>
      <c r="F367" s="161">
        <v>1300.0992861279999</v>
      </c>
      <c r="G367" s="161">
        <v>0.46200000000000002</v>
      </c>
      <c r="H367" s="654"/>
      <c r="I367" s="654"/>
      <c r="J367" s="191"/>
      <c r="K367" s="191">
        <v>23771139.462283</v>
      </c>
      <c r="L367" s="191"/>
      <c r="M367" s="191"/>
      <c r="N367" s="191"/>
      <c r="O367" s="191"/>
      <c r="P367" s="191"/>
      <c r="Q367" s="191"/>
      <c r="R367" s="191"/>
      <c r="S367" s="191"/>
      <c r="T367" s="191"/>
      <c r="U367" s="439"/>
      <c r="V367" s="441"/>
      <c r="W367" s="178"/>
      <c r="X367" s="172"/>
      <c r="Y367" s="172"/>
      <c r="Z367" s="172"/>
      <c r="AA367" s="195"/>
      <c r="AB367" s="172"/>
    </row>
    <row r="368" spans="1:28" ht="12.75" customHeight="1" x14ac:dyDescent="0.3">
      <c r="A368" s="667"/>
      <c r="B368" s="668" t="s">
        <v>4793</v>
      </c>
      <c r="C368" s="160" t="s">
        <v>4794</v>
      </c>
      <c r="D368" s="160"/>
      <c r="E368" s="439"/>
      <c r="F368" s="161">
        <v>954.09656991199995</v>
      </c>
      <c r="G368" s="161">
        <v>21.337</v>
      </c>
      <c r="H368" s="654"/>
      <c r="I368" s="654"/>
      <c r="J368" s="191"/>
      <c r="K368" s="191">
        <v>1353224961.00857</v>
      </c>
      <c r="L368" s="191"/>
      <c r="M368" s="191"/>
      <c r="N368" s="191"/>
      <c r="O368" s="191"/>
      <c r="P368" s="191"/>
      <c r="Q368" s="191"/>
      <c r="R368" s="191"/>
      <c r="S368" s="191"/>
      <c r="T368" s="191"/>
      <c r="U368" s="439"/>
      <c r="V368" s="441"/>
      <c r="W368" s="178"/>
      <c r="X368" s="172"/>
      <c r="Y368" s="172"/>
      <c r="Z368" s="172"/>
      <c r="AA368" s="195"/>
      <c r="AB368" s="172"/>
    </row>
    <row r="369" spans="1:28" ht="12.75" customHeight="1" x14ac:dyDescent="0.3">
      <c r="A369" s="667"/>
      <c r="B369" s="668" t="s">
        <v>4795</v>
      </c>
      <c r="C369" s="160" t="s">
        <v>4796</v>
      </c>
      <c r="D369" s="160"/>
      <c r="E369" s="439">
        <v>80.412999999999997</v>
      </c>
      <c r="F369" s="161">
        <v>950.05018970000003</v>
      </c>
      <c r="G369" s="161">
        <v>20.792000000000002</v>
      </c>
      <c r="H369" s="654">
        <v>7.9597900269999999E-4</v>
      </c>
      <c r="I369" s="654"/>
      <c r="J369" s="191"/>
      <c r="K369" s="191">
        <v>1014495208.06873</v>
      </c>
      <c r="L369" s="191"/>
      <c r="M369" s="191"/>
      <c r="N369" s="191"/>
      <c r="O369" s="191"/>
      <c r="P369" s="191"/>
      <c r="Q369" s="191"/>
      <c r="R369" s="191"/>
      <c r="S369" s="191"/>
      <c r="T369" s="191"/>
      <c r="U369" s="439"/>
      <c r="V369" s="441"/>
      <c r="W369" s="178"/>
      <c r="X369" s="172"/>
      <c r="Y369" s="172"/>
      <c r="Z369" s="172"/>
      <c r="AA369" s="195"/>
      <c r="AB369" s="172"/>
    </row>
    <row r="370" spans="1:28" ht="12.75" customHeight="1" x14ac:dyDescent="0.3">
      <c r="A370" s="667"/>
      <c r="B370" s="668" t="s">
        <v>4797</v>
      </c>
      <c r="C370" s="160" t="s">
        <v>4798</v>
      </c>
      <c r="D370" s="160"/>
      <c r="E370" s="439"/>
      <c r="F370" s="161">
        <v>778.11498288200005</v>
      </c>
      <c r="G370" s="161"/>
      <c r="H370" s="654"/>
      <c r="I370" s="654"/>
      <c r="J370" s="191"/>
      <c r="K370" s="191">
        <v>3290788.7201217301</v>
      </c>
      <c r="L370" s="191"/>
      <c r="M370" s="191"/>
      <c r="N370" s="191"/>
      <c r="O370" s="191"/>
      <c r="P370" s="191"/>
      <c r="Q370" s="191"/>
      <c r="R370" s="191"/>
      <c r="S370" s="191"/>
      <c r="T370" s="191"/>
      <c r="U370" s="439"/>
      <c r="V370" s="441"/>
      <c r="W370" s="178"/>
      <c r="X370" s="172"/>
      <c r="Y370" s="172"/>
      <c r="Z370" s="172"/>
      <c r="AA370" s="195"/>
      <c r="AB370" s="172"/>
    </row>
    <row r="371" spans="1:28" ht="12.75" customHeight="1" x14ac:dyDescent="0.3">
      <c r="A371" s="667"/>
      <c r="B371" s="668" t="s">
        <v>4799</v>
      </c>
      <c r="C371" s="160" t="s">
        <v>4800</v>
      </c>
      <c r="D371" s="160"/>
      <c r="E371" s="439">
        <v>6.14</v>
      </c>
      <c r="F371" s="161">
        <v>838.03818911200005</v>
      </c>
      <c r="G371" s="161">
        <v>-0.16500000000000001</v>
      </c>
      <c r="H371" s="654">
        <v>4.2746632893999999E-2</v>
      </c>
      <c r="I371" s="654"/>
      <c r="J371" s="191"/>
      <c r="K371" s="191">
        <v>283113.12269683299</v>
      </c>
      <c r="L371" s="191"/>
      <c r="M371" s="191"/>
      <c r="N371" s="191"/>
      <c r="O371" s="191"/>
      <c r="P371" s="191"/>
      <c r="Q371" s="191"/>
      <c r="R371" s="191"/>
      <c r="S371" s="191"/>
      <c r="T371" s="191"/>
      <c r="U371" s="439"/>
      <c r="V371" s="441"/>
      <c r="W371" s="178"/>
      <c r="X371" s="172"/>
      <c r="Y371" s="172"/>
      <c r="Z371" s="172"/>
      <c r="AA371" s="195"/>
      <c r="AB371" s="172"/>
    </row>
    <row r="372" spans="1:28" ht="12.75" customHeight="1" x14ac:dyDescent="0.3">
      <c r="A372" s="667"/>
      <c r="B372" s="668" t="s">
        <v>4801</v>
      </c>
      <c r="C372" s="160" t="s">
        <v>4802</v>
      </c>
      <c r="D372" s="160"/>
      <c r="E372" s="439">
        <v>4.8</v>
      </c>
      <c r="F372" s="161">
        <v>867.02028659999996</v>
      </c>
      <c r="G372" s="161">
        <v>13.465999999999999</v>
      </c>
      <c r="H372" s="654">
        <v>4.0262577389999998E-2</v>
      </c>
      <c r="I372" s="654"/>
      <c r="J372" s="191"/>
      <c r="K372" s="191">
        <v>2554700.5412085699</v>
      </c>
      <c r="L372" s="191"/>
      <c r="M372" s="191"/>
      <c r="N372" s="191"/>
      <c r="O372" s="191"/>
      <c r="P372" s="191"/>
      <c r="Q372" s="191"/>
      <c r="R372" s="191"/>
      <c r="S372" s="191"/>
      <c r="T372" s="191"/>
      <c r="U372" s="439"/>
      <c r="V372" s="441"/>
      <c r="W372" s="178"/>
      <c r="X372" s="172"/>
      <c r="Y372" s="172"/>
      <c r="Z372" s="172"/>
      <c r="AA372" s="195"/>
      <c r="AB372" s="172"/>
    </row>
    <row r="373" spans="1:28" ht="12.75" customHeight="1" x14ac:dyDescent="0.3">
      <c r="A373" s="667"/>
      <c r="B373" s="668" t="s">
        <v>4803</v>
      </c>
      <c r="C373" s="160" t="s">
        <v>4804</v>
      </c>
      <c r="D373" s="160"/>
      <c r="E373" s="439"/>
      <c r="F373" s="161">
        <v>808.01639104000003</v>
      </c>
      <c r="G373" s="161"/>
      <c r="H373" s="654"/>
      <c r="I373" s="654"/>
      <c r="J373" s="191"/>
      <c r="K373" s="191"/>
      <c r="L373" s="191"/>
      <c r="M373" s="191"/>
      <c r="N373" s="191"/>
      <c r="O373" s="191"/>
      <c r="P373" s="191"/>
      <c r="Q373" s="191"/>
      <c r="R373" s="191"/>
      <c r="S373" s="191"/>
      <c r="T373" s="191"/>
      <c r="U373" s="439"/>
      <c r="V373" s="441"/>
      <c r="W373" s="178"/>
      <c r="X373" s="172"/>
      <c r="Y373" s="172"/>
      <c r="Z373" s="172"/>
      <c r="AA373" s="195"/>
      <c r="AB373" s="172"/>
    </row>
    <row r="374" spans="1:28" ht="12.75" customHeight="1" x14ac:dyDescent="0.3">
      <c r="A374" s="667"/>
      <c r="B374" s="668" t="s">
        <v>4805</v>
      </c>
      <c r="C374" s="160" t="s">
        <v>4806</v>
      </c>
      <c r="D374" s="160"/>
      <c r="E374" s="439"/>
      <c r="F374" s="161">
        <v>822.03204110399997</v>
      </c>
      <c r="G374" s="161"/>
      <c r="H374" s="654"/>
      <c r="I374" s="654"/>
      <c r="J374" s="191"/>
      <c r="K374" s="191">
        <v>252801.70576655699</v>
      </c>
      <c r="L374" s="191"/>
      <c r="M374" s="191"/>
      <c r="N374" s="191"/>
      <c r="O374" s="191"/>
      <c r="P374" s="191"/>
      <c r="Q374" s="191"/>
      <c r="R374" s="191"/>
      <c r="S374" s="191"/>
      <c r="T374" s="191"/>
      <c r="U374" s="439"/>
      <c r="V374" s="441"/>
      <c r="W374" s="178"/>
      <c r="X374" s="172"/>
      <c r="Y374" s="172"/>
      <c r="Z374" s="172"/>
      <c r="AA374" s="195"/>
      <c r="AB374" s="172"/>
    </row>
    <row r="375" spans="1:28" ht="12.6" customHeight="1" x14ac:dyDescent="0.3">
      <c r="A375" s="667"/>
      <c r="B375" s="668" t="s">
        <v>4807</v>
      </c>
      <c r="C375" s="160" t="s">
        <v>4808</v>
      </c>
      <c r="D375" s="160"/>
      <c r="E375" s="439">
        <v>6.67</v>
      </c>
      <c r="F375" s="161">
        <v>810.00688898400006</v>
      </c>
      <c r="G375" s="161"/>
      <c r="H375" s="654"/>
      <c r="I375" s="654"/>
      <c r="J375" s="191"/>
      <c r="K375" s="191">
        <v>274277.38488184899</v>
      </c>
      <c r="L375" s="191"/>
      <c r="M375" s="191"/>
      <c r="N375" s="191"/>
      <c r="O375" s="191"/>
      <c r="P375" s="191"/>
      <c r="Q375" s="191"/>
      <c r="R375" s="191"/>
      <c r="S375" s="191"/>
      <c r="T375" s="191"/>
      <c r="U375" s="439"/>
      <c r="V375" s="441"/>
      <c r="W375" s="178"/>
      <c r="X375" s="172"/>
      <c r="Y375" s="172"/>
      <c r="Z375" s="172"/>
      <c r="AA375" s="195"/>
      <c r="AB375" s="172"/>
    </row>
    <row r="376" spans="1:28" ht="12.6" customHeight="1" x14ac:dyDescent="0.3">
      <c r="A376" s="667"/>
      <c r="B376" s="668" t="s">
        <v>4809</v>
      </c>
      <c r="C376" s="160" t="s">
        <v>4810</v>
      </c>
      <c r="D376" s="160"/>
      <c r="E376" s="439"/>
      <c r="F376" s="161">
        <v>1135.985044221</v>
      </c>
      <c r="G376" s="161">
        <v>-58.98</v>
      </c>
      <c r="H376" s="654"/>
      <c r="I376" s="654"/>
      <c r="J376" s="191"/>
      <c r="K376" s="191">
        <v>29350803.8460434</v>
      </c>
      <c r="L376" s="191"/>
      <c r="M376" s="191"/>
      <c r="N376" s="191"/>
      <c r="O376" s="191"/>
      <c r="P376" s="191"/>
      <c r="Q376" s="191"/>
      <c r="R376" s="191"/>
      <c r="S376" s="191"/>
      <c r="T376" s="191"/>
      <c r="U376" s="439"/>
      <c r="V376" s="441"/>
      <c r="W376" s="178"/>
      <c r="X376" s="172"/>
      <c r="Y376" s="172"/>
      <c r="Z376" s="172"/>
      <c r="AA376" s="195"/>
      <c r="AB376" s="172"/>
    </row>
    <row r="377" spans="1:28" ht="12.6" customHeight="1" x14ac:dyDescent="0.3">
      <c r="A377" s="667"/>
      <c r="B377" s="668" t="s">
        <v>4811</v>
      </c>
      <c r="C377" s="160" t="s">
        <v>4812</v>
      </c>
      <c r="D377" s="160"/>
      <c r="E377" s="439"/>
      <c r="F377" s="161">
        <v>956.05443377400002</v>
      </c>
      <c r="G377" s="161">
        <v>-9.5449999999999999</v>
      </c>
      <c r="H377" s="654">
        <v>1.2909275951599999E-3</v>
      </c>
      <c r="I377" s="654"/>
      <c r="J377" s="191"/>
      <c r="K377" s="191">
        <v>365855846.839176</v>
      </c>
      <c r="L377" s="191"/>
      <c r="M377" s="191"/>
      <c r="N377" s="191"/>
      <c r="O377" s="191"/>
      <c r="P377" s="191"/>
      <c r="Q377" s="191"/>
      <c r="R377" s="191"/>
      <c r="S377" s="191"/>
      <c r="T377" s="191"/>
      <c r="U377" s="439"/>
      <c r="V377" s="441"/>
      <c r="W377" s="178"/>
      <c r="X377" s="172"/>
      <c r="Y377" s="172"/>
      <c r="Z377" s="172"/>
      <c r="AA377" s="195"/>
      <c r="AB377" s="172"/>
    </row>
    <row r="378" spans="1:28" ht="12.6" customHeight="1" x14ac:dyDescent="0.3">
      <c r="A378" s="667"/>
      <c r="B378" s="668" t="s">
        <v>4813</v>
      </c>
      <c r="C378" s="160" t="s">
        <v>4814</v>
      </c>
      <c r="D378" s="160"/>
      <c r="E378" s="439">
        <v>5.29</v>
      </c>
      <c r="F378" s="161">
        <v>970.94079736100002</v>
      </c>
      <c r="G378" s="161">
        <v>-6.98</v>
      </c>
      <c r="H378" s="654">
        <v>54.437905717999897</v>
      </c>
      <c r="I378" s="654"/>
      <c r="J378" s="191"/>
      <c r="K378" s="191">
        <v>286404.60726736998</v>
      </c>
      <c r="L378" s="191"/>
      <c r="M378" s="191"/>
      <c r="N378" s="191"/>
      <c r="O378" s="191"/>
      <c r="P378" s="191"/>
      <c r="Q378" s="191"/>
      <c r="R378" s="191"/>
      <c r="S378" s="191"/>
      <c r="T378" s="191"/>
      <c r="U378" s="439"/>
      <c r="V378" s="441"/>
      <c r="W378" s="178"/>
      <c r="X378" s="172"/>
      <c r="Y378" s="172"/>
      <c r="Z378" s="172"/>
      <c r="AA378" s="195"/>
      <c r="AB378" s="172"/>
    </row>
    <row r="379" spans="1:28" ht="12.6" customHeight="1" x14ac:dyDescent="0.3">
      <c r="A379" s="667"/>
      <c r="B379" s="668" t="s">
        <v>4815</v>
      </c>
      <c r="C379" s="160" t="s">
        <v>4816</v>
      </c>
      <c r="D379" s="160"/>
      <c r="E379" s="439">
        <v>6.8280000000000003</v>
      </c>
      <c r="F379" s="161">
        <v>445.943328108</v>
      </c>
      <c r="G379" s="161"/>
      <c r="H379" s="654"/>
      <c r="I379" s="654"/>
      <c r="J379" s="191"/>
      <c r="K379" s="191">
        <v>96216.598626267398</v>
      </c>
      <c r="L379" s="191"/>
      <c r="M379" s="191"/>
      <c r="N379" s="191"/>
      <c r="O379" s="191"/>
      <c r="P379" s="191"/>
      <c r="Q379" s="191"/>
      <c r="R379" s="191"/>
      <c r="S379" s="191"/>
      <c r="T379" s="191"/>
      <c r="U379" s="439"/>
      <c r="V379" s="441"/>
      <c r="W379" s="178"/>
      <c r="X379" s="172"/>
      <c r="Y379" s="172"/>
      <c r="Z379" s="172"/>
      <c r="AA379" s="195"/>
      <c r="AB379" s="172"/>
    </row>
    <row r="380" spans="1:28" ht="12.6" customHeight="1" x14ac:dyDescent="0.3">
      <c r="A380" s="667"/>
      <c r="B380" s="668" t="s">
        <v>4817</v>
      </c>
      <c r="C380" s="160" t="s">
        <v>4818</v>
      </c>
      <c r="D380" s="160"/>
      <c r="E380" s="439">
        <v>1.1000000000000001</v>
      </c>
      <c r="F380" s="161">
        <v>884.95652639100001</v>
      </c>
      <c r="G380" s="161"/>
      <c r="H380" s="654"/>
      <c r="I380" s="654"/>
      <c r="J380" s="191"/>
      <c r="K380" s="191">
        <v>398538.24131612101</v>
      </c>
      <c r="L380" s="191"/>
      <c r="M380" s="191"/>
      <c r="N380" s="191"/>
      <c r="O380" s="191"/>
      <c r="P380" s="191"/>
      <c r="Q380" s="191"/>
      <c r="R380" s="191"/>
      <c r="S380" s="191"/>
      <c r="T380" s="191"/>
      <c r="U380" s="439"/>
      <c r="V380" s="441"/>
      <c r="W380" s="178"/>
      <c r="X380" s="172"/>
      <c r="Y380" s="172"/>
      <c r="Z380" s="172"/>
      <c r="AA380" s="195"/>
      <c r="AB380" s="172"/>
    </row>
    <row r="381" spans="1:28" ht="12.6" customHeight="1" x14ac:dyDescent="0.3">
      <c r="A381" s="667"/>
      <c r="B381" s="668" t="s">
        <v>4819</v>
      </c>
      <c r="C381" s="160" t="s">
        <v>4820</v>
      </c>
      <c r="D381" s="160"/>
      <c r="E381" s="439"/>
      <c r="F381" s="161">
        <v>836.00420626499999</v>
      </c>
      <c r="G381" s="161"/>
      <c r="H381" s="654"/>
      <c r="I381" s="654"/>
      <c r="J381" s="191"/>
      <c r="K381" s="191">
        <v>269252.65846751502</v>
      </c>
      <c r="L381" s="191"/>
      <c r="M381" s="191"/>
      <c r="N381" s="191"/>
      <c r="O381" s="191"/>
      <c r="P381" s="191"/>
      <c r="Q381" s="191"/>
      <c r="R381" s="191"/>
      <c r="S381" s="191"/>
      <c r="T381" s="191"/>
      <c r="U381" s="439"/>
      <c r="V381" s="441"/>
      <c r="W381" s="178"/>
      <c r="X381" s="172"/>
      <c r="Y381" s="172"/>
      <c r="Z381" s="172"/>
      <c r="AA381" s="195"/>
      <c r="AB381" s="172"/>
    </row>
    <row r="382" spans="1:28" ht="12.6" customHeight="1" x14ac:dyDescent="0.3">
      <c r="A382" s="667"/>
      <c r="B382" s="668" t="s">
        <v>4821</v>
      </c>
      <c r="C382" s="160" t="s">
        <v>4822</v>
      </c>
      <c r="D382" s="160"/>
      <c r="E382" s="439"/>
      <c r="F382" s="161">
        <v>289.99893280399999</v>
      </c>
      <c r="G382" s="161">
        <v>-74.126000000000005</v>
      </c>
      <c r="H382" s="654">
        <v>965.83256391999998</v>
      </c>
      <c r="I382" s="654">
        <v>21.547471705309501</v>
      </c>
      <c r="J382" s="191"/>
      <c r="K382" s="191">
        <v>459.081719890182</v>
      </c>
      <c r="L382" s="191"/>
      <c r="M382" s="191"/>
      <c r="N382" s="191"/>
      <c r="O382" s="191"/>
      <c r="P382" s="191"/>
      <c r="Q382" s="191"/>
      <c r="R382" s="191"/>
      <c r="S382" s="191"/>
      <c r="T382" s="191"/>
      <c r="U382" s="439"/>
      <c r="V382" s="441"/>
      <c r="W382" s="178"/>
      <c r="X382" s="172"/>
      <c r="Y382" s="172"/>
      <c r="Z382" s="172"/>
      <c r="AA382" s="195"/>
      <c r="AB382" s="172"/>
    </row>
    <row r="383" spans="1:28" ht="12.6" customHeight="1" x14ac:dyDescent="0.3">
      <c r="A383" s="667"/>
      <c r="B383" s="668" t="s">
        <v>4823</v>
      </c>
      <c r="C383" s="160" t="s">
        <v>4824</v>
      </c>
      <c r="D383" s="160"/>
      <c r="E383" s="439"/>
      <c r="F383" s="161">
        <v>725.92745372499996</v>
      </c>
      <c r="G383" s="161"/>
      <c r="H383" s="654"/>
      <c r="I383" s="654"/>
      <c r="J383" s="191"/>
      <c r="K383" s="191">
        <v>288888.331105616</v>
      </c>
      <c r="L383" s="191"/>
      <c r="M383" s="191"/>
      <c r="N383" s="191"/>
      <c r="O383" s="191"/>
      <c r="P383" s="191"/>
      <c r="Q383" s="191"/>
      <c r="R383" s="191"/>
      <c r="S383" s="191"/>
      <c r="T383" s="191"/>
      <c r="U383" s="439"/>
      <c r="V383" s="441"/>
      <c r="W383" s="178"/>
      <c r="X383" s="172"/>
      <c r="Y383" s="172"/>
      <c r="Z383" s="172"/>
      <c r="AA383" s="195"/>
      <c r="AB383" s="172"/>
    </row>
    <row r="384" spans="1:28" ht="12.6" customHeight="1" x14ac:dyDescent="0.3">
      <c r="A384" s="667"/>
      <c r="B384" s="668" t="s">
        <v>4825</v>
      </c>
      <c r="C384" s="160" t="s">
        <v>4826</v>
      </c>
      <c r="D384" s="160"/>
      <c r="E384" s="439">
        <v>2.1</v>
      </c>
      <c r="F384" s="161">
        <v>356.97173225400002</v>
      </c>
      <c r="G384" s="161"/>
      <c r="H384" s="654"/>
      <c r="I384" s="654"/>
      <c r="J384" s="191"/>
      <c r="K384" s="191"/>
      <c r="L384" s="191"/>
      <c r="M384" s="191"/>
      <c r="N384" s="191"/>
      <c r="O384" s="191"/>
      <c r="P384" s="191"/>
      <c r="Q384" s="191"/>
      <c r="R384" s="191"/>
      <c r="S384" s="191"/>
      <c r="T384" s="191"/>
      <c r="U384" s="439"/>
      <c r="V384" s="441"/>
      <c r="W384" s="178"/>
      <c r="X384" s="172"/>
      <c r="Y384" s="172"/>
      <c r="Z384" s="172"/>
      <c r="AA384" s="195"/>
      <c r="AB384" s="172"/>
    </row>
    <row r="385" spans="1:28" ht="12.6" customHeight="1" x14ac:dyDescent="0.3">
      <c r="A385" s="667"/>
      <c r="B385" s="668" t="s">
        <v>4827</v>
      </c>
      <c r="C385" s="160" t="s">
        <v>4828</v>
      </c>
      <c r="D385" s="160"/>
      <c r="E385" s="439">
        <v>18</v>
      </c>
      <c r="F385" s="161">
        <v>287.01811089400002</v>
      </c>
      <c r="G385" s="161"/>
      <c r="H385" s="654"/>
      <c r="I385" s="654"/>
      <c r="J385" s="191"/>
      <c r="K385" s="191">
        <v>55627.558612218301</v>
      </c>
      <c r="L385" s="191"/>
      <c r="M385" s="191"/>
      <c r="N385" s="191"/>
      <c r="O385" s="191"/>
      <c r="P385" s="191"/>
      <c r="Q385" s="191"/>
      <c r="R385" s="191"/>
      <c r="S385" s="191"/>
      <c r="T385" s="191"/>
      <c r="U385" s="439"/>
      <c r="V385" s="441"/>
      <c r="W385" s="178"/>
      <c r="X385" s="172"/>
      <c r="Y385" s="172"/>
      <c r="Z385" s="172"/>
      <c r="AA385" s="195"/>
      <c r="AB385" s="172"/>
    </row>
    <row r="386" spans="1:28" ht="12.6" customHeight="1" x14ac:dyDescent="0.3">
      <c r="A386" s="667"/>
      <c r="B386" s="668" t="s">
        <v>4829</v>
      </c>
      <c r="C386" s="160" t="s">
        <v>4830</v>
      </c>
      <c r="D386" s="160"/>
      <c r="E386" s="439">
        <v>9.09</v>
      </c>
      <c r="F386" s="161">
        <v>236.018445246</v>
      </c>
      <c r="G386" s="161"/>
      <c r="H386" s="654"/>
      <c r="I386" s="654"/>
      <c r="J386" s="191"/>
      <c r="K386" s="191">
        <v>189.47416419929101</v>
      </c>
      <c r="L386" s="191"/>
      <c r="M386" s="191"/>
      <c r="N386" s="191"/>
      <c r="O386" s="191"/>
      <c r="P386" s="191"/>
      <c r="Q386" s="191"/>
      <c r="R386" s="191"/>
      <c r="S386" s="191"/>
      <c r="T386" s="191"/>
      <c r="U386" s="439"/>
      <c r="V386" s="441"/>
      <c r="W386" s="178"/>
      <c r="X386" s="172"/>
      <c r="Y386" s="172"/>
      <c r="Z386" s="172"/>
      <c r="AA386" s="195"/>
      <c r="AB386" s="172"/>
    </row>
    <row r="387" spans="1:28" ht="12.6" customHeight="1" x14ac:dyDescent="0.3">
      <c r="A387" s="667"/>
      <c r="B387" s="668" t="s">
        <v>4831</v>
      </c>
      <c r="C387" s="160" t="s">
        <v>4832</v>
      </c>
      <c r="D387" s="160"/>
      <c r="E387" s="439">
        <v>7.81</v>
      </c>
      <c r="F387" s="161">
        <v>240.049745374</v>
      </c>
      <c r="G387" s="161">
        <v>-37.984999999999999</v>
      </c>
      <c r="H387" s="654">
        <v>240.93551873999999</v>
      </c>
      <c r="I387" s="654">
        <v>62.994334280535803</v>
      </c>
      <c r="J387" s="191"/>
      <c r="K387" s="191">
        <v>84.323767085107306</v>
      </c>
      <c r="L387" s="191"/>
      <c r="M387" s="191"/>
      <c r="N387" s="191"/>
      <c r="O387" s="191"/>
      <c r="P387" s="191"/>
      <c r="Q387" s="191"/>
      <c r="R387" s="191"/>
      <c r="S387" s="191"/>
      <c r="T387" s="191"/>
      <c r="U387" s="439"/>
      <c r="V387" s="441"/>
      <c r="W387" s="178"/>
      <c r="X387" s="172"/>
      <c r="Y387" s="172"/>
      <c r="Z387" s="172"/>
      <c r="AA387" s="195"/>
      <c r="AB387" s="172"/>
    </row>
    <row r="388" spans="1:28" ht="12.6" customHeight="1" x14ac:dyDescent="0.3">
      <c r="A388" s="667"/>
      <c r="B388" s="668" t="s">
        <v>4833</v>
      </c>
      <c r="C388" s="160" t="s">
        <v>4834</v>
      </c>
      <c r="D388" s="160"/>
      <c r="E388" s="439">
        <v>4.51</v>
      </c>
      <c r="F388" s="161">
        <v>1328.926828958</v>
      </c>
      <c r="G388" s="161"/>
      <c r="H388" s="654"/>
      <c r="I388" s="654"/>
      <c r="J388" s="191"/>
      <c r="K388" s="191">
        <v>9324810.1826130506</v>
      </c>
      <c r="L388" s="191"/>
      <c r="M388" s="191"/>
      <c r="N388" s="191"/>
      <c r="O388" s="191"/>
      <c r="P388" s="191"/>
      <c r="Q388" s="191"/>
      <c r="R388" s="191"/>
      <c r="S388" s="191"/>
      <c r="T388" s="191"/>
      <c r="U388" s="439"/>
      <c r="V388" s="441"/>
      <c r="W388" s="178"/>
      <c r="X388" s="172"/>
      <c r="Y388" s="172"/>
      <c r="Z388" s="172"/>
      <c r="AA388" s="195"/>
      <c r="AB388" s="172"/>
    </row>
    <row r="389" spans="1:28" ht="12.6" customHeight="1" x14ac:dyDescent="0.3">
      <c r="A389" s="667"/>
      <c r="B389" s="668" t="s">
        <v>4835</v>
      </c>
      <c r="C389" s="160" t="s">
        <v>4836</v>
      </c>
      <c r="D389" s="160"/>
      <c r="E389" s="439">
        <v>5.68</v>
      </c>
      <c r="F389" s="161">
        <v>1003.942274528</v>
      </c>
      <c r="G389" s="161"/>
      <c r="H389" s="654"/>
      <c r="I389" s="654"/>
      <c r="J389" s="191"/>
      <c r="K389" s="191">
        <v>288968.16493032698</v>
      </c>
      <c r="L389" s="191"/>
      <c r="M389" s="191"/>
      <c r="N389" s="191"/>
      <c r="O389" s="191"/>
      <c r="P389" s="191"/>
      <c r="Q389" s="191"/>
      <c r="R389" s="191"/>
      <c r="S389" s="191"/>
      <c r="T389" s="191"/>
      <c r="U389" s="439"/>
      <c r="V389" s="441"/>
      <c r="W389" s="178"/>
      <c r="X389" s="172"/>
      <c r="Y389" s="172"/>
      <c r="Z389" s="172"/>
      <c r="AA389" s="195"/>
      <c r="AB389" s="172"/>
    </row>
    <row r="390" spans="1:28" ht="12.6" customHeight="1" x14ac:dyDescent="0.3">
      <c r="A390" s="667"/>
      <c r="B390" s="668" t="s">
        <v>4837</v>
      </c>
      <c r="C390" s="160" t="s">
        <v>4838</v>
      </c>
      <c r="D390" s="160"/>
      <c r="E390" s="439"/>
      <c r="F390" s="161">
        <v>1263.990129601</v>
      </c>
      <c r="G390" s="161">
        <v>-35.090000000000003</v>
      </c>
      <c r="H390" s="654"/>
      <c r="I390" s="654"/>
      <c r="J390" s="191"/>
      <c r="K390" s="191">
        <v>22020136.156240501</v>
      </c>
      <c r="L390" s="191"/>
      <c r="M390" s="191"/>
      <c r="N390" s="191"/>
      <c r="O390" s="191"/>
      <c r="P390" s="191"/>
      <c r="Q390" s="191"/>
      <c r="R390" s="191"/>
      <c r="S390" s="191"/>
      <c r="T390" s="191"/>
      <c r="U390" s="439"/>
      <c r="V390" s="441"/>
      <c r="W390" s="178"/>
      <c r="X390" s="172"/>
      <c r="Y390" s="172"/>
      <c r="Z390" s="172"/>
      <c r="AA390" s="195"/>
      <c r="AB390" s="172"/>
    </row>
    <row r="391" spans="1:28" ht="12.6" customHeight="1" x14ac:dyDescent="0.3">
      <c r="A391" s="667"/>
      <c r="B391" s="668" t="s">
        <v>4839</v>
      </c>
      <c r="C391" s="160" t="s">
        <v>4840</v>
      </c>
      <c r="D391" s="160"/>
      <c r="E391" s="439"/>
      <c r="F391" s="161">
        <v>1233.896033218</v>
      </c>
      <c r="G391" s="161"/>
      <c r="H391" s="654"/>
      <c r="I391" s="654"/>
      <c r="J391" s="191"/>
      <c r="K391" s="191">
        <v>418832.139207097</v>
      </c>
      <c r="L391" s="191"/>
      <c r="M391" s="191"/>
      <c r="N391" s="191"/>
      <c r="O391" s="191"/>
      <c r="P391" s="191"/>
      <c r="Q391" s="191"/>
      <c r="R391" s="191"/>
      <c r="S391" s="191"/>
      <c r="T391" s="191"/>
      <c r="U391" s="439"/>
      <c r="V391" s="441"/>
      <c r="W391" s="178"/>
      <c r="X391" s="172"/>
      <c r="Y391" s="172"/>
      <c r="Z391" s="172"/>
      <c r="AA391" s="195"/>
      <c r="AB391" s="172"/>
    </row>
    <row r="392" spans="1:28" ht="12.6" customHeight="1" x14ac:dyDescent="0.3">
      <c r="A392" s="667"/>
      <c r="B392" s="668" t="s">
        <v>4841</v>
      </c>
      <c r="C392" s="160" t="s">
        <v>4842</v>
      </c>
      <c r="D392" s="160"/>
      <c r="E392" s="439"/>
      <c r="F392" s="161">
        <v>569.95469882600003</v>
      </c>
      <c r="G392" s="161"/>
      <c r="H392" s="654"/>
      <c r="I392" s="654"/>
      <c r="J392" s="191"/>
      <c r="K392" s="191">
        <v>54858.003770314601</v>
      </c>
      <c r="L392" s="191"/>
      <c r="M392" s="191"/>
      <c r="N392" s="191"/>
      <c r="O392" s="191"/>
      <c r="P392" s="191"/>
      <c r="Q392" s="191"/>
      <c r="R392" s="191"/>
      <c r="S392" s="191"/>
      <c r="T392" s="191"/>
      <c r="U392" s="439"/>
      <c r="V392" s="441"/>
      <c r="W392" s="178"/>
      <c r="X392" s="172"/>
      <c r="Y392" s="172"/>
      <c r="Z392" s="172"/>
      <c r="AA392" s="195"/>
      <c r="AB392" s="172"/>
    </row>
    <row r="393" spans="1:28" ht="12.6" customHeight="1" x14ac:dyDescent="0.3">
      <c r="A393" s="667"/>
      <c r="B393" s="668" t="s">
        <v>4843</v>
      </c>
      <c r="C393" s="160" t="s">
        <v>4844</v>
      </c>
      <c r="D393" s="160"/>
      <c r="E393" s="439"/>
      <c r="F393" s="161">
        <v>901.92536602200005</v>
      </c>
      <c r="G393" s="161"/>
      <c r="H393" s="654"/>
      <c r="I393" s="654"/>
      <c r="J393" s="191"/>
      <c r="K393" s="191">
        <v>275987.87335663202</v>
      </c>
      <c r="L393" s="191"/>
      <c r="M393" s="191"/>
      <c r="N393" s="191"/>
      <c r="O393" s="191"/>
      <c r="P393" s="191"/>
      <c r="Q393" s="191"/>
      <c r="R393" s="191"/>
      <c r="S393" s="191"/>
      <c r="T393" s="191"/>
      <c r="U393" s="439"/>
      <c r="V393" s="441"/>
      <c r="W393" s="178"/>
      <c r="X393" s="172"/>
      <c r="Y393" s="172"/>
      <c r="Z393" s="172"/>
      <c r="AA393" s="195"/>
      <c r="AB393" s="172"/>
    </row>
    <row r="394" spans="1:28" ht="12.6" customHeight="1" x14ac:dyDescent="0.3">
      <c r="A394" s="667"/>
      <c r="B394" s="668" t="s">
        <v>4845</v>
      </c>
      <c r="C394" s="160" t="s">
        <v>4846</v>
      </c>
      <c r="D394" s="160"/>
      <c r="E394" s="439"/>
      <c r="F394" s="161">
        <v>901.92536602200005</v>
      </c>
      <c r="G394" s="161"/>
      <c r="H394" s="654"/>
      <c r="I394" s="654"/>
      <c r="J394" s="191"/>
      <c r="K394" s="191">
        <v>275987.87335663202</v>
      </c>
      <c r="L394" s="191"/>
      <c r="M394" s="191"/>
      <c r="N394" s="191"/>
      <c r="O394" s="191"/>
      <c r="P394" s="191"/>
      <c r="Q394" s="191"/>
      <c r="R394" s="191"/>
      <c r="S394" s="191"/>
      <c r="T394" s="191"/>
      <c r="U394" s="439"/>
      <c r="V394" s="441"/>
      <c r="W394" s="178"/>
      <c r="X394" s="172"/>
      <c r="Y394" s="172"/>
      <c r="Z394" s="172"/>
      <c r="AA394" s="195"/>
      <c r="AB394" s="172"/>
    </row>
    <row r="395" spans="1:28" ht="12.6" customHeight="1" x14ac:dyDescent="0.3">
      <c r="A395" s="667"/>
      <c r="B395" s="668" t="s">
        <v>4847</v>
      </c>
      <c r="C395" s="160" t="s">
        <v>4848</v>
      </c>
      <c r="D395" s="160"/>
      <c r="E395" s="439"/>
      <c r="F395" s="161">
        <v>212.00721185800001</v>
      </c>
      <c r="G395" s="161"/>
      <c r="H395" s="654"/>
      <c r="I395" s="654"/>
      <c r="J395" s="191"/>
      <c r="K395" s="191">
        <v>82.862875486348699</v>
      </c>
      <c r="L395" s="191"/>
      <c r="M395" s="191"/>
      <c r="N395" s="191"/>
      <c r="O395" s="191"/>
      <c r="P395" s="191"/>
      <c r="Q395" s="191"/>
      <c r="R395" s="191"/>
      <c r="S395" s="191"/>
      <c r="T395" s="191"/>
      <c r="U395" s="439"/>
      <c r="V395" s="441"/>
      <c r="W395" s="178"/>
      <c r="X395" s="172"/>
      <c r="Y395" s="172"/>
      <c r="Z395" s="172"/>
      <c r="AA395" s="195"/>
      <c r="AB395" s="172"/>
    </row>
    <row r="396" spans="1:28" ht="12.6" customHeight="1" x14ac:dyDescent="0.3">
      <c r="A396" s="667"/>
      <c r="B396" s="668" t="s">
        <v>4849</v>
      </c>
      <c r="C396" s="160" t="s">
        <v>4850</v>
      </c>
      <c r="D396" s="160"/>
      <c r="E396" s="439">
        <v>4.24</v>
      </c>
      <c r="F396" s="161">
        <v>434.98526945700002</v>
      </c>
      <c r="G396" s="161">
        <v>-60.773000000000003</v>
      </c>
      <c r="H396" s="654">
        <v>8.4898916312000008</v>
      </c>
      <c r="I396" s="654">
        <v>0.62730095678932796</v>
      </c>
      <c r="J396" s="191"/>
      <c r="K396" s="191">
        <v>116447.454647117</v>
      </c>
      <c r="L396" s="191"/>
      <c r="M396" s="191"/>
      <c r="N396" s="191"/>
      <c r="O396" s="191"/>
      <c r="P396" s="191"/>
      <c r="Q396" s="191"/>
      <c r="R396" s="191"/>
      <c r="S396" s="191"/>
      <c r="T396" s="191"/>
      <c r="U396" s="439"/>
      <c r="V396" s="441"/>
      <c r="W396" s="178"/>
      <c r="X396" s="172"/>
      <c r="Y396" s="172"/>
      <c r="Z396" s="172"/>
      <c r="AA396" s="195"/>
      <c r="AB396" s="172"/>
    </row>
    <row r="397" spans="1:28" ht="12.6" customHeight="1" x14ac:dyDescent="0.3">
      <c r="A397" s="667"/>
      <c r="B397" s="668" t="s">
        <v>4851</v>
      </c>
      <c r="C397" s="160" t="s">
        <v>4852</v>
      </c>
      <c r="D397" s="160"/>
      <c r="E397" s="439"/>
      <c r="F397" s="161">
        <v>762.15273000000002</v>
      </c>
      <c r="G397" s="161"/>
      <c r="H397" s="654"/>
      <c r="I397" s="654"/>
      <c r="J397" s="191"/>
      <c r="K397" s="191">
        <v>326933933.71947902</v>
      </c>
      <c r="L397" s="191"/>
      <c r="M397" s="191"/>
      <c r="N397" s="191"/>
      <c r="O397" s="191"/>
      <c r="P397" s="191"/>
      <c r="Q397" s="191"/>
      <c r="R397" s="191"/>
      <c r="S397" s="191"/>
      <c r="T397" s="191"/>
      <c r="U397" s="439"/>
      <c r="V397" s="441"/>
      <c r="W397" s="178"/>
      <c r="X397" s="172"/>
      <c r="Y397" s="172"/>
      <c r="Z397" s="172"/>
      <c r="AA397" s="195"/>
      <c r="AB397" s="172"/>
    </row>
    <row r="398" spans="1:28" ht="12.6" customHeight="1" x14ac:dyDescent="0.3">
      <c r="A398" s="667"/>
      <c r="B398" s="668" t="s">
        <v>4853</v>
      </c>
      <c r="C398" s="160" t="s">
        <v>4854</v>
      </c>
      <c r="D398" s="160"/>
      <c r="E398" s="439"/>
      <c r="F398" s="161">
        <v>273.92779000000002</v>
      </c>
      <c r="G398" s="161">
        <v>-52.832999999999998</v>
      </c>
      <c r="H398" s="654">
        <v>992.89159703999997</v>
      </c>
      <c r="I398" s="654">
        <v>163.92167666948001</v>
      </c>
      <c r="J398" s="191"/>
      <c r="K398" s="191">
        <v>561.12549302939499</v>
      </c>
      <c r="L398" s="191"/>
      <c r="M398" s="191"/>
      <c r="N398" s="191"/>
      <c r="O398" s="191"/>
      <c r="P398" s="191"/>
      <c r="Q398" s="191"/>
      <c r="R398" s="191"/>
      <c r="S398" s="191"/>
      <c r="T398" s="191"/>
      <c r="U398" s="439"/>
      <c r="V398" s="441"/>
      <c r="W398" s="178"/>
      <c r="X398" s="172"/>
      <c r="Y398" s="172"/>
      <c r="Z398" s="172"/>
      <c r="AA398" s="195"/>
      <c r="AB398" s="172"/>
    </row>
    <row r="399" spans="1:28" ht="12.6" customHeight="1" x14ac:dyDescent="0.3">
      <c r="A399" s="667"/>
      <c r="B399" s="668" t="s">
        <v>4855</v>
      </c>
      <c r="C399" s="160" t="s">
        <v>4856</v>
      </c>
      <c r="D399" s="160"/>
      <c r="E399" s="439"/>
      <c r="F399" s="161">
        <v>259.91214000000002</v>
      </c>
      <c r="G399" s="161">
        <v>-40.631999999999998</v>
      </c>
      <c r="H399" s="654">
        <v>3934.6121962000002</v>
      </c>
      <c r="I399" s="654">
        <v>135.77706228744</v>
      </c>
      <c r="J399" s="191"/>
      <c r="K399" s="191">
        <v>158.33247479380401</v>
      </c>
      <c r="L399" s="191"/>
      <c r="M399" s="191"/>
      <c r="N399" s="191"/>
      <c r="O399" s="191"/>
      <c r="P399" s="191"/>
      <c r="Q399" s="191"/>
      <c r="R399" s="191"/>
      <c r="S399" s="191"/>
      <c r="T399" s="191"/>
      <c r="U399" s="439"/>
      <c r="V399" s="441"/>
      <c r="W399" s="178"/>
      <c r="X399" s="172"/>
      <c r="Y399" s="172"/>
      <c r="Z399" s="172"/>
      <c r="AA399" s="195"/>
      <c r="AB399" s="172"/>
    </row>
    <row r="400" spans="1:28" ht="12.6" customHeight="1" x14ac:dyDescent="0.3">
      <c r="A400" s="667"/>
      <c r="B400" s="668" t="s">
        <v>4857</v>
      </c>
      <c r="C400" s="160" t="s">
        <v>4858</v>
      </c>
      <c r="D400" s="160"/>
      <c r="E400" s="439"/>
      <c r="F400" s="161">
        <v>204.02097021599999</v>
      </c>
      <c r="G400" s="161">
        <v>-69.754999999999995</v>
      </c>
      <c r="H400" s="654">
        <v>788.68228964000002</v>
      </c>
      <c r="I400" s="654">
        <v>23805.370825773</v>
      </c>
      <c r="J400" s="191"/>
      <c r="K400" s="191">
        <v>51.646393516787398</v>
      </c>
      <c r="L400" s="191"/>
      <c r="M400" s="191"/>
      <c r="N400" s="191"/>
      <c r="O400" s="191"/>
      <c r="P400" s="191"/>
      <c r="Q400" s="191"/>
      <c r="R400" s="191"/>
      <c r="S400" s="191"/>
      <c r="T400" s="191"/>
      <c r="U400" s="439"/>
      <c r="V400" s="441"/>
      <c r="W400" s="178"/>
      <c r="X400" s="172"/>
      <c r="Y400" s="172"/>
      <c r="Z400" s="172"/>
      <c r="AA400" s="195"/>
      <c r="AB400" s="172"/>
    </row>
    <row r="401" spans="1:28" ht="12.75" customHeight="1" x14ac:dyDescent="0.3">
      <c r="A401" s="667"/>
      <c r="B401" s="668" t="s">
        <v>4859</v>
      </c>
      <c r="C401" s="160" t="s">
        <v>4860</v>
      </c>
      <c r="D401" s="160"/>
      <c r="E401" s="439"/>
      <c r="F401" s="161">
        <v>137.99041897800001</v>
      </c>
      <c r="G401" s="161">
        <v>-96.152000000000001</v>
      </c>
      <c r="H401" s="654">
        <v>1351765.0902</v>
      </c>
      <c r="I401" s="654">
        <v>125.848780002544</v>
      </c>
      <c r="J401" s="191"/>
      <c r="K401" s="191">
        <v>99.866539202846795</v>
      </c>
      <c r="L401" s="191"/>
      <c r="M401" s="191"/>
      <c r="N401" s="191"/>
      <c r="O401" s="191"/>
      <c r="P401" s="191"/>
      <c r="Q401" s="191"/>
      <c r="R401" s="191"/>
      <c r="S401" s="191"/>
      <c r="T401" s="191"/>
      <c r="U401" s="439"/>
      <c r="V401" s="441"/>
      <c r="W401" s="178"/>
      <c r="X401" s="172"/>
      <c r="Y401" s="172"/>
      <c r="Z401" s="172"/>
      <c r="AA401" s="195"/>
      <c r="AB401" s="172"/>
    </row>
    <row r="402" spans="1:28" ht="12.75" customHeight="1" x14ac:dyDescent="0.3">
      <c r="A402" s="667"/>
      <c r="B402" s="668" t="s">
        <v>4861</v>
      </c>
      <c r="C402" s="160" t="s">
        <v>4862</v>
      </c>
      <c r="D402" s="160"/>
      <c r="E402" s="439"/>
      <c r="F402" s="161">
        <v>245.89649</v>
      </c>
      <c r="G402" s="161">
        <v>-57.353999999999999</v>
      </c>
      <c r="H402" s="654">
        <v>97926.875507999997</v>
      </c>
      <c r="I402" s="654">
        <v>121.26975555926001</v>
      </c>
      <c r="J402" s="191"/>
      <c r="K402" s="191">
        <v>233.66840816727299</v>
      </c>
      <c r="L402" s="191"/>
      <c r="M402" s="191"/>
      <c r="N402" s="191"/>
      <c r="O402" s="191"/>
      <c r="P402" s="191"/>
      <c r="Q402" s="191"/>
      <c r="R402" s="191"/>
      <c r="S402" s="191"/>
      <c r="T402" s="191"/>
      <c r="U402" s="439"/>
      <c r="V402" s="441"/>
      <c r="W402" s="178"/>
      <c r="X402" s="172"/>
      <c r="Y402" s="172"/>
      <c r="Z402" s="172"/>
      <c r="AA402" s="195"/>
      <c r="AB402" s="172"/>
    </row>
    <row r="403" spans="1:28" ht="12.75" customHeight="1" x14ac:dyDescent="0.3">
      <c r="A403" s="667"/>
      <c r="B403" s="668" t="s">
        <v>4863</v>
      </c>
      <c r="C403" s="160" t="s">
        <v>4864</v>
      </c>
      <c r="D403" s="160"/>
      <c r="E403" s="439"/>
      <c r="F403" s="161">
        <v>977.84021499999994</v>
      </c>
      <c r="G403" s="161"/>
      <c r="H403" s="654"/>
      <c r="I403" s="654"/>
      <c r="J403" s="191"/>
      <c r="K403" s="191">
        <v>278118.57786983898</v>
      </c>
      <c r="L403" s="191"/>
      <c r="M403" s="191"/>
      <c r="N403" s="191"/>
      <c r="O403" s="191"/>
      <c r="P403" s="191"/>
      <c r="Q403" s="191"/>
      <c r="R403" s="191"/>
      <c r="S403" s="191"/>
      <c r="T403" s="191"/>
      <c r="U403" s="439"/>
      <c r="V403" s="441"/>
      <c r="W403" s="178"/>
      <c r="X403" s="172"/>
      <c r="Y403" s="172"/>
      <c r="Z403" s="172"/>
      <c r="AA403" s="195"/>
      <c r="AB403" s="172"/>
    </row>
    <row r="404" spans="1:28" ht="12.75" customHeight="1" x14ac:dyDescent="0.3">
      <c r="A404" s="667"/>
      <c r="B404" s="668" t="s">
        <v>4865</v>
      </c>
      <c r="C404" s="160" t="s">
        <v>4866</v>
      </c>
      <c r="D404" s="160"/>
      <c r="E404" s="439"/>
      <c r="F404" s="161">
        <v>217.92276889999999</v>
      </c>
      <c r="G404" s="161">
        <v>13.807</v>
      </c>
      <c r="H404" s="654">
        <v>186.59613797999901</v>
      </c>
      <c r="I404" s="654">
        <v>205.259276799221</v>
      </c>
      <c r="J404" s="191"/>
      <c r="K404" s="191">
        <v>1472.14300594889</v>
      </c>
      <c r="L404" s="191"/>
      <c r="M404" s="191"/>
      <c r="N404" s="191"/>
      <c r="O404" s="191"/>
      <c r="P404" s="191"/>
      <c r="Q404" s="191"/>
      <c r="R404" s="191"/>
      <c r="S404" s="191"/>
      <c r="T404" s="191"/>
      <c r="U404" s="439"/>
      <c r="V404" s="441"/>
      <c r="W404" s="178"/>
      <c r="X404" s="172"/>
      <c r="Y404" s="172"/>
      <c r="Z404" s="172"/>
      <c r="AA404" s="195"/>
      <c r="AB404" s="172"/>
    </row>
    <row r="405" spans="1:28" ht="12.75" customHeight="1" x14ac:dyDescent="0.3">
      <c r="A405" s="667"/>
      <c r="B405" s="668" t="s">
        <v>4867</v>
      </c>
      <c r="C405" s="160" t="s">
        <v>4868</v>
      </c>
      <c r="D405" s="160"/>
      <c r="E405" s="439"/>
      <c r="F405" s="161">
        <v>222.011548347</v>
      </c>
      <c r="G405" s="161"/>
      <c r="H405" s="654"/>
      <c r="I405" s="654"/>
      <c r="J405" s="191"/>
      <c r="K405" s="191">
        <v>49.730176429866198</v>
      </c>
      <c r="L405" s="191"/>
      <c r="M405" s="191"/>
      <c r="N405" s="191"/>
      <c r="O405" s="191"/>
      <c r="P405" s="191"/>
      <c r="Q405" s="191"/>
      <c r="R405" s="191"/>
      <c r="S405" s="191"/>
      <c r="T405" s="191"/>
      <c r="U405" s="439"/>
      <c r="V405" s="441"/>
      <c r="W405" s="178"/>
      <c r="X405" s="172"/>
      <c r="Y405" s="172"/>
      <c r="Z405" s="172"/>
      <c r="AA405" s="195"/>
      <c r="AB405" s="172"/>
    </row>
    <row r="406" spans="1:28" ht="12.75" customHeight="1" x14ac:dyDescent="0.3">
      <c r="A406" s="667" t="s">
        <v>4414</v>
      </c>
      <c r="B406" s="668" t="s">
        <v>4869</v>
      </c>
      <c r="C406" s="160" t="s">
        <v>4870</v>
      </c>
      <c r="D406" s="160"/>
      <c r="E406" s="439"/>
      <c r="F406" s="161"/>
      <c r="G406" s="161"/>
      <c r="H406" s="654"/>
      <c r="I406" s="654"/>
      <c r="J406" s="191"/>
      <c r="K406" s="191"/>
      <c r="L406" s="191"/>
      <c r="M406" s="191"/>
      <c r="N406" s="191"/>
      <c r="O406" s="191"/>
      <c r="P406" s="191"/>
      <c r="Q406" s="191"/>
      <c r="R406" s="191"/>
      <c r="S406" s="191"/>
      <c r="T406" s="191"/>
      <c r="U406" s="439"/>
      <c r="V406" s="441"/>
      <c r="W406" s="178"/>
      <c r="X406" s="172"/>
      <c r="Y406" s="172"/>
      <c r="Z406" s="172"/>
      <c r="AA406" s="195"/>
      <c r="AB406" s="172"/>
    </row>
    <row r="407" spans="1:28" ht="12.75" customHeight="1" x14ac:dyDescent="0.3">
      <c r="A407" s="667"/>
      <c r="B407" s="668" t="s">
        <v>4871</v>
      </c>
      <c r="C407" s="160" t="s">
        <v>4872</v>
      </c>
      <c r="D407" s="160"/>
      <c r="E407" s="439">
        <v>-0.22</v>
      </c>
      <c r="F407" s="161">
        <v>311.96802659899998</v>
      </c>
      <c r="G407" s="161"/>
      <c r="H407" s="654"/>
      <c r="I407" s="654"/>
      <c r="J407" s="191"/>
      <c r="K407" s="191">
        <v>576.26202364528399</v>
      </c>
      <c r="L407" s="191"/>
      <c r="M407" s="191"/>
      <c r="N407" s="191"/>
      <c r="O407" s="191"/>
      <c r="P407" s="191"/>
      <c r="Q407" s="191"/>
      <c r="R407" s="191"/>
      <c r="S407" s="191"/>
      <c r="T407" s="191"/>
      <c r="U407" s="439"/>
      <c r="V407" s="441"/>
      <c r="W407" s="178"/>
      <c r="X407" s="172"/>
      <c r="Y407" s="172"/>
      <c r="Z407" s="172"/>
      <c r="AA407" s="195"/>
      <c r="AB407" s="172"/>
    </row>
    <row r="408" spans="1:28" ht="12.75" customHeight="1" x14ac:dyDescent="0.3">
      <c r="A408" s="667"/>
      <c r="B408" s="668" t="s">
        <v>4873</v>
      </c>
      <c r="C408" s="160" t="s">
        <v>4874</v>
      </c>
      <c r="D408" s="160"/>
      <c r="E408" s="439">
        <v>-0.12</v>
      </c>
      <c r="F408" s="161">
        <v>377.95974754500003</v>
      </c>
      <c r="G408" s="161">
        <v>-43.456000000000003</v>
      </c>
      <c r="H408" s="654">
        <v>5.8600618524000003</v>
      </c>
      <c r="I408" s="654">
        <v>17.039067950899401</v>
      </c>
      <c r="J408" s="191"/>
      <c r="K408" s="191">
        <v>68171.052630585298</v>
      </c>
      <c r="L408" s="191"/>
      <c r="M408" s="191"/>
      <c r="N408" s="191"/>
      <c r="O408" s="191"/>
      <c r="P408" s="191"/>
      <c r="Q408" s="191"/>
      <c r="R408" s="191"/>
      <c r="S408" s="191"/>
      <c r="T408" s="191"/>
      <c r="U408" s="439"/>
      <c r="V408" s="441"/>
      <c r="W408" s="178"/>
      <c r="X408" s="172"/>
      <c r="Y408" s="172"/>
      <c r="Z408" s="172"/>
      <c r="AA408" s="195"/>
      <c r="AB408" s="172"/>
    </row>
    <row r="409" spans="1:28" ht="12.75" customHeight="1" x14ac:dyDescent="0.3">
      <c r="A409" s="667"/>
      <c r="B409" s="668" t="s">
        <v>4875</v>
      </c>
      <c r="C409" s="160" t="s">
        <v>4876</v>
      </c>
      <c r="D409" s="160"/>
      <c r="E409" s="439">
        <v>-0.15</v>
      </c>
      <c r="F409" s="161">
        <v>443.95146849100001</v>
      </c>
      <c r="G409" s="161">
        <v>-53.378999999999998</v>
      </c>
      <c r="H409" s="654">
        <v>1.4787676273999999</v>
      </c>
      <c r="I409" s="654">
        <v>50.388935625196901</v>
      </c>
      <c r="J409" s="191"/>
      <c r="K409" s="191">
        <v>144900.53867979199</v>
      </c>
      <c r="L409" s="191"/>
      <c r="M409" s="191"/>
      <c r="N409" s="191"/>
      <c r="O409" s="191"/>
      <c r="P409" s="191"/>
      <c r="Q409" s="191"/>
      <c r="R409" s="191"/>
      <c r="S409" s="191"/>
      <c r="T409" s="191"/>
      <c r="U409" s="439"/>
      <c r="V409" s="441"/>
      <c r="W409" s="178"/>
      <c r="X409" s="172"/>
      <c r="Y409" s="172"/>
      <c r="Z409" s="172"/>
      <c r="AA409" s="195"/>
      <c r="AB409" s="172"/>
    </row>
    <row r="410" spans="1:28" ht="12.75" customHeight="1" x14ac:dyDescent="0.3">
      <c r="A410" s="667"/>
      <c r="B410" s="668" t="s">
        <v>4877</v>
      </c>
      <c r="C410" s="160" t="s">
        <v>4878</v>
      </c>
      <c r="D410" s="160"/>
      <c r="E410" s="439"/>
      <c r="F410" s="161">
        <v>253.92156</v>
      </c>
      <c r="G410" s="161">
        <v>-44.405999999999999</v>
      </c>
      <c r="H410" s="654">
        <v>216.22295281999999</v>
      </c>
      <c r="I410" s="654">
        <v>135.11369344848001</v>
      </c>
      <c r="J410" s="191"/>
      <c r="K410" s="191">
        <v>127.517561740625</v>
      </c>
      <c r="L410" s="191"/>
      <c r="M410" s="191"/>
      <c r="N410" s="191"/>
      <c r="O410" s="191"/>
      <c r="P410" s="191"/>
      <c r="Q410" s="191"/>
      <c r="R410" s="191"/>
      <c r="S410" s="191"/>
      <c r="T410" s="191"/>
      <c r="U410" s="439"/>
      <c r="V410" s="441"/>
      <c r="W410" s="178"/>
      <c r="X410" s="172"/>
      <c r="Y410" s="172"/>
      <c r="Z410" s="172"/>
      <c r="AA410" s="195"/>
      <c r="AB410" s="172"/>
    </row>
    <row r="411" spans="1:28" ht="12.75" customHeight="1" x14ac:dyDescent="0.3">
      <c r="A411" s="667"/>
      <c r="B411" s="668" t="s">
        <v>4879</v>
      </c>
      <c r="C411" s="160" t="s">
        <v>4880</v>
      </c>
      <c r="D411" s="160"/>
      <c r="E411" s="439"/>
      <c r="F411" s="161">
        <v>353.80255</v>
      </c>
      <c r="G411" s="161">
        <v>26.132000000000001</v>
      </c>
      <c r="H411" s="654">
        <v>325.01370481999999</v>
      </c>
      <c r="I411" s="654">
        <v>135.75651505285001</v>
      </c>
      <c r="J411" s="191"/>
      <c r="K411" s="191">
        <v>11638.312118318199</v>
      </c>
      <c r="L411" s="191"/>
      <c r="M411" s="191"/>
      <c r="N411" s="191"/>
      <c r="O411" s="191"/>
      <c r="P411" s="191"/>
      <c r="Q411" s="191"/>
      <c r="R411" s="191"/>
      <c r="S411" s="191"/>
      <c r="T411" s="191"/>
      <c r="U411" s="439"/>
      <c r="V411" s="441"/>
      <c r="W411" s="178"/>
      <c r="X411" s="172"/>
      <c r="Y411" s="172"/>
      <c r="Z411" s="172"/>
      <c r="AA411" s="195"/>
      <c r="AB411" s="172"/>
    </row>
    <row r="412" spans="1:28" ht="12.75" customHeight="1" x14ac:dyDescent="0.3">
      <c r="A412" s="667"/>
      <c r="B412" s="668" t="s">
        <v>4881</v>
      </c>
      <c r="C412" s="160" t="s">
        <v>4882</v>
      </c>
      <c r="D412" s="160"/>
      <c r="E412" s="439"/>
      <c r="F412" s="161">
        <v>239.98795601</v>
      </c>
      <c r="G412" s="161">
        <v>51.34</v>
      </c>
      <c r="H412" s="654">
        <v>8.8084912146000001</v>
      </c>
      <c r="I412" s="654">
        <v>404.75168720866498</v>
      </c>
      <c r="J412" s="191"/>
      <c r="K412" s="191">
        <v>445.98474106274199</v>
      </c>
      <c r="L412" s="191"/>
      <c r="M412" s="191"/>
      <c r="N412" s="191"/>
      <c r="O412" s="191"/>
      <c r="P412" s="191"/>
      <c r="Q412" s="191"/>
      <c r="R412" s="191"/>
      <c r="S412" s="191"/>
      <c r="T412" s="191"/>
      <c r="U412" s="439"/>
      <c r="V412" s="441"/>
      <c r="W412" s="178"/>
      <c r="X412" s="172"/>
      <c r="Y412" s="172"/>
      <c r="Z412" s="172"/>
      <c r="AA412" s="195"/>
      <c r="AB412" s="172"/>
    </row>
    <row r="413" spans="1:28" ht="12.75" customHeight="1" x14ac:dyDescent="0.3">
      <c r="A413" s="667"/>
      <c r="B413" s="668" t="s">
        <v>4883</v>
      </c>
      <c r="C413" s="160" t="s">
        <v>4884</v>
      </c>
      <c r="D413" s="160"/>
      <c r="E413" s="439"/>
      <c r="F413" s="161">
        <v>64.012456389999997</v>
      </c>
      <c r="G413" s="161">
        <v>-120.697</v>
      </c>
      <c r="H413" s="654">
        <v>928757.04894000001</v>
      </c>
      <c r="I413" s="654">
        <v>4307.8910863972997</v>
      </c>
      <c r="J413" s="191"/>
      <c r="K413" s="191">
        <v>17.3636090928666</v>
      </c>
      <c r="L413" s="191"/>
      <c r="M413" s="191"/>
      <c r="N413" s="191"/>
      <c r="O413" s="191"/>
      <c r="P413" s="191"/>
      <c r="Q413" s="191"/>
      <c r="R413" s="191"/>
      <c r="S413" s="191"/>
      <c r="T413" s="191"/>
      <c r="U413" s="439"/>
      <c r="V413" s="441"/>
      <c r="W413" s="178"/>
      <c r="X413" s="172"/>
      <c r="Y413" s="172"/>
      <c r="Z413" s="172"/>
      <c r="AA413" s="195"/>
      <c r="AB413" s="172"/>
    </row>
    <row r="414" spans="1:28" ht="12.75" customHeight="1" x14ac:dyDescent="0.3">
      <c r="A414" s="667"/>
      <c r="B414" s="668" t="s">
        <v>4885</v>
      </c>
      <c r="C414" s="160" t="s">
        <v>4886</v>
      </c>
      <c r="D414" s="160"/>
      <c r="E414" s="439"/>
      <c r="F414" s="161">
        <v>159.91354699999999</v>
      </c>
      <c r="G414" s="161">
        <v>-91.001000000000005</v>
      </c>
      <c r="H414" s="654">
        <v>340331.06939999998</v>
      </c>
      <c r="I414" s="654">
        <v>866.73302387547005</v>
      </c>
      <c r="J414" s="191"/>
      <c r="K414" s="191">
        <v>251.36800595787901</v>
      </c>
      <c r="L414" s="191"/>
      <c r="M414" s="191"/>
      <c r="N414" s="191"/>
      <c r="O414" s="191"/>
      <c r="P414" s="191"/>
      <c r="Q414" s="191"/>
      <c r="R414" s="191"/>
      <c r="S414" s="191"/>
      <c r="T414" s="191"/>
      <c r="U414" s="439"/>
      <c r="V414" s="441"/>
      <c r="W414" s="178"/>
      <c r="X414" s="172"/>
      <c r="Y414" s="172"/>
      <c r="Z414" s="172"/>
      <c r="AA414" s="195"/>
      <c r="AB414" s="172"/>
    </row>
    <row r="415" spans="1:28" ht="12.75" customHeight="1" x14ac:dyDescent="0.3">
      <c r="A415" s="667"/>
      <c r="B415" s="668" t="s">
        <v>4887</v>
      </c>
      <c r="C415" s="160" t="s">
        <v>4888</v>
      </c>
      <c r="D415" s="160"/>
      <c r="E415" s="439"/>
      <c r="F415" s="161">
        <v>243.977054544</v>
      </c>
      <c r="G415" s="161"/>
      <c r="H415" s="654"/>
      <c r="I415" s="654"/>
      <c r="J415" s="191"/>
      <c r="K415" s="191">
        <v>287.95856456673101</v>
      </c>
      <c r="L415" s="191"/>
      <c r="M415" s="191"/>
      <c r="N415" s="191"/>
      <c r="O415" s="191"/>
      <c r="P415" s="191"/>
      <c r="Q415" s="191"/>
      <c r="R415" s="191"/>
      <c r="S415" s="191"/>
      <c r="T415" s="191"/>
      <c r="U415" s="439"/>
      <c r="V415" s="441"/>
      <c r="W415" s="178"/>
      <c r="X415" s="172"/>
      <c r="Y415" s="172"/>
      <c r="Z415" s="172"/>
      <c r="AA415" s="195"/>
      <c r="AB415" s="172"/>
    </row>
    <row r="416" spans="1:28" ht="12.75" customHeight="1" x14ac:dyDescent="0.3">
      <c r="A416" s="667"/>
      <c r="B416" s="668" t="s">
        <v>4889</v>
      </c>
      <c r="C416" s="160" t="s">
        <v>4890</v>
      </c>
      <c r="D416" s="160"/>
      <c r="E416" s="439"/>
      <c r="F416" s="161">
        <v>131.999840847</v>
      </c>
      <c r="G416" s="161">
        <v>-107.03</v>
      </c>
      <c r="H416" s="654">
        <v>615038.38396000001</v>
      </c>
      <c r="I416" s="654">
        <v>996.72023824842904</v>
      </c>
      <c r="J416" s="191"/>
      <c r="K416" s="191">
        <v>74.329292669388096</v>
      </c>
      <c r="L416" s="191"/>
      <c r="M416" s="191"/>
      <c r="N416" s="191"/>
      <c r="O416" s="191"/>
      <c r="P416" s="191"/>
      <c r="Q416" s="191"/>
      <c r="R416" s="191"/>
      <c r="S416" s="191"/>
      <c r="T416" s="191"/>
      <c r="U416" s="439"/>
      <c r="V416" s="441"/>
      <c r="W416" s="178"/>
      <c r="X416" s="172"/>
      <c r="Y416" s="172"/>
      <c r="Z416" s="172"/>
      <c r="AA416" s="195"/>
      <c r="AB416" s="172"/>
    </row>
    <row r="417" spans="1:28" ht="12.75" customHeight="1" x14ac:dyDescent="0.3">
      <c r="A417" s="667"/>
      <c r="B417" s="668" t="s">
        <v>4891</v>
      </c>
      <c r="C417" s="160" t="s">
        <v>4892</v>
      </c>
      <c r="D417" s="160"/>
      <c r="E417" s="439">
        <v>58</v>
      </c>
      <c r="F417" s="161">
        <v>1520.9641981300001</v>
      </c>
      <c r="G417" s="161"/>
      <c r="H417" s="654"/>
      <c r="I417" s="654"/>
      <c r="J417" s="191"/>
      <c r="K417" s="191"/>
      <c r="L417" s="191"/>
      <c r="M417" s="191"/>
      <c r="N417" s="191"/>
      <c r="O417" s="191"/>
      <c r="P417" s="191"/>
      <c r="Q417" s="191"/>
      <c r="R417" s="191"/>
      <c r="S417" s="191"/>
      <c r="T417" s="191"/>
      <c r="U417" s="439"/>
      <c r="V417" s="441"/>
      <c r="W417" s="178"/>
      <c r="X417" s="172"/>
      <c r="Y417" s="172"/>
      <c r="Z417" s="172"/>
      <c r="AA417" s="195"/>
      <c r="AB417" s="172"/>
    </row>
    <row r="418" spans="1:28" ht="12.75" customHeight="1" x14ac:dyDescent="0.3">
      <c r="A418" s="667"/>
      <c r="B418" s="668" t="s">
        <v>4893</v>
      </c>
      <c r="C418" s="160" t="s">
        <v>4894</v>
      </c>
      <c r="D418" s="160"/>
      <c r="E418" s="439"/>
      <c r="F418" s="161">
        <v>202.00287536799999</v>
      </c>
      <c r="G418" s="161">
        <v>-83.218000000000004</v>
      </c>
      <c r="H418" s="654">
        <v>80149.720027999996</v>
      </c>
      <c r="I418" s="654">
        <v>63.4392050121957</v>
      </c>
      <c r="J418" s="191"/>
      <c r="K418" s="191">
        <v>149.09737590768299</v>
      </c>
      <c r="L418" s="191"/>
      <c r="M418" s="191"/>
      <c r="N418" s="191"/>
      <c r="O418" s="191"/>
      <c r="P418" s="191"/>
      <c r="Q418" s="191"/>
      <c r="R418" s="191"/>
      <c r="S418" s="191"/>
      <c r="T418" s="191"/>
      <c r="U418" s="439"/>
      <c r="V418" s="441"/>
      <c r="W418" s="178"/>
      <c r="X418" s="172"/>
      <c r="Y418" s="172"/>
      <c r="Z418" s="172"/>
      <c r="AA418" s="195"/>
      <c r="AB418" s="172"/>
    </row>
    <row r="419" spans="1:28" ht="12.75" customHeight="1" x14ac:dyDescent="0.3">
      <c r="A419" s="667"/>
      <c r="B419" s="668" t="s">
        <v>4895</v>
      </c>
      <c r="C419" s="160" t="s">
        <v>4896</v>
      </c>
      <c r="D419" s="160"/>
      <c r="E419" s="439"/>
      <c r="F419" s="161">
        <v>241.92156</v>
      </c>
      <c r="G419" s="161">
        <v>-30.977</v>
      </c>
      <c r="H419" s="654">
        <v>192.70895168000001</v>
      </c>
      <c r="I419" s="654">
        <v>498.51082418279901</v>
      </c>
      <c r="J419" s="191"/>
      <c r="K419" s="191">
        <v>116.667529087201</v>
      </c>
      <c r="L419" s="191"/>
      <c r="M419" s="191"/>
      <c r="N419" s="191"/>
      <c r="O419" s="191"/>
      <c r="P419" s="191"/>
      <c r="Q419" s="191"/>
      <c r="R419" s="191"/>
      <c r="S419" s="191"/>
      <c r="T419" s="191"/>
      <c r="U419" s="439"/>
      <c r="V419" s="441"/>
      <c r="W419" s="178"/>
      <c r="X419" s="172"/>
      <c r="Y419" s="172"/>
      <c r="Z419" s="172"/>
      <c r="AA419" s="195"/>
      <c r="AB419" s="172"/>
    </row>
    <row r="420" spans="1:28" ht="12.75" customHeight="1" x14ac:dyDescent="0.3">
      <c r="A420" s="667"/>
      <c r="B420" s="668" t="s">
        <v>4897</v>
      </c>
      <c r="C420" s="160" t="s">
        <v>4898</v>
      </c>
      <c r="D420" s="160"/>
      <c r="E420" s="439"/>
      <c r="F420" s="161">
        <v>186.03039208499999</v>
      </c>
      <c r="G420" s="161">
        <v>-69.980999999999995</v>
      </c>
      <c r="H420" s="654">
        <v>568.72498759999996</v>
      </c>
      <c r="I420" s="654">
        <v>26581.696694633501</v>
      </c>
      <c r="J420" s="191"/>
      <c r="K420" s="191">
        <v>38.332752051742403</v>
      </c>
      <c r="L420" s="191"/>
      <c r="M420" s="191"/>
      <c r="N420" s="191"/>
      <c r="O420" s="191"/>
      <c r="P420" s="191"/>
      <c r="Q420" s="191"/>
      <c r="R420" s="191"/>
      <c r="S420" s="191"/>
      <c r="T420" s="191"/>
      <c r="U420" s="439"/>
      <c r="V420" s="441"/>
      <c r="W420" s="178"/>
      <c r="X420" s="172"/>
      <c r="Y420" s="172"/>
      <c r="Z420" s="172"/>
      <c r="AA420" s="195"/>
      <c r="AB420" s="172"/>
    </row>
    <row r="421" spans="1:28" ht="12.75" customHeight="1" x14ac:dyDescent="0.3">
      <c r="A421" s="667"/>
      <c r="B421" s="668" t="s">
        <v>4899</v>
      </c>
      <c r="C421" s="160" t="s">
        <v>4900</v>
      </c>
      <c r="D421" s="160"/>
      <c r="E421" s="439"/>
      <c r="F421" s="161">
        <v>232.01344005300001</v>
      </c>
      <c r="G421" s="161">
        <v>-79.771000000000001</v>
      </c>
      <c r="H421" s="654">
        <v>13209.9703904</v>
      </c>
      <c r="I421" s="654">
        <v>72.696539158366406</v>
      </c>
      <c r="J421" s="191"/>
      <c r="K421" s="191">
        <v>86.774076429162605</v>
      </c>
      <c r="L421" s="191"/>
      <c r="M421" s="191"/>
      <c r="N421" s="191"/>
      <c r="O421" s="191"/>
      <c r="P421" s="191"/>
      <c r="Q421" s="191"/>
      <c r="R421" s="191"/>
      <c r="S421" s="191"/>
      <c r="T421" s="191"/>
      <c r="U421" s="439"/>
      <c r="V421" s="441"/>
      <c r="W421" s="178"/>
      <c r="X421" s="172"/>
      <c r="Y421" s="172"/>
      <c r="Z421" s="172"/>
      <c r="AA421" s="195"/>
      <c r="AB421" s="172"/>
    </row>
    <row r="422" spans="1:28" ht="12.75" customHeight="1" x14ac:dyDescent="0.3">
      <c r="A422" s="667"/>
      <c r="B422" s="668" t="s">
        <v>4901</v>
      </c>
      <c r="C422" s="160" t="s">
        <v>4902</v>
      </c>
      <c r="D422" s="160"/>
      <c r="E422" s="439">
        <v>1.8069999999999999</v>
      </c>
      <c r="F422" s="161">
        <v>158.03547746500001</v>
      </c>
      <c r="G422" s="161">
        <v>-80.424000000000007</v>
      </c>
      <c r="H422" s="654">
        <v>1308.88606856</v>
      </c>
      <c r="I422" s="654">
        <v>1705.1237841086099</v>
      </c>
      <c r="J422" s="191"/>
      <c r="K422" s="191">
        <v>19.635863300537402</v>
      </c>
      <c r="L422" s="191"/>
      <c r="M422" s="191"/>
      <c r="N422" s="191"/>
      <c r="O422" s="191"/>
      <c r="P422" s="191"/>
      <c r="Q422" s="191"/>
      <c r="R422" s="191"/>
      <c r="S422" s="191"/>
      <c r="T422" s="191"/>
      <c r="U422" s="439"/>
      <c r="V422" s="441"/>
      <c r="W422" s="178"/>
      <c r="X422" s="172"/>
      <c r="Y422" s="172"/>
      <c r="Z422" s="172"/>
      <c r="AA422" s="195"/>
      <c r="AB422" s="172"/>
    </row>
    <row r="423" spans="1:28" ht="12.75" customHeight="1" x14ac:dyDescent="0.3">
      <c r="A423" s="667"/>
      <c r="B423" s="668" t="s">
        <v>4903</v>
      </c>
      <c r="C423" s="160" t="s">
        <v>4904</v>
      </c>
      <c r="D423" s="160"/>
      <c r="E423" s="439"/>
      <c r="F423" s="161">
        <v>188.04604215000001</v>
      </c>
      <c r="G423" s="161"/>
      <c r="H423" s="654"/>
      <c r="I423" s="654"/>
      <c r="J423" s="191"/>
      <c r="K423" s="191">
        <v>4.8748358913783498</v>
      </c>
      <c r="L423" s="191"/>
      <c r="M423" s="191"/>
      <c r="N423" s="191"/>
      <c r="O423" s="191"/>
      <c r="P423" s="191"/>
      <c r="Q423" s="191"/>
      <c r="R423" s="191"/>
      <c r="S423" s="191"/>
      <c r="T423" s="191"/>
      <c r="U423" s="439"/>
      <c r="V423" s="441"/>
      <c r="W423" s="178"/>
      <c r="X423" s="172"/>
      <c r="Y423" s="172"/>
      <c r="Z423" s="172"/>
      <c r="AA423" s="195"/>
      <c r="AB423" s="172"/>
    </row>
    <row r="424" spans="1:28" ht="12.75" customHeight="1" x14ac:dyDescent="0.3">
      <c r="A424" s="667"/>
      <c r="B424" s="668" t="s">
        <v>4905</v>
      </c>
      <c r="C424" s="160" t="s">
        <v>4906</v>
      </c>
      <c r="D424" s="160"/>
      <c r="E424" s="439"/>
      <c r="F424" s="161">
        <v>263.96911227200002</v>
      </c>
      <c r="G424" s="161">
        <v>19.693000000000001</v>
      </c>
      <c r="H424" s="654">
        <v>242.6060434</v>
      </c>
      <c r="I424" s="654">
        <v>235.262735281532</v>
      </c>
      <c r="J424" s="191"/>
      <c r="K424" s="191">
        <v>252.71440622764399</v>
      </c>
      <c r="L424" s="191"/>
      <c r="M424" s="191"/>
      <c r="N424" s="191"/>
      <c r="O424" s="191"/>
      <c r="P424" s="191"/>
      <c r="Q424" s="191"/>
      <c r="R424" s="191"/>
      <c r="S424" s="191"/>
      <c r="T424" s="191"/>
      <c r="U424" s="439"/>
      <c r="V424" s="441"/>
      <c r="W424" s="178"/>
      <c r="X424" s="172"/>
      <c r="Y424" s="172"/>
      <c r="Z424" s="172"/>
      <c r="AA424" s="195"/>
      <c r="AB424" s="172"/>
    </row>
    <row r="425" spans="1:28" ht="12.75" customHeight="1" x14ac:dyDescent="0.3">
      <c r="A425" s="667"/>
      <c r="B425" s="668" t="s">
        <v>4907</v>
      </c>
      <c r="C425" s="160" t="s">
        <v>4908</v>
      </c>
      <c r="D425" s="160"/>
      <c r="E425" s="439"/>
      <c r="F425" s="161">
        <v>200.00721185800001</v>
      </c>
      <c r="G425" s="161">
        <v>-101.735</v>
      </c>
      <c r="H425" s="654">
        <v>46440.985514</v>
      </c>
      <c r="I425" s="654">
        <v>101.869873222846</v>
      </c>
      <c r="J425" s="191"/>
      <c r="K425" s="191">
        <v>66.951451976973203</v>
      </c>
      <c r="L425" s="191"/>
      <c r="M425" s="191"/>
      <c r="N425" s="191"/>
      <c r="O425" s="191"/>
      <c r="P425" s="191"/>
      <c r="Q425" s="191"/>
      <c r="R425" s="191"/>
      <c r="S425" s="191"/>
      <c r="T425" s="191"/>
      <c r="U425" s="439"/>
      <c r="V425" s="441"/>
      <c r="W425" s="178"/>
      <c r="X425" s="172"/>
      <c r="Y425" s="172"/>
      <c r="Z425" s="172"/>
      <c r="AA425" s="195"/>
      <c r="AB425" s="172"/>
    </row>
    <row r="426" spans="1:28" ht="12.75" customHeight="1" x14ac:dyDescent="0.3">
      <c r="A426" s="667"/>
      <c r="B426" s="668" t="s">
        <v>4909</v>
      </c>
      <c r="C426" s="160" t="s">
        <v>4910</v>
      </c>
      <c r="D426" s="160"/>
      <c r="E426" s="439">
        <v>1.9419999999999999</v>
      </c>
      <c r="F426" s="161">
        <v>158.03547746500001</v>
      </c>
      <c r="G426" s="161">
        <v>-51.436999999999998</v>
      </c>
      <c r="H426" s="654">
        <v>1108.9244000799999</v>
      </c>
      <c r="I426" s="654">
        <v>1705.1237841086099</v>
      </c>
      <c r="J426" s="191"/>
      <c r="K426" s="191">
        <v>31.747534221253002</v>
      </c>
      <c r="L426" s="191"/>
      <c r="M426" s="191"/>
      <c r="N426" s="191"/>
      <c r="O426" s="191"/>
      <c r="P426" s="191"/>
      <c r="Q426" s="191"/>
      <c r="R426" s="191"/>
      <c r="S426" s="191"/>
      <c r="T426" s="191"/>
      <c r="U426" s="439"/>
      <c r="V426" s="441"/>
      <c r="W426" s="178"/>
      <c r="X426" s="172"/>
      <c r="Y426" s="172"/>
      <c r="Z426" s="172"/>
      <c r="AA426" s="195"/>
      <c r="AB426" s="172"/>
    </row>
    <row r="427" spans="1:28" ht="12.75" customHeight="1" x14ac:dyDescent="0.3">
      <c r="A427" s="667"/>
      <c r="B427" s="668" t="s">
        <v>4911</v>
      </c>
      <c r="C427" s="160" t="s">
        <v>4912</v>
      </c>
      <c r="D427" s="160"/>
      <c r="E427" s="439"/>
      <c r="F427" s="161">
        <v>174.03039208499999</v>
      </c>
      <c r="G427" s="161"/>
      <c r="H427" s="654"/>
      <c r="I427" s="654"/>
      <c r="J427" s="191"/>
      <c r="K427" s="191">
        <v>10.011980613511501</v>
      </c>
      <c r="L427" s="191"/>
      <c r="M427" s="191"/>
      <c r="N427" s="191"/>
      <c r="O427" s="191"/>
      <c r="P427" s="191"/>
      <c r="Q427" s="191"/>
      <c r="R427" s="191"/>
      <c r="S427" s="191"/>
      <c r="T427" s="191"/>
      <c r="U427" s="439"/>
      <c r="V427" s="441"/>
      <c r="W427" s="178"/>
      <c r="X427" s="172"/>
      <c r="Y427" s="172"/>
      <c r="Z427" s="172"/>
      <c r="AA427" s="195"/>
      <c r="AB427" s="172"/>
    </row>
    <row r="428" spans="1:28" ht="12.75" customHeight="1" x14ac:dyDescent="0.3">
      <c r="A428" s="667"/>
      <c r="B428" s="668" t="s">
        <v>4913</v>
      </c>
      <c r="C428" s="160" t="s">
        <v>4914</v>
      </c>
      <c r="D428" s="160"/>
      <c r="E428" s="439"/>
      <c r="F428" s="161">
        <v>1977.001248995</v>
      </c>
      <c r="G428" s="161"/>
      <c r="H428" s="654"/>
      <c r="I428" s="654"/>
      <c r="J428" s="191"/>
      <c r="K428" s="191"/>
      <c r="L428" s="191"/>
      <c r="M428" s="191"/>
      <c r="N428" s="191"/>
      <c r="O428" s="191"/>
      <c r="P428" s="191"/>
      <c r="Q428" s="191"/>
      <c r="R428" s="191"/>
      <c r="S428" s="191"/>
      <c r="T428" s="191"/>
      <c r="U428" s="439"/>
      <c r="V428" s="441"/>
      <c r="W428" s="178"/>
      <c r="X428" s="172"/>
      <c r="Y428" s="172"/>
      <c r="Z428" s="172"/>
      <c r="AA428" s="195"/>
      <c r="AB428" s="172"/>
    </row>
    <row r="429" spans="1:28" ht="12.75" customHeight="1" x14ac:dyDescent="0.3">
      <c r="A429" s="667"/>
      <c r="B429" s="668" t="s">
        <v>4915</v>
      </c>
      <c r="C429" s="160" t="s">
        <v>4916</v>
      </c>
      <c r="D429" s="160"/>
      <c r="E429" s="439">
        <v>2.4239999999999999</v>
      </c>
      <c r="F429" s="161">
        <v>239.93435260000001</v>
      </c>
      <c r="G429" s="161"/>
      <c r="H429" s="654"/>
      <c r="I429" s="654"/>
      <c r="J429" s="191"/>
      <c r="K429" s="191"/>
      <c r="L429" s="191"/>
      <c r="M429" s="191"/>
      <c r="N429" s="191"/>
      <c r="O429" s="191"/>
      <c r="P429" s="191"/>
      <c r="Q429" s="191"/>
      <c r="R429" s="191"/>
      <c r="S429" s="191"/>
      <c r="T429" s="191"/>
      <c r="U429" s="439"/>
      <c r="V429" s="441"/>
      <c r="W429" s="178"/>
      <c r="X429" s="172"/>
      <c r="Y429" s="172"/>
      <c r="Z429" s="172"/>
      <c r="AA429" s="195"/>
      <c r="AB429" s="172"/>
    </row>
    <row r="430" spans="1:28" ht="12.75" customHeight="1" x14ac:dyDescent="0.3">
      <c r="A430" s="667"/>
      <c r="B430" s="668" t="s">
        <v>4917</v>
      </c>
      <c r="C430" s="160" t="s">
        <v>4918</v>
      </c>
      <c r="D430" s="160"/>
      <c r="E430" s="439"/>
      <c r="F430" s="161">
        <v>1445.8198400000001</v>
      </c>
      <c r="G430" s="161"/>
      <c r="H430" s="654"/>
      <c r="I430" s="654"/>
      <c r="J430" s="191"/>
      <c r="K430" s="191">
        <v>42409192.180215098</v>
      </c>
      <c r="L430" s="191"/>
      <c r="M430" s="191"/>
      <c r="N430" s="191"/>
      <c r="O430" s="191"/>
      <c r="P430" s="191"/>
      <c r="Q430" s="191"/>
      <c r="R430" s="191"/>
      <c r="S430" s="191"/>
      <c r="T430" s="191"/>
      <c r="U430" s="439"/>
      <c r="V430" s="441"/>
      <c r="W430" s="178"/>
      <c r="X430" s="172"/>
      <c r="Y430" s="172"/>
      <c r="Z430" s="172"/>
      <c r="AA430" s="195"/>
      <c r="AB430" s="172"/>
    </row>
    <row r="431" spans="1:28" ht="12.75" customHeight="1" x14ac:dyDescent="0.3">
      <c r="A431" s="667"/>
      <c r="B431" s="668" t="s">
        <v>4919</v>
      </c>
      <c r="C431" s="160" t="s">
        <v>4920</v>
      </c>
      <c r="D431" s="160"/>
      <c r="E431" s="439">
        <v>19.277000000000001</v>
      </c>
      <c r="F431" s="161">
        <v>1345.8262199999999</v>
      </c>
      <c r="G431" s="161">
        <v>-43.845999999999997</v>
      </c>
      <c r="H431" s="654"/>
      <c r="I431" s="654"/>
      <c r="J431" s="191"/>
      <c r="K431" s="191">
        <v>38912577.620832503</v>
      </c>
      <c r="L431" s="191"/>
      <c r="M431" s="191"/>
      <c r="N431" s="191"/>
      <c r="O431" s="191"/>
      <c r="P431" s="191"/>
      <c r="Q431" s="191"/>
      <c r="R431" s="191"/>
      <c r="S431" s="191"/>
      <c r="T431" s="191"/>
      <c r="U431" s="439"/>
      <c r="V431" s="441"/>
      <c r="W431" s="178"/>
      <c r="X431" s="172"/>
      <c r="Y431" s="172"/>
      <c r="Z431" s="172"/>
      <c r="AA431" s="195"/>
      <c r="AB431" s="172"/>
    </row>
    <row r="432" spans="1:28" ht="12.75" customHeight="1" x14ac:dyDescent="0.3">
      <c r="A432" s="667"/>
      <c r="B432" s="668" t="s">
        <v>4921</v>
      </c>
      <c r="C432" s="160" t="s">
        <v>4922</v>
      </c>
      <c r="D432" s="160"/>
      <c r="E432" s="439">
        <v>17.675999999999998</v>
      </c>
      <c r="F432" s="161">
        <v>1245.8326099999999</v>
      </c>
      <c r="G432" s="161">
        <v>-40.279000000000003</v>
      </c>
      <c r="H432" s="654"/>
      <c r="I432" s="654"/>
      <c r="J432" s="191"/>
      <c r="K432" s="191">
        <v>33979735.971347697</v>
      </c>
      <c r="L432" s="191"/>
      <c r="M432" s="191"/>
      <c r="N432" s="191"/>
      <c r="O432" s="191"/>
      <c r="P432" s="191"/>
      <c r="Q432" s="191"/>
      <c r="R432" s="191"/>
      <c r="S432" s="191"/>
      <c r="T432" s="191"/>
      <c r="U432" s="439"/>
      <c r="V432" s="441"/>
      <c r="W432" s="178"/>
      <c r="X432" s="172"/>
      <c r="Y432" s="172"/>
      <c r="Z432" s="172"/>
      <c r="AA432" s="195"/>
      <c r="AB432" s="172"/>
    </row>
    <row r="433" spans="1:28" ht="12.75" customHeight="1" x14ac:dyDescent="0.3">
      <c r="A433" s="667"/>
      <c r="B433" s="668" t="s">
        <v>4923</v>
      </c>
      <c r="C433" s="160" t="s">
        <v>4924</v>
      </c>
      <c r="D433" s="160"/>
      <c r="E433" s="439"/>
      <c r="F433" s="161">
        <v>949.92650883700003</v>
      </c>
      <c r="G433" s="161"/>
      <c r="H433" s="654"/>
      <c r="I433" s="654"/>
      <c r="J433" s="191"/>
      <c r="K433" s="191">
        <v>278163.40890109999</v>
      </c>
      <c r="L433" s="191"/>
      <c r="M433" s="191"/>
      <c r="N433" s="191"/>
      <c r="O433" s="191"/>
      <c r="P433" s="191"/>
      <c r="Q433" s="191"/>
      <c r="R433" s="191"/>
      <c r="S433" s="191"/>
      <c r="T433" s="191"/>
      <c r="U433" s="439"/>
      <c r="V433" s="441"/>
      <c r="W433" s="178"/>
      <c r="X433" s="172"/>
      <c r="Y433" s="172"/>
      <c r="Z433" s="172"/>
      <c r="AA433" s="195"/>
      <c r="AB433" s="172"/>
    </row>
    <row r="434" spans="1:28" ht="12.75" customHeight="1" x14ac:dyDescent="0.3">
      <c r="A434" s="667"/>
      <c r="B434" s="668" t="s">
        <v>4925</v>
      </c>
      <c r="C434" s="160" t="s">
        <v>4926</v>
      </c>
      <c r="D434" s="160"/>
      <c r="E434" s="439"/>
      <c r="F434" s="161">
        <v>1115.9118424349999</v>
      </c>
      <c r="G434" s="161"/>
      <c r="H434" s="654"/>
      <c r="I434" s="654"/>
      <c r="J434" s="191"/>
      <c r="K434" s="191">
        <v>286978.92207505502</v>
      </c>
      <c r="L434" s="191"/>
      <c r="M434" s="191"/>
      <c r="N434" s="191"/>
      <c r="O434" s="191"/>
      <c r="P434" s="191"/>
      <c r="Q434" s="191"/>
      <c r="R434" s="191"/>
      <c r="S434" s="191"/>
      <c r="T434" s="191"/>
      <c r="U434" s="439"/>
      <c r="V434" s="441"/>
      <c r="W434" s="178"/>
      <c r="X434" s="172"/>
      <c r="Y434" s="172"/>
      <c r="Z434" s="172"/>
      <c r="AA434" s="195"/>
      <c r="AB434" s="172"/>
    </row>
    <row r="435" spans="1:28" ht="12.75" customHeight="1" x14ac:dyDescent="0.3">
      <c r="A435" s="667"/>
      <c r="B435" s="668" t="s">
        <v>4927</v>
      </c>
      <c r="C435" s="160" t="s">
        <v>4928</v>
      </c>
      <c r="D435" s="160"/>
      <c r="E435" s="439"/>
      <c r="F435" s="161">
        <v>1331.8939823589999</v>
      </c>
      <c r="G435" s="161"/>
      <c r="H435" s="654"/>
      <c r="I435" s="654"/>
      <c r="J435" s="191"/>
      <c r="K435" s="191"/>
      <c r="L435" s="191"/>
      <c r="M435" s="191"/>
      <c r="N435" s="191"/>
      <c r="O435" s="191"/>
      <c r="P435" s="191"/>
      <c r="Q435" s="191"/>
      <c r="R435" s="191"/>
      <c r="S435" s="191"/>
      <c r="T435" s="191"/>
      <c r="U435" s="439"/>
      <c r="V435" s="441"/>
      <c r="W435" s="178"/>
      <c r="X435" s="172"/>
      <c r="Y435" s="172"/>
      <c r="Z435" s="172"/>
      <c r="AA435" s="195"/>
      <c r="AB435" s="172"/>
    </row>
    <row r="436" spans="1:28" ht="12.75" customHeight="1" x14ac:dyDescent="0.3">
      <c r="A436" s="667"/>
      <c r="B436" s="668" t="s">
        <v>4929</v>
      </c>
      <c r="C436" s="160" t="s">
        <v>4930</v>
      </c>
      <c r="D436" s="160"/>
      <c r="E436" s="439"/>
      <c r="F436" s="161">
        <v>1447.8825096309999</v>
      </c>
      <c r="G436" s="161"/>
      <c r="H436" s="654"/>
      <c r="I436" s="654"/>
      <c r="J436" s="191"/>
      <c r="K436" s="191">
        <v>9975622.3598592803</v>
      </c>
      <c r="L436" s="191"/>
      <c r="M436" s="191"/>
      <c r="N436" s="191"/>
      <c r="O436" s="191"/>
      <c r="P436" s="191"/>
      <c r="Q436" s="191"/>
      <c r="R436" s="191"/>
      <c r="S436" s="191"/>
      <c r="T436" s="191"/>
      <c r="U436" s="439"/>
      <c r="V436" s="441"/>
      <c r="W436" s="178"/>
      <c r="X436" s="172"/>
      <c r="Y436" s="172"/>
      <c r="Z436" s="172"/>
      <c r="AA436" s="195"/>
      <c r="AB436" s="172"/>
    </row>
    <row r="437" spans="1:28" ht="12.75" customHeight="1" x14ac:dyDescent="0.3">
      <c r="A437" s="667"/>
      <c r="B437" s="668" t="s">
        <v>4931</v>
      </c>
      <c r="C437" s="160" t="s">
        <v>4932</v>
      </c>
      <c r="D437" s="160"/>
      <c r="E437" s="439"/>
      <c r="F437" s="161">
        <v>1613.8678432290001</v>
      </c>
      <c r="G437" s="161"/>
      <c r="H437" s="654"/>
      <c r="I437" s="654"/>
      <c r="J437" s="191"/>
      <c r="K437" s="191">
        <v>10513564.901511</v>
      </c>
      <c r="L437" s="191"/>
      <c r="M437" s="191"/>
      <c r="N437" s="191"/>
      <c r="O437" s="191"/>
      <c r="P437" s="191"/>
      <c r="Q437" s="191"/>
      <c r="R437" s="191"/>
      <c r="S437" s="191"/>
      <c r="T437" s="191"/>
      <c r="U437" s="439"/>
      <c r="V437" s="441"/>
      <c r="W437" s="178"/>
      <c r="X437" s="172"/>
      <c r="Y437" s="172"/>
      <c r="Z437" s="172"/>
      <c r="AA437" s="195"/>
      <c r="AB437" s="172"/>
    </row>
    <row r="438" spans="1:28" ht="12.75" customHeight="1" x14ac:dyDescent="0.3">
      <c r="A438" s="667"/>
      <c r="B438" s="668" t="s">
        <v>4933</v>
      </c>
      <c r="C438" s="160" t="s">
        <v>4934</v>
      </c>
      <c r="D438" s="160"/>
      <c r="E438" s="439">
        <v>22.7</v>
      </c>
      <c r="F438" s="161">
        <v>131.999840847</v>
      </c>
      <c r="G438" s="161"/>
      <c r="H438" s="654"/>
      <c r="I438" s="654"/>
      <c r="J438" s="191"/>
      <c r="K438" s="191"/>
      <c r="L438" s="191"/>
      <c r="M438" s="191"/>
      <c r="N438" s="191"/>
      <c r="O438" s="191"/>
      <c r="P438" s="191"/>
      <c r="Q438" s="191"/>
      <c r="R438" s="191"/>
      <c r="S438" s="191"/>
      <c r="T438" s="191"/>
      <c r="U438" s="439"/>
      <c r="V438" s="441"/>
      <c r="W438" s="178"/>
      <c r="X438" s="172"/>
      <c r="Y438" s="172"/>
      <c r="Z438" s="172"/>
      <c r="AA438" s="195"/>
      <c r="AB438" s="172"/>
    </row>
    <row r="439" spans="1:28" ht="12.75" customHeight="1" x14ac:dyDescent="0.3">
      <c r="A439" s="667"/>
      <c r="B439" s="668" t="s">
        <v>4935</v>
      </c>
      <c r="C439" s="160" t="s">
        <v>4936</v>
      </c>
      <c r="D439" s="160"/>
      <c r="E439" s="439"/>
      <c r="F439" s="161">
        <v>171.978356512</v>
      </c>
      <c r="G439" s="161">
        <v>20.943999999999999</v>
      </c>
      <c r="H439" s="654">
        <v>20.943999999999999</v>
      </c>
      <c r="I439" s="654">
        <v>194.30114718725699</v>
      </c>
      <c r="J439" s="191"/>
      <c r="K439" s="191">
        <v>10.239765240344401</v>
      </c>
      <c r="L439" s="191"/>
      <c r="M439" s="191"/>
      <c r="N439" s="191"/>
      <c r="O439" s="191"/>
      <c r="P439" s="191"/>
      <c r="Q439" s="191"/>
      <c r="R439" s="191"/>
      <c r="S439" s="191"/>
      <c r="T439" s="191"/>
      <c r="U439" s="439"/>
      <c r="V439" s="441"/>
      <c r="W439" s="178"/>
      <c r="X439" s="172"/>
      <c r="Y439" s="172"/>
      <c r="Z439" s="172"/>
      <c r="AA439" s="195"/>
      <c r="AB439" s="172"/>
    </row>
    <row r="440" spans="1:28" ht="12.75" customHeight="1" x14ac:dyDescent="0.3">
      <c r="A440" s="667"/>
      <c r="B440" s="668" t="s">
        <v>4937</v>
      </c>
      <c r="C440" s="160" t="s">
        <v>4938</v>
      </c>
      <c r="D440" s="160"/>
      <c r="E440" s="439">
        <v>4.88</v>
      </c>
      <c r="F440" s="161">
        <v>293.9249307</v>
      </c>
      <c r="G440" s="161">
        <v>-59.603000000000002</v>
      </c>
      <c r="H440" s="654">
        <v>1810.9260581999999</v>
      </c>
      <c r="I440" s="654">
        <v>8.8152789515821208</v>
      </c>
      <c r="J440" s="191"/>
      <c r="K440" s="191">
        <v>909452.45575756696</v>
      </c>
      <c r="L440" s="191"/>
      <c r="M440" s="191"/>
      <c r="N440" s="191"/>
      <c r="O440" s="191"/>
      <c r="P440" s="191"/>
      <c r="Q440" s="191"/>
      <c r="R440" s="191"/>
      <c r="S440" s="191"/>
      <c r="T440" s="191"/>
      <c r="U440" s="439"/>
      <c r="V440" s="441"/>
      <c r="W440" s="178"/>
      <c r="X440" s="172"/>
      <c r="Y440" s="172"/>
      <c r="Z440" s="172"/>
      <c r="AA440" s="195"/>
      <c r="AB440" s="172"/>
    </row>
    <row r="441" spans="1:28" ht="12.75" customHeight="1" x14ac:dyDescent="0.3">
      <c r="A441" s="667"/>
      <c r="B441" s="668" t="s">
        <v>4939</v>
      </c>
      <c r="C441" s="160" t="s">
        <v>4940</v>
      </c>
      <c r="D441" s="160"/>
      <c r="E441" s="439"/>
      <c r="F441" s="161">
        <v>130.004177336</v>
      </c>
      <c r="G441" s="161"/>
      <c r="H441" s="654"/>
      <c r="I441" s="654"/>
      <c r="J441" s="191"/>
      <c r="K441" s="191">
        <v>6.8779972841459198</v>
      </c>
      <c r="L441" s="191"/>
      <c r="M441" s="191"/>
      <c r="N441" s="191"/>
      <c r="O441" s="191"/>
      <c r="P441" s="191"/>
      <c r="Q441" s="191"/>
      <c r="R441" s="191"/>
      <c r="S441" s="191"/>
      <c r="T441" s="191"/>
      <c r="U441" s="439"/>
      <c r="V441" s="441"/>
      <c r="W441" s="178"/>
      <c r="X441" s="172"/>
      <c r="Y441" s="172"/>
      <c r="Z441" s="172"/>
      <c r="AA441" s="195"/>
      <c r="AB441" s="172"/>
    </row>
    <row r="442" spans="1:28" ht="12.75" customHeight="1" x14ac:dyDescent="0.3">
      <c r="A442" s="667"/>
      <c r="B442" s="668" t="s">
        <v>4941</v>
      </c>
      <c r="C442" s="160" t="s">
        <v>4942</v>
      </c>
      <c r="D442" s="160"/>
      <c r="E442" s="439"/>
      <c r="F442" s="161">
        <v>249.00490561300001</v>
      </c>
      <c r="G442" s="161"/>
      <c r="H442" s="654"/>
      <c r="I442" s="654"/>
      <c r="J442" s="191"/>
      <c r="K442" s="191">
        <v>126.949209234007</v>
      </c>
      <c r="L442" s="191"/>
      <c r="M442" s="191"/>
      <c r="N442" s="191"/>
      <c r="O442" s="191"/>
      <c r="P442" s="191"/>
      <c r="Q442" s="191"/>
      <c r="R442" s="191"/>
      <c r="S442" s="191"/>
      <c r="T442" s="191"/>
      <c r="U442" s="439"/>
      <c r="V442" s="441"/>
      <c r="W442" s="178"/>
      <c r="X442" s="172"/>
      <c r="Y442" s="172"/>
      <c r="Z442" s="172"/>
      <c r="AA442" s="195"/>
      <c r="AB442" s="172"/>
    </row>
    <row r="443" spans="1:28" ht="12.75" customHeight="1" x14ac:dyDescent="0.3">
      <c r="A443" s="667"/>
      <c r="B443" s="668" t="s">
        <v>4943</v>
      </c>
      <c r="C443" s="160" t="s">
        <v>4944</v>
      </c>
      <c r="D443" s="160"/>
      <c r="E443" s="439"/>
      <c r="F443" s="161">
        <v>179.95042768600001</v>
      </c>
      <c r="G443" s="161">
        <v>22.321999999999999</v>
      </c>
      <c r="H443" s="654">
        <v>130.58756578000001</v>
      </c>
      <c r="I443" s="654">
        <v>567.74359934933</v>
      </c>
      <c r="J443" s="191"/>
      <c r="K443" s="191">
        <v>164.334973836015</v>
      </c>
      <c r="L443" s="191"/>
      <c r="M443" s="191"/>
      <c r="N443" s="191"/>
      <c r="O443" s="191"/>
      <c r="P443" s="191"/>
      <c r="Q443" s="191"/>
      <c r="R443" s="191"/>
      <c r="S443" s="191"/>
      <c r="T443" s="191"/>
      <c r="U443" s="439"/>
      <c r="V443" s="441"/>
      <c r="W443" s="178"/>
      <c r="X443" s="172"/>
      <c r="Y443" s="172"/>
      <c r="Z443" s="172"/>
      <c r="AA443" s="195"/>
      <c r="AB443" s="172"/>
    </row>
    <row r="444" spans="1:28" ht="12.75" customHeight="1" x14ac:dyDescent="0.3">
      <c r="A444" s="667"/>
      <c r="B444" s="668" t="s">
        <v>4945</v>
      </c>
      <c r="C444" s="160" t="s">
        <v>4946</v>
      </c>
      <c r="D444" s="160"/>
      <c r="E444" s="439">
        <v>2.1659999999999999</v>
      </c>
      <c r="F444" s="161">
        <v>163.93775500000001</v>
      </c>
      <c r="G444" s="161">
        <v>-46.55</v>
      </c>
      <c r="H444" s="654">
        <v>307.54052350000001</v>
      </c>
      <c r="I444" s="654">
        <v>618.98306030859999</v>
      </c>
      <c r="J444" s="191"/>
      <c r="K444" s="191">
        <v>97.122532893272705</v>
      </c>
      <c r="L444" s="191"/>
      <c r="M444" s="191"/>
      <c r="N444" s="191"/>
      <c r="O444" s="191"/>
      <c r="P444" s="191"/>
      <c r="Q444" s="191"/>
      <c r="R444" s="191"/>
      <c r="S444" s="191"/>
      <c r="T444" s="191"/>
      <c r="U444" s="439"/>
      <c r="V444" s="441"/>
      <c r="W444" s="178"/>
      <c r="X444" s="172"/>
      <c r="Y444" s="172"/>
      <c r="Z444" s="172"/>
      <c r="AA444" s="195"/>
      <c r="AB444" s="172"/>
    </row>
    <row r="445" spans="1:28" ht="12.75" customHeight="1" x14ac:dyDescent="0.3">
      <c r="A445" s="667"/>
      <c r="B445" s="668" t="s">
        <v>4947</v>
      </c>
      <c r="C445" s="160" t="s">
        <v>4948</v>
      </c>
      <c r="D445" s="160"/>
      <c r="E445" s="439"/>
      <c r="F445" s="161">
        <v>227.95767480000001</v>
      </c>
      <c r="G445" s="161"/>
      <c r="H445" s="654"/>
      <c r="I445" s="654"/>
      <c r="J445" s="191"/>
      <c r="K445" s="191">
        <v>310170.14994776802</v>
      </c>
      <c r="L445" s="191"/>
      <c r="M445" s="191"/>
      <c r="N445" s="191"/>
      <c r="O445" s="191"/>
      <c r="P445" s="191"/>
      <c r="Q445" s="191"/>
      <c r="R445" s="191"/>
      <c r="S445" s="191"/>
      <c r="T445" s="191"/>
      <c r="U445" s="439"/>
      <c r="V445" s="441"/>
      <c r="W445" s="178"/>
      <c r="X445" s="172"/>
      <c r="Y445" s="172"/>
      <c r="Z445" s="172"/>
      <c r="AA445" s="195"/>
      <c r="AB445" s="172"/>
    </row>
    <row r="446" spans="1:28" ht="12.75" customHeight="1" x14ac:dyDescent="0.3">
      <c r="A446" s="667"/>
      <c r="B446" s="668" t="s">
        <v>4949</v>
      </c>
      <c r="C446" s="160" t="s">
        <v>4950</v>
      </c>
      <c r="D446" s="160"/>
      <c r="E446" s="439">
        <v>3.6030000000000002</v>
      </c>
      <c r="F446" s="161">
        <v>347.98083795600002</v>
      </c>
      <c r="G446" s="161">
        <v>-29.527000000000001</v>
      </c>
      <c r="H446" s="654">
        <v>20.554252739999999</v>
      </c>
      <c r="I446" s="654">
        <v>0.32103702965390402</v>
      </c>
      <c r="J446" s="191"/>
      <c r="K446" s="191">
        <v>36251.000727933999</v>
      </c>
      <c r="L446" s="191"/>
      <c r="M446" s="191"/>
      <c r="N446" s="191"/>
      <c r="O446" s="191"/>
      <c r="P446" s="191"/>
      <c r="Q446" s="191"/>
      <c r="R446" s="191"/>
      <c r="S446" s="191"/>
      <c r="T446" s="191"/>
      <c r="U446" s="439"/>
      <c r="V446" s="441"/>
      <c r="W446" s="178"/>
      <c r="X446" s="172"/>
      <c r="Y446" s="172"/>
      <c r="Z446" s="172"/>
      <c r="AA446" s="195"/>
      <c r="AB446" s="172"/>
    </row>
    <row r="447" spans="1:28" ht="12.75" customHeight="1" x14ac:dyDescent="0.3">
      <c r="A447" s="667"/>
      <c r="B447" s="668" t="s">
        <v>4951</v>
      </c>
      <c r="C447" s="160" t="s">
        <v>4952</v>
      </c>
      <c r="D447" s="160"/>
      <c r="E447" s="439">
        <v>3.633</v>
      </c>
      <c r="F447" s="161">
        <v>271.98722530399999</v>
      </c>
      <c r="G447" s="161">
        <v>53.896999999999998</v>
      </c>
      <c r="H447" s="654">
        <v>0.25995656847999998</v>
      </c>
      <c r="I447" s="654">
        <v>2.5795758024836899</v>
      </c>
      <c r="J447" s="191"/>
      <c r="K447" s="191">
        <v>37989.187053068898</v>
      </c>
      <c r="L447" s="191"/>
      <c r="M447" s="191"/>
      <c r="N447" s="191"/>
      <c r="O447" s="191"/>
      <c r="P447" s="191"/>
      <c r="Q447" s="191"/>
      <c r="R447" s="191"/>
      <c r="S447" s="191"/>
      <c r="T447" s="191"/>
      <c r="U447" s="439"/>
      <c r="V447" s="441"/>
      <c r="W447" s="178"/>
      <c r="X447" s="172"/>
      <c r="Y447" s="172"/>
      <c r="Z447" s="172"/>
      <c r="AA447" s="195"/>
      <c r="AB447" s="172"/>
    </row>
    <row r="448" spans="1:28" ht="12.75" customHeight="1" x14ac:dyDescent="0.3">
      <c r="A448" s="667"/>
      <c r="B448" s="668" t="s">
        <v>4953</v>
      </c>
      <c r="C448" s="160" t="s">
        <v>4954</v>
      </c>
      <c r="D448" s="160"/>
      <c r="E448" s="439"/>
      <c r="F448" s="161">
        <v>3213.9443478490002</v>
      </c>
      <c r="G448" s="161"/>
      <c r="H448" s="654"/>
      <c r="I448" s="654"/>
      <c r="J448" s="191"/>
      <c r="K448" s="191"/>
      <c r="L448" s="191"/>
      <c r="M448" s="191"/>
      <c r="N448" s="191"/>
      <c r="O448" s="191"/>
      <c r="P448" s="191"/>
      <c r="Q448" s="191"/>
      <c r="R448" s="191"/>
      <c r="S448" s="191"/>
      <c r="T448" s="191"/>
      <c r="U448" s="439"/>
      <c r="V448" s="441"/>
      <c r="W448" s="178"/>
      <c r="X448" s="172"/>
      <c r="Y448" s="172"/>
      <c r="Z448" s="172"/>
      <c r="AA448" s="195"/>
      <c r="AB448" s="172"/>
    </row>
    <row r="449" spans="1:28" ht="12.75" customHeight="1" x14ac:dyDescent="0.3">
      <c r="A449" s="667"/>
      <c r="B449" s="668" t="s">
        <v>4955</v>
      </c>
      <c r="C449" s="160" t="s">
        <v>4956</v>
      </c>
      <c r="D449" s="160"/>
      <c r="E449" s="439">
        <v>6.88</v>
      </c>
      <c r="F449" s="161">
        <v>163.00565450299999</v>
      </c>
      <c r="G449" s="161">
        <v>33.488</v>
      </c>
      <c r="H449" s="654">
        <v>979.26875508000001</v>
      </c>
      <c r="I449" s="654">
        <v>1159.31903561696</v>
      </c>
      <c r="J449" s="191"/>
      <c r="K449" s="191">
        <v>6.5834417909385099</v>
      </c>
      <c r="L449" s="191"/>
      <c r="M449" s="191"/>
      <c r="N449" s="191"/>
      <c r="O449" s="191"/>
      <c r="P449" s="191"/>
      <c r="Q449" s="191"/>
      <c r="R449" s="191"/>
      <c r="S449" s="191"/>
      <c r="T449" s="191"/>
      <c r="U449" s="439"/>
      <c r="V449" s="441"/>
      <c r="W449" s="178"/>
      <c r="X449" s="172"/>
      <c r="Y449" s="172"/>
      <c r="Z449" s="172"/>
      <c r="AA449" s="195"/>
      <c r="AB449" s="172"/>
    </row>
    <row r="450" spans="1:28" ht="12.75" customHeight="1" x14ac:dyDescent="0.3">
      <c r="A450" s="667"/>
      <c r="B450" s="668" t="s">
        <v>4957</v>
      </c>
      <c r="C450" s="160" t="s">
        <v>4958</v>
      </c>
      <c r="D450" s="160"/>
      <c r="E450" s="439">
        <v>7.11</v>
      </c>
      <c r="F450" s="161">
        <v>145.015076373</v>
      </c>
      <c r="G450" s="161">
        <v>5.5919999999999996</v>
      </c>
      <c r="H450" s="654">
        <v>587.35673710000003</v>
      </c>
      <c r="I450" s="654">
        <v>26878.979450964602</v>
      </c>
      <c r="J450" s="191"/>
      <c r="K450" s="191">
        <v>0.27103039622619901</v>
      </c>
      <c r="L450" s="191"/>
      <c r="M450" s="191"/>
      <c r="N450" s="191"/>
      <c r="O450" s="191"/>
      <c r="P450" s="191"/>
      <c r="Q450" s="191"/>
      <c r="R450" s="191"/>
      <c r="S450" s="191"/>
      <c r="T450" s="191"/>
      <c r="U450" s="439"/>
      <c r="V450" s="441"/>
      <c r="W450" s="178"/>
      <c r="X450" s="172"/>
      <c r="Y450" s="172"/>
      <c r="Z450" s="172"/>
      <c r="AA450" s="195"/>
      <c r="AB450" s="172"/>
    </row>
    <row r="451" spans="1:28" ht="12.75" customHeight="1" x14ac:dyDescent="0.3">
      <c r="A451" s="667"/>
      <c r="B451" s="668" t="s">
        <v>4959</v>
      </c>
      <c r="C451" s="160" t="s">
        <v>4960</v>
      </c>
      <c r="D451" s="160"/>
      <c r="E451" s="439">
        <v>4.88</v>
      </c>
      <c r="F451" s="161">
        <v>460.07254419999998</v>
      </c>
      <c r="G451" s="161">
        <v>164.22</v>
      </c>
      <c r="H451" s="654">
        <v>5.3321467290000004E-7</v>
      </c>
      <c r="I451" s="654">
        <v>0.279142575177731</v>
      </c>
      <c r="J451" s="191"/>
      <c r="K451" s="191">
        <v>4522.4107000859603</v>
      </c>
      <c r="L451" s="191"/>
      <c r="M451" s="191"/>
      <c r="N451" s="191"/>
      <c r="O451" s="191"/>
      <c r="P451" s="191"/>
      <c r="Q451" s="191"/>
      <c r="R451" s="191"/>
      <c r="S451" s="191"/>
      <c r="T451" s="191"/>
      <c r="U451" s="439"/>
      <c r="V451" s="441"/>
      <c r="W451" s="178"/>
      <c r="X451" s="172"/>
      <c r="Y451" s="172"/>
      <c r="Z451" s="172"/>
      <c r="AA451" s="195"/>
      <c r="AB451" s="172"/>
    </row>
    <row r="452" spans="1:28" ht="12.75" customHeight="1" x14ac:dyDescent="0.3">
      <c r="A452" s="667" t="s">
        <v>4414</v>
      </c>
      <c r="B452" s="668" t="s">
        <v>4961</v>
      </c>
      <c r="C452" s="160" t="s">
        <v>4962</v>
      </c>
      <c r="D452" s="160"/>
      <c r="E452" s="439"/>
      <c r="F452" s="161"/>
      <c r="G452" s="161"/>
      <c r="H452" s="654"/>
      <c r="I452" s="654"/>
      <c r="J452" s="191"/>
      <c r="K452" s="191"/>
      <c r="L452" s="191"/>
      <c r="M452" s="191"/>
      <c r="N452" s="191"/>
      <c r="O452" s="191"/>
      <c r="P452" s="191"/>
      <c r="Q452" s="191"/>
      <c r="R452" s="191"/>
      <c r="S452" s="191"/>
      <c r="T452" s="191"/>
      <c r="U452" s="439"/>
      <c r="V452" s="441"/>
      <c r="W452" s="178"/>
      <c r="X452" s="172"/>
      <c r="Y452" s="172"/>
      <c r="Z452" s="172"/>
      <c r="AA452" s="195"/>
      <c r="AB452" s="172"/>
    </row>
    <row r="453" spans="1:28" ht="12.75" customHeight="1" x14ac:dyDescent="0.3">
      <c r="A453" s="667"/>
      <c r="B453" s="668" t="s">
        <v>4963</v>
      </c>
      <c r="C453" s="160" t="s">
        <v>4964</v>
      </c>
      <c r="D453" s="160"/>
      <c r="E453" s="439">
        <v>8.0500000000000007</v>
      </c>
      <c r="F453" s="161">
        <v>149.026389948</v>
      </c>
      <c r="G453" s="161">
        <v>-3.2559999999999998</v>
      </c>
      <c r="H453" s="654">
        <v>13705.768244000001</v>
      </c>
      <c r="I453" s="654">
        <v>855.584348913859</v>
      </c>
      <c r="J453" s="191"/>
      <c r="K453" s="191">
        <v>11.722493483826099</v>
      </c>
      <c r="L453" s="191"/>
      <c r="M453" s="191"/>
      <c r="N453" s="191"/>
      <c r="O453" s="191"/>
      <c r="P453" s="191"/>
      <c r="Q453" s="191"/>
      <c r="R453" s="191"/>
      <c r="S453" s="191"/>
      <c r="T453" s="191"/>
      <c r="U453" s="439"/>
      <c r="V453" s="441"/>
      <c r="W453" s="178"/>
      <c r="X453" s="172"/>
      <c r="Y453" s="172"/>
      <c r="Z453" s="172"/>
      <c r="AA453" s="195"/>
      <c r="AB453" s="172"/>
    </row>
    <row r="454" spans="1:28" ht="12.75" customHeight="1" x14ac:dyDescent="0.3">
      <c r="A454" s="667"/>
      <c r="B454" s="668" t="s">
        <v>4965</v>
      </c>
      <c r="C454" s="160" t="s">
        <v>4966</v>
      </c>
      <c r="D454" s="160"/>
      <c r="E454" s="439">
        <v>0.54</v>
      </c>
      <c r="F454" s="161">
        <v>913.94176497700005</v>
      </c>
      <c r="G454" s="161">
        <v>54.918999999999997</v>
      </c>
      <c r="H454" s="654"/>
      <c r="I454" s="654"/>
      <c r="J454" s="191"/>
      <c r="K454" s="191">
        <v>3735424.81892739</v>
      </c>
      <c r="L454" s="191"/>
      <c r="M454" s="191"/>
      <c r="N454" s="191"/>
      <c r="O454" s="191"/>
      <c r="P454" s="191"/>
      <c r="Q454" s="191"/>
      <c r="R454" s="191"/>
      <c r="S454" s="191"/>
      <c r="T454" s="191"/>
      <c r="U454" s="439"/>
      <c r="V454" s="441"/>
      <c r="W454" s="178"/>
      <c r="X454" s="172"/>
      <c r="Y454" s="172"/>
      <c r="Z454" s="172"/>
      <c r="AA454" s="195"/>
      <c r="AB454" s="172"/>
    </row>
    <row r="455" spans="1:28" ht="12.75" customHeight="1" x14ac:dyDescent="0.3">
      <c r="A455" s="667"/>
      <c r="B455" s="668" t="s">
        <v>4967</v>
      </c>
      <c r="C455" s="160" t="s">
        <v>4968</v>
      </c>
      <c r="D455" s="160"/>
      <c r="E455" s="439"/>
      <c r="F455" s="161">
        <v>165.98533359800001</v>
      </c>
      <c r="G455" s="161">
        <v>-85.585999999999999</v>
      </c>
      <c r="H455" s="654">
        <v>227457.99776</v>
      </c>
      <c r="I455" s="654">
        <v>294.48951901623502</v>
      </c>
      <c r="J455" s="191"/>
      <c r="K455" s="191">
        <v>28.866890179482699</v>
      </c>
      <c r="L455" s="191"/>
      <c r="M455" s="191"/>
      <c r="N455" s="191"/>
      <c r="O455" s="191"/>
      <c r="P455" s="191"/>
      <c r="Q455" s="191"/>
      <c r="R455" s="191"/>
      <c r="S455" s="191"/>
      <c r="T455" s="191"/>
      <c r="U455" s="439"/>
      <c r="V455" s="441"/>
      <c r="W455" s="178"/>
      <c r="X455" s="172"/>
      <c r="Y455" s="172"/>
      <c r="Z455" s="172"/>
      <c r="AA455" s="195"/>
      <c r="AB455" s="172"/>
    </row>
    <row r="456" spans="1:28" ht="12.75" customHeight="1" x14ac:dyDescent="0.3">
      <c r="A456" s="667"/>
      <c r="B456" s="668" t="s">
        <v>4969</v>
      </c>
      <c r="C456" s="160" t="s">
        <v>4970</v>
      </c>
      <c r="D456" s="160"/>
      <c r="E456" s="439">
        <v>0.54</v>
      </c>
      <c r="F456" s="161">
        <v>1013.935377629</v>
      </c>
      <c r="G456" s="161"/>
      <c r="H456" s="654"/>
      <c r="I456" s="654"/>
      <c r="J456" s="191"/>
      <c r="K456" s="191">
        <v>24028684.7707964</v>
      </c>
      <c r="L456" s="191"/>
      <c r="M456" s="191"/>
      <c r="N456" s="191"/>
      <c r="O456" s="191"/>
      <c r="P456" s="191"/>
      <c r="Q456" s="191"/>
      <c r="R456" s="191"/>
      <c r="S456" s="191"/>
      <c r="T456" s="191"/>
      <c r="U456" s="439"/>
      <c r="V456" s="441"/>
      <c r="W456" s="178"/>
      <c r="X456" s="172"/>
      <c r="Y456" s="172"/>
      <c r="Z456" s="172"/>
      <c r="AA456" s="195"/>
      <c r="AB456" s="172"/>
    </row>
    <row r="457" spans="1:28" ht="12.75" customHeight="1" x14ac:dyDescent="0.3">
      <c r="A457" s="667"/>
      <c r="B457" s="668" t="s">
        <v>4971</v>
      </c>
      <c r="C457" s="160" t="s">
        <v>4972</v>
      </c>
      <c r="D457" s="160"/>
      <c r="E457" s="439">
        <v>36.378</v>
      </c>
      <c r="F457" s="161">
        <v>447.97559342300002</v>
      </c>
      <c r="G457" s="161">
        <v>-27.346</v>
      </c>
      <c r="H457" s="654">
        <v>115.851485119999</v>
      </c>
      <c r="I457" s="654">
        <v>0.73325541082663404</v>
      </c>
      <c r="J457" s="191"/>
      <c r="K457" s="191">
        <v>20171.119393771602</v>
      </c>
      <c r="L457" s="191"/>
      <c r="M457" s="191"/>
      <c r="N457" s="191"/>
      <c r="O457" s="191"/>
      <c r="P457" s="191"/>
      <c r="Q457" s="191"/>
      <c r="R457" s="191"/>
      <c r="S457" s="191"/>
      <c r="T457" s="191"/>
      <c r="U457" s="439"/>
      <c r="V457" s="441"/>
      <c r="W457" s="178"/>
      <c r="X457" s="172"/>
      <c r="Y457" s="172"/>
      <c r="Z457" s="172"/>
      <c r="AA457" s="195"/>
      <c r="AB457" s="172"/>
    </row>
    <row r="458" spans="1:28" ht="12.75" customHeight="1" x14ac:dyDescent="0.3">
      <c r="A458" s="667" t="s">
        <v>4414</v>
      </c>
      <c r="B458" s="668" t="s">
        <v>4973</v>
      </c>
      <c r="C458" s="160" t="s">
        <v>4974</v>
      </c>
      <c r="D458" s="160"/>
      <c r="E458" s="439"/>
      <c r="F458" s="161"/>
      <c r="G458" s="161"/>
      <c r="H458" s="654"/>
      <c r="I458" s="654"/>
      <c r="J458" s="191"/>
      <c r="K458" s="191"/>
      <c r="L458" s="191"/>
      <c r="M458" s="191"/>
      <c r="N458" s="191"/>
      <c r="O458" s="191"/>
      <c r="P458" s="191"/>
      <c r="Q458" s="191"/>
      <c r="R458" s="191"/>
      <c r="S458" s="191"/>
      <c r="T458" s="191"/>
      <c r="U458" s="439"/>
      <c r="V458" s="441"/>
      <c r="W458" s="178"/>
      <c r="X458" s="172"/>
      <c r="Y458" s="172"/>
      <c r="Z458" s="172"/>
      <c r="AA458" s="195"/>
      <c r="AB458" s="172"/>
    </row>
    <row r="459" spans="1:28" ht="12.75" customHeight="1" x14ac:dyDescent="0.3">
      <c r="A459" s="667" t="s">
        <v>4414</v>
      </c>
      <c r="B459" s="668" t="s">
        <v>4975</v>
      </c>
      <c r="C459" s="160" t="s">
        <v>4976</v>
      </c>
      <c r="D459" s="160"/>
      <c r="E459" s="439"/>
      <c r="F459" s="161"/>
      <c r="G459" s="161"/>
      <c r="H459" s="654"/>
      <c r="I459" s="654"/>
      <c r="J459" s="191"/>
      <c r="K459" s="191"/>
      <c r="L459" s="191"/>
      <c r="M459" s="191"/>
      <c r="N459" s="191"/>
      <c r="O459" s="191"/>
      <c r="P459" s="191"/>
      <c r="Q459" s="191"/>
      <c r="R459" s="191"/>
      <c r="S459" s="191"/>
      <c r="T459" s="191"/>
      <c r="U459" s="439"/>
      <c r="V459" s="441"/>
      <c r="W459" s="178"/>
      <c r="X459" s="172"/>
      <c r="Y459" s="172"/>
      <c r="Z459" s="172"/>
      <c r="AA459" s="195"/>
      <c r="AB459" s="172"/>
    </row>
    <row r="460" spans="1:28" ht="12.75" customHeight="1" x14ac:dyDescent="0.3">
      <c r="A460" s="667"/>
      <c r="B460" s="668" t="s">
        <v>4977</v>
      </c>
      <c r="C460" s="160" t="s">
        <v>4978</v>
      </c>
      <c r="D460" s="160"/>
      <c r="E460" s="439">
        <v>-0.40799999999999997</v>
      </c>
      <c r="F460" s="161">
        <v>178.090626525</v>
      </c>
      <c r="G460" s="161">
        <v>132.11600000000001</v>
      </c>
      <c r="H460" s="654">
        <v>1.2790926012199999E-3</v>
      </c>
      <c r="I460" s="654">
        <v>101.77505315588</v>
      </c>
      <c r="J460" s="191"/>
      <c r="K460" s="191">
        <v>1.8054148070907301</v>
      </c>
      <c r="L460" s="191"/>
      <c r="M460" s="191"/>
      <c r="N460" s="191"/>
      <c r="O460" s="191"/>
      <c r="P460" s="191"/>
      <c r="Q460" s="191"/>
      <c r="R460" s="191"/>
      <c r="S460" s="191"/>
      <c r="T460" s="191"/>
      <c r="U460" s="439"/>
      <c r="V460" s="441"/>
      <c r="W460" s="178"/>
      <c r="X460" s="172"/>
      <c r="Y460" s="172"/>
      <c r="Z460" s="172"/>
      <c r="AA460" s="195"/>
      <c r="AB460" s="172"/>
    </row>
    <row r="461" spans="1:28" ht="12.75" customHeight="1" x14ac:dyDescent="0.3">
      <c r="A461" s="667"/>
      <c r="B461" s="668" t="s">
        <v>4979</v>
      </c>
      <c r="C461" s="160" t="s">
        <v>4980</v>
      </c>
      <c r="D461" s="160"/>
      <c r="E461" s="439">
        <v>2.13</v>
      </c>
      <c r="F461" s="161">
        <v>603.96370858600005</v>
      </c>
      <c r="G461" s="161"/>
      <c r="H461" s="654"/>
      <c r="I461" s="654"/>
      <c r="J461" s="191"/>
      <c r="K461" s="191"/>
      <c r="L461" s="191"/>
      <c r="M461" s="191"/>
      <c r="N461" s="191"/>
      <c r="O461" s="191"/>
      <c r="P461" s="191"/>
      <c r="Q461" s="191"/>
      <c r="R461" s="191"/>
      <c r="S461" s="191"/>
      <c r="T461" s="191"/>
      <c r="U461" s="439"/>
      <c r="V461" s="441"/>
      <c r="W461" s="178"/>
      <c r="X461" s="172"/>
      <c r="Y461" s="172"/>
      <c r="Z461" s="172"/>
      <c r="AA461" s="195"/>
      <c r="AB461" s="172"/>
    </row>
    <row r="462" spans="1:28" ht="12.75" customHeight="1" x14ac:dyDescent="0.3">
      <c r="A462" s="667"/>
      <c r="B462" s="668" t="s">
        <v>4981</v>
      </c>
      <c r="C462" s="160" t="s">
        <v>4982</v>
      </c>
      <c r="D462" s="160"/>
      <c r="E462" s="439">
        <v>1.67</v>
      </c>
      <c r="F462" s="161">
        <v>195.99589828200001</v>
      </c>
      <c r="G462" s="161">
        <v>-22.221</v>
      </c>
      <c r="H462" s="654">
        <v>2222.8110449999999</v>
      </c>
      <c r="I462" s="654">
        <v>1117.49805348058</v>
      </c>
      <c r="J462" s="191"/>
      <c r="K462" s="191">
        <v>61.191345113378397</v>
      </c>
      <c r="L462" s="191"/>
      <c r="M462" s="191"/>
      <c r="N462" s="191"/>
      <c r="O462" s="191"/>
      <c r="P462" s="191"/>
      <c r="Q462" s="191"/>
      <c r="R462" s="191"/>
      <c r="S462" s="191"/>
      <c r="T462" s="191"/>
      <c r="U462" s="439"/>
      <c r="V462" s="441"/>
      <c r="W462" s="178"/>
      <c r="X462" s="172"/>
      <c r="Y462" s="172"/>
      <c r="Z462" s="172"/>
      <c r="AA462" s="195"/>
      <c r="AB462" s="172"/>
    </row>
    <row r="463" spans="1:28" ht="12.75" customHeight="1" x14ac:dyDescent="0.3">
      <c r="A463" s="667"/>
      <c r="B463" s="668" t="s">
        <v>4983</v>
      </c>
      <c r="C463" s="160" t="s">
        <v>4984</v>
      </c>
      <c r="D463" s="160"/>
      <c r="E463" s="439">
        <v>0.01</v>
      </c>
      <c r="F463" s="161">
        <v>543.82275570000002</v>
      </c>
      <c r="G463" s="161"/>
      <c r="H463" s="654"/>
      <c r="I463" s="654"/>
      <c r="J463" s="191"/>
      <c r="K463" s="191">
        <v>1033498.85544181</v>
      </c>
      <c r="L463" s="191"/>
      <c r="M463" s="191"/>
      <c r="N463" s="191"/>
      <c r="O463" s="191"/>
      <c r="P463" s="191"/>
      <c r="Q463" s="191"/>
      <c r="R463" s="191"/>
      <c r="S463" s="191"/>
      <c r="T463" s="191"/>
      <c r="U463" s="439"/>
      <c r="V463" s="441"/>
      <c r="W463" s="178"/>
      <c r="X463" s="172"/>
      <c r="Y463" s="172"/>
      <c r="Z463" s="172"/>
      <c r="AA463" s="195"/>
      <c r="AB463" s="172"/>
    </row>
    <row r="464" spans="1:28" ht="12.75" customHeight="1" x14ac:dyDescent="0.3">
      <c r="A464" s="667"/>
      <c r="B464" s="668" t="s">
        <v>4985</v>
      </c>
      <c r="C464" s="160" t="s">
        <v>4986</v>
      </c>
      <c r="D464" s="160"/>
      <c r="E464" s="439"/>
      <c r="F464" s="161">
        <v>463.970508043</v>
      </c>
      <c r="G464" s="161"/>
      <c r="H464" s="654"/>
      <c r="I464" s="654"/>
      <c r="J464" s="191"/>
      <c r="K464" s="191"/>
      <c r="L464" s="191"/>
      <c r="M464" s="191"/>
      <c r="N464" s="191"/>
      <c r="O464" s="191"/>
      <c r="P464" s="191"/>
      <c r="Q464" s="191"/>
      <c r="R464" s="191"/>
      <c r="S464" s="191"/>
      <c r="T464" s="191"/>
      <c r="U464" s="439"/>
      <c r="V464" s="441"/>
      <c r="W464" s="178"/>
      <c r="X464" s="172"/>
      <c r="Y464" s="172"/>
      <c r="Z464" s="172"/>
      <c r="AA464" s="195"/>
      <c r="AB464" s="172"/>
    </row>
    <row r="465" spans="1:28" ht="12.75" customHeight="1" x14ac:dyDescent="0.3">
      <c r="A465" s="667"/>
      <c r="B465" s="668" t="s">
        <v>4987</v>
      </c>
      <c r="C465" s="160" t="s">
        <v>4988</v>
      </c>
      <c r="D465" s="160"/>
      <c r="E465" s="439">
        <v>0.24</v>
      </c>
      <c r="F465" s="161">
        <v>659.78681789999996</v>
      </c>
      <c r="G465" s="161"/>
      <c r="H465" s="654"/>
      <c r="I465" s="654"/>
      <c r="J465" s="191"/>
      <c r="K465" s="191">
        <v>100152086.149996</v>
      </c>
      <c r="L465" s="191"/>
      <c r="M465" s="191"/>
      <c r="N465" s="191"/>
      <c r="O465" s="191"/>
      <c r="P465" s="191"/>
      <c r="Q465" s="191"/>
      <c r="R465" s="191"/>
      <c r="S465" s="191"/>
      <c r="T465" s="191"/>
      <c r="U465" s="439"/>
      <c r="V465" s="441"/>
      <c r="W465" s="178"/>
      <c r="X465" s="172"/>
      <c r="Y465" s="172"/>
      <c r="Z465" s="172"/>
      <c r="AA465" s="195"/>
      <c r="AB465" s="172"/>
    </row>
    <row r="466" spans="1:28" ht="12.75" customHeight="1" x14ac:dyDescent="0.3">
      <c r="A466" s="667"/>
      <c r="B466" s="668" t="s">
        <v>4989</v>
      </c>
      <c r="C466" s="160" t="s">
        <v>4990</v>
      </c>
      <c r="D466" s="160"/>
      <c r="E466" s="439">
        <v>-7.0000000000000007E-2</v>
      </c>
      <c r="F466" s="161">
        <v>543.82275570000002</v>
      </c>
      <c r="G466" s="161"/>
      <c r="H466" s="654"/>
      <c r="I466" s="654"/>
      <c r="J466" s="191"/>
      <c r="K466" s="191">
        <v>1073593.8128960801</v>
      </c>
      <c r="L466" s="191"/>
      <c r="M466" s="191"/>
      <c r="N466" s="191"/>
      <c r="O466" s="191"/>
      <c r="P466" s="191"/>
      <c r="Q466" s="191"/>
      <c r="R466" s="191"/>
      <c r="S466" s="191"/>
      <c r="T466" s="191"/>
      <c r="U466" s="439"/>
      <c r="V466" s="441"/>
      <c r="W466" s="178"/>
      <c r="X466" s="172"/>
      <c r="Y466" s="172"/>
      <c r="Z466" s="172"/>
      <c r="AA466" s="195"/>
      <c r="AB466" s="172"/>
    </row>
    <row r="467" spans="1:28" ht="12.75" customHeight="1" x14ac:dyDescent="0.3">
      <c r="A467" s="667"/>
      <c r="B467" s="668" t="s">
        <v>4991</v>
      </c>
      <c r="C467" s="160" t="s">
        <v>4992</v>
      </c>
      <c r="D467" s="160"/>
      <c r="E467" s="439">
        <v>0.23</v>
      </c>
      <c r="F467" s="161">
        <v>477.85549989999998</v>
      </c>
      <c r="G467" s="161"/>
      <c r="H467" s="654"/>
      <c r="I467" s="654"/>
      <c r="J467" s="191"/>
      <c r="K467" s="191">
        <v>729457.510254569</v>
      </c>
      <c r="L467" s="191"/>
      <c r="M467" s="191"/>
      <c r="N467" s="191"/>
      <c r="O467" s="191"/>
      <c r="P467" s="191"/>
      <c r="Q467" s="191"/>
      <c r="R467" s="191"/>
      <c r="S467" s="191"/>
      <c r="T467" s="191"/>
      <c r="U467" s="439"/>
      <c r="V467" s="441"/>
      <c r="W467" s="178"/>
      <c r="X467" s="172"/>
      <c r="Y467" s="172"/>
      <c r="Z467" s="172"/>
      <c r="AA467" s="195"/>
      <c r="AB467" s="172"/>
    </row>
    <row r="468" spans="1:28" ht="12.75" customHeight="1" x14ac:dyDescent="0.3">
      <c r="A468" s="667"/>
      <c r="B468" s="668" t="s">
        <v>4993</v>
      </c>
      <c r="C468" s="160" t="s">
        <v>4994</v>
      </c>
      <c r="D468" s="160"/>
      <c r="E468" s="439">
        <v>-0.02</v>
      </c>
      <c r="F468" s="161">
        <v>427.85869350000002</v>
      </c>
      <c r="G468" s="161"/>
      <c r="H468" s="654"/>
      <c r="I468" s="654"/>
      <c r="J468" s="191"/>
      <c r="K468" s="191">
        <v>35997.306012642897</v>
      </c>
      <c r="L468" s="191"/>
      <c r="M468" s="191"/>
      <c r="N468" s="191"/>
      <c r="O468" s="191"/>
      <c r="P468" s="191"/>
      <c r="Q468" s="191"/>
      <c r="R468" s="191"/>
      <c r="S468" s="191"/>
      <c r="T468" s="191"/>
      <c r="U468" s="439"/>
      <c r="V468" s="441"/>
      <c r="W468" s="178"/>
      <c r="X468" s="172"/>
      <c r="Y468" s="172"/>
      <c r="Z468" s="172"/>
      <c r="AA468" s="195"/>
      <c r="AB468" s="172"/>
    </row>
    <row r="469" spans="1:28" ht="12.75" customHeight="1" x14ac:dyDescent="0.3">
      <c r="A469" s="667"/>
      <c r="B469" s="668" t="s">
        <v>4995</v>
      </c>
      <c r="C469" s="160" t="s">
        <v>4996</v>
      </c>
      <c r="D469" s="160"/>
      <c r="E469" s="439">
        <v>-0.1</v>
      </c>
      <c r="F469" s="161">
        <v>361.89143769999998</v>
      </c>
      <c r="G469" s="161"/>
      <c r="H469" s="654"/>
      <c r="I469" s="654"/>
      <c r="J469" s="191"/>
      <c r="K469" s="191">
        <v>32372.780307468402</v>
      </c>
      <c r="L469" s="191"/>
      <c r="M469" s="191"/>
      <c r="N469" s="191"/>
      <c r="O469" s="191"/>
      <c r="P469" s="191"/>
      <c r="Q469" s="191"/>
      <c r="R469" s="191"/>
      <c r="S469" s="191"/>
      <c r="T469" s="191"/>
      <c r="U469" s="439"/>
      <c r="V469" s="441"/>
      <c r="W469" s="178"/>
      <c r="X469" s="172"/>
      <c r="Y469" s="172"/>
      <c r="Z469" s="172"/>
      <c r="AA469" s="195"/>
      <c r="AB469" s="172"/>
    </row>
    <row r="470" spans="1:28" ht="12.75" customHeight="1" x14ac:dyDescent="0.3">
      <c r="A470" s="667"/>
      <c r="B470" s="668" t="s">
        <v>4997</v>
      </c>
      <c r="C470" s="160" t="s">
        <v>4998</v>
      </c>
      <c r="D470" s="160"/>
      <c r="E470" s="439">
        <v>-0.03</v>
      </c>
      <c r="F470" s="161">
        <v>589.96337180399996</v>
      </c>
      <c r="G470" s="161">
        <v>38.274000000000001</v>
      </c>
      <c r="H470" s="654">
        <v>5.4941729555999998E-2</v>
      </c>
      <c r="I470" s="654"/>
      <c r="J470" s="191"/>
      <c r="K470" s="191">
        <v>83243.436368434195</v>
      </c>
      <c r="L470" s="191"/>
      <c r="M470" s="191"/>
      <c r="N470" s="191"/>
      <c r="O470" s="191"/>
      <c r="P470" s="191"/>
      <c r="Q470" s="191"/>
      <c r="R470" s="191"/>
      <c r="S470" s="191"/>
      <c r="T470" s="191"/>
      <c r="U470" s="439"/>
      <c r="V470" s="441"/>
      <c r="W470" s="178"/>
      <c r="X470" s="172"/>
      <c r="Y470" s="172"/>
      <c r="Z470" s="172"/>
      <c r="AA470" s="195"/>
      <c r="AB470" s="172"/>
    </row>
    <row r="471" spans="1:28" ht="12.75" customHeight="1" x14ac:dyDescent="0.3">
      <c r="A471" s="667"/>
      <c r="B471" s="668" t="s">
        <v>4999</v>
      </c>
      <c r="C471" s="160" t="s">
        <v>5000</v>
      </c>
      <c r="D471" s="160"/>
      <c r="E471" s="439">
        <v>-0.34</v>
      </c>
      <c r="F471" s="161">
        <v>439.97295282599998</v>
      </c>
      <c r="G471" s="161">
        <v>73.655000000000001</v>
      </c>
      <c r="H471" s="654">
        <v>0.19539005709999999</v>
      </c>
      <c r="I471" s="654">
        <v>1.46698421768961</v>
      </c>
      <c r="J471" s="191"/>
      <c r="K471" s="191">
        <v>6260.2258280401602</v>
      </c>
      <c r="L471" s="191"/>
      <c r="M471" s="191"/>
      <c r="N471" s="191"/>
      <c r="O471" s="191"/>
      <c r="P471" s="191"/>
      <c r="Q471" s="191"/>
      <c r="R471" s="191"/>
      <c r="S471" s="191"/>
      <c r="T471" s="191"/>
      <c r="U471" s="439"/>
      <c r="V471" s="441"/>
      <c r="W471" s="178"/>
      <c r="X471" s="172"/>
      <c r="Y471" s="172"/>
      <c r="Z471" s="172"/>
      <c r="AA471" s="195"/>
      <c r="AB471" s="172"/>
    </row>
    <row r="472" spans="1:28" ht="12.75" customHeight="1" x14ac:dyDescent="0.3">
      <c r="A472" s="667"/>
      <c r="B472" s="668" t="s">
        <v>5001</v>
      </c>
      <c r="C472" s="160" t="s">
        <v>5002</v>
      </c>
      <c r="D472" s="160"/>
      <c r="E472" s="439">
        <v>-0.64</v>
      </c>
      <c r="F472" s="161">
        <v>189.98892119600001</v>
      </c>
      <c r="G472" s="161">
        <v>97.620999999999995</v>
      </c>
      <c r="H472" s="654">
        <v>5.9965569159999999E-3</v>
      </c>
      <c r="I472" s="654">
        <v>2622.56907040534</v>
      </c>
      <c r="J472" s="191"/>
      <c r="K472" s="191">
        <v>12.8827921507678</v>
      </c>
      <c r="L472" s="191"/>
      <c r="M472" s="191"/>
      <c r="N472" s="191"/>
      <c r="O472" s="191"/>
      <c r="P472" s="191"/>
      <c r="Q472" s="191"/>
      <c r="R472" s="191"/>
      <c r="S472" s="191"/>
      <c r="T472" s="191"/>
      <c r="U472" s="439"/>
      <c r="V472" s="441"/>
      <c r="W472" s="178"/>
      <c r="X472" s="172"/>
      <c r="Y472" s="172"/>
      <c r="Z472" s="172"/>
      <c r="AA472" s="195"/>
      <c r="AB472" s="172"/>
    </row>
    <row r="473" spans="1:28" ht="12.75" customHeight="1" x14ac:dyDescent="0.3">
      <c r="A473" s="667"/>
      <c r="B473" s="668" t="s">
        <v>5003</v>
      </c>
      <c r="C473" s="160" t="s">
        <v>5004</v>
      </c>
      <c r="D473" s="160"/>
      <c r="E473" s="439">
        <v>0.81</v>
      </c>
      <c r="F473" s="161">
        <v>163.98967008700001</v>
      </c>
      <c r="G473" s="161">
        <v>-1.984</v>
      </c>
      <c r="H473" s="654">
        <v>1617.7158158</v>
      </c>
      <c r="I473" s="654">
        <v>5480.45277947249</v>
      </c>
      <c r="J473" s="191"/>
      <c r="K473" s="191">
        <v>26.057335215281</v>
      </c>
      <c r="L473" s="191"/>
      <c r="M473" s="191"/>
      <c r="N473" s="191"/>
      <c r="O473" s="191"/>
      <c r="P473" s="191"/>
      <c r="Q473" s="191"/>
      <c r="R473" s="191"/>
      <c r="S473" s="191"/>
      <c r="T473" s="191"/>
      <c r="U473" s="439"/>
      <c r="V473" s="441"/>
      <c r="W473" s="178"/>
      <c r="X473" s="172"/>
      <c r="Y473" s="172"/>
      <c r="Z473" s="172"/>
      <c r="AA473" s="195"/>
      <c r="AB473" s="172"/>
    </row>
    <row r="474" spans="1:28" ht="12.75" customHeight="1" x14ac:dyDescent="0.3">
      <c r="A474" s="667"/>
      <c r="B474" s="668" t="s">
        <v>5005</v>
      </c>
      <c r="C474" s="160" t="s">
        <v>5006</v>
      </c>
      <c r="D474" s="160"/>
      <c r="E474" s="439">
        <v>-1.87</v>
      </c>
      <c r="F474" s="161">
        <v>517.97590716000002</v>
      </c>
      <c r="G474" s="161">
        <v>55.17</v>
      </c>
      <c r="H474" s="654">
        <v>1.11661041338E-2</v>
      </c>
      <c r="I474" s="654">
        <v>0.47239972506489802</v>
      </c>
      <c r="J474" s="191"/>
      <c r="K474" s="191">
        <v>173528.17527147901</v>
      </c>
      <c r="L474" s="191"/>
      <c r="M474" s="191"/>
      <c r="N474" s="191"/>
      <c r="O474" s="191"/>
      <c r="P474" s="191"/>
      <c r="Q474" s="191"/>
      <c r="R474" s="191"/>
      <c r="S474" s="191"/>
      <c r="T474" s="191"/>
      <c r="U474" s="439"/>
      <c r="V474" s="441"/>
      <c r="W474" s="178"/>
      <c r="X474" s="172"/>
      <c r="Y474" s="172"/>
      <c r="Z474" s="172"/>
      <c r="AA474" s="195"/>
      <c r="AB474" s="172"/>
    </row>
    <row r="475" spans="1:28" ht="12.75" customHeight="1" x14ac:dyDescent="0.3">
      <c r="A475" s="667"/>
      <c r="B475" s="668" t="s">
        <v>5007</v>
      </c>
      <c r="C475" s="160" t="s">
        <v>5008</v>
      </c>
      <c r="D475" s="160"/>
      <c r="E475" s="439">
        <v>1.54</v>
      </c>
      <c r="F475" s="161">
        <v>145.999091956</v>
      </c>
      <c r="G475" s="161">
        <v>-21.372</v>
      </c>
      <c r="H475" s="654">
        <v>1342.4592146</v>
      </c>
      <c r="I475" s="654">
        <v>34462.793658029797</v>
      </c>
      <c r="J475" s="191"/>
      <c r="K475" s="191">
        <v>8.3738080214207393</v>
      </c>
      <c r="L475" s="191"/>
      <c r="M475" s="191"/>
      <c r="N475" s="191"/>
      <c r="O475" s="191"/>
      <c r="P475" s="191"/>
      <c r="Q475" s="191"/>
      <c r="R475" s="191"/>
      <c r="S475" s="191"/>
      <c r="T475" s="191"/>
      <c r="U475" s="439"/>
      <c r="V475" s="441"/>
      <c r="W475" s="178"/>
      <c r="X475" s="172"/>
      <c r="Y475" s="172"/>
      <c r="Z475" s="172"/>
      <c r="AA475" s="195"/>
      <c r="AB475" s="172"/>
    </row>
    <row r="476" spans="1:28" ht="12.75" customHeight="1" x14ac:dyDescent="0.3">
      <c r="A476" s="667"/>
      <c r="B476" s="668" t="s">
        <v>5009</v>
      </c>
      <c r="C476" s="160" t="s">
        <v>5010</v>
      </c>
      <c r="D476" s="160"/>
      <c r="E476" s="439">
        <v>-1.4</v>
      </c>
      <c r="F476" s="161">
        <v>437.96089036000001</v>
      </c>
      <c r="G476" s="161">
        <v>71.944999999999993</v>
      </c>
      <c r="H476" s="654">
        <v>6.7127760321999894E-2</v>
      </c>
      <c r="I476" s="654">
        <v>26.389771409532099</v>
      </c>
      <c r="J476" s="191"/>
      <c r="K476" s="191">
        <v>2334.26414934169</v>
      </c>
      <c r="L476" s="191"/>
      <c r="M476" s="191"/>
      <c r="N476" s="191"/>
      <c r="O476" s="191"/>
      <c r="P476" s="191"/>
      <c r="Q476" s="191"/>
      <c r="R476" s="191"/>
      <c r="S476" s="191"/>
      <c r="T476" s="191"/>
      <c r="U476" s="439"/>
      <c r="V476" s="441"/>
      <c r="W476" s="178"/>
      <c r="X476" s="172"/>
      <c r="Y476" s="172"/>
      <c r="Z476" s="172"/>
      <c r="AA476" s="195"/>
      <c r="AB476" s="172"/>
    </row>
    <row r="477" spans="1:28" ht="12.75" customHeight="1" x14ac:dyDescent="0.3">
      <c r="A477" s="667"/>
      <c r="B477" s="668" t="s">
        <v>5011</v>
      </c>
      <c r="C477" s="160" t="s">
        <v>5012</v>
      </c>
      <c r="D477" s="160"/>
      <c r="E477" s="439">
        <v>-1.95</v>
      </c>
      <c r="F477" s="161">
        <v>321.97236308800001</v>
      </c>
      <c r="G477" s="161">
        <v>94.507999999999996</v>
      </c>
      <c r="H477" s="654">
        <v>1.24137180776</v>
      </c>
      <c r="I477" s="654">
        <v>40.814826606850303</v>
      </c>
      <c r="J477" s="191"/>
      <c r="K477" s="191">
        <v>131.661864207864</v>
      </c>
      <c r="L477" s="191"/>
      <c r="M477" s="191"/>
      <c r="N477" s="191"/>
      <c r="O477" s="191"/>
      <c r="P477" s="191"/>
      <c r="Q477" s="191"/>
      <c r="R477" s="191"/>
      <c r="S477" s="191"/>
      <c r="T477" s="191"/>
      <c r="U477" s="439"/>
      <c r="V477" s="441"/>
      <c r="W477" s="178"/>
      <c r="X477" s="172"/>
      <c r="Y477" s="172"/>
      <c r="Z477" s="172"/>
      <c r="AA477" s="195"/>
      <c r="AB477" s="172"/>
    </row>
    <row r="478" spans="1:28" ht="12.75" customHeight="1" x14ac:dyDescent="0.3">
      <c r="A478" s="667"/>
      <c r="B478" s="668" t="s">
        <v>5013</v>
      </c>
      <c r="C478" s="160" t="s">
        <v>5014</v>
      </c>
      <c r="D478" s="160"/>
      <c r="E478" s="439">
        <v>-0.97</v>
      </c>
      <c r="F478" s="161">
        <v>993.91633807699998</v>
      </c>
      <c r="G478" s="161"/>
      <c r="H478" s="654"/>
      <c r="I478" s="654"/>
      <c r="J478" s="191"/>
      <c r="K478" s="191">
        <v>280059.30066362</v>
      </c>
      <c r="L478" s="191"/>
      <c r="M478" s="191"/>
      <c r="N478" s="191"/>
      <c r="O478" s="191"/>
      <c r="P478" s="191"/>
      <c r="Q478" s="191"/>
      <c r="R478" s="191"/>
      <c r="S478" s="191"/>
      <c r="T478" s="191"/>
      <c r="U478" s="439"/>
      <c r="V478" s="441"/>
      <c r="W478" s="178"/>
      <c r="X478" s="172"/>
      <c r="Y478" s="172"/>
      <c r="Z478" s="172"/>
      <c r="AA478" s="195"/>
      <c r="AB478" s="172"/>
    </row>
    <row r="479" spans="1:28" ht="12.75" customHeight="1" x14ac:dyDescent="0.3">
      <c r="A479" s="667"/>
      <c r="B479" s="668" t="s">
        <v>5015</v>
      </c>
      <c r="C479" s="160" t="s">
        <v>5016</v>
      </c>
      <c r="D479" s="160"/>
      <c r="E479" s="439">
        <v>4.17</v>
      </c>
      <c r="F479" s="161">
        <v>238.02530670499999</v>
      </c>
      <c r="G479" s="161">
        <v>68.230999999999995</v>
      </c>
      <c r="H479" s="654">
        <v>6.6359292314000003E-3</v>
      </c>
      <c r="I479" s="654">
        <v>55.159746550509901</v>
      </c>
      <c r="J479" s="191"/>
      <c r="K479" s="191">
        <v>799.65010756535401</v>
      </c>
      <c r="L479" s="191"/>
      <c r="M479" s="191"/>
      <c r="N479" s="191"/>
      <c r="O479" s="191"/>
      <c r="P479" s="191"/>
      <c r="Q479" s="191"/>
      <c r="R479" s="191"/>
      <c r="S479" s="191"/>
      <c r="T479" s="191"/>
      <c r="U479" s="439"/>
      <c r="V479" s="441"/>
      <c r="W479" s="178"/>
      <c r="X479" s="172"/>
      <c r="Y479" s="172"/>
      <c r="Z479" s="172"/>
      <c r="AA479" s="195"/>
      <c r="AB479" s="172"/>
    </row>
    <row r="480" spans="1:28" ht="12.75" customHeight="1" x14ac:dyDescent="0.3">
      <c r="A480" s="667"/>
      <c r="B480" s="668" t="s">
        <v>5017</v>
      </c>
      <c r="C480" s="160" t="s">
        <v>5018</v>
      </c>
      <c r="D480" s="160"/>
      <c r="E480" s="439">
        <v>1.59</v>
      </c>
      <c r="F480" s="161">
        <v>251.94090499999999</v>
      </c>
      <c r="G480" s="161">
        <v>82.427999999999997</v>
      </c>
      <c r="H480" s="654">
        <v>27.283547368000001</v>
      </c>
      <c r="I480" s="654">
        <v>341.42779504695</v>
      </c>
      <c r="J480" s="191"/>
      <c r="K480" s="191">
        <v>523.20272830002898</v>
      </c>
      <c r="L480" s="191"/>
      <c r="M480" s="191"/>
      <c r="N480" s="191"/>
      <c r="O480" s="191"/>
      <c r="P480" s="191"/>
      <c r="Q480" s="191"/>
      <c r="R480" s="191"/>
      <c r="S480" s="191"/>
      <c r="T480" s="191"/>
      <c r="U480" s="439"/>
      <c r="V480" s="441"/>
      <c r="W480" s="178"/>
      <c r="X480" s="172"/>
      <c r="Y480" s="172"/>
      <c r="Z480" s="172"/>
      <c r="AA480" s="195"/>
      <c r="AB480" s="172"/>
    </row>
    <row r="481" spans="1:28" ht="12.75" customHeight="1" x14ac:dyDescent="0.3">
      <c r="A481" s="667"/>
      <c r="B481" s="668" t="s">
        <v>5019</v>
      </c>
      <c r="C481" s="160" t="s">
        <v>5020</v>
      </c>
      <c r="D481" s="160"/>
      <c r="E481" s="439">
        <v>7.55</v>
      </c>
      <c r="F481" s="161">
        <v>217.99778998799999</v>
      </c>
      <c r="G481" s="161">
        <v>-34.408999999999999</v>
      </c>
      <c r="H481" s="654">
        <v>8051.9688577999996</v>
      </c>
      <c r="I481" s="654">
        <v>130.45249350229901</v>
      </c>
      <c r="J481" s="191"/>
      <c r="K481" s="191">
        <v>62.959315835826899</v>
      </c>
      <c r="L481" s="191"/>
      <c r="M481" s="191"/>
      <c r="N481" s="191"/>
      <c r="O481" s="191"/>
      <c r="P481" s="191"/>
      <c r="Q481" s="191"/>
      <c r="R481" s="191"/>
      <c r="S481" s="191"/>
      <c r="T481" s="191"/>
      <c r="U481" s="439"/>
      <c r="V481" s="441"/>
      <c r="W481" s="178"/>
      <c r="X481" s="172"/>
      <c r="Y481" s="172"/>
      <c r="Z481" s="172"/>
      <c r="AA481" s="195"/>
      <c r="AB481" s="172"/>
    </row>
    <row r="482" spans="1:28" ht="12.75" customHeight="1" x14ac:dyDescent="0.3">
      <c r="A482" s="667"/>
      <c r="B482" s="668" t="s">
        <v>5021</v>
      </c>
      <c r="C482" s="160" t="s">
        <v>5022</v>
      </c>
      <c r="D482" s="160"/>
      <c r="E482" s="439">
        <v>2.83</v>
      </c>
      <c r="F482" s="161">
        <v>677.97338341199998</v>
      </c>
      <c r="G482" s="161"/>
      <c r="H482" s="654"/>
      <c r="I482" s="654"/>
      <c r="J482" s="191"/>
      <c r="K482" s="191"/>
      <c r="L482" s="191"/>
      <c r="M482" s="191"/>
      <c r="N482" s="191"/>
      <c r="O482" s="191"/>
      <c r="P482" s="191"/>
      <c r="Q482" s="191"/>
      <c r="R482" s="191"/>
      <c r="S482" s="191"/>
      <c r="T482" s="191"/>
      <c r="U482" s="439"/>
      <c r="V482" s="441"/>
      <c r="W482" s="178"/>
      <c r="X482" s="172"/>
      <c r="Y482" s="172"/>
      <c r="Z482" s="172"/>
      <c r="AA482" s="195"/>
      <c r="AB482" s="172"/>
    </row>
    <row r="483" spans="1:28" ht="12.75" customHeight="1" x14ac:dyDescent="0.3">
      <c r="A483" s="667"/>
      <c r="B483" s="668" t="s">
        <v>5023</v>
      </c>
      <c r="C483" s="160" t="s">
        <v>5024</v>
      </c>
      <c r="D483" s="160"/>
      <c r="E483" s="439">
        <v>2.3199999999999998</v>
      </c>
      <c r="F483" s="161">
        <v>506.962151232</v>
      </c>
      <c r="G483" s="161"/>
      <c r="H483" s="654"/>
      <c r="I483" s="654"/>
      <c r="J483" s="191"/>
      <c r="K483" s="191"/>
      <c r="L483" s="191"/>
      <c r="M483" s="191"/>
      <c r="N483" s="191"/>
      <c r="O483" s="191"/>
      <c r="P483" s="191"/>
      <c r="Q483" s="191"/>
      <c r="R483" s="191"/>
      <c r="S483" s="191"/>
      <c r="T483" s="191"/>
      <c r="U483" s="439"/>
      <c r="V483" s="441"/>
      <c r="W483" s="178"/>
      <c r="X483" s="172"/>
      <c r="Y483" s="172"/>
      <c r="Z483" s="172"/>
      <c r="AA483" s="195"/>
      <c r="AB483" s="172"/>
    </row>
    <row r="484" spans="1:28" ht="12.75" customHeight="1" x14ac:dyDescent="0.3">
      <c r="A484" s="667"/>
      <c r="B484" s="668" t="s">
        <v>5025</v>
      </c>
      <c r="C484" s="160" t="s">
        <v>5026</v>
      </c>
      <c r="D484" s="160"/>
      <c r="E484" s="439">
        <v>2.71</v>
      </c>
      <c r="F484" s="161">
        <v>456.96534490599998</v>
      </c>
      <c r="G484" s="161"/>
      <c r="H484" s="654"/>
      <c r="I484" s="654"/>
      <c r="J484" s="191"/>
      <c r="K484" s="191"/>
      <c r="L484" s="191"/>
      <c r="M484" s="191"/>
      <c r="N484" s="191"/>
      <c r="O484" s="191"/>
      <c r="P484" s="191"/>
      <c r="Q484" s="191"/>
      <c r="R484" s="191"/>
      <c r="S484" s="191"/>
      <c r="T484" s="191"/>
      <c r="U484" s="439"/>
      <c r="V484" s="441"/>
      <c r="W484" s="178"/>
      <c r="X484" s="172"/>
      <c r="Y484" s="172"/>
      <c r="Z484" s="172"/>
      <c r="AA484" s="195"/>
      <c r="AB484" s="172"/>
    </row>
    <row r="485" spans="1:28" ht="12.75" customHeight="1" x14ac:dyDescent="0.3">
      <c r="A485" s="667"/>
      <c r="B485" s="668" t="s">
        <v>5027</v>
      </c>
      <c r="C485" s="160" t="s">
        <v>5028</v>
      </c>
      <c r="D485" s="160"/>
      <c r="E485" s="439">
        <v>2.2999999999999998</v>
      </c>
      <c r="F485" s="161">
        <v>406.96853857999997</v>
      </c>
      <c r="G485" s="161"/>
      <c r="H485" s="654"/>
      <c r="I485" s="654"/>
      <c r="J485" s="191"/>
      <c r="K485" s="191"/>
      <c r="L485" s="191"/>
      <c r="M485" s="191"/>
      <c r="N485" s="191"/>
      <c r="O485" s="191"/>
      <c r="P485" s="191"/>
      <c r="Q485" s="191"/>
      <c r="R485" s="191"/>
      <c r="S485" s="191"/>
      <c r="T485" s="191"/>
      <c r="U485" s="439"/>
      <c r="V485" s="441"/>
      <c r="W485" s="178"/>
      <c r="X485" s="172"/>
      <c r="Y485" s="172"/>
      <c r="Z485" s="172"/>
      <c r="AA485" s="195"/>
      <c r="AB485" s="172"/>
    </row>
    <row r="486" spans="1:28" ht="12.75" customHeight="1" x14ac:dyDescent="0.3">
      <c r="A486" s="667"/>
      <c r="B486" s="668" t="s">
        <v>5029</v>
      </c>
      <c r="C486" s="160" t="s">
        <v>5030</v>
      </c>
      <c r="D486" s="160"/>
      <c r="E486" s="439">
        <v>7.37</v>
      </c>
      <c r="F486" s="161">
        <v>1149.9842953310001</v>
      </c>
      <c r="G486" s="161"/>
      <c r="H486" s="654"/>
      <c r="I486" s="654"/>
      <c r="J486" s="191"/>
      <c r="K486" s="191">
        <v>24466959.325895201</v>
      </c>
      <c r="L486" s="191"/>
      <c r="M486" s="191"/>
      <c r="N486" s="191"/>
      <c r="O486" s="191"/>
      <c r="P486" s="191"/>
      <c r="Q486" s="191"/>
      <c r="R486" s="191"/>
      <c r="S486" s="191"/>
      <c r="T486" s="191"/>
      <c r="U486" s="439"/>
      <c r="V486" s="441"/>
      <c r="W486" s="178"/>
      <c r="X486" s="172"/>
      <c r="Y486" s="172"/>
      <c r="Z486" s="172"/>
      <c r="AA486" s="195"/>
      <c r="AB486" s="172"/>
    </row>
    <row r="487" spans="1:28" ht="12.75" customHeight="1" x14ac:dyDescent="0.3">
      <c r="A487" s="667"/>
      <c r="B487" s="668" t="s">
        <v>5031</v>
      </c>
      <c r="C487" s="160" t="s">
        <v>5032</v>
      </c>
      <c r="D487" s="160"/>
      <c r="E487" s="439">
        <v>6.81</v>
      </c>
      <c r="F487" s="161">
        <v>1049.990682679</v>
      </c>
      <c r="G487" s="161"/>
      <c r="H487" s="654"/>
      <c r="I487" s="654"/>
      <c r="J487" s="191"/>
      <c r="K487" s="191">
        <v>284557.47597338399</v>
      </c>
      <c r="L487" s="191"/>
      <c r="M487" s="191"/>
      <c r="N487" s="191"/>
      <c r="O487" s="191"/>
      <c r="P487" s="191"/>
      <c r="Q487" s="191"/>
      <c r="R487" s="191"/>
      <c r="S487" s="191"/>
      <c r="T487" s="191"/>
      <c r="U487" s="439"/>
      <c r="V487" s="441"/>
      <c r="W487" s="178"/>
      <c r="X487" s="172"/>
      <c r="Y487" s="172"/>
      <c r="Z487" s="172"/>
      <c r="AA487" s="195"/>
      <c r="AB487" s="172"/>
    </row>
    <row r="488" spans="1:28" ht="12.75" customHeight="1" x14ac:dyDescent="0.3">
      <c r="A488" s="667"/>
      <c r="B488" s="668" t="s">
        <v>5033</v>
      </c>
      <c r="C488" s="160" t="s">
        <v>5034</v>
      </c>
      <c r="D488" s="160"/>
      <c r="E488" s="439">
        <v>6.65</v>
      </c>
      <c r="F488" s="161">
        <v>367.988208966</v>
      </c>
      <c r="G488" s="161">
        <v>-1.532</v>
      </c>
      <c r="H488" s="654">
        <v>302.62227492</v>
      </c>
      <c r="I488" s="654">
        <v>3.4580698369415601</v>
      </c>
      <c r="J488" s="191"/>
      <c r="K488" s="191">
        <v>2706.7615585412</v>
      </c>
      <c r="L488" s="191"/>
      <c r="M488" s="191"/>
      <c r="N488" s="191"/>
      <c r="O488" s="191"/>
      <c r="P488" s="191"/>
      <c r="Q488" s="191"/>
      <c r="R488" s="191"/>
      <c r="S488" s="191"/>
      <c r="T488" s="191"/>
      <c r="U488" s="439"/>
      <c r="V488" s="441"/>
      <c r="W488" s="178"/>
      <c r="X488" s="172"/>
      <c r="Y488" s="172"/>
      <c r="Z488" s="172"/>
      <c r="AA488" s="195"/>
      <c r="AB488" s="172"/>
    </row>
    <row r="489" spans="1:28" ht="12.75" customHeight="1" x14ac:dyDescent="0.3">
      <c r="A489" s="667"/>
      <c r="B489" s="668" t="s">
        <v>5035</v>
      </c>
      <c r="C489" s="160" t="s">
        <v>5036</v>
      </c>
      <c r="D489" s="160"/>
      <c r="E489" s="439">
        <v>6.09</v>
      </c>
      <c r="F489" s="161">
        <v>910.073272653</v>
      </c>
      <c r="G489" s="161"/>
      <c r="H489" s="654"/>
      <c r="I489" s="654"/>
      <c r="J489" s="191"/>
      <c r="K489" s="191">
        <v>296135.177696475</v>
      </c>
      <c r="L489" s="191"/>
      <c r="M489" s="191"/>
      <c r="N489" s="191"/>
      <c r="O489" s="191"/>
      <c r="P489" s="191"/>
      <c r="Q489" s="191"/>
      <c r="R489" s="191"/>
      <c r="S489" s="191"/>
      <c r="T489" s="191"/>
      <c r="U489" s="439"/>
      <c r="V489" s="441"/>
      <c r="W489" s="178"/>
      <c r="X489" s="172"/>
      <c r="Y489" s="172"/>
      <c r="Z489" s="172"/>
      <c r="AA489" s="195"/>
      <c r="AB489" s="172"/>
    </row>
    <row r="490" spans="1:28" ht="12.75" customHeight="1" x14ac:dyDescent="0.3">
      <c r="A490" s="667"/>
      <c r="B490" s="668" t="s">
        <v>5037</v>
      </c>
      <c r="C490" s="160" t="s">
        <v>5038</v>
      </c>
      <c r="D490" s="160"/>
      <c r="E490" s="439">
        <v>3.76</v>
      </c>
      <c r="F490" s="161">
        <v>166.005320152</v>
      </c>
      <c r="G490" s="161">
        <v>-1.635</v>
      </c>
      <c r="H490" s="654">
        <v>657.50944027999901</v>
      </c>
      <c r="I490" s="654">
        <v>2891.4972669395502</v>
      </c>
      <c r="J490" s="191"/>
      <c r="K490" s="191">
        <v>9.3987478827402207</v>
      </c>
      <c r="L490" s="191"/>
      <c r="M490" s="191"/>
      <c r="N490" s="191"/>
      <c r="O490" s="191"/>
      <c r="P490" s="191"/>
      <c r="Q490" s="191"/>
      <c r="R490" s="191"/>
      <c r="S490" s="191"/>
      <c r="T490" s="191"/>
      <c r="U490" s="439"/>
      <c r="V490" s="441"/>
      <c r="W490" s="178"/>
      <c r="X490" s="172"/>
      <c r="Y490" s="172"/>
      <c r="Z490" s="172"/>
      <c r="AA490" s="195"/>
      <c r="AB490" s="172"/>
    </row>
    <row r="491" spans="1:28" ht="12.75" customHeight="1" x14ac:dyDescent="0.3">
      <c r="A491" s="667"/>
      <c r="B491" s="668" t="s">
        <v>5039</v>
      </c>
      <c r="C491" s="160" t="s">
        <v>5040</v>
      </c>
      <c r="D491" s="160"/>
      <c r="E491" s="439"/>
      <c r="F491" s="161">
        <v>438.23687744400002</v>
      </c>
      <c r="G491" s="161"/>
      <c r="H491" s="654"/>
      <c r="I491" s="654"/>
      <c r="J491" s="191"/>
      <c r="K491" s="191">
        <v>3022804081.8734999</v>
      </c>
      <c r="L491" s="191"/>
      <c r="M491" s="191"/>
      <c r="N491" s="191"/>
      <c r="O491" s="191"/>
      <c r="P491" s="191"/>
      <c r="Q491" s="191"/>
      <c r="R491" s="191"/>
      <c r="S491" s="191"/>
      <c r="T491" s="191"/>
      <c r="U491" s="439"/>
      <c r="V491" s="441"/>
      <c r="W491" s="178"/>
      <c r="X491" s="172"/>
      <c r="Y491" s="172"/>
      <c r="Z491" s="172"/>
      <c r="AA491" s="195"/>
      <c r="AB491" s="172"/>
    </row>
    <row r="492" spans="1:28" ht="12.75" customHeight="1" x14ac:dyDescent="0.3">
      <c r="A492" s="667"/>
      <c r="B492" s="668" t="s">
        <v>5041</v>
      </c>
      <c r="C492" s="160" t="s">
        <v>5042</v>
      </c>
      <c r="D492" s="160"/>
      <c r="E492" s="439">
        <v>8.3699999999999992</v>
      </c>
      <c r="F492" s="161">
        <v>899.96250042199995</v>
      </c>
      <c r="G492" s="161">
        <v>37.503999999999998</v>
      </c>
      <c r="H492" s="654"/>
      <c r="I492" s="654"/>
      <c r="J492" s="191"/>
      <c r="K492" s="191">
        <v>275245.355877125</v>
      </c>
      <c r="L492" s="191"/>
      <c r="M492" s="191"/>
      <c r="N492" s="191"/>
      <c r="O492" s="191"/>
      <c r="P492" s="191"/>
      <c r="Q492" s="191"/>
      <c r="R492" s="191"/>
      <c r="S492" s="191"/>
      <c r="T492" s="191"/>
      <c r="U492" s="439"/>
      <c r="V492" s="441"/>
      <c r="W492" s="178"/>
      <c r="X492" s="172"/>
      <c r="Y492" s="172"/>
      <c r="Z492" s="172"/>
      <c r="AA492" s="195"/>
      <c r="AB492" s="172"/>
    </row>
    <row r="493" spans="1:28" ht="12.75" customHeight="1" x14ac:dyDescent="0.3">
      <c r="A493" s="667"/>
      <c r="B493" s="668" t="s">
        <v>5043</v>
      </c>
      <c r="C493" s="160" t="s">
        <v>5044</v>
      </c>
      <c r="D493" s="160"/>
      <c r="E493" s="439">
        <v>9.44</v>
      </c>
      <c r="F493" s="161">
        <v>150.01040553199999</v>
      </c>
      <c r="G493" s="161">
        <v>-29.581</v>
      </c>
      <c r="H493" s="654">
        <v>10207.0923234</v>
      </c>
      <c r="I493" s="654">
        <v>1241.9991517697499</v>
      </c>
      <c r="J493" s="191"/>
      <c r="K493" s="191">
        <v>16.962505441982401</v>
      </c>
      <c r="L493" s="191"/>
      <c r="M493" s="191"/>
      <c r="N493" s="191"/>
      <c r="O493" s="191"/>
      <c r="P493" s="191"/>
      <c r="Q493" s="191"/>
      <c r="R493" s="191"/>
      <c r="S493" s="191"/>
      <c r="T493" s="191"/>
      <c r="U493" s="439"/>
      <c r="V493" s="441"/>
      <c r="W493" s="178"/>
      <c r="X493" s="172"/>
      <c r="Y493" s="172"/>
      <c r="Z493" s="172"/>
      <c r="AA493" s="195"/>
      <c r="AB493" s="172"/>
    </row>
    <row r="494" spans="1:28" ht="12.75" customHeight="1" x14ac:dyDescent="0.3">
      <c r="A494" s="667"/>
      <c r="B494" s="668" t="s">
        <v>5045</v>
      </c>
      <c r="C494" s="160" t="s">
        <v>5046</v>
      </c>
      <c r="D494" s="160"/>
      <c r="E494" s="439">
        <v>9.9600000000000009</v>
      </c>
      <c r="F494" s="161">
        <v>132.01982740099999</v>
      </c>
      <c r="G494" s="161">
        <v>-51.542000000000002</v>
      </c>
      <c r="H494" s="654">
        <v>8070.5272802</v>
      </c>
      <c r="I494" s="654">
        <v>14778.827558577501</v>
      </c>
      <c r="J494" s="191"/>
      <c r="K494" s="191">
        <v>6.68654851459935</v>
      </c>
      <c r="L494" s="191"/>
      <c r="M494" s="191"/>
      <c r="N494" s="191"/>
      <c r="O494" s="191"/>
      <c r="P494" s="191"/>
      <c r="Q494" s="191"/>
      <c r="R494" s="191"/>
      <c r="S494" s="191"/>
      <c r="T494" s="191"/>
      <c r="U494" s="439"/>
      <c r="V494" s="441"/>
      <c r="W494" s="178"/>
      <c r="X494" s="172"/>
      <c r="Y494" s="172"/>
      <c r="Z494" s="172"/>
      <c r="AA494" s="195"/>
      <c r="AB494" s="172"/>
    </row>
    <row r="495" spans="1:28" ht="12.75" customHeight="1" x14ac:dyDescent="0.3">
      <c r="A495" s="667"/>
      <c r="B495" s="668" t="s">
        <v>5047</v>
      </c>
      <c r="C495" s="160" t="s">
        <v>5048</v>
      </c>
      <c r="D495" s="160"/>
      <c r="E495" s="439">
        <v>6.74</v>
      </c>
      <c r="F495" s="161">
        <v>979.93707352199999</v>
      </c>
      <c r="G495" s="161">
        <v>-93.558999999999997</v>
      </c>
      <c r="H495" s="654">
        <v>3.4906099396000001</v>
      </c>
      <c r="I495" s="654"/>
      <c r="J495" s="191"/>
      <c r="K495" s="191">
        <v>277638.69858157198</v>
      </c>
      <c r="L495" s="191"/>
      <c r="M495" s="191"/>
      <c r="N495" s="191"/>
      <c r="O495" s="191"/>
      <c r="P495" s="191"/>
      <c r="Q495" s="191"/>
      <c r="R495" s="191"/>
      <c r="S495" s="191"/>
      <c r="T495" s="191"/>
      <c r="U495" s="439"/>
      <c r="V495" s="441"/>
      <c r="W495" s="178"/>
      <c r="X495" s="172"/>
      <c r="Y495" s="172"/>
      <c r="Z495" s="172"/>
      <c r="AA495" s="195"/>
      <c r="AB495" s="172"/>
    </row>
    <row r="496" spans="1:28" ht="12.75" customHeight="1" x14ac:dyDescent="0.3">
      <c r="A496" s="667"/>
      <c r="B496" s="668" t="s">
        <v>5049</v>
      </c>
      <c r="C496" s="160" t="s">
        <v>5050</v>
      </c>
      <c r="D496" s="160"/>
      <c r="E496" s="439">
        <v>6.74</v>
      </c>
      <c r="F496" s="161">
        <v>1145.9224071199999</v>
      </c>
      <c r="G496" s="161"/>
      <c r="H496" s="654"/>
      <c r="I496" s="654"/>
      <c r="J496" s="191"/>
      <c r="K496" s="191">
        <v>286510.14206308598</v>
      </c>
      <c r="L496" s="191"/>
      <c r="M496" s="191"/>
      <c r="N496" s="191"/>
      <c r="O496" s="191"/>
      <c r="P496" s="191"/>
      <c r="Q496" s="191"/>
      <c r="R496" s="191"/>
      <c r="S496" s="191"/>
      <c r="T496" s="191"/>
      <c r="U496" s="439"/>
      <c r="V496" s="441"/>
      <c r="W496" s="178"/>
      <c r="X496" s="172"/>
      <c r="Y496" s="172"/>
      <c r="Z496" s="172"/>
      <c r="AA496" s="195"/>
      <c r="AB496" s="172"/>
    </row>
    <row r="497" spans="1:28" ht="12.75" customHeight="1" x14ac:dyDescent="0.3">
      <c r="A497" s="667"/>
      <c r="B497" s="668" t="s">
        <v>5051</v>
      </c>
      <c r="C497" s="160" t="s">
        <v>5052</v>
      </c>
      <c r="D497" s="160"/>
      <c r="E497" s="439"/>
      <c r="F497" s="161">
        <v>206.05660683400001</v>
      </c>
      <c r="G497" s="161">
        <v>7.83</v>
      </c>
      <c r="H497" s="654">
        <v>10.787029691200001</v>
      </c>
      <c r="I497" s="654">
        <v>2365.8389313645698</v>
      </c>
      <c r="J497" s="191"/>
      <c r="K497" s="191">
        <v>2.22025573227535</v>
      </c>
      <c r="L497" s="191"/>
      <c r="M497" s="191"/>
      <c r="N497" s="191"/>
      <c r="O497" s="191"/>
      <c r="P497" s="191"/>
      <c r="Q497" s="191"/>
      <c r="R497" s="191"/>
      <c r="S497" s="191"/>
      <c r="T497" s="191"/>
      <c r="U497" s="439"/>
      <c r="V497" s="441"/>
      <c r="W497" s="178"/>
      <c r="X497" s="172"/>
      <c r="Y497" s="172"/>
      <c r="Z497" s="172"/>
      <c r="AA497" s="195"/>
      <c r="AB497" s="172"/>
    </row>
    <row r="498" spans="1:28" ht="12.75" customHeight="1" x14ac:dyDescent="0.3">
      <c r="A498" s="667"/>
      <c r="B498" s="668" t="s">
        <v>5053</v>
      </c>
      <c r="C498" s="160" t="s">
        <v>5054</v>
      </c>
      <c r="D498" s="160"/>
      <c r="E498" s="439">
        <v>5.16</v>
      </c>
      <c r="F498" s="161">
        <v>1595.0165951680001</v>
      </c>
      <c r="G498" s="161"/>
      <c r="H498" s="654"/>
      <c r="I498" s="654"/>
      <c r="J498" s="191"/>
      <c r="K498" s="191">
        <v>6.2784580958844201</v>
      </c>
      <c r="L498" s="191"/>
      <c r="M498" s="191"/>
      <c r="N498" s="191"/>
      <c r="O498" s="191"/>
      <c r="P498" s="191"/>
      <c r="Q498" s="191"/>
      <c r="R498" s="191"/>
      <c r="S498" s="191"/>
      <c r="T498" s="191"/>
      <c r="U498" s="439"/>
      <c r="V498" s="441"/>
      <c r="W498" s="178"/>
      <c r="X498" s="172"/>
      <c r="Y498" s="172"/>
      <c r="Z498" s="172"/>
      <c r="AA498" s="195"/>
      <c r="AB498" s="172"/>
    </row>
    <row r="499" spans="1:28" ht="12.75" customHeight="1" x14ac:dyDescent="0.3">
      <c r="A499" s="667"/>
      <c r="B499" s="668" t="s">
        <v>5055</v>
      </c>
      <c r="C499" s="160" t="s">
        <v>5056</v>
      </c>
      <c r="D499" s="160"/>
      <c r="E499" s="439">
        <v>5.16</v>
      </c>
      <c r="F499" s="161">
        <v>1795.0038204719999</v>
      </c>
      <c r="G499" s="161"/>
      <c r="H499" s="654"/>
      <c r="I499" s="654"/>
      <c r="J499" s="191"/>
      <c r="K499" s="191"/>
      <c r="L499" s="191"/>
      <c r="M499" s="191"/>
      <c r="N499" s="191"/>
      <c r="O499" s="191"/>
      <c r="P499" s="191"/>
      <c r="Q499" s="191"/>
      <c r="R499" s="191"/>
      <c r="S499" s="191"/>
      <c r="T499" s="191"/>
      <c r="U499" s="439"/>
      <c r="V499" s="441"/>
      <c r="W499" s="178"/>
      <c r="X499" s="172"/>
      <c r="Y499" s="172"/>
      <c r="Z499" s="172"/>
      <c r="AA499" s="195"/>
      <c r="AB499" s="172"/>
    </row>
    <row r="500" spans="1:28" ht="12.75" customHeight="1" x14ac:dyDescent="0.3">
      <c r="A500" s="667"/>
      <c r="B500" s="668" t="s">
        <v>5057</v>
      </c>
      <c r="C500" s="160" t="s">
        <v>5058</v>
      </c>
      <c r="D500" s="160"/>
      <c r="E500" s="439">
        <v>4.6399999999999997</v>
      </c>
      <c r="F500" s="161">
        <v>1695.01020782</v>
      </c>
      <c r="G500" s="161"/>
      <c r="H500" s="654"/>
      <c r="I500" s="654"/>
      <c r="J500" s="191"/>
      <c r="K500" s="191">
        <v>6.4111213897474899</v>
      </c>
      <c r="L500" s="191"/>
      <c r="M500" s="191"/>
      <c r="N500" s="191"/>
      <c r="O500" s="191"/>
      <c r="P500" s="191"/>
      <c r="Q500" s="191"/>
      <c r="R500" s="191"/>
      <c r="S500" s="191"/>
      <c r="T500" s="191"/>
      <c r="U500" s="439"/>
      <c r="V500" s="441"/>
      <c r="W500" s="178"/>
      <c r="X500" s="172"/>
      <c r="Y500" s="172"/>
      <c r="Z500" s="172"/>
      <c r="AA500" s="195"/>
      <c r="AB500" s="172"/>
    </row>
    <row r="501" spans="1:28" ht="12.75" customHeight="1" x14ac:dyDescent="0.3">
      <c r="A501" s="667"/>
      <c r="B501" s="668" t="s">
        <v>5059</v>
      </c>
      <c r="C501" s="160" t="s">
        <v>5060</v>
      </c>
      <c r="D501" s="160"/>
      <c r="E501" s="439">
        <v>4.6399999999999997</v>
      </c>
      <c r="F501" s="161">
        <v>1495.022982516</v>
      </c>
      <c r="G501" s="161">
        <v>-39.24</v>
      </c>
      <c r="H501" s="654"/>
      <c r="I501" s="654"/>
      <c r="J501" s="191"/>
      <c r="K501" s="191">
        <v>6.1133604078742101</v>
      </c>
      <c r="L501" s="191"/>
      <c r="M501" s="191"/>
      <c r="N501" s="191"/>
      <c r="O501" s="191"/>
      <c r="P501" s="191"/>
      <c r="Q501" s="191"/>
      <c r="R501" s="191"/>
      <c r="S501" s="191"/>
      <c r="T501" s="191"/>
      <c r="U501" s="439"/>
      <c r="V501" s="441"/>
      <c r="W501" s="178"/>
      <c r="X501" s="172"/>
      <c r="Y501" s="172"/>
      <c r="Z501" s="172"/>
      <c r="AA501" s="195"/>
      <c r="AB501" s="172"/>
    </row>
    <row r="502" spans="1:28" ht="12.75" customHeight="1" x14ac:dyDescent="0.3">
      <c r="A502" s="667"/>
      <c r="B502" s="668" t="s">
        <v>5061</v>
      </c>
      <c r="C502" s="160" t="s">
        <v>5062</v>
      </c>
      <c r="D502" s="160"/>
      <c r="E502" s="439">
        <v>9.27</v>
      </c>
      <c r="F502" s="161">
        <v>953.97909748799998</v>
      </c>
      <c r="G502" s="161"/>
      <c r="H502" s="654"/>
      <c r="I502" s="654"/>
      <c r="J502" s="191"/>
      <c r="K502" s="191">
        <v>7629041.8978686798</v>
      </c>
      <c r="L502" s="191"/>
      <c r="M502" s="191"/>
      <c r="N502" s="191"/>
      <c r="O502" s="191"/>
      <c r="P502" s="191"/>
      <c r="Q502" s="191"/>
      <c r="R502" s="191"/>
      <c r="S502" s="191"/>
      <c r="T502" s="191"/>
      <c r="U502" s="439"/>
      <c r="V502" s="441"/>
      <c r="W502" s="178"/>
      <c r="X502" s="172"/>
      <c r="Y502" s="172"/>
      <c r="Z502" s="172"/>
      <c r="AA502" s="195"/>
      <c r="AB502" s="172"/>
    </row>
    <row r="503" spans="1:28" ht="12.75" customHeight="1" x14ac:dyDescent="0.3">
      <c r="A503" s="667"/>
      <c r="B503" s="668" t="s">
        <v>5063</v>
      </c>
      <c r="C503" s="160" t="s">
        <v>5064</v>
      </c>
      <c r="D503" s="160"/>
      <c r="E503" s="439">
        <v>10.02</v>
      </c>
      <c r="F503" s="161">
        <v>164.02605559599999</v>
      </c>
      <c r="G503" s="161">
        <v>-30.369</v>
      </c>
      <c r="H503" s="654">
        <v>2984.7062784</v>
      </c>
      <c r="I503" s="654">
        <v>652.99920915156702</v>
      </c>
      <c r="J503" s="191"/>
      <c r="K503" s="191">
        <v>14.6521042494269</v>
      </c>
      <c r="L503" s="191"/>
      <c r="M503" s="191"/>
      <c r="N503" s="191"/>
      <c r="O503" s="191"/>
      <c r="P503" s="191"/>
      <c r="Q503" s="191"/>
      <c r="R503" s="191"/>
      <c r="S503" s="191"/>
      <c r="T503" s="191"/>
      <c r="U503" s="439"/>
      <c r="V503" s="441"/>
      <c r="W503" s="178"/>
      <c r="X503" s="172"/>
      <c r="Y503" s="172"/>
      <c r="Z503" s="172"/>
      <c r="AA503" s="195"/>
      <c r="AB503" s="172"/>
    </row>
    <row r="504" spans="1:28" ht="12.75" customHeight="1" x14ac:dyDescent="0.3">
      <c r="A504" s="667"/>
      <c r="B504" s="668" t="s">
        <v>5065</v>
      </c>
      <c r="C504" s="160" t="s">
        <v>5066</v>
      </c>
      <c r="D504" s="160"/>
      <c r="E504" s="439">
        <v>9.9600000000000009</v>
      </c>
      <c r="F504" s="161">
        <v>292.050968377</v>
      </c>
      <c r="G504" s="161">
        <v>-57.341999999999999</v>
      </c>
      <c r="H504" s="654">
        <v>133.01535939999999</v>
      </c>
      <c r="I504" s="654">
        <v>4.9597263653655599</v>
      </c>
      <c r="J504" s="191"/>
      <c r="K504" s="191">
        <v>20476.230040820599</v>
      </c>
      <c r="L504" s="191"/>
      <c r="M504" s="191"/>
      <c r="N504" s="191"/>
      <c r="O504" s="191"/>
      <c r="P504" s="191"/>
      <c r="Q504" s="191"/>
      <c r="R504" s="191"/>
      <c r="S504" s="191"/>
      <c r="T504" s="191"/>
      <c r="U504" s="439"/>
      <c r="V504" s="441"/>
      <c r="W504" s="178"/>
      <c r="X504" s="172"/>
      <c r="Y504" s="172"/>
      <c r="Z504" s="172"/>
      <c r="AA504" s="195"/>
      <c r="AB504" s="172"/>
    </row>
    <row r="505" spans="1:28" ht="12.75" customHeight="1" x14ac:dyDescent="0.3">
      <c r="A505" s="667"/>
      <c r="B505" s="668" t="s">
        <v>5067</v>
      </c>
      <c r="C505" s="160" t="s">
        <v>5068</v>
      </c>
      <c r="D505" s="160"/>
      <c r="E505" s="439">
        <v>9.8000000000000007</v>
      </c>
      <c r="F505" s="161">
        <v>336.154627414</v>
      </c>
      <c r="G505" s="161">
        <v>42.250999999999998</v>
      </c>
      <c r="H505" s="654">
        <v>1.21311420986E-3</v>
      </c>
      <c r="I505" s="654">
        <v>2.1804132059805199</v>
      </c>
      <c r="J505" s="191"/>
      <c r="K505" s="191">
        <v>1634707.29236984</v>
      </c>
      <c r="L505" s="191"/>
      <c r="M505" s="191"/>
      <c r="N505" s="191"/>
      <c r="O505" s="191"/>
      <c r="P505" s="191"/>
      <c r="Q505" s="191"/>
      <c r="R505" s="191"/>
      <c r="S505" s="191"/>
      <c r="T505" s="191"/>
      <c r="U505" s="439"/>
      <c r="V505" s="441"/>
      <c r="W505" s="178"/>
      <c r="X505" s="172"/>
      <c r="Y505" s="172"/>
      <c r="Z505" s="172"/>
      <c r="AA505" s="195"/>
      <c r="AB505" s="172"/>
    </row>
    <row r="506" spans="1:28" ht="12.75" customHeight="1" x14ac:dyDescent="0.3">
      <c r="A506" s="667"/>
      <c r="B506" s="668" t="s">
        <v>5069</v>
      </c>
      <c r="C506" s="160" t="s">
        <v>5070</v>
      </c>
      <c r="D506" s="160"/>
      <c r="E506" s="439">
        <v>4.41</v>
      </c>
      <c r="F506" s="161">
        <v>1193.0264944959999</v>
      </c>
      <c r="G506" s="161">
        <v>-19.677</v>
      </c>
      <c r="H506" s="654"/>
      <c r="I506" s="654"/>
      <c r="J506" s="191"/>
      <c r="K506" s="191">
        <v>1417881.7088396701</v>
      </c>
      <c r="L506" s="191"/>
      <c r="M506" s="191"/>
      <c r="N506" s="191"/>
      <c r="O506" s="191"/>
      <c r="P506" s="191"/>
      <c r="Q506" s="191"/>
      <c r="R506" s="191"/>
      <c r="S506" s="191"/>
      <c r="T506" s="191"/>
      <c r="U506" s="439"/>
      <c r="V506" s="441"/>
      <c r="W506" s="178"/>
      <c r="X506" s="172"/>
      <c r="Y506" s="172"/>
      <c r="Z506" s="172"/>
      <c r="AA506" s="195"/>
      <c r="AB506" s="172"/>
    </row>
    <row r="507" spans="1:28" ht="12.75" customHeight="1" x14ac:dyDescent="0.3">
      <c r="A507" s="667"/>
      <c r="B507" s="668" t="s">
        <v>5071</v>
      </c>
      <c r="C507" s="160" t="s">
        <v>5072</v>
      </c>
      <c r="D507" s="160"/>
      <c r="E507" s="439">
        <v>5.16</v>
      </c>
      <c r="F507" s="161">
        <v>1195.04214456</v>
      </c>
      <c r="G507" s="161"/>
      <c r="H507" s="654"/>
      <c r="I507" s="654"/>
      <c r="J507" s="191"/>
      <c r="K507" s="191">
        <v>5.5045015708966796</v>
      </c>
      <c r="L507" s="191"/>
      <c r="M507" s="191"/>
      <c r="N507" s="191"/>
      <c r="O507" s="191"/>
      <c r="P507" s="191"/>
      <c r="Q507" s="191"/>
      <c r="R507" s="191"/>
      <c r="S507" s="191"/>
      <c r="T507" s="191"/>
      <c r="U507" s="439"/>
      <c r="V507" s="441"/>
      <c r="W507" s="178"/>
      <c r="X507" s="172"/>
      <c r="Y507" s="172"/>
      <c r="Z507" s="172"/>
      <c r="AA507" s="195"/>
      <c r="AB507" s="172"/>
    </row>
    <row r="508" spans="1:28" ht="12.75" customHeight="1" x14ac:dyDescent="0.3">
      <c r="A508" s="667"/>
      <c r="B508" s="668" t="s">
        <v>5073</v>
      </c>
      <c r="C508" s="160" t="s">
        <v>5074</v>
      </c>
      <c r="D508" s="160"/>
      <c r="E508" s="439">
        <v>5.16</v>
      </c>
      <c r="F508" s="161">
        <v>1395.029369864</v>
      </c>
      <c r="G508" s="161"/>
      <c r="H508" s="654"/>
      <c r="I508" s="654"/>
      <c r="J508" s="191"/>
      <c r="K508" s="191">
        <v>5.9413207641276804</v>
      </c>
      <c r="L508" s="191"/>
      <c r="M508" s="191"/>
      <c r="N508" s="191"/>
      <c r="O508" s="191"/>
      <c r="P508" s="191"/>
      <c r="Q508" s="191"/>
      <c r="R508" s="191"/>
      <c r="S508" s="191"/>
      <c r="T508" s="191"/>
      <c r="U508" s="439"/>
      <c r="V508" s="441"/>
      <c r="W508" s="178"/>
      <c r="X508" s="172"/>
      <c r="Y508" s="172"/>
      <c r="Z508" s="172"/>
      <c r="AA508" s="195"/>
      <c r="AB508" s="172"/>
    </row>
    <row r="509" spans="1:28" ht="12.75" customHeight="1" x14ac:dyDescent="0.3">
      <c r="A509" s="667"/>
      <c r="B509" s="668" t="s">
        <v>5075</v>
      </c>
      <c r="C509" s="160" t="s">
        <v>5076</v>
      </c>
      <c r="D509" s="160"/>
      <c r="E509" s="439">
        <v>5.16</v>
      </c>
      <c r="F509" s="161">
        <v>1994.991045776</v>
      </c>
      <c r="G509" s="161"/>
      <c r="H509" s="654"/>
      <c r="I509" s="654"/>
      <c r="J509" s="191"/>
      <c r="K509" s="191"/>
      <c r="L509" s="191"/>
      <c r="M509" s="191"/>
      <c r="N509" s="191"/>
      <c r="O509" s="191"/>
      <c r="P509" s="191"/>
      <c r="Q509" s="191"/>
      <c r="R509" s="191"/>
      <c r="S509" s="191"/>
      <c r="T509" s="191"/>
      <c r="U509" s="439"/>
      <c r="V509" s="441"/>
      <c r="W509" s="178"/>
      <c r="X509" s="172"/>
      <c r="Y509" s="172"/>
      <c r="Z509" s="172"/>
      <c r="AA509" s="195"/>
      <c r="AB509" s="172"/>
    </row>
    <row r="510" spans="1:28" ht="12.75" customHeight="1" x14ac:dyDescent="0.3">
      <c r="A510" s="667"/>
      <c r="B510" s="668" t="s">
        <v>5077</v>
      </c>
      <c r="C510" s="160" t="s">
        <v>5078</v>
      </c>
      <c r="D510" s="160"/>
      <c r="E510" s="439">
        <v>4.6399999999999997</v>
      </c>
      <c r="F510" s="161">
        <v>1894.9974331240001</v>
      </c>
      <c r="G510" s="161"/>
      <c r="H510" s="654"/>
      <c r="I510" s="654"/>
      <c r="J510" s="191"/>
      <c r="K510" s="191"/>
      <c r="L510" s="191"/>
      <c r="M510" s="191"/>
      <c r="N510" s="191"/>
      <c r="O510" s="191"/>
      <c r="P510" s="191"/>
      <c r="Q510" s="191"/>
      <c r="R510" s="191"/>
      <c r="S510" s="191"/>
      <c r="T510" s="191"/>
      <c r="U510" s="439"/>
      <c r="V510" s="441"/>
      <c r="W510" s="178"/>
      <c r="X510" s="172"/>
      <c r="Y510" s="172"/>
      <c r="Z510" s="172"/>
      <c r="AA510" s="195"/>
      <c r="AB510" s="172"/>
    </row>
    <row r="511" spans="1:28" ht="12.75" customHeight="1" x14ac:dyDescent="0.3">
      <c r="A511" s="667"/>
      <c r="B511" s="668" t="s">
        <v>5079</v>
      </c>
      <c r="C511" s="160" t="s">
        <v>5080</v>
      </c>
      <c r="D511" s="160"/>
      <c r="E511" s="439">
        <v>4.6399999999999997</v>
      </c>
      <c r="F511" s="161">
        <v>1295.0357572119999</v>
      </c>
      <c r="G511" s="161"/>
      <c r="H511" s="654"/>
      <c r="I511" s="654"/>
      <c r="J511" s="191"/>
      <c r="K511" s="191">
        <v>5.7247957964807199</v>
      </c>
      <c r="L511" s="191"/>
      <c r="M511" s="191"/>
      <c r="N511" s="191"/>
      <c r="O511" s="191"/>
      <c r="P511" s="191"/>
      <c r="Q511" s="191"/>
      <c r="R511" s="191"/>
      <c r="S511" s="191"/>
      <c r="T511" s="191"/>
      <c r="U511" s="439"/>
      <c r="V511" s="441"/>
      <c r="W511" s="178"/>
      <c r="X511" s="172"/>
      <c r="Y511" s="172"/>
      <c r="Z511" s="172"/>
      <c r="AA511" s="195"/>
      <c r="AB511" s="172"/>
    </row>
    <row r="512" spans="1:28" ht="12.75" customHeight="1" x14ac:dyDescent="0.3">
      <c r="A512" s="667"/>
      <c r="B512" s="668" t="s">
        <v>5081</v>
      </c>
      <c r="C512" s="160" t="s">
        <v>5082</v>
      </c>
      <c r="D512" s="160"/>
      <c r="E512" s="439">
        <v>4.6399999999999997</v>
      </c>
      <c r="F512" s="161">
        <v>1095.0485319080001</v>
      </c>
      <c r="G512" s="161">
        <v>-24.971</v>
      </c>
      <c r="H512" s="654"/>
      <c r="I512" s="654"/>
      <c r="J512" s="191"/>
      <c r="K512" s="191">
        <v>5.2245994455821299</v>
      </c>
      <c r="L512" s="191"/>
      <c r="M512" s="191"/>
      <c r="N512" s="191"/>
      <c r="O512" s="191"/>
      <c r="P512" s="191"/>
      <c r="Q512" s="191"/>
      <c r="R512" s="191"/>
      <c r="S512" s="191"/>
      <c r="T512" s="191"/>
      <c r="U512" s="439"/>
      <c r="V512" s="441"/>
      <c r="W512" s="178"/>
      <c r="X512" s="172"/>
      <c r="Y512" s="172"/>
      <c r="Z512" s="172"/>
      <c r="AA512" s="195"/>
      <c r="AB512" s="172"/>
    </row>
    <row r="513" spans="1:28" ht="12.75" customHeight="1" x14ac:dyDescent="0.3">
      <c r="A513" s="667"/>
      <c r="B513" s="668" t="s">
        <v>5083</v>
      </c>
      <c r="C513" s="160" t="s">
        <v>5084</v>
      </c>
      <c r="D513" s="160"/>
      <c r="E513" s="439">
        <v>0.36</v>
      </c>
      <c r="F513" s="161">
        <v>1301.8915744200001</v>
      </c>
      <c r="G513" s="161"/>
      <c r="H513" s="654"/>
      <c r="I513" s="654"/>
      <c r="J513" s="191"/>
      <c r="K513" s="191">
        <v>47040291.032176599</v>
      </c>
      <c r="L513" s="191"/>
      <c r="M513" s="191"/>
      <c r="N513" s="191"/>
      <c r="O513" s="191"/>
      <c r="P513" s="191"/>
      <c r="Q513" s="191"/>
      <c r="R513" s="191"/>
      <c r="S513" s="191"/>
      <c r="T513" s="191"/>
      <c r="U513" s="439"/>
      <c r="V513" s="441"/>
      <c r="W513" s="178"/>
      <c r="X513" s="172"/>
      <c r="Y513" s="172"/>
      <c r="Z513" s="172"/>
      <c r="AA513" s="195"/>
      <c r="AB513" s="172"/>
    </row>
    <row r="514" spans="1:28" ht="12.75" customHeight="1" x14ac:dyDescent="0.3">
      <c r="A514" s="667"/>
      <c r="B514" s="668" t="s">
        <v>5085</v>
      </c>
      <c r="C514" s="160" t="s">
        <v>5086</v>
      </c>
      <c r="D514" s="160"/>
      <c r="E514" s="439">
        <v>4.18</v>
      </c>
      <c r="F514" s="161">
        <v>493.97641811599999</v>
      </c>
      <c r="G514" s="161"/>
      <c r="H514" s="654"/>
      <c r="I514" s="654"/>
      <c r="J514" s="191"/>
      <c r="K514" s="191">
        <v>14647.044465747</v>
      </c>
      <c r="L514" s="191"/>
      <c r="M514" s="191"/>
      <c r="N514" s="191"/>
      <c r="O514" s="191"/>
      <c r="P514" s="191"/>
      <c r="Q514" s="191"/>
      <c r="R514" s="191"/>
      <c r="S514" s="191"/>
      <c r="T514" s="191"/>
      <c r="U514" s="439"/>
      <c r="V514" s="441"/>
      <c r="W514" s="178"/>
      <c r="X514" s="172"/>
      <c r="Y514" s="172"/>
      <c r="Z514" s="172"/>
      <c r="AA514" s="195"/>
      <c r="AB514" s="172"/>
    </row>
    <row r="515" spans="1:28" ht="12.75" customHeight="1" x14ac:dyDescent="0.3">
      <c r="A515" s="667"/>
      <c r="B515" s="668" t="s">
        <v>5087</v>
      </c>
      <c r="C515" s="160" t="s">
        <v>5088</v>
      </c>
      <c r="D515" s="160"/>
      <c r="E515" s="439">
        <v>-0.51</v>
      </c>
      <c r="F515" s="161">
        <v>181.96607775000001</v>
      </c>
      <c r="G515" s="161">
        <v>98.481999999999999</v>
      </c>
      <c r="H515" s="654"/>
      <c r="I515" s="685">
        <v>71612.749898512498</v>
      </c>
      <c r="J515" s="191"/>
      <c r="K515" s="191">
        <v>10.7448411664455</v>
      </c>
      <c r="L515" s="191"/>
      <c r="M515" s="191"/>
      <c r="N515" s="191"/>
      <c r="O515" s="191"/>
      <c r="P515" s="191"/>
      <c r="Q515" s="191"/>
      <c r="R515" s="191"/>
      <c r="S515" s="191"/>
      <c r="T515" s="191"/>
      <c r="U515" s="439"/>
      <c r="V515" s="441"/>
      <c r="W515" s="178"/>
      <c r="X515" s="172"/>
      <c r="Y515" s="172"/>
      <c r="Z515" s="172"/>
      <c r="AA515" s="195"/>
      <c r="AB515" s="172"/>
    </row>
    <row r="516" spans="1:28" ht="12.75" customHeight="1" x14ac:dyDescent="0.3">
      <c r="A516" s="667"/>
      <c r="B516" s="668" t="s">
        <v>5089</v>
      </c>
      <c r="C516" s="160" t="s">
        <v>5090</v>
      </c>
      <c r="D516" s="160"/>
      <c r="E516" s="439">
        <v>-0.61</v>
      </c>
      <c r="F516" s="161">
        <v>370.98738231800002</v>
      </c>
      <c r="G516" s="161"/>
      <c r="H516" s="654"/>
      <c r="I516" s="654"/>
      <c r="J516" s="191"/>
      <c r="K516" s="191"/>
      <c r="L516" s="191"/>
      <c r="M516" s="191"/>
      <c r="N516" s="191"/>
      <c r="O516" s="191"/>
      <c r="P516" s="191"/>
      <c r="Q516" s="191"/>
      <c r="R516" s="191"/>
      <c r="S516" s="191"/>
      <c r="T516" s="191"/>
      <c r="U516" s="439"/>
      <c r="V516" s="441"/>
      <c r="W516" s="178"/>
      <c r="X516" s="172"/>
      <c r="Y516" s="172"/>
      <c r="Z516" s="172"/>
      <c r="AA516" s="195"/>
      <c r="AB516" s="172"/>
    </row>
    <row r="517" spans="1:28" ht="12.75" customHeight="1" x14ac:dyDescent="0.3">
      <c r="A517" s="667"/>
      <c r="B517" s="668" t="s">
        <v>5091</v>
      </c>
      <c r="C517" s="160" t="s">
        <v>5092</v>
      </c>
      <c r="D517" s="160"/>
      <c r="E517" s="439">
        <v>0.34</v>
      </c>
      <c r="F517" s="161">
        <v>519.87097000000006</v>
      </c>
      <c r="G517" s="161"/>
      <c r="H517" s="654"/>
      <c r="I517" s="654"/>
      <c r="J517" s="191"/>
      <c r="K517" s="191">
        <v>8.6352516823513206</v>
      </c>
      <c r="L517" s="191"/>
      <c r="M517" s="191"/>
      <c r="N517" s="191"/>
      <c r="O517" s="191"/>
      <c r="P517" s="191"/>
      <c r="Q517" s="191"/>
      <c r="R517" s="191"/>
      <c r="S517" s="191"/>
      <c r="T517" s="191"/>
      <c r="U517" s="439"/>
      <c r="V517" s="441"/>
      <c r="W517" s="178"/>
      <c r="X517" s="172"/>
      <c r="Y517" s="172"/>
      <c r="Z517" s="172"/>
      <c r="AA517" s="195"/>
      <c r="AB517" s="172"/>
    </row>
    <row r="518" spans="1:28" ht="12.75" customHeight="1" x14ac:dyDescent="0.3">
      <c r="A518" s="667"/>
      <c r="B518" s="668" t="s">
        <v>5093</v>
      </c>
      <c r="C518" s="160" t="s">
        <v>5094</v>
      </c>
      <c r="D518" s="160"/>
      <c r="E518" s="439">
        <v>-0.21</v>
      </c>
      <c r="F518" s="161">
        <v>319.88373999999999</v>
      </c>
      <c r="G518" s="161"/>
      <c r="H518" s="654"/>
      <c r="I518" s="654"/>
      <c r="J518" s="191"/>
      <c r="K518" s="191">
        <v>5.9779186405880598E-2</v>
      </c>
      <c r="L518" s="191"/>
      <c r="M518" s="191"/>
      <c r="N518" s="191"/>
      <c r="O518" s="191"/>
      <c r="P518" s="191"/>
      <c r="Q518" s="191"/>
      <c r="R518" s="191"/>
      <c r="S518" s="191"/>
      <c r="T518" s="191"/>
      <c r="U518" s="439"/>
      <c r="V518" s="441"/>
      <c r="W518" s="178"/>
      <c r="X518" s="172"/>
      <c r="Y518" s="172"/>
      <c r="Z518" s="172"/>
      <c r="AA518" s="195"/>
      <c r="AB518" s="172"/>
    </row>
    <row r="519" spans="1:28" ht="12.75" customHeight="1" x14ac:dyDescent="0.3">
      <c r="A519" s="667"/>
      <c r="B519" s="668" t="s">
        <v>5095</v>
      </c>
      <c r="C519" s="160" t="s">
        <v>5096</v>
      </c>
      <c r="D519" s="160"/>
      <c r="E519" s="439">
        <v>7.35</v>
      </c>
      <c r="F519" s="161">
        <v>682.30168314399998</v>
      </c>
      <c r="G519" s="161"/>
      <c r="H519" s="654"/>
      <c r="I519" s="654"/>
      <c r="J519" s="191"/>
      <c r="K519" s="191">
        <v>3257391809.2341199</v>
      </c>
      <c r="L519" s="191"/>
      <c r="M519" s="191"/>
      <c r="N519" s="191"/>
      <c r="O519" s="191"/>
      <c r="P519" s="191"/>
      <c r="Q519" s="191"/>
      <c r="R519" s="191"/>
      <c r="S519" s="191"/>
      <c r="T519" s="191"/>
      <c r="U519" s="439"/>
      <c r="V519" s="441"/>
      <c r="W519" s="178"/>
      <c r="X519" s="172"/>
      <c r="Y519" s="172"/>
      <c r="Z519" s="172"/>
      <c r="AA519" s="195"/>
      <c r="AB519" s="172"/>
    </row>
    <row r="520" spans="1:28" ht="12.75" customHeight="1" x14ac:dyDescent="0.3">
      <c r="A520" s="667"/>
      <c r="B520" s="668" t="s">
        <v>5097</v>
      </c>
      <c r="C520" s="160" t="s">
        <v>5098</v>
      </c>
      <c r="D520" s="160"/>
      <c r="E520" s="439">
        <v>0.54</v>
      </c>
      <c r="F520" s="161">
        <v>1165.8751821999999</v>
      </c>
      <c r="G520" s="161"/>
      <c r="H520" s="654"/>
      <c r="I520" s="654"/>
      <c r="J520" s="191"/>
      <c r="K520" s="191">
        <v>26.8003212586631</v>
      </c>
      <c r="L520" s="191"/>
      <c r="M520" s="191"/>
      <c r="N520" s="191"/>
      <c r="O520" s="191"/>
      <c r="P520" s="191"/>
      <c r="Q520" s="191"/>
      <c r="R520" s="191"/>
      <c r="S520" s="191"/>
      <c r="T520" s="191"/>
      <c r="U520" s="439"/>
      <c r="V520" s="441"/>
      <c r="W520" s="178"/>
      <c r="X520" s="172"/>
      <c r="Y520" s="172"/>
      <c r="Z520" s="172"/>
      <c r="AA520" s="195"/>
      <c r="AB520" s="172"/>
    </row>
    <row r="521" spans="1:28" ht="12.75" customHeight="1" x14ac:dyDescent="0.3">
      <c r="A521" s="667"/>
      <c r="B521" s="668" t="s">
        <v>5099</v>
      </c>
      <c r="C521" s="160" t="s">
        <v>5100</v>
      </c>
      <c r="D521" s="160"/>
      <c r="E521" s="439"/>
      <c r="F521" s="161">
        <v>1025.0761500000001</v>
      </c>
      <c r="G521" s="161"/>
      <c r="H521" s="654"/>
      <c r="I521" s="654"/>
      <c r="J521" s="191"/>
      <c r="K521" s="191"/>
      <c r="L521" s="191"/>
      <c r="M521" s="191"/>
      <c r="N521" s="191"/>
      <c r="O521" s="191"/>
      <c r="P521" s="191"/>
      <c r="Q521" s="191"/>
      <c r="R521" s="191"/>
      <c r="S521" s="191"/>
      <c r="T521" s="191"/>
      <c r="U521" s="439"/>
      <c r="V521" s="441"/>
      <c r="W521" s="178"/>
      <c r="X521" s="172"/>
      <c r="Y521" s="172"/>
      <c r="Z521" s="172"/>
      <c r="AA521" s="195"/>
      <c r="AB521" s="172"/>
    </row>
    <row r="522" spans="1:28" ht="12.75" customHeight="1" x14ac:dyDescent="0.3">
      <c r="A522" s="667"/>
      <c r="B522" s="668" t="s">
        <v>5101</v>
      </c>
      <c r="C522" s="160" t="s">
        <v>5102</v>
      </c>
      <c r="D522" s="160"/>
      <c r="E522" s="439">
        <v>8.4499999999999993</v>
      </c>
      <c r="F522" s="161">
        <v>548.07116329999997</v>
      </c>
      <c r="G522" s="161"/>
      <c r="H522" s="654"/>
      <c r="I522" s="654"/>
      <c r="J522" s="191"/>
      <c r="K522" s="191">
        <v>687.06844001423201</v>
      </c>
      <c r="L522" s="191"/>
      <c r="M522" s="191"/>
      <c r="N522" s="191"/>
      <c r="O522" s="191"/>
      <c r="P522" s="191"/>
      <c r="Q522" s="191"/>
      <c r="R522" s="191"/>
      <c r="S522" s="191"/>
      <c r="T522" s="191"/>
      <c r="U522" s="439"/>
      <c r="V522" s="441"/>
      <c r="W522" s="178"/>
      <c r="X522" s="172"/>
      <c r="Y522" s="172"/>
      <c r="Z522" s="172"/>
      <c r="AA522" s="195"/>
      <c r="AB522" s="172"/>
    </row>
    <row r="523" spans="1:28" ht="12.75" customHeight="1" x14ac:dyDescent="0.3">
      <c r="A523" s="667"/>
      <c r="B523" s="668" t="s">
        <v>5103</v>
      </c>
      <c r="C523" s="160" t="s">
        <v>5104</v>
      </c>
      <c r="D523" s="160"/>
      <c r="E523" s="439">
        <v>0.34</v>
      </c>
      <c r="F523" s="161">
        <v>1290.8381360000001</v>
      </c>
      <c r="G523" s="161"/>
      <c r="H523" s="654"/>
      <c r="I523" s="654"/>
      <c r="J523" s="191"/>
      <c r="K523" s="191">
        <v>1.61515795224158</v>
      </c>
      <c r="L523" s="191"/>
      <c r="M523" s="191"/>
      <c r="N523" s="191"/>
      <c r="O523" s="191"/>
      <c r="P523" s="191"/>
      <c r="Q523" s="191"/>
      <c r="R523" s="191"/>
      <c r="S523" s="191"/>
      <c r="T523" s="191"/>
      <c r="U523" s="439"/>
      <c r="V523" s="441"/>
      <c r="W523" s="178"/>
      <c r="X523" s="172"/>
      <c r="Y523" s="172"/>
      <c r="Z523" s="172"/>
      <c r="AA523" s="195"/>
      <c r="AB523" s="172"/>
    </row>
    <row r="524" spans="1:28" ht="12.75" customHeight="1" x14ac:dyDescent="0.3">
      <c r="A524" s="667"/>
      <c r="B524" s="668" t="s">
        <v>5105</v>
      </c>
      <c r="C524" s="160" t="s">
        <v>5106</v>
      </c>
      <c r="D524" s="160"/>
      <c r="E524" s="439">
        <v>0.06</v>
      </c>
      <c r="F524" s="161">
        <v>495.87452231999998</v>
      </c>
      <c r="G524" s="161">
        <v>-7.6999999999999999E-2</v>
      </c>
      <c r="H524" s="654">
        <v>68.375654241999996</v>
      </c>
      <c r="I524" s="654">
        <v>5.8394679622925496</v>
      </c>
      <c r="J524" s="191"/>
      <c r="K524" s="191">
        <v>1.53311947338079</v>
      </c>
      <c r="L524" s="191"/>
      <c r="M524" s="191"/>
      <c r="N524" s="191"/>
      <c r="O524" s="191"/>
      <c r="P524" s="191"/>
      <c r="Q524" s="191"/>
      <c r="R524" s="191"/>
      <c r="S524" s="191"/>
      <c r="T524" s="191"/>
      <c r="U524" s="439"/>
      <c r="V524" s="441"/>
      <c r="W524" s="178"/>
      <c r="X524" s="172"/>
      <c r="Y524" s="172"/>
      <c r="Z524" s="172"/>
      <c r="AA524" s="195"/>
      <c r="AB524" s="172"/>
    </row>
    <row r="525" spans="1:28" ht="12.75" customHeight="1" x14ac:dyDescent="0.3">
      <c r="A525" s="667"/>
      <c r="B525" s="668" t="s">
        <v>5107</v>
      </c>
      <c r="C525" s="160" t="s">
        <v>5108</v>
      </c>
      <c r="D525" s="160"/>
      <c r="E525" s="439"/>
      <c r="F525" s="161">
        <v>653.04559600000005</v>
      </c>
      <c r="G525" s="161"/>
      <c r="H525" s="654"/>
      <c r="I525" s="654"/>
      <c r="J525" s="191"/>
      <c r="K525" s="191"/>
      <c r="L525" s="191"/>
      <c r="M525" s="191"/>
      <c r="N525" s="191"/>
      <c r="O525" s="191"/>
      <c r="P525" s="191"/>
      <c r="Q525" s="191"/>
      <c r="R525" s="191"/>
      <c r="S525" s="191"/>
      <c r="T525" s="191"/>
      <c r="U525" s="439"/>
      <c r="V525" s="441"/>
      <c r="W525" s="178"/>
      <c r="X525" s="172"/>
      <c r="Y525" s="172"/>
      <c r="Z525" s="172"/>
      <c r="AA525" s="195"/>
      <c r="AB525" s="172"/>
    </row>
    <row r="526" spans="1:28" ht="12.75" customHeight="1" x14ac:dyDescent="0.3">
      <c r="A526" s="667"/>
      <c r="B526" s="668" t="s">
        <v>5109</v>
      </c>
      <c r="C526" s="160" t="s">
        <v>5110</v>
      </c>
      <c r="D526" s="160"/>
      <c r="E526" s="439"/>
      <c r="F526" s="161">
        <v>1049.09989</v>
      </c>
      <c r="G526" s="161"/>
      <c r="H526" s="654"/>
      <c r="I526" s="654"/>
      <c r="J526" s="191"/>
      <c r="K526" s="191"/>
      <c r="L526" s="191"/>
      <c r="M526" s="191"/>
      <c r="N526" s="191"/>
      <c r="O526" s="191"/>
      <c r="P526" s="191"/>
      <c r="Q526" s="191"/>
      <c r="R526" s="191"/>
      <c r="S526" s="191"/>
      <c r="T526" s="191"/>
      <c r="U526" s="439"/>
      <c r="V526" s="441"/>
      <c r="W526" s="178"/>
      <c r="X526" s="172"/>
      <c r="Y526" s="172"/>
      <c r="Z526" s="172"/>
      <c r="AA526" s="195"/>
      <c r="AB526" s="172"/>
    </row>
    <row r="527" spans="1:28" ht="12.75" customHeight="1" x14ac:dyDescent="0.3">
      <c r="A527" s="667"/>
      <c r="B527" s="668" t="s">
        <v>5111</v>
      </c>
      <c r="C527" s="160" t="s">
        <v>5112</v>
      </c>
      <c r="D527" s="160"/>
      <c r="E527" s="439"/>
      <c r="F527" s="161">
        <v>1210.21838</v>
      </c>
      <c r="G527" s="161"/>
      <c r="H527" s="654"/>
      <c r="I527" s="654"/>
      <c r="J527" s="191"/>
      <c r="K527" s="191"/>
      <c r="L527" s="191"/>
      <c r="M527" s="191"/>
      <c r="N527" s="191"/>
      <c r="O527" s="191"/>
      <c r="P527" s="191"/>
      <c r="Q527" s="191"/>
      <c r="R527" s="191"/>
      <c r="S527" s="191"/>
      <c r="T527" s="191"/>
      <c r="U527" s="439"/>
      <c r="V527" s="441"/>
      <c r="W527" s="178"/>
      <c r="X527" s="172"/>
      <c r="Y527" s="172"/>
      <c r="Z527" s="172"/>
      <c r="AA527" s="195"/>
      <c r="AB527" s="172"/>
    </row>
    <row r="528" spans="1:28" ht="12.75" customHeight="1" x14ac:dyDescent="0.3">
      <c r="A528" s="667"/>
      <c r="B528" s="668" t="s">
        <v>5113</v>
      </c>
      <c r="C528" s="160" t="s">
        <v>5114</v>
      </c>
      <c r="D528" s="160"/>
      <c r="E528" s="439"/>
      <c r="F528" s="161">
        <v>1051.1010100000001</v>
      </c>
      <c r="G528" s="161"/>
      <c r="H528" s="654"/>
      <c r="I528" s="654"/>
      <c r="J528" s="191"/>
      <c r="K528" s="191"/>
      <c r="L528" s="191"/>
      <c r="M528" s="191"/>
      <c r="N528" s="191"/>
      <c r="O528" s="191"/>
      <c r="P528" s="191"/>
      <c r="Q528" s="191"/>
      <c r="R528" s="191"/>
      <c r="S528" s="191"/>
      <c r="T528" s="191"/>
      <c r="U528" s="439"/>
      <c r="V528" s="441"/>
      <c r="W528" s="178"/>
      <c r="X528" s="172"/>
      <c r="Y528" s="172"/>
      <c r="Z528" s="172"/>
      <c r="AA528" s="195"/>
      <c r="AB528" s="172"/>
    </row>
    <row r="529" spans="1:28" ht="12.75" customHeight="1" x14ac:dyDescent="0.3">
      <c r="A529" s="667"/>
      <c r="B529" s="668" t="s">
        <v>5115</v>
      </c>
      <c r="C529" s="160" t="s">
        <v>5116</v>
      </c>
      <c r="D529" s="160"/>
      <c r="E529" s="439"/>
      <c r="F529" s="161">
        <v>1038.09195</v>
      </c>
      <c r="G529" s="161"/>
      <c r="H529" s="654"/>
      <c r="I529" s="654"/>
      <c r="J529" s="191"/>
      <c r="K529" s="191"/>
      <c r="L529" s="191"/>
      <c r="M529" s="191"/>
      <c r="N529" s="191"/>
      <c r="O529" s="191"/>
      <c r="P529" s="191"/>
      <c r="Q529" s="191"/>
      <c r="R529" s="191"/>
      <c r="S529" s="191"/>
      <c r="T529" s="191"/>
      <c r="U529" s="439"/>
      <c r="V529" s="441"/>
      <c r="W529" s="178"/>
      <c r="X529" s="172"/>
      <c r="Y529" s="172"/>
      <c r="Z529" s="172"/>
      <c r="AA529" s="195"/>
      <c r="AB529" s="172"/>
    </row>
    <row r="530" spans="1:28" ht="12.75" customHeight="1" x14ac:dyDescent="0.3">
      <c r="A530" s="667"/>
      <c r="B530" s="668" t="s">
        <v>5117</v>
      </c>
      <c r="C530" s="160" t="s">
        <v>5118</v>
      </c>
      <c r="D530" s="160"/>
      <c r="E530" s="439">
        <v>5</v>
      </c>
      <c r="F530" s="161">
        <v>1194.1858500000001</v>
      </c>
      <c r="G530" s="161"/>
      <c r="H530" s="654"/>
      <c r="I530" s="654"/>
      <c r="J530" s="191"/>
      <c r="K530" s="191"/>
      <c r="L530" s="191"/>
      <c r="M530" s="191"/>
      <c r="N530" s="191"/>
      <c r="O530" s="191"/>
      <c r="P530" s="191"/>
      <c r="Q530" s="191"/>
      <c r="R530" s="191"/>
      <c r="S530" s="191"/>
      <c r="T530" s="191"/>
      <c r="U530" s="439"/>
      <c r="V530" s="441"/>
      <c r="W530" s="178"/>
      <c r="X530" s="172"/>
      <c r="Y530" s="172"/>
      <c r="Z530" s="172"/>
      <c r="AA530" s="195"/>
      <c r="AB530" s="172"/>
    </row>
    <row r="531" spans="1:28" ht="12.75" customHeight="1" x14ac:dyDescent="0.3">
      <c r="A531" s="667"/>
      <c r="B531" s="668" t="s">
        <v>5119</v>
      </c>
      <c r="C531" s="160" t="s">
        <v>5120</v>
      </c>
      <c r="D531" s="160"/>
      <c r="E531" s="439"/>
      <c r="F531" s="161">
        <v>1043.09482</v>
      </c>
      <c r="G531" s="161"/>
      <c r="H531" s="654"/>
      <c r="I531" s="654"/>
      <c r="J531" s="191"/>
      <c r="K531" s="191">
        <v>7.1660527380355804E-2</v>
      </c>
      <c r="L531" s="191"/>
      <c r="M531" s="191"/>
      <c r="N531" s="191"/>
      <c r="O531" s="191"/>
      <c r="P531" s="191"/>
      <c r="Q531" s="191"/>
      <c r="R531" s="191"/>
      <c r="S531" s="191"/>
      <c r="T531" s="191"/>
      <c r="U531" s="439"/>
      <c r="V531" s="441"/>
      <c r="W531" s="178"/>
      <c r="X531" s="172"/>
      <c r="Y531" s="172"/>
      <c r="Z531" s="172"/>
      <c r="AA531" s="195"/>
      <c r="AB531" s="172"/>
    </row>
    <row r="532" spans="1:28" ht="12.75" customHeight="1" x14ac:dyDescent="0.3">
      <c r="A532" s="667"/>
      <c r="B532" s="668" t="s">
        <v>5121</v>
      </c>
      <c r="C532" s="160" t="s">
        <v>5122</v>
      </c>
      <c r="D532" s="160"/>
      <c r="E532" s="439"/>
      <c r="F532" s="161">
        <v>540.19306853399996</v>
      </c>
      <c r="G532" s="161"/>
      <c r="H532" s="654"/>
      <c r="I532" s="654"/>
      <c r="J532" s="191"/>
      <c r="K532" s="191">
        <v>5877464301.6310396</v>
      </c>
      <c r="L532" s="191"/>
      <c r="M532" s="191"/>
      <c r="N532" s="191"/>
      <c r="O532" s="191"/>
      <c r="P532" s="191"/>
      <c r="Q532" s="191"/>
      <c r="R532" s="191"/>
      <c r="S532" s="191"/>
      <c r="T532" s="191"/>
      <c r="U532" s="439"/>
      <c r="V532" s="441"/>
      <c r="W532" s="178"/>
      <c r="X532" s="172"/>
      <c r="Y532" s="172"/>
      <c r="Z532" s="172"/>
      <c r="AA532" s="195"/>
      <c r="AB532" s="172"/>
    </row>
    <row r="533" spans="1:28" ht="12.75" customHeight="1" x14ac:dyDescent="0.3">
      <c r="A533" s="667"/>
      <c r="B533" s="668" t="s">
        <v>5123</v>
      </c>
      <c r="C533" s="160" t="s">
        <v>5124</v>
      </c>
      <c r="D533" s="160"/>
      <c r="E533" s="439">
        <v>0.34</v>
      </c>
      <c r="F533" s="161">
        <v>431.00025081799998</v>
      </c>
      <c r="G533" s="161">
        <v>8.5299999999999994</v>
      </c>
      <c r="H533" s="654">
        <v>23.545198488</v>
      </c>
      <c r="I533" s="654">
        <v>2.0392819967478699</v>
      </c>
      <c r="J533" s="191"/>
      <c r="K533" s="191">
        <v>7763.1861492282796</v>
      </c>
      <c r="L533" s="191"/>
      <c r="M533" s="191"/>
      <c r="N533" s="191"/>
      <c r="O533" s="191"/>
      <c r="P533" s="191"/>
      <c r="Q533" s="191"/>
      <c r="R533" s="191"/>
      <c r="S533" s="191"/>
      <c r="T533" s="191"/>
      <c r="U533" s="439"/>
      <c r="V533" s="441"/>
      <c r="W533" s="178"/>
      <c r="X533" s="172"/>
      <c r="Y533" s="172"/>
      <c r="Z533" s="172"/>
      <c r="AA533" s="195"/>
      <c r="AB533" s="172"/>
    </row>
    <row r="534" spans="1:28" ht="12.75" customHeight="1" x14ac:dyDescent="0.3">
      <c r="A534" s="667"/>
      <c r="B534" s="668" t="s">
        <v>5125</v>
      </c>
      <c r="C534" s="160" t="s">
        <v>5126</v>
      </c>
      <c r="D534" s="160"/>
      <c r="E534" s="439">
        <v>0.2</v>
      </c>
      <c r="F534" s="161">
        <v>331.00663816600002</v>
      </c>
      <c r="G534" s="161"/>
      <c r="H534" s="654"/>
      <c r="I534" s="654"/>
      <c r="J534" s="191"/>
      <c r="K534" s="191">
        <v>108.50256374459499</v>
      </c>
      <c r="L534" s="191"/>
      <c r="M534" s="191"/>
      <c r="N534" s="191"/>
      <c r="O534" s="191"/>
      <c r="P534" s="191"/>
      <c r="Q534" s="191"/>
      <c r="R534" s="191"/>
      <c r="S534" s="191"/>
      <c r="T534" s="191"/>
      <c r="U534" s="439"/>
      <c r="V534" s="441"/>
      <c r="W534" s="178"/>
      <c r="X534" s="172"/>
      <c r="Y534" s="172"/>
      <c r="Z534" s="172"/>
      <c r="AA534" s="195"/>
      <c r="AB534" s="172"/>
    </row>
    <row r="535" spans="1:28" ht="12.75" customHeight="1" x14ac:dyDescent="0.3">
      <c r="A535" s="667"/>
      <c r="B535" s="668" t="s">
        <v>5127</v>
      </c>
      <c r="C535" s="160" t="s">
        <v>5128</v>
      </c>
      <c r="D535" s="160"/>
      <c r="E535" s="439">
        <v>0.98</v>
      </c>
      <c r="F535" s="161">
        <v>580.99066979600002</v>
      </c>
      <c r="G535" s="161"/>
      <c r="H535" s="654"/>
      <c r="I535" s="654"/>
      <c r="J535" s="191"/>
      <c r="K535" s="191">
        <v>133684.17492175501</v>
      </c>
      <c r="L535" s="191"/>
      <c r="M535" s="191"/>
      <c r="N535" s="191"/>
      <c r="O535" s="191"/>
      <c r="P535" s="191"/>
      <c r="Q535" s="191"/>
      <c r="R535" s="191"/>
      <c r="S535" s="191"/>
      <c r="T535" s="191"/>
      <c r="U535" s="439"/>
      <c r="V535" s="441"/>
      <c r="W535" s="178"/>
      <c r="X535" s="172"/>
      <c r="Y535" s="172"/>
      <c r="Z535" s="172"/>
      <c r="AA535" s="195"/>
      <c r="AB535" s="172"/>
    </row>
    <row r="536" spans="1:28" ht="12.75" customHeight="1" x14ac:dyDescent="0.3">
      <c r="A536" s="667"/>
      <c r="B536" s="668" t="s">
        <v>5129</v>
      </c>
      <c r="C536" s="160" t="s">
        <v>5130</v>
      </c>
      <c r="D536" s="160"/>
      <c r="E536" s="439">
        <v>0.54</v>
      </c>
      <c r="F536" s="161">
        <v>580.99066979600002</v>
      </c>
      <c r="G536" s="161"/>
      <c r="H536" s="654"/>
      <c r="I536" s="654"/>
      <c r="J536" s="191"/>
      <c r="K536" s="191">
        <v>128262.58841809499</v>
      </c>
      <c r="L536" s="191"/>
      <c r="M536" s="191"/>
      <c r="N536" s="191"/>
      <c r="O536" s="191"/>
      <c r="P536" s="191"/>
      <c r="Q536" s="191"/>
      <c r="R536" s="191"/>
      <c r="S536" s="191"/>
      <c r="T536" s="191"/>
      <c r="U536" s="439"/>
      <c r="V536" s="441"/>
      <c r="W536" s="178"/>
      <c r="X536" s="172"/>
      <c r="Y536" s="172"/>
      <c r="Z536" s="172"/>
      <c r="AA536" s="195"/>
      <c r="AB536" s="172"/>
    </row>
    <row r="537" spans="1:28" ht="12.75" customHeight="1" x14ac:dyDescent="0.3">
      <c r="A537" s="667"/>
      <c r="B537" s="668" t="s">
        <v>5131</v>
      </c>
      <c r="C537" s="160" t="s">
        <v>5132</v>
      </c>
      <c r="D537" s="160"/>
      <c r="E537" s="439">
        <v>0.06</v>
      </c>
      <c r="F537" s="161">
        <v>381.00344449200003</v>
      </c>
      <c r="G537" s="161"/>
      <c r="H537" s="654"/>
      <c r="I537" s="654"/>
      <c r="J537" s="191"/>
      <c r="K537" s="191">
        <v>396.25066128404802</v>
      </c>
      <c r="L537" s="191"/>
      <c r="M537" s="191"/>
      <c r="N537" s="191"/>
      <c r="O537" s="191"/>
      <c r="P537" s="191"/>
      <c r="Q537" s="191"/>
      <c r="R537" s="191"/>
      <c r="S537" s="191"/>
      <c r="T537" s="191"/>
      <c r="U537" s="439"/>
      <c r="V537" s="441"/>
      <c r="W537" s="178"/>
      <c r="X537" s="172"/>
      <c r="Y537" s="172"/>
      <c r="Z537" s="172"/>
      <c r="AA537" s="195"/>
      <c r="AB537" s="172"/>
    </row>
    <row r="538" spans="1:28" ht="12.75" customHeight="1" x14ac:dyDescent="0.3">
      <c r="A538" s="667"/>
      <c r="B538" s="668" t="s">
        <v>5133</v>
      </c>
      <c r="C538" s="160" t="s">
        <v>5134</v>
      </c>
      <c r="D538" s="160"/>
      <c r="E538" s="439"/>
      <c r="F538" s="161">
        <v>766.34307506799996</v>
      </c>
      <c r="G538" s="161"/>
      <c r="H538" s="654"/>
      <c r="I538" s="654"/>
      <c r="J538" s="191"/>
      <c r="K538" s="191">
        <v>681114302.51820302</v>
      </c>
      <c r="L538" s="191"/>
      <c r="M538" s="191"/>
      <c r="N538" s="191"/>
      <c r="O538" s="191"/>
      <c r="P538" s="191"/>
      <c r="Q538" s="191"/>
      <c r="R538" s="191"/>
      <c r="S538" s="191"/>
      <c r="T538" s="191"/>
      <c r="U538" s="439"/>
      <c r="V538" s="441"/>
      <c r="W538" s="178"/>
      <c r="X538" s="172"/>
      <c r="Y538" s="172"/>
      <c r="Z538" s="172"/>
      <c r="AA538" s="195"/>
      <c r="AB538" s="172"/>
    </row>
    <row r="539" spans="1:28" ht="12.75" customHeight="1" x14ac:dyDescent="0.3">
      <c r="A539" s="667"/>
      <c r="B539" s="668" t="s">
        <v>5135</v>
      </c>
      <c r="C539" s="160" t="s">
        <v>5136</v>
      </c>
      <c r="D539" s="160"/>
      <c r="E539" s="439">
        <v>7.27</v>
      </c>
      <c r="F539" s="161">
        <v>622.26415482000004</v>
      </c>
      <c r="G539" s="161"/>
      <c r="H539" s="654"/>
      <c r="I539" s="654"/>
      <c r="J539" s="191"/>
      <c r="K539" s="191">
        <v>1630985124.31657</v>
      </c>
      <c r="L539" s="191"/>
      <c r="M539" s="191"/>
      <c r="N539" s="191"/>
      <c r="O539" s="191"/>
      <c r="P539" s="191"/>
      <c r="Q539" s="191"/>
      <c r="R539" s="191"/>
      <c r="S539" s="191"/>
      <c r="T539" s="191"/>
      <c r="U539" s="439"/>
      <c r="V539" s="441"/>
      <c r="W539" s="178"/>
      <c r="X539" s="172"/>
      <c r="Y539" s="172"/>
      <c r="Z539" s="172"/>
      <c r="AA539" s="195"/>
      <c r="AB539" s="172"/>
    </row>
    <row r="540" spans="1:28" ht="12.75" customHeight="1" x14ac:dyDescent="0.3">
      <c r="A540" s="667"/>
      <c r="B540" s="668" t="s">
        <v>5137</v>
      </c>
      <c r="C540" s="160" t="s">
        <v>5138</v>
      </c>
      <c r="D540" s="160"/>
      <c r="E540" s="439">
        <v>8.01</v>
      </c>
      <c r="F540" s="161">
        <v>356.95581629999998</v>
      </c>
      <c r="G540" s="161"/>
      <c r="H540" s="654"/>
      <c r="I540" s="654"/>
      <c r="J540" s="191"/>
      <c r="K540" s="191">
        <v>83036.684446160201</v>
      </c>
      <c r="L540" s="191"/>
      <c r="M540" s="191"/>
      <c r="N540" s="191"/>
      <c r="O540" s="191"/>
      <c r="P540" s="191"/>
      <c r="Q540" s="191"/>
      <c r="R540" s="191"/>
      <c r="S540" s="191"/>
      <c r="T540" s="191"/>
      <c r="U540" s="439"/>
      <c r="V540" s="441"/>
      <c r="W540" s="178"/>
      <c r="X540" s="172"/>
      <c r="Y540" s="172"/>
      <c r="Z540" s="172"/>
      <c r="AA540" s="195"/>
      <c r="AB540" s="172"/>
    </row>
    <row r="541" spans="1:28" ht="12.75" customHeight="1" x14ac:dyDescent="0.3">
      <c r="A541" s="667"/>
      <c r="B541" s="668" t="s">
        <v>5139</v>
      </c>
      <c r="C541" s="160" t="s">
        <v>5140</v>
      </c>
      <c r="D541" s="160"/>
      <c r="E541" s="439">
        <v>7.11</v>
      </c>
      <c r="F541" s="161">
        <v>356.95581629999998</v>
      </c>
      <c r="G541" s="161"/>
      <c r="H541" s="654"/>
      <c r="I541" s="654"/>
      <c r="J541" s="191"/>
      <c r="K541" s="191">
        <v>83714.367443515395</v>
      </c>
      <c r="L541" s="191"/>
      <c r="M541" s="191"/>
      <c r="N541" s="191"/>
      <c r="O541" s="191"/>
      <c r="P541" s="191"/>
      <c r="Q541" s="191"/>
      <c r="R541" s="191"/>
      <c r="S541" s="191"/>
      <c r="T541" s="191"/>
      <c r="U541" s="439"/>
      <c r="V541" s="441"/>
      <c r="W541" s="178"/>
      <c r="X541" s="172"/>
      <c r="Y541" s="172"/>
      <c r="Z541" s="172"/>
      <c r="AA541" s="195"/>
      <c r="AB541" s="172"/>
    </row>
    <row r="542" spans="1:28" ht="12.75" customHeight="1" x14ac:dyDescent="0.3">
      <c r="A542" s="667"/>
      <c r="B542" s="668" t="s">
        <v>5141</v>
      </c>
      <c r="C542" s="160" t="s">
        <v>5142</v>
      </c>
      <c r="D542" s="160"/>
      <c r="E542" s="439"/>
      <c r="F542" s="161">
        <v>1070.0945580109999</v>
      </c>
      <c r="G542" s="161"/>
      <c r="H542" s="654"/>
      <c r="I542" s="654"/>
      <c r="J542" s="191"/>
      <c r="K542" s="191"/>
      <c r="L542" s="191"/>
      <c r="M542" s="191"/>
      <c r="N542" s="191"/>
      <c r="O542" s="191"/>
      <c r="P542" s="191"/>
      <c r="Q542" s="191"/>
      <c r="R542" s="191"/>
      <c r="S542" s="191"/>
      <c r="T542" s="191"/>
      <c r="U542" s="439"/>
      <c r="V542" s="441"/>
      <c r="W542" s="178"/>
      <c r="X542" s="172"/>
      <c r="Y542" s="172"/>
      <c r="Z542" s="172"/>
      <c r="AA542" s="195"/>
      <c r="AB542" s="172"/>
    </row>
    <row r="543" spans="1:28" ht="12.75" customHeight="1" x14ac:dyDescent="0.3">
      <c r="A543" s="667"/>
      <c r="B543" s="668" t="s">
        <v>5143</v>
      </c>
      <c r="C543" s="160" t="s">
        <v>5144</v>
      </c>
      <c r="D543" s="160"/>
      <c r="E543" s="439"/>
      <c r="F543" s="161">
        <v>1050.10104</v>
      </c>
      <c r="G543" s="161"/>
      <c r="H543" s="654"/>
      <c r="I543" s="654"/>
      <c r="J543" s="191"/>
      <c r="K543" s="191"/>
      <c r="L543" s="191"/>
      <c r="M543" s="191"/>
      <c r="N543" s="191"/>
      <c r="O543" s="191"/>
      <c r="P543" s="191"/>
      <c r="Q543" s="191"/>
      <c r="R543" s="191"/>
      <c r="S543" s="191"/>
      <c r="T543" s="191"/>
      <c r="U543" s="439"/>
      <c r="V543" s="441"/>
      <c r="W543" s="178"/>
      <c r="X543" s="172"/>
      <c r="Y543" s="172"/>
      <c r="Z543" s="172"/>
      <c r="AA543" s="195"/>
      <c r="AB543" s="172"/>
    </row>
    <row r="544" spans="1:28" ht="12.75" customHeight="1" x14ac:dyDescent="0.3">
      <c r="A544" s="667"/>
      <c r="B544" s="668" t="s">
        <v>5145</v>
      </c>
      <c r="C544" s="160" t="s">
        <v>5146</v>
      </c>
      <c r="D544" s="160"/>
      <c r="E544" s="439">
        <v>8.4499999999999993</v>
      </c>
      <c r="F544" s="161">
        <v>640.00678000000005</v>
      </c>
      <c r="G544" s="161"/>
      <c r="H544" s="654"/>
      <c r="I544" s="654"/>
      <c r="J544" s="191"/>
      <c r="K544" s="191"/>
      <c r="L544" s="191"/>
      <c r="M544" s="191"/>
      <c r="N544" s="191"/>
      <c r="O544" s="191"/>
      <c r="P544" s="191"/>
      <c r="Q544" s="191"/>
      <c r="R544" s="191"/>
      <c r="S544" s="191"/>
      <c r="T544" s="191"/>
      <c r="U544" s="439"/>
      <c r="V544" s="441"/>
      <c r="W544" s="178"/>
      <c r="X544" s="172"/>
      <c r="Y544" s="172"/>
      <c r="Z544" s="172"/>
      <c r="AA544" s="195"/>
      <c r="AB544" s="172"/>
    </row>
    <row r="545" spans="1:28" ht="12.75" customHeight="1" x14ac:dyDescent="0.3">
      <c r="A545" s="667"/>
      <c r="B545" s="668" t="s">
        <v>5147</v>
      </c>
      <c r="C545" s="160" t="s">
        <v>5148</v>
      </c>
      <c r="D545" s="160"/>
      <c r="E545" s="439">
        <v>1.24</v>
      </c>
      <c r="F545" s="161">
        <v>251.94235787</v>
      </c>
      <c r="G545" s="161"/>
      <c r="H545" s="654"/>
      <c r="I545" s="654"/>
      <c r="J545" s="191"/>
      <c r="K545" s="191">
        <v>1.1876779675236799</v>
      </c>
      <c r="L545" s="191"/>
      <c r="M545" s="191"/>
      <c r="N545" s="191"/>
      <c r="O545" s="191"/>
      <c r="P545" s="191"/>
      <c r="Q545" s="191"/>
      <c r="R545" s="191"/>
      <c r="S545" s="191"/>
      <c r="T545" s="191"/>
      <c r="U545" s="439"/>
      <c r="V545" s="441"/>
      <c r="W545" s="178"/>
      <c r="X545" s="172"/>
      <c r="Y545" s="172"/>
      <c r="Z545" s="172"/>
      <c r="AA545" s="195"/>
      <c r="AB545" s="172"/>
    </row>
    <row r="546" spans="1:28" ht="12.75" customHeight="1" x14ac:dyDescent="0.3">
      <c r="A546" s="667"/>
      <c r="B546" s="668" t="s">
        <v>5149</v>
      </c>
      <c r="C546" s="160" t="s">
        <v>5150</v>
      </c>
      <c r="D546" s="160"/>
      <c r="E546" s="439">
        <v>0.69</v>
      </c>
      <c r="F546" s="161">
        <v>451.92958318000001</v>
      </c>
      <c r="G546" s="161"/>
      <c r="H546" s="654"/>
      <c r="I546" s="654"/>
      <c r="J546" s="191"/>
      <c r="K546" s="191">
        <v>2.0301868012880302</v>
      </c>
      <c r="L546" s="191"/>
      <c r="M546" s="191"/>
      <c r="N546" s="191"/>
      <c r="O546" s="191"/>
      <c r="P546" s="191"/>
      <c r="Q546" s="191"/>
      <c r="R546" s="191"/>
      <c r="S546" s="191"/>
      <c r="T546" s="191"/>
      <c r="U546" s="439"/>
      <c r="V546" s="441"/>
      <c r="W546" s="178"/>
      <c r="X546" s="172"/>
      <c r="Y546" s="172"/>
      <c r="Z546" s="172"/>
      <c r="AA546" s="195"/>
      <c r="AB546" s="172"/>
    </row>
    <row r="547" spans="1:28" ht="12.75" customHeight="1" x14ac:dyDescent="0.3">
      <c r="A547" s="667"/>
      <c r="B547" s="668" t="s">
        <v>5151</v>
      </c>
      <c r="C547" s="160" t="s">
        <v>5152</v>
      </c>
      <c r="D547" s="160"/>
      <c r="E547" s="439">
        <v>0.54</v>
      </c>
      <c r="F547" s="161">
        <v>601.92000214999996</v>
      </c>
      <c r="G547" s="161"/>
      <c r="H547" s="654"/>
      <c r="I547" s="654"/>
      <c r="J547" s="191"/>
      <c r="K547" s="191">
        <v>292.43543781103398</v>
      </c>
      <c r="L547" s="191"/>
      <c r="M547" s="191"/>
      <c r="N547" s="191"/>
      <c r="O547" s="191"/>
      <c r="P547" s="191"/>
      <c r="Q547" s="191"/>
      <c r="R547" s="191"/>
      <c r="S547" s="191"/>
      <c r="T547" s="191"/>
      <c r="U547" s="439"/>
      <c r="V547" s="441"/>
      <c r="W547" s="178"/>
      <c r="X547" s="172"/>
      <c r="Y547" s="172"/>
      <c r="Z547" s="172"/>
      <c r="AA547" s="195"/>
      <c r="AB547" s="172"/>
    </row>
    <row r="548" spans="1:28" ht="12.75" customHeight="1" x14ac:dyDescent="0.3">
      <c r="A548" s="667"/>
      <c r="B548" s="668" t="s">
        <v>5153</v>
      </c>
      <c r="C548" s="160" t="s">
        <v>5154</v>
      </c>
      <c r="D548" s="160"/>
      <c r="E548" s="439">
        <v>1.7</v>
      </c>
      <c r="F548" s="161">
        <v>583.92942402000006</v>
      </c>
      <c r="G548" s="161"/>
      <c r="H548" s="654"/>
      <c r="I548" s="654"/>
      <c r="J548" s="191"/>
      <c r="K548" s="191">
        <v>38.1662947557097</v>
      </c>
      <c r="L548" s="191"/>
      <c r="M548" s="191"/>
      <c r="N548" s="191"/>
      <c r="O548" s="191"/>
      <c r="P548" s="191"/>
      <c r="Q548" s="191"/>
      <c r="R548" s="191"/>
      <c r="S548" s="191"/>
      <c r="T548" s="191"/>
      <c r="U548" s="439"/>
      <c r="V548" s="441"/>
      <c r="W548" s="178"/>
      <c r="X548" s="172"/>
      <c r="Y548" s="172"/>
      <c r="Z548" s="172"/>
      <c r="AA548" s="195"/>
      <c r="AB548" s="172"/>
    </row>
    <row r="549" spans="1:28" ht="12.75" customHeight="1" x14ac:dyDescent="0.3">
      <c r="A549" s="667"/>
      <c r="B549" s="668" t="s">
        <v>5155</v>
      </c>
      <c r="C549" s="160" t="s">
        <v>5156</v>
      </c>
      <c r="D549" s="160"/>
      <c r="E549" s="439">
        <v>0.23</v>
      </c>
      <c r="F549" s="161">
        <v>501.92638950000003</v>
      </c>
      <c r="G549" s="161"/>
      <c r="H549" s="654"/>
      <c r="I549" s="654"/>
      <c r="J549" s="191"/>
      <c r="K549" s="191">
        <v>1.57444320891581</v>
      </c>
      <c r="L549" s="191"/>
      <c r="M549" s="191"/>
      <c r="N549" s="191"/>
      <c r="O549" s="191"/>
      <c r="P549" s="191"/>
      <c r="Q549" s="191"/>
      <c r="R549" s="191"/>
      <c r="S549" s="191"/>
      <c r="T549" s="191"/>
      <c r="U549" s="439"/>
      <c r="V549" s="441"/>
      <c r="W549" s="178"/>
      <c r="X549" s="172"/>
      <c r="Y549" s="172"/>
      <c r="Z549" s="172"/>
      <c r="AA549" s="195"/>
      <c r="AB549" s="172"/>
    </row>
    <row r="550" spans="1:28" ht="12.75" customHeight="1" x14ac:dyDescent="0.3">
      <c r="A550" s="667"/>
      <c r="B550" s="668" t="s">
        <v>5157</v>
      </c>
      <c r="C550" s="160" t="s">
        <v>5158</v>
      </c>
      <c r="D550" s="160"/>
      <c r="E550" s="439">
        <v>0.34</v>
      </c>
      <c r="F550" s="161">
        <v>451.92958318000001</v>
      </c>
      <c r="G550" s="161"/>
      <c r="H550" s="654"/>
      <c r="I550" s="654"/>
      <c r="J550" s="191"/>
      <c r="K550" s="191">
        <v>1.89469365175821</v>
      </c>
      <c r="L550" s="191"/>
      <c r="M550" s="191"/>
      <c r="N550" s="191"/>
      <c r="O550" s="191"/>
      <c r="P550" s="191"/>
      <c r="Q550" s="191"/>
      <c r="R550" s="191"/>
      <c r="S550" s="191"/>
      <c r="T550" s="191"/>
      <c r="U550" s="439"/>
      <c r="V550" s="441"/>
      <c r="W550" s="178"/>
      <c r="X550" s="172"/>
      <c r="Y550" s="172"/>
      <c r="Z550" s="172"/>
      <c r="AA550" s="195"/>
      <c r="AB550" s="172"/>
    </row>
    <row r="551" spans="1:28" ht="12.75" customHeight="1" x14ac:dyDescent="0.3">
      <c r="A551" s="667"/>
      <c r="B551" s="668" t="s">
        <v>5159</v>
      </c>
      <c r="C551" s="160" t="s">
        <v>5160</v>
      </c>
      <c r="D551" s="160"/>
      <c r="E551" s="439">
        <v>0.06</v>
      </c>
      <c r="F551" s="161">
        <v>401.93277684999998</v>
      </c>
      <c r="G551" s="161"/>
      <c r="H551" s="654"/>
      <c r="I551" s="654"/>
      <c r="J551" s="191"/>
      <c r="K551" s="191">
        <v>2.3940598318267101</v>
      </c>
      <c r="L551" s="191"/>
      <c r="M551" s="191"/>
      <c r="N551" s="191"/>
      <c r="O551" s="191"/>
      <c r="P551" s="191"/>
      <c r="Q551" s="191"/>
      <c r="R551" s="191"/>
      <c r="S551" s="191"/>
      <c r="T551" s="191"/>
      <c r="U551" s="439"/>
      <c r="V551" s="441"/>
      <c r="W551" s="178"/>
      <c r="X551" s="172"/>
      <c r="Y551" s="172"/>
      <c r="Z551" s="172"/>
      <c r="AA551" s="195"/>
      <c r="AB551" s="172"/>
    </row>
    <row r="552" spans="1:28" ht="12.75" customHeight="1" x14ac:dyDescent="0.3">
      <c r="A552" s="667"/>
      <c r="B552" s="668" t="s">
        <v>5161</v>
      </c>
      <c r="C552" s="160" t="s">
        <v>5162</v>
      </c>
      <c r="D552" s="160"/>
      <c r="E552" s="439">
        <v>0.2</v>
      </c>
      <c r="F552" s="161">
        <v>351.93597052000001</v>
      </c>
      <c r="G552" s="161"/>
      <c r="H552" s="654"/>
      <c r="I552" s="654"/>
      <c r="J552" s="191"/>
      <c r="K552" s="191">
        <v>2.8578208472435098</v>
      </c>
      <c r="L552" s="191"/>
      <c r="M552" s="191"/>
      <c r="N552" s="191"/>
      <c r="O552" s="191"/>
      <c r="P552" s="191"/>
      <c r="Q552" s="191"/>
      <c r="R552" s="191"/>
      <c r="S552" s="191"/>
      <c r="T552" s="191"/>
      <c r="U552" s="439"/>
      <c r="V552" s="441"/>
      <c r="W552" s="178"/>
      <c r="X552" s="172"/>
      <c r="Y552" s="172"/>
      <c r="Z552" s="172"/>
      <c r="AA552" s="195"/>
      <c r="AB552" s="172"/>
    </row>
    <row r="553" spans="1:28" ht="12.75" customHeight="1" x14ac:dyDescent="0.3">
      <c r="A553" s="667"/>
      <c r="B553" s="668" t="s">
        <v>5163</v>
      </c>
      <c r="C553" s="160" t="s">
        <v>5164</v>
      </c>
      <c r="D553" s="160"/>
      <c r="E553" s="439">
        <v>-0.8</v>
      </c>
      <c r="F553" s="161">
        <v>301.93916419999999</v>
      </c>
      <c r="G553" s="161"/>
      <c r="H553" s="654"/>
      <c r="I553" s="654"/>
      <c r="J553" s="191"/>
      <c r="K553" s="191">
        <v>6.8156926825839399</v>
      </c>
      <c r="L553" s="191"/>
      <c r="M553" s="191"/>
      <c r="N553" s="191"/>
      <c r="O553" s="191"/>
      <c r="P553" s="191"/>
      <c r="Q553" s="191"/>
      <c r="R553" s="191"/>
      <c r="S553" s="191"/>
      <c r="T553" s="191"/>
      <c r="U553" s="439"/>
      <c r="V553" s="441"/>
      <c r="W553" s="178"/>
      <c r="X553" s="172"/>
      <c r="Y553" s="172"/>
      <c r="Z553" s="172"/>
      <c r="AA553" s="195"/>
      <c r="AB553" s="172"/>
    </row>
    <row r="554" spans="1:28" ht="12.75" customHeight="1" x14ac:dyDescent="0.3">
      <c r="A554" s="667"/>
      <c r="B554" s="668" t="s">
        <v>5165</v>
      </c>
      <c r="C554" s="160" t="s">
        <v>5166</v>
      </c>
      <c r="D554" s="160"/>
      <c r="E554" s="439">
        <v>-0.21</v>
      </c>
      <c r="F554" s="161">
        <v>251.94235787</v>
      </c>
      <c r="G554" s="161"/>
      <c r="H554" s="654"/>
      <c r="I554" s="654"/>
      <c r="J554" s="191"/>
      <c r="K554" s="191">
        <v>1.2274468621469701</v>
      </c>
      <c r="L554" s="191"/>
      <c r="M554" s="191"/>
      <c r="N554" s="191"/>
      <c r="O554" s="191"/>
      <c r="P554" s="191"/>
      <c r="Q554" s="191"/>
      <c r="R554" s="191"/>
      <c r="S554" s="191"/>
      <c r="T554" s="191"/>
      <c r="U554" s="439"/>
      <c r="V554" s="441"/>
      <c r="W554" s="178"/>
      <c r="X554" s="172"/>
      <c r="Y554" s="172"/>
      <c r="Z554" s="172"/>
      <c r="AA554" s="195"/>
      <c r="AB554" s="172"/>
    </row>
    <row r="555" spans="1:28" ht="12.75" customHeight="1" x14ac:dyDescent="0.3">
      <c r="A555" s="667"/>
      <c r="B555" s="668" t="s">
        <v>5167</v>
      </c>
      <c r="C555" s="160" t="s">
        <v>5168</v>
      </c>
      <c r="D555" s="160"/>
      <c r="E555" s="439"/>
      <c r="F555" s="161">
        <v>1024.07707</v>
      </c>
      <c r="G555" s="161"/>
      <c r="H555" s="654"/>
      <c r="I555" s="654"/>
      <c r="J555" s="191"/>
      <c r="K555" s="191"/>
      <c r="L555" s="191"/>
      <c r="M555" s="191"/>
      <c r="N555" s="191"/>
      <c r="O555" s="191"/>
      <c r="P555" s="191"/>
      <c r="Q555" s="191"/>
      <c r="R555" s="191"/>
      <c r="S555" s="191"/>
      <c r="T555" s="191"/>
      <c r="U555" s="439"/>
      <c r="V555" s="441"/>
      <c r="W555" s="178"/>
      <c r="X555" s="172"/>
      <c r="Y555" s="172"/>
      <c r="Z555" s="172"/>
      <c r="AA555" s="195"/>
      <c r="AB555" s="172"/>
    </row>
    <row r="556" spans="1:28" ht="12.75" customHeight="1" x14ac:dyDescent="0.3">
      <c r="A556" s="667"/>
      <c r="B556" s="668" t="s">
        <v>5169</v>
      </c>
      <c r="C556" s="160" t="s">
        <v>5170</v>
      </c>
      <c r="D556" s="160"/>
      <c r="E556" s="439">
        <v>0.62</v>
      </c>
      <c r="F556" s="161">
        <v>435.95564596999998</v>
      </c>
      <c r="G556" s="161"/>
      <c r="H556" s="654"/>
      <c r="I556" s="654"/>
      <c r="J556" s="191"/>
      <c r="K556" s="191">
        <v>635.12615836451096</v>
      </c>
      <c r="L556" s="191"/>
      <c r="M556" s="191"/>
      <c r="N556" s="191"/>
      <c r="O556" s="191"/>
      <c r="P556" s="191"/>
      <c r="Q556" s="191"/>
      <c r="R556" s="191"/>
      <c r="S556" s="191"/>
      <c r="T556" s="191"/>
      <c r="U556" s="439"/>
      <c r="V556" s="441"/>
      <c r="W556" s="178"/>
      <c r="X556" s="172"/>
      <c r="Y556" s="172"/>
      <c r="Z556" s="172"/>
      <c r="AA556" s="195"/>
      <c r="AB556" s="172"/>
    </row>
    <row r="557" spans="1:28" ht="12.75" customHeight="1" x14ac:dyDescent="0.3">
      <c r="A557" s="667"/>
      <c r="B557" s="668" t="s">
        <v>5171</v>
      </c>
      <c r="C557" s="160" t="s">
        <v>5172</v>
      </c>
      <c r="D557" s="160"/>
      <c r="E557" s="439">
        <v>0.69</v>
      </c>
      <c r="F557" s="161">
        <v>435.95564596999998</v>
      </c>
      <c r="G557" s="161"/>
      <c r="H557" s="654"/>
      <c r="I557" s="654"/>
      <c r="J557" s="191"/>
      <c r="K557" s="191">
        <v>617.74608255696899</v>
      </c>
      <c r="L557" s="191"/>
      <c r="M557" s="191"/>
      <c r="N557" s="191"/>
      <c r="O557" s="191"/>
      <c r="P557" s="191"/>
      <c r="Q557" s="191"/>
      <c r="R557" s="191"/>
      <c r="S557" s="191"/>
      <c r="T557" s="191"/>
      <c r="U557" s="439"/>
      <c r="V557" s="441"/>
      <c r="W557" s="178"/>
      <c r="X557" s="172"/>
      <c r="Y557" s="172"/>
      <c r="Z557" s="172"/>
      <c r="AA557" s="195"/>
      <c r="AB557" s="172"/>
    </row>
    <row r="558" spans="1:28" ht="12.75" customHeight="1" x14ac:dyDescent="0.3">
      <c r="A558" s="667"/>
      <c r="B558" s="668" t="s">
        <v>5173</v>
      </c>
      <c r="C558" s="160" t="s">
        <v>5174</v>
      </c>
      <c r="D558" s="160"/>
      <c r="E558" s="439">
        <v>0.54</v>
      </c>
      <c r="F558" s="161">
        <v>585.94606494000004</v>
      </c>
      <c r="G558" s="161"/>
      <c r="H558" s="654"/>
      <c r="I558" s="654"/>
      <c r="J558" s="191"/>
      <c r="K558" s="191">
        <v>139865.30605513701</v>
      </c>
      <c r="L558" s="191"/>
      <c r="M558" s="191"/>
      <c r="N558" s="191"/>
      <c r="O558" s="191"/>
      <c r="P558" s="191"/>
      <c r="Q558" s="191"/>
      <c r="R558" s="191"/>
      <c r="S558" s="191"/>
      <c r="T558" s="191"/>
      <c r="U558" s="439"/>
      <c r="V558" s="441"/>
      <c r="W558" s="178"/>
      <c r="X558" s="172"/>
      <c r="Y558" s="172"/>
      <c r="Z558" s="172"/>
      <c r="AA558" s="195"/>
      <c r="AB558" s="172"/>
    </row>
    <row r="559" spans="1:28" ht="12.75" customHeight="1" x14ac:dyDescent="0.3">
      <c r="A559" s="667"/>
      <c r="B559" s="668" t="s">
        <v>5175</v>
      </c>
      <c r="C559" s="160" t="s">
        <v>5176</v>
      </c>
      <c r="D559" s="160"/>
      <c r="E559" s="439">
        <v>0.4</v>
      </c>
      <c r="F559" s="161">
        <v>535.94925862000002</v>
      </c>
      <c r="G559" s="161"/>
      <c r="H559" s="654"/>
      <c r="I559" s="654"/>
      <c r="J559" s="191"/>
      <c r="K559" s="191">
        <v>4026.3358685068401</v>
      </c>
      <c r="L559" s="191"/>
      <c r="M559" s="191"/>
      <c r="N559" s="191"/>
      <c r="O559" s="191"/>
      <c r="P559" s="191"/>
      <c r="Q559" s="191"/>
      <c r="R559" s="191"/>
      <c r="S559" s="191"/>
      <c r="T559" s="191"/>
      <c r="U559" s="439"/>
      <c r="V559" s="441"/>
      <c r="W559" s="178"/>
      <c r="X559" s="172"/>
      <c r="Y559" s="172"/>
      <c r="Z559" s="172"/>
      <c r="AA559" s="195"/>
      <c r="AB559" s="172"/>
    </row>
    <row r="560" spans="1:28" ht="12.75" customHeight="1" x14ac:dyDescent="0.3">
      <c r="A560" s="667"/>
      <c r="B560" s="668" t="s">
        <v>5177</v>
      </c>
      <c r="C560" s="160" t="s">
        <v>5178</v>
      </c>
      <c r="D560" s="160"/>
      <c r="E560" s="439">
        <v>0.23</v>
      </c>
      <c r="F560" s="161">
        <v>485.95245229</v>
      </c>
      <c r="G560" s="161"/>
      <c r="H560" s="654"/>
      <c r="I560" s="654"/>
      <c r="J560" s="191"/>
      <c r="K560" s="191">
        <v>123.720025259617</v>
      </c>
      <c r="L560" s="191"/>
      <c r="M560" s="191"/>
      <c r="N560" s="191"/>
      <c r="O560" s="191"/>
      <c r="P560" s="191"/>
      <c r="Q560" s="191"/>
      <c r="R560" s="191"/>
      <c r="S560" s="191"/>
      <c r="T560" s="191"/>
      <c r="U560" s="439"/>
      <c r="V560" s="441"/>
      <c r="W560" s="178"/>
      <c r="X560" s="172"/>
      <c r="Y560" s="172"/>
      <c r="Z560" s="172"/>
      <c r="AA560" s="195"/>
      <c r="AB560" s="172"/>
    </row>
    <row r="561" spans="1:28" ht="12.75" customHeight="1" x14ac:dyDescent="0.3">
      <c r="A561" s="667"/>
      <c r="B561" s="668" t="s">
        <v>5179</v>
      </c>
      <c r="C561" s="160" t="s">
        <v>5180</v>
      </c>
      <c r="D561" s="160"/>
      <c r="E561" s="439">
        <v>0.34</v>
      </c>
      <c r="F561" s="161">
        <v>435.95564596999998</v>
      </c>
      <c r="G561" s="161"/>
      <c r="H561" s="654"/>
      <c r="I561" s="654"/>
      <c r="J561" s="191"/>
      <c r="K561" s="191">
        <v>492.76516647067098</v>
      </c>
      <c r="L561" s="191"/>
      <c r="M561" s="191"/>
      <c r="N561" s="191"/>
      <c r="O561" s="191"/>
      <c r="P561" s="191"/>
      <c r="Q561" s="191"/>
      <c r="R561" s="191"/>
      <c r="S561" s="191"/>
      <c r="T561" s="191"/>
      <c r="U561" s="439"/>
      <c r="V561" s="441"/>
      <c r="W561" s="178"/>
      <c r="X561" s="172"/>
      <c r="Y561" s="172"/>
      <c r="Z561" s="172"/>
      <c r="AA561" s="195"/>
      <c r="AB561" s="172"/>
    </row>
    <row r="562" spans="1:28" ht="12.75" customHeight="1" x14ac:dyDescent="0.3">
      <c r="A562" s="667"/>
      <c r="B562" s="668" t="s">
        <v>5181</v>
      </c>
      <c r="C562" s="160" t="s">
        <v>5182</v>
      </c>
      <c r="D562" s="160"/>
      <c r="E562" s="439">
        <v>0.85</v>
      </c>
      <c r="F562" s="161">
        <v>367.96826150999999</v>
      </c>
      <c r="G562" s="161">
        <v>37.85</v>
      </c>
      <c r="H562" s="654">
        <v>42.063091</v>
      </c>
      <c r="I562" s="654">
        <v>7.3250337914011103</v>
      </c>
      <c r="J562" s="191"/>
      <c r="K562" s="191">
        <v>45.393116437854303</v>
      </c>
      <c r="L562" s="191"/>
      <c r="M562" s="191"/>
      <c r="N562" s="191"/>
      <c r="O562" s="191"/>
      <c r="P562" s="191"/>
      <c r="Q562" s="191"/>
      <c r="R562" s="191"/>
      <c r="S562" s="191"/>
      <c r="T562" s="191"/>
      <c r="U562" s="439"/>
      <c r="V562" s="441"/>
      <c r="W562" s="178"/>
      <c r="X562" s="172"/>
      <c r="Y562" s="172"/>
      <c r="Z562" s="172"/>
      <c r="AA562" s="195"/>
      <c r="AB562" s="172"/>
    </row>
    <row r="563" spans="1:28" ht="12.75" customHeight="1" x14ac:dyDescent="0.3">
      <c r="A563" s="667"/>
      <c r="B563" s="668" t="s">
        <v>5183</v>
      </c>
      <c r="C563" s="160" t="s">
        <v>5184</v>
      </c>
      <c r="D563" s="160"/>
      <c r="E563" s="439">
        <v>0.2</v>
      </c>
      <c r="F563" s="161">
        <v>335.96203330999998</v>
      </c>
      <c r="G563" s="161">
        <v>11.557</v>
      </c>
      <c r="H563" s="654">
        <v>121.311420986</v>
      </c>
      <c r="I563" s="654">
        <v>33.751417790389198</v>
      </c>
      <c r="J563" s="191"/>
      <c r="K563" s="191">
        <v>5.0301623237436699</v>
      </c>
      <c r="L563" s="191"/>
      <c r="M563" s="191"/>
      <c r="N563" s="191"/>
      <c r="O563" s="191"/>
      <c r="P563" s="191"/>
      <c r="Q563" s="191"/>
      <c r="R563" s="191"/>
      <c r="S563" s="191"/>
      <c r="T563" s="191"/>
      <c r="U563" s="439"/>
      <c r="V563" s="441"/>
      <c r="W563" s="178"/>
      <c r="X563" s="172"/>
      <c r="Y563" s="172"/>
      <c r="Z563" s="172"/>
      <c r="AA563" s="195"/>
      <c r="AB563" s="172"/>
    </row>
    <row r="564" spans="1:28" ht="12.75" customHeight="1" x14ac:dyDescent="0.3">
      <c r="A564" s="667"/>
      <c r="B564" s="668" t="s">
        <v>5185</v>
      </c>
      <c r="C564" s="160" t="s">
        <v>5186</v>
      </c>
      <c r="D564" s="160"/>
      <c r="E564" s="439">
        <v>-0.21</v>
      </c>
      <c r="F564" s="161">
        <v>235.96842065999999</v>
      </c>
      <c r="G564" s="161"/>
      <c r="H564" s="654"/>
      <c r="I564" s="654"/>
      <c r="J564" s="191"/>
      <c r="K564" s="191">
        <v>27.096924421212702</v>
      </c>
      <c r="L564" s="191"/>
      <c r="M564" s="191"/>
      <c r="N564" s="191"/>
      <c r="O564" s="191"/>
      <c r="P564" s="191"/>
      <c r="Q564" s="191"/>
      <c r="R564" s="191"/>
      <c r="S564" s="191"/>
      <c r="T564" s="191"/>
      <c r="U564" s="439"/>
      <c r="V564" s="441"/>
      <c r="W564" s="178"/>
      <c r="X564" s="172"/>
      <c r="Y564" s="172"/>
      <c r="Z564" s="172"/>
      <c r="AA564" s="195"/>
      <c r="AB564" s="172"/>
    </row>
    <row r="565" spans="1:28" ht="12.75" customHeight="1" x14ac:dyDescent="0.3">
      <c r="A565" s="667"/>
      <c r="B565" s="668" t="s">
        <v>5187</v>
      </c>
      <c r="C565" s="160" t="s">
        <v>5188</v>
      </c>
      <c r="D565" s="160"/>
      <c r="E565" s="439">
        <v>1.25</v>
      </c>
      <c r="F565" s="161">
        <v>471.01160349000003</v>
      </c>
      <c r="G565" s="161"/>
      <c r="H565" s="654"/>
      <c r="I565" s="654"/>
      <c r="J565" s="191"/>
      <c r="K565" s="191">
        <v>389.95096552597198</v>
      </c>
      <c r="L565" s="191"/>
      <c r="M565" s="191"/>
      <c r="N565" s="191"/>
      <c r="O565" s="191"/>
      <c r="P565" s="191"/>
      <c r="Q565" s="191"/>
      <c r="R565" s="191"/>
      <c r="S565" s="191"/>
      <c r="T565" s="191"/>
      <c r="U565" s="439"/>
      <c r="V565" s="441"/>
      <c r="W565" s="178"/>
      <c r="X565" s="172"/>
      <c r="Y565" s="172"/>
      <c r="Z565" s="172"/>
      <c r="AA565" s="195"/>
      <c r="AB565" s="172"/>
    </row>
    <row r="566" spans="1:28" ht="12.75" customHeight="1" x14ac:dyDescent="0.3">
      <c r="A566" s="667"/>
      <c r="B566" s="668" t="s">
        <v>5189</v>
      </c>
      <c r="C566" s="160" t="s">
        <v>5190</v>
      </c>
      <c r="D566" s="160"/>
      <c r="E566" s="439">
        <v>2.5499999999999998</v>
      </c>
      <c r="F566" s="161">
        <v>585.00669574000005</v>
      </c>
      <c r="G566" s="161"/>
      <c r="H566" s="654"/>
      <c r="I566" s="654"/>
      <c r="J566" s="191"/>
      <c r="K566" s="191">
        <v>70913.676200232498</v>
      </c>
      <c r="L566" s="191"/>
      <c r="M566" s="191"/>
      <c r="N566" s="191"/>
      <c r="O566" s="191"/>
      <c r="P566" s="191"/>
      <c r="Q566" s="191"/>
      <c r="R566" s="191"/>
      <c r="S566" s="191"/>
      <c r="T566" s="191"/>
      <c r="U566" s="439"/>
      <c r="V566" s="441"/>
      <c r="W566" s="178"/>
      <c r="X566" s="172"/>
      <c r="Y566" s="172"/>
      <c r="Z566" s="172"/>
      <c r="AA566" s="195"/>
      <c r="AB566" s="172"/>
    </row>
    <row r="567" spans="1:28" ht="12.75" customHeight="1" x14ac:dyDescent="0.3">
      <c r="A567" s="667"/>
      <c r="B567" s="668" t="s">
        <v>5191</v>
      </c>
      <c r="C567" s="160" t="s">
        <v>5192</v>
      </c>
      <c r="D567" s="160"/>
      <c r="E567" s="439"/>
      <c r="F567" s="161">
        <v>1027.07844</v>
      </c>
      <c r="G567" s="161"/>
      <c r="H567" s="654"/>
      <c r="I567" s="654"/>
      <c r="J567" s="191"/>
      <c r="K567" s="191"/>
      <c r="L567" s="191"/>
      <c r="M567" s="191"/>
      <c r="N567" s="191"/>
      <c r="O567" s="191"/>
      <c r="P567" s="191"/>
      <c r="Q567" s="191"/>
      <c r="R567" s="191"/>
      <c r="S567" s="191"/>
      <c r="T567" s="191"/>
      <c r="U567" s="439"/>
      <c r="V567" s="441"/>
      <c r="W567" s="178"/>
      <c r="X567" s="172"/>
      <c r="Y567" s="172"/>
      <c r="Z567" s="172"/>
      <c r="AA567" s="195"/>
      <c r="AB567" s="172"/>
    </row>
    <row r="568" spans="1:28" ht="12.75" customHeight="1" x14ac:dyDescent="0.3">
      <c r="A568" s="667"/>
      <c r="B568" s="668" t="s">
        <v>5193</v>
      </c>
      <c r="C568" s="160" t="s">
        <v>5194</v>
      </c>
      <c r="D568" s="160"/>
      <c r="E568" s="439">
        <v>28</v>
      </c>
      <c r="F568" s="161">
        <v>563.07530746600003</v>
      </c>
      <c r="G568" s="161"/>
      <c r="H568" s="654"/>
      <c r="I568" s="654"/>
      <c r="J568" s="191"/>
      <c r="K568" s="191"/>
      <c r="L568" s="191"/>
      <c r="M568" s="191"/>
      <c r="N568" s="191"/>
      <c r="O568" s="191"/>
      <c r="P568" s="191"/>
      <c r="Q568" s="191"/>
      <c r="R568" s="191"/>
      <c r="S568" s="191"/>
      <c r="T568" s="191"/>
      <c r="U568" s="439"/>
      <c r="V568" s="441"/>
      <c r="W568" s="178"/>
      <c r="X568" s="172"/>
      <c r="Y568" s="172"/>
      <c r="Z568" s="172"/>
      <c r="AA568" s="195"/>
      <c r="AB568" s="172"/>
    </row>
    <row r="569" spans="1:28" ht="12.75" customHeight="1" x14ac:dyDescent="0.3">
      <c r="A569" s="667"/>
      <c r="B569" s="668" t="s">
        <v>5195</v>
      </c>
      <c r="C569" s="160" t="s">
        <v>5196</v>
      </c>
      <c r="D569" s="160"/>
      <c r="E569" s="439">
        <v>0.62</v>
      </c>
      <c r="F569" s="161">
        <v>431.00025081799998</v>
      </c>
      <c r="G569" s="161"/>
      <c r="H569" s="654"/>
      <c r="I569" s="654"/>
      <c r="J569" s="191"/>
      <c r="K569" s="191">
        <v>7797.4033443190701</v>
      </c>
      <c r="L569" s="191"/>
      <c r="M569" s="191"/>
      <c r="N569" s="191"/>
      <c r="O569" s="191"/>
      <c r="P569" s="191"/>
      <c r="Q569" s="191"/>
      <c r="R569" s="191"/>
      <c r="S569" s="191"/>
      <c r="T569" s="191"/>
      <c r="U569" s="439"/>
      <c r="V569" s="441"/>
      <c r="W569" s="178"/>
      <c r="X569" s="172"/>
      <c r="Y569" s="172"/>
      <c r="Z569" s="172"/>
      <c r="AA569" s="195"/>
      <c r="AB569" s="172"/>
    </row>
    <row r="570" spans="1:28" ht="12.75" customHeight="1" x14ac:dyDescent="0.3">
      <c r="A570" s="667"/>
      <c r="B570" s="668" t="s">
        <v>5197</v>
      </c>
      <c r="C570" s="160" t="s">
        <v>5198</v>
      </c>
      <c r="D570" s="160"/>
      <c r="E570" s="439">
        <v>0.69</v>
      </c>
      <c r="F570" s="161">
        <v>431.00025081799998</v>
      </c>
      <c r="G570" s="161"/>
      <c r="H570" s="654"/>
      <c r="I570" s="654"/>
      <c r="J570" s="191"/>
      <c r="K570" s="191">
        <v>7838.8075094733704</v>
      </c>
      <c r="L570" s="191"/>
      <c r="M570" s="191"/>
      <c r="N570" s="191"/>
      <c r="O570" s="191"/>
      <c r="P570" s="191"/>
      <c r="Q570" s="191"/>
      <c r="R570" s="191"/>
      <c r="S570" s="191"/>
      <c r="T570" s="191"/>
      <c r="U570" s="439"/>
      <c r="V570" s="441"/>
      <c r="W570" s="178"/>
      <c r="X570" s="172"/>
      <c r="Y570" s="172"/>
      <c r="Z570" s="172"/>
      <c r="AA570" s="195"/>
      <c r="AB570" s="172"/>
    </row>
    <row r="571" spans="1:28" ht="12.75" customHeight="1" x14ac:dyDescent="0.3">
      <c r="A571" s="667"/>
      <c r="B571" s="668" t="s">
        <v>5199</v>
      </c>
      <c r="C571" s="160" t="s">
        <v>5200</v>
      </c>
      <c r="D571" s="160"/>
      <c r="E571" s="439">
        <v>0.93</v>
      </c>
      <c r="F571" s="161">
        <v>480.997057144</v>
      </c>
      <c r="G571" s="161"/>
      <c r="H571" s="654"/>
      <c r="I571" s="654"/>
      <c r="J571" s="191"/>
      <c r="K571" s="191">
        <v>42907.182744701699</v>
      </c>
      <c r="L571" s="191"/>
      <c r="M571" s="191"/>
      <c r="N571" s="191"/>
      <c r="O571" s="191"/>
      <c r="P571" s="191"/>
      <c r="Q571" s="191"/>
      <c r="R571" s="191"/>
      <c r="S571" s="191"/>
      <c r="T571" s="191"/>
      <c r="U571" s="439"/>
      <c r="V571" s="441"/>
      <c r="W571" s="178"/>
      <c r="X571" s="172"/>
      <c r="Y571" s="172"/>
      <c r="Z571" s="172"/>
      <c r="AA571" s="195"/>
      <c r="AB571" s="172"/>
    </row>
    <row r="572" spans="1:28" ht="12.75" customHeight="1" x14ac:dyDescent="0.3">
      <c r="A572" s="667"/>
      <c r="B572" s="668" t="s">
        <v>5201</v>
      </c>
      <c r="C572" s="160" t="s">
        <v>5202</v>
      </c>
      <c r="D572" s="160"/>
      <c r="E572" s="439">
        <v>0.54</v>
      </c>
      <c r="F572" s="161">
        <v>630.98747612199998</v>
      </c>
      <c r="G572" s="161">
        <v>-0.4</v>
      </c>
      <c r="H572" s="654">
        <v>2.8372788108</v>
      </c>
      <c r="I572" s="654"/>
      <c r="J572" s="191"/>
      <c r="K572" s="191">
        <v>260375.42989387299</v>
      </c>
      <c r="L572" s="191"/>
      <c r="M572" s="191"/>
      <c r="N572" s="191"/>
      <c r="O572" s="191"/>
      <c r="P572" s="191"/>
      <c r="Q572" s="191"/>
      <c r="R572" s="191"/>
      <c r="S572" s="191"/>
      <c r="T572" s="191"/>
      <c r="U572" s="439"/>
      <c r="V572" s="441"/>
      <c r="W572" s="178"/>
      <c r="X572" s="172"/>
      <c r="Y572" s="172"/>
      <c r="Z572" s="172"/>
      <c r="AA572" s="195"/>
      <c r="AB572" s="172"/>
    </row>
    <row r="573" spans="1:28" ht="12.75" customHeight="1" x14ac:dyDescent="0.3">
      <c r="A573" s="667"/>
      <c r="B573" s="668" t="s">
        <v>5203</v>
      </c>
      <c r="C573" s="160" t="s">
        <v>5204</v>
      </c>
      <c r="D573" s="160"/>
      <c r="E573" s="439">
        <v>0.4</v>
      </c>
      <c r="F573" s="161">
        <v>530.99386346999995</v>
      </c>
      <c r="G573" s="161"/>
      <c r="H573" s="654"/>
      <c r="I573" s="654"/>
      <c r="J573" s="191"/>
      <c r="K573" s="191">
        <v>25744.828315860599</v>
      </c>
      <c r="L573" s="191"/>
      <c r="M573" s="191"/>
      <c r="N573" s="191"/>
      <c r="O573" s="191"/>
      <c r="P573" s="191"/>
      <c r="Q573" s="191"/>
      <c r="R573" s="191"/>
      <c r="S573" s="191"/>
      <c r="T573" s="191"/>
      <c r="U573" s="439"/>
      <c r="V573" s="441"/>
      <c r="W573" s="178"/>
      <c r="X573" s="172"/>
      <c r="Y573" s="172"/>
      <c r="Z573" s="172"/>
      <c r="AA573" s="195"/>
      <c r="AB573" s="172"/>
    </row>
    <row r="574" spans="1:28" ht="12.75" customHeight="1" x14ac:dyDescent="0.3">
      <c r="A574" s="667"/>
      <c r="B574" s="668" t="s">
        <v>5205</v>
      </c>
      <c r="C574" s="160" t="s">
        <v>5206</v>
      </c>
      <c r="D574" s="160"/>
      <c r="E574" s="439">
        <v>0.23</v>
      </c>
      <c r="F574" s="161">
        <v>480.997057144</v>
      </c>
      <c r="G574" s="161"/>
      <c r="H574" s="654"/>
      <c r="I574" s="654"/>
      <c r="J574" s="191"/>
      <c r="K574" s="191">
        <v>41745.531997959399</v>
      </c>
      <c r="L574" s="191"/>
      <c r="M574" s="191"/>
      <c r="N574" s="191"/>
      <c r="O574" s="191"/>
      <c r="P574" s="191"/>
      <c r="Q574" s="191"/>
      <c r="R574" s="191"/>
      <c r="S574" s="191"/>
      <c r="T574" s="191"/>
      <c r="U574" s="439"/>
      <c r="V574" s="441"/>
      <c r="W574" s="178"/>
      <c r="X574" s="172"/>
      <c r="Y574" s="172"/>
      <c r="Z574" s="172"/>
      <c r="AA574" s="195"/>
      <c r="AB574" s="172"/>
    </row>
    <row r="575" spans="1:28" ht="12.75" customHeight="1" x14ac:dyDescent="0.3">
      <c r="A575" s="667"/>
      <c r="B575" s="668" t="s">
        <v>5207</v>
      </c>
      <c r="C575" s="160" t="s">
        <v>5208</v>
      </c>
      <c r="D575" s="160"/>
      <c r="E575" s="439">
        <v>1.4</v>
      </c>
      <c r="F575" s="161">
        <v>463.00647901299999</v>
      </c>
      <c r="G575" s="161"/>
      <c r="H575" s="654"/>
      <c r="I575" s="654"/>
      <c r="J575" s="191"/>
      <c r="K575" s="191">
        <v>8934.9062498641997</v>
      </c>
      <c r="L575" s="191"/>
      <c r="M575" s="191"/>
      <c r="N575" s="191"/>
      <c r="O575" s="191"/>
      <c r="P575" s="191"/>
      <c r="Q575" s="191"/>
      <c r="R575" s="191"/>
      <c r="S575" s="191"/>
      <c r="T575" s="191"/>
      <c r="U575" s="439"/>
      <c r="V575" s="441"/>
      <c r="W575" s="178"/>
      <c r="X575" s="172"/>
      <c r="Y575" s="172"/>
      <c r="Z575" s="172"/>
      <c r="AA575" s="195"/>
      <c r="AB575" s="172"/>
    </row>
    <row r="576" spans="1:28" ht="12.75" customHeight="1" x14ac:dyDescent="0.3">
      <c r="A576" s="667"/>
      <c r="B576" s="668" t="s">
        <v>5209</v>
      </c>
      <c r="C576" s="160" t="s">
        <v>5210</v>
      </c>
      <c r="D576" s="160"/>
      <c r="E576" s="439">
        <v>0.12</v>
      </c>
      <c r="F576" s="161">
        <v>446.9707004</v>
      </c>
      <c r="G576" s="161">
        <v>26.067</v>
      </c>
      <c r="H576" s="654">
        <v>6.7748774198000001</v>
      </c>
      <c r="I576" s="654">
        <v>0.63281664791931602</v>
      </c>
      <c r="J576" s="191"/>
      <c r="K576" s="191">
        <v>2683.1194037161799</v>
      </c>
      <c r="L576" s="191"/>
      <c r="M576" s="191"/>
      <c r="N576" s="191"/>
      <c r="O576" s="191"/>
      <c r="P576" s="191"/>
      <c r="Q576" s="191"/>
      <c r="R576" s="191"/>
      <c r="S576" s="191"/>
      <c r="T576" s="191"/>
      <c r="U576" s="439"/>
      <c r="V576" s="441"/>
      <c r="W576" s="178"/>
      <c r="X576" s="172"/>
      <c r="Y576" s="172"/>
      <c r="Z576" s="172"/>
      <c r="AA576" s="195"/>
      <c r="AB576" s="172"/>
    </row>
    <row r="577" spans="1:28" ht="12.75" customHeight="1" x14ac:dyDescent="0.3">
      <c r="A577" s="667"/>
      <c r="B577" s="668" t="s">
        <v>5211</v>
      </c>
      <c r="C577" s="160" t="s">
        <v>5212</v>
      </c>
      <c r="D577" s="160"/>
      <c r="E577" s="439">
        <v>0.85</v>
      </c>
      <c r="F577" s="161">
        <v>363.01286636100002</v>
      </c>
      <c r="G577" s="161">
        <v>37.85</v>
      </c>
      <c r="H577" s="654">
        <v>42.063091</v>
      </c>
      <c r="I577" s="654">
        <v>7.2263882267885098</v>
      </c>
      <c r="J577" s="191"/>
      <c r="K577" s="191">
        <v>314.10149248677197</v>
      </c>
      <c r="L577" s="191"/>
      <c r="M577" s="191"/>
      <c r="N577" s="191"/>
      <c r="O577" s="191"/>
      <c r="P577" s="191"/>
      <c r="Q577" s="191"/>
      <c r="R577" s="191"/>
      <c r="S577" s="191"/>
      <c r="T577" s="191"/>
      <c r="U577" s="439"/>
      <c r="V577" s="441"/>
      <c r="W577" s="178"/>
      <c r="X577" s="172"/>
      <c r="Y577" s="172"/>
      <c r="Z577" s="172"/>
      <c r="AA577" s="195"/>
      <c r="AB577" s="172"/>
    </row>
    <row r="578" spans="1:28" ht="12.75" customHeight="1" x14ac:dyDescent="0.3">
      <c r="A578" s="667"/>
      <c r="B578" s="668" t="s">
        <v>5213</v>
      </c>
      <c r="C578" s="160" t="s">
        <v>5214</v>
      </c>
      <c r="D578" s="160"/>
      <c r="E578" s="439">
        <v>-0.8</v>
      </c>
      <c r="F578" s="161">
        <v>281.00983184</v>
      </c>
      <c r="G578" s="161"/>
      <c r="H578" s="654"/>
      <c r="I578" s="654"/>
      <c r="J578" s="191"/>
      <c r="K578" s="191">
        <v>64.610038525471396</v>
      </c>
      <c r="L578" s="191"/>
      <c r="M578" s="191"/>
      <c r="N578" s="191"/>
      <c r="O578" s="191"/>
      <c r="P578" s="191"/>
      <c r="Q578" s="191"/>
      <c r="R578" s="191"/>
      <c r="S578" s="191"/>
      <c r="T578" s="191"/>
      <c r="U578" s="439"/>
      <c r="V578" s="441"/>
      <c r="W578" s="178"/>
      <c r="X578" s="172"/>
      <c r="Y578" s="172"/>
      <c r="Z578" s="172"/>
      <c r="AA578" s="195"/>
      <c r="AB578" s="172"/>
    </row>
    <row r="579" spans="1:28" ht="12.75" customHeight="1" x14ac:dyDescent="0.3">
      <c r="A579" s="667"/>
      <c r="B579" s="668" t="s">
        <v>5215</v>
      </c>
      <c r="C579" s="160" t="s">
        <v>5216</v>
      </c>
      <c r="D579" s="160"/>
      <c r="E579" s="439">
        <v>-0.03</v>
      </c>
      <c r="F579" s="161">
        <v>263.019253709</v>
      </c>
      <c r="G579" s="161">
        <v>28.576000000000001</v>
      </c>
      <c r="H579" s="654">
        <v>149.93392119999999</v>
      </c>
      <c r="I579" s="654">
        <v>264.23440266113499</v>
      </c>
      <c r="J579" s="191"/>
      <c r="K579" s="191">
        <v>104.973577932008</v>
      </c>
      <c r="L579" s="191"/>
      <c r="M579" s="191"/>
      <c r="N579" s="191"/>
      <c r="O579" s="191"/>
      <c r="P579" s="191"/>
      <c r="Q579" s="191"/>
      <c r="R579" s="191"/>
      <c r="S579" s="191"/>
      <c r="T579" s="191"/>
      <c r="U579" s="439"/>
      <c r="V579" s="441"/>
      <c r="W579" s="178"/>
      <c r="X579" s="172"/>
      <c r="Y579" s="172"/>
      <c r="Z579" s="172"/>
      <c r="AA579" s="195"/>
      <c r="AB579" s="172"/>
    </row>
    <row r="580" spans="1:28" ht="12.75" customHeight="1" x14ac:dyDescent="0.3">
      <c r="A580" s="667"/>
      <c r="B580" s="668" t="s">
        <v>5217</v>
      </c>
      <c r="C580" s="160" t="s">
        <v>5218</v>
      </c>
      <c r="D580" s="160"/>
      <c r="E580" s="439">
        <v>7.41</v>
      </c>
      <c r="F580" s="161">
        <v>411.92935199999999</v>
      </c>
      <c r="G580" s="161">
        <v>80.977000000000004</v>
      </c>
      <c r="H580" s="654">
        <v>6.5599756879999999E-3</v>
      </c>
      <c r="I580" s="654">
        <v>0.65890571428512001</v>
      </c>
      <c r="J580" s="191"/>
      <c r="K580" s="191">
        <v>26421.653936888601</v>
      </c>
      <c r="L580" s="191"/>
      <c r="M580" s="191"/>
      <c r="N580" s="191"/>
      <c r="O580" s="191"/>
      <c r="P580" s="191"/>
      <c r="Q580" s="191"/>
      <c r="R580" s="191"/>
      <c r="S580" s="191"/>
      <c r="T580" s="191"/>
      <c r="U580" s="439"/>
      <c r="V580" s="441"/>
      <c r="W580" s="178"/>
      <c r="X580" s="172"/>
      <c r="Y580" s="172"/>
      <c r="Z580" s="172"/>
      <c r="AA580" s="195"/>
      <c r="AB580" s="172"/>
    </row>
    <row r="581" spans="1:28" ht="12.75" customHeight="1" x14ac:dyDescent="0.3">
      <c r="A581" s="667"/>
      <c r="B581" s="668" t="s">
        <v>5219</v>
      </c>
      <c r="C581" s="160" t="s">
        <v>5220</v>
      </c>
      <c r="D581" s="160"/>
      <c r="E581" s="439">
        <v>5.43</v>
      </c>
      <c r="F581" s="161">
        <v>335.002854754</v>
      </c>
      <c r="G581" s="161">
        <v>27.495999999999999</v>
      </c>
      <c r="H581" s="654">
        <v>0.43641756801999998</v>
      </c>
      <c r="I581" s="654">
        <v>1.62199002191953</v>
      </c>
      <c r="J581" s="191"/>
      <c r="K581" s="191">
        <v>14373.747121173499</v>
      </c>
      <c r="L581" s="191"/>
      <c r="M581" s="191"/>
      <c r="N581" s="191"/>
      <c r="O581" s="191"/>
      <c r="P581" s="191"/>
      <c r="Q581" s="191"/>
      <c r="R581" s="191"/>
      <c r="S581" s="191"/>
      <c r="T581" s="191"/>
      <c r="U581" s="439"/>
      <c r="V581" s="441"/>
      <c r="W581" s="178"/>
      <c r="X581" s="172"/>
      <c r="Y581" s="172"/>
      <c r="Z581" s="172"/>
      <c r="AA581" s="195"/>
      <c r="AB581" s="172"/>
    </row>
    <row r="582" spans="1:28" ht="12.75" customHeight="1" x14ac:dyDescent="0.3">
      <c r="A582" s="667"/>
      <c r="B582" s="668" t="s">
        <v>5221</v>
      </c>
      <c r="C582" s="160" t="s">
        <v>5222</v>
      </c>
      <c r="D582" s="160"/>
      <c r="E582" s="439">
        <v>4.4800000000000004</v>
      </c>
      <c r="F582" s="161">
        <v>335.002854754</v>
      </c>
      <c r="G582" s="161">
        <v>28.212</v>
      </c>
      <c r="H582" s="654">
        <v>0.42257341154</v>
      </c>
      <c r="I582" s="654">
        <v>1.5489895498400901</v>
      </c>
      <c r="J582" s="191"/>
      <c r="K582" s="191">
        <v>15637.2363360951</v>
      </c>
      <c r="L582" s="191"/>
      <c r="M582" s="191"/>
      <c r="N582" s="191"/>
      <c r="O582" s="191"/>
      <c r="P582" s="191"/>
      <c r="Q582" s="191"/>
      <c r="R582" s="191"/>
      <c r="S582" s="191"/>
      <c r="T582" s="191"/>
      <c r="U582" s="439"/>
      <c r="V582" s="441"/>
      <c r="W582" s="178"/>
      <c r="X582" s="172"/>
      <c r="Y582" s="172"/>
      <c r="Z582" s="172"/>
      <c r="AA582" s="195"/>
      <c r="AB582" s="172"/>
    </row>
    <row r="583" spans="1:28" ht="12.75" customHeight="1" x14ac:dyDescent="0.3">
      <c r="A583" s="667"/>
      <c r="B583" s="668" t="s">
        <v>5223</v>
      </c>
      <c r="C583" s="160" t="s">
        <v>5224</v>
      </c>
      <c r="D583" s="160"/>
      <c r="E583" s="439">
        <v>7.81</v>
      </c>
      <c r="F583" s="161">
        <v>584.00287079999998</v>
      </c>
      <c r="G583" s="161"/>
      <c r="H583" s="654"/>
      <c r="I583" s="654"/>
      <c r="J583" s="191"/>
      <c r="K583" s="191">
        <v>683596.76683810505</v>
      </c>
      <c r="L583" s="191"/>
      <c r="M583" s="191"/>
      <c r="N583" s="191"/>
      <c r="O583" s="191"/>
      <c r="P583" s="191"/>
      <c r="Q583" s="191"/>
      <c r="R583" s="191"/>
      <c r="S583" s="191"/>
      <c r="T583" s="191"/>
      <c r="U583" s="439"/>
      <c r="V583" s="441"/>
      <c r="W583" s="178"/>
      <c r="X583" s="172"/>
      <c r="Y583" s="172"/>
      <c r="Z583" s="172"/>
      <c r="AA583" s="195"/>
      <c r="AB583" s="172"/>
    </row>
    <row r="584" spans="1:28" ht="12.75" customHeight="1" x14ac:dyDescent="0.3">
      <c r="A584" s="667"/>
      <c r="B584" s="668" t="s">
        <v>5225</v>
      </c>
      <c r="C584" s="160" t="s">
        <v>5226</v>
      </c>
      <c r="D584" s="160"/>
      <c r="E584" s="439">
        <v>8.01</v>
      </c>
      <c r="F584" s="161">
        <v>484.00925814800001</v>
      </c>
      <c r="G584" s="161"/>
      <c r="H584" s="654"/>
      <c r="I584" s="654"/>
      <c r="J584" s="191"/>
      <c r="K584" s="191">
        <v>399043.27856110397</v>
      </c>
      <c r="L584" s="191"/>
      <c r="M584" s="191"/>
      <c r="N584" s="191"/>
      <c r="O584" s="191"/>
      <c r="P584" s="191"/>
      <c r="Q584" s="191"/>
      <c r="R584" s="191"/>
      <c r="S584" s="191"/>
      <c r="T584" s="191"/>
      <c r="U584" s="439"/>
      <c r="V584" s="441"/>
      <c r="W584" s="178"/>
      <c r="X584" s="172"/>
      <c r="Y584" s="172"/>
      <c r="Z584" s="172"/>
      <c r="AA584" s="195"/>
      <c r="AB584" s="172"/>
    </row>
    <row r="585" spans="1:28" ht="12.75" customHeight="1" x14ac:dyDescent="0.3">
      <c r="A585" s="667"/>
      <c r="B585" s="668" t="s">
        <v>5227</v>
      </c>
      <c r="C585" s="160" t="s">
        <v>5228</v>
      </c>
      <c r="D585" s="160"/>
      <c r="E585" s="439">
        <v>7.75</v>
      </c>
      <c r="F585" s="161">
        <v>384.01564549599999</v>
      </c>
      <c r="G585" s="161"/>
      <c r="H585" s="654"/>
      <c r="I585" s="654"/>
      <c r="J585" s="191"/>
      <c r="K585" s="191">
        <v>58563.901296190299</v>
      </c>
      <c r="L585" s="191"/>
      <c r="M585" s="191"/>
      <c r="N585" s="191"/>
      <c r="O585" s="191"/>
      <c r="P585" s="191"/>
      <c r="Q585" s="191"/>
      <c r="R585" s="191"/>
      <c r="S585" s="191"/>
      <c r="T585" s="191"/>
      <c r="U585" s="439"/>
      <c r="V585" s="441"/>
      <c r="W585" s="178"/>
      <c r="X585" s="172"/>
      <c r="Y585" s="172"/>
      <c r="Z585" s="172"/>
      <c r="AA585" s="195"/>
      <c r="AB585" s="172"/>
    </row>
    <row r="586" spans="1:28" ht="12.75" customHeight="1" x14ac:dyDescent="0.3">
      <c r="A586" s="667"/>
      <c r="B586" s="668" t="s">
        <v>5229</v>
      </c>
      <c r="C586" s="160" t="s">
        <v>5230</v>
      </c>
      <c r="D586" s="160"/>
      <c r="E586" s="439">
        <v>0.34</v>
      </c>
      <c r="F586" s="161">
        <v>412.966425265</v>
      </c>
      <c r="G586" s="161"/>
      <c r="H586" s="654"/>
      <c r="I586" s="654"/>
      <c r="J586" s="191"/>
      <c r="K586" s="191">
        <v>1277.67383167036</v>
      </c>
      <c r="L586" s="191"/>
      <c r="M586" s="191"/>
      <c r="N586" s="191"/>
      <c r="O586" s="191"/>
      <c r="P586" s="191"/>
      <c r="Q586" s="191"/>
      <c r="R586" s="191"/>
      <c r="S586" s="191"/>
      <c r="T586" s="191"/>
      <c r="U586" s="439"/>
      <c r="V586" s="441"/>
      <c r="W586" s="178"/>
      <c r="X586" s="172"/>
      <c r="Y586" s="172"/>
      <c r="Z586" s="172"/>
      <c r="AA586" s="195"/>
      <c r="AB586" s="172"/>
    </row>
    <row r="587" spans="1:28" ht="12.75" customHeight="1" x14ac:dyDescent="0.3">
      <c r="A587" s="667"/>
      <c r="B587" s="668" t="s">
        <v>5231</v>
      </c>
      <c r="C587" s="160" t="s">
        <v>5232</v>
      </c>
      <c r="D587" s="160"/>
      <c r="E587" s="439">
        <v>0.06</v>
      </c>
      <c r="F587" s="161">
        <v>362.96961893899999</v>
      </c>
      <c r="G587" s="161"/>
      <c r="H587" s="654"/>
      <c r="I587" s="654"/>
      <c r="J587" s="191"/>
      <c r="K587" s="191">
        <v>114.65156836610799</v>
      </c>
      <c r="L587" s="191"/>
      <c r="M587" s="191"/>
      <c r="N587" s="191"/>
      <c r="O587" s="191"/>
      <c r="P587" s="191"/>
      <c r="Q587" s="191"/>
      <c r="R587" s="191"/>
      <c r="S587" s="191"/>
      <c r="T587" s="191"/>
      <c r="U587" s="439"/>
      <c r="V587" s="441"/>
      <c r="W587" s="178"/>
      <c r="X587" s="172"/>
      <c r="Y587" s="172"/>
      <c r="Z587" s="172"/>
      <c r="AA587" s="195"/>
      <c r="AB587" s="172"/>
    </row>
    <row r="588" spans="1:28" ht="12.75" customHeight="1" x14ac:dyDescent="0.3">
      <c r="A588" s="667"/>
      <c r="B588" s="668" t="s">
        <v>5233</v>
      </c>
      <c r="C588" s="160" t="s">
        <v>5234</v>
      </c>
      <c r="D588" s="160"/>
      <c r="E588" s="439">
        <v>0.47099999999999997</v>
      </c>
      <c r="F588" s="161">
        <v>630.12109422900005</v>
      </c>
      <c r="G588" s="161"/>
      <c r="H588" s="654"/>
      <c r="I588" s="654"/>
      <c r="J588" s="191"/>
      <c r="K588" s="191"/>
      <c r="L588" s="191"/>
      <c r="M588" s="191"/>
      <c r="N588" s="191"/>
      <c r="O588" s="191"/>
      <c r="P588" s="191"/>
      <c r="Q588" s="191"/>
      <c r="R588" s="191"/>
      <c r="S588" s="191"/>
      <c r="T588" s="191"/>
      <c r="U588" s="439"/>
      <c r="V588" s="441"/>
      <c r="W588" s="178"/>
      <c r="X588" s="172"/>
      <c r="Y588" s="172"/>
      <c r="Z588" s="172"/>
      <c r="AA588" s="195"/>
      <c r="AB588" s="172"/>
    </row>
    <row r="589" spans="1:28" ht="12.75" customHeight="1" x14ac:dyDescent="0.3">
      <c r="A589" s="667"/>
      <c r="B589" s="668" t="s">
        <v>5235</v>
      </c>
      <c r="C589" s="160" t="s">
        <v>5236</v>
      </c>
      <c r="D589" s="160"/>
      <c r="E589" s="439"/>
      <c r="F589" s="161">
        <v>798.09045600000002</v>
      </c>
      <c r="G589" s="161"/>
      <c r="H589" s="654"/>
      <c r="I589" s="654"/>
      <c r="J589" s="191"/>
      <c r="K589" s="191"/>
      <c r="L589" s="191"/>
      <c r="M589" s="191"/>
      <c r="N589" s="191"/>
      <c r="O589" s="191"/>
      <c r="P589" s="191"/>
      <c r="Q589" s="191"/>
      <c r="R589" s="191"/>
      <c r="S589" s="191"/>
      <c r="T589" s="191"/>
      <c r="U589" s="439"/>
      <c r="V589" s="441"/>
      <c r="W589" s="178"/>
      <c r="X589" s="172"/>
      <c r="Y589" s="172"/>
      <c r="Z589" s="172"/>
      <c r="AA589" s="195"/>
      <c r="AB589" s="172"/>
    </row>
    <row r="590" spans="1:28" ht="12.75" customHeight="1" x14ac:dyDescent="0.3">
      <c r="A590" s="667"/>
      <c r="B590" s="668" t="s">
        <v>5237</v>
      </c>
      <c r="C590" s="160" t="s">
        <v>5238</v>
      </c>
      <c r="D590" s="160"/>
      <c r="E590" s="439">
        <v>7.8</v>
      </c>
      <c r="F590" s="161">
        <v>1053.24784</v>
      </c>
      <c r="G590" s="161"/>
      <c r="H590" s="654"/>
      <c r="I590" s="654"/>
      <c r="J590" s="191"/>
      <c r="K590" s="191">
        <v>0.26100149803095002</v>
      </c>
      <c r="L590" s="191"/>
      <c r="M590" s="191"/>
      <c r="N590" s="191"/>
      <c r="O590" s="191"/>
      <c r="P590" s="191"/>
      <c r="Q590" s="191"/>
      <c r="R590" s="191"/>
      <c r="S590" s="191"/>
      <c r="T590" s="191"/>
      <c r="U590" s="439"/>
      <c r="V590" s="441"/>
      <c r="W590" s="178"/>
      <c r="X590" s="172"/>
      <c r="Y590" s="172"/>
      <c r="Z590" s="172"/>
      <c r="AA590" s="195"/>
      <c r="AB590" s="172"/>
    </row>
    <row r="591" spans="1:28" ht="12.75" customHeight="1" x14ac:dyDescent="0.3">
      <c r="A591" s="667"/>
      <c r="B591" s="668" t="s">
        <v>5239</v>
      </c>
      <c r="C591" s="160" t="s">
        <v>5240</v>
      </c>
      <c r="D591" s="160"/>
      <c r="E591" s="439"/>
      <c r="F591" s="161">
        <v>1026.0783699999999</v>
      </c>
      <c r="G591" s="161"/>
      <c r="H591" s="654"/>
      <c r="I591" s="654"/>
      <c r="J591" s="191"/>
      <c r="K591" s="191"/>
      <c r="L591" s="191"/>
      <c r="M591" s="191"/>
      <c r="N591" s="191"/>
      <c r="O591" s="191"/>
      <c r="P591" s="191"/>
      <c r="Q591" s="191"/>
      <c r="R591" s="191"/>
      <c r="S591" s="191"/>
      <c r="T591" s="191"/>
      <c r="U591" s="439"/>
      <c r="V591" s="441"/>
      <c r="W591" s="178"/>
      <c r="X591" s="172"/>
      <c r="Y591" s="172"/>
      <c r="Z591" s="172"/>
      <c r="AA591" s="195"/>
      <c r="AB591" s="172"/>
    </row>
    <row r="592" spans="1:28" ht="12.75" customHeight="1" x14ac:dyDescent="0.3">
      <c r="A592" s="667"/>
      <c r="B592" s="668" t="s">
        <v>5241</v>
      </c>
      <c r="C592" s="160" t="s">
        <v>5242</v>
      </c>
      <c r="D592" s="160"/>
      <c r="E592" s="439">
        <v>5</v>
      </c>
      <c r="F592" s="161">
        <v>1182.17227</v>
      </c>
      <c r="G592" s="161"/>
      <c r="H592" s="654"/>
      <c r="I592" s="654"/>
      <c r="J592" s="191"/>
      <c r="K592" s="191"/>
      <c r="L592" s="191"/>
      <c r="M592" s="191"/>
      <c r="N592" s="191"/>
      <c r="O592" s="191"/>
      <c r="P592" s="191"/>
      <c r="Q592" s="191"/>
      <c r="R592" s="191"/>
      <c r="S592" s="191"/>
      <c r="T592" s="191"/>
      <c r="U592" s="439"/>
      <c r="V592" s="441"/>
      <c r="W592" s="178"/>
      <c r="X592" s="172"/>
      <c r="Y592" s="172"/>
      <c r="Z592" s="172"/>
      <c r="AA592" s="195"/>
      <c r="AB592" s="172"/>
    </row>
    <row r="593" spans="1:28" ht="12.75" customHeight="1" x14ac:dyDescent="0.3">
      <c r="A593" s="667"/>
      <c r="B593" s="668" t="s">
        <v>5243</v>
      </c>
      <c r="C593" s="160" t="s">
        <v>5244</v>
      </c>
      <c r="D593" s="160"/>
      <c r="E593" s="439">
        <v>-0.21</v>
      </c>
      <c r="F593" s="161">
        <v>1057.72561</v>
      </c>
      <c r="G593" s="161"/>
      <c r="H593" s="654"/>
      <c r="I593" s="654"/>
      <c r="J593" s="191"/>
      <c r="K593" s="191">
        <v>2.32225549930806E-2</v>
      </c>
      <c r="L593" s="191"/>
      <c r="M593" s="191"/>
      <c r="N593" s="191"/>
      <c r="O593" s="191"/>
      <c r="P593" s="191"/>
      <c r="Q593" s="191"/>
      <c r="R593" s="191"/>
      <c r="S593" s="191"/>
      <c r="T593" s="191"/>
      <c r="U593" s="439"/>
      <c r="V593" s="441"/>
      <c r="W593" s="178"/>
      <c r="X593" s="172"/>
      <c r="Y593" s="172"/>
      <c r="Z593" s="172"/>
      <c r="AA593" s="195"/>
      <c r="AB593" s="172"/>
    </row>
    <row r="594" spans="1:28" ht="12.75" customHeight="1" x14ac:dyDescent="0.3">
      <c r="A594" s="667"/>
      <c r="B594" s="668" t="s">
        <v>5245</v>
      </c>
      <c r="C594" s="160" t="s">
        <v>5246</v>
      </c>
      <c r="D594" s="160"/>
      <c r="E594" s="439"/>
      <c r="F594" s="161">
        <v>974.07655</v>
      </c>
      <c r="G594" s="161"/>
      <c r="H594" s="654"/>
      <c r="I594" s="654"/>
      <c r="J594" s="191"/>
      <c r="K594" s="191"/>
      <c r="L594" s="191"/>
      <c r="M594" s="191"/>
      <c r="N594" s="191"/>
      <c r="O594" s="191"/>
      <c r="P594" s="191"/>
      <c r="Q594" s="191"/>
      <c r="R594" s="191"/>
      <c r="S594" s="191"/>
      <c r="T594" s="191"/>
      <c r="U594" s="439"/>
      <c r="V594" s="441"/>
      <c r="W594" s="178"/>
      <c r="X594" s="172"/>
      <c r="Y594" s="172"/>
      <c r="Z594" s="172"/>
      <c r="AA594" s="195"/>
      <c r="AB594" s="172"/>
    </row>
    <row r="595" spans="1:28" ht="12.75" customHeight="1" x14ac:dyDescent="0.3">
      <c r="A595" s="667"/>
      <c r="B595" s="668" t="s">
        <v>5247</v>
      </c>
      <c r="C595" s="160" t="s">
        <v>5248</v>
      </c>
      <c r="D595" s="160"/>
      <c r="E595" s="439"/>
      <c r="F595" s="161">
        <v>1059.1095800000001</v>
      </c>
      <c r="G595" s="161"/>
      <c r="H595" s="654"/>
      <c r="I595" s="654"/>
      <c r="J595" s="191"/>
      <c r="K595" s="191"/>
      <c r="L595" s="191"/>
      <c r="M595" s="191"/>
      <c r="N595" s="191"/>
      <c r="O595" s="191"/>
      <c r="P595" s="191"/>
      <c r="Q595" s="191"/>
      <c r="R595" s="191"/>
      <c r="S595" s="191"/>
      <c r="T595" s="191"/>
      <c r="U595" s="439"/>
      <c r="V595" s="441"/>
      <c r="W595" s="178"/>
      <c r="X595" s="172"/>
      <c r="Y595" s="172"/>
      <c r="Z595" s="172"/>
      <c r="AA595" s="195"/>
      <c r="AB595" s="172"/>
    </row>
    <row r="596" spans="1:28" ht="12.75" customHeight="1" x14ac:dyDescent="0.3">
      <c r="A596" s="667"/>
      <c r="B596" s="668" t="s">
        <v>5249</v>
      </c>
      <c r="C596" s="160" t="s">
        <v>5250</v>
      </c>
      <c r="D596" s="160"/>
      <c r="E596" s="439">
        <v>5</v>
      </c>
      <c r="F596" s="161">
        <v>1215.2034799999999</v>
      </c>
      <c r="G596" s="161"/>
      <c r="H596" s="654"/>
      <c r="I596" s="654"/>
      <c r="J596" s="191"/>
      <c r="K596" s="191">
        <v>0.77032678684687095</v>
      </c>
      <c r="L596" s="191"/>
      <c r="M596" s="191"/>
      <c r="N596" s="191"/>
      <c r="O596" s="191"/>
      <c r="P596" s="191"/>
      <c r="Q596" s="191"/>
      <c r="R596" s="191"/>
      <c r="S596" s="191"/>
      <c r="T596" s="191"/>
      <c r="U596" s="439"/>
      <c r="V596" s="441"/>
      <c r="W596" s="178"/>
      <c r="X596" s="172"/>
      <c r="Y596" s="172"/>
      <c r="Z596" s="172"/>
      <c r="AA596" s="195"/>
      <c r="AB596" s="172"/>
    </row>
    <row r="597" spans="1:28" ht="12.75" customHeight="1" x14ac:dyDescent="0.3">
      <c r="A597" s="667"/>
      <c r="B597" s="668" t="s">
        <v>5251</v>
      </c>
      <c r="C597" s="160" t="s">
        <v>5252</v>
      </c>
      <c r="D597" s="160"/>
      <c r="E597" s="439"/>
      <c r="F597" s="161">
        <v>363.9524303</v>
      </c>
      <c r="G597" s="161">
        <v>-25.337</v>
      </c>
      <c r="H597" s="654">
        <v>588.70995540000001</v>
      </c>
      <c r="I597" s="654"/>
      <c r="J597" s="191"/>
      <c r="K597" s="191">
        <v>5349.2143378016099</v>
      </c>
      <c r="L597" s="191"/>
      <c r="M597" s="191"/>
      <c r="N597" s="191"/>
      <c r="O597" s="191"/>
      <c r="P597" s="191"/>
      <c r="Q597" s="191"/>
      <c r="R597" s="191"/>
      <c r="S597" s="191"/>
      <c r="T597" s="191"/>
      <c r="U597" s="439"/>
      <c r="V597" s="441"/>
      <c r="W597" s="178"/>
      <c r="X597" s="172"/>
      <c r="Y597" s="172"/>
      <c r="Z597" s="172"/>
      <c r="AA597" s="195"/>
      <c r="AB597" s="172"/>
    </row>
    <row r="598" spans="1:28" ht="12.75" customHeight="1" x14ac:dyDescent="0.3">
      <c r="A598" s="667"/>
      <c r="B598" s="668" t="s">
        <v>5253</v>
      </c>
      <c r="C598" s="160" t="s">
        <v>5254</v>
      </c>
      <c r="D598" s="160"/>
      <c r="E598" s="439"/>
      <c r="F598" s="161">
        <v>358.117905124</v>
      </c>
      <c r="G598" s="161"/>
      <c r="H598" s="654"/>
      <c r="I598" s="654"/>
      <c r="J598" s="191"/>
      <c r="K598" s="191">
        <v>31493.432688801</v>
      </c>
      <c r="L598" s="191"/>
      <c r="M598" s="191"/>
      <c r="N598" s="191"/>
      <c r="O598" s="191"/>
      <c r="P598" s="191"/>
      <c r="Q598" s="191"/>
      <c r="R598" s="191"/>
      <c r="S598" s="191"/>
      <c r="T598" s="191"/>
      <c r="U598" s="439"/>
      <c r="V598" s="441"/>
      <c r="W598" s="178"/>
      <c r="X598" s="172"/>
      <c r="Y598" s="172"/>
      <c r="Z598" s="172"/>
      <c r="AA598" s="195"/>
      <c r="AB598" s="172"/>
    </row>
    <row r="599" spans="1:28" ht="12.75" customHeight="1" x14ac:dyDescent="0.3">
      <c r="A599" s="667"/>
      <c r="B599" s="668" t="s">
        <v>5255</v>
      </c>
      <c r="C599" s="160" t="s">
        <v>5256</v>
      </c>
      <c r="D599" s="160"/>
      <c r="E599" s="439"/>
      <c r="F599" s="161">
        <v>346.04513410599998</v>
      </c>
      <c r="G599" s="161">
        <v>-3.3780000000000001</v>
      </c>
      <c r="H599" s="654">
        <v>21.622295282</v>
      </c>
      <c r="I599" s="654">
        <v>6.4883116599740802</v>
      </c>
      <c r="J599" s="191"/>
      <c r="K599" s="191">
        <v>528.81041493130601</v>
      </c>
      <c r="L599" s="191"/>
      <c r="M599" s="191"/>
      <c r="N599" s="191"/>
      <c r="O599" s="191"/>
      <c r="P599" s="191"/>
      <c r="Q599" s="191"/>
      <c r="R599" s="191"/>
      <c r="S599" s="191"/>
      <c r="T599" s="191"/>
      <c r="U599" s="439"/>
      <c r="V599" s="441"/>
      <c r="W599" s="178"/>
      <c r="X599" s="172"/>
      <c r="Y599" s="172"/>
      <c r="Z599" s="172"/>
      <c r="AA599" s="195"/>
      <c r="AB599" s="172"/>
    </row>
    <row r="600" spans="1:28" ht="12.75" customHeight="1" x14ac:dyDescent="0.3">
      <c r="A600" s="667"/>
      <c r="B600" s="668" t="s">
        <v>5257</v>
      </c>
      <c r="C600" s="160" t="s">
        <v>5258</v>
      </c>
      <c r="D600" s="160"/>
      <c r="E600" s="439"/>
      <c r="F600" s="161">
        <v>466.13789167700003</v>
      </c>
      <c r="G600" s="161"/>
      <c r="H600" s="654"/>
      <c r="I600" s="654"/>
      <c r="J600" s="191"/>
      <c r="K600" s="191">
        <v>34200306.643263303</v>
      </c>
      <c r="L600" s="191"/>
      <c r="M600" s="191"/>
      <c r="N600" s="191"/>
      <c r="O600" s="191"/>
      <c r="P600" s="191"/>
      <c r="Q600" s="191"/>
      <c r="R600" s="191"/>
      <c r="S600" s="191"/>
      <c r="T600" s="191"/>
      <c r="U600" s="439"/>
      <c r="V600" s="441"/>
      <c r="W600" s="178"/>
      <c r="X600" s="172"/>
      <c r="Y600" s="172"/>
      <c r="Z600" s="172"/>
      <c r="AA600" s="195"/>
      <c r="AB600" s="172"/>
    </row>
    <row r="601" spans="1:28" ht="12.75" customHeight="1" x14ac:dyDescent="0.3">
      <c r="A601" s="667"/>
      <c r="B601" s="668" t="s">
        <v>5259</v>
      </c>
      <c r="C601" s="160" t="s">
        <v>5260</v>
      </c>
      <c r="D601" s="160"/>
      <c r="E601" s="439">
        <v>2.17</v>
      </c>
      <c r="F601" s="161">
        <v>535.00762182799997</v>
      </c>
      <c r="G601" s="161"/>
      <c r="H601" s="654"/>
      <c r="I601" s="654"/>
      <c r="J601" s="191"/>
      <c r="K601" s="191">
        <v>65215.375616754303</v>
      </c>
      <c r="L601" s="191"/>
      <c r="M601" s="191"/>
      <c r="N601" s="191"/>
      <c r="O601" s="191"/>
      <c r="P601" s="191"/>
      <c r="Q601" s="191"/>
      <c r="R601" s="191"/>
      <c r="S601" s="191"/>
      <c r="T601" s="191"/>
      <c r="U601" s="439"/>
      <c r="V601" s="441"/>
      <c r="W601" s="178"/>
      <c r="X601" s="172"/>
      <c r="Y601" s="172"/>
      <c r="Z601" s="172"/>
      <c r="AA601" s="195"/>
      <c r="AB601" s="172"/>
    </row>
    <row r="602" spans="1:28" ht="12.75" customHeight="1" x14ac:dyDescent="0.3">
      <c r="A602" s="667"/>
      <c r="B602" s="668" t="s">
        <v>5261</v>
      </c>
      <c r="C602" s="160" t="s">
        <v>5262</v>
      </c>
      <c r="D602" s="160"/>
      <c r="E602" s="439"/>
      <c r="F602" s="161">
        <v>487.06285107500003</v>
      </c>
      <c r="G602" s="161"/>
      <c r="H602" s="654"/>
      <c r="I602" s="654"/>
      <c r="J602" s="191"/>
      <c r="K602" s="191"/>
      <c r="L602" s="191"/>
      <c r="M602" s="191"/>
      <c r="N602" s="191"/>
      <c r="O602" s="191"/>
      <c r="P602" s="191"/>
      <c r="Q602" s="191"/>
      <c r="R602" s="191"/>
      <c r="S602" s="191"/>
      <c r="T602" s="191"/>
      <c r="U602" s="439"/>
      <c r="V602" s="441"/>
      <c r="W602" s="178"/>
      <c r="X602" s="172"/>
      <c r="Y602" s="172"/>
      <c r="Z602" s="172"/>
      <c r="AA602" s="195"/>
      <c r="AB602" s="172"/>
    </row>
    <row r="603" spans="1:28" ht="12.75" customHeight="1" x14ac:dyDescent="0.3">
      <c r="A603" s="667"/>
      <c r="B603" s="668" t="s">
        <v>5263</v>
      </c>
      <c r="C603" s="160" t="s">
        <v>5264</v>
      </c>
      <c r="D603" s="160"/>
      <c r="E603" s="439"/>
      <c r="F603" s="161">
        <v>620.09677118599996</v>
      </c>
      <c r="G603" s="161"/>
      <c r="H603" s="654"/>
      <c r="I603" s="654"/>
      <c r="J603" s="191"/>
      <c r="K603" s="191"/>
      <c r="L603" s="191"/>
      <c r="M603" s="191"/>
      <c r="N603" s="191"/>
      <c r="O603" s="191"/>
      <c r="P603" s="191"/>
      <c r="Q603" s="191"/>
      <c r="R603" s="191"/>
      <c r="S603" s="191"/>
      <c r="T603" s="191"/>
      <c r="U603" s="439"/>
      <c r="V603" s="441"/>
      <c r="W603" s="178"/>
      <c r="X603" s="172"/>
      <c r="Y603" s="172"/>
      <c r="Z603" s="172"/>
      <c r="AA603" s="195"/>
      <c r="AB603" s="172"/>
    </row>
    <row r="604" spans="1:28" ht="12.75" customHeight="1" x14ac:dyDescent="0.3">
      <c r="A604" s="667"/>
      <c r="B604" s="668" t="s">
        <v>5265</v>
      </c>
      <c r="C604" s="160" t="s">
        <v>5266</v>
      </c>
      <c r="D604" s="160"/>
      <c r="E604" s="439">
        <v>6.85</v>
      </c>
      <c r="F604" s="161">
        <v>670.09357751200002</v>
      </c>
      <c r="G604" s="161"/>
      <c r="H604" s="654"/>
      <c r="I604" s="654"/>
      <c r="J604" s="191"/>
      <c r="K604" s="191">
        <v>44680.703244175304</v>
      </c>
      <c r="L604" s="191"/>
      <c r="M604" s="191"/>
      <c r="N604" s="191"/>
      <c r="O604" s="191"/>
      <c r="P604" s="191"/>
      <c r="Q604" s="191"/>
      <c r="R604" s="191"/>
      <c r="S604" s="191"/>
      <c r="T604" s="191"/>
      <c r="U604" s="439"/>
      <c r="V604" s="441"/>
      <c r="W604" s="178"/>
      <c r="X604" s="172"/>
      <c r="Y604" s="172"/>
      <c r="Z604" s="172"/>
      <c r="AA604" s="195"/>
      <c r="AB604" s="172"/>
    </row>
    <row r="605" spans="1:28" ht="12.75" customHeight="1" x14ac:dyDescent="0.3">
      <c r="A605" s="667"/>
      <c r="B605" s="668" t="s">
        <v>5267</v>
      </c>
      <c r="C605" s="160" t="s">
        <v>5268</v>
      </c>
      <c r="D605" s="160"/>
      <c r="E605" s="439">
        <v>6.31</v>
      </c>
      <c r="F605" s="161">
        <v>556.08431479599994</v>
      </c>
      <c r="G605" s="161"/>
      <c r="H605" s="654"/>
      <c r="I605" s="654"/>
      <c r="J605" s="191"/>
      <c r="K605" s="191">
        <v>11399.872655699701</v>
      </c>
      <c r="L605" s="191"/>
      <c r="M605" s="191"/>
      <c r="N605" s="191"/>
      <c r="O605" s="191"/>
      <c r="P605" s="191"/>
      <c r="Q605" s="191"/>
      <c r="R605" s="191"/>
      <c r="S605" s="191"/>
      <c r="T605" s="191"/>
      <c r="U605" s="439"/>
      <c r="V605" s="441"/>
      <c r="W605" s="178"/>
      <c r="X605" s="172"/>
      <c r="Y605" s="172"/>
      <c r="Z605" s="172"/>
      <c r="AA605" s="195"/>
      <c r="AB605" s="172"/>
    </row>
    <row r="606" spans="1:28" ht="12.75" customHeight="1" x14ac:dyDescent="0.3">
      <c r="A606" s="667"/>
      <c r="B606" s="668" t="s">
        <v>5269</v>
      </c>
      <c r="C606" s="160" t="s">
        <v>5270</v>
      </c>
      <c r="D606" s="160"/>
      <c r="E606" s="439">
        <v>6.98</v>
      </c>
      <c r="F606" s="161">
        <v>570.09996486</v>
      </c>
      <c r="G606" s="161"/>
      <c r="H606" s="654"/>
      <c r="I606" s="654"/>
      <c r="J606" s="191"/>
      <c r="K606" s="191">
        <v>74078.128183699402</v>
      </c>
      <c r="L606" s="191"/>
      <c r="M606" s="191"/>
      <c r="N606" s="191"/>
      <c r="O606" s="191"/>
      <c r="P606" s="191"/>
      <c r="Q606" s="191"/>
      <c r="R606" s="191"/>
      <c r="S606" s="191"/>
      <c r="T606" s="191"/>
      <c r="U606" s="439"/>
      <c r="V606" s="441"/>
      <c r="W606" s="178"/>
      <c r="X606" s="172"/>
      <c r="Y606" s="172"/>
      <c r="Z606" s="172"/>
      <c r="AA606" s="195"/>
      <c r="AB606" s="172"/>
    </row>
    <row r="607" spans="1:28" ht="12.75" customHeight="1" x14ac:dyDescent="0.3">
      <c r="A607" s="667"/>
      <c r="B607" s="668" t="s">
        <v>5271</v>
      </c>
      <c r="C607" s="160" t="s">
        <v>5272</v>
      </c>
      <c r="D607" s="160"/>
      <c r="E607" s="439">
        <v>0.23</v>
      </c>
      <c r="F607" s="161">
        <v>495.01270720799999</v>
      </c>
      <c r="G607" s="161"/>
      <c r="H607" s="654"/>
      <c r="I607" s="654"/>
      <c r="J607" s="191"/>
      <c r="K607" s="191">
        <v>21.0959943271118</v>
      </c>
      <c r="L607" s="191"/>
      <c r="M607" s="191"/>
      <c r="N607" s="191"/>
      <c r="O607" s="191"/>
      <c r="P607" s="191"/>
      <c r="Q607" s="191"/>
      <c r="R607" s="191"/>
      <c r="S607" s="191"/>
      <c r="T607" s="191"/>
      <c r="U607" s="439"/>
      <c r="V607" s="441"/>
      <c r="W607" s="178"/>
      <c r="X607" s="172"/>
      <c r="Y607" s="172"/>
      <c r="Z607" s="172"/>
      <c r="AA607" s="195"/>
      <c r="AB607" s="172"/>
    </row>
    <row r="608" spans="1:28" ht="12.75" customHeight="1" x14ac:dyDescent="0.3">
      <c r="A608" s="667"/>
      <c r="B608" s="668" t="s">
        <v>5273</v>
      </c>
      <c r="C608" s="160" t="s">
        <v>5274</v>
      </c>
      <c r="D608" s="160"/>
      <c r="E608" s="439"/>
      <c r="F608" s="161">
        <v>286.02600320599998</v>
      </c>
      <c r="G608" s="161"/>
      <c r="H608" s="654"/>
      <c r="I608" s="654"/>
      <c r="J608" s="191"/>
      <c r="K608" s="191">
        <v>83404.599256886606</v>
      </c>
      <c r="L608" s="191"/>
      <c r="M608" s="191"/>
      <c r="N608" s="191"/>
      <c r="O608" s="191"/>
      <c r="P608" s="191"/>
      <c r="Q608" s="191"/>
      <c r="R608" s="191"/>
      <c r="S608" s="191"/>
      <c r="T608" s="191"/>
      <c r="U608" s="439"/>
      <c r="V608" s="441"/>
      <c r="W608" s="178"/>
      <c r="X608" s="172"/>
      <c r="Y608" s="172"/>
      <c r="Z608" s="172"/>
      <c r="AA608" s="195"/>
      <c r="AB608" s="172"/>
    </row>
    <row r="609" spans="1:28" ht="12.75" customHeight="1" x14ac:dyDescent="0.3">
      <c r="A609" s="667"/>
      <c r="B609" s="668" t="s">
        <v>5275</v>
      </c>
      <c r="C609" s="160" t="s">
        <v>5276</v>
      </c>
      <c r="D609" s="160"/>
      <c r="E609" s="439"/>
      <c r="F609" s="161">
        <v>684.072842068</v>
      </c>
      <c r="G609" s="161"/>
      <c r="H609" s="654"/>
      <c r="I609" s="654"/>
      <c r="J609" s="191"/>
      <c r="K609" s="191">
        <v>172898.01210438</v>
      </c>
      <c r="L609" s="191"/>
      <c r="M609" s="191"/>
      <c r="N609" s="191"/>
      <c r="O609" s="191"/>
      <c r="P609" s="191"/>
      <c r="Q609" s="191"/>
      <c r="R609" s="191"/>
      <c r="S609" s="191"/>
      <c r="T609" s="191"/>
      <c r="U609" s="439"/>
      <c r="V609" s="441"/>
      <c r="W609" s="178"/>
      <c r="X609" s="172"/>
      <c r="Y609" s="172"/>
      <c r="Z609" s="172"/>
      <c r="AA609" s="195"/>
      <c r="AB609" s="172"/>
    </row>
    <row r="610" spans="1:28" ht="12.75" customHeight="1" x14ac:dyDescent="0.3">
      <c r="A610" s="667"/>
      <c r="B610" s="668" t="s">
        <v>5277</v>
      </c>
      <c r="C610" s="160" t="s">
        <v>5278</v>
      </c>
      <c r="D610" s="160"/>
      <c r="E610" s="439">
        <v>28</v>
      </c>
      <c r="F610" s="161">
        <v>549.05965740099998</v>
      </c>
      <c r="G610" s="161"/>
      <c r="H610" s="654"/>
      <c r="I610" s="654"/>
      <c r="J610" s="191"/>
      <c r="K610" s="191"/>
      <c r="L610" s="191"/>
      <c r="M610" s="191"/>
      <c r="N610" s="191"/>
      <c r="O610" s="191"/>
      <c r="P610" s="191"/>
      <c r="Q610" s="191"/>
      <c r="R610" s="191"/>
      <c r="S610" s="191"/>
      <c r="T610" s="191"/>
      <c r="U610" s="439"/>
      <c r="V610" s="441"/>
      <c r="W610" s="178"/>
      <c r="X610" s="172"/>
      <c r="Y610" s="172"/>
      <c r="Z610" s="172"/>
      <c r="AA610" s="195"/>
      <c r="AB610" s="172"/>
    </row>
    <row r="611" spans="1:28" ht="12.75" customHeight="1" x14ac:dyDescent="0.3">
      <c r="A611" s="667"/>
      <c r="B611" s="668" t="s">
        <v>5279</v>
      </c>
      <c r="C611" s="160" t="s">
        <v>5280</v>
      </c>
      <c r="D611" s="160"/>
      <c r="E611" s="439">
        <v>0.2</v>
      </c>
      <c r="F611" s="161">
        <v>400.06448739500001</v>
      </c>
      <c r="G611" s="161">
        <v>11.557</v>
      </c>
      <c r="H611" s="654">
        <v>121.311420986</v>
      </c>
      <c r="I611" s="654">
        <v>40.191278532676399</v>
      </c>
      <c r="J611" s="191"/>
      <c r="K611" s="191">
        <v>3.0692834668477902</v>
      </c>
      <c r="L611" s="191"/>
      <c r="M611" s="191"/>
      <c r="N611" s="191"/>
      <c r="O611" s="191"/>
      <c r="P611" s="191"/>
      <c r="Q611" s="191"/>
      <c r="R611" s="191"/>
      <c r="S611" s="191"/>
      <c r="T611" s="191"/>
      <c r="U611" s="439"/>
      <c r="V611" s="441"/>
      <c r="W611" s="178"/>
      <c r="X611" s="172"/>
      <c r="Y611" s="172"/>
      <c r="Z611" s="172"/>
      <c r="AA611" s="195"/>
      <c r="AB611" s="172"/>
    </row>
    <row r="612" spans="1:28" ht="12.75" customHeight="1" x14ac:dyDescent="0.3">
      <c r="A612" s="667"/>
      <c r="B612" s="668" t="s">
        <v>5281</v>
      </c>
      <c r="C612" s="160" t="s">
        <v>5282</v>
      </c>
      <c r="D612" s="160"/>
      <c r="E612" s="439">
        <v>-0.21</v>
      </c>
      <c r="F612" s="161">
        <v>300.07087474299999</v>
      </c>
      <c r="G612" s="161">
        <v>21.152000000000001</v>
      </c>
      <c r="H612" s="654">
        <v>522.27826923999999</v>
      </c>
      <c r="I612" s="654">
        <v>459.43551561025902</v>
      </c>
      <c r="J612" s="191"/>
      <c r="K612" s="191">
        <v>3.1761207126324802</v>
      </c>
      <c r="L612" s="191"/>
      <c r="M612" s="191"/>
      <c r="N612" s="191"/>
      <c r="O612" s="191"/>
      <c r="P612" s="191"/>
      <c r="Q612" s="191"/>
      <c r="R612" s="191"/>
      <c r="S612" s="191"/>
      <c r="T612" s="191"/>
      <c r="U612" s="439"/>
      <c r="V612" s="441"/>
      <c r="W612" s="178"/>
      <c r="X612" s="172"/>
      <c r="Y612" s="172"/>
      <c r="Z612" s="172"/>
      <c r="AA612" s="195"/>
      <c r="AB612" s="172"/>
    </row>
    <row r="613" spans="1:28" ht="12.75" customHeight="1" x14ac:dyDescent="0.3">
      <c r="A613" s="667"/>
      <c r="B613" s="668" t="s">
        <v>5283</v>
      </c>
      <c r="C613" s="160" t="s">
        <v>5284</v>
      </c>
      <c r="D613" s="160"/>
      <c r="E613" s="439"/>
      <c r="F613" s="161">
        <v>326.03890591099997</v>
      </c>
      <c r="G613" s="161"/>
      <c r="H613" s="654"/>
      <c r="I613" s="654"/>
      <c r="J613" s="191"/>
      <c r="K613" s="191">
        <v>939.78822659332502</v>
      </c>
      <c r="L613" s="191"/>
      <c r="M613" s="191"/>
      <c r="N613" s="191"/>
      <c r="O613" s="191"/>
      <c r="P613" s="191"/>
      <c r="Q613" s="191"/>
      <c r="R613" s="191"/>
      <c r="S613" s="191"/>
      <c r="T613" s="191"/>
      <c r="U613" s="439"/>
      <c r="V613" s="441"/>
      <c r="W613" s="178"/>
      <c r="X613" s="172"/>
      <c r="Y613" s="172"/>
      <c r="Z613" s="172"/>
      <c r="AA613" s="195"/>
      <c r="AB613" s="172"/>
    </row>
    <row r="614" spans="1:28" ht="12.75" customHeight="1" x14ac:dyDescent="0.3">
      <c r="A614" s="667"/>
      <c r="B614" s="668" t="s">
        <v>5285</v>
      </c>
      <c r="C614" s="160" t="s">
        <v>5286</v>
      </c>
      <c r="D614" s="160"/>
      <c r="E614" s="439"/>
      <c r="F614" s="161">
        <v>712.20736423999995</v>
      </c>
      <c r="G614" s="161"/>
      <c r="H614" s="654"/>
      <c r="I614" s="654"/>
      <c r="J614" s="191"/>
      <c r="K614" s="191">
        <v>598590748.04282904</v>
      </c>
      <c r="L614" s="191"/>
      <c r="M614" s="191"/>
      <c r="N614" s="191"/>
      <c r="O614" s="191"/>
      <c r="P614" s="191"/>
      <c r="Q614" s="191"/>
      <c r="R614" s="191"/>
      <c r="S614" s="191"/>
      <c r="T614" s="191"/>
      <c r="U614" s="439"/>
      <c r="V614" s="441"/>
      <c r="W614" s="178"/>
      <c r="X614" s="172"/>
      <c r="Y614" s="172"/>
      <c r="Z614" s="172"/>
      <c r="AA614" s="195"/>
      <c r="AB614" s="172"/>
    </row>
    <row r="615" spans="1:28" ht="12.75" customHeight="1" x14ac:dyDescent="0.3">
      <c r="A615" s="667"/>
      <c r="B615" s="668" t="s">
        <v>5287</v>
      </c>
      <c r="C615" s="160" t="s">
        <v>5288</v>
      </c>
      <c r="D615" s="160"/>
      <c r="E615" s="439">
        <v>8.73</v>
      </c>
      <c r="F615" s="161">
        <v>269.065061087</v>
      </c>
      <c r="G615" s="161"/>
      <c r="H615" s="654"/>
      <c r="I615" s="654"/>
      <c r="J615" s="191"/>
      <c r="K615" s="191">
        <v>624.75537326002802</v>
      </c>
      <c r="L615" s="191"/>
      <c r="M615" s="191"/>
      <c r="N615" s="191"/>
      <c r="O615" s="191"/>
      <c r="P615" s="191"/>
      <c r="Q615" s="191"/>
      <c r="R615" s="191"/>
      <c r="S615" s="191"/>
      <c r="T615" s="191"/>
      <c r="U615" s="439"/>
      <c r="V615" s="441"/>
      <c r="W615" s="178"/>
      <c r="X615" s="172"/>
      <c r="Y615" s="172"/>
      <c r="Z615" s="172"/>
      <c r="AA615" s="195"/>
      <c r="AB615" s="172"/>
    </row>
    <row r="616" spans="1:28" ht="12.75" customHeight="1" x14ac:dyDescent="0.3">
      <c r="A616" s="667"/>
      <c r="B616" s="668" t="s">
        <v>5289</v>
      </c>
      <c r="C616" s="160" t="s">
        <v>5290</v>
      </c>
      <c r="D616" s="160"/>
      <c r="E616" s="439"/>
      <c r="F616" s="161">
        <v>270.04907667100002</v>
      </c>
      <c r="G616" s="161"/>
      <c r="H616" s="654"/>
      <c r="I616" s="654"/>
      <c r="J616" s="191"/>
      <c r="K616" s="191">
        <v>1361.2566049243301</v>
      </c>
      <c r="L616" s="191"/>
      <c r="M616" s="191"/>
      <c r="N616" s="191"/>
      <c r="O616" s="191"/>
      <c r="P616" s="191"/>
      <c r="Q616" s="191"/>
      <c r="R616" s="191"/>
      <c r="S616" s="191"/>
      <c r="T616" s="191"/>
      <c r="U616" s="439"/>
      <c r="V616" s="441"/>
      <c r="W616" s="178"/>
      <c r="X616" s="172"/>
      <c r="Y616" s="172"/>
      <c r="Z616" s="172"/>
      <c r="AA616" s="195"/>
      <c r="AB616" s="172"/>
    </row>
    <row r="617" spans="1:28" ht="12.75" customHeight="1" x14ac:dyDescent="0.3">
      <c r="A617" s="667"/>
      <c r="B617" s="668" t="s">
        <v>5291</v>
      </c>
      <c r="C617" s="160" t="s">
        <v>5292</v>
      </c>
      <c r="D617" s="160"/>
      <c r="E617" s="439"/>
      <c r="F617" s="161">
        <v>286.043991291</v>
      </c>
      <c r="G617" s="161">
        <v>-66.757000000000005</v>
      </c>
      <c r="H617" s="654"/>
      <c r="I617" s="654">
        <v>5.7204793642321903</v>
      </c>
      <c r="J617" s="191"/>
      <c r="K617" s="191">
        <v>1324.5855103910701</v>
      </c>
      <c r="L617" s="191"/>
      <c r="M617" s="191"/>
      <c r="N617" s="191"/>
      <c r="O617" s="191"/>
      <c r="P617" s="191"/>
      <c r="Q617" s="191"/>
      <c r="R617" s="191"/>
      <c r="S617" s="191"/>
      <c r="T617" s="191"/>
      <c r="U617" s="439"/>
      <c r="V617" s="441"/>
      <c r="W617" s="178"/>
      <c r="X617" s="172"/>
      <c r="Y617" s="172"/>
      <c r="Z617" s="172"/>
      <c r="AA617" s="195"/>
      <c r="AB617" s="172"/>
    </row>
    <row r="618" spans="1:28" ht="12.75" customHeight="1" x14ac:dyDescent="0.3">
      <c r="A618" s="667"/>
      <c r="B618" s="668" t="s">
        <v>5293</v>
      </c>
      <c r="C618" s="160" t="s">
        <v>5294</v>
      </c>
      <c r="D618" s="160"/>
      <c r="E618" s="439">
        <v>1.01</v>
      </c>
      <c r="F618" s="161">
        <v>299.03924026300001</v>
      </c>
      <c r="G618" s="161">
        <v>68.784999999999997</v>
      </c>
      <c r="H618" s="654">
        <v>0.45909430699999998</v>
      </c>
      <c r="I618" s="654">
        <v>159.12117205786399</v>
      </c>
      <c r="J618" s="191"/>
      <c r="K618" s="191">
        <v>444.34469548698797</v>
      </c>
      <c r="L618" s="191"/>
      <c r="M618" s="191"/>
      <c r="N618" s="191"/>
      <c r="O618" s="191"/>
      <c r="P618" s="191"/>
      <c r="Q618" s="191"/>
      <c r="R618" s="191"/>
      <c r="S618" s="191"/>
      <c r="T618" s="191"/>
      <c r="U618" s="439"/>
      <c r="V618" s="441"/>
      <c r="W618" s="178"/>
      <c r="X618" s="172"/>
      <c r="Y618" s="172"/>
      <c r="Z618" s="172"/>
      <c r="AA618" s="195"/>
      <c r="AB618" s="172"/>
    </row>
    <row r="619" spans="1:28" ht="12.75" customHeight="1" x14ac:dyDescent="0.3">
      <c r="A619" s="667"/>
      <c r="B619" s="668" t="s">
        <v>5295</v>
      </c>
      <c r="C619" s="160" t="s">
        <v>5296</v>
      </c>
      <c r="D619" s="160"/>
      <c r="E619" s="439"/>
      <c r="F619" s="161">
        <v>694.11064657600002</v>
      </c>
      <c r="G619" s="161"/>
      <c r="H619" s="654"/>
      <c r="I619" s="654"/>
      <c r="J619" s="191"/>
      <c r="K619" s="191">
        <v>5949082614.7142096</v>
      </c>
      <c r="L619" s="191"/>
      <c r="M619" s="191"/>
      <c r="N619" s="191"/>
      <c r="O619" s="191"/>
      <c r="P619" s="191"/>
      <c r="Q619" s="191"/>
      <c r="R619" s="191"/>
      <c r="S619" s="191"/>
      <c r="T619" s="191"/>
      <c r="U619" s="439"/>
      <c r="V619" s="441"/>
      <c r="W619" s="178"/>
      <c r="X619" s="172"/>
      <c r="Y619" s="172"/>
      <c r="Z619" s="172"/>
      <c r="AA619" s="195"/>
      <c r="AB619" s="172"/>
    </row>
    <row r="620" spans="1:28" ht="12.75" customHeight="1" x14ac:dyDescent="0.3">
      <c r="A620" s="667"/>
      <c r="B620" s="668" t="s">
        <v>5297</v>
      </c>
      <c r="C620" s="160" t="s">
        <v>5298</v>
      </c>
      <c r="D620" s="160"/>
      <c r="E620" s="439"/>
      <c r="F620" s="161">
        <v>534.04875836500003</v>
      </c>
      <c r="G620" s="161"/>
      <c r="H620" s="654"/>
      <c r="I620" s="654"/>
      <c r="J620" s="191"/>
      <c r="K620" s="191">
        <v>171937.25939793201</v>
      </c>
      <c r="L620" s="191"/>
      <c r="M620" s="191"/>
      <c r="N620" s="191"/>
      <c r="O620" s="191"/>
      <c r="P620" s="191"/>
      <c r="Q620" s="191"/>
      <c r="R620" s="191"/>
      <c r="S620" s="191"/>
      <c r="T620" s="191"/>
      <c r="U620" s="439"/>
      <c r="V620" s="441"/>
      <c r="W620" s="178"/>
      <c r="X620" s="172"/>
      <c r="Y620" s="172"/>
      <c r="Z620" s="172"/>
      <c r="AA620" s="195"/>
      <c r="AB620" s="172"/>
    </row>
    <row r="621" spans="1:28" ht="12.75" customHeight="1" x14ac:dyDescent="0.3">
      <c r="A621" s="667"/>
      <c r="B621" s="668" t="s">
        <v>5299</v>
      </c>
      <c r="C621" s="160" t="s">
        <v>5300</v>
      </c>
      <c r="D621" s="160"/>
      <c r="E621" s="439"/>
      <c r="F621" s="161">
        <v>469.16992008199998</v>
      </c>
      <c r="G621" s="161"/>
      <c r="H621" s="654"/>
      <c r="I621" s="654"/>
      <c r="J621" s="191"/>
      <c r="K621" s="191"/>
      <c r="L621" s="191"/>
      <c r="M621" s="191"/>
      <c r="N621" s="191"/>
      <c r="O621" s="191"/>
      <c r="P621" s="191"/>
      <c r="Q621" s="191"/>
      <c r="R621" s="191"/>
      <c r="S621" s="191"/>
      <c r="T621" s="191"/>
      <c r="U621" s="439"/>
      <c r="V621" s="441"/>
      <c r="W621" s="178"/>
      <c r="X621" s="172"/>
      <c r="Y621" s="172"/>
      <c r="Z621" s="172"/>
      <c r="AA621" s="195"/>
      <c r="AB621" s="172"/>
    </row>
    <row r="622" spans="1:28" ht="12.75" customHeight="1" x14ac:dyDescent="0.3">
      <c r="A622" s="667"/>
      <c r="B622" s="668" t="s">
        <v>5301</v>
      </c>
      <c r="C622" s="160" t="s">
        <v>5302</v>
      </c>
      <c r="D622" s="160"/>
      <c r="E622" s="439">
        <v>6</v>
      </c>
      <c r="F622" s="161">
        <v>325.12766134499998</v>
      </c>
      <c r="G622" s="161"/>
      <c r="H622" s="654"/>
      <c r="I622" s="654"/>
      <c r="J622" s="191"/>
      <c r="K622" s="191">
        <v>5984.3915356723701</v>
      </c>
      <c r="L622" s="191"/>
      <c r="M622" s="191"/>
      <c r="N622" s="191"/>
      <c r="O622" s="191"/>
      <c r="P622" s="191"/>
      <c r="Q622" s="191"/>
      <c r="R622" s="191"/>
      <c r="S622" s="191"/>
      <c r="T622" s="191"/>
      <c r="U622" s="439"/>
      <c r="V622" s="441"/>
      <c r="W622" s="178"/>
      <c r="X622" s="172"/>
      <c r="Y622" s="172"/>
      <c r="Z622" s="172"/>
      <c r="AA622" s="195"/>
      <c r="AB622" s="172"/>
    </row>
    <row r="623" spans="1:28" ht="12.75" customHeight="1" x14ac:dyDescent="0.3">
      <c r="A623" s="667"/>
      <c r="B623" s="668" t="s">
        <v>5303</v>
      </c>
      <c r="C623" s="160" t="s">
        <v>5304</v>
      </c>
      <c r="D623" s="160"/>
      <c r="E623" s="439">
        <v>8.5299999999999994</v>
      </c>
      <c r="F623" s="161">
        <v>269.065061087</v>
      </c>
      <c r="G623" s="161"/>
      <c r="H623" s="654"/>
      <c r="I623" s="654"/>
      <c r="J623" s="191"/>
      <c r="K623" s="191">
        <v>820.16267315155096</v>
      </c>
      <c r="L623" s="191"/>
      <c r="M623" s="191"/>
      <c r="N623" s="191"/>
      <c r="O623" s="191"/>
      <c r="P623" s="191"/>
      <c r="Q623" s="191"/>
      <c r="R623" s="191"/>
      <c r="S623" s="191"/>
      <c r="T623" s="191"/>
      <c r="U623" s="439"/>
      <c r="V623" s="441"/>
      <c r="W623" s="178"/>
      <c r="X623" s="172"/>
      <c r="Y623" s="172"/>
      <c r="Z623" s="172"/>
      <c r="AA623" s="195"/>
      <c r="AB623" s="172"/>
    </row>
    <row r="624" spans="1:28" ht="12.75" customHeight="1" x14ac:dyDescent="0.3">
      <c r="A624" s="667"/>
      <c r="B624" s="668" t="s">
        <v>5305</v>
      </c>
      <c r="C624" s="160" t="s">
        <v>5306</v>
      </c>
      <c r="D624" s="160"/>
      <c r="E624" s="439">
        <v>9</v>
      </c>
      <c r="F624" s="161">
        <v>555.20669951499997</v>
      </c>
      <c r="G624" s="161"/>
      <c r="H624" s="654"/>
      <c r="I624" s="654"/>
      <c r="J624" s="191"/>
      <c r="K624" s="191">
        <v>31446.332344058901</v>
      </c>
      <c r="L624" s="191"/>
      <c r="M624" s="191"/>
      <c r="N624" s="191"/>
      <c r="O624" s="191"/>
      <c r="P624" s="191"/>
      <c r="Q624" s="191"/>
      <c r="R624" s="191"/>
      <c r="S624" s="191"/>
      <c r="T624" s="191"/>
      <c r="U624" s="439"/>
      <c r="V624" s="441"/>
      <c r="W624" s="178"/>
      <c r="X624" s="172"/>
      <c r="Y624" s="172"/>
      <c r="Z624" s="172"/>
      <c r="AA624" s="195"/>
      <c r="AB624" s="172"/>
    </row>
    <row r="625" spans="1:28" ht="12.75" customHeight="1" x14ac:dyDescent="0.3">
      <c r="A625" s="667"/>
      <c r="B625" s="668" t="s">
        <v>5307</v>
      </c>
      <c r="C625" s="160" t="s">
        <v>5308</v>
      </c>
      <c r="D625" s="160"/>
      <c r="E625" s="439">
        <v>8.56</v>
      </c>
      <c r="F625" s="161">
        <v>505.03344265300001</v>
      </c>
      <c r="G625" s="161"/>
      <c r="H625" s="654"/>
      <c r="I625" s="654"/>
      <c r="J625" s="191"/>
      <c r="K625" s="191">
        <v>165295.10778053201</v>
      </c>
      <c r="L625" s="191"/>
      <c r="M625" s="191"/>
      <c r="N625" s="191"/>
      <c r="O625" s="191"/>
      <c r="P625" s="191"/>
      <c r="Q625" s="191"/>
      <c r="R625" s="191"/>
      <c r="S625" s="191"/>
      <c r="T625" s="191"/>
      <c r="U625" s="439"/>
      <c r="V625" s="441"/>
      <c r="W625" s="178"/>
      <c r="X625" s="172"/>
      <c r="Y625" s="172"/>
      <c r="Z625" s="172"/>
      <c r="AA625" s="195"/>
      <c r="AB625" s="172"/>
    </row>
    <row r="626" spans="1:28" ht="12.75" customHeight="1" x14ac:dyDescent="0.3">
      <c r="A626" s="667"/>
      <c r="B626" s="668" t="s">
        <v>5309</v>
      </c>
      <c r="C626" s="160" t="s">
        <v>5310</v>
      </c>
      <c r="D626" s="160"/>
      <c r="E626" s="439"/>
      <c r="F626" s="161">
        <v>506.01745823599998</v>
      </c>
      <c r="G626" s="161">
        <v>-54.012</v>
      </c>
      <c r="H626" s="654">
        <v>34.665853151999997</v>
      </c>
      <c r="I626" s="654">
        <v>0.105478833151835</v>
      </c>
      <c r="J626" s="191"/>
      <c r="K626" s="191">
        <v>72823.240444327297</v>
      </c>
      <c r="L626" s="191"/>
      <c r="M626" s="191"/>
      <c r="N626" s="191"/>
      <c r="O626" s="191"/>
      <c r="P626" s="191"/>
      <c r="Q626" s="191"/>
      <c r="R626" s="191"/>
      <c r="S626" s="191"/>
      <c r="T626" s="191"/>
      <c r="U626" s="439"/>
      <c r="V626" s="441"/>
      <c r="W626" s="178"/>
      <c r="X626" s="172"/>
      <c r="Y626" s="172"/>
      <c r="Z626" s="172"/>
      <c r="AA626" s="195"/>
      <c r="AB626" s="172"/>
    </row>
    <row r="627" spans="1:28" ht="12.75" customHeight="1" x14ac:dyDescent="0.3">
      <c r="A627" s="667"/>
      <c r="B627" s="668" t="s">
        <v>5311</v>
      </c>
      <c r="C627" s="160" t="s">
        <v>5312</v>
      </c>
      <c r="D627" s="160"/>
      <c r="E627" s="439">
        <v>8.4700000000000006</v>
      </c>
      <c r="F627" s="161">
        <v>331.080711151</v>
      </c>
      <c r="G627" s="161"/>
      <c r="H627" s="654"/>
      <c r="I627" s="654"/>
      <c r="J627" s="191"/>
      <c r="K627" s="191">
        <v>2452.4490860720198</v>
      </c>
      <c r="L627" s="191"/>
      <c r="M627" s="191"/>
      <c r="N627" s="191"/>
      <c r="O627" s="191"/>
      <c r="P627" s="191"/>
      <c r="Q627" s="191"/>
      <c r="R627" s="191"/>
      <c r="S627" s="191"/>
      <c r="T627" s="191"/>
      <c r="U627" s="439"/>
      <c r="V627" s="441"/>
      <c r="W627" s="178"/>
      <c r="X627" s="172"/>
      <c r="Y627" s="172"/>
      <c r="Z627" s="172"/>
      <c r="AA627" s="195"/>
      <c r="AB627" s="172"/>
    </row>
    <row r="628" spans="1:28" ht="12.75" customHeight="1" x14ac:dyDescent="0.3">
      <c r="A628" s="667"/>
      <c r="B628" s="668" t="s">
        <v>5313</v>
      </c>
      <c r="C628" s="160" t="s">
        <v>5314</v>
      </c>
      <c r="D628" s="160"/>
      <c r="E628" s="439">
        <v>8.66</v>
      </c>
      <c r="F628" s="161">
        <v>331.080711151</v>
      </c>
      <c r="G628" s="161"/>
      <c r="H628" s="654"/>
      <c r="I628" s="654"/>
      <c r="J628" s="191"/>
      <c r="K628" s="191">
        <v>5814.0665692590101</v>
      </c>
      <c r="L628" s="191"/>
      <c r="M628" s="191"/>
      <c r="N628" s="191"/>
      <c r="O628" s="191"/>
      <c r="P628" s="191"/>
      <c r="Q628" s="191"/>
      <c r="R628" s="191"/>
      <c r="S628" s="191"/>
      <c r="T628" s="191"/>
      <c r="U628" s="439"/>
      <c r="V628" s="441"/>
      <c r="W628" s="178"/>
      <c r="X628" s="172"/>
      <c r="Y628" s="172"/>
      <c r="Z628" s="172"/>
      <c r="AA628" s="195"/>
      <c r="AB628" s="172"/>
    </row>
    <row r="629" spans="1:28" ht="12.75" customHeight="1" x14ac:dyDescent="0.3">
      <c r="A629" s="667"/>
      <c r="B629" s="668" t="s">
        <v>5315</v>
      </c>
      <c r="C629" s="160" t="s">
        <v>5316</v>
      </c>
      <c r="D629" s="160"/>
      <c r="E629" s="439">
        <v>7.59</v>
      </c>
      <c r="F629" s="161">
        <v>466.03622178799998</v>
      </c>
      <c r="G629" s="161"/>
      <c r="H629" s="654"/>
      <c r="I629" s="654"/>
      <c r="J629" s="191"/>
      <c r="K629" s="191">
        <v>98875.797637104202</v>
      </c>
      <c r="L629" s="191"/>
      <c r="M629" s="191"/>
      <c r="N629" s="191"/>
      <c r="O629" s="191"/>
      <c r="P629" s="191"/>
      <c r="Q629" s="191"/>
      <c r="R629" s="191"/>
      <c r="S629" s="191"/>
      <c r="T629" s="191"/>
      <c r="U629" s="439"/>
      <c r="V629" s="441"/>
      <c r="W629" s="178"/>
      <c r="X629" s="172"/>
      <c r="Y629" s="172"/>
      <c r="Z629" s="172"/>
      <c r="AA629" s="195"/>
      <c r="AB629" s="172"/>
    </row>
    <row r="630" spans="1:28" ht="12.75" customHeight="1" x14ac:dyDescent="0.3">
      <c r="A630" s="667"/>
      <c r="B630" s="668" t="s">
        <v>5317</v>
      </c>
      <c r="C630" s="160" t="s">
        <v>5318</v>
      </c>
      <c r="D630" s="160"/>
      <c r="E630" s="439">
        <v>8.81</v>
      </c>
      <c r="F630" s="161">
        <v>317.065061087</v>
      </c>
      <c r="G630" s="161">
        <v>18.468</v>
      </c>
      <c r="H630" s="654">
        <v>0.19948170928</v>
      </c>
      <c r="I630" s="654">
        <v>2.9864041038723399</v>
      </c>
      <c r="J630" s="191"/>
      <c r="K630" s="191">
        <v>3848.0437405429998</v>
      </c>
      <c r="L630" s="191"/>
      <c r="M630" s="191"/>
      <c r="N630" s="191"/>
      <c r="O630" s="191"/>
      <c r="P630" s="191"/>
      <c r="Q630" s="191"/>
      <c r="R630" s="191"/>
      <c r="S630" s="191"/>
      <c r="T630" s="191"/>
      <c r="U630" s="439"/>
      <c r="V630" s="441"/>
      <c r="W630" s="178"/>
      <c r="X630" s="172"/>
      <c r="Y630" s="172"/>
      <c r="Z630" s="172"/>
      <c r="AA630" s="195"/>
      <c r="AB630" s="172"/>
    </row>
    <row r="631" spans="1:28" ht="12.75" customHeight="1" x14ac:dyDescent="0.3">
      <c r="A631" s="667"/>
      <c r="B631" s="668" t="s">
        <v>5319</v>
      </c>
      <c r="C631" s="160" t="s">
        <v>5320</v>
      </c>
      <c r="D631" s="160"/>
      <c r="E631" s="439">
        <v>6</v>
      </c>
      <c r="F631" s="161">
        <v>471.03155094700003</v>
      </c>
      <c r="G631" s="161"/>
      <c r="H631" s="654"/>
      <c r="I631" s="654"/>
      <c r="J631" s="191"/>
      <c r="K631" s="191">
        <v>34011.046881745897</v>
      </c>
      <c r="L631" s="191"/>
      <c r="M631" s="191"/>
      <c r="N631" s="191"/>
      <c r="O631" s="191"/>
      <c r="P631" s="191"/>
      <c r="Q631" s="191"/>
      <c r="R631" s="191"/>
      <c r="S631" s="191"/>
      <c r="T631" s="191"/>
      <c r="U631" s="439"/>
      <c r="V631" s="441"/>
      <c r="W631" s="178"/>
      <c r="X631" s="172"/>
      <c r="Y631" s="172"/>
      <c r="Z631" s="172"/>
      <c r="AA631" s="195"/>
      <c r="AB631" s="172"/>
    </row>
    <row r="632" spans="1:28" ht="12.75" customHeight="1" x14ac:dyDescent="0.3">
      <c r="A632" s="667"/>
      <c r="B632" s="668" t="s">
        <v>5321</v>
      </c>
      <c r="C632" s="160" t="s">
        <v>5322</v>
      </c>
      <c r="D632" s="160"/>
      <c r="E632" s="439">
        <v>8</v>
      </c>
      <c r="F632" s="161">
        <v>543.125451333</v>
      </c>
      <c r="G632" s="161"/>
      <c r="H632" s="654"/>
      <c r="I632" s="654"/>
      <c r="J632" s="191"/>
      <c r="K632" s="191"/>
      <c r="L632" s="191"/>
      <c r="M632" s="191"/>
      <c r="N632" s="191"/>
      <c r="O632" s="191"/>
      <c r="P632" s="191"/>
      <c r="Q632" s="191"/>
      <c r="R632" s="191"/>
      <c r="S632" s="191"/>
      <c r="T632" s="191"/>
      <c r="U632" s="439"/>
      <c r="V632" s="441"/>
      <c r="W632" s="178"/>
      <c r="X632" s="172"/>
      <c r="Y632" s="172"/>
      <c r="Z632" s="172"/>
      <c r="AA632" s="195"/>
      <c r="AB632" s="172"/>
    </row>
    <row r="633" spans="1:28" ht="12.75" customHeight="1" x14ac:dyDescent="0.3">
      <c r="A633" s="667"/>
      <c r="B633" s="668" t="s">
        <v>5323</v>
      </c>
      <c r="C633" s="160" t="s">
        <v>5324</v>
      </c>
      <c r="D633" s="160"/>
      <c r="E633" s="439">
        <v>0.23</v>
      </c>
      <c r="F633" s="161">
        <v>565.09095752999997</v>
      </c>
      <c r="G633" s="161"/>
      <c r="H633" s="654"/>
      <c r="I633" s="654"/>
      <c r="J633" s="191"/>
      <c r="K633" s="191">
        <v>4.0031420393447998</v>
      </c>
      <c r="L633" s="191"/>
      <c r="M633" s="191"/>
      <c r="N633" s="191"/>
      <c r="O633" s="191"/>
      <c r="P633" s="191"/>
      <c r="Q633" s="191"/>
      <c r="R633" s="191"/>
      <c r="S633" s="191"/>
      <c r="T633" s="191"/>
      <c r="U633" s="439"/>
      <c r="V633" s="441"/>
      <c r="W633" s="178"/>
      <c r="X633" s="172"/>
      <c r="Y633" s="172"/>
      <c r="Z633" s="172"/>
      <c r="AA633" s="195"/>
      <c r="AB633" s="172"/>
    </row>
    <row r="634" spans="1:28" ht="12.75" customHeight="1" x14ac:dyDescent="0.3">
      <c r="A634" s="667"/>
      <c r="B634" s="668" t="s">
        <v>5325</v>
      </c>
      <c r="C634" s="160" t="s">
        <v>5326</v>
      </c>
      <c r="D634" s="160"/>
      <c r="E634" s="439">
        <v>1.1299999999999999</v>
      </c>
      <c r="F634" s="161">
        <v>709.01558257700003</v>
      </c>
      <c r="G634" s="161">
        <v>-2.25</v>
      </c>
      <c r="H634" s="654">
        <v>3.5310331700000002</v>
      </c>
      <c r="I634" s="654"/>
      <c r="J634" s="191"/>
      <c r="K634" s="191">
        <v>7.5698800873479799</v>
      </c>
      <c r="L634" s="191"/>
      <c r="M634" s="191"/>
      <c r="N634" s="191"/>
      <c r="O634" s="191"/>
      <c r="P634" s="191"/>
      <c r="Q634" s="191"/>
      <c r="R634" s="191"/>
      <c r="S634" s="191"/>
      <c r="T634" s="191"/>
      <c r="U634" s="439"/>
      <c r="V634" s="441"/>
      <c r="W634" s="178"/>
      <c r="X634" s="172"/>
      <c r="Y634" s="172"/>
      <c r="Z634" s="172"/>
      <c r="AA634" s="195"/>
      <c r="AB634" s="172"/>
    </row>
    <row r="635" spans="1:28" ht="12.75" customHeight="1" x14ac:dyDescent="0.3">
      <c r="A635" s="667"/>
      <c r="B635" s="668" t="s">
        <v>5327</v>
      </c>
      <c r="C635" s="160" t="s">
        <v>5328</v>
      </c>
      <c r="D635" s="160"/>
      <c r="E635" s="439">
        <v>1.1299999999999999</v>
      </c>
      <c r="F635" s="161">
        <v>809.00919522900006</v>
      </c>
      <c r="G635" s="161">
        <v>45.546999999999997</v>
      </c>
      <c r="H635" s="654">
        <v>0.57398720694000005</v>
      </c>
      <c r="I635" s="654"/>
      <c r="J635" s="191"/>
      <c r="K635" s="191">
        <v>7.2204455951588704</v>
      </c>
      <c r="L635" s="191"/>
      <c r="M635" s="191"/>
      <c r="N635" s="191"/>
      <c r="O635" s="191"/>
      <c r="P635" s="191"/>
      <c r="Q635" s="191"/>
      <c r="R635" s="191"/>
      <c r="S635" s="191"/>
      <c r="T635" s="191"/>
      <c r="U635" s="439"/>
      <c r="V635" s="441"/>
      <c r="W635" s="178"/>
      <c r="X635" s="172"/>
      <c r="Y635" s="172"/>
      <c r="Z635" s="172"/>
      <c r="AA635" s="195"/>
      <c r="AB635" s="172"/>
    </row>
    <row r="636" spans="1:28" ht="12.75" customHeight="1" x14ac:dyDescent="0.3">
      <c r="A636" s="667"/>
      <c r="B636" s="668" t="s">
        <v>5329</v>
      </c>
      <c r="C636" s="160" t="s">
        <v>5330</v>
      </c>
      <c r="D636" s="160"/>
      <c r="E636" s="439">
        <v>6.6</v>
      </c>
      <c r="F636" s="161">
        <v>385.10250922400002</v>
      </c>
      <c r="G636" s="161"/>
      <c r="H636" s="654"/>
      <c r="I636" s="654"/>
      <c r="J636" s="191"/>
      <c r="K636" s="191">
        <v>12377.701355782399</v>
      </c>
      <c r="L636" s="191"/>
      <c r="M636" s="191"/>
      <c r="N636" s="191"/>
      <c r="O636" s="191"/>
      <c r="P636" s="191"/>
      <c r="Q636" s="191"/>
      <c r="R636" s="191"/>
      <c r="S636" s="191"/>
      <c r="T636" s="191"/>
      <c r="U636" s="439"/>
      <c r="V636" s="441"/>
      <c r="W636" s="178"/>
      <c r="X636" s="172"/>
      <c r="Y636" s="172"/>
      <c r="Z636" s="172"/>
      <c r="AA636" s="195"/>
      <c r="AB636" s="172"/>
    </row>
    <row r="637" spans="1:28" ht="12.75" customHeight="1" x14ac:dyDescent="0.3">
      <c r="A637" s="667"/>
      <c r="B637" s="668" t="s">
        <v>5331</v>
      </c>
      <c r="C637" s="160" t="s">
        <v>5332</v>
      </c>
      <c r="D637" s="160"/>
      <c r="E637" s="439">
        <v>6.21</v>
      </c>
      <c r="F637" s="161">
        <v>480.050729037</v>
      </c>
      <c r="G637" s="161"/>
      <c r="H637" s="654"/>
      <c r="I637" s="654"/>
      <c r="J637" s="191"/>
      <c r="K637" s="191">
        <v>662933.55226151505</v>
      </c>
      <c r="L637" s="191"/>
      <c r="M637" s="191"/>
      <c r="N637" s="191"/>
      <c r="O637" s="191"/>
      <c r="P637" s="191"/>
      <c r="Q637" s="191"/>
      <c r="R637" s="191"/>
      <c r="S637" s="191"/>
      <c r="T637" s="191"/>
      <c r="U637" s="439"/>
      <c r="V637" s="441"/>
      <c r="W637" s="178"/>
      <c r="X637" s="172"/>
      <c r="Y637" s="172"/>
      <c r="Z637" s="172"/>
      <c r="AA637" s="195"/>
      <c r="AB637" s="172"/>
    </row>
    <row r="638" spans="1:28" ht="12.75" customHeight="1" x14ac:dyDescent="0.3">
      <c r="A638" s="667"/>
      <c r="B638" s="668" t="s">
        <v>5333</v>
      </c>
      <c r="C638" s="160" t="s">
        <v>5334</v>
      </c>
      <c r="D638" s="160"/>
      <c r="E638" s="439">
        <v>8.75</v>
      </c>
      <c r="F638" s="161">
        <v>317.065061087</v>
      </c>
      <c r="G638" s="161"/>
      <c r="H638" s="654"/>
      <c r="I638" s="654"/>
      <c r="J638" s="191"/>
      <c r="K638" s="191">
        <v>32056.049496323601</v>
      </c>
      <c r="L638" s="191"/>
      <c r="M638" s="191"/>
      <c r="N638" s="191"/>
      <c r="O638" s="191"/>
      <c r="P638" s="191"/>
      <c r="Q638" s="191"/>
      <c r="R638" s="191"/>
      <c r="S638" s="191"/>
      <c r="T638" s="191"/>
      <c r="U638" s="439"/>
      <c r="V638" s="441"/>
      <c r="W638" s="178"/>
      <c r="X638" s="172"/>
      <c r="Y638" s="172"/>
      <c r="Z638" s="172"/>
      <c r="AA638" s="195"/>
      <c r="AB638" s="172"/>
    </row>
    <row r="639" spans="1:28" ht="12.75" customHeight="1" x14ac:dyDescent="0.3">
      <c r="A639" s="667"/>
      <c r="B639" s="668" t="s">
        <v>5335</v>
      </c>
      <c r="C639" s="160" t="s">
        <v>5336</v>
      </c>
      <c r="D639" s="160"/>
      <c r="E639" s="439">
        <v>8.64</v>
      </c>
      <c r="F639" s="161">
        <v>337.01043870000001</v>
      </c>
      <c r="G639" s="161"/>
      <c r="H639" s="654"/>
      <c r="I639" s="654"/>
      <c r="J639" s="191"/>
      <c r="K639" s="191">
        <v>130869.969139041</v>
      </c>
      <c r="L639" s="191"/>
      <c r="M639" s="191"/>
      <c r="N639" s="191"/>
      <c r="O639" s="191"/>
      <c r="P639" s="191"/>
      <c r="Q639" s="191"/>
      <c r="R639" s="191"/>
      <c r="S639" s="191"/>
      <c r="T639" s="191"/>
      <c r="U639" s="439"/>
      <c r="V639" s="441"/>
      <c r="W639" s="178"/>
      <c r="X639" s="172"/>
      <c r="Y639" s="172"/>
      <c r="Z639" s="172"/>
      <c r="AA639" s="195"/>
      <c r="AB639" s="172"/>
    </row>
    <row r="640" spans="1:28" ht="12.75" customHeight="1" x14ac:dyDescent="0.3">
      <c r="A640" s="667"/>
      <c r="B640" s="668" t="s">
        <v>5337</v>
      </c>
      <c r="C640" s="160" t="s">
        <v>5338</v>
      </c>
      <c r="D640" s="160"/>
      <c r="E640" s="439">
        <v>7.29</v>
      </c>
      <c r="F640" s="161">
        <v>317.065061087</v>
      </c>
      <c r="G640" s="161"/>
      <c r="H640" s="654"/>
      <c r="I640" s="654"/>
      <c r="J640" s="191"/>
      <c r="K640" s="191">
        <v>29982.648958418398</v>
      </c>
      <c r="L640" s="191"/>
      <c r="M640" s="191"/>
      <c r="N640" s="191"/>
      <c r="O640" s="191"/>
      <c r="P640" s="191"/>
      <c r="Q640" s="191"/>
      <c r="R640" s="191"/>
      <c r="S640" s="191"/>
      <c r="T640" s="191"/>
      <c r="U640" s="439"/>
      <c r="V640" s="441"/>
      <c r="W640" s="178"/>
      <c r="X640" s="172"/>
      <c r="Y640" s="172"/>
      <c r="Z640" s="172"/>
      <c r="AA640" s="195"/>
      <c r="AB640" s="172"/>
    </row>
    <row r="641" spans="1:28" ht="12.75" customHeight="1" x14ac:dyDescent="0.3">
      <c r="A641" s="667"/>
      <c r="B641" s="668" t="s">
        <v>5339</v>
      </c>
      <c r="C641" s="160" t="s">
        <v>5340</v>
      </c>
      <c r="D641" s="160"/>
      <c r="E641" s="439">
        <v>8.02</v>
      </c>
      <c r="F641" s="161">
        <v>269.065061087</v>
      </c>
      <c r="G641" s="161"/>
      <c r="H641" s="654"/>
      <c r="I641" s="654"/>
      <c r="J641" s="191"/>
      <c r="K641" s="191">
        <v>547.48219526727996</v>
      </c>
      <c r="L641" s="191"/>
      <c r="M641" s="191"/>
      <c r="N641" s="191"/>
      <c r="O641" s="191"/>
      <c r="P641" s="191"/>
      <c r="Q641" s="191"/>
      <c r="R641" s="191"/>
      <c r="S641" s="191"/>
      <c r="T641" s="191"/>
      <c r="U641" s="439"/>
      <c r="V641" s="441"/>
      <c r="W641" s="178"/>
      <c r="X641" s="172"/>
      <c r="Y641" s="172"/>
      <c r="Z641" s="172"/>
      <c r="AA641" s="195"/>
      <c r="AB641" s="172"/>
    </row>
    <row r="642" spans="1:28" ht="12.75" customHeight="1" x14ac:dyDescent="0.3">
      <c r="A642" s="667"/>
      <c r="B642" s="668" t="s">
        <v>5341</v>
      </c>
      <c r="C642" s="160" t="s">
        <v>5342</v>
      </c>
      <c r="D642" s="160"/>
      <c r="E642" s="439">
        <v>6.19</v>
      </c>
      <c r="F642" s="161">
        <v>341.086190456</v>
      </c>
      <c r="G642" s="161"/>
      <c r="H642" s="654"/>
      <c r="I642" s="654"/>
      <c r="J642" s="191"/>
      <c r="K642" s="191">
        <v>649.92014706860095</v>
      </c>
      <c r="L642" s="191"/>
      <c r="M642" s="191"/>
      <c r="N642" s="191"/>
      <c r="O642" s="191"/>
      <c r="P642" s="191"/>
      <c r="Q642" s="191"/>
      <c r="R642" s="191"/>
      <c r="S642" s="191"/>
      <c r="T642" s="191"/>
      <c r="U642" s="439"/>
      <c r="V642" s="441"/>
      <c r="W642" s="178"/>
      <c r="X642" s="172"/>
      <c r="Y642" s="172"/>
      <c r="Z642" s="172"/>
      <c r="AA642" s="195"/>
      <c r="AB642" s="172"/>
    </row>
    <row r="643" spans="1:28" ht="12.75" customHeight="1" x14ac:dyDescent="0.3">
      <c r="A643" s="667"/>
      <c r="B643" s="668" t="s">
        <v>5343</v>
      </c>
      <c r="C643" s="160" t="s">
        <v>5344</v>
      </c>
      <c r="D643" s="160"/>
      <c r="E643" s="439">
        <v>3</v>
      </c>
      <c r="F643" s="161">
        <v>599.18805159099998</v>
      </c>
      <c r="G643" s="161"/>
      <c r="H643" s="654"/>
      <c r="I643" s="654"/>
      <c r="J643" s="191"/>
      <c r="K643" s="191"/>
      <c r="L643" s="191"/>
      <c r="M643" s="191"/>
      <c r="N643" s="191"/>
      <c r="O643" s="191"/>
      <c r="P643" s="191"/>
      <c r="Q643" s="191"/>
      <c r="R643" s="191"/>
      <c r="S643" s="191"/>
      <c r="T643" s="191"/>
      <c r="U643" s="439"/>
      <c r="V643" s="441"/>
      <c r="W643" s="178"/>
      <c r="X643" s="172"/>
      <c r="Y643" s="172"/>
      <c r="Z643" s="172"/>
      <c r="AA643" s="195"/>
      <c r="AB643" s="172"/>
    </row>
    <row r="644" spans="1:28" ht="12.75" customHeight="1" x14ac:dyDescent="0.3">
      <c r="A644" s="667"/>
      <c r="B644" s="668" t="s">
        <v>5345</v>
      </c>
      <c r="C644" s="160" t="s">
        <v>5346</v>
      </c>
      <c r="D644" s="160"/>
      <c r="E644" s="439">
        <v>6.33</v>
      </c>
      <c r="F644" s="161">
        <v>494.066379101</v>
      </c>
      <c r="G644" s="161"/>
      <c r="H644" s="654"/>
      <c r="I644" s="654"/>
      <c r="J644" s="191"/>
      <c r="K644" s="191">
        <v>710656.93747191702</v>
      </c>
      <c r="L644" s="191"/>
      <c r="M644" s="191"/>
      <c r="N644" s="191"/>
      <c r="O644" s="191"/>
      <c r="P644" s="191"/>
      <c r="Q644" s="191"/>
      <c r="R644" s="191"/>
      <c r="S644" s="191"/>
      <c r="T644" s="191"/>
      <c r="U644" s="439"/>
      <c r="V644" s="441"/>
      <c r="W644" s="178"/>
      <c r="X644" s="172"/>
      <c r="Y644" s="172"/>
      <c r="Z644" s="172"/>
      <c r="AA644" s="195"/>
      <c r="AB644" s="172"/>
    </row>
    <row r="645" spans="1:28" ht="12.75" customHeight="1" x14ac:dyDescent="0.3">
      <c r="A645" s="667"/>
      <c r="B645" s="668" t="s">
        <v>5347</v>
      </c>
      <c r="C645" s="160" t="s">
        <v>5348</v>
      </c>
      <c r="D645" s="160"/>
      <c r="E645" s="439">
        <v>7.47</v>
      </c>
      <c r="F645" s="161">
        <v>317.065061087</v>
      </c>
      <c r="G645" s="161"/>
      <c r="H645" s="654"/>
      <c r="I645" s="654"/>
      <c r="J645" s="191"/>
      <c r="K645" s="191">
        <v>70030.947132991205</v>
      </c>
      <c r="L645" s="191"/>
      <c r="M645" s="191"/>
      <c r="N645" s="191"/>
      <c r="O645" s="191"/>
      <c r="P645" s="191"/>
      <c r="Q645" s="191"/>
      <c r="R645" s="191"/>
      <c r="S645" s="191"/>
      <c r="T645" s="191"/>
      <c r="U645" s="439"/>
      <c r="V645" s="441"/>
      <c r="W645" s="178"/>
      <c r="X645" s="172"/>
      <c r="Y645" s="172"/>
      <c r="Z645" s="172"/>
      <c r="AA645" s="195"/>
      <c r="AB645" s="172"/>
    </row>
    <row r="646" spans="1:28" ht="12.75" customHeight="1" x14ac:dyDescent="0.3">
      <c r="A646" s="667"/>
      <c r="B646" s="668" t="s">
        <v>5349</v>
      </c>
      <c r="C646" s="160" t="s">
        <v>5350</v>
      </c>
      <c r="D646" s="160"/>
      <c r="E646" s="439"/>
      <c r="F646" s="161">
        <v>650.29545494900003</v>
      </c>
      <c r="G646" s="161"/>
      <c r="H646" s="654"/>
      <c r="I646" s="654"/>
      <c r="J646" s="191"/>
      <c r="K646" s="191">
        <v>3529717921.52736</v>
      </c>
      <c r="L646" s="191"/>
      <c r="M646" s="191"/>
      <c r="N646" s="191"/>
      <c r="O646" s="191"/>
      <c r="P646" s="191"/>
      <c r="Q646" s="191"/>
      <c r="R646" s="191"/>
      <c r="S646" s="191"/>
      <c r="T646" s="191"/>
      <c r="U646" s="439"/>
      <c r="V646" s="441"/>
      <c r="W646" s="178"/>
      <c r="X646" s="172"/>
      <c r="Y646" s="172"/>
      <c r="Z646" s="172"/>
      <c r="AA646" s="195"/>
      <c r="AB646" s="172"/>
    </row>
    <row r="647" spans="1:28" ht="12.75" customHeight="1" x14ac:dyDescent="0.3">
      <c r="A647" s="667"/>
      <c r="B647" s="668" t="s">
        <v>5351</v>
      </c>
      <c r="C647" s="160" t="s">
        <v>5352</v>
      </c>
      <c r="D647" s="160"/>
      <c r="E647" s="439">
        <v>7.64</v>
      </c>
      <c r="F647" s="161">
        <v>311.11201127999999</v>
      </c>
      <c r="G647" s="161">
        <v>3.847</v>
      </c>
      <c r="H647" s="654">
        <v>1.58453197</v>
      </c>
      <c r="I647" s="654">
        <v>4.8408095619134102</v>
      </c>
      <c r="J647" s="191"/>
      <c r="K647" s="191">
        <v>21255.924558130799</v>
      </c>
      <c r="L647" s="191"/>
      <c r="M647" s="191"/>
      <c r="N647" s="191"/>
      <c r="O647" s="191"/>
      <c r="P647" s="191"/>
      <c r="Q647" s="191"/>
      <c r="R647" s="191"/>
      <c r="S647" s="191"/>
      <c r="T647" s="191"/>
      <c r="U647" s="439"/>
      <c r="V647" s="441"/>
      <c r="W647" s="178"/>
      <c r="X647" s="172"/>
      <c r="Y647" s="172"/>
      <c r="Z647" s="172"/>
      <c r="AA647" s="195"/>
      <c r="AB647" s="172"/>
    </row>
    <row r="648" spans="1:28" ht="12.75" customHeight="1" x14ac:dyDescent="0.3">
      <c r="A648" s="667"/>
      <c r="B648" s="668" t="s">
        <v>5353</v>
      </c>
      <c r="C648" s="160" t="s">
        <v>5354</v>
      </c>
      <c r="D648" s="160"/>
      <c r="E648" s="439"/>
      <c r="F648" s="161">
        <v>326.11167692800001</v>
      </c>
      <c r="G648" s="161"/>
      <c r="H648" s="654"/>
      <c r="I648" s="654"/>
      <c r="J648" s="191"/>
      <c r="K648" s="191">
        <v>54121.521840104397</v>
      </c>
      <c r="L648" s="191"/>
      <c r="M648" s="191"/>
      <c r="N648" s="191"/>
      <c r="O648" s="191"/>
      <c r="P648" s="191"/>
      <c r="Q648" s="191"/>
      <c r="R648" s="191"/>
      <c r="S648" s="191"/>
      <c r="T648" s="191"/>
      <c r="U648" s="439"/>
      <c r="V648" s="441"/>
      <c r="W648" s="178"/>
      <c r="X648" s="172"/>
      <c r="Y648" s="172"/>
      <c r="Z648" s="172"/>
      <c r="AA648" s="195"/>
      <c r="AB648" s="172"/>
    </row>
    <row r="649" spans="1:28" ht="12.75" customHeight="1" x14ac:dyDescent="0.3">
      <c r="A649" s="667"/>
      <c r="B649" s="668" t="s">
        <v>5355</v>
      </c>
      <c r="C649" s="160" t="s">
        <v>5356</v>
      </c>
      <c r="D649" s="160"/>
      <c r="E649" s="439">
        <v>8</v>
      </c>
      <c r="F649" s="161">
        <v>585.17240152600004</v>
      </c>
      <c r="G649" s="161"/>
      <c r="H649" s="654"/>
      <c r="I649" s="654"/>
      <c r="J649" s="191"/>
      <c r="K649" s="191"/>
      <c r="L649" s="191"/>
      <c r="M649" s="191"/>
      <c r="N649" s="191"/>
      <c r="O649" s="191"/>
      <c r="P649" s="191"/>
      <c r="Q649" s="191"/>
      <c r="R649" s="191"/>
      <c r="S649" s="191"/>
      <c r="T649" s="191"/>
      <c r="U649" s="439"/>
      <c r="V649" s="441"/>
      <c r="W649" s="178"/>
      <c r="X649" s="172"/>
      <c r="Y649" s="172"/>
      <c r="Z649" s="172"/>
      <c r="AA649" s="195"/>
      <c r="AB649" s="172"/>
    </row>
    <row r="650" spans="1:28" ht="12.75" customHeight="1" x14ac:dyDescent="0.3">
      <c r="A650" s="667"/>
      <c r="B650" s="668" t="s">
        <v>5357</v>
      </c>
      <c r="C650" s="160" t="s">
        <v>5358</v>
      </c>
      <c r="D650" s="160"/>
      <c r="E650" s="439">
        <v>6.89</v>
      </c>
      <c r="F650" s="161">
        <v>647.25940379199994</v>
      </c>
      <c r="G650" s="161"/>
      <c r="H650" s="654"/>
      <c r="I650" s="654"/>
      <c r="J650" s="191"/>
      <c r="K650" s="191">
        <v>20165082.353921201</v>
      </c>
      <c r="L650" s="191"/>
      <c r="M650" s="191"/>
      <c r="N650" s="191"/>
      <c r="O650" s="191"/>
      <c r="P650" s="191"/>
      <c r="Q650" s="191"/>
      <c r="R650" s="191"/>
      <c r="S650" s="191"/>
      <c r="T650" s="191"/>
      <c r="U650" s="439"/>
      <c r="V650" s="441"/>
      <c r="W650" s="178"/>
      <c r="X650" s="172"/>
      <c r="Y650" s="172"/>
      <c r="Z650" s="172"/>
      <c r="AA650" s="195"/>
      <c r="AB650" s="172"/>
    </row>
    <row r="651" spans="1:28" ht="12.75" customHeight="1" x14ac:dyDescent="0.3">
      <c r="A651" s="667"/>
      <c r="B651" s="668" t="s">
        <v>5359</v>
      </c>
      <c r="C651" s="160" t="s">
        <v>5360</v>
      </c>
      <c r="D651" s="160"/>
      <c r="E651" s="439"/>
      <c r="F651" s="161">
        <v>466.26817757200001</v>
      </c>
      <c r="G651" s="161">
        <v>1.1379999999999999</v>
      </c>
      <c r="H651" s="654">
        <v>8.5684449535999895E-4</v>
      </c>
      <c r="I651" s="654">
        <v>2.84862812942192E-2</v>
      </c>
      <c r="J651" s="191"/>
      <c r="K651" s="191">
        <v>153967833.92311001</v>
      </c>
      <c r="L651" s="191"/>
      <c r="M651" s="191"/>
      <c r="N651" s="191"/>
      <c r="O651" s="191"/>
      <c r="P651" s="191"/>
      <c r="Q651" s="191"/>
      <c r="R651" s="191"/>
      <c r="S651" s="191"/>
      <c r="T651" s="191"/>
      <c r="U651" s="439"/>
      <c r="V651" s="441"/>
      <c r="W651" s="178"/>
      <c r="X651" s="172"/>
      <c r="Y651" s="172"/>
      <c r="Z651" s="172"/>
      <c r="AA651" s="195"/>
      <c r="AB651" s="172"/>
    </row>
    <row r="652" spans="1:28" ht="12.75" customHeight="1" x14ac:dyDescent="0.3">
      <c r="A652" s="667"/>
      <c r="B652" s="668" t="s">
        <v>5361</v>
      </c>
      <c r="C652" s="160" t="s">
        <v>5362</v>
      </c>
      <c r="D652" s="160"/>
      <c r="E652" s="439"/>
      <c r="F652" s="161">
        <v>554.28422156099998</v>
      </c>
      <c r="G652" s="161"/>
      <c r="H652" s="654"/>
      <c r="I652" s="654"/>
      <c r="J652" s="191"/>
      <c r="K652" s="191">
        <v>2678058.1325546699</v>
      </c>
      <c r="L652" s="191"/>
      <c r="M652" s="191"/>
      <c r="N652" s="191"/>
      <c r="O652" s="191"/>
      <c r="P652" s="191"/>
      <c r="Q652" s="191"/>
      <c r="R652" s="191"/>
      <c r="S652" s="191"/>
      <c r="T652" s="191"/>
      <c r="U652" s="439"/>
      <c r="V652" s="441"/>
      <c r="W652" s="178"/>
      <c r="X652" s="172"/>
      <c r="Y652" s="172"/>
      <c r="Z652" s="172"/>
      <c r="AA652" s="195"/>
      <c r="AB652" s="172"/>
    </row>
    <row r="653" spans="1:28" ht="12.75" customHeight="1" x14ac:dyDescent="0.3">
      <c r="A653" s="667"/>
      <c r="B653" s="668" t="s">
        <v>5363</v>
      </c>
      <c r="C653" s="160" t="s">
        <v>5364</v>
      </c>
      <c r="D653" s="160"/>
      <c r="E653" s="439">
        <v>22</v>
      </c>
      <c r="F653" s="161">
        <v>840.29629660000001</v>
      </c>
      <c r="G653" s="161"/>
      <c r="H653" s="654"/>
      <c r="I653" s="654"/>
      <c r="J653" s="191"/>
      <c r="K653" s="191">
        <v>3121188513.71907</v>
      </c>
      <c r="L653" s="191"/>
      <c r="M653" s="191"/>
      <c r="N653" s="191"/>
      <c r="O653" s="191"/>
      <c r="P653" s="191"/>
      <c r="Q653" s="191"/>
      <c r="R653" s="191"/>
      <c r="S653" s="191"/>
      <c r="T653" s="191"/>
      <c r="U653" s="439"/>
      <c r="V653" s="441"/>
      <c r="W653" s="178"/>
      <c r="X653" s="172"/>
      <c r="Y653" s="172"/>
      <c r="Z653" s="172"/>
      <c r="AA653" s="195"/>
      <c r="AB653" s="172"/>
    </row>
    <row r="654" spans="1:28" ht="12.75" customHeight="1" x14ac:dyDescent="0.3">
      <c r="A654" s="667"/>
      <c r="B654" s="668" t="s">
        <v>5365</v>
      </c>
      <c r="C654" s="160" t="s">
        <v>5366</v>
      </c>
      <c r="D654" s="160"/>
      <c r="E654" s="439"/>
      <c r="F654" s="161">
        <v>410.20557731500003</v>
      </c>
      <c r="G654" s="161"/>
      <c r="H654" s="654"/>
      <c r="I654" s="654"/>
      <c r="J654" s="191"/>
      <c r="K654" s="191">
        <v>2685715465.3324499</v>
      </c>
      <c r="L654" s="191"/>
      <c r="M654" s="191"/>
      <c r="N654" s="191"/>
      <c r="O654" s="191"/>
      <c r="P654" s="191"/>
      <c r="Q654" s="191"/>
      <c r="R654" s="191"/>
      <c r="S654" s="191"/>
      <c r="T654" s="191"/>
      <c r="U654" s="439"/>
      <c r="V654" s="441"/>
      <c r="W654" s="178"/>
      <c r="X654" s="172"/>
      <c r="Y654" s="172"/>
      <c r="Z654" s="172"/>
      <c r="AA654" s="195"/>
      <c r="AB654" s="172"/>
    </row>
    <row r="655" spans="1:28" ht="12.75" customHeight="1" x14ac:dyDescent="0.3">
      <c r="A655" s="667"/>
      <c r="B655" s="668" t="s">
        <v>5367</v>
      </c>
      <c r="C655" s="160" t="s">
        <v>5368</v>
      </c>
      <c r="D655" s="160"/>
      <c r="E655" s="439">
        <v>8.66</v>
      </c>
      <c r="F655" s="161">
        <v>631.17429323199997</v>
      </c>
      <c r="G655" s="161"/>
      <c r="H655" s="654"/>
      <c r="I655" s="654"/>
      <c r="J655" s="191"/>
      <c r="K655" s="191">
        <v>2605553.5300499601</v>
      </c>
      <c r="L655" s="191"/>
      <c r="M655" s="191"/>
      <c r="N655" s="191"/>
      <c r="O655" s="191"/>
      <c r="P655" s="191"/>
      <c r="Q655" s="191"/>
      <c r="R655" s="191"/>
      <c r="S655" s="191"/>
      <c r="T655" s="191"/>
      <c r="U655" s="439"/>
      <c r="V655" s="441"/>
      <c r="W655" s="178"/>
      <c r="X655" s="172"/>
      <c r="Y655" s="172"/>
      <c r="Z655" s="172"/>
      <c r="AA655" s="195"/>
      <c r="AB655" s="172"/>
    </row>
    <row r="656" spans="1:28" ht="12.75" customHeight="1" x14ac:dyDescent="0.3">
      <c r="A656" s="667"/>
      <c r="B656" s="668" t="s">
        <v>5369</v>
      </c>
      <c r="C656" s="160" t="s">
        <v>5370</v>
      </c>
      <c r="D656" s="160"/>
      <c r="E656" s="439">
        <v>8.66</v>
      </c>
      <c r="F656" s="161">
        <v>581.17748690600001</v>
      </c>
      <c r="G656" s="161"/>
      <c r="H656" s="654"/>
      <c r="I656" s="654"/>
      <c r="J656" s="191"/>
      <c r="K656" s="191">
        <v>353858.79967039998</v>
      </c>
      <c r="L656" s="191"/>
      <c r="M656" s="191"/>
      <c r="N656" s="191"/>
      <c r="O656" s="191"/>
      <c r="P656" s="191"/>
      <c r="Q656" s="191"/>
      <c r="R656" s="191"/>
      <c r="S656" s="191"/>
      <c r="T656" s="191"/>
      <c r="U656" s="439"/>
      <c r="V656" s="441"/>
      <c r="W656" s="178"/>
      <c r="X656" s="172"/>
      <c r="Y656" s="172"/>
      <c r="Z656" s="172"/>
      <c r="AA656" s="195"/>
      <c r="AB656" s="172"/>
    </row>
    <row r="657" spans="1:28" ht="12.75" customHeight="1" x14ac:dyDescent="0.3">
      <c r="A657" s="667"/>
      <c r="B657" s="668" t="s">
        <v>5371</v>
      </c>
      <c r="C657" s="160" t="s">
        <v>5372</v>
      </c>
      <c r="D657" s="160"/>
      <c r="E657" s="439">
        <v>13</v>
      </c>
      <c r="F657" s="161">
        <v>381.19026160200002</v>
      </c>
      <c r="G657" s="161"/>
      <c r="H657" s="654"/>
      <c r="I657" s="654"/>
      <c r="J657" s="191"/>
      <c r="K657" s="191">
        <v>16111278.316659199</v>
      </c>
      <c r="L657" s="191"/>
      <c r="M657" s="191"/>
      <c r="N657" s="191"/>
      <c r="O657" s="191"/>
      <c r="P657" s="191"/>
      <c r="Q657" s="191"/>
      <c r="R657" s="191"/>
      <c r="S657" s="191"/>
      <c r="T657" s="191"/>
      <c r="U657" s="439"/>
      <c r="V657" s="441"/>
      <c r="W657" s="178"/>
      <c r="X657" s="172"/>
      <c r="Y657" s="172"/>
      <c r="Z657" s="172"/>
      <c r="AA657" s="195"/>
      <c r="AB657" s="172"/>
    </row>
    <row r="658" spans="1:28" ht="12.75" customHeight="1" x14ac:dyDescent="0.3">
      <c r="A658" s="667"/>
      <c r="B658" s="668" t="s">
        <v>5373</v>
      </c>
      <c r="C658" s="160" t="s">
        <v>5374</v>
      </c>
      <c r="D658" s="160"/>
      <c r="E658" s="439">
        <v>13</v>
      </c>
      <c r="F658" s="161">
        <v>367.17461153800002</v>
      </c>
      <c r="G658" s="161"/>
      <c r="H658" s="654"/>
      <c r="I658" s="654"/>
      <c r="J658" s="191"/>
      <c r="K658" s="191">
        <v>5621083.02508133</v>
      </c>
      <c r="L658" s="191"/>
      <c r="M658" s="191"/>
      <c r="N658" s="191"/>
      <c r="O658" s="191"/>
      <c r="P658" s="191"/>
      <c r="Q658" s="191"/>
      <c r="R658" s="191"/>
      <c r="S658" s="191"/>
      <c r="T658" s="191"/>
      <c r="U658" s="439"/>
      <c r="V658" s="441"/>
      <c r="W658" s="178"/>
      <c r="X658" s="172"/>
      <c r="Y658" s="172"/>
      <c r="Z658" s="172"/>
      <c r="AA658" s="195"/>
      <c r="AB658" s="172"/>
    </row>
    <row r="659" spans="1:28" ht="12.75" customHeight="1" x14ac:dyDescent="0.3">
      <c r="A659" s="667"/>
      <c r="B659" s="668" t="s">
        <v>5375</v>
      </c>
      <c r="C659" s="160" t="s">
        <v>5376</v>
      </c>
      <c r="D659" s="160"/>
      <c r="E659" s="439">
        <v>8.02</v>
      </c>
      <c r="F659" s="161">
        <v>353.15896147299998</v>
      </c>
      <c r="G659" s="161"/>
      <c r="H659" s="654"/>
      <c r="I659" s="654"/>
      <c r="J659" s="191"/>
      <c r="K659" s="191">
        <v>20783.562892382299</v>
      </c>
      <c r="L659" s="191"/>
      <c r="M659" s="191"/>
      <c r="N659" s="191"/>
      <c r="O659" s="191"/>
      <c r="P659" s="191"/>
      <c r="Q659" s="191"/>
      <c r="R659" s="191"/>
      <c r="S659" s="191"/>
      <c r="T659" s="191"/>
      <c r="U659" s="439"/>
      <c r="V659" s="441"/>
      <c r="W659" s="178"/>
      <c r="X659" s="172"/>
      <c r="Y659" s="172"/>
      <c r="Z659" s="172"/>
      <c r="AA659" s="195"/>
      <c r="AB659" s="172"/>
    </row>
    <row r="660" spans="1:28" ht="12.75" customHeight="1" x14ac:dyDescent="0.3">
      <c r="A660" s="667"/>
      <c r="B660" s="668" t="s">
        <v>5377</v>
      </c>
      <c r="C660" s="160" t="s">
        <v>5378</v>
      </c>
      <c r="D660" s="160"/>
      <c r="E660" s="439"/>
      <c r="F660" s="161">
        <v>354.142977057</v>
      </c>
      <c r="G660" s="161">
        <v>-31.234999999999999</v>
      </c>
      <c r="H660" s="654">
        <v>3.3181979292000001</v>
      </c>
      <c r="I660" s="654">
        <v>0.25773817584254299</v>
      </c>
      <c r="J660" s="191"/>
      <c r="K660" s="191">
        <v>3003654.6672940501</v>
      </c>
      <c r="L660" s="191"/>
      <c r="M660" s="191"/>
      <c r="N660" s="191"/>
      <c r="O660" s="191"/>
      <c r="P660" s="191"/>
      <c r="Q660" s="191"/>
      <c r="R660" s="191"/>
      <c r="S660" s="191"/>
      <c r="T660" s="191"/>
      <c r="U660" s="439"/>
      <c r="V660" s="441"/>
      <c r="W660" s="178"/>
      <c r="X660" s="172"/>
      <c r="Y660" s="172"/>
      <c r="Z660" s="172"/>
      <c r="AA660" s="195"/>
      <c r="AB660" s="172"/>
    </row>
    <row r="661" spans="1:28" ht="12.75" customHeight="1" x14ac:dyDescent="0.3">
      <c r="A661" s="667"/>
      <c r="B661" s="668" t="s">
        <v>5379</v>
      </c>
      <c r="C661" s="160" t="s">
        <v>5380</v>
      </c>
      <c r="D661" s="160"/>
      <c r="E661" s="439">
        <v>8.66</v>
      </c>
      <c r="F661" s="161">
        <v>575.11169297499998</v>
      </c>
      <c r="G661" s="161"/>
      <c r="H661" s="654"/>
      <c r="I661" s="654"/>
      <c r="J661" s="191"/>
      <c r="K661" s="191">
        <v>302851.68895756599</v>
      </c>
      <c r="L661" s="191"/>
      <c r="M661" s="191"/>
      <c r="N661" s="191"/>
      <c r="O661" s="191"/>
      <c r="P661" s="191"/>
      <c r="Q661" s="191"/>
      <c r="R661" s="191"/>
      <c r="S661" s="191"/>
      <c r="T661" s="191"/>
      <c r="U661" s="439"/>
      <c r="V661" s="441"/>
      <c r="W661" s="178"/>
      <c r="X661" s="172"/>
      <c r="Y661" s="172"/>
      <c r="Z661" s="172"/>
      <c r="AA661" s="195"/>
      <c r="AB661" s="172"/>
    </row>
    <row r="662" spans="1:28" ht="12.75" customHeight="1" x14ac:dyDescent="0.3">
      <c r="A662" s="667"/>
      <c r="B662" s="668" t="s">
        <v>5381</v>
      </c>
      <c r="C662" s="160" t="s">
        <v>5382</v>
      </c>
      <c r="D662" s="160"/>
      <c r="E662" s="439">
        <v>8.25</v>
      </c>
      <c r="F662" s="161">
        <v>297.09636121599999</v>
      </c>
      <c r="G662" s="161"/>
      <c r="H662" s="654"/>
      <c r="I662" s="654"/>
      <c r="J662" s="191"/>
      <c r="K662" s="191">
        <v>1979.6116455946001</v>
      </c>
      <c r="L662" s="191"/>
      <c r="M662" s="191"/>
      <c r="N662" s="191"/>
      <c r="O662" s="191"/>
      <c r="P662" s="191"/>
      <c r="Q662" s="191"/>
      <c r="R662" s="191"/>
      <c r="S662" s="191"/>
      <c r="T662" s="191"/>
      <c r="U662" s="439"/>
      <c r="V662" s="441"/>
      <c r="W662" s="178"/>
      <c r="X662" s="172"/>
      <c r="Y662" s="172"/>
      <c r="Z662" s="172"/>
      <c r="AA662" s="195"/>
      <c r="AB662" s="172"/>
    </row>
    <row r="663" spans="1:28" ht="12.75" customHeight="1" x14ac:dyDescent="0.3">
      <c r="A663" s="667"/>
      <c r="B663" s="668" t="s">
        <v>5383</v>
      </c>
      <c r="C663" s="160" t="s">
        <v>5384</v>
      </c>
      <c r="D663" s="160"/>
      <c r="E663" s="439"/>
      <c r="F663" s="161">
        <v>298.08037680000001</v>
      </c>
      <c r="G663" s="161"/>
      <c r="H663" s="654"/>
      <c r="I663" s="654"/>
      <c r="J663" s="191"/>
      <c r="K663" s="191">
        <v>1078.9715661822399</v>
      </c>
      <c r="L663" s="191"/>
      <c r="M663" s="191"/>
      <c r="N663" s="191"/>
      <c r="O663" s="191"/>
      <c r="P663" s="191"/>
      <c r="Q663" s="191"/>
      <c r="R663" s="191"/>
      <c r="S663" s="191"/>
      <c r="T663" s="191"/>
      <c r="U663" s="439"/>
      <c r="V663" s="441"/>
      <c r="W663" s="178"/>
      <c r="X663" s="172"/>
      <c r="Y663" s="172"/>
      <c r="Z663" s="172"/>
      <c r="AA663" s="195"/>
      <c r="AB663" s="172"/>
    </row>
    <row r="664" spans="1:28" ht="12.75" customHeight="1" x14ac:dyDescent="0.3">
      <c r="A664" s="667"/>
      <c r="B664" s="668" t="s">
        <v>5385</v>
      </c>
      <c r="C664" s="160" t="s">
        <v>5386</v>
      </c>
      <c r="D664" s="160"/>
      <c r="E664" s="439">
        <v>8.7200000000000006</v>
      </c>
      <c r="F664" s="161">
        <v>533.06474278099995</v>
      </c>
      <c r="G664" s="161"/>
      <c r="H664" s="654"/>
      <c r="I664" s="654"/>
      <c r="J664" s="191"/>
      <c r="K664" s="177">
        <v>124769.94969933599</v>
      </c>
      <c r="L664" s="191"/>
      <c r="M664" s="191"/>
      <c r="N664" s="191"/>
      <c r="O664" s="191"/>
      <c r="P664" s="191"/>
      <c r="Q664" s="191"/>
      <c r="R664" s="191"/>
      <c r="S664" s="191"/>
      <c r="T664" s="191"/>
      <c r="U664" s="439"/>
      <c r="V664" s="441"/>
      <c r="W664" s="178"/>
      <c r="X664" s="172"/>
      <c r="Y664" s="172"/>
      <c r="Z664" s="172"/>
      <c r="AA664" s="195"/>
      <c r="AB664" s="172"/>
    </row>
    <row r="665" spans="1:28" ht="12.75" customHeight="1" x14ac:dyDescent="0.3">
      <c r="A665" s="667"/>
      <c r="B665" s="668" t="s">
        <v>5387</v>
      </c>
      <c r="C665" s="160" t="s">
        <v>5388</v>
      </c>
      <c r="D665" s="160"/>
      <c r="E665" s="439">
        <v>7.87</v>
      </c>
      <c r="F665" s="161">
        <v>283.080711151</v>
      </c>
      <c r="G665" s="161"/>
      <c r="H665" s="654"/>
      <c r="I665" s="654"/>
      <c r="J665" s="191"/>
      <c r="K665" s="191">
        <v>564.31292831745702</v>
      </c>
      <c r="L665" s="191"/>
      <c r="M665" s="191"/>
      <c r="N665" s="191"/>
      <c r="O665" s="191"/>
      <c r="P665" s="191"/>
      <c r="Q665" s="191"/>
      <c r="R665" s="191"/>
      <c r="S665" s="191"/>
      <c r="T665" s="191"/>
      <c r="U665" s="439"/>
      <c r="V665" s="441"/>
      <c r="W665" s="178"/>
      <c r="X665" s="172"/>
      <c r="Y665" s="172"/>
      <c r="Z665" s="172"/>
      <c r="AA665" s="195"/>
      <c r="AB665" s="172"/>
    </row>
    <row r="666" spans="1:28" ht="12.75" customHeight="1" x14ac:dyDescent="0.3">
      <c r="A666" s="667"/>
      <c r="B666" s="668" t="s">
        <v>5389</v>
      </c>
      <c r="C666" s="160" t="s">
        <v>5390</v>
      </c>
      <c r="D666" s="160"/>
      <c r="E666" s="439">
        <v>6</v>
      </c>
      <c r="F666" s="161">
        <v>325.12766134499998</v>
      </c>
      <c r="G666" s="161"/>
      <c r="H666" s="654"/>
      <c r="I666" s="654"/>
      <c r="J666" s="191"/>
      <c r="K666" s="191">
        <v>4534.4017899013597</v>
      </c>
      <c r="L666" s="191"/>
      <c r="M666" s="191"/>
      <c r="N666" s="191"/>
      <c r="O666" s="191"/>
      <c r="P666" s="191"/>
      <c r="Q666" s="191"/>
      <c r="R666" s="191"/>
      <c r="S666" s="191"/>
      <c r="T666" s="191"/>
      <c r="U666" s="439"/>
      <c r="V666" s="441"/>
      <c r="W666" s="178"/>
      <c r="X666" s="172"/>
      <c r="Y666" s="172"/>
      <c r="Z666" s="172"/>
      <c r="AA666" s="195"/>
      <c r="AB666" s="172"/>
    </row>
    <row r="667" spans="1:28" ht="12.75" customHeight="1" x14ac:dyDescent="0.3">
      <c r="A667" s="667"/>
      <c r="B667" s="668" t="s">
        <v>5391</v>
      </c>
      <c r="C667" s="160" t="s">
        <v>5392</v>
      </c>
      <c r="D667" s="160"/>
      <c r="E667" s="439">
        <v>8.7899999999999991</v>
      </c>
      <c r="F667" s="161">
        <v>519.04909271700001</v>
      </c>
      <c r="G667" s="161"/>
      <c r="H667" s="654"/>
      <c r="I667" s="654"/>
      <c r="J667" s="191"/>
      <c r="K667" s="191">
        <v>141501.15995448199</v>
      </c>
      <c r="L667" s="191"/>
      <c r="M667" s="191"/>
      <c r="N667" s="191"/>
      <c r="O667" s="191"/>
      <c r="P667" s="191"/>
      <c r="Q667" s="191"/>
      <c r="R667" s="191"/>
      <c r="S667" s="191"/>
      <c r="T667" s="191"/>
      <c r="U667" s="439"/>
      <c r="V667" s="441"/>
      <c r="W667" s="178"/>
      <c r="X667" s="172"/>
      <c r="Y667" s="172"/>
      <c r="Z667" s="172"/>
      <c r="AA667" s="195"/>
      <c r="AB667" s="172"/>
    </row>
    <row r="668" spans="1:28" ht="12.75" customHeight="1" x14ac:dyDescent="0.3">
      <c r="A668" s="667"/>
      <c r="B668" s="668" t="s">
        <v>5393</v>
      </c>
      <c r="C668" s="160" t="s">
        <v>5394</v>
      </c>
      <c r="D668" s="160"/>
      <c r="E668" s="439">
        <v>8.89</v>
      </c>
      <c r="F668" s="161">
        <v>469.052286391</v>
      </c>
      <c r="G668" s="161"/>
      <c r="H668" s="654"/>
      <c r="I668" s="654"/>
      <c r="J668" s="191"/>
      <c r="K668" s="191">
        <v>74777.337890638897</v>
      </c>
      <c r="L668" s="191"/>
      <c r="M668" s="191"/>
      <c r="N668" s="191"/>
      <c r="O668" s="191"/>
      <c r="P668" s="191"/>
      <c r="Q668" s="191"/>
      <c r="R668" s="191"/>
      <c r="S668" s="191"/>
      <c r="T668" s="191"/>
      <c r="U668" s="439"/>
      <c r="V668" s="441"/>
      <c r="W668" s="178"/>
      <c r="X668" s="172"/>
      <c r="Y668" s="172"/>
      <c r="Z668" s="172"/>
      <c r="AA668" s="195"/>
      <c r="AB668" s="172"/>
    </row>
    <row r="669" spans="1:28" ht="12.75" customHeight="1" x14ac:dyDescent="0.3">
      <c r="A669" s="667"/>
      <c r="B669" s="668" t="s">
        <v>5395</v>
      </c>
      <c r="C669" s="160" t="s">
        <v>5396</v>
      </c>
      <c r="D669" s="160"/>
      <c r="E669" s="439">
        <v>8.81</v>
      </c>
      <c r="F669" s="161">
        <v>419.05548006499998</v>
      </c>
      <c r="G669" s="161"/>
      <c r="H669" s="654"/>
      <c r="I669" s="654"/>
      <c r="J669" s="191"/>
      <c r="K669" s="191">
        <v>75976.625418117706</v>
      </c>
      <c r="L669" s="191"/>
      <c r="M669" s="191"/>
      <c r="N669" s="191"/>
      <c r="O669" s="191"/>
      <c r="P669" s="191"/>
      <c r="Q669" s="191"/>
      <c r="R669" s="191"/>
      <c r="S669" s="191"/>
      <c r="T669" s="191"/>
      <c r="U669" s="439"/>
      <c r="V669" s="441"/>
      <c r="W669" s="178"/>
      <c r="X669" s="172"/>
      <c r="Y669" s="172"/>
      <c r="Z669" s="172"/>
      <c r="AA669" s="195"/>
      <c r="AB669" s="172"/>
    </row>
    <row r="670" spans="1:28" ht="12.75" customHeight="1" x14ac:dyDescent="0.3">
      <c r="A670" s="667"/>
      <c r="B670" s="668" t="s">
        <v>5397</v>
      </c>
      <c r="C670" s="160" t="s">
        <v>5398</v>
      </c>
      <c r="D670" s="160"/>
      <c r="E670" s="439">
        <v>8.26</v>
      </c>
      <c r="F670" s="161">
        <v>319.06186741300002</v>
      </c>
      <c r="G670" s="161"/>
      <c r="H670" s="654"/>
      <c r="I670" s="654"/>
      <c r="J670" s="191"/>
      <c r="K670" s="191">
        <v>750.04962800630801</v>
      </c>
      <c r="L670" s="191"/>
      <c r="M670" s="191"/>
      <c r="N670" s="191"/>
      <c r="O670" s="191"/>
      <c r="P670" s="191"/>
      <c r="Q670" s="191"/>
      <c r="R670" s="191"/>
      <c r="S670" s="191"/>
      <c r="T670" s="191"/>
      <c r="U670" s="439"/>
      <c r="V670" s="441"/>
      <c r="W670" s="178"/>
      <c r="X670" s="172"/>
      <c r="Y670" s="172"/>
      <c r="Z670" s="172"/>
      <c r="AA670" s="195"/>
      <c r="AB670" s="172"/>
    </row>
    <row r="671" spans="1:28" ht="12.75" customHeight="1" x14ac:dyDescent="0.3">
      <c r="A671" s="667"/>
      <c r="B671" s="668" t="s">
        <v>5399</v>
      </c>
      <c r="C671" s="160" t="s">
        <v>5400</v>
      </c>
      <c r="D671" s="160"/>
      <c r="E671" s="439">
        <v>8.3000000000000007</v>
      </c>
      <c r="F671" s="161">
        <v>269.065061087</v>
      </c>
      <c r="G671" s="161"/>
      <c r="H671" s="654"/>
      <c r="I671" s="654"/>
      <c r="J671" s="191"/>
      <c r="K671" s="191">
        <v>715.05590921025896</v>
      </c>
      <c r="L671" s="191"/>
      <c r="M671" s="191"/>
      <c r="N671" s="191"/>
      <c r="O671" s="191"/>
      <c r="P671" s="191"/>
      <c r="Q671" s="191"/>
      <c r="R671" s="191"/>
      <c r="S671" s="191"/>
      <c r="T671" s="191"/>
      <c r="U671" s="439"/>
      <c r="V671" s="441"/>
      <c r="W671" s="178"/>
      <c r="X671" s="172"/>
      <c r="Y671" s="172"/>
      <c r="Z671" s="172"/>
      <c r="AA671" s="195"/>
      <c r="AB671" s="172"/>
    </row>
    <row r="672" spans="1:28" ht="12.75" customHeight="1" x14ac:dyDescent="0.3">
      <c r="A672" s="667"/>
      <c r="B672" s="668" t="s">
        <v>5401</v>
      </c>
      <c r="C672" s="160" t="s">
        <v>5402</v>
      </c>
      <c r="D672" s="160"/>
      <c r="E672" s="439"/>
      <c r="F672" s="161">
        <v>520.03310830099997</v>
      </c>
      <c r="G672" s="161"/>
      <c r="H672" s="654"/>
      <c r="I672" s="654"/>
      <c r="J672" s="191"/>
      <c r="K672" s="191">
        <v>103502.299839324</v>
      </c>
      <c r="L672" s="191"/>
      <c r="M672" s="191"/>
      <c r="N672" s="191"/>
      <c r="O672" s="191"/>
      <c r="P672" s="191"/>
      <c r="Q672" s="191"/>
      <c r="R672" s="191"/>
      <c r="S672" s="191"/>
      <c r="T672" s="191"/>
      <c r="U672" s="439"/>
      <c r="V672" s="441"/>
      <c r="W672" s="178"/>
      <c r="X672" s="172"/>
      <c r="Y672" s="172"/>
      <c r="Z672" s="172"/>
      <c r="AA672" s="195"/>
      <c r="AB672" s="172"/>
    </row>
    <row r="673" spans="1:28" ht="12.75" customHeight="1" x14ac:dyDescent="0.3">
      <c r="A673" s="667"/>
      <c r="B673" s="668" t="s">
        <v>5403</v>
      </c>
      <c r="C673" s="160" t="s">
        <v>5404</v>
      </c>
      <c r="D673" s="160"/>
      <c r="E673" s="439"/>
      <c r="F673" s="161">
        <v>470.03630197500001</v>
      </c>
      <c r="G673" s="161"/>
      <c r="H673" s="654"/>
      <c r="I673" s="654"/>
      <c r="J673" s="191"/>
      <c r="K673" s="191">
        <v>41488.716533468199</v>
      </c>
      <c r="L673" s="191"/>
      <c r="M673" s="191"/>
      <c r="N673" s="191"/>
      <c r="O673" s="191"/>
      <c r="P673" s="191"/>
      <c r="Q673" s="191"/>
      <c r="R673" s="191"/>
      <c r="S673" s="191"/>
      <c r="T673" s="191"/>
      <c r="U673" s="439"/>
      <c r="V673" s="441"/>
      <c r="W673" s="178"/>
      <c r="X673" s="172"/>
      <c r="Y673" s="172"/>
      <c r="Z673" s="172"/>
      <c r="AA673" s="195"/>
      <c r="AB673" s="172"/>
    </row>
    <row r="674" spans="1:28" ht="12.75" customHeight="1" x14ac:dyDescent="0.3">
      <c r="A674" s="667"/>
      <c r="B674" s="668" t="s">
        <v>5405</v>
      </c>
      <c r="C674" s="160" t="s">
        <v>5406</v>
      </c>
      <c r="D674" s="160"/>
      <c r="E674" s="439"/>
      <c r="F674" s="161">
        <v>270.04907667100002</v>
      </c>
      <c r="G674" s="161"/>
      <c r="H674" s="654"/>
      <c r="I674" s="654"/>
      <c r="J674" s="191"/>
      <c r="K674" s="191">
        <v>922.359021688246</v>
      </c>
      <c r="L674" s="191"/>
      <c r="M674" s="191"/>
      <c r="N674" s="191"/>
      <c r="O674" s="191"/>
      <c r="P674" s="191"/>
      <c r="Q674" s="191"/>
      <c r="R674" s="191"/>
      <c r="S674" s="191"/>
      <c r="T674" s="191"/>
      <c r="U674" s="439"/>
      <c r="V674" s="441"/>
      <c r="W674" s="178"/>
      <c r="X674" s="172"/>
      <c r="Y674" s="172"/>
      <c r="Z674" s="172"/>
      <c r="AA674" s="195"/>
      <c r="AB674" s="172"/>
    </row>
    <row r="675" spans="1:28" ht="12.75" customHeight="1" x14ac:dyDescent="0.3">
      <c r="A675" s="667"/>
      <c r="B675" s="668" t="s">
        <v>5407</v>
      </c>
      <c r="C675" s="160" t="s">
        <v>5408</v>
      </c>
      <c r="D675" s="160"/>
      <c r="E675" s="439">
        <v>4.93</v>
      </c>
      <c r="F675" s="161">
        <v>387.09166976</v>
      </c>
      <c r="G675" s="161"/>
      <c r="H675" s="654"/>
      <c r="I675" s="654"/>
      <c r="J675" s="191"/>
      <c r="K675" s="191">
        <v>250.36868020606801</v>
      </c>
      <c r="L675" s="191"/>
      <c r="M675" s="191"/>
      <c r="N675" s="191"/>
      <c r="O675" s="191"/>
      <c r="P675" s="191"/>
      <c r="Q675" s="191"/>
      <c r="R675" s="191"/>
      <c r="S675" s="191"/>
      <c r="T675" s="191"/>
      <c r="U675" s="439"/>
      <c r="V675" s="441"/>
      <c r="W675" s="178"/>
      <c r="X675" s="172"/>
      <c r="Y675" s="172"/>
      <c r="Z675" s="172"/>
      <c r="AA675" s="195"/>
      <c r="AB675" s="172"/>
    </row>
    <row r="676" spans="1:28" ht="12.75" customHeight="1" x14ac:dyDescent="0.3">
      <c r="A676" s="667"/>
      <c r="B676" s="668" t="s">
        <v>5409</v>
      </c>
      <c r="C676" s="160" t="s">
        <v>5410</v>
      </c>
      <c r="D676" s="160"/>
      <c r="E676" s="439">
        <v>8.27</v>
      </c>
      <c r="F676" s="161">
        <v>255.049411023</v>
      </c>
      <c r="G676" s="161"/>
      <c r="H676" s="654"/>
      <c r="I676" s="654"/>
      <c r="J676" s="191"/>
      <c r="K676" s="191">
        <v>149.668360042328</v>
      </c>
      <c r="L676" s="191"/>
      <c r="M676" s="191"/>
      <c r="N676" s="191"/>
      <c r="O676" s="191"/>
      <c r="P676" s="191"/>
      <c r="Q676" s="191"/>
      <c r="R676" s="191"/>
      <c r="S676" s="191"/>
      <c r="T676" s="191"/>
      <c r="U676" s="439"/>
      <c r="V676" s="441"/>
      <c r="W676" s="178"/>
      <c r="X676" s="172"/>
      <c r="Y676" s="172"/>
      <c r="Z676" s="172"/>
      <c r="AA676" s="195"/>
      <c r="AB676" s="172"/>
    </row>
    <row r="677" spans="1:28" ht="12.75" customHeight="1" x14ac:dyDescent="0.3">
      <c r="A677" s="667"/>
      <c r="B677" s="668" t="s">
        <v>5411</v>
      </c>
      <c r="C677" s="160" t="s">
        <v>5412</v>
      </c>
      <c r="D677" s="160"/>
      <c r="E677" s="439">
        <v>3.53</v>
      </c>
      <c r="F677" s="161">
        <v>371.06036963100001</v>
      </c>
      <c r="G677" s="161"/>
      <c r="H677" s="654"/>
      <c r="I677" s="654"/>
      <c r="J677" s="191"/>
      <c r="K677" s="191">
        <v>217.350177902604</v>
      </c>
      <c r="L677" s="191"/>
      <c r="M677" s="191"/>
      <c r="N677" s="191"/>
      <c r="O677" s="191"/>
      <c r="P677" s="191"/>
      <c r="Q677" s="191"/>
      <c r="R677" s="191"/>
      <c r="S677" s="191"/>
      <c r="T677" s="191"/>
      <c r="U677" s="439"/>
      <c r="V677" s="441"/>
      <c r="W677" s="178"/>
      <c r="X677" s="172"/>
      <c r="Y677" s="172"/>
      <c r="Z677" s="172"/>
      <c r="AA677" s="195"/>
      <c r="AB677" s="172"/>
    </row>
    <row r="678" spans="1:28" ht="12.75" customHeight="1" x14ac:dyDescent="0.3">
      <c r="A678" s="667"/>
      <c r="B678" s="668" t="s">
        <v>5413</v>
      </c>
      <c r="C678" s="160" t="s">
        <v>5414</v>
      </c>
      <c r="D678" s="160"/>
      <c r="E678" s="439"/>
      <c r="F678" s="161">
        <v>506.01745823599998</v>
      </c>
      <c r="G678" s="161"/>
      <c r="H678" s="654"/>
      <c r="I678" s="654"/>
      <c r="J678" s="191"/>
      <c r="K678" s="191">
        <v>65786.987536863497</v>
      </c>
      <c r="L678" s="191"/>
      <c r="M678" s="191"/>
      <c r="N678" s="191"/>
      <c r="O678" s="191"/>
      <c r="P678" s="191"/>
      <c r="Q678" s="191"/>
      <c r="R678" s="191"/>
      <c r="S678" s="191"/>
      <c r="T678" s="191"/>
      <c r="U678" s="439"/>
      <c r="V678" s="441"/>
      <c r="W678" s="178"/>
      <c r="X678" s="172"/>
      <c r="Y678" s="172"/>
      <c r="Z678" s="172"/>
      <c r="AA678" s="195"/>
      <c r="AB678" s="172"/>
    </row>
    <row r="679" spans="1:28" ht="12.75" customHeight="1" x14ac:dyDescent="0.3">
      <c r="A679" s="667"/>
      <c r="B679" s="668" t="s">
        <v>5415</v>
      </c>
      <c r="C679" s="160" t="s">
        <v>5416</v>
      </c>
      <c r="D679" s="160"/>
      <c r="E679" s="439"/>
      <c r="F679" s="161">
        <v>406.02384558400001</v>
      </c>
      <c r="G679" s="161">
        <v>-61.866</v>
      </c>
      <c r="H679" s="654">
        <v>62.647207867999903</v>
      </c>
      <c r="I679" s="654">
        <v>1.457308907047</v>
      </c>
      <c r="J679" s="191"/>
      <c r="K679" s="191">
        <v>9193.6930529968595</v>
      </c>
      <c r="L679" s="191"/>
      <c r="M679" s="191"/>
      <c r="N679" s="191"/>
      <c r="O679" s="191"/>
      <c r="P679" s="191"/>
      <c r="Q679" s="191"/>
      <c r="R679" s="191"/>
      <c r="S679" s="191"/>
      <c r="T679" s="191"/>
      <c r="U679" s="439"/>
      <c r="V679" s="441"/>
      <c r="W679" s="178"/>
      <c r="X679" s="172"/>
      <c r="Y679" s="172"/>
      <c r="Z679" s="172"/>
      <c r="AA679" s="195"/>
      <c r="AB679" s="172"/>
    </row>
    <row r="680" spans="1:28" ht="12.75" customHeight="1" x14ac:dyDescent="0.3">
      <c r="A680" s="667"/>
      <c r="B680" s="668" t="s">
        <v>5417</v>
      </c>
      <c r="C680" s="160" t="s">
        <v>5418</v>
      </c>
      <c r="D680" s="160"/>
      <c r="E680" s="439">
        <v>0.84</v>
      </c>
      <c r="F680" s="161">
        <v>409.03474462100002</v>
      </c>
      <c r="G680" s="161">
        <v>-13.884</v>
      </c>
      <c r="H680" s="654">
        <v>146.85951588</v>
      </c>
      <c r="I680" s="654">
        <v>14.919705923948801</v>
      </c>
      <c r="J680" s="191"/>
      <c r="K680" s="191">
        <v>22.100393173491799</v>
      </c>
      <c r="L680" s="191"/>
      <c r="M680" s="191"/>
      <c r="N680" s="191"/>
      <c r="O680" s="191"/>
      <c r="P680" s="191"/>
      <c r="Q680" s="191"/>
      <c r="R680" s="191"/>
      <c r="S680" s="191"/>
      <c r="T680" s="191"/>
      <c r="U680" s="439"/>
      <c r="V680" s="441"/>
      <c r="W680" s="178"/>
      <c r="X680" s="172"/>
      <c r="Y680" s="172"/>
      <c r="Z680" s="172"/>
      <c r="AA680" s="195"/>
      <c r="AB680" s="172"/>
    </row>
    <row r="681" spans="1:28" ht="12.75" customHeight="1" x14ac:dyDescent="0.3">
      <c r="A681" s="667"/>
      <c r="B681" s="668" t="s">
        <v>5419</v>
      </c>
      <c r="C681" s="160" t="s">
        <v>5420</v>
      </c>
      <c r="D681" s="160"/>
      <c r="E681" s="439">
        <v>0.93</v>
      </c>
      <c r="F681" s="161">
        <v>509.02835727299998</v>
      </c>
      <c r="G681" s="161">
        <v>2.7909999999999999</v>
      </c>
      <c r="H681" s="654">
        <v>33.105585785999999</v>
      </c>
      <c r="I681" s="654">
        <v>0.98116233921085205</v>
      </c>
      <c r="J681" s="191"/>
      <c r="K681" s="191">
        <v>21.984672478184699</v>
      </c>
      <c r="L681" s="191"/>
      <c r="M681" s="191"/>
      <c r="N681" s="191"/>
      <c r="O681" s="191"/>
      <c r="P681" s="191"/>
      <c r="Q681" s="191"/>
      <c r="R681" s="191"/>
      <c r="S681" s="191"/>
      <c r="T681" s="191"/>
      <c r="U681" s="439"/>
      <c r="V681" s="441"/>
      <c r="W681" s="178"/>
      <c r="X681" s="172"/>
      <c r="Y681" s="172"/>
      <c r="Z681" s="172"/>
      <c r="AA681" s="195"/>
      <c r="AB681" s="172"/>
    </row>
    <row r="682" spans="1:28" ht="12.75" customHeight="1" x14ac:dyDescent="0.3">
      <c r="A682" s="667"/>
      <c r="B682" s="668" t="s">
        <v>5421</v>
      </c>
      <c r="C682" s="160" t="s">
        <v>5422</v>
      </c>
      <c r="D682" s="160"/>
      <c r="E682" s="439">
        <v>0.98</v>
      </c>
      <c r="F682" s="161">
        <v>609.02196992500001</v>
      </c>
      <c r="G682" s="161">
        <v>-5.9130000000000003</v>
      </c>
      <c r="H682" s="654">
        <v>6.8218467603999997</v>
      </c>
      <c r="I682" s="654"/>
      <c r="J682" s="191"/>
      <c r="K682" s="191">
        <v>8.0377223477593596</v>
      </c>
      <c r="L682" s="191"/>
      <c r="M682" s="191"/>
      <c r="N682" s="191"/>
      <c r="O682" s="191"/>
      <c r="P682" s="191"/>
      <c r="Q682" s="191"/>
      <c r="R682" s="191"/>
      <c r="S682" s="191"/>
      <c r="T682" s="191"/>
      <c r="U682" s="439"/>
      <c r="V682" s="441"/>
      <c r="W682" s="178"/>
      <c r="X682" s="172"/>
      <c r="Y682" s="172"/>
      <c r="Z682" s="172"/>
      <c r="AA682" s="195"/>
      <c r="AB682" s="172"/>
    </row>
    <row r="683" spans="1:28" ht="12.75" customHeight="1" x14ac:dyDescent="0.3">
      <c r="A683" s="667"/>
      <c r="B683" s="668" t="s">
        <v>5423</v>
      </c>
      <c r="C683" s="160" t="s">
        <v>5424</v>
      </c>
      <c r="D683" s="160"/>
      <c r="E683" s="439">
        <v>6.86</v>
      </c>
      <c r="F683" s="161">
        <v>519.04909271700001</v>
      </c>
      <c r="G683" s="161"/>
      <c r="H683" s="654"/>
      <c r="I683" s="654"/>
      <c r="J683" s="191"/>
      <c r="K683" s="191">
        <v>58310.934292297999</v>
      </c>
      <c r="L683" s="191"/>
      <c r="M683" s="191"/>
      <c r="N683" s="191"/>
      <c r="O683" s="191"/>
      <c r="P683" s="191"/>
      <c r="Q683" s="191"/>
      <c r="R683" s="191"/>
      <c r="S683" s="191"/>
      <c r="T683" s="191"/>
      <c r="U683" s="439"/>
      <c r="V683" s="441"/>
      <c r="W683" s="178"/>
      <c r="X683" s="172"/>
      <c r="Y683" s="172"/>
      <c r="Z683" s="172"/>
      <c r="AA683" s="195"/>
      <c r="AB683" s="172"/>
    </row>
    <row r="684" spans="1:28" ht="12.75" customHeight="1" x14ac:dyDescent="0.3">
      <c r="A684" s="667"/>
      <c r="B684" s="668" t="s">
        <v>5425</v>
      </c>
      <c r="C684" s="160" t="s">
        <v>5426</v>
      </c>
      <c r="D684" s="160"/>
      <c r="E684" s="439">
        <v>6.72</v>
      </c>
      <c r="F684" s="161">
        <v>419.05548006499998</v>
      </c>
      <c r="G684" s="161">
        <v>-46.011000000000003</v>
      </c>
      <c r="H684" s="654">
        <v>9.2448941171999994</v>
      </c>
      <c r="I684" s="654">
        <v>2.4058645599299702</v>
      </c>
      <c r="J684" s="191"/>
      <c r="K684" s="191">
        <v>61946.960204934301</v>
      </c>
      <c r="L684" s="191"/>
      <c r="M684" s="191"/>
      <c r="N684" s="191"/>
      <c r="O684" s="191"/>
      <c r="P684" s="191"/>
      <c r="Q684" s="191"/>
      <c r="R684" s="191"/>
      <c r="S684" s="191"/>
      <c r="T684" s="191"/>
      <c r="U684" s="439"/>
      <c r="V684" s="441"/>
      <c r="W684" s="178"/>
      <c r="X684" s="172"/>
      <c r="Y684" s="172"/>
      <c r="Z684" s="172"/>
      <c r="AA684" s="195"/>
      <c r="AB684" s="172"/>
    </row>
    <row r="685" spans="1:28" ht="12.75" customHeight="1" x14ac:dyDescent="0.3">
      <c r="A685" s="667"/>
      <c r="B685" s="668" t="s">
        <v>5427</v>
      </c>
      <c r="C685" s="160" t="s">
        <v>5428</v>
      </c>
      <c r="D685" s="160"/>
      <c r="E685" s="439">
        <v>6.42</v>
      </c>
      <c r="F685" s="161">
        <v>319.06186741300002</v>
      </c>
      <c r="G685" s="161"/>
      <c r="H685" s="654"/>
      <c r="I685" s="654"/>
      <c r="J685" s="191"/>
      <c r="K685" s="191">
        <v>919.53867498331795</v>
      </c>
      <c r="L685" s="191"/>
      <c r="M685" s="191"/>
      <c r="N685" s="191"/>
      <c r="O685" s="191"/>
      <c r="P685" s="191"/>
      <c r="Q685" s="191"/>
      <c r="R685" s="191"/>
      <c r="S685" s="191"/>
      <c r="T685" s="191"/>
      <c r="U685" s="439"/>
      <c r="V685" s="441"/>
      <c r="W685" s="178"/>
      <c r="X685" s="172"/>
      <c r="Y685" s="172"/>
      <c r="Z685" s="172"/>
      <c r="AA685" s="195"/>
      <c r="AB685" s="172"/>
    </row>
    <row r="686" spans="1:28" ht="12.75" customHeight="1" x14ac:dyDescent="0.3">
      <c r="A686" s="667"/>
      <c r="B686" s="668" t="s">
        <v>5429</v>
      </c>
      <c r="C686" s="160" t="s">
        <v>5430</v>
      </c>
      <c r="D686" s="160"/>
      <c r="E686" s="439">
        <v>3</v>
      </c>
      <c r="F686" s="161">
        <v>269.065061087</v>
      </c>
      <c r="G686" s="161"/>
      <c r="H686" s="654"/>
      <c r="I686" s="654"/>
      <c r="J686" s="191"/>
      <c r="K686" s="191">
        <v>237.350417510836</v>
      </c>
      <c r="L686" s="191"/>
      <c r="M686" s="191"/>
      <c r="N686" s="191"/>
      <c r="O686" s="191"/>
      <c r="P686" s="191"/>
      <c r="Q686" s="191"/>
      <c r="R686" s="191"/>
      <c r="S686" s="191"/>
      <c r="T686" s="191"/>
      <c r="U686" s="439"/>
      <c r="V686" s="441"/>
      <c r="W686" s="178"/>
      <c r="X686" s="172"/>
      <c r="Y686" s="172"/>
      <c r="Z686" s="172"/>
      <c r="AA686" s="195"/>
      <c r="AB686" s="172"/>
    </row>
    <row r="687" spans="1:28" ht="12.75" customHeight="1" x14ac:dyDescent="0.3">
      <c r="A687" s="667"/>
      <c r="B687" s="668" t="s">
        <v>5431</v>
      </c>
      <c r="C687" s="160" t="s">
        <v>5432</v>
      </c>
      <c r="D687" s="160"/>
      <c r="E687" s="439">
        <v>7.5</v>
      </c>
      <c r="F687" s="161">
        <v>291.03056728400003</v>
      </c>
      <c r="G687" s="161"/>
      <c r="H687" s="654"/>
      <c r="I687" s="654"/>
      <c r="J687" s="191"/>
      <c r="K687" s="191">
        <v>244.86121492721799</v>
      </c>
      <c r="L687" s="191"/>
      <c r="M687" s="191"/>
      <c r="N687" s="191"/>
      <c r="O687" s="191"/>
      <c r="P687" s="191"/>
      <c r="Q687" s="191"/>
      <c r="R687" s="191"/>
      <c r="S687" s="191"/>
      <c r="T687" s="191"/>
      <c r="U687" s="439"/>
      <c r="V687" s="441"/>
      <c r="W687" s="178"/>
      <c r="X687" s="172"/>
      <c r="Y687" s="172"/>
      <c r="Z687" s="172"/>
      <c r="AA687" s="195"/>
      <c r="AB687" s="172"/>
    </row>
    <row r="688" spans="1:28" ht="12.75" customHeight="1" x14ac:dyDescent="0.3">
      <c r="A688" s="667"/>
      <c r="B688" s="668" t="s">
        <v>5433</v>
      </c>
      <c r="C688" s="160" t="s">
        <v>5434</v>
      </c>
      <c r="D688" s="160"/>
      <c r="E688" s="439">
        <v>7.54</v>
      </c>
      <c r="F688" s="161">
        <v>241.03376095799999</v>
      </c>
      <c r="G688" s="161"/>
      <c r="H688" s="654"/>
      <c r="I688" s="654"/>
      <c r="J688" s="191"/>
      <c r="K688" s="191">
        <v>72.610595743515404</v>
      </c>
      <c r="L688" s="191"/>
      <c r="M688" s="191"/>
      <c r="N688" s="191"/>
      <c r="O688" s="191"/>
      <c r="P688" s="191"/>
      <c r="Q688" s="191"/>
      <c r="R688" s="191"/>
      <c r="S688" s="191"/>
      <c r="T688" s="191"/>
      <c r="U688" s="439"/>
      <c r="V688" s="441"/>
      <c r="W688" s="178"/>
      <c r="X688" s="172"/>
      <c r="Y688" s="172"/>
      <c r="Z688" s="172"/>
      <c r="AA688" s="195"/>
      <c r="AB688" s="172"/>
    </row>
    <row r="689" spans="1:28" ht="12.75" customHeight="1" x14ac:dyDescent="0.3">
      <c r="A689" s="667"/>
      <c r="B689" s="668" t="s">
        <v>5435</v>
      </c>
      <c r="C689" s="160" t="s">
        <v>5436</v>
      </c>
      <c r="D689" s="160"/>
      <c r="E689" s="439">
        <v>0.23</v>
      </c>
      <c r="F689" s="161">
        <v>537.05965740099998</v>
      </c>
      <c r="G689" s="161"/>
      <c r="H689" s="654"/>
      <c r="I689" s="654"/>
      <c r="J689" s="191"/>
      <c r="K689" s="191">
        <v>6.20826147597844</v>
      </c>
      <c r="L689" s="191"/>
      <c r="M689" s="191"/>
      <c r="N689" s="191"/>
      <c r="O689" s="191"/>
      <c r="P689" s="191"/>
      <c r="Q689" s="191"/>
      <c r="R689" s="191"/>
      <c r="S689" s="191"/>
      <c r="T689" s="191"/>
      <c r="U689" s="439"/>
      <c r="V689" s="441"/>
      <c r="W689" s="178"/>
      <c r="X689" s="172"/>
      <c r="Y689" s="172"/>
      <c r="Z689" s="172"/>
      <c r="AA689" s="195"/>
      <c r="AB689" s="172"/>
    </row>
    <row r="690" spans="1:28" ht="12.75" customHeight="1" x14ac:dyDescent="0.3">
      <c r="A690" s="667"/>
      <c r="B690" s="668" t="s">
        <v>5437</v>
      </c>
      <c r="C690" s="160" t="s">
        <v>5438</v>
      </c>
      <c r="D690" s="160"/>
      <c r="E690" s="439">
        <v>8.52</v>
      </c>
      <c r="F690" s="161">
        <v>617.10785717199997</v>
      </c>
      <c r="G690" s="161">
        <v>-1.8680000000000001</v>
      </c>
      <c r="H690" s="654">
        <v>0.33489019858000002</v>
      </c>
      <c r="I690" s="654">
        <v>6.2281610485084099E-2</v>
      </c>
      <c r="J690" s="191"/>
      <c r="K690" s="191">
        <v>127699.736168833</v>
      </c>
      <c r="L690" s="191"/>
      <c r="M690" s="191"/>
      <c r="N690" s="191"/>
      <c r="O690" s="191"/>
      <c r="P690" s="191"/>
      <c r="Q690" s="191"/>
      <c r="R690" s="191"/>
      <c r="S690" s="191"/>
      <c r="T690" s="191"/>
      <c r="U690" s="439"/>
      <c r="V690" s="441"/>
      <c r="W690" s="178"/>
      <c r="X690" s="172"/>
      <c r="Y690" s="172"/>
      <c r="Z690" s="172"/>
      <c r="AA690" s="195"/>
      <c r="AB690" s="172"/>
    </row>
    <row r="691" spans="1:28" ht="12.75" customHeight="1" x14ac:dyDescent="0.3">
      <c r="A691" s="667"/>
      <c r="B691" s="668" t="s">
        <v>5439</v>
      </c>
      <c r="C691" s="160" t="s">
        <v>5440</v>
      </c>
      <c r="D691" s="160"/>
      <c r="E691" s="439">
        <v>8.94</v>
      </c>
      <c r="F691" s="161">
        <v>489.082944392</v>
      </c>
      <c r="G691" s="161"/>
      <c r="H691" s="654"/>
      <c r="I691" s="654"/>
      <c r="J691" s="191"/>
      <c r="K691" s="191">
        <v>182120.98897501099</v>
      </c>
      <c r="L691" s="191"/>
      <c r="M691" s="191"/>
      <c r="N691" s="191"/>
      <c r="O691" s="191"/>
      <c r="P691" s="191"/>
      <c r="Q691" s="191"/>
      <c r="R691" s="191"/>
      <c r="S691" s="191"/>
      <c r="T691" s="191"/>
      <c r="U691" s="439"/>
      <c r="V691" s="441"/>
      <c r="W691" s="178"/>
      <c r="X691" s="172"/>
      <c r="Y691" s="172"/>
      <c r="Z691" s="172"/>
      <c r="AA691" s="195"/>
      <c r="AB691" s="172"/>
    </row>
    <row r="692" spans="1:28" ht="12.75" customHeight="1" x14ac:dyDescent="0.3">
      <c r="A692" s="667"/>
      <c r="B692" s="668" t="s">
        <v>5441</v>
      </c>
      <c r="C692" s="160" t="s">
        <v>5442</v>
      </c>
      <c r="D692" s="160"/>
      <c r="E692" s="439">
        <v>4.49</v>
      </c>
      <c r="F692" s="161">
        <v>371.06036963100001</v>
      </c>
      <c r="G692" s="161"/>
      <c r="H692" s="654"/>
      <c r="I692" s="654"/>
      <c r="J692" s="191"/>
      <c r="K692" s="191">
        <v>112.103713735463</v>
      </c>
      <c r="L692" s="191"/>
      <c r="M692" s="191"/>
      <c r="N692" s="191"/>
      <c r="O692" s="191"/>
      <c r="P692" s="191"/>
      <c r="Q692" s="191"/>
      <c r="R692" s="191"/>
      <c r="S692" s="191"/>
      <c r="T692" s="191"/>
      <c r="U692" s="439"/>
      <c r="V692" s="441"/>
      <c r="W692" s="178"/>
      <c r="X692" s="172"/>
      <c r="Y692" s="172"/>
      <c r="Z692" s="172"/>
      <c r="AA692" s="195"/>
      <c r="AB692" s="172"/>
    </row>
    <row r="693" spans="1:28" ht="12.75" customHeight="1" x14ac:dyDescent="0.3">
      <c r="A693" s="667"/>
      <c r="B693" s="668" t="s">
        <v>5443</v>
      </c>
      <c r="C693" s="160" t="s">
        <v>5444</v>
      </c>
      <c r="D693" s="160"/>
      <c r="E693" s="439">
        <v>3.47</v>
      </c>
      <c r="F693" s="161">
        <v>357.04471956700002</v>
      </c>
      <c r="G693" s="161"/>
      <c r="H693" s="654"/>
      <c r="I693" s="654"/>
      <c r="J693" s="191"/>
      <c r="K693" s="191">
        <v>56.042822544347899</v>
      </c>
      <c r="L693" s="191"/>
      <c r="M693" s="191"/>
      <c r="N693" s="191"/>
      <c r="O693" s="191"/>
      <c r="P693" s="191"/>
      <c r="Q693" s="191"/>
      <c r="R693" s="191"/>
      <c r="S693" s="191"/>
      <c r="T693" s="191"/>
      <c r="U693" s="439"/>
      <c r="V693" s="441"/>
      <c r="W693" s="178"/>
      <c r="X693" s="172"/>
      <c r="Y693" s="172"/>
      <c r="Z693" s="172"/>
      <c r="AA693" s="195"/>
      <c r="AB693" s="172"/>
    </row>
    <row r="694" spans="1:28" ht="12.75" customHeight="1" x14ac:dyDescent="0.3">
      <c r="A694" s="667"/>
      <c r="B694" s="668" t="s">
        <v>5445</v>
      </c>
      <c r="C694" s="160" t="s">
        <v>5446</v>
      </c>
      <c r="D694" s="160"/>
      <c r="E694" s="439"/>
      <c r="F694" s="161">
        <v>242.01777654200001</v>
      </c>
      <c r="G694" s="161">
        <v>-83.947999999999993</v>
      </c>
      <c r="H694" s="654">
        <v>4044.8428257999999</v>
      </c>
      <c r="I694" s="654">
        <v>64.990001605929393</v>
      </c>
      <c r="J694" s="191"/>
      <c r="K694" s="191">
        <v>97.631508583819596</v>
      </c>
      <c r="L694" s="191"/>
      <c r="M694" s="191"/>
      <c r="N694" s="191"/>
      <c r="O694" s="191"/>
      <c r="P694" s="191"/>
      <c r="Q694" s="191"/>
      <c r="R694" s="191"/>
      <c r="S694" s="191"/>
      <c r="T694" s="191"/>
      <c r="U694" s="439"/>
      <c r="V694" s="441"/>
      <c r="W694" s="178"/>
      <c r="X694" s="172"/>
      <c r="Y694" s="172"/>
      <c r="Z694" s="172"/>
      <c r="AA694" s="195"/>
      <c r="AB694" s="172"/>
    </row>
    <row r="695" spans="1:28" ht="12.75" customHeight="1" x14ac:dyDescent="0.3">
      <c r="A695" s="667"/>
      <c r="B695" s="668" t="s">
        <v>5447</v>
      </c>
      <c r="C695" s="160" t="s">
        <v>5448</v>
      </c>
      <c r="D695" s="160"/>
      <c r="E695" s="439"/>
      <c r="F695" s="161">
        <v>296.04832778000002</v>
      </c>
      <c r="G695" s="161">
        <v>10.565</v>
      </c>
      <c r="H695" s="654">
        <v>28.242399192000001</v>
      </c>
      <c r="I695" s="654">
        <v>21.595482108574299</v>
      </c>
      <c r="J695" s="191"/>
      <c r="K695" s="191">
        <v>834.16122824104298</v>
      </c>
      <c r="L695" s="191"/>
      <c r="M695" s="191"/>
      <c r="N695" s="191"/>
      <c r="O695" s="191"/>
      <c r="P695" s="191"/>
      <c r="Q695" s="191"/>
      <c r="R695" s="191"/>
      <c r="S695" s="191"/>
      <c r="T695" s="191"/>
      <c r="U695" s="439"/>
      <c r="V695" s="441"/>
      <c r="W695" s="178"/>
      <c r="X695" s="172"/>
      <c r="Y695" s="172"/>
      <c r="Z695" s="172"/>
      <c r="AA695" s="195"/>
      <c r="AB695" s="172"/>
    </row>
    <row r="696" spans="1:28" ht="12.75" customHeight="1" x14ac:dyDescent="0.3">
      <c r="A696" s="667"/>
      <c r="B696" s="668" t="s">
        <v>5449</v>
      </c>
      <c r="C696" s="160" t="s">
        <v>5450</v>
      </c>
      <c r="D696" s="160"/>
      <c r="E696" s="439"/>
      <c r="F696" s="161">
        <v>641.99222714999996</v>
      </c>
      <c r="G696" s="161">
        <v>-31.420999999999999</v>
      </c>
      <c r="H696" s="654">
        <v>13.705768244</v>
      </c>
      <c r="I696" s="654"/>
      <c r="J696" s="191"/>
      <c r="K696" s="191">
        <v>212319.55730526001</v>
      </c>
      <c r="L696" s="191"/>
      <c r="M696" s="191"/>
      <c r="N696" s="191"/>
      <c r="O696" s="191"/>
      <c r="P696" s="191"/>
      <c r="Q696" s="191"/>
      <c r="R696" s="191"/>
      <c r="S696" s="191"/>
      <c r="T696" s="191"/>
      <c r="U696" s="439"/>
      <c r="V696" s="441"/>
      <c r="W696" s="178"/>
      <c r="X696" s="172"/>
      <c r="Y696" s="172"/>
      <c r="Z696" s="172"/>
      <c r="AA696" s="195"/>
      <c r="AB696" s="172"/>
    </row>
    <row r="697" spans="1:28" ht="12.75" customHeight="1" x14ac:dyDescent="0.3">
      <c r="A697" s="667"/>
      <c r="B697" s="668" t="s">
        <v>5451</v>
      </c>
      <c r="C697" s="160" t="s">
        <v>5452</v>
      </c>
      <c r="D697" s="160"/>
      <c r="E697" s="439">
        <v>6.9379999999999997</v>
      </c>
      <c r="F697" s="161">
        <v>492.00180817199998</v>
      </c>
      <c r="G697" s="161">
        <v>-48.402999999999999</v>
      </c>
      <c r="H697" s="654">
        <v>42.845157852</v>
      </c>
      <c r="I697" s="654">
        <v>0.143538083521523</v>
      </c>
      <c r="J697" s="191"/>
      <c r="K697" s="191">
        <v>19892.529006287601</v>
      </c>
      <c r="L697" s="191"/>
      <c r="M697" s="191"/>
      <c r="N697" s="191"/>
      <c r="O697" s="191"/>
      <c r="P697" s="191"/>
      <c r="Q697" s="191"/>
      <c r="R697" s="191"/>
      <c r="S697" s="191"/>
      <c r="T697" s="191"/>
      <c r="U697" s="439"/>
      <c r="V697" s="441"/>
      <c r="W697" s="178"/>
      <c r="X697" s="172"/>
      <c r="Y697" s="172"/>
      <c r="Z697" s="172"/>
      <c r="AA697" s="195"/>
      <c r="AB697" s="172"/>
    </row>
    <row r="698" spans="1:28" ht="12.75" customHeight="1" x14ac:dyDescent="0.3">
      <c r="A698" s="667"/>
      <c r="B698" s="668" t="s">
        <v>5453</v>
      </c>
      <c r="C698" s="160" t="s">
        <v>5454</v>
      </c>
      <c r="D698" s="160"/>
      <c r="E698" s="439"/>
      <c r="F698" s="161">
        <v>442.00500184600003</v>
      </c>
      <c r="G698" s="161">
        <v>-46.619</v>
      </c>
      <c r="H698" s="654">
        <v>80.149720028000004</v>
      </c>
      <c r="I698" s="654">
        <v>0.906622979586441</v>
      </c>
      <c r="J698" s="191"/>
      <c r="K698" s="191">
        <v>13602.8528478887</v>
      </c>
      <c r="L698" s="191"/>
      <c r="M698" s="191"/>
      <c r="N698" s="191"/>
      <c r="O698" s="191"/>
      <c r="P698" s="191"/>
      <c r="Q698" s="191"/>
      <c r="R698" s="191"/>
      <c r="S698" s="191"/>
      <c r="T698" s="191"/>
      <c r="U698" s="439"/>
      <c r="V698" s="441"/>
      <c r="W698" s="178"/>
      <c r="X698" s="172"/>
      <c r="Y698" s="172"/>
      <c r="Z698" s="172"/>
      <c r="AA698" s="195"/>
      <c r="AB698" s="172"/>
    </row>
    <row r="699" spans="1:28" ht="12.75" customHeight="1" x14ac:dyDescent="0.3">
      <c r="A699" s="667"/>
      <c r="B699" s="668" t="s">
        <v>5455</v>
      </c>
      <c r="C699" s="160" t="s">
        <v>5456</v>
      </c>
      <c r="D699" s="160"/>
      <c r="E699" s="439">
        <v>5.258</v>
      </c>
      <c r="F699" s="161">
        <v>392.00819552000002</v>
      </c>
      <c r="G699" s="161">
        <v>-36.835999999999999</v>
      </c>
      <c r="H699" s="654">
        <v>132.404211352</v>
      </c>
      <c r="I699" s="654">
        <v>1.99661926232397</v>
      </c>
      <c r="J699" s="191"/>
      <c r="K699" s="191">
        <v>6836.2824835748597</v>
      </c>
      <c r="L699" s="191"/>
      <c r="M699" s="191"/>
      <c r="N699" s="191"/>
      <c r="O699" s="191"/>
      <c r="P699" s="191"/>
      <c r="Q699" s="191"/>
      <c r="R699" s="191"/>
      <c r="S699" s="191"/>
      <c r="T699" s="191"/>
      <c r="U699" s="439"/>
      <c r="V699" s="441"/>
      <c r="W699" s="178"/>
      <c r="X699" s="172"/>
      <c r="Y699" s="172"/>
      <c r="Z699" s="172"/>
      <c r="AA699" s="195"/>
      <c r="AB699" s="172"/>
    </row>
    <row r="700" spans="1:28" ht="12.75" customHeight="1" x14ac:dyDescent="0.3">
      <c r="A700" s="667"/>
      <c r="B700" s="668" t="s">
        <v>5457</v>
      </c>
      <c r="C700" s="160" t="s">
        <v>5458</v>
      </c>
      <c r="D700" s="160"/>
      <c r="E700" s="439"/>
      <c r="F700" s="161">
        <v>292.01458286799999</v>
      </c>
      <c r="G700" s="161">
        <v>-67.284999999999997</v>
      </c>
      <c r="H700" s="654">
        <v>322.03395812000002</v>
      </c>
      <c r="I700" s="654">
        <v>10.4810458112148</v>
      </c>
      <c r="J700" s="191"/>
      <c r="K700" s="191">
        <v>805.71231181390795</v>
      </c>
      <c r="L700" s="191"/>
      <c r="M700" s="191"/>
      <c r="N700" s="191"/>
      <c r="O700" s="191"/>
      <c r="P700" s="191"/>
      <c r="Q700" s="191"/>
      <c r="R700" s="191"/>
      <c r="S700" s="191"/>
      <c r="T700" s="191"/>
      <c r="U700" s="439"/>
      <c r="V700" s="441"/>
      <c r="W700" s="178"/>
      <c r="X700" s="172"/>
      <c r="Y700" s="172"/>
      <c r="Z700" s="172"/>
      <c r="AA700" s="195"/>
      <c r="AB700" s="172"/>
    </row>
    <row r="701" spans="1:28" ht="12.75" customHeight="1" x14ac:dyDescent="0.3">
      <c r="A701" s="667"/>
      <c r="B701" s="668" t="s">
        <v>5459</v>
      </c>
      <c r="C701" s="160" t="s">
        <v>5460</v>
      </c>
      <c r="D701" s="160"/>
      <c r="E701" s="439"/>
      <c r="F701" s="161">
        <v>242.01777654200001</v>
      </c>
      <c r="G701" s="161">
        <v>-76.427999999999997</v>
      </c>
      <c r="H701" s="654">
        <v>505.71034429999997</v>
      </c>
      <c r="I701" s="654">
        <v>38.180966445042401</v>
      </c>
      <c r="J701" s="191"/>
      <c r="K701" s="191">
        <v>143.00130474851599</v>
      </c>
      <c r="L701" s="191"/>
      <c r="M701" s="191"/>
      <c r="N701" s="191"/>
      <c r="O701" s="191"/>
      <c r="P701" s="191"/>
      <c r="Q701" s="191"/>
      <c r="R701" s="191"/>
      <c r="S701" s="191"/>
      <c r="T701" s="191"/>
      <c r="U701" s="439"/>
      <c r="V701" s="441"/>
      <c r="W701" s="178"/>
      <c r="X701" s="172"/>
      <c r="Y701" s="172"/>
      <c r="Z701" s="172"/>
      <c r="AA701" s="195"/>
      <c r="AB701" s="172"/>
    </row>
    <row r="702" spans="1:28" ht="12.75" customHeight="1" x14ac:dyDescent="0.3">
      <c r="A702" s="667"/>
      <c r="B702" s="668" t="s">
        <v>5461</v>
      </c>
      <c r="C702" s="160" t="s">
        <v>5462</v>
      </c>
      <c r="D702" s="160"/>
      <c r="E702" s="439">
        <v>10.49</v>
      </c>
      <c r="F702" s="161">
        <v>427.07668839899998</v>
      </c>
      <c r="G702" s="161"/>
      <c r="H702" s="654"/>
      <c r="I702" s="654"/>
      <c r="J702" s="191"/>
      <c r="K702" s="191">
        <v>10207.279336252301</v>
      </c>
      <c r="L702" s="191"/>
      <c r="M702" s="191"/>
      <c r="N702" s="191"/>
      <c r="O702" s="191"/>
      <c r="P702" s="191"/>
      <c r="Q702" s="191"/>
      <c r="R702" s="191"/>
      <c r="S702" s="191"/>
      <c r="T702" s="191"/>
      <c r="U702" s="439"/>
      <c r="V702" s="441"/>
      <c r="W702" s="178"/>
      <c r="X702" s="172"/>
      <c r="Y702" s="172"/>
      <c r="Z702" s="172"/>
      <c r="AA702" s="195"/>
      <c r="AB702" s="172"/>
    </row>
    <row r="703" spans="1:28" ht="12.75" customHeight="1" x14ac:dyDescent="0.3">
      <c r="A703" s="667"/>
      <c r="B703" s="668" t="s">
        <v>5463</v>
      </c>
      <c r="C703" s="160" t="s">
        <v>5464</v>
      </c>
      <c r="D703" s="160"/>
      <c r="E703" s="439">
        <v>4.68</v>
      </c>
      <c r="F703" s="161">
        <v>299.03924026300001</v>
      </c>
      <c r="G703" s="161"/>
      <c r="H703" s="654"/>
      <c r="I703" s="654"/>
      <c r="J703" s="191"/>
      <c r="K703" s="191">
        <v>385.79802495768399</v>
      </c>
      <c r="L703" s="191"/>
      <c r="M703" s="191"/>
      <c r="N703" s="191"/>
      <c r="O703" s="191"/>
      <c r="P703" s="191"/>
      <c r="Q703" s="191"/>
      <c r="R703" s="191"/>
      <c r="S703" s="191"/>
      <c r="T703" s="191"/>
      <c r="U703" s="439"/>
      <c r="V703" s="441"/>
      <c r="W703" s="178"/>
      <c r="X703" s="172"/>
      <c r="Y703" s="172"/>
      <c r="Z703" s="172"/>
      <c r="AA703" s="195"/>
      <c r="AB703" s="172"/>
    </row>
    <row r="704" spans="1:28" ht="12.75" customHeight="1" x14ac:dyDescent="0.3">
      <c r="A704" s="667"/>
      <c r="B704" s="668" t="s">
        <v>5465</v>
      </c>
      <c r="C704" s="160" t="s">
        <v>5466</v>
      </c>
      <c r="D704" s="160"/>
      <c r="E704" s="439">
        <v>6.78</v>
      </c>
      <c r="F704" s="161">
        <v>512.05362149999996</v>
      </c>
      <c r="G704" s="161"/>
      <c r="H704" s="654"/>
      <c r="I704" s="654"/>
      <c r="J704" s="191"/>
      <c r="K704" s="191">
        <v>8.0119641988888208</v>
      </c>
      <c r="L704" s="191"/>
      <c r="M704" s="191"/>
      <c r="N704" s="191"/>
      <c r="O704" s="191"/>
      <c r="P704" s="191"/>
      <c r="Q704" s="191"/>
      <c r="R704" s="191"/>
      <c r="S704" s="191"/>
      <c r="T704" s="191"/>
      <c r="U704" s="439"/>
      <c r="V704" s="441"/>
      <c r="W704" s="178"/>
      <c r="X704" s="172"/>
      <c r="Y704" s="172"/>
      <c r="Z704" s="172"/>
      <c r="AA704" s="195"/>
      <c r="AB704" s="172"/>
    </row>
    <row r="705" spans="1:28" ht="12.75" customHeight="1" x14ac:dyDescent="0.3">
      <c r="A705" s="667"/>
      <c r="B705" s="668" t="s">
        <v>5467</v>
      </c>
      <c r="C705" s="160" t="s">
        <v>5468</v>
      </c>
      <c r="D705" s="160"/>
      <c r="E705" s="439">
        <v>13</v>
      </c>
      <c r="F705" s="161">
        <v>565.97142859999997</v>
      </c>
      <c r="G705" s="161"/>
      <c r="H705" s="654"/>
      <c r="I705" s="654"/>
      <c r="J705" s="191"/>
      <c r="K705" s="191"/>
      <c r="L705" s="191"/>
      <c r="M705" s="191"/>
      <c r="N705" s="191"/>
      <c r="O705" s="191"/>
      <c r="P705" s="191"/>
      <c r="Q705" s="191"/>
      <c r="R705" s="191"/>
      <c r="S705" s="191"/>
      <c r="T705" s="191"/>
      <c r="U705" s="439"/>
      <c r="V705" s="441"/>
      <c r="W705" s="178"/>
      <c r="X705" s="172"/>
      <c r="Y705" s="172"/>
      <c r="Z705" s="172"/>
      <c r="AA705" s="195"/>
      <c r="AB705" s="172"/>
    </row>
    <row r="706" spans="1:28" ht="12.75" customHeight="1" x14ac:dyDescent="0.3">
      <c r="A706" s="667"/>
      <c r="B706" s="668" t="s">
        <v>5469</v>
      </c>
      <c r="C706" s="160" t="s">
        <v>5470</v>
      </c>
      <c r="D706" s="160"/>
      <c r="E706" s="439">
        <v>10</v>
      </c>
      <c r="F706" s="161">
        <v>299.05763768600002</v>
      </c>
      <c r="G706" s="161">
        <v>-52.726999999999997</v>
      </c>
      <c r="H706" s="654">
        <v>22.075056794000002</v>
      </c>
      <c r="I706" s="654">
        <v>13.575482216645799</v>
      </c>
      <c r="J706" s="191"/>
      <c r="K706" s="191">
        <v>23457.406828069699</v>
      </c>
      <c r="L706" s="191"/>
      <c r="M706" s="191"/>
      <c r="N706" s="191"/>
      <c r="O706" s="191"/>
      <c r="P706" s="191"/>
      <c r="Q706" s="191"/>
      <c r="R706" s="191"/>
      <c r="S706" s="191"/>
      <c r="T706" s="191"/>
      <c r="U706" s="439"/>
      <c r="V706" s="441"/>
      <c r="W706" s="178"/>
      <c r="X706" s="172"/>
      <c r="Y706" s="172"/>
      <c r="Z706" s="172"/>
      <c r="AA706" s="195"/>
      <c r="AB706" s="172"/>
    </row>
    <row r="707" spans="1:28" ht="12.75" customHeight="1" x14ac:dyDescent="0.3">
      <c r="A707" s="667"/>
      <c r="B707" s="668" t="s">
        <v>5471</v>
      </c>
      <c r="C707" s="160" t="s">
        <v>5472</v>
      </c>
      <c r="D707" s="160"/>
      <c r="E707" s="439">
        <v>5.81</v>
      </c>
      <c r="F707" s="161">
        <v>422.99402262299998</v>
      </c>
      <c r="G707" s="161">
        <v>-42.087000000000003</v>
      </c>
      <c r="H707" s="654">
        <v>2.0840228430000001</v>
      </c>
      <c r="I707" s="654">
        <v>3.8577520156642402</v>
      </c>
      <c r="J707" s="191"/>
      <c r="K707" s="191">
        <v>24577.629891275501</v>
      </c>
      <c r="L707" s="191"/>
      <c r="M707" s="191"/>
      <c r="N707" s="191"/>
      <c r="O707" s="191"/>
      <c r="P707" s="191"/>
      <c r="Q707" s="191"/>
      <c r="R707" s="191"/>
      <c r="S707" s="191"/>
      <c r="T707" s="191"/>
      <c r="U707" s="439"/>
      <c r="V707" s="441"/>
      <c r="W707" s="178"/>
      <c r="X707" s="172"/>
      <c r="Y707" s="172"/>
      <c r="Z707" s="172"/>
      <c r="AA707" s="195"/>
      <c r="AB707" s="172"/>
    </row>
    <row r="708" spans="1:28" ht="12.75" customHeight="1" x14ac:dyDescent="0.3">
      <c r="A708" s="667"/>
      <c r="B708" s="668" t="s">
        <v>5473</v>
      </c>
      <c r="C708" s="160" t="s">
        <v>5474</v>
      </c>
      <c r="D708" s="160"/>
      <c r="E708" s="439">
        <v>6.51</v>
      </c>
      <c r="F708" s="161">
        <v>509.07727813700001</v>
      </c>
      <c r="G708" s="161"/>
      <c r="H708" s="654"/>
      <c r="I708" s="654"/>
      <c r="J708" s="191"/>
      <c r="K708" s="191">
        <v>408582.72445075097</v>
      </c>
      <c r="L708" s="191"/>
      <c r="M708" s="191"/>
      <c r="N708" s="191"/>
      <c r="O708" s="191"/>
      <c r="P708" s="191"/>
      <c r="Q708" s="191"/>
      <c r="R708" s="191"/>
      <c r="S708" s="191"/>
      <c r="T708" s="191"/>
      <c r="U708" s="439"/>
      <c r="V708" s="441"/>
      <c r="W708" s="178"/>
      <c r="X708" s="172"/>
      <c r="Y708" s="172"/>
      <c r="Z708" s="172"/>
      <c r="AA708" s="195"/>
      <c r="AB708" s="172"/>
    </row>
    <row r="709" spans="1:28" ht="12.75" customHeight="1" x14ac:dyDescent="0.3">
      <c r="A709" s="667"/>
      <c r="B709" s="668" t="s">
        <v>5475</v>
      </c>
      <c r="C709" s="160" t="s">
        <v>5476</v>
      </c>
      <c r="D709" s="160"/>
      <c r="E709" s="439">
        <v>8.16</v>
      </c>
      <c r="F709" s="161">
        <v>512.094485556</v>
      </c>
      <c r="G709" s="161"/>
      <c r="H709" s="654"/>
      <c r="I709" s="654"/>
      <c r="J709" s="191"/>
      <c r="K709" s="191">
        <v>45739.3512033964</v>
      </c>
      <c r="L709" s="191"/>
      <c r="M709" s="191"/>
      <c r="N709" s="191"/>
      <c r="O709" s="191"/>
      <c r="P709" s="191"/>
      <c r="Q709" s="191"/>
      <c r="R709" s="191"/>
      <c r="S709" s="191"/>
      <c r="T709" s="191"/>
      <c r="U709" s="439"/>
      <c r="V709" s="441"/>
      <c r="W709" s="178"/>
      <c r="X709" s="172"/>
      <c r="Y709" s="172"/>
      <c r="Z709" s="172"/>
      <c r="AA709" s="195"/>
      <c r="AB709" s="172"/>
    </row>
    <row r="710" spans="1:28" ht="12.75" customHeight="1" x14ac:dyDescent="0.3">
      <c r="A710" s="667"/>
      <c r="B710" s="668" t="s">
        <v>5477</v>
      </c>
      <c r="C710" s="160" t="s">
        <v>5478</v>
      </c>
      <c r="D710" s="160"/>
      <c r="E710" s="439"/>
      <c r="F710" s="161">
        <v>243.01302551399999</v>
      </c>
      <c r="G710" s="161">
        <v>49.575000000000003</v>
      </c>
      <c r="H710" s="654">
        <v>15.9919739</v>
      </c>
      <c r="I710" s="654">
        <v>423.28251797054003</v>
      </c>
      <c r="J710" s="191"/>
      <c r="K710" s="191">
        <v>96.981746307732095</v>
      </c>
      <c r="L710" s="191"/>
      <c r="M710" s="191"/>
      <c r="N710" s="191"/>
      <c r="O710" s="191"/>
      <c r="P710" s="191"/>
      <c r="Q710" s="191"/>
      <c r="R710" s="191"/>
      <c r="S710" s="191"/>
      <c r="T710" s="191"/>
      <c r="U710" s="439"/>
      <c r="V710" s="441"/>
      <c r="W710" s="178"/>
      <c r="X710" s="172"/>
      <c r="Y710" s="172"/>
      <c r="Z710" s="172"/>
      <c r="AA710" s="195"/>
      <c r="AB710" s="172"/>
    </row>
    <row r="711" spans="1:28" ht="12.75" customHeight="1" x14ac:dyDescent="0.3">
      <c r="A711" s="667"/>
      <c r="B711" s="668" t="s">
        <v>5479</v>
      </c>
      <c r="C711" s="160" t="s">
        <v>5480</v>
      </c>
      <c r="D711" s="160"/>
      <c r="E711" s="439">
        <v>6.6</v>
      </c>
      <c r="F711" s="161">
        <v>446.066379101</v>
      </c>
      <c r="G711" s="161"/>
      <c r="H711" s="654"/>
      <c r="I711" s="654"/>
      <c r="J711" s="191"/>
      <c r="K711" s="191">
        <v>86148.952270987298</v>
      </c>
      <c r="L711" s="191"/>
      <c r="M711" s="191"/>
      <c r="N711" s="191"/>
      <c r="O711" s="191"/>
      <c r="P711" s="191"/>
      <c r="Q711" s="191"/>
      <c r="R711" s="191"/>
      <c r="S711" s="191"/>
      <c r="T711" s="191"/>
      <c r="U711" s="439"/>
      <c r="V711" s="441"/>
      <c r="W711" s="178"/>
      <c r="X711" s="172"/>
      <c r="Y711" s="172"/>
      <c r="Z711" s="172"/>
      <c r="AA711" s="195"/>
      <c r="AB711" s="172"/>
    </row>
    <row r="712" spans="1:28" ht="12.75" customHeight="1" x14ac:dyDescent="0.3">
      <c r="A712" s="667"/>
      <c r="B712" s="668" t="s">
        <v>5481</v>
      </c>
      <c r="C712" s="160" t="s">
        <v>5482</v>
      </c>
      <c r="D712" s="160"/>
      <c r="E712" s="439">
        <v>6</v>
      </c>
      <c r="F712" s="161">
        <v>296.07596012300002</v>
      </c>
      <c r="G712" s="161"/>
      <c r="H712" s="654"/>
      <c r="I712" s="654"/>
      <c r="J712" s="191"/>
      <c r="K712" s="191">
        <v>210.04870095956699</v>
      </c>
      <c r="L712" s="191"/>
      <c r="M712" s="191"/>
      <c r="N712" s="191"/>
      <c r="O712" s="191"/>
      <c r="P712" s="191"/>
      <c r="Q712" s="191"/>
      <c r="R712" s="191"/>
      <c r="S712" s="191"/>
      <c r="T712" s="191"/>
      <c r="U712" s="439"/>
      <c r="V712" s="441"/>
      <c r="W712" s="178"/>
      <c r="X712" s="172"/>
      <c r="Y712" s="172"/>
      <c r="Z712" s="172"/>
      <c r="AA712" s="195"/>
      <c r="AB712" s="172"/>
    </row>
    <row r="713" spans="1:28" ht="12.75" customHeight="1" x14ac:dyDescent="0.3">
      <c r="A713" s="667"/>
      <c r="B713" s="668" t="s">
        <v>5483</v>
      </c>
      <c r="C713" s="160" t="s">
        <v>5484</v>
      </c>
      <c r="D713" s="160"/>
      <c r="E713" s="439">
        <v>0.23</v>
      </c>
      <c r="F713" s="161">
        <v>509.02835727299998</v>
      </c>
      <c r="G713" s="161"/>
      <c r="H713" s="654"/>
      <c r="I713" s="654"/>
      <c r="J713" s="191"/>
      <c r="K713" s="191">
        <v>8.6428703841750192</v>
      </c>
      <c r="L713" s="191"/>
      <c r="M713" s="191"/>
      <c r="N713" s="191"/>
      <c r="O713" s="191"/>
      <c r="P713" s="191"/>
      <c r="Q713" s="191"/>
      <c r="R713" s="191"/>
      <c r="S713" s="191"/>
      <c r="T713" s="191"/>
      <c r="U713" s="439"/>
      <c r="V713" s="441"/>
      <c r="W713" s="178"/>
      <c r="X713" s="172"/>
      <c r="Y713" s="172"/>
      <c r="Z713" s="172"/>
      <c r="AA713" s="195"/>
      <c r="AB713" s="172"/>
    </row>
    <row r="714" spans="1:28" ht="12.75" customHeight="1" x14ac:dyDescent="0.3">
      <c r="A714" s="667"/>
      <c r="B714" s="668" t="s">
        <v>5485</v>
      </c>
      <c r="C714" s="160" t="s">
        <v>5486</v>
      </c>
      <c r="D714" s="160"/>
      <c r="E714" s="439">
        <v>7.91</v>
      </c>
      <c r="F714" s="161">
        <v>477.00214252400002</v>
      </c>
      <c r="G714" s="161"/>
      <c r="H714" s="654"/>
      <c r="I714" s="654"/>
      <c r="J714" s="191"/>
      <c r="K714" s="191">
        <v>51868.059455744202</v>
      </c>
      <c r="L714" s="191"/>
      <c r="M714" s="191"/>
      <c r="N714" s="191"/>
      <c r="O714" s="191"/>
      <c r="P714" s="191"/>
      <c r="Q714" s="191"/>
      <c r="R714" s="191"/>
      <c r="S714" s="191"/>
      <c r="T714" s="191"/>
      <c r="U714" s="439"/>
      <c r="V714" s="441"/>
      <c r="W714" s="178"/>
      <c r="X714" s="172"/>
      <c r="Y714" s="172"/>
      <c r="Z714" s="172"/>
      <c r="AA714" s="195"/>
      <c r="AB714" s="172"/>
    </row>
    <row r="715" spans="1:28" ht="12.75" customHeight="1" x14ac:dyDescent="0.3">
      <c r="A715" s="667"/>
      <c r="B715" s="668" t="s">
        <v>5487</v>
      </c>
      <c r="C715" s="160" t="s">
        <v>5488</v>
      </c>
      <c r="D715" s="160"/>
      <c r="E715" s="439">
        <v>7.61</v>
      </c>
      <c r="F715" s="161">
        <v>377.008529872</v>
      </c>
      <c r="G715" s="161">
        <v>-8.4890000000000008</v>
      </c>
      <c r="H715" s="654">
        <v>44.658203729999997</v>
      </c>
      <c r="I715" s="654">
        <v>3.3678398178583602</v>
      </c>
      <c r="J715" s="191"/>
      <c r="K715" s="191">
        <v>6784.0649943149101</v>
      </c>
      <c r="L715" s="191"/>
      <c r="M715" s="191"/>
      <c r="N715" s="191"/>
      <c r="O715" s="191"/>
      <c r="P715" s="191"/>
      <c r="Q715" s="191"/>
      <c r="R715" s="191"/>
      <c r="S715" s="191"/>
      <c r="T715" s="191"/>
      <c r="U715" s="439"/>
      <c r="V715" s="441"/>
      <c r="W715" s="178"/>
      <c r="X715" s="172"/>
      <c r="Y715" s="172"/>
      <c r="Z715" s="172"/>
      <c r="AA715" s="195"/>
      <c r="AB715" s="172"/>
    </row>
    <row r="716" spans="1:28" ht="12.75" customHeight="1" x14ac:dyDescent="0.3">
      <c r="A716" s="667"/>
      <c r="B716" s="668" t="s">
        <v>5489</v>
      </c>
      <c r="C716" s="160" t="s">
        <v>5490</v>
      </c>
      <c r="D716" s="160"/>
      <c r="E716" s="439">
        <v>7.47</v>
      </c>
      <c r="F716" s="161">
        <v>277.01491721999997</v>
      </c>
      <c r="G716" s="161"/>
      <c r="H716" s="654"/>
      <c r="I716" s="654"/>
      <c r="J716" s="191"/>
      <c r="K716" s="191">
        <v>224.61564365752201</v>
      </c>
      <c r="L716" s="191"/>
      <c r="M716" s="191"/>
      <c r="N716" s="191"/>
      <c r="O716" s="191"/>
      <c r="P716" s="191"/>
      <c r="Q716" s="191"/>
      <c r="R716" s="191"/>
      <c r="S716" s="191"/>
      <c r="T716" s="191"/>
      <c r="U716" s="439"/>
      <c r="V716" s="441"/>
      <c r="W716" s="178"/>
      <c r="X716" s="172"/>
      <c r="Y716" s="172"/>
      <c r="Z716" s="172"/>
      <c r="AA716" s="195"/>
      <c r="AB716" s="172"/>
    </row>
    <row r="717" spans="1:28" ht="12.75" customHeight="1" x14ac:dyDescent="0.3">
      <c r="A717" s="667"/>
      <c r="B717" s="668" t="s">
        <v>5491</v>
      </c>
      <c r="C717" s="160" t="s">
        <v>5492</v>
      </c>
      <c r="D717" s="160"/>
      <c r="E717" s="439">
        <v>7.41</v>
      </c>
      <c r="F717" s="161">
        <v>227.01811089399999</v>
      </c>
      <c r="G717" s="161"/>
      <c r="H717" s="654"/>
      <c r="I717" s="654"/>
      <c r="J717" s="191"/>
      <c r="K717" s="191">
        <v>96.634009614011006</v>
      </c>
      <c r="L717" s="191"/>
      <c r="M717" s="191"/>
      <c r="N717" s="191"/>
      <c r="O717" s="191"/>
      <c r="P717" s="191"/>
      <c r="Q717" s="191"/>
      <c r="R717" s="191"/>
      <c r="S717" s="191"/>
      <c r="T717" s="191"/>
      <c r="U717" s="439"/>
      <c r="V717" s="441"/>
      <c r="W717" s="178"/>
      <c r="X717" s="172"/>
      <c r="Y717" s="172"/>
      <c r="Z717" s="172"/>
      <c r="AA717" s="195"/>
      <c r="AB717" s="172"/>
    </row>
    <row r="718" spans="1:28" ht="12.75" customHeight="1" x14ac:dyDescent="0.3">
      <c r="A718" s="667"/>
      <c r="B718" s="668" t="s">
        <v>5493</v>
      </c>
      <c r="C718" s="160" t="s">
        <v>5494</v>
      </c>
      <c r="D718" s="160"/>
      <c r="E718" s="439"/>
      <c r="F718" s="161">
        <v>228.00212647800001</v>
      </c>
      <c r="G718" s="161">
        <v>-87.965999999999994</v>
      </c>
      <c r="H718" s="654">
        <v>30967.234228000001</v>
      </c>
      <c r="I718" s="654">
        <v>86.883858328465493</v>
      </c>
      <c r="J718" s="191"/>
      <c r="K718" s="191">
        <v>75.399766337294196</v>
      </c>
      <c r="L718" s="191"/>
      <c r="M718" s="191"/>
      <c r="N718" s="191"/>
      <c r="O718" s="191"/>
      <c r="P718" s="191"/>
      <c r="Q718" s="191"/>
      <c r="R718" s="191"/>
      <c r="S718" s="191"/>
      <c r="T718" s="191"/>
      <c r="U718" s="439"/>
      <c r="V718" s="441"/>
      <c r="W718" s="178"/>
      <c r="X718" s="172"/>
      <c r="Y718" s="172"/>
      <c r="Z718" s="172"/>
      <c r="AA718" s="195"/>
      <c r="AB718" s="172"/>
    </row>
    <row r="719" spans="1:28" ht="12.75" customHeight="1" x14ac:dyDescent="0.3">
      <c r="A719" s="667"/>
      <c r="B719" s="668" t="s">
        <v>5495</v>
      </c>
      <c r="C719" s="160" t="s">
        <v>5496</v>
      </c>
      <c r="D719" s="160"/>
      <c r="E719" s="439"/>
      <c r="F719" s="161">
        <v>827.96380238999996</v>
      </c>
      <c r="G719" s="161">
        <v>-39.359000000000002</v>
      </c>
      <c r="H719" s="654">
        <v>2.8177471378000001</v>
      </c>
      <c r="I719" s="654"/>
      <c r="J719" s="191"/>
      <c r="K719" s="191">
        <v>254167.48992612999</v>
      </c>
      <c r="L719" s="191"/>
      <c r="M719" s="191"/>
      <c r="N719" s="191"/>
      <c r="O719" s="191"/>
      <c r="P719" s="191"/>
      <c r="Q719" s="191"/>
      <c r="R719" s="191"/>
      <c r="S719" s="191"/>
      <c r="T719" s="191"/>
      <c r="U719" s="439"/>
      <c r="V719" s="441"/>
      <c r="W719" s="178"/>
      <c r="X719" s="172"/>
      <c r="Y719" s="172"/>
      <c r="Z719" s="172"/>
      <c r="AA719" s="195"/>
      <c r="AB719" s="172"/>
    </row>
    <row r="720" spans="1:28" ht="12.75" customHeight="1" x14ac:dyDescent="0.3">
      <c r="A720" s="667"/>
      <c r="B720" s="668" t="s">
        <v>5497</v>
      </c>
      <c r="C720" s="160" t="s">
        <v>5498</v>
      </c>
      <c r="D720" s="160"/>
      <c r="E720" s="439"/>
      <c r="F720" s="161">
        <v>777.966996064</v>
      </c>
      <c r="G720" s="161">
        <v>-37.575000000000003</v>
      </c>
      <c r="H720" s="654">
        <v>1.7494512840000001</v>
      </c>
      <c r="I720" s="654"/>
      <c r="J720" s="191"/>
      <c r="K720" s="191">
        <v>229805.27851555299</v>
      </c>
      <c r="L720" s="191"/>
      <c r="M720" s="191"/>
      <c r="N720" s="191"/>
      <c r="O720" s="191"/>
      <c r="P720" s="191"/>
      <c r="Q720" s="191"/>
      <c r="R720" s="191"/>
      <c r="S720" s="191"/>
      <c r="T720" s="191"/>
      <c r="U720" s="439"/>
      <c r="V720" s="441"/>
      <c r="W720" s="178"/>
      <c r="X720" s="172"/>
      <c r="Y720" s="172"/>
      <c r="Z720" s="172"/>
      <c r="AA720" s="195"/>
      <c r="AB720" s="172"/>
    </row>
    <row r="721" spans="1:28" ht="12.75" customHeight="1" x14ac:dyDescent="0.3">
      <c r="A721" s="667"/>
      <c r="B721" s="668" t="s">
        <v>5499</v>
      </c>
      <c r="C721" s="160" t="s">
        <v>5500</v>
      </c>
      <c r="D721" s="160"/>
      <c r="E721" s="439"/>
      <c r="F721" s="161">
        <v>727.97018973800004</v>
      </c>
      <c r="G721" s="161">
        <v>-35.790999999999997</v>
      </c>
      <c r="H721" s="654">
        <v>4.7632350905999896</v>
      </c>
      <c r="I721" s="654"/>
      <c r="J721" s="191"/>
      <c r="K721" s="191">
        <v>198467.77459165099</v>
      </c>
      <c r="L721" s="191"/>
      <c r="M721" s="191"/>
      <c r="N721" s="191"/>
      <c r="O721" s="191"/>
      <c r="P721" s="191"/>
      <c r="Q721" s="191"/>
      <c r="R721" s="191"/>
      <c r="S721" s="191"/>
      <c r="T721" s="191"/>
      <c r="U721" s="439"/>
      <c r="V721" s="441"/>
      <c r="W721" s="178"/>
      <c r="X721" s="172"/>
      <c r="Y721" s="172"/>
      <c r="Z721" s="172"/>
      <c r="AA721" s="195"/>
      <c r="AB721" s="172"/>
    </row>
    <row r="722" spans="1:28" ht="12.75" customHeight="1" x14ac:dyDescent="0.3">
      <c r="A722" s="667"/>
      <c r="B722" s="668" t="s">
        <v>5501</v>
      </c>
      <c r="C722" s="160" t="s">
        <v>5502</v>
      </c>
      <c r="D722" s="160"/>
      <c r="E722" s="439"/>
      <c r="F722" s="161">
        <v>677.97338341199998</v>
      </c>
      <c r="G722" s="161"/>
      <c r="H722" s="654"/>
      <c r="I722" s="654"/>
      <c r="J722" s="191"/>
      <c r="K722" s="191">
        <v>210213.20804832701</v>
      </c>
      <c r="L722" s="191"/>
      <c r="M722" s="191"/>
      <c r="N722" s="191"/>
      <c r="O722" s="191"/>
      <c r="P722" s="191"/>
      <c r="Q722" s="191"/>
      <c r="R722" s="191"/>
      <c r="S722" s="191"/>
      <c r="T722" s="191"/>
      <c r="U722" s="439"/>
      <c r="V722" s="441"/>
      <c r="W722" s="178"/>
      <c r="X722" s="172"/>
      <c r="Y722" s="172"/>
      <c r="Z722" s="172"/>
      <c r="AA722" s="195"/>
      <c r="AB722" s="172"/>
    </row>
    <row r="723" spans="1:28" ht="12.75" customHeight="1" x14ac:dyDescent="0.3">
      <c r="A723" s="667"/>
      <c r="B723" s="668" t="s">
        <v>5503</v>
      </c>
      <c r="C723" s="160" t="s">
        <v>5504</v>
      </c>
      <c r="D723" s="160"/>
      <c r="E723" s="439"/>
      <c r="F723" s="161">
        <v>627.97657708600002</v>
      </c>
      <c r="G723" s="161">
        <v>-54.558</v>
      </c>
      <c r="H723" s="654">
        <v>11.166104133799999</v>
      </c>
      <c r="I723" s="654"/>
      <c r="J723" s="191"/>
      <c r="K723" s="191">
        <v>185255.026301365</v>
      </c>
      <c r="L723" s="191"/>
      <c r="M723" s="191"/>
      <c r="N723" s="191"/>
      <c r="O723" s="191"/>
      <c r="P723" s="191"/>
      <c r="Q723" s="191"/>
      <c r="R723" s="191"/>
      <c r="S723" s="191"/>
      <c r="T723" s="191"/>
      <c r="U723" s="439"/>
      <c r="V723" s="441"/>
      <c r="W723" s="178"/>
      <c r="X723" s="172"/>
      <c r="Y723" s="172"/>
      <c r="Z723" s="172"/>
      <c r="AA723" s="195"/>
      <c r="AB723" s="172"/>
    </row>
    <row r="724" spans="1:28" ht="12.75" customHeight="1" x14ac:dyDescent="0.3">
      <c r="A724" s="667"/>
      <c r="B724" s="668" t="s">
        <v>5505</v>
      </c>
      <c r="C724" s="160" t="s">
        <v>5506</v>
      </c>
      <c r="D724" s="160"/>
      <c r="E724" s="439"/>
      <c r="F724" s="161">
        <v>577.97977075999995</v>
      </c>
      <c r="G724" s="161">
        <v>-52.774000000000001</v>
      </c>
      <c r="H724" s="654">
        <v>17.943274691999999</v>
      </c>
      <c r="I724" s="654"/>
      <c r="J724" s="191"/>
      <c r="K724" s="191">
        <v>67271.327821312807</v>
      </c>
      <c r="L724" s="191"/>
      <c r="M724" s="191"/>
      <c r="N724" s="191"/>
      <c r="O724" s="191"/>
      <c r="P724" s="191"/>
      <c r="Q724" s="191"/>
      <c r="R724" s="191"/>
      <c r="S724" s="191"/>
      <c r="T724" s="191"/>
      <c r="U724" s="439"/>
      <c r="V724" s="441"/>
      <c r="W724" s="178"/>
      <c r="X724" s="172"/>
      <c r="Y724" s="172"/>
      <c r="Z724" s="172"/>
      <c r="AA724" s="195"/>
      <c r="AB724" s="172"/>
    </row>
    <row r="725" spans="1:28" ht="12.75" customHeight="1" x14ac:dyDescent="0.3">
      <c r="A725" s="667"/>
      <c r="B725" s="668" t="s">
        <v>5507</v>
      </c>
      <c r="C725" s="160" t="s">
        <v>5508</v>
      </c>
      <c r="D725" s="160"/>
      <c r="E725" s="439"/>
      <c r="F725" s="161">
        <v>527.982964434</v>
      </c>
      <c r="G725" s="161">
        <v>-50.99</v>
      </c>
      <c r="H725" s="654">
        <v>30.192633407999999</v>
      </c>
      <c r="I725" s="654"/>
      <c r="J725" s="191"/>
      <c r="K725" s="191">
        <v>61105.457495143397</v>
      </c>
      <c r="L725" s="191"/>
      <c r="M725" s="191"/>
      <c r="N725" s="191"/>
      <c r="O725" s="191"/>
      <c r="P725" s="191"/>
      <c r="Q725" s="191"/>
      <c r="R725" s="191"/>
      <c r="S725" s="191"/>
      <c r="T725" s="191"/>
      <c r="U725" s="439"/>
      <c r="V725" s="441"/>
      <c r="W725" s="178"/>
      <c r="X725" s="172"/>
      <c r="Y725" s="172"/>
      <c r="Z725" s="172"/>
      <c r="AA725" s="195"/>
      <c r="AB725" s="172"/>
    </row>
    <row r="726" spans="1:28" ht="12.75" customHeight="1" x14ac:dyDescent="0.3">
      <c r="A726" s="667"/>
      <c r="B726" s="668" t="s">
        <v>5509</v>
      </c>
      <c r="C726" s="160" t="s">
        <v>5510</v>
      </c>
      <c r="D726" s="160"/>
      <c r="E726" s="439"/>
      <c r="F726" s="161">
        <v>477.98615810799998</v>
      </c>
      <c r="G726" s="161">
        <v>-49.207000000000001</v>
      </c>
      <c r="H726" s="654">
        <v>55.70593126</v>
      </c>
      <c r="I726" s="654">
        <v>0.56158593716108895</v>
      </c>
      <c r="J726" s="191"/>
      <c r="K726" s="191">
        <v>35505.039488103597</v>
      </c>
      <c r="L726" s="191"/>
      <c r="M726" s="191"/>
      <c r="N726" s="191"/>
      <c r="O726" s="191"/>
      <c r="P726" s="191"/>
      <c r="Q726" s="191"/>
      <c r="R726" s="191"/>
      <c r="S726" s="191"/>
      <c r="T726" s="191"/>
      <c r="U726" s="439"/>
      <c r="V726" s="441"/>
      <c r="W726" s="178"/>
      <c r="X726" s="172"/>
      <c r="Y726" s="172"/>
      <c r="Z726" s="172"/>
      <c r="AA726" s="195"/>
      <c r="AB726" s="172"/>
    </row>
    <row r="727" spans="1:28" ht="12.75" customHeight="1" x14ac:dyDescent="0.3">
      <c r="A727" s="667"/>
      <c r="B727" s="668" t="s">
        <v>5511</v>
      </c>
      <c r="C727" s="160" t="s">
        <v>5512</v>
      </c>
      <c r="D727" s="160"/>
      <c r="E727" s="439"/>
      <c r="F727" s="161">
        <v>427.98935178200003</v>
      </c>
      <c r="G727" s="161">
        <v>-39.423000000000002</v>
      </c>
      <c r="H727" s="654">
        <v>143.18649478</v>
      </c>
      <c r="I727" s="654">
        <v>1.24862897456936</v>
      </c>
      <c r="J727" s="191"/>
      <c r="K727" s="191">
        <v>5777.6336433352099</v>
      </c>
      <c r="L727" s="191"/>
      <c r="M727" s="191"/>
      <c r="N727" s="191"/>
      <c r="O727" s="191"/>
      <c r="P727" s="191"/>
      <c r="Q727" s="191"/>
      <c r="R727" s="191"/>
      <c r="S727" s="191"/>
      <c r="T727" s="191"/>
      <c r="U727" s="439"/>
      <c r="V727" s="441"/>
      <c r="W727" s="178"/>
      <c r="X727" s="172"/>
      <c r="Y727" s="172"/>
      <c r="Z727" s="172"/>
      <c r="AA727" s="195"/>
      <c r="AB727" s="172"/>
    </row>
    <row r="728" spans="1:28" ht="12.75" customHeight="1" x14ac:dyDescent="0.3">
      <c r="A728" s="667"/>
      <c r="B728" s="668" t="s">
        <v>5513</v>
      </c>
      <c r="C728" s="160" t="s">
        <v>5514</v>
      </c>
      <c r="D728" s="160"/>
      <c r="E728" s="439"/>
      <c r="F728" s="161">
        <v>377.99254545600002</v>
      </c>
      <c r="G728" s="161">
        <v>-37.639000000000003</v>
      </c>
      <c r="H728" s="654">
        <v>779.65372379999997</v>
      </c>
      <c r="I728" s="654">
        <v>2.7383140765996199</v>
      </c>
      <c r="J728" s="191"/>
      <c r="K728" s="191">
        <v>1944.50918991139</v>
      </c>
      <c r="L728" s="191"/>
      <c r="M728" s="191"/>
      <c r="N728" s="191"/>
      <c r="O728" s="191"/>
      <c r="P728" s="191"/>
      <c r="Q728" s="191"/>
      <c r="R728" s="191"/>
      <c r="S728" s="191"/>
      <c r="T728" s="191"/>
      <c r="U728" s="439"/>
      <c r="V728" s="441"/>
      <c r="W728" s="178"/>
      <c r="X728" s="172"/>
      <c r="Y728" s="172"/>
      <c r="Z728" s="172"/>
      <c r="AA728" s="195"/>
      <c r="AB728" s="172"/>
    </row>
    <row r="729" spans="1:28" ht="12.75" customHeight="1" x14ac:dyDescent="0.3">
      <c r="A729" s="667"/>
      <c r="B729" s="668" t="s">
        <v>5515</v>
      </c>
      <c r="C729" s="160" t="s">
        <v>5516</v>
      </c>
      <c r="D729" s="160"/>
      <c r="E729" s="439"/>
      <c r="F729" s="161">
        <v>327.99573913</v>
      </c>
      <c r="G729" s="161">
        <v>-49.856000000000002</v>
      </c>
      <c r="H729" s="654">
        <v>823.95129152000004</v>
      </c>
      <c r="I729" s="654">
        <v>13.991642239807501</v>
      </c>
      <c r="J729" s="191"/>
      <c r="K729" s="191">
        <v>1902.3919519496901</v>
      </c>
      <c r="L729" s="191"/>
      <c r="M729" s="191"/>
      <c r="N729" s="191"/>
      <c r="O729" s="191"/>
      <c r="P729" s="191"/>
      <c r="Q729" s="191"/>
      <c r="R729" s="191"/>
      <c r="S729" s="191"/>
      <c r="T729" s="191"/>
      <c r="U729" s="439"/>
      <c r="V729" s="441"/>
      <c r="W729" s="178"/>
      <c r="X729" s="172"/>
      <c r="Y729" s="172"/>
      <c r="Z729" s="172"/>
      <c r="AA729" s="195"/>
      <c r="AB729" s="172"/>
    </row>
    <row r="730" spans="1:28" ht="12.75" customHeight="1" x14ac:dyDescent="0.3">
      <c r="A730" s="667"/>
      <c r="B730" s="668" t="s">
        <v>5517</v>
      </c>
      <c r="C730" s="160" t="s">
        <v>5518</v>
      </c>
      <c r="D730" s="160"/>
      <c r="E730" s="439"/>
      <c r="F730" s="161">
        <v>277.99893280399999</v>
      </c>
      <c r="G730" s="161">
        <v>-5.8710000000000004</v>
      </c>
      <c r="H730" s="654">
        <v>1655.392613</v>
      </c>
      <c r="I730" s="654">
        <v>106.18002439089</v>
      </c>
      <c r="J730" s="191"/>
      <c r="K730" s="191">
        <v>218.80638952673701</v>
      </c>
      <c r="L730" s="191"/>
      <c r="M730" s="191"/>
      <c r="N730" s="191"/>
      <c r="O730" s="191"/>
      <c r="P730" s="191"/>
      <c r="Q730" s="191"/>
      <c r="R730" s="191"/>
      <c r="S730" s="191"/>
      <c r="T730" s="191"/>
      <c r="U730" s="439"/>
      <c r="V730" s="441"/>
      <c r="W730" s="178"/>
      <c r="X730" s="172"/>
      <c r="Y730" s="172"/>
      <c r="Z730" s="172"/>
      <c r="AA730" s="195"/>
      <c r="AB730" s="172"/>
    </row>
    <row r="731" spans="1:28" ht="12.75" customHeight="1" x14ac:dyDescent="0.3">
      <c r="A731" s="667"/>
      <c r="B731" s="668" t="s">
        <v>5519</v>
      </c>
      <c r="C731" s="160" t="s">
        <v>5520</v>
      </c>
      <c r="D731" s="160"/>
      <c r="E731" s="439"/>
      <c r="F731" s="161">
        <v>228.00212647800001</v>
      </c>
      <c r="G731" s="161">
        <v>-63.771999999999998</v>
      </c>
      <c r="H731" s="654">
        <v>22125.985798000002</v>
      </c>
      <c r="I731" s="654">
        <v>97.261147112985199</v>
      </c>
      <c r="J731" s="191"/>
      <c r="K731" s="191">
        <v>79.546302972816505</v>
      </c>
      <c r="L731" s="191"/>
      <c r="M731" s="191"/>
      <c r="N731" s="191"/>
      <c r="O731" s="191"/>
      <c r="P731" s="191"/>
      <c r="Q731" s="191"/>
      <c r="R731" s="191"/>
      <c r="S731" s="191"/>
      <c r="T731" s="191"/>
      <c r="U731" s="439"/>
      <c r="V731" s="441"/>
      <c r="W731" s="178"/>
      <c r="X731" s="172"/>
      <c r="Y731" s="172"/>
      <c r="Z731" s="172"/>
      <c r="AA731" s="195"/>
      <c r="AB731" s="172"/>
    </row>
    <row r="732" spans="1:28" ht="12.75" customHeight="1" x14ac:dyDescent="0.3">
      <c r="A732" s="667"/>
      <c r="B732" s="668" t="s">
        <v>5521</v>
      </c>
      <c r="C732" s="160" t="s">
        <v>5522</v>
      </c>
      <c r="D732" s="160"/>
      <c r="E732" s="439">
        <v>6.76</v>
      </c>
      <c r="F732" s="161">
        <v>285.02359019800002</v>
      </c>
      <c r="G732" s="161"/>
      <c r="H732" s="654"/>
      <c r="I732" s="654"/>
      <c r="J732" s="191"/>
      <c r="K732" s="191">
        <v>138.47456195794601</v>
      </c>
      <c r="L732" s="191"/>
      <c r="M732" s="191"/>
      <c r="N732" s="191"/>
      <c r="O732" s="191"/>
      <c r="P732" s="191"/>
      <c r="Q732" s="191"/>
      <c r="R732" s="191"/>
      <c r="S732" s="191"/>
      <c r="T732" s="191"/>
      <c r="U732" s="439"/>
      <c r="V732" s="441"/>
      <c r="W732" s="178"/>
      <c r="X732" s="172"/>
      <c r="Y732" s="172"/>
      <c r="Z732" s="172"/>
      <c r="AA732" s="195"/>
      <c r="AB732" s="172"/>
    </row>
    <row r="733" spans="1:28" ht="12.75" customHeight="1" x14ac:dyDescent="0.3">
      <c r="A733" s="667"/>
      <c r="B733" s="668" t="s">
        <v>5523</v>
      </c>
      <c r="C733" s="160" t="s">
        <v>5524</v>
      </c>
      <c r="D733" s="160"/>
      <c r="E733" s="439">
        <v>9.6</v>
      </c>
      <c r="F733" s="161">
        <v>377.086190456</v>
      </c>
      <c r="G733" s="161">
        <v>81.36</v>
      </c>
      <c r="H733" s="654">
        <v>1.1038288332400001E-3</v>
      </c>
      <c r="I733" s="654">
        <v>2.4290723421985101</v>
      </c>
      <c r="J733" s="191"/>
      <c r="K733" s="191">
        <v>4146.6750151569904</v>
      </c>
      <c r="L733" s="191"/>
      <c r="M733" s="191"/>
      <c r="N733" s="191"/>
      <c r="O733" s="191"/>
      <c r="P733" s="191"/>
      <c r="Q733" s="191"/>
      <c r="R733" s="191"/>
      <c r="S733" s="191"/>
      <c r="T733" s="191"/>
      <c r="U733" s="439"/>
      <c r="V733" s="441"/>
      <c r="W733" s="178"/>
      <c r="X733" s="172"/>
      <c r="Y733" s="172"/>
      <c r="Z733" s="172"/>
      <c r="AA733" s="195"/>
      <c r="AB733" s="172"/>
    </row>
    <row r="734" spans="1:28" ht="12.75" customHeight="1" x14ac:dyDescent="0.3">
      <c r="A734" s="667"/>
      <c r="B734" s="668" t="s">
        <v>5525</v>
      </c>
      <c r="C734" s="160" t="s">
        <v>5526</v>
      </c>
      <c r="D734" s="160"/>
      <c r="E734" s="439">
        <v>48.76</v>
      </c>
      <c r="F734" s="161">
        <v>350.03890591099997</v>
      </c>
      <c r="G734" s="161">
        <v>-0.376</v>
      </c>
      <c r="H734" s="654">
        <v>0.31110155412000001</v>
      </c>
      <c r="I734" s="654">
        <v>3.0138139775593502</v>
      </c>
      <c r="J734" s="191"/>
      <c r="K734" s="191">
        <v>10969.580006169899</v>
      </c>
      <c r="L734" s="191"/>
      <c r="M734" s="191"/>
      <c r="N734" s="191"/>
      <c r="O734" s="191"/>
      <c r="P734" s="191"/>
      <c r="Q734" s="191"/>
      <c r="R734" s="191"/>
      <c r="S734" s="191"/>
      <c r="T734" s="191"/>
      <c r="U734" s="439"/>
      <c r="V734" s="441"/>
      <c r="W734" s="178"/>
      <c r="X734" s="172"/>
      <c r="Y734" s="172"/>
      <c r="Z734" s="172"/>
      <c r="AA734" s="195"/>
      <c r="AB734" s="172"/>
    </row>
    <row r="735" spans="1:28" ht="12.75" customHeight="1" x14ac:dyDescent="0.3">
      <c r="A735" s="667"/>
      <c r="B735" s="668" t="s">
        <v>5527</v>
      </c>
      <c r="C735" s="160" t="s">
        <v>5528</v>
      </c>
      <c r="D735" s="160"/>
      <c r="E735" s="439"/>
      <c r="F735" s="161">
        <v>334.043991291</v>
      </c>
      <c r="G735" s="161">
        <v>-5.4820000000000002</v>
      </c>
      <c r="H735" s="654">
        <v>1.0183614319200001</v>
      </c>
      <c r="I735" s="654">
        <v>2.2898314750208502</v>
      </c>
      <c r="J735" s="191"/>
      <c r="K735" s="191">
        <v>8366.6191447376004</v>
      </c>
      <c r="L735" s="191"/>
      <c r="M735" s="191"/>
      <c r="N735" s="191"/>
      <c r="O735" s="191"/>
      <c r="P735" s="191"/>
      <c r="Q735" s="191"/>
      <c r="R735" s="191"/>
      <c r="S735" s="191"/>
      <c r="T735" s="191"/>
      <c r="U735" s="439"/>
      <c r="V735" s="441"/>
      <c r="W735" s="178"/>
      <c r="X735" s="172"/>
      <c r="Y735" s="172"/>
      <c r="Z735" s="172"/>
      <c r="AA735" s="195"/>
      <c r="AB735" s="172"/>
    </row>
    <row r="736" spans="1:28" ht="12.75" customHeight="1" x14ac:dyDescent="0.3">
      <c r="A736" s="667"/>
      <c r="B736" s="668" t="s">
        <v>5529</v>
      </c>
      <c r="C736" s="160" t="s">
        <v>5530</v>
      </c>
      <c r="D736" s="160"/>
      <c r="E736" s="439">
        <v>16</v>
      </c>
      <c r="F736" s="161">
        <v>445.12363859300001</v>
      </c>
      <c r="G736" s="161"/>
      <c r="H736" s="654"/>
      <c r="I736" s="654"/>
      <c r="J736" s="191"/>
      <c r="K736" s="191">
        <v>20975.3878503788</v>
      </c>
      <c r="L736" s="191"/>
      <c r="M736" s="191"/>
      <c r="N736" s="191"/>
      <c r="O736" s="191"/>
      <c r="P736" s="191"/>
      <c r="Q736" s="191"/>
      <c r="R736" s="191"/>
      <c r="S736" s="191"/>
      <c r="T736" s="191"/>
      <c r="U736" s="439"/>
      <c r="V736" s="441"/>
      <c r="W736" s="178"/>
      <c r="X736" s="172"/>
      <c r="Y736" s="172"/>
      <c r="Z736" s="172"/>
      <c r="AA736" s="195"/>
      <c r="AB736" s="172"/>
    </row>
    <row r="737" spans="1:28" ht="12.75" customHeight="1" x14ac:dyDescent="0.3">
      <c r="A737" s="667"/>
      <c r="B737" s="668" t="s">
        <v>5531</v>
      </c>
      <c r="C737" s="160" t="s">
        <v>5532</v>
      </c>
      <c r="D737" s="160"/>
      <c r="E737" s="439">
        <v>9.8800000000000008</v>
      </c>
      <c r="F737" s="161">
        <v>519.03155094700003</v>
      </c>
      <c r="G737" s="161"/>
      <c r="H737" s="654"/>
      <c r="I737" s="654"/>
      <c r="J737" s="191"/>
      <c r="K737" s="191">
        <v>1998250.8206507999</v>
      </c>
      <c r="L737" s="191"/>
      <c r="M737" s="191"/>
      <c r="N737" s="191"/>
      <c r="O737" s="191"/>
      <c r="P737" s="191"/>
      <c r="Q737" s="191"/>
      <c r="R737" s="191"/>
      <c r="S737" s="191"/>
      <c r="T737" s="191"/>
      <c r="U737" s="439"/>
      <c r="V737" s="441"/>
      <c r="W737" s="178"/>
      <c r="X737" s="172"/>
      <c r="Y737" s="172"/>
      <c r="Z737" s="172"/>
      <c r="AA737" s="195"/>
      <c r="AB737" s="172"/>
    </row>
    <row r="738" spans="1:28" ht="12.75" customHeight="1" x14ac:dyDescent="0.3">
      <c r="A738" s="667"/>
      <c r="B738" s="668" t="s">
        <v>5533</v>
      </c>
      <c r="C738" s="160" t="s">
        <v>5534</v>
      </c>
      <c r="D738" s="160"/>
      <c r="E738" s="439">
        <v>9.5299999999999994</v>
      </c>
      <c r="F738" s="161">
        <v>364.02940385400001</v>
      </c>
      <c r="G738" s="161"/>
      <c r="H738" s="654"/>
      <c r="I738" s="654"/>
      <c r="J738" s="191"/>
      <c r="K738" s="191">
        <v>24246.552662101702</v>
      </c>
      <c r="L738" s="191"/>
      <c r="M738" s="191"/>
      <c r="N738" s="191"/>
      <c r="O738" s="191"/>
      <c r="P738" s="191"/>
      <c r="Q738" s="191"/>
      <c r="R738" s="191"/>
      <c r="S738" s="191"/>
      <c r="T738" s="191"/>
      <c r="U738" s="439"/>
      <c r="V738" s="441"/>
      <c r="W738" s="178"/>
      <c r="X738" s="172"/>
      <c r="Y738" s="172"/>
      <c r="Z738" s="172"/>
      <c r="AA738" s="195"/>
      <c r="AB738" s="172"/>
    </row>
    <row r="739" spans="1:28" ht="12.75" customHeight="1" x14ac:dyDescent="0.3">
      <c r="A739" s="667"/>
      <c r="B739" s="668" t="s">
        <v>5535</v>
      </c>
      <c r="C739" s="160" t="s">
        <v>5536</v>
      </c>
      <c r="D739" s="160"/>
      <c r="E739" s="439">
        <v>9.94</v>
      </c>
      <c r="F739" s="161">
        <v>319.04432564299998</v>
      </c>
      <c r="G739" s="161"/>
      <c r="H739" s="654"/>
      <c r="I739" s="654"/>
      <c r="J739" s="191"/>
      <c r="K739" s="191">
        <v>11650.645822864</v>
      </c>
      <c r="L739" s="191"/>
      <c r="M739" s="191"/>
      <c r="N739" s="191"/>
      <c r="O739" s="191"/>
      <c r="P739" s="191"/>
      <c r="Q739" s="191"/>
      <c r="R739" s="191"/>
      <c r="S739" s="191"/>
      <c r="T739" s="191"/>
      <c r="U739" s="439"/>
      <c r="V739" s="441"/>
      <c r="W739" s="178"/>
      <c r="X739" s="172"/>
      <c r="Y739" s="172"/>
      <c r="Z739" s="172"/>
      <c r="AA739" s="195"/>
      <c r="AB739" s="172"/>
    </row>
    <row r="740" spans="1:28" ht="12.75" customHeight="1" x14ac:dyDescent="0.3">
      <c r="A740" s="667"/>
      <c r="B740" s="668" t="s">
        <v>5537</v>
      </c>
      <c r="C740" s="160" t="s">
        <v>5538</v>
      </c>
      <c r="D740" s="160"/>
      <c r="E740" s="439">
        <v>9.51</v>
      </c>
      <c r="F740" s="161">
        <v>469.03474462100002</v>
      </c>
      <c r="G740" s="161"/>
      <c r="H740" s="654"/>
      <c r="I740" s="654"/>
      <c r="J740" s="191"/>
      <c r="K740" s="191">
        <v>531985.75091706601</v>
      </c>
      <c r="L740" s="191"/>
      <c r="M740" s="191"/>
      <c r="N740" s="191"/>
      <c r="O740" s="191"/>
      <c r="P740" s="191"/>
      <c r="Q740" s="191"/>
      <c r="R740" s="191"/>
      <c r="S740" s="191"/>
      <c r="T740" s="191"/>
      <c r="U740" s="439"/>
      <c r="V740" s="441"/>
      <c r="W740" s="178"/>
      <c r="X740" s="172"/>
      <c r="Y740" s="172"/>
      <c r="Z740" s="172"/>
      <c r="AA740" s="195"/>
      <c r="AB740" s="172"/>
    </row>
    <row r="741" spans="1:28" ht="12.75" customHeight="1" x14ac:dyDescent="0.3">
      <c r="A741" s="667"/>
      <c r="B741" s="668" t="s">
        <v>5539</v>
      </c>
      <c r="C741" s="160" t="s">
        <v>5540</v>
      </c>
      <c r="D741" s="160"/>
      <c r="E741" s="439">
        <v>9.57</v>
      </c>
      <c r="F741" s="161">
        <v>319.04432564299998</v>
      </c>
      <c r="G741" s="161"/>
      <c r="H741" s="654"/>
      <c r="I741" s="654"/>
      <c r="J741" s="191"/>
      <c r="K741" s="191">
        <v>9820.4185957092795</v>
      </c>
      <c r="L741" s="191"/>
      <c r="M741" s="191"/>
      <c r="N741" s="191"/>
      <c r="O741" s="191"/>
      <c r="P741" s="191"/>
      <c r="Q741" s="191"/>
      <c r="R741" s="191"/>
      <c r="S741" s="191"/>
      <c r="T741" s="191"/>
      <c r="U741" s="439"/>
      <c r="V741" s="441"/>
      <c r="W741" s="178"/>
      <c r="X741" s="172"/>
      <c r="Y741" s="172"/>
      <c r="Z741" s="172"/>
      <c r="AA741" s="195"/>
      <c r="AB741" s="172"/>
    </row>
    <row r="742" spans="1:28" ht="12.75" customHeight="1" x14ac:dyDescent="0.3">
      <c r="A742" s="667"/>
      <c r="B742" s="668" t="s">
        <v>5541</v>
      </c>
      <c r="C742" s="160" t="s">
        <v>5542</v>
      </c>
      <c r="D742" s="160"/>
      <c r="E742" s="439">
        <v>8.25</v>
      </c>
      <c r="F742" s="161">
        <v>271.04432564299998</v>
      </c>
      <c r="G742" s="161"/>
      <c r="H742" s="654"/>
      <c r="I742" s="654"/>
      <c r="J742" s="191"/>
      <c r="K742" s="191">
        <v>93.579344771036105</v>
      </c>
      <c r="L742" s="191"/>
      <c r="M742" s="191"/>
      <c r="N742" s="191"/>
      <c r="O742" s="191"/>
      <c r="P742" s="191"/>
      <c r="Q742" s="191"/>
      <c r="R742" s="191"/>
      <c r="S742" s="191"/>
      <c r="T742" s="191"/>
      <c r="U742" s="439"/>
      <c r="V742" s="441"/>
      <c r="W742" s="178"/>
      <c r="X742" s="172"/>
      <c r="Y742" s="172"/>
      <c r="Z742" s="172"/>
      <c r="AA742" s="195"/>
      <c r="AB742" s="172"/>
    </row>
    <row r="743" spans="1:28" ht="12.75" customHeight="1" x14ac:dyDescent="0.3">
      <c r="A743" s="667"/>
      <c r="B743" s="668" t="s">
        <v>5543</v>
      </c>
      <c r="C743" s="160" t="s">
        <v>5544</v>
      </c>
      <c r="D743" s="160"/>
      <c r="E743" s="439"/>
      <c r="F743" s="161">
        <v>815.943815836</v>
      </c>
      <c r="G743" s="161"/>
      <c r="H743" s="654"/>
      <c r="I743" s="654"/>
      <c r="J743" s="191"/>
      <c r="K743" s="191">
        <v>271875.45430050499</v>
      </c>
      <c r="L743" s="191"/>
      <c r="M743" s="191"/>
      <c r="N743" s="191"/>
      <c r="O743" s="191"/>
      <c r="P743" s="191"/>
      <c r="Q743" s="191"/>
      <c r="R743" s="191"/>
      <c r="S743" s="191"/>
      <c r="T743" s="191"/>
      <c r="U743" s="439"/>
      <c r="V743" s="441"/>
      <c r="W743" s="178"/>
      <c r="X743" s="172"/>
      <c r="Y743" s="172"/>
      <c r="Z743" s="172"/>
      <c r="AA743" s="195"/>
      <c r="AB743" s="172"/>
    </row>
    <row r="744" spans="1:28" ht="12.75" customHeight="1" x14ac:dyDescent="0.3">
      <c r="A744" s="667"/>
      <c r="B744" s="668" t="s">
        <v>5545</v>
      </c>
      <c r="C744" s="160" t="s">
        <v>5546</v>
      </c>
      <c r="D744" s="160"/>
      <c r="E744" s="439"/>
      <c r="F744" s="161">
        <v>465.96617155400003</v>
      </c>
      <c r="G744" s="161"/>
      <c r="H744" s="654"/>
      <c r="I744" s="654"/>
      <c r="J744" s="191"/>
      <c r="K744" s="191">
        <v>18534.889447633101</v>
      </c>
      <c r="L744" s="191"/>
      <c r="M744" s="191"/>
      <c r="N744" s="191"/>
      <c r="O744" s="191"/>
      <c r="P744" s="191"/>
      <c r="Q744" s="191"/>
      <c r="R744" s="191"/>
      <c r="S744" s="191"/>
      <c r="T744" s="191"/>
      <c r="U744" s="439"/>
      <c r="V744" s="441"/>
      <c r="W744" s="178"/>
      <c r="X744" s="172"/>
      <c r="Y744" s="172"/>
      <c r="Z744" s="172"/>
      <c r="AA744" s="195"/>
      <c r="AB744" s="172"/>
    </row>
    <row r="745" spans="1:28" ht="12.75" customHeight="1" x14ac:dyDescent="0.3">
      <c r="A745" s="667"/>
      <c r="B745" s="668" t="s">
        <v>5547</v>
      </c>
      <c r="C745" s="160" t="s">
        <v>5548</v>
      </c>
      <c r="D745" s="160"/>
      <c r="E745" s="439"/>
      <c r="F745" s="161">
        <v>265.97894624999998</v>
      </c>
      <c r="G745" s="161">
        <v>-85.873999999999995</v>
      </c>
      <c r="H745" s="654">
        <v>14089.735604</v>
      </c>
      <c r="I745" s="654"/>
      <c r="J745" s="191"/>
      <c r="K745" s="191">
        <v>465.37173256549102</v>
      </c>
      <c r="L745" s="191"/>
      <c r="M745" s="191"/>
      <c r="N745" s="191"/>
      <c r="O745" s="191"/>
      <c r="P745" s="191"/>
      <c r="Q745" s="191"/>
      <c r="R745" s="191"/>
      <c r="S745" s="191"/>
      <c r="T745" s="191"/>
      <c r="U745" s="439"/>
      <c r="V745" s="441"/>
      <c r="W745" s="178"/>
      <c r="X745" s="172"/>
      <c r="Y745" s="172"/>
      <c r="Z745" s="172"/>
      <c r="AA745" s="195"/>
      <c r="AB745" s="172"/>
    </row>
    <row r="746" spans="1:28" ht="12.75" customHeight="1" x14ac:dyDescent="0.3">
      <c r="A746" s="667"/>
      <c r="B746" s="668" t="s">
        <v>5549</v>
      </c>
      <c r="C746" s="160" t="s">
        <v>5550</v>
      </c>
      <c r="D746" s="160"/>
      <c r="E746" s="439"/>
      <c r="F746" s="161">
        <v>327.97575257599999</v>
      </c>
      <c r="G746" s="161"/>
      <c r="H746" s="654"/>
      <c r="I746" s="654"/>
      <c r="J746" s="191"/>
      <c r="K746" s="191">
        <v>565054.06033495697</v>
      </c>
      <c r="L746" s="191"/>
      <c r="M746" s="191"/>
      <c r="N746" s="191"/>
      <c r="O746" s="191"/>
      <c r="P746" s="191"/>
      <c r="Q746" s="191"/>
      <c r="R746" s="191"/>
      <c r="S746" s="191"/>
      <c r="T746" s="191"/>
      <c r="U746" s="439"/>
      <c r="V746" s="441"/>
      <c r="W746" s="178"/>
      <c r="X746" s="172"/>
      <c r="Y746" s="172"/>
      <c r="Z746" s="172"/>
      <c r="AA746" s="195"/>
      <c r="AB746" s="172"/>
    </row>
    <row r="747" spans="1:28" ht="12.75" customHeight="1" x14ac:dyDescent="0.3">
      <c r="A747" s="667"/>
      <c r="B747" s="668" t="s">
        <v>5551</v>
      </c>
      <c r="C747" s="160" t="s">
        <v>5552</v>
      </c>
      <c r="D747" s="160"/>
      <c r="E747" s="439"/>
      <c r="F747" s="161">
        <v>327.97575257599999</v>
      </c>
      <c r="G747" s="161">
        <v>-57.865000000000002</v>
      </c>
      <c r="H747" s="654">
        <v>1238.5160505199999</v>
      </c>
      <c r="I747" s="654"/>
      <c r="J747" s="191"/>
      <c r="K747" s="191">
        <v>456499.178153318</v>
      </c>
      <c r="L747" s="191"/>
      <c r="M747" s="191"/>
      <c r="N747" s="191"/>
      <c r="O747" s="191"/>
      <c r="P747" s="191"/>
      <c r="Q747" s="191"/>
      <c r="R747" s="191"/>
      <c r="S747" s="191"/>
      <c r="T747" s="191"/>
      <c r="U747" s="439"/>
      <c r="V747" s="441"/>
      <c r="W747" s="178"/>
      <c r="X747" s="172"/>
      <c r="Y747" s="172"/>
      <c r="Z747" s="172"/>
      <c r="AA747" s="195"/>
      <c r="AB747" s="172"/>
    </row>
    <row r="748" spans="1:28" ht="12.75" customHeight="1" x14ac:dyDescent="0.3">
      <c r="A748" s="667"/>
      <c r="B748" s="668" t="s">
        <v>5553</v>
      </c>
      <c r="C748" s="160" t="s">
        <v>5554</v>
      </c>
      <c r="D748" s="160"/>
      <c r="E748" s="439">
        <v>51.363</v>
      </c>
      <c r="F748" s="161">
        <v>689.95698445599999</v>
      </c>
      <c r="G748" s="161">
        <v>-23.652999999999999</v>
      </c>
      <c r="H748" s="654">
        <v>1.9359820941999999</v>
      </c>
      <c r="I748" s="654"/>
      <c r="J748" s="191"/>
      <c r="K748" s="191">
        <v>216246.95458879499</v>
      </c>
      <c r="L748" s="191"/>
      <c r="M748" s="191"/>
      <c r="N748" s="191"/>
      <c r="O748" s="191"/>
      <c r="P748" s="191"/>
      <c r="Q748" s="191"/>
      <c r="R748" s="191"/>
      <c r="S748" s="191"/>
      <c r="T748" s="191"/>
      <c r="U748" s="439"/>
      <c r="V748" s="441"/>
      <c r="W748" s="178"/>
      <c r="X748" s="172"/>
      <c r="Y748" s="172"/>
      <c r="Z748" s="172"/>
      <c r="AA748" s="195"/>
      <c r="AB748" s="172"/>
    </row>
    <row r="749" spans="1:28" ht="12.75" customHeight="1" x14ac:dyDescent="0.3">
      <c r="A749" s="667"/>
      <c r="B749" s="668" t="s">
        <v>5555</v>
      </c>
      <c r="C749" s="160" t="s">
        <v>5556</v>
      </c>
      <c r="D749" s="160"/>
      <c r="E749" s="439">
        <v>0.54</v>
      </c>
      <c r="F749" s="161">
        <v>863.94495865099998</v>
      </c>
      <c r="G749" s="161"/>
      <c r="H749" s="654"/>
      <c r="I749" s="654"/>
      <c r="J749" s="191"/>
      <c r="K749" s="191">
        <v>271175.21927259502</v>
      </c>
      <c r="L749" s="191"/>
      <c r="M749" s="191"/>
      <c r="N749" s="191"/>
      <c r="O749" s="191"/>
      <c r="P749" s="191"/>
      <c r="Q749" s="191"/>
      <c r="R749" s="191"/>
      <c r="S749" s="191"/>
      <c r="T749" s="191"/>
      <c r="U749" s="439"/>
      <c r="V749" s="441"/>
      <c r="W749" s="178"/>
      <c r="X749" s="172"/>
      <c r="Y749" s="172"/>
      <c r="Z749" s="172"/>
      <c r="AA749" s="195"/>
      <c r="AB749" s="172"/>
    </row>
    <row r="750" spans="1:28" ht="12.75" customHeight="1" x14ac:dyDescent="0.3">
      <c r="A750" s="667"/>
      <c r="B750" s="668" t="s">
        <v>5557</v>
      </c>
      <c r="C750" s="160" t="s">
        <v>5558</v>
      </c>
      <c r="D750" s="160"/>
      <c r="E750" s="439">
        <v>0.54</v>
      </c>
      <c r="F750" s="161">
        <v>763.95134599899995</v>
      </c>
      <c r="G750" s="161"/>
      <c r="H750" s="654"/>
      <c r="I750" s="654"/>
      <c r="J750" s="191"/>
      <c r="K750" s="191">
        <v>220343.37640198701</v>
      </c>
      <c r="L750" s="191"/>
      <c r="M750" s="191"/>
      <c r="N750" s="191"/>
      <c r="O750" s="191"/>
      <c r="P750" s="191"/>
      <c r="Q750" s="191"/>
      <c r="R750" s="191"/>
      <c r="S750" s="191"/>
      <c r="T750" s="191"/>
      <c r="U750" s="439"/>
      <c r="V750" s="441"/>
      <c r="W750" s="178"/>
      <c r="X750" s="172"/>
      <c r="Y750" s="172"/>
      <c r="Z750" s="172"/>
      <c r="AA750" s="195"/>
      <c r="AB750" s="172"/>
    </row>
    <row r="751" spans="1:28" ht="12.75" customHeight="1" x14ac:dyDescent="0.3">
      <c r="A751" s="667"/>
      <c r="B751" s="668" t="s">
        <v>5559</v>
      </c>
      <c r="C751" s="160" t="s">
        <v>5560</v>
      </c>
      <c r="D751" s="160"/>
      <c r="E751" s="439"/>
      <c r="F751" s="161">
        <v>275.91795359999998</v>
      </c>
      <c r="G751" s="161">
        <v>-1.3440000000000001</v>
      </c>
      <c r="H751" s="654">
        <v>91.812461944000006</v>
      </c>
      <c r="I751" s="654"/>
      <c r="J751" s="191"/>
      <c r="K751" s="191">
        <v>913.31375834927599</v>
      </c>
      <c r="L751" s="191"/>
      <c r="M751" s="191"/>
      <c r="N751" s="191"/>
      <c r="O751" s="191"/>
      <c r="P751" s="191"/>
      <c r="Q751" s="191"/>
      <c r="R751" s="191"/>
      <c r="S751" s="191"/>
      <c r="T751" s="191"/>
      <c r="U751" s="439"/>
      <c r="V751" s="441"/>
      <c r="W751" s="178"/>
      <c r="X751" s="172"/>
      <c r="Y751" s="172"/>
      <c r="Z751" s="172"/>
      <c r="AA751" s="195"/>
      <c r="AB751" s="172"/>
    </row>
    <row r="752" spans="1:28" ht="12.75" customHeight="1" x14ac:dyDescent="0.3">
      <c r="A752" s="667"/>
      <c r="B752" s="668" t="s">
        <v>5561</v>
      </c>
      <c r="C752" s="160" t="s">
        <v>5562</v>
      </c>
      <c r="D752" s="160"/>
      <c r="E752" s="439"/>
      <c r="F752" s="161">
        <v>325.91475989999998</v>
      </c>
      <c r="G752" s="161">
        <v>-24.945</v>
      </c>
      <c r="H752" s="654">
        <v>190.50247257999999</v>
      </c>
      <c r="I752" s="654"/>
      <c r="J752" s="191"/>
      <c r="K752" s="191">
        <v>4700.9972810254703</v>
      </c>
      <c r="L752" s="191"/>
      <c r="M752" s="191"/>
      <c r="N752" s="191"/>
      <c r="O752" s="191"/>
      <c r="P752" s="191"/>
      <c r="Q752" s="191"/>
      <c r="R752" s="191"/>
      <c r="S752" s="191"/>
      <c r="T752" s="191"/>
      <c r="U752" s="439"/>
      <c r="V752" s="441"/>
      <c r="W752" s="178"/>
      <c r="X752" s="172"/>
      <c r="Y752" s="172"/>
      <c r="Z752" s="172"/>
      <c r="AA752" s="195"/>
      <c r="AB752" s="172"/>
    </row>
    <row r="753" spans="1:28" ht="12.75" customHeight="1" x14ac:dyDescent="0.3">
      <c r="A753" s="667"/>
      <c r="B753" s="668" t="s">
        <v>5563</v>
      </c>
      <c r="C753" s="160" t="s">
        <v>5564</v>
      </c>
      <c r="D753" s="160"/>
      <c r="E753" s="439"/>
      <c r="F753" s="161">
        <v>721.76722529999995</v>
      </c>
      <c r="G753" s="161"/>
      <c r="H753" s="654"/>
      <c r="I753" s="654"/>
      <c r="J753" s="191"/>
      <c r="K753" s="191">
        <v>17671767.944691598</v>
      </c>
      <c r="L753" s="191"/>
      <c r="M753" s="191"/>
      <c r="N753" s="191"/>
      <c r="O753" s="191"/>
      <c r="P753" s="191"/>
      <c r="Q753" s="191"/>
      <c r="R753" s="191"/>
      <c r="S753" s="191"/>
      <c r="T753" s="191"/>
      <c r="U753" s="439"/>
      <c r="V753" s="441"/>
      <c r="W753" s="178"/>
      <c r="X753" s="172"/>
      <c r="Y753" s="172"/>
      <c r="Z753" s="172"/>
      <c r="AA753" s="195"/>
      <c r="AB753" s="172"/>
    </row>
    <row r="754" spans="1:28" ht="12.75" customHeight="1" x14ac:dyDescent="0.3">
      <c r="A754" s="667"/>
      <c r="B754" s="668" t="s">
        <v>5565</v>
      </c>
      <c r="C754" s="160" t="s">
        <v>5566</v>
      </c>
      <c r="D754" s="160"/>
      <c r="E754" s="439">
        <v>2.39</v>
      </c>
      <c r="F754" s="161">
        <v>324.979674526</v>
      </c>
      <c r="G754" s="161">
        <v>-23.448</v>
      </c>
      <c r="H754" s="654">
        <v>11.9647029138</v>
      </c>
      <c r="I754" s="654">
        <v>55.700216295058297</v>
      </c>
      <c r="J754" s="191"/>
      <c r="K754" s="191">
        <v>339.813008320498</v>
      </c>
      <c r="L754" s="191"/>
      <c r="M754" s="191"/>
      <c r="N754" s="191"/>
      <c r="O754" s="191"/>
      <c r="P754" s="191"/>
      <c r="Q754" s="191"/>
      <c r="R754" s="191"/>
      <c r="S754" s="191"/>
      <c r="T754" s="191"/>
      <c r="U754" s="439"/>
      <c r="V754" s="441"/>
      <c r="W754" s="178"/>
      <c r="X754" s="172"/>
      <c r="Y754" s="172"/>
      <c r="Z754" s="172"/>
      <c r="AA754" s="195"/>
      <c r="AB754" s="172"/>
    </row>
    <row r="755" spans="1:28" ht="12.75" customHeight="1" x14ac:dyDescent="0.3">
      <c r="A755" s="667"/>
      <c r="B755" s="668" t="s">
        <v>5567</v>
      </c>
      <c r="C755" s="160" t="s">
        <v>5568</v>
      </c>
      <c r="D755" s="160"/>
      <c r="E755" s="439"/>
      <c r="F755" s="161">
        <v>304.03342660599998</v>
      </c>
      <c r="G755" s="161"/>
      <c r="H755" s="654"/>
      <c r="I755" s="654"/>
      <c r="J755" s="191"/>
      <c r="K755" s="191">
        <v>32375.016617147499</v>
      </c>
      <c r="L755" s="191"/>
      <c r="M755" s="191"/>
      <c r="N755" s="191"/>
      <c r="O755" s="191"/>
      <c r="P755" s="191"/>
      <c r="Q755" s="191"/>
      <c r="R755" s="191"/>
      <c r="S755" s="191"/>
      <c r="T755" s="191"/>
      <c r="U755" s="439"/>
      <c r="V755" s="441"/>
      <c r="W755" s="178"/>
      <c r="X755" s="172"/>
      <c r="Y755" s="172"/>
      <c r="Z755" s="172"/>
      <c r="AA755" s="195"/>
      <c r="AB755" s="172"/>
    </row>
    <row r="756" spans="1:28" ht="12.75" customHeight="1" x14ac:dyDescent="0.3">
      <c r="A756" s="667"/>
      <c r="B756" s="668" t="s">
        <v>5569</v>
      </c>
      <c r="C756" s="160" t="s">
        <v>5570</v>
      </c>
      <c r="D756" s="160"/>
      <c r="E756" s="439"/>
      <c r="F756" s="161">
        <v>425.95730276199998</v>
      </c>
      <c r="G756" s="161">
        <v>-105.434</v>
      </c>
      <c r="H756" s="654">
        <v>239.27699306</v>
      </c>
      <c r="I756" s="654">
        <v>3.4464034983552301</v>
      </c>
      <c r="J756" s="191"/>
      <c r="K756" s="191">
        <v>10003.915160882299</v>
      </c>
      <c r="L756" s="191"/>
      <c r="M756" s="191"/>
      <c r="N756" s="191"/>
      <c r="O756" s="191"/>
      <c r="P756" s="191"/>
      <c r="Q756" s="191"/>
      <c r="R756" s="191"/>
      <c r="S756" s="191"/>
      <c r="T756" s="191"/>
      <c r="U756" s="439"/>
      <c r="V756" s="441"/>
      <c r="W756" s="178"/>
      <c r="X756" s="172"/>
      <c r="Y756" s="172"/>
      <c r="Z756" s="172"/>
      <c r="AA756" s="195"/>
      <c r="AB756" s="172"/>
    </row>
    <row r="757" spans="1:28" ht="12.75" customHeight="1" x14ac:dyDescent="0.3">
      <c r="A757" s="667"/>
      <c r="B757" s="668" t="s">
        <v>5571</v>
      </c>
      <c r="C757" s="160" t="s">
        <v>5572</v>
      </c>
      <c r="D757" s="160"/>
      <c r="E757" s="439">
        <v>13</v>
      </c>
      <c r="F757" s="161">
        <v>377.15896147299998</v>
      </c>
      <c r="G757" s="161"/>
      <c r="H757" s="654"/>
      <c r="I757" s="654"/>
      <c r="J757" s="191"/>
      <c r="K757" s="191">
        <v>318185.21824482101</v>
      </c>
      <c r="L757" s="191"/>
      <c r="M757" s="191"/>
      <c r="N757" s="191"/>
      <c r="O757" s="191"/>
      <c r="P757" s="191"/>
      <c r="Q757" s="191"/>
      <c r="R757" s="191"/>
      <c r="S757" s="191"/>
      <c r="T757" s="191"/>
      <c r="U757" s="439"/>
      <c r="V757" s="441"/>
      <c r="W757" s="178"/>
      <c r="X757" s="172"/>
      <c r="Y757" s="172"/>
      <c r="Z757" s="172"/>
      <c r="AA757" s="195"/>
      <c r="AB757" s="172"/>
    </row>
    <row r="758" spans="1:28" ht="12.75" customHeight="1" x14ac:dyDescent="0.3">
      <c r="A758" s="667"/>
      <c r="B758" s="668" t="s">
        <v>5573</v>
      </c>
      <c r="C758" s="160" t="s">
        <v>5574</v>
      </c>
      <c r="D758" s="160"/>
      <c r="E758" s="439">
        <v>4.74</v>
      </c>
      <c r="F758" s="161">
        <v>280.92451620000003</v>
      </c>
      <c r="G758" s="161">
        <v>103.836</v>
      </c>
      <c r="H758" s="654"/>
      <c r="I758" s="654">
        <v>75.786130433338798</v>
      </c>
      <c r="J758" s="191"/>
      <c r="K758" s="191">
        <v>342.192116543304</v>
      </c>
      <c r="L758" s="191"/>
      <c r="M758" s="191"/>
      <c r="N758" s="191"/>
      <c r="O758" s="191"/>
      <c r="P758" s="191"/>
      <c r="Q758" s="191"/>
      <c r="R758" s="191"/>
      <c r="S758" s="191"/>
      <c r="T758" s="191"/>
      <c r="U758" s="439"/>
      <c r="V758" s="441"/>
      <c r="W758" s="178"/>
      <c r="X758" s="172"/>
      <c r="Y758" s="172"/>
      <c r="Z758" s="172"/>
      <c r="AA758" s="195"/>
      <c r="AB758" s="172"/>
    </row>
    <row r="759" spans="1:28" ht="12.75" customHeight="1" x14ac:dyDescent="0.3">
      <c r="A759" s="667"/>
      <c r="B759" s="668" t="s">
        <v>5575</v>
      </c>
      <c r="C759" s="160" t="s">
        <v>5576</v>
      </c>
      <c r="D759" s="160"/>
      <c r="E759" s="439">
        <v>5.78</v>
      </c>
      <c r="F759" s="161">
        <v>264.01335986599997</v>
      </c>
      <c r="G759" s="161">
        <v>2.9940000000000002</v>
      </c>
      <c r="H759" s="654">
        <v>12.328258675600001</v>
      </c>
      <c r="I759" s="654">
        <v>77.379411629765997</v>
      </c>
      <c r="J759" s="191"/>
      <c r="K759" s="191">
        <v>112.740511274555</v>
      </c>
      <c r="L759" s="191"/>
      <c r="M759" s="191"/>
      <c r="N759" s="191"/>
      <c r="O759" s="191"/>
      <c r="P759" s="191"/>
      <c r="Q759" s="191"/>
      <c r="R759" s="191"/>
      <c r="S759" s="191"/>
      <c r="T759" s="191"/>
      <c r="U759" s="439"/>
      <c r="V759" s="441"/>
      <c r="W759" s="178"/>
      <c r="X759" s="172"/>
      <c r="Y759" s="172"/>
      <c r="Z759" s="172"/>
      <c r="AA759" s="195"/>
      <c r="AB759" s="172"/>
    </row>
    <row r="760" spans="1:28" ht="12.75" customHeight="1" x14ac:dyDescent="0.3">
      <c r="A760" s="667"/>
      <c r="B760" s="668" t="s">
        <v>5577</v>
      </c>
      <c r="C760" s="160" t="s">
        <v>5578</v>
      </c>
      <c r="D760" s="160"/>
      <c r="E760" s="439">
        <v>3.9260000000000002</v>
      </c>
      <c r="F760" s="161">
        <v>329.00535330000002</v>
      </c>
      <c r="G760" s="161">
        <v>-9.5730000000000004</v>
      </c>
      <c r="H760" s="654">
        <v>1.5484683690000001</v>
      </c>
      <c r="I760" s="654"/>
      <c r="J760" s="191"/>
      <c r="K760" s="191">
        <v>660.26762048528201</v>
      </c>
      <c r="L760" s="191"/>
      <c r="M760" s="191"/>
      <c r="N760" s="191"/>
      <c r="O760" s="191"/>
      <c r="P760" s="191"/>
      <c r="Q760" s="191"/>
      <c r="R760" s="191"/>
      <c r="S760" s="191"/>
      <c r="T760" s="191"/>
      <c r="U760" s="439"/>
      <c r="V760" s="441"/>
      <c r="W760" s="178"/>
      <c r="X760" s="172"/>
      <c r="Y760" s="172"/>
      <c r="Z760" s="172"/>
      <c r="AA760" s="195"/>
      <c r="AB760" s="172"/>
    </row>
    <row r="761" spans="1:28" ht="12.75" customHeight="1" x14ac:dyDescent="0.3">
      <c r="A761" s="667"/>
      <c r="B761" s="668" t="s">
        <v>5579</v>
      </c>
      <c r="C761" s="160" t="s">
        <v>5580</v>
      </c>
      <c r="D761" s="160"/>
      <c r="E761" s="439"/>
      <c r="F761" s="161">
        <v>315.049411023</v>
      </c>
      <c r="G761" s="161"/>
      <c r="H761" s="654"/>
      <c r="I761" s="654"/>
      <c r="J761" s="191"/>
      <c r="K761" s="191">
        <v>5259.6882064109896</v>
      </c>
      <c r="L761" s="191"/>
      <c r="M761" s="191"/>
      <c r="N761" s="191"/>
      <c r="O761" s="191"/>
      <c r="P761" s="191"/>
      <c r="Q761" s="191"/>
      <c r="R761" s="191"/>
      <c r="S761" s="191"/>
      <c r="T761" s="191"/>
      <c r="U761" s="439"/>
      <c r="V761" s="441"/>
      <c r="W761" s="178"/>
      <c r="X761" s="172"/>
      <c r="Y761" s="172"/>
      <c r="Z761" s="172"/>
      <c r="AA761" s="195"/>
      <c r="AB761" s="172"/>
    </row>
    <row r="762" spans="1:28" ht="12.75" customHeight="1" x14ac:dyDescent="0.3">
      <c r="A762" s="667"/>
      <c r="B762" s="668" t="s">
        <v>5581</v>
      </c>
      <c r="C762" s="160" t="s">
        <v>5582</v>
      </c>
      <c r="D762" s="160"/>
      <c r="E762" s="439">
        <v>3</v>
      </c>
      <c r="F762" s="161">
        <v>281.065061087</v>
      </c>
      <c r="G762" s="161"/>
      <c r="H762" s="654"/>
      <c r="I762" s="654"/>
      <c r="J762" s="191"/>
      <c r="K762" s="191">
        <v>941.00081593278196</v>
      </c>
      <c r="L762" s="191"/>
      <c r="M762" s="191"/>
      <c r="N762" s="191"/>
      <c r="O762" s="191"/>
      <c r="P762" s="191"/>
      <c r="Q762" s="191"/>
      <c r="R762" s="191"/>
      <c r="S762" s="191"/>
      <c r="T762" s="191"/>
      <c r="U762" s="439"/>
      <c r="V762" s="441"/>
      <c r="W762" s="178"/>
      <c r="X762" s="172"/>
      <c r="Y762" s="172"/>
      <c r="Z762" s="172"/>
      <c r="AA762" s="195"/>
      <c r="AB762" s="172"/>
    </row>
    <row r="763" spans="1:28" ht="12.75" customHeight="1" x14ac:dyDescent="0.3">
      <c r="A763" s="667"/>
      <c r="B763" s="668" t="s">
        <v>5583</v>
      </c>
      <c r="C763" s="160" t="s">
        <v>5584</v>
      </c>
      <c r="D763" s="160"/>
      <c r="E763" s="439">
        <v>4.63</v>
      </c>
      <c r="F763" s="161">
        <v>478.03622178799998</v>
      </c>
      <c r="G763" s="161"/>
      <c r="H763" s="654"/>
      <c r="I763" s="654"/>
      <c r="J763" s="191"/>
      <c r="K763" s="191">
        <v>157536.06743605001</v>
      </c>
      <c r="L763" s="191"/>
      <c r="M763" s="191"/>
      <c r="N763" s="191"/>
      <c r="O763" s="191"/>
      <c r="P763" s="191"/>
      <c r="Q763" s="191"/>
      <c r="R763" s="191"/>
      <c r="S763" s="191"/>
      <c r="T763" s="191"/>
      <c r="U763" s="439"/>
      <c r="V763" s="441"/>
      <c r="W763" s="178"/>
      <c r="X763" s="172"/>
      <c r="Y763" s="172"/>
      <c r="Z763" s="172"/>
      <c r="AA763" s="195"/>
      <c r="AB763" s="172"/>
    </row>
    <row r="764" spans="1:28" ht="12.75" customHeight="1" x14ac:dyDescent="0.3">
      <c r="A764" s="667"/>
      <c r="B764" s="668" t="s">
        <v>5585</v>
      </c>
      <c r="C764" s="160" t="s">
        <v>5586</v>
      </c>
      <c r="D764" s="160"/>
      <c r="E764" s="439">
        <v>16</v>
      </c>
      <c r="F764" s="161">
        <v>416.09708949200001</v>
      </c>
      <c r="G764" s="161"/>
      <c r="H764" s="654"/>
      <c r="I764" s="654"/>
      <c r="J764" s="191"/>
      <c r="K764" s="191">
        <v>29073.679594442201</v>
      </c>
      <c r="L764" s="191"/>
      <c r="M764" s="191"/>
      <c r="N764" s="191"/>
      <c r="O764" s="191"/>
      <c r="P764" s="191"/>
      <c r="Q764" s="191"/>
      <c r="R764" s="191"/>
      <c r="S764" s="191"/>
      <c r="T764" s="191"/>
      <c r="U764" s="439"/>
      <c r="V764" s="441"/>
      <c r="W764" s="178"/>
      <c r="X764" s="172"/>
      <c r="Y764" s="172"/>
      <c r="Z764" s="172"/>
      <c r="AA764" s="195"/>
      <c r="AB764" s="172"/>
    </row>
    <row r="765" spans="1:28" ht="12.75" customHeight="1" x14ac:dyDescent="0.3">
      <c r="A765" s="667"/>
      <c r="B765" s="668" t="s">
        <v>5587</v>
      </c>
      <c r="C765" s="160" t="s">
        <v>5588</v>
      </c>
      <c r="D765" s="160"/>
      <c r="E765" s="439"/>
      <c r="F765" s="161">
        <v>282.06031005900002</v>
      </c>
      <c r="G765" s="161">
        <v>23.209</v>
      </c>
      <c r="H765" s="654">
        <v>0.79965335701999996</v>
      </c>
      <c r="I765" s="654">
        <v>139.42551392557399</v>
      </c>
      <c r="J765" s="191"/>
      <c r="K765" s="191">
        <v>72.522037991185897</v>
      </c>
      <c r="L765" s="191"/>
      <c r="M765" s="191"/>
      <c r="N765" s="191"/>
      <c r="O765" s="191"/>
      <c r="P765" s="191"/>
      <c r="Q765" s="191"/>
      <c r="R765" s="191"/>
      <c r="S765" s="191"/>
      <c r="T765" s="191"/>
      <c r="U765" s="439"/>
      <c r="V765" s="441"/>
      <c r="W765" s="178"/>
      <c r="X765" s="172"/>
      <c r="Y765" s="172"/>
      <c r="Z765" s="172"/>
      <c r="AA765" s="195"/>
      <c r="AB765" s="172"/>
    </row>
    <row r="766" spans="1:28" ht="12.75" customHeight="1" x14ac:dyDescent="0.3">
      <c r="A766" s="667"/>
      <c r="B766" s="668" t="s">
        <v>5589</v>
      </c>
      <c r="C766" s="160" t="s">
        <v>5590</v>
      </c>
      <c r="D766" s="160"/>
      <c r="E766" s="439">
        <v>5.5</v>
      </c>
      <c r="F766" s="161">
        <v>283.04432564299998</v>
      </c>
      <c r="G766" s="161"/>
      <c r="H766" s="654"/>
      <c r="I766" s="654"/>
      <c r="J766" s="191"/>
      <c r="K766" s="191">
        <v>262.92386026826199</v>
      </c>
      <c r="L766" s="191"/>
      <c r="M766" s="191"/>
      <c r="N766" s="191"/>
      <c r="O766" s="191"/>
      <c r="P766" s="191"/>
      <c r="Q766" s="191"/>
      <c r="R766" s="191"/>
      <c r="S766" s="191"/>
      <c r="T766" s="191"/>
      <c r="U766" s="439"/>
      <c r="V766" s="441"/>
      <c r="W766" s="178"/>
      <c r="X766" s="172"/>
      <c r="Y766" s="172"/>
      <c r="Z766" s="172"/>
      <c r="AA766" s="195"/>
      <c r="AB766" s="172"/>
    </row>
    <row r="767" spans="1:28" ht="12.75" customHeight="1" x14ac:dyDescent="0.3">
      <c r="A767" s="667"/>
      <c r="B767" s="668" t="s">
        <v>5591</v>
      </c>
      <c r="C767" s="160" t="s">
        <v>5592</v>
      </c>
      <c r="D767" s="160"/>
      <c r="E767" s="439">
        <v>8.09</v>
      </c>
      <c r="F767" s="161">
        <v>500.02057172299999</v>
      </c>
      <c r="G767" s="161"/>
      <c r="H767" s="654"/>
      <c r="I767" s="654"/>
      <c r="J767" s="191"/>
      <c r="K767" s="191">
        <v>267171.42079166003</v>
      </c>
      <c r="L767" s="191"/>
      <c r="M767" s="191"/>
      <c r="N767" s="191"/>
      <c r="O767" s="191"/>
      <c r="P767" s="191"/>
      <c r="Q767" s="191"/>
      <c r="R767" s="191"/>
      <c r="S767" s="191"/>
      <c r="T767" s="191"/>
      <c r="U767" s="439"/>
      <c r="V767" s="441"/>
      <c r="W767" s="178"/>
      <c r="X767" s="172"/>
      <c r="Y767" s="172"/>
      <c r="Z767" s="172"/>
      <c r="AA767" s="195"/>
      <c r="AB767" s="172"/>
    </row>
    <row r="768" spans="1:28" ht="12.75" customHeight="1" x14ac:dyDescent="0.3">
      <c r="A768" s="667"/>
      <c r="B768" s="668" t="s">
        <v>5593</v>
      </c>
      <c r="C768" s="160" t="s">
        <v>5594</v>
      </c>
      <c r="D768" s="160"/>
      <c r="E768" s="439">
        <v>8.81</v>
      </c>
      <c r="F768" s="161">
        <v>576.05187185199998</v>
      </c>
      <c r="G768" s="161">
        <v>111.288</v>
      </c>
      <c r="H768" s="654">
        <v>2.2589279748E-5</v>
      </c>
      <c r="I768" s="654">
        <v>3.6346396090812202E-3</v>
      </c>
      <c r="J768" s="191"/>
      <c r="K768" s="191">
        <v>5072359.1929684998</v>
      </c>
      <c r="L768" s="191"/>
      <c r="M768" s="191"/>
      <c r="N768" s="191"/>
      <c r="O768" s="191"/>
      <c r="P768" s="191"/>
      <c r="Q768" s="191"/>
      <c r="R768" s="191"/>
      <c r="S768" s="191"/>
      <c r="T768" s="191"/>
      <c r="U768" s="439"/>
      <c r="V768" s="441"/>
      <c r="W768" s="178"/>
      <c r="X768" s="172"/>
      <c r="Y768" s="172"/>
      <c r="Z768" s="172"/>
      <c r="AA768" s="195"/>
      <c r="AB768" s="172"/>
    </row>
    <row r="769" spans="1:28" ht="12.75" customHeight="1" x14ac:dyDescent="0.3">
      <c r="A769" s="667"/>
      <c r="B769" s="668" t="s">
        <v>5595</v>
      </c>
      <c r="C769" s="160" t="s">
        <v>5596</v>
      </c>
      <c r="D769" s="160"/>
      <c r="E769" s="439">
        <v>9.8000000000000007</v>
      </c>
      <c r="F769" s="161">
        <v>590.06752191600003</v>
      </c>
      <c r="G769" s="161"/>
      <c r="H769" s="654"/>
      <c r="I769" s="654"/>
      <c r="J769" s="191"/>
      <c r="K769" s="191">
        <v>5004492.0076166</v>
      </c>
      <c r="L769" s="191"/>
      <c r="M769" s="191"/>
      <c r="N769" s="191"/>
      <c r="O769" s="191"/>
      <c r="P769" s="191"/>
      <c r="Q769" s="191"/>
      <c r="R769" s="191"/>
      <c r="S769" s="191"/>
      <c r="T769" s="191"/>
      <c r="U769" s="439"/>
      <c r="V769" s="441"/>
      <c r="W769" s="178"/>
      <c r="X769" s="172"/>
      <c r="Y769" s="172"/>
      <c r="Z769" s="172"/>
      <c r="AA769" s="195"/>
      <c r="AB769" s="172"/>
    </row>
    <row r="770" spans="1:28" ht="12.75" customHeight="1" x14ac:dyDescent="0.3">
      <c r="A770" s="667"/>
      <c r="B770" s="668" t="s">
        <v>5597</v>
      </c>
      <c r="C770" s="160" t="s">
        <v>5598</v>
      </c>
      <c r="D770" s="160"/>
      <c r="E770" s="439">
        <v>7.89</v>
      </c>
      <c r="F770" s="161">
        <v>500.02057172299999</v>
      </c>
      <c r="G770" s="161"/>
      <c r="H770" s="654"/>
      <c r="I770" s="654"/>
      <c r="J770" s="191"/>
      <c r="K770" s="191">
        <v>306224.54639327503</v>
      </c>
      <c r="L770" s="191"/>
      <c r="M770" s="191"/>
      <c r="N770" s="191"/>
      <c r="O770" s="191"/>
      <c r="P770" s="191"/>
      <c r="Q770" s="191"/>
      <c r="R770" s="191"/>
      <c r="S770" s="191"/>
      <c r="T770" s="191"/>
      <c r="U770" s="439"/>
      <c r="V770" s="441"/>
      <c r="W770" s="178"/>
      <c r="X770" s="172"/>
      <c r="Y770" s="172"/>
      <c r="Z770" s="172"/>
      <c r="AA770" s="195"/>
      <c r="AB770" s="172"/>
    </row>
    <row r="771" spans="1:28" ht="12.75" customHeight="1" x14ac:dyDescent="0.3">
      <c r="A771" s="667"/>
      <c r="B771" s="668" t="s">
        <v>5599</v>
      </c>
      <c r="C771" s="160" t="s">
        <v>5600</v>
      </c>
      <c r="D771" s="160"/>
      <c r="E771" s="439">
        <v>8.2100000000000009</v>
      </c>
      <c r="F771" s="161">
        <v>289.03376095800002</v>
      </c>
      <c r="G771" s="161">
        <v>51.024999999999999</v>
      </c>
      <c r="H771" s="654">
        <v>9.3304335124000007E-2</v>
      </c>
      <c r="I771" s="654">
        <v>7.4980560200202397</v>
      </c>
      <c r="J771" s="191"/>
      <c r="K771" s="191">
        <v>24763.384444173698</v>
      </c>
      <c r="L771" s="191"/>
      <c r="M771" s="191"/>
      <c r="N771" s="191"/>
      <c r="O771" s="191"/>
      <c r="P771" s="191"/>
      <c r="Q771" s="191"/>
      <c r="R771" s="191"/>
      <c r="S771" s="191"/>
      <c r="T771" s="191"/>
      <c r="U771" s="439"/>
      <c r="V771" s="441"/>
      <c r="W771" s="178"/>
      <c r="X771" s="172"/>
      <c r="Y771" s="172"/>
      <c r="Z771" s="172"/>
      <c r="AA771" s="195"/>
      <c r="AB771" s="172"/>
    </row>
    <row r="772" spans="1:28" ht="12.75" customHeight="1" x14ac:dyDescent="0.3">
      <c r="A772" s="667"/>
      <c r="B772" s="668" t="s">
        <v>5601</v>
      </c>
      <c r="C772" s="160" t="s">
        <v>5602</v>
      </c>
      <c r="D772" s="160"/>
      <c r="E772" s="439">
        <v>8.48</v>
      </c>
      <c r="F772" s="161">
        <v>439.04769694499998</v>
      </c>
      <c r="G772" s="161"/>
      <c r="H772" s="654"/>
      <c r="I772" s="654">
        <v>0.48251780941952399</v>
      </c>
      <c r="J772" s="191"/>
      <c r="K772" s="191">
        <v>289127.89877169498</v>
      </c>
      <c r="L772" s="191"/>
      <c r="M772" s="191"/>
      <c r="N772" s="191"/>
      <c r="O772" s="191"/>
      <c r="P772" s="191"/>
      <c r="Q772" s="191"/>
      <c r="R772" s="191"/>
      <c r="S772" s="191"/>
      <c r="T772" s="191"/>
      <c r="U772" s="439"/>
      <c r="V772" s="441"/>
      <c r="W772" s="178"/>
      <c r="X772" s="172"/>
      <c r="Y772" s="172"/>
      <c r="Z772" s="172"/>
      <c r="AA772" s="195"/>
      <c r="AB772" s="172"/>
    </row>
    <row r="773" spans="1:28" ht="12.75" customHeight="1" x14ac:dyDescent="0.3">
      <c r="A773" s="667"/>
      <c r="B773" s="668" t="s">
        <v>5603</v>
      </c>
      <c r="C773" s="160" t="s">
        <v>5604</v>
      </c>
      <c r="D773" s="160"/>
      <c r="E773" s="439">
        <v>7.63</v>
      </c>
      <c r="F773" s="161">
        <v>290.02900992999997</v>
      </c>
      <c r="G773" s="161"/>
      <c r="H773" s="654"/>
      <c r="I773" s="654"/>
      <c r="J773" s="191"/>
      <c r="K773" s="191">
        <v>20222.740081435899</v>
      </c>
      <c r="L773" s="191"/>
      <c r="M773" s="191"/>
      <c r="N773" s="191"/>
      <c r="O773" s="191"/>
      <c r="P773" s="191"/>
      <c r="Q773" s="191"/>
      <c r="R773" s="191"/>
      <c r="S773" s="191"/>
      <c r="T773" s="191"/>
      <c r="U773" s="439"/>
      <c r="V773" s="441"/>
      <c r="W773" s="178"/>
      <c r="X773" s="172"/>
      <c r="Y773" s="172"/>
      <c r="Z773" s="172"/>
      <c r="AA773" s="195"/>
      <c r="AB773" s="172"/>
    </row>
    <row r="774" spans="1:28" ht="12.75" customHeight="1" x14ac:dyDescent="0.3">
      <c r="A774" s="667"/>
      <c r="B774" s="668" t="s">
        <v>5605</v>
      </c>
      <c r="C774" s="160" t="s">
        <v>5606</v>
      </c>
      <c r="D774" s="160"/>
      <c r="E774" s="439">
        <v>4.47</v>
      </c>
      <c r="F774" s="161">
        <v>307.01917352200002</v>
      </c>
      <c r="G774" s="161"/>
      <c r="H774" s="654"/>
      <c r="I774" s="654"/>
      <c r="J774" s="191"/>
      <c r="K774" s="191">
        <v>64.659151319179102</v>
      </c>
      <c r="L774" s="191"/>
      <c r="M774" s="191"/>
      <c r="N774" s="191"/>
      <c r="O774" s="191"/>
      <c r="P774" s="191"/>
      <c r="Q774" s="191"/>
      <c r="R774" s="191"/>
      <c r="S774" s="191"/>
      <c r="T774" s="191"/>
      <c r="U774" s="439"/>
      <c r="V774" s="441"/>
      <c r="W774" s="178"/>
      <c r="X774" s="172"/>
      <c r="Y774" s="172"/>
      <c r="Z774" s="172"/>
      <c r="AA774" s="195"/>
      <c r="AB774" s="172"/>
    </row>
    <row r="775" spans="1:28" ht="12.75" customHeight="1" x14ac:dyDescent="0.3">
      <c r="A775" s="667"/>
      <c r="B775" s="668" t="s">
        <v>5607</v>
      </c>
      <c r="C775" s="160" t="s">
        <v>5608</v>
      </c>
      <c r="D775" s="160"/>
      <c r="E775" s="439">
        <v>9.4</v>
      </c>
      <c r="F775" s="161">
        <v>339.049411023</v>
      </c>
      <c r="G775" s="161"/>
      <c r="H775" s="654"/>
      <c r="I775" s="654"/>
      <c r="J775" s="191"/>
      <c r="K775" s="191">
        <v>18332.4285068014</v>
      </c>
      <c r="L775" s="191"/>
      <c r="M775" s="191"/>
      <c r="N775" s="191"/>
      <c r="O775" s="191"/>
      <c r="P775" s="191"/>
      <c r="Q775" s="191"/>
      <c r="R775" s="191"/>
      <c r="S775" s="191"/>
      <c r="T775" s="191"/>
      <c r="U775" s="439"/>
      <c r="V775" s="441"/>
      <c r="W775" s="178"/>
      <c r="X775" s="172"/>
      <c r="Y775" s="172"/>
      <c r="Z775" s="172"/>
      <c r="AA775" s="195"/>
      <c r="AB775" s="172"/>
    </row>
    <row r="776" spans="1:28" ht="12.75" customHeight="1" x14ac:dyDescent="0.3">
      <c r="A776" s="667"/>
      <c r="B776" s="668" t="s">
        <v>5609</v>
      </c>
      <c r="C776" s="160" t="s">
        <v>5610</v>
      </c>
      <c r="D776" s="160"/>
      <c r="E776" s="439">
        <v>5.88</v>
      </c>
      <c r="F776" s="161">
        <v>356.95581629999998</v>
      </c>
      <c r="G776" s="161"/>
      <c r="H776" s="654"/>
      <c r="I776" s="654"/>
      <c r="J776" s="191"/>
      <c r="K776" s="191">
        <v>83583.393577862895</v>
      </c>
      <c r="L776" s="191"/>
      <c r="M776" s="191"/>
      <c r="N776" s="191"/>
      <c r="O776" s="191"/>
      <c r="P776" s="191"/>
      <c r="Q776" s="191"/>
      <c r="R776" s="191"/>
      <c r="S776" s="191"/>
      <c r="T776" s="191"/>
      <c r="U776" s="439"/>
      <c r="V776" s="441"/>
      <c r="W776" s="178"/>
      <c r="X776" s="172"/>
      <c r="Y776" s="172"/>
      <c r="Z776" s="172"/>
      <c r="AA776" s="195"/>
      <c r="AB776" s="172"/>
    </row>
    <row r="777" spans="1:28" ht="12.75" customHeight="1" x14ac:dyDescent="0.3">
      <c r="A777" s="667"/>
      <c r="B777" s="668" t="s">
        <v>5611</v>
      </c>
      <c r="C777" s="160" t="s">
        <v>5612</v>
      </c>
      <c r="D777" s="160"/>
      <c r="E777" s="439">
        <v>6.77</v>
      </c>
      <c r="F777" s="161">
        <v>390.91684400000003</v>
      </c>
      <c r="G777" s="161"/>
      <c r="H777" s="654"/>
      <c r="I777" s="654"/>
      <c r="J777" s="191"/>
      <c r="K777" s="191">
        <v>97004.079751200203</v>
      </c>
      <c r="L777" s="191"/>
      <c r="M777" s="191"/>
      <c r="N777" s="191"/>
      <c r="O777" s="191"/>
      <c r="P777" s="191"/>
      <c r="Q777" s="191"/>
      <c r="R777" s="191"/>
      <c r="S777" s="191"/>
      <c r="T777" s="191"/>
      <c r="U777" s="439"/>
      <c r="V777" s="441"/>
      <c r="W777" s="178"/>
      <c r="X777" s="172"/>
      <c r="Y777" s="172"/>
      <c r="Z777" s="172"/>
      <c r="AA777" s="195"/>
      <c r="AB777" s="172"/>
    </row>
    <row r="778" spans="1:28" ht="12.75" customHeight="1" x14ac:dyDescent="0.3">
      <c r="A778" s="667"/>
      <c r="B778" s="668" t="s">
        <v>5613</v>
      </c>
      <c r="C778" s="160" t="s">
        <v>5614</v>
      </c>
      <c r="D778" s="160"/>
      <c r="E778" s="439">
        <v>7.37</v>
      </c>
      <c r="F778" s="161">
        <v>356.95581629999998</v>
      </c>
      <c r="G778" s="161"/>
      <c r="H778" s="654"/>
      <c r="I778" s="654"/>
      <c r="J778" s="191"/>
      <c r="K778" s="191">
        <v>83383.476851423999</v>
      </c>
      <c r="L778" s="191"/>
      <c r="M778" s="191"/>
      <c r="N778" s="191"/>
      <c r="O778" s="191"/>
      <c r="P778" s="191"/>
      <c r="Q778" s="191"/>
      <c r="R778" s="191"/>
      <c r="S778" s="191"/>
      <c r="T778" s="191"/>
      <c r="U778" s="439"/>
      <c r="V778" s="441"/>
      <c r="W778" s="178"/>
      <c r="X778" s="172"/>
      <c r="Y778" s="172"/>
      <c r="Z778" s="172"/>
      <c r="AA778" s="195"/>
      <c r="AB778" s="172"/>
    </row>
    <row r="779" spans="1:28" ht="12.75" customHeight="1" x14ac:dyDescent="0.3">
      <c r="A779" s="667"/>
      <c r="B779" s="668" t="s">
        <v>5615</v>
      </c>
      <c r="C779" s="160" t="s">
        <v>5616</v>
      </c>
      <c r="D779" s="160"/>
      <c r="E779" s="439">
        <v>7.79</v>
      </c>
      <c r="F779" s="161">
        <v>366.94427400000001</v>
      </c>
      <c r="G779" s="161"/>
      <c r="H779" s="654"/>
      <c r="I779" s="654"/>
      <c r="J779" s="191"/>
      <c r="K779" s="191">
        <v>60687.605187679997</v>
      </c>
      <c r="L779" s="191"/>
      <c r="M779" s="191"/>
      <c r="N779" s="191"/>
      <c r="O779" s="191"/>
      <c r="P779" s="191"/>
      <c r="Q779" s="191"/>
      <c r="R779" s="191"/>
      <c r="S779" s="191"/>
      <c r="T779" s="191"/>
      <c r="U779" s="439"/>
      <c r="V779" s="441"/>
      <c r="W779" s="178"/>
      <c r="X779" s="172"/>
      <c r="Y779" s="172"/>
      <c r="Z779" s="172"/>
      <c r="AA779" s="195"/>
      <c r="AB779" s="172"/>
    </row>
    <row r="780" spans="1:28" ht="12.75" customHeight="1" x14ac:dyDescent="0.3">
      <c r="A780" s="667"/>
      <c r="B780" s="668" t="s">
        <v>5617</v>
      </c>
      <c r="C780" s="160" t="s">
        <v>5618</v>
      </c>
      <c r="D780" s="160"/>
      <c r="E780" s="439">
        <v>8.36</v>
      </c>
      <c r="F780" s="161">
        <v>322.99478859999999</v>
      </c>
      <c r="G780" s="161"/>
      <c r="H780" s="654"/>
      <c r="I780" s="654"/>
      <c r="J780" s="191"/>
      <c r="K780" s="191">
        <v>37679.054822610196</v>
      </c>
      <c r="L780" s="191"/>
      <c r="M780" s="191"/>
      <c r="N780" s="191"/>
      <c r="O780" s="191"/>
      <c r="P780" s="191"/>
      <c r="Q780" s="191"/>
      <c r="R780" s="191"/>
      <c r="S780" s="191"/>
      <c r="T780" s="191"/>
      <c r="U780" s="439"/>
      <c r="V780" s="441"/>
      <c r="W780" s="178"/>
      <c r="X780" s="172"/>
      <c r="Y780" s="172"/>
      <c r="Z780" s="172"/>
      <c r="AA780" s="195"/>
      <c r="AB780" s="172"/>
    </row>
    <row r="781" spans="1:28" ht="12.75" customHeight="1" x14ac:dyDescent="0.3">
      <c r="A781" s="667"/>
      <c r="B781" s="668" t="s">
        <v>5619</v>
      </c>
      <c r="C781" s="160" t="s">
        <v>5620</v>
      </c>
      <c r="D781" s="160"/>
      <c r="E781" s="439">
        <v>7.34</v>
      </c>
      <c r="F781" s="161">
        <v>356.95581629999998</v>
      </c>
      <c r="G781" s="161"/>
      <c r="H781" s="654"/>
      <c r="I781" s="654"/>
      <c r="J781" s="191"/>
      <c r="K781" s="191">
        <v>83287.533316160101</v>
      </c>
      <c r="L781" s="191"/>
      <c r="M781" s="191"/>
      <c r="N781" s="191"/>
      <c r="O781" s="191"/>
      <c r="P781" s="191"/>
      <c r="Q781" s="191"/>
      <c r="R781" s="191"/>
      <c r="S781" s="191"/>
      <c r="T781" s="191"/>
      <c r="U781" s="439"/>
      <c r="V781" s="441"/>
      <c r="W781" s="178"/>
      <c r="X781" s="172"/>
      <c r="Y781" s="172"/>
      <c r="Z781" s="172"/>
      <c r="AA781" s="195"/>
      <c r="AB781" s="172"/>
    </row>
    <row r="782" spans="1:28" ht="12.75" customHeight="1" x14ac:dyDescent="0.3">
      <c r="A782" s="667"/>
      <c r="B782" s="668" t="s">
        <v>5621</v>
      </c>
      <c r="C782" s="160" t="s">
        <v>5622</v>
      </c>
      <c r="D782" s="160"/>
      <c r="E782" s="439">
        <v>7.77</v>
      </c>
      <c r="F782" s="686">
        <v>322.99478859999999</v>
      </c>
      <c r="G782" s="161"/>
      <c r="H782" s="654"/>
      <c r="I782" s="654"/>
      <c r="J782" s="191"/>
      <c r="K782" s="191">
        <v>79208.173719500002</v>
      </c>
      <c r="L782" s="191"/>
      <c r="M782" s="191"/>
      <c r="N782" s="191"/>
      <c r="O782" s="191"/>
      <c r="P782" s="191"/>
      <c r="Q782" s="191"/>
      <c r="R782" s="191"/>
      <c r="S782" s="191"/>
      <c r="T782" s="191"/>
      <c r="U782" s="439"/>
      <c r="V782" s="441"/>
      <c r="W782" s="178"/>
      <c r="X782" s="172"/>
      <c r="Y782" s="172"/>
      <c r="Z782" s="172"/>
      <c r="AA782" s="195"/>
      <c r="AB782" s="172"/>
    </row>
    <row r="783" spans="1:28" ht="12.75" customHeight="1" x14ac:dyDescent="0.3">
      <c r="A783" s="667"/>
      <c r="B783" s="668" t="s">
        <v>5623</v>
      </c>
      <c r="C783" s="160" t="s">
        <v>5624</v>
      </c>
      <c r="D783" s="160"/>
      <c r="E783" s="439">
        <v>7.2</v>
      </c>
      <c r="F783" s="161">
        <v>356.95581629999998</v>
      </c>
      <c r="G783" s="161"/>
      <c r="H783" s="654"/>
      <c r="I783" s="654"/>
      <c r="J783" s="191"/>
      <c r="K783" s="191">
        <v>83333.572427900101</v>
      </c>
      <c r="L783" s="191"/>
      <c r="M783" s="191"/>
      <c r="N783" s="191"/>
      <c r="O783" s="191"/>
      <c r="P783" s="191"/>
      <c r="Q783" s="191"/>
      <c r="R783" s="191"/>
      <c r="S783" s="191"/>
      <c r="T783" s="191"/>
      <c r="U783" s="439"/>
      <c r="V783" s="441"/>
      <c r="W783" s="178"/>
      <c r="X783" s="172"/>
      <c r="Y783" s="172"/>
      <c r="Z783" s="172"/>
      <c r="AA783" s="195"/>
      <c r="AB783" s="172"/>
    </row>
    <row r="784" spans="1:28" ht="12.75" customHeight="1" x14ac:dyDescent="0.3">
      <c r="A784" s="667"/>
      <c r="B784" s="668" t="s">
        <v>5625</v>
      </c>
      <c r="C784" s="160" t="s">
        <v>5626</v>
      </c>
      <c r="D784" s="160"/>
      <c r="E784" s="439">
        <v>6.5</v>
      </c>
      <c r="F784" s="161">
        <v>419.03924026300001</v>
      </c>
      <c r="G784" s="161"/>
      <c r="H784" s="654"/>
      <c r="I784" s="654"/>
      <c r="J784" s="191"/>
      <c r="K784" s="191">
        <v>98664.291136317595</v>
      </c>
      <c r="L784" s="191"/>
      <c r="M784" s="191"/>
      <c r="N784" s="191"/>
      <c r="O784" s="191"/>
      <c r="P784" s="191"/>
      <c r="Q784" s="191"/>
      <c r="R784" s="191"/>
      <c r="S784" s="191"/>
      <c r="T784" s="191"/>
      <c r="U784" s="439"/>
      <c r="V784" s="441"/>
      <c r="W784" s="178"/>
      <c r="X784" s="172"/>
      <c r="Y784" s="172"/>
      <c r="Z784" s="172"/>
      <c r="AA784" s="195"/>
      <c r="AB784" s="172"/>
    </row>
    <row r="785" spans="1:28" ht="12.75" customHeight="1" x14ac:dyDescent="0.3">
      <c r="A785" s="667"/>
      <c r="B785" s="668" t="s">
        <v>5627</v>
      </c>
      <c r="C785" s="160" t="s">
        <v>5628</v>
      </c>
      <c r="D785" s="160"/>
      <c r="E785" s="439">
        <v>7.82</v>
      </c>
      <c r="F785" s="161">
        <v>295.080711151</v>
      </c>
      <c r="G785" s="161"/>
      <c r="H785" s="654"/>
      <c r="I785" s="654"/>
      <c r="J785" s="191"/>
      <c r="K785" s="191">
        <v>18464.604084316699</v>
      </c>
      <c r="L785" s="191"/>
      <c r="M785" s="191"/>
      <c r="N785" s="191"/>
      <c r="O785" s="191"/>
      <c r="P785" s="191"/>
      <c r="Q785" s="191"/>
      <c r="R785" s="191"/>
      <c r="S785" s="191"/>
      <c r="T785" s="191"/>
      <c r="U785" s="439"/>
      <c r="V785" s="441"/>
      <c r="W785" s="178"/>
      <c r="X785" s="172"/>
      <c r="Y785" s="172"/>
      <c r="Z785" s="172"/>
      <c r="AA785" s="195"/>
      <c r="AB785" s="172"/>
    </row>
    <row r="786" spans="1:28" ht="12.75" customHeight="1" x14ac:dyDescent="0.3">
      <c r="A786" s="667"/>
      <c r="B786" s="668" t="s">
        <v>5629</v>
      </c>
      <c r="C786" s="160" t="s">
        <v>5630</v>
      </c>
      <c r="D786" s="160"/>
      <c r="E786" s="439">
        <v>7.33</v>
      </c>
      <c r="F786" s="161">
        <v>322.99478859999999</v>
      </c>
      <c r="G786" s="161"/>
      <c r="H786" s="654"/>
      <c r="I786" s="654"/>
      <c r="J786" s="191"/>
      <c r="K786" s="191">
        <v>30050.382199366501</v>
      </c>
      <c r="L786" s="191"/>
      <c r="M786" s="191"/>
      <c r="N786" s="191"/>
      <c r="O786" s="191"/>
      <c r="P786" s="191"/>
      <c r="Q786" s="191"/>
      <c r="R786" s="191"/>
      <c r="S786" s="191"/>
      <c r="T786" s="191"/>
      <c r="U786" s="439"/>
      <c r="V786" s="441"/>
      <c r="W786" s="178"/>
      <c r="X786" s="172"/>
      <c r="Y786" s="172"/>
      <c r="Z786" s="172"/>
      <c r="AA786" s="195"/>
      <c r="AB786" s="172"/>
    </row>
    <row r="787" spans="1:28" ht="12.75" customHeight="1" x14ac:dyDescent="0.3">
      <c r="A787" s="667"/>
      <c r="B787" s="668" t="s">
        <v>5631</v>
      </c>
      <c r="C787" s="160" t="s">
        <v>5632</v>
      </c>
      <c r="D787" s="160"/>
      <c r="E787" s="439">
        <v>8.2100000000000009</v>
      </c>
      <c r="F787" s="161">
        <v>414.93040999999999</v>
      </c>
      <c r="G787" s="161"/>
      <c r="H787" s="654"/>
      <c r="I787" s="654"/>
      <c r="J787" s="191"/>
      <c r="K787" s="191">
        <v>12388.251112043001</v>
      </c>
      <c r="L787" s="191"/>
      <c r="M787" s="191"/>
      <c r="N787" s="191"/>
      <c r="O787" s="191"/>
      <c r="P787" s="191"/>
      <c r="Q787" s="191"/>
      <c r="R787" s="191"/>
      <c r="S787" s="191"/>
      <c r="T787" s="191"/>
      <c r="U787" s="439"/>
      <c r="V787" s="441"/>
      <c r="W787" s="178"/>
      <c r="X787" s="172"/>
      <c r="Y787" s="172"/>
      <c r="Z787" s="172"/>
      <c r="AA787" s="195"/>
      <c r="AB787" s="172"/>
    </row>
    <row r="788" spans="1:28" ht="12.75" customHeight="1" x14ac:dyDescent="0.3">
      <c r="A788" s="667"/>
      <c r="B788" s="668" t="s">
        <v>5633</v>
      </c>
      <c r="C788" s="160" t="s">
        <v>5634</v>
      </c>
      <c r="D788" s="160"/>
      <c r="E788" s="439">
        <v>7.56</v>
      </c>
      <c r="F788" s="161">
        <v>506.06752191599998</v>
      </c>
      <c r="G788" s="161"/>
      <c r="H788" s="654"/>
      <c r="I788" s="654"/>
      <c r="J788" s="191"/>
      <c r="K788" s="191">
        <v>1356500.6306334899</v>
      </c>
      <c r="L788" s="191"/>
      <c r="M788" s="191"/>
      <c r="N788" s="191"/>
      <c r="O788" s="191"/>
      <c r="P788" s="191"/>
      <c r="Q788" s="191"/>
      <c r="R788" s="191"/>
      <c r="S788" s="191"/>
      <c r="T788" s="191"/>
      <c r="U788" s="439"/>
      <c r="V788" s="441"/>
      <c r="W788" s="178"/>
      <c r="X788" s="172"/>
      <c r="Y788" s="172"/>
      <c r="Z788" s="172"/>
      <c r="AA788" s="195"/>
      <c r="AB788" s="172"/>
    </row>
    <row r="789" spans="1:28" ht="12.75" customHeight="1" x14ac:dyDescent="0.3">
      <c r="A789" s="667"/>
      <c r="B789" s="668" t="s">
        <v>5635</v>
      </c>
      <c r="C789" s="160" t="s">
        <v>5636</v>
      </c>
      <c r="D789" s="160"/>
      <c r="E789" s="439">
        <v>8.91</v>
      </c>
      <c r="F789" s="161">
        <v>280.019507874</v>
      </c>
      <c r="G789" s="161"/>
      <c r="H789" s="654"/>
      <c r="I789" s="654"/>
      <c r="J789" s="191"/>
      <c r="K789" s="191">
        <v>61.428512649163899</v>
      </c>
      <c r="L789" s="191"/>
      <c r="M789" s="191"/>
      <c r="N789" s="191"/>
      <c r="O789" s="191"/>
      <c r="P789" s="191"/>
      <c r="Q789" s="191"/>
      <c r="R789" s="191"/>
      <c r="S789" s="191"/>
      <c r="T789" s="191"/>
      <c r="U789" s="439"/>
      <c r="V789" s="441"/>
      <c r="W789" s="178"/>
      <c r="X789" s="172"/>
      <c r="Y789" s="172"/>
      <c r="Z789" s="172"/>
      <c r="AA789" s="195"/>
      <c r="AB789" s="172"/>
    </row>
    <row r="790" spans="1:28" ht="12.75" customHeight="1" x14ac:dyDescent="0.3">
      <c r="A790" s="667"/>
      <c r="B790" s="668" t="s">
        <v>5637</v>
      </c>
      <c r="C790" s="160" t="s">
        <v>5638</v>
      </c>
      <c r="D790" s="160"/>
      <c r="E790" s="439">
        <v>6.9</v>
      </c>
      <c r="F790" s="161">
        <v>253.03376095799999</v>
      </c>
      <c r="G790" s="161"/>
      <c r="H790" s="654"/>
      <c r="I790" s="654"/>
      <c r="J790" s="191"/>
      <c r="K790" s="191">
        <v>747.70450960457799</v>
      </c>
      <c r="L790" s="191"/>
      <c r="M790" s="191"/>
      <c r="N790" s="191"/>
      <c r="O790" s="191"/>
      <c r="P790" s="191"/>
      <c r="Q790" s="191"/>
      <c r="R790" s="191"/>
      <c r="S790" s="191"/>
      <c r="T790" s="191"/>
      <c r="U790" s="439"/>
      <c r="V790" s="441"/>
      <c r="W790" s="178"/>
      <c r="X790" s="172"/>
      <c r="Y790" s="172"/>
      <c r="Z790" s="172"/>
      <c r="AA790" s="195"/>
      <c r="AB790" s="172"/>
    </row>
    <row r="791" spans="1:28" ht="12.75" customHeight="1" x14ac:dyDescent="0.3">
      <c r="A791" s="667"/>
      <c r="B791" s="668" t="s">
        <v>5639</v>
      </c>
      <c r="C791" s="160" t="s">
        <v>5640</v>
      </c>
      <c r="D791" s="160"/>
      <c r="E791" s="439">
        <v>8.8000000000000007</v>
      </c>
      <c r="F791" s="161">
        <v>303.049411023</v>
      </c>
      <c r="G791" s="161"/>
      <c r="H791" s="654"/>
      <c r="I791" s="654"/>
      <c r="J791" s="191"/>
      <c r="K791" s="191">
        <v>5861.5166099941198</v>
      </c>
      <c r="L791" s="191"/>
      <c r="M791" s="191"/>
      <c r="N791" s="191"/>
      <c r="O791" s="191"/>
      <c r="P791" s="191"/>
      <c r="Q791" s="191"/>
      <c r="R791" s="191"/>
      <c r="S791" s="191"/>
      <c r="T791" s="191"/>
      <c r="U791" s="439"/>
      <c r="V791" s="441"/>
      <c r="W791" s="178"/>
      <c r="X791" s="172"/>
      <c r="Y791" s="172"/>
      <c r="Z791" s="172"/>
      <c r="AA791" s="195"/>
      <c r="AB791" s="172"/>
    </row>
    <row r="792" spans="1:28" ht="12.75" customHeight="1" x14ac:dyDescent="0.3">
      <c r="A792" s="667"/>
      <c r="B792" s="668" t="s">
        <v>5641</v>
      </c>
      <c r="C792" s="160" t="s">
        <v>5642</v>
      </c>
      <c r="D792" s="160"/>
      <c r="E792" s="439">
        <v>8.93</v>
      </c>
      <c r="F792" s="161">
        <v>317.065061087</v>
      </c>
      <c r="G792" s="161">
        <v>31.123000000000001</v>
      </c>
      <c r="H792" s="654">
        <v>0.16592056222000001</v>
      </c>
      <c r="I792" s="654">
        <v>2.5831417352782302</v>
      </c>
      <c r="J792" s="191"/>
      <c r="K792" s="191">
        <v>2814.03827387617</v>
      </c>
      <c r="L792" s="191"/>
      <c r="M792" s="191"/>
      <c r="N792" s="191"/>
      <c r="O792" s="191"/>
      <c r="P792" s="191"/>
      <c r="Q792" s="191"/>
      <c r="R792" s="191"/>
      <c r="S792" s="191"/>
      <c r="T792" s="191"/>
      <c r="U792" s="439"/>
      <c r="V792" s="441"/>
      <c r="W792" s="178"/>
      <c r="X792" s="172"/>
      <c r="Y792" s="172"/>
      <c r="Z792" s="172"/>
      <c r="AA792" s="195"/>
      <c r="AB792" s="172"/>
    </row>
    <row r="793" spans="1:28" ht="12.75" customHeight="1" x14ac:dyDescent="0.3">
      <c r="A793" s="667"/>
      <c r="B793" s="668" t="s">
        <v>5643</v>
      </c>
      <c r="C793" s="160" t="s">
        <v>5644</v>
      </c>
      <c r="D793" s="160"/>
      <c r="E793" s="439">
        <v>9.35</v>
      </c>
      <c r="F793" s="161">
        <v>331.080711151</v>
      </c>
      <c r="G793" s="161"/>
      <c r="H793" s="654"/>
      <c r="I793" s="654"/>
      <c r="J793" s="191"/>
      <c r="K793" s="191">
        <v>6185.0042159785799</v>
      </c>
      <c r="L793" s="191"/>
      <c r="M793" s="191"/>
      <c r="N793" s="191"/>
      <c r="O793" s="191"/>
      <c r="P793" s="191"/>
      <c r="Q793" s="191"/>
      <c r="R793" s="191"/>
      <c r="S793" s="191"/>
      <c r="T793" s="191"/>
      <c r="U793" s="439"/>
      <c r="V793" s="441"/>
      <c r="W793" s="178"/>
      <c r="X793" s="172"/>
      <c r="Y793" s="172"/>
      <c r="Z793" s="172"/>
      <c r="AA793" s="195"/>
      <c r="AB793" s="172"/>
    </row>
    <row r="794" spans="1:28" ht="12.75" customHeight="1" x14ac:dyDescent="0.3">
      <c r="A794" s="667"/>
      <c r="B794" s="668" t="s">
        <v>5645</v>
      </c>
      <c r="C794" s="160" t="s">
        <v>5646</v>
      </c>
      <c r="D794" s="160"/>
      <c r="E794" s="439">
        <v>7.04</v>
      </c>
      <c r="F794" s="161">
        <v>508.08317198100002</v>
      </c>
      <c r="G794" s="161"/>
      <c r="H794" s="654"/>
      <c r="I794" s="654"/>
      <c r="J794" s="191"/>
      <c r="K794" s="191">
        <v>458923.18606087798</v>
      </c>
      <c r="L794" s="191"/>
      <c r="M794" s="191"/>
      <c r="N794" s="191"/>
      <c r="O794" s="191"/>
      <c r="P794" s="191"/>
      <c r="Q794" s="191"/>
      <c r="R794" s="191"/>
      <c r="S794" s="191"/>
      <c r="T794" s="191"/>
      <c r="U794" s="439"/>
      <c r="V794" s="441"/>
      <c r="W794" s="178"/>
      <c r="X794" s="172"/>
      <c r="Y794" s="172"/>
      <c r="Z794" s="172"/>
      <c r="AA794" s="195"/>
      <c r="AB794" s="172"/>
    </row>
    <row r="795" spans="1:28" ht="12.75" customHeight="1" x14ac:dyDescent="0.3">
      <c r="A795" s="667"/>
      <c r="B795" s="668" t="s">
        <v>5647</v>
      </c>
      <c r="C795" s="160" t="s">
        <v>5648</v>
      </c>
      <c r="D795" s="160"/>
      <c r="E795" s="439">
        <v>6.73</v>
      </c>
      <c r="F795" s="161">
        <v>494.06752191599998</v>
      </c>
      <c r="G795" s="161"/>
      <c r="H795" s="654"/>
      <c r="I795" s="654"/>
      <c r="J795" s="191"/>
      <c r="K795" s="191">
        <v>232873.46219319699</v>
      </c>
      <c r="L795" s="191"/>
      <c r="M795" s="191"/>
      <c r="N795" s="191"/>
      <c r="O795" s="191"/>
      <c r="P795" s="191"/>
      <c r="Q795" s="191"/>
      <c r="R795" s="191"/>
      <c r="S795" s="191"/>
      <c r="T795" s="191"/>
      <c r="U795" s="439"/>
      <c r="V795" s="441"/>
      <c r="W795" s="178"/>
      <c r="X795" s="172"/>
      <c r="Y795" s="172"/>
      <c r="Z795" s="172"/>
      <c r="AA795" s="195"/>
      <c r="AB795" s="172"/>
    </row>
    <row r="796" spans="1:28" ht="12.75" customHeight="1" x14ac:dyDescent="0.3">
      <c r="A796" s="667"/>
      <c r="B796" s="668" t="s">
        <v>5649</v>
      </c>
      <c r="C796" s="160" t="s">
        <v>5650</v>
      </c>
      <c r="D796" s="160"/>
      <c r="E796" s="439">
        <v>6.37</v>
      </c>
      <c r="F796" s="161">
        <v>480.05187185199998</v>
      </c>
      <c r="G796" s="161"/>
      <c r="H796" s="654"/>
      <c r="I796" s="654"/>
      <c r="J796" s="191"/>
      <c r="K796" s="191">
        <v>105735.29955259099</v>
      </c>
      <c r="L796" s="191"/>
      <c r="M796" s="191"/>
      <c r="N796" s="191"/>
      <c r="O796" s="191"/>
      <c r="P796" s="191"/>
      <c r="Q796" s="191"/>
      <c r="R796" s="191"/>
      <c r="S796" s="191"/>
      <c r="T796" s="191"/>
      <c r="U796" s="439"/>
      <c r="V796" s="441"/>
      <c r="W796" s="178"/>
      <c r="X796" s="172"/>
      <c r="Y796" s="172"/>
      <c r="Z796" s="172"/>
      <c r="AA796" s="195"/>
      <c r="AB796" s="172"/>
    </row>
    <row r="797" spans="1:28" ht="12.75" customHeight="1" x14ac:dyDescent="0.3">
      <c r="A797" s="667"/>
      <c r="B797" s="668" t="s">
        <v>5651</v>
      </c>
      <c r="C797" s="160" t="s">
        <v>5652</v>
      </c>
      <c r="D797" s="160"/>
      <c r="E797" s="439">
        <v>6.6</v>
      </c>
      <c r="F797" s="161">
        <v>274.99478859999999</v>
      </c>
      <c r="G797" s="161">
        <v>-37.656999999999996</v>
      </c>
      <c r="H797" s="654">
        <v>18.616684114000002</v>
      </c>
      <c r="I797" s="654">
        <v>12.686004588737401</v>
      </c>
      <c r="J797" s="191"/>
      <c r="K797" s="191">
        <v>1408.9318928114001</v>
      </c>
      <c r="L797" s="191"/>
      <c r="M797" s="191"/>
      <c r="N797" s="191"/>
      <c r="O797" s="191"/>
      <c r="P797" s="191"/>
      <c r="Q797" s="191"/>
      <c r="R797" s="191"/>
      <c r="S797" s="191"/>
      <c r="T797" s="191"/>
      <c r="U797" s="439"/>
      <c r="V797" s="441"/>
      <c r="W797" s="178"/>
      <c r="X797" s="172"/>
      <c r="Y797" s="172"/>
      <c r="Z797" s="172"/>
      <c r="AA797" s="195"/>
      <c r="AB797" s="172"/>
    </row>
    <row r="798" spans="1:28" ht="12.75" customHeight="1" x14ac:dyDescent="0.3">
      <c r="A798" s="667"/>
      <c r="B798" s="668" t="s">
        <v>5653</v>
      </c>
      <c r="C798" s="160" t="s">
        <v>5654</v>
      </c>
      <c r="D798" s="160"/>
      <c r="E798" s="439">
        <v>7.87</v>
      </c>
      <c r="F798" s="161">
        <v>466.03622178799998</v>
      </c>
      <c r="G798" s="161"/>
      <c r="H798" s="654"/>
      <c r="I798" s="654"/>
      <c r="J798" s="191"/>
      <c r="K798" s="191">
        <v>90955.716636844896</v>
      </c>
      <c r="L798" s="191"/>
      <c r="M798" s="191"/>
      <c r="N798" s="191"/>
      <c r="O798" s="191"/>
      <c r="P798" s="191"/>
      <c r="Q798" s="191"/>
      <c r="R798" s="191"/>
      <c r="S798" s="191"/>
      <c r="T798" s="191"/>
      <c r="U798" s="439"/>
      <c r="V798" s="441"/>
      <c r="W798" s="178"/>
      <c r="X798" s="172"/>
      <c r="Y798" s="172"/>
      <c r="Z798" s="172"/>
      <c r="AA798" s="195"/>
      <c r="AB798" s="172"/>
    </row>
    <row r="799" spans="1:28" ht="12.75" customHeight="1" x14ac:dyDescent="0.3">
      <c r="A799" s="667"/>
      <c r="B799" s="668" t="s">
        <v>5655</v>
      </c>
      <c r="C799" s="160" t="s">
        <v>5656</v>
      </c>
      <c r="D799" s="160"/>
      <c r="E799" s="439">
        <v>6.47</v>
      </c>
      <c r="F799" s="161">
        <v>452.02057172299999</v>
      </c>
      <c r="G799" s="161">
        <v>-6.4260000000000002</v>
      </c>
      <c r="H799" s="654">
        <v>0.15132180322</v>
      </c>
      <c r="I799" s="654">
        <v>4.3466840601569698</v>
      </c>
      <c r="J799" s="191"/>
      <c r="K799" s="191">
        <v>37168.069111670899</v>
      </c>
      <c r="L799" s="191"/>
      <c r="M799" s="191"/>
      <c r="N799" s="191"/>
      <c r="O799" s="191"/>
      <c r="P799" s="191"/>
      <c r="Q799" s="191"/>
      <c r="R799" s="191"/>
      <c r="S799" s="191"/>
      <c r="T799" s="191"/>
      <c r="U799" s="439"/>
      <c r="V799" s="441"/>
      <c r="W799" s="178"/>
      <c r="X799" s="172"/>
      <c r="Y799" s="172"/>
      <c r="Z799" s="172"/>
      <c r="AA799" s="195"/>
      <c r="AB799" s="172"/>
    </row>
    <row r="800" spans="1:28" ht="12.75" customHeight="1" x14ac:dyDescent="0.3">
      <c r="A800" s="667"/>
      <c r="B800" s="668" t="s">
        <v>5657</v>
      </c>
      <c r="C800" s="160" t="s">
        <v>5658</v>
      </c>
      <c r="D800" s="160"/>
      <c r="E800" s="439">
        <v>5.92</v>
      </c>
      <c r="F800" s="161">
        <v>316.04465999400003</v>
      </c>
      <c r="G800" s="161"/>
      <c r="H800" s="654"/>
      <c r="I800" s="654"/>
      <c r="J800" s="191"/>
      <c r="K800" s="191">
        <v>17181.457413676599</v>
      </c>
      <c r="L800" s="191"/>
      <c r="M800" s="191"/>
      <c r="N800" s="191"/>
      <c r="O800" s="191"/>
      <c r="P800" s="191"/>
      <c r="Q800" s="191"/>
      <c r="R800" s="191"/>
      <c r="S800" s="191"/>
      <c r="T800" s="191"/>
      <c r="U800" s="439"/>
      <c r="V800" s="441"/>
      <c r="W800" s="178"/>
      <c r="X800" s="172"/>
      <c r="Y800" s="172"/>
      <c r="Z800" s="172"/>
      <c r="AA800" s="195"/>
      <c r="AB800" s="172"/>
    </row>
    <row r="801" spans="1:28" ht="12.75" customHeight="1" x14ac:dyDescent="0.3">
      <c r="A801" s="667"/>
      <c r="B801" s="668" t="s">
        <v>5659</v>
      </c>
      <c r="C801" s="160" t="s">
        <v>5660</v>
      </c>
      <c r="D801" s="160"/>
      <c r="E801" s="439">
        <v>5.64</v>
      </c>
      <c r="F801" s="161">
        <v>317.03990896599998</v>
      </c>
      <c r="G801" s="161"/>
      <c r="H801" s="654"/>
      <c r="I801" s="654"/>
      <c r="J801" s="191"/>
      <c r="K801" s="191">
        <v>1974.5130116650701</v>
      </c>
      <c r="L801" s="191"/>
      <c r="M801" s="191"/>
      <c r="N801" s="191"/>
      <c r="O801" s="191"/>
      <c r="P801" s="191"/>
      <c r="Q801" s="191"/>
      <c r="R801" s="191"/>
      <c r="S801" s="191"/>
      <c r="T801" s="191"/>
      <c r="U801" s="439"/>
      <c r="V801" s="441"/>
      <c r="W801" s="178"/>
      <c r="X801" s="172"/>
      <c r="Y801" s="172"/>
      <c r="Z801" s="172"/>
      <c r="AA801" s="195"/>
      <c r="AB801" s="172"/>
    </row>
    <row r="802" spans="1:28" ht="12.75" customHeight="1" x14ac:dyDescent="0.3">
      <c r="A802" s="667"/>
      <c r="B802" s="668" t="s">
        <v>5661</v>
      </c>
      <c r="C802" s="160" t="s">
        <v>5662</v>
      </c>
      <c r="D802" s="160"/>
      <c r="E802" s="439">
        <v>6.45</v>
      </c>
      <c r="F802" s="161">
        <v>423.989271594</v>
      </c>
      <c r="G802" s="161">
        <v>18.773</v>
      </c>
      <c r="H802" s="654">
        <v>0.3333516627</v>
      </c>
      <c r="I802" s="654">
        <v>2.7061666445540098</v>
      </c>
      <c r="J802" s="191"/>
      <c r="K802" s="191">
        <v>11543.8320599252</v>
      </c>
      <c r="L802" s="191"/>
      <c r="M802" s="191"/>
      <c r="N802" s="191"/>
      <c r="O802" s="191"/>
      <c r="P802" s="191"/>
      <c r="Q802" s="191"/>
      <c r="R802" s="191"/>
      <c r="S802" s="191"/>
      <c r="T802" s="191"/>
      <c r="U802" s="439"/>
      <c r="V802" s="441"/>
      <c r="W802" s="178"/>
      <c r="X802" s="172"/>
      <c r="Y802" s="172"/>
      <c r="Z802" s="172"/>
      <c r="AA802" s="195"/>
      <c r="AB802" s="172"/>
    </row>
    <row r="803" spans="1:28" ht="12.75" customHeight="1" x14ac:dyDescent="0.3">
      <c r="A803" s="667"/>
      <c r="B803" s="668" t="s">
        <v>5663</v>
      </c>
      <c r="C803" s="160" t="s">
        <v>5664</v>
      </c>
      <c r="D803" s="160"/>
      <c r="E803" s="439">
        <v>7.55</v>
      </c>
      <c r="F803" s="161">
        <v>304.04465999400003</v>
      </c>
      <c r="G803" s="161"/>
      <c r="H803" s="654"/>
      <c r="I803" s="654"/>
      <c r="J803" s="191"/>
      <c r="K803" s="191">
        <v>7889.6911020015896</v>
      </c>
      <c r="L803" s="191"/>
      <c r="M803" s="191"/>
      <c r="N803" s="191"/>
      <c r="O803" s="191"/>
      <c r="P803" s="191"/>
      <c r="Q803" s="191"/>
      <c r="R803" s="191"/>
      <c r="S803" s="191"/>
      <c r="T803" s="191"/>
      <c r="U803" s="439"/>
      <c r="V803" s="441"/>
      <c r="W803" s="178"/>
      <c r="X803" s="172"/>
      <c r="Y803" s="172"/>
      <c r="Z803" s="172"/>
      <c r="AA803" s="195"/>
      <c r="AB803" s="172"/>
    </row>
    <row r="804" spans="1:28" ht="12.75" customHeight="1" x14ac:dyDescent="0.3">
      <c r="A804" s="667"/>
      <c r="B804" s="668" t="s">
        <v>5665</v>
      </c>
      <c r="C804" s="160" t="s">
        <v>5666</v>
      </c>
      <c r="D804" s="160"/>
      <c r="E804" s="439">
        <v>6.66</v>
      </c>
      <c r="F804" s="161">
        <v>402.95160370000002</v>
      </c>
      <c r="G804" s="161"/>
      <c r="H804" s="654"/>
      <c r="I804" s="654"/>
      <c r="J804" s="191"/>
      <c r="K804" s="191">
        <v>5057.4313927039802</v>
      </c>
      <c r="L804" s="191"/>
      <c r="M804" s="191"/>
      <c r="N804" s="191"/>
      <c r="O804" s="191"/>
      <c r="P804" s="191"/>
      <c r="Q804" s="191"/>
      <c r="R804" s="191"/>
      <c r="S804" s="191"/>
      <c r="T804" s="191"/>
      <c r="U804" s="439"/>
      <c r="V804" s="441"/>
      <c r="W804" s="178"/>
      <c r="X804" s="172"/>
      <c r="Y804" s="172"/>
      <c r="Z804" s="172"/>
      <c r="AA804" s="195"/>
      <c r="AB804" s="172"/>
    </row>
    <row r="805" spans="1:28" ht="12.75" customHeight="1" x14ac:dyDescent="0.3">
      <c r="A805" s="667"/>
      <c r="B805" s="668" t="s">
        <v>5667</v>
      </c>
      <c r="C805" s="160" t="s">
        <v>5668</v>
      </c>
      <c r="D805" s="160"/>
      <c r="E805" s="439"/>
      <c r="F805" s="161">
        <v>431.96427984799999</v>
      </c>
      <c r="G805" s="161"/>
      <c r="H805" s="654"/>
      <c r="I805" s="654"/>
      <c r="J805" s="191"/>
      <c r="K805" s="191">
        <v>27441.004182565699</v>
      </c>
      <c r="L805" s="191"/>
      <c r="M805" s="191"/>
      <c r="N805" s="191"/>
      <c r="O805" s="191"/>
      <c r="P805" s="191"/>
      <c r="Q805" s="191"/>
      <c r="R805" s="191"/>
      <c r="S805" s="191"/>
      <c r="T805" s="191"/>
      <c r="U805" s="439"/>
      <c r="V805" s="441"/>
      <c r="W805" s="178"/>
      <c r="X805" s="172"/>
      <c r="Y805" s="172"/>
      <c r="Z805" s="172"/>
      <c r="AA805" s="195"/>
      <c r="AB805" s="172"/>
    </row>
    <row r="806" spans="1:28" ht="12.75" customHeight="1" x14ac:dyDescent="0.3">
      <c r="A806" s="667"/>
      <c r="B806" s="668" t="s">
        <v>5669</v>
      </c>
      <c r="C806" s="160" t="s">
        <v>5670</v>
      </c>
      <c r="D806" s="160"/>
      <c r="E806" s="439">
        <v>3.3820000000000001</v>
      </c>
      <c r="F806" s="161">
        <v>240.00212647800001</v>
      </c>
      <c r="G806" s="161">
        <v>-76.397000000000006</v>
      </c>
      <c r="H806" s="654">
        <v>473.04378786000001</v>
      </c>
      <c r="I806" s="654">
        <v>81.510722205090701</v>
      </c>
      <c r="J806" s="191"/>
      <c r="K806" s="191">
        <v>111.573228481505</v>
      </c>
      <c r="L806" s="191"/>
      <c r="M806" s="191"/>
      <c r="N806" s="191"/>
      <c r="O806" s="191"/>
      <c r="P806" s="191"/>
      <c r="Q806" s="191"/>
      <c r="R806" s="191"/>
      <c r="S806" s="191"/>
      <c r="T806" s="191"/>
      <c r="U806" s="439"/>
      <c r="V806" s="441"/>
      <c r="W806" s="178"/>
      <c r="X806" s="172"/>
      <c r="Y806" s="172"/>
      <c r="Z806" s="172"/>
      <c r="AA806" s="195"/>
      <c r="AB806" s="172"/>
    </row>
    <row r="807" spans="1:28" ht="12.75" customHeight="1" x14ac:dyDescent="0.3">
      <c r="A807" s="667"/>
      <c r="B807" s="668" t="s">
        <v>5671</v>
      </c>
      <c r="C807" s="160" t="s">
        <v>5672</v>
      </c>
      <c r="D807" s="160"/>
      <c r="E807" s="439"/>
      <c r="F807" s="161">
        <v>566.11380340599999</v>
      </c>
      <c r="G807" s="161"/>
      <c r="H807" s="654"/>
      <c r="I807" s="654"/>
      <c r="J807" s="191"/>
      <c r="K807" s="191">
        <v>107285.245664809</v>
      </c>
      <c r="L807" s="191"/>
      <c r="M807" s="191"/>
      <c r="N807" s="191"/>
      <c r="O807" s="191"/>
      <c r="P807" s="191"/>
      <c r="Q807" s="191"/>
      <c r="R807" s="191"/>
      <c r="S807" s="191"/>
      <c r="T807" s="191"/>
      <c r="U807" s="439"/>
      <c r="V807" s="441"/>
      <c r="W807" s="178"/>
      <c r="X807" s="172"/>
      <c r="Y807" s="172"/>
      <c r="Z807" s="172"/>
      <c r="AA807" s="195"/>
      <c r="AB807" s="172"/>
    </row>
    <row r="808" spans="1:28" ht="12.75" customHeight="1" x14ac:dyDescent="0.3">
      <c r="A808" s="667"/>
      <c r="B808" s="668" t="s">
        <v>5673</v>
      </c>
      <c r="C808" s="160" t="s">
        <v>5674</v>
      </c>
      <c r="D808" s="160"/>
      <c r="E808" s="439"/>
      <c r="F808" s="161">
        <v>425.95730276199998</v>
      </c>
      <c r="G808" s="161">
        <v>-69.165999999999997</v>
      </c>
      <c r="H808" s="654">
        <v>32.877738487999999</v>
      </c>
      <c r="I808" s="654">
        <v>3.8051021430111098</v>
      </c>
      <c r="J808" s="191"/>
      <c r="K808" s="191">
        <v>10734.702179554401</v>
      </c>
      <c r="L808" s="191"/>
      <c r="M808" s="191"/>
      <c r="N808" s="191"/>
      <c r="O808" s="191"/>
      <c r="P808" s="191"/>
      <c r="Q808" s="191"/>
      <c r="R808" s="191"/>
      <c r="S808" s="191"/>
      <c r="T808" s="191"/>
      <c r="U808" s="439"/>
      <c r="V808" s="441"/>
      <c r="W808" s="178"/>
      <c r="X808" s="172"/>
      <c r="Y808" s="172"/>
      <c r="Z808" s="172"/>
      <c r="AA808" s="195"/>
      <c r="AB808" s="172"/>
    </row>
    <row r="809" spans="1:28" ht="12.75" customHeight="1" x14ac:dyDescent="0.3">
      <c r="A809" s="667"/>
      <c r="B809" s="668" t="s">
        <v>5675</v>
      </c>
      <c r="C809" s="160" t="s">
        <v>5676</v>
      </c>
      <c r="D809" s="160"/>
      <c r="E809" s="439"/>
      <c r="F809" s="161">
        <v>275.90207500000002</v>
      </c>
      <c r="G809" s="161">
        <v>-65.921000000000006</v>
      </c>
      <c r="H809" s="654">
        <v>14924.597968</v>
      </c>
      <c r="I809" s="654"/>
      <c r="J809" s="191"/>
      <c r="K809" s="191">
        <v>363.91503612720697</v>
      </c>
      <c r="L809" s="191"/>
      <c r="M809" s="191"/>
      <c r="N809" s="191"/>
      <c r="O809" s="191"/>
      <c r="P809" s="191"/>
      <c r="Q809" s="191"/>
      <c r="R809" s="191"/>
      <c r="S809" s="191"/>
      <c r="T809" s="191"/>
      <c r="U809" s="439"/>
      <c r="V809" s="441"/>
      <c r="W809" s="178"/>
      <c r="X809" s="172"/>
      <c r="Y809" s="172"/>
      <c r="Z809" s="172"/>
      <c r="AA809" s="195"/>
      <c r="AB809" s="172"/>
    </row>
    <row r="810" spans="1:28" ht="12.75" customHeight="1" x14ac:dyDescent="0.3">
      <c r="A810" s="667"/>
      <c r="B810" s="668" t="s">
        <v>5677</v>
      </c>
      <c r="C810" s="160" t="s">
        <v>5678</v>
      </c>
      <c r="D810" s="160"/>
      <c r="E810" s="439"/>
      <c r="F810" s="161">
        <v>231.95258949999999</v>
      </c>
      <c r="G810" s="161">
        <v>-73.593000000000004</v>
      </c>
      <c r="H810" s="654">
        <v>21772.14921</v>
      </c>
      <c r="I810" s="654"/>
      <c r="J810" s="191"/>
      <c r="K810" s="191">
        <v>189.49161621841299</v>
      </c>
      <c r="L810" s="191"/>
      <c r="M810" s="191"/>
      <c r="N810" s="191"/>
      <c r="O810" s="191"/>
      <c r="P810" s="191"/>
      <c r="Q810" s="191"/>
      <c r="R810" s="191"/>
      <c r="S810" s="191"/>
      <c r="T810" s="191"/>
      <c r="U810" s="439"/>
      <c r="V810" s="441"/>
      <c r="W810" s="178"/>
      <c r="X810" s="172"/>
      <c r="Y810" s="172"/>
      <c r="Z810" s="172"/>
      <c r="AA810" s="195"/>
      <c r="AB810" s="172"/>
    </row>
    <row r="811" spans="1:28" ht="12.75" customHeight="1" x14ac:dyDescent="0.3">
      <c r="A811" s="667"/>
      <c r="B811" s="668" t="s">
        <v>5679</v>
      </c>
      <c r="C811" s="160" t="s">
        <v>5680</v>
      </c>
      <c r="D811" s="160"/>
      <c r="E811" s="439">
        <v>8.1300000000000008</v>
      </c>
      <c r="F811" s="161">
        <v>339.03056728400003</v>
      </c>
      <c r="G811" s="161"/>
      <c r="H811" s="654"/>
      <c r="I811" s="654"/>
      <c r="J811" s="191"/>
      <c r="K811" s="191">
        <v>11782.5692247849</v>
      </c>
      <c r="L811" s="191"/>
      <c r="M811" s="191"/>
      <c r="N811" s="191"/>
      <c r="O811" s="191"/>
      <c r="P811" s="191"/>
      <c r="Q811" s="191"/>
      <c r="R811" s="191"/>
      <c r="S811" s="191"/>
      <c r="T811" s="191"/>
      <c r="U811" s="439"/>
      <c r="V811" s="441"/>
      <c r="W811" s="178"/>
      <c r="X811" s="172"/>
      <c r="Y811" s="172"/>
      <c r="Z811" s="172"/>
      <c r="AA811" s="195"/>
      <c r="AB811" s="172"/>
    </row>
    <row r="812" spans="1:28" ht="12.75" customHeight="1" x14ac:dyDescent="0.3">
      <c r="A812" s="667"/>
      <c r="B812" s="668" t="s">
        <v>5681</v>
      </c>
      <c r="C812" s="160" t="s">
        <v>5682</v>
      </c>
      <c r="D812" s="160"/>
      <c r="E812" s="439">
        <v>6.23</v>
      </c>
      <c r="F812" s="161">
        <v>552.01418437500001</v>
      </c>
      <c r="G812" s="161"/>
      <c r="H812" s="654"/>
      <c r="I812" s="654"/>
      <c r="J812" s="191"/>
      <c r="K812" s="191">
        <v>75857.757502918306</v>
      </c>
      <c r="L812" s="191"/>
      <c r="M812" s="191"/>
      <c r="N812" s="191"/>
      <c r="O812" s="191"/>
      <c r="P812" s="191"/>
      <c r="Q812" s="191"/>
      <c r="R812" s="191"/>
      <c r="S812" s="191"/>
      <c r="T812" s="191"/>
      <c r="U812" s="439"/>
      <c r="V812" s="441"/>
      <c r="W812" s="178"/>
      <c r="X812" s="172"/>
      <c r="Y812" s="172"/>
      <c r="Z812" s="172"/>
      <c r="AA812" s="195"/>
      <c r="AB812" s="172"/>
    </row>
    <row r="813" spans="1:28" ht="12.75" customHeight="1" x14ac:dyDescent="0.3">
      <c r="A813" s="667"/>
      <c r="B813" s="668" t="s">
        <v>5683</v>
      </c>
      <c r="C813" s="160" t="s">
        <v>5684</v>
      </c>
      <c r="D813" s="160"/>
      <c r="E813" s="439">
        <v>-0.8</v>
      </c>
      <c r="F813" s="161">
        <v>285.96522699000002</v>
      </c>
      <c r="G813" s="161"/>
      <c r="H813" s="654"/>
      <c r="I813" s="654"/>
      <c r="J813" s="191"/>
      <c r="K813" s="191">
        <v>38.101318084121097</v>
      </c>
      <c r="L813" s="191"/>
      <c r="M813" s="191"/>
      <c r="N813" s="191"/>
      <c r="O813" s="191"/>
      <c r="P813" s="191"/>
      <c r="Q813" s="191"/>
      <c r="R813" s="191"/>
      <c r="S813" s="191"/>
      <c r="T813" s="191"/>
      <c r="U813" s="439"/>
      <c r="V813" s="441"/>
      <c r="W813" s="178"/>
      <c r="X813" s="172"/>
      <c r="Y813" s="172"/>
      <c r="Z813" s="172"/>
      <c r="AA813" s="195"/>
      <c r="AB813" s="172"/>
    </row>
    <row r="814" spans="1:28" ht="12.75" customHeight="1" x14ac:dyDescent="0.3">
      <c r="A814" s="667"/>
      <c r="B814" s="668" t="s">
        <v>5685</v>
      </c>
      <c r="C814" s="160" t="s">
        <v>5686</v>
      </c>
      <c r="D814" s="160"/>
      <c r="E814" s="439"/>
      <c r="F814" s="161">
        <v>509.95600079399998</v>
      </c>
      <c r="G814" s="161">
        <v>-39.505000000000003</v>
      </c>
      <c r="H814" s="654">
        <v>50.571034429999997</v>
      </c>
      <c r="I814" s="654"/>
      <c r="J814" s="191"/>
      <c r="K814" s="191">
        <v>76106.193330369497</v>
      </c>
      <c r="L814" s="191"/>
      <c r="M814" s="191"/>
      <c r="N814" s="191"/>
      <c r="O814" s="191"/>
      <c r="P814" s="191"/>
      <c r="Q814" s="191"/>
      <c r="R814" s="191"/>
      <c r="S814" s="191"/>
      <c r="T814" s="191"/>
      <c r="U814" s="439"/>
      <c r="V814" s="441"/>
      <c r="W814" s="178"/>
      <c r="X814" s="172"/>
      <c r="Y814" s="172"/>
      <c r="Z814" s="172"/>
      <c r="AA814" s="195"/>
      <c r="AB814" s="172"/>
    </row>
    <row r="815" spans="1:28" ht="12.75" customHeight="1" x14ac:dyDescent="0.3">
      <c r="A815" s="667"/>
      <c r="B815" s="668" t="s">
        <v>5687</v>
      </c>
      <c r="C815" s="160" t="s">
        <v>5688</v>
      </c>
      <c r="D815" s="160"/>
      <c r="E815" s="439">
        <v>4.0469999999999997</v>
      </c>
      <c r="F815" s="161">
        <v>289.99893280399999</v>
      </c>
      <c r="G815" s="161">
        <v>-62.265000000000001</v>
      </c>
      <c r="H815" s="654">
        <v>322.77656166000003</v>
      </c>
      <c r="I815" s="654">
        <v>34.229154036721702</v>
      </c>
      <c r="J815" s="191"/>
      <c r="K815" s="191">
        <v>524.50544372678905</v>
      </c>
      <c r="L815" s="191"/>
      <c r="M815" s="191"/>
      <c r="N815" s="191"/>
      <c r="O815" s="191"/>
      <c r="P815" s="191"/>
      <c r="Q815" s="191"/>
      <c r="R815" s="191"/>
      <c r="S815" s="191"/>
      <c r="T815" s="191"/>
      <c r="U815" s="439"/>
      <c r="V815" s="441"/>
      <c r="W815" s="178"/>
      <c r="X815" s="172"/>
      <c r="Y815" s="172"/>
      <c r="Z815" s="172"/>
      <c r="AA815" s="195"/>
      <c r="AB815" s="172"/>
    </row>
    <row r="816" spans="1:28" ht="12.75" customHeight="1" x14ac:dyDescent="0.3">
      <c r="A816" s="667"/>
      <c r="B816" s="668" t="s">
        <v>5689</v>
      </c>
      <c r="C816" s="160" t="s">
        <v>5690</v>
      </c>
      <c r="D816" s="160"/>
      <c r="E816" s="439"/>
      <c r="F816" s="161">
        <v>304.01458286799999</v>
      </c>
      <c r="G816" s="161">
        <v>-57.612000000000002</v>
      </c>
      <c r="H816" s="654">
        <v>187.45739810000001</v>
      </c>
      <c r="I816" s="654">
        <v>22.745428644976801</v>
      </c>
      <c r="J816" s="191"/>
      <c r="K816" s="191">
        <v>613.28169186003799</v>
      </c>
      <c r="L816" s="191"/>
      <c r="M816" s="191"/>
      <c r="N816" s="191"/>
      <c r="O816" s="191"/>
      <c r="P816" s="191"/>
      <c r="Q816" s="191"/>
      <c r="R816" s="191"/>
      <c r="S816" s="191"/>
      <c r="T816" s="191"/>
      <c r="U816" s="439"/>
      <c r="V816" s="441"/>
      <c r="W816" s="178"/>
      <c r="X816" s="172"/>
      <c r="Y816" s="172"/>
      <c r="Z816" s="172"/>
      <c r="AA816" s="195"/>
      <c r="AB816" s="172"/>
    </row>
    <row r="817" spans="1:28" ht="12.75" customHeight="1" x14ac:dyDescent="0.3">
      <c r="A817" s="667"/>
      <c r="B817" s="668" t="s">
        <v>5691</v>
      </c>
      <c r="C817" s="160" t="s">
        <v>5692</v>
      </c>
      <c r="D817" s="160"/>
      <c r="E817" s="439"/>
      <c r="F817" s="161">
        <v>389.99454392400003</v>
      </c>
      <c r="G817" s="161">
        <v>-54.055</v>
      </c>
      <c r="H817" s="654">
        <v>141.2213285</v>
      </c>
      <c r="I817" s="654">
        <v>0.152777242625875</v>
      </c>
      <c r="J817" s="191"/>
      <c r="K817" s="191">
        <v>82820.910375543695</v>
      </c>
      <c r="L817" s="191"/>
      <c r="M817" s="191"/>
      <c r="N817" s="191"/>
      <c r="O817" s="191"/>
      <c r="P817" s="191"/>
      <c r="Q817" s="191"/>
      <c r="R817" s="191"/>
      <c r="S817" s="191"/>
      <c r="T817" s="191"/>
      <c r="U817" s="439"/>
      <c r="V817" s="441"/>
      <c r="W817" s="178"/>
      <c r="X817" s="172"/>
      <c r="Y817" s="172"/>
      <c r="Z817" s="172"/>
      <c r="AA817" s="195"/>
      <c r="AB817" s="172"/>
    </row>
    <row r="818" spans="1:28" ht="12.75" customHeight="1" x14ac:dyDescent="0.3">
      <c r="A818" s="667"/>
      <c r="B818" s="668" t="s">
        <v>5693</v>
      </c>
      <c r="C818" s="160" t="s">
        <v>5694</v>
      </c>
      <c r="D818" s="160"/>
      <c r="E818" s="439"/>
      <c r="F818" s="161">
        <v>325.89888100000002</v>
      </c>
      <c r="G818" s="161"/>
      <c r="H818" s="654"/>
      <c r="I818" s="654"/>
      <c r="J818" s="191"/>
      <c r="K818" s="191">
        <v>2584.1635714026402</v>
      </c>
      <c r="L818" s="191"/>
      <c r="M818" s="191"/>
      <c r="N818" s="191"/>
      <c r="O818" s="191"/>
      <c r="P818" s="191"/>
      <c r="Q818" s="191"/>
      <c r="R818" s="191"/>
      <c r="S818" s="191"/>
      <c r="T818" s="191"/>
      <c r="U818" s="439"/>
      <c r="V818" s="441"/>
      <c r="W818" s="178"/>
      <c r="X818" s="172"/>
      <c r="Y818" s="172"/>
      <c r="Z818" s="172"/>
      <c r="AA818" s="195"/>
      <c r="AB818" s="172"/>
    </row>
    <row r="819" spans="1:28" ht="12.75" customHeight="1" x14ac:dyDescent="0.3">
      <c r="A819" s="667"/>
      <c r="B819" s="668" t="s">
        <v>5695</v>
      </c>
      <c r="C819" s="160" t="s">
        <v>5696</v>
      </c>
      <c r="D819" s="160"/>
      <c r="E819" s="439"/>
      <c r="F819" s="161">
        <v>281.94939579999999</v>
      </c>
      <c r="G819" s="161">
        <v>-78.56</v>
      </c>
      <c r="H819" s="654">
        <v>6455.0779383999998</v>
      </c>
      <c r="I819" s="654"/>
      <c r="J819" s="191"/>
      <c r="K819" s="191">
        <v>607.72905487843298</v>
      </c>
      <c r="L819" s="191"/>
      <c r="M819" s="191"/>
      <c r="N819" s="191"/>
      <c r="O819" s="191"/>
      <c r="P819" s="191"/>
      <c r="Q819" s="191"/>
      <c r="R819" s="191"/>
      <c r="S819" s="191"/>
      <c r="T819" s="191"/>
      <c r="U819" s="439"/>
      <c r="V819" s="441"/>
      <c r="W819" s="178"/>
      <c r="X819" s="172"/>
      <c r="Y819" s="172"/>
      <c r="Z819" s="172"/>
      <c r="AA819" s="195"/>
      <c r="AB819" s="172"/>
    </row>
    <row r="820" spans="1:28" ht="12.75" customHeight="1" x14ac:dyDescent="0.3">
      <c r="A820" s="667"/>
      <c r="B820" s="668" t="s">
        <v>5697</v>
      </c>
      <c r="C820" s="160" t="s">
        <v>5698</v>
      </c>
      <c r="D820" s="160"/>
      <c r="E820" s="439">
        <v>9.09</v>
      </c>
      <c r="F820" s="161">
        <v>417.05867373900003</v>
      </c>
      <c r="G820" s="161"/>
      <c r="H820" s="654"/>
      <c r="I820" s="654"/>
      <c r="J820" s="191"/>
      <c r="K820" s="191">
        <v>26792.300156597299</v>
      </c>
      <c r="L820" s="191"/>
      <c r="M820" s="191"/>
      <c r="N820" s="191"/>
      <c r="O820" s="191"/>
      <c r="P820" s="191"/>
      <c r="Q820" s="191"/>
      <c r="R820" s="191"/>
      <c r="S820" s="191"/>
      <c r="T820" s="191"/>
      <c r="U820" s="439"/>
      <c r="V820" s="441"/>
      <c r="W820" s="178"/>
      <c r="X820" s="172"/>
      <c r="Y820" s="172"/>
      <c r="Z820" s="172"/>
      <c r="AA820" s="195"/>
      <c r="AB820" s="172"/>
    </row>
    <row r="821" spans="1:28" ht="12.75" customHeight="1" x14ac:dyDescent="0.3">
      <c r="A821" s="667"/>
      <c r="B821" s="668" t="s">
        <v>5699</v>
      </c>
      <c r="C821" s="160" t="s">
        <v>5700</v>
      </c>
      <c r="D821" s="160"/>
      <c r="E821" s="439"/>
      <c r="F821" s="161">
        <v>609.94961344599994</v>
      </c>
      <c r="G821" s="161"/>
      <c r="H821" s="654"/>
      <c r="I821" s="654"/>
      <c r="J821" s="191"/>
      <c r="K821" s="191">
        <v>202120.33063509699</v>
      </c>
      <c r="L821" s="191"/>
      <c r="M821" s="191"/>
      <c r="N821" s="191"/>
      <c r="O821" s="191"/>
      <c r="P821" s="191"/>
      <c r="Q821" s="191"/>
      <c r="R821" s="191"/>
      <c r="S821" s="191"/>
      <c r="T821" s="191"/>
      <c r="U821" s="439"/>
      <c r="V821" s="441"/>
      <c r="W821" s="178"/>
      <c r="X821" s="172"/>
      <c r="Y821" s="172"/>
      <c r="Z821" s="172"/>
      <c r="AA821" s="195"/>
      <c r="AB821" s="172"/>
    </row>
    <row r="822" spans="1:28" ht="12.75" customHeight="1" x14ac:dyDescent="0.3">
      <c r="A822" s="667"/>
      <c r="B822" s="668" t="s">
        <v>5701</v>
      </c>
      <c r="C822" s="160" t="s">
        <v>5702</v>
      </c>
      <c r="D822" s="160"/>
      <c r="E822" s="439"/>
      <c r="F822" s="161">
        <v>339.99573913</v>
      </c>
      <c r="G822" s="161"/>
      <c r="H822" s="654"/>
      <c r="I822" s="654"/>
      <c r="J822" s="191"/>
      <c r="K822" s="191">
        <v>2026.5624901998001</v>
      </c>
      <c r="L822" s="191"/>
      <c r="M822" s="191"/>
      <c r="N822" s="191"/>
      <c r="O822" s="191"/>
      <c r="P822" s="191"/>
      <c r="Q822" s="191"/>
      <c r="R822" s="191"/>
      <c r="S822" s="191"/>
      <c r="T822" s="191"/>
      <c r="U822" s="439"/>
      <c r="V822" s="441"/>
      <c r="W822" s="178"/>
      <c r="X822" s="172"/>
      <c r="Y822" s="172"/>
      <c r="Z822" s="172"/>
      <c r="AA822" s="195"/>
      <c r="AB822" s="172"/>
    </row>
    <row r="823" spans="1:28" ht="12.75" customHeight="1" x14ac:dyDescent="0.3">
      <c r="A823" s="667"/>
      <c r="B823" s="668" t="s">
        <v>5703</v>
      </c>
      <c r="C823" s="160" t="s">
        <v>5704</v>
      </c>
      <c r="D823" s="160"/>
      <c r="E823" s="439"/>
      <c r="F823" s="161">
        <v>331.94620209999999</v>
      </c>
      <c r="G823" s="161"/>
      <c r="H823" s="654"/>
      <c r="I823" s="654"/>
      <c r="J823" s="191"/>
      <c r="K823" s="191">
        <v>4034.1310286630901</v>
      </c>
      <c r="L823" s="191"/>
      <c r="M823" s="191"/>
      <c r="N823" s="191"/>
      <c r="O823" s="191"/>
      <c r="P823" s="191"/>
      <c r="Q823" s="191"/>
      <c r="R823" s="191"/>
      <c r="S823" s="191"/>
      <c r="T823" s="191"/>
      <c r="U823" s="439"/>
      <c r="V823" s="441"/>
      <c r="W823" s="178"/>
      <c r="X823" s="172"/>
      <c r="Y823" s="172"/>
      <c r="Z823" s="172"/>
      <c r="AA823" s="195"/>
      <c r="AB823" s="172"/>
    </row>
    <row r="824" spans="1:28" ht="12.75" customHeight="1" x14ac:dyDescent="0.3">
      <c r="A824" s="667"/>
      <c r="B824" s="668" t="s">
        <v>5705</v>
      </c>
      <c r="C824" s="160" t="s">
        <v>5706</v>
      </c>
      <c r="D824" s="160"/>
      <c r="E824" s="439">
        <v>6.46</v>
      </c>
      <c r="F824" s="161">
        <v>433.03474462100002</v>
      </c>
      <c r="G824" s="161">
        <v>-41.43</v>
      </c>
      <c r="H824" s="654">
        <v>0.97701694649999904</v>
      </c>
      <c r="I824" s="654">
        <v>4.4928653858662599</v>
      </c>
      <c r="J824" s="191"/>
      <c r="K824" s="191">
        <v>24186.888358459099</v>
      </c>
      <c r="L824" s="191"/>
      <c r="M824" s="191"/>
      <c r="N824" s="191"/>
      <c r="O824" s="191"/>
      <c r="P824" s="191"/>
      <c r="Q824" s="191"/>
      <c r="R824" s="191"/>
      <c r="S824" s="191"/>
      <c r="T824" s="191"/>
      <c r="U824" s="439"/>
      <c r="V824" s="441"/>
      <c r="W824" s="178"/>
      <c r="X824" s="172"/>
      <c r="Y824" s="172"/>
      <c r="Z824" s="172"/>
      <c r="AA824" s="195"/>
      <c r="AB824" s="172"/>
    </row>
    <row r="825" spans="1:28" ht="12.75" customHeight="1" x14ac:dyDescent="0.3">
      <c r="A825" s="667"/>
      <c r="B825" s="668" t="s">
        <v>5707</v>
      </c>
      <c r="C825" s="160" t="s">
        <v>5708</v>
      </c>
      <c r="D825" s="160"/>
      <c r="E825" s="439">
        <v>8.7100000000000009</v>
      </c>
      <c r="F825" s="161">
        <v>445.07113012899998</v>
      </c>
      <c r="G825" s="161"/>
      <c r="H825" s="654"/>
      <c r="I825" s="654"/>
      <c r="J825" s="191"/>
      <c r="K825" s="191">
        <v>339883.43597076298</v>
      </c>
      <c r="L825" s="191"/>
      <c r="M825" s="191"/>
      <c r="N825" s="191"/>
      <c r="O825" s="191"/>
      <c r="P825" s="191"/>
      <c r="Q825" s="191"/>
      <c r="R825" s="191"/>
      <c r="S825" s="191"/>
      <c r="T825" s="191"/>
      <c r="U825" s="439"/>
      <c r="V825" s="441"/>
      <c r="W825" s="178"/>
      <c r="X825" s="172"/>
      <c r="Y825" s="172"/>
      <c r="Z825" s="172"/>
      <c r="AA825" s="195"/>
      <c r="AB825" s="172"/>
    </row>
    <row r="826" spans="1:28" ht="12.75" customHeight="1" x14ac:dyDescent="0.3">
      <c r="A826" s="667"/>
      <c r="B826" s="668" t="s">
        <v>5709</v>
      </c>
      <c r="C826" s="160" t="s">
        <v>5710</v>
      </c>
      <c r="D826" s="160"/>
      <c r="E826" s="439">
        <v>0.06</v>
      </c>
      <c r="F826" s="161">
        <v>385.95883964000001</v>
      </c>
      <c r="G826" s="161"/>
      <c r="H826" s="654"/>
      <c r="I826" s="654"/>
      <c r="J826" s="191"/>
      <c r="K826" s="191">
        <v>152.08976890520401</v>
      </c>
      <c r="L826" s="191"/>
      <c r="M826" s="191"/>
      <c r="N826" s="191"/>
      <c r="O826" s="191"/>
      <c r="P826" s="191"/>
      <c r="Q826" s="191"/>
      <c r="R826" s="191"/>
      <c r="S826" s="191"/>
      <c r="T826" s="191"/>
      <c r="U826" s="439"/>
      <c r="V826" s="441"/>
      <c r="W826" s="178"/>
      <c r="X826" s="172"/>
      <c r="Y826" s="172"/>
      <c r="Z826" s="172"/>
      <c r="AA826" s="195"/>
      <c r="AB826" s="172"/>
    </row>
    <row r="827" spans="1:28" ht="12.75" customHeight="1" x14ac:dyDescent="0.3">
      <c r="A827" s="667"/>
      <c r="B827" s="668" t="s">
        <v>5711</v>
      </c>
      <c r="C827" s="160" t="s">
        <v>5712</v>
      </c>
      <c r="D827" s="160"/>
      <c r="E827" s="439"/>
      <c r="F827" s="161">
        <v>709.94322609799997</v>
      </c>
      <c r="G827" s="161">
        <v>4.3310000000000004</v>
      </c>
      <c r="H827" s="654">
        <v>15.413489741999999</v>
      </c>
      <c r="I827" s="654"/>
      <c r="J827" s="191"/>
      <c r="K827" s="191">
        <v>234406.688732304</v>
      </c>
      <c r="L827" s="191"/>
      <c r="M827" s="191"/>
      <c r="N827" s="191"/>
      <c r="O827" s="191"/>
      <c r="P827" s="191"/>
      <c r="Q827" s="191"/>
      <c r="R827" s="191"/>
      <c r="S827" s="191"/>
      <c r="T827" s="191"/>
      <c r="U827" s="439"/>
      <c r="V827" s="441"/>
      <c r="W827" s="178"/>
      <c r="X827" s="172"/>
      <c r="Y827" s="172"/>
      <c r="Z827" s="172"/>
      <c r="AA827" s="195"/>
      <c r="AB827" s="172"/>
    </row>
    <row r="828" spans="1:28" ht="12.75" customHeight="1" x14ac:dyDescent="0.3">
      <c r="A828" s="667"/>
      <c r="B828" s="668" t="s">
        <v>5713</v>
      </c>
      <c r="C828" s="160" t="s">
        <v>5714</v>
      </c>
      <c r="D828" s="160"/>
      <c r="E828" s="439"/>
      <c r="F828" s="161">
        <v>389.99254545600002</v>
      </c>
      <c r="G828" s="161"/>
      <c r="H828" s="654"/>
      <c r="I828" s="654"/>
      <c r="J828" s="191"/>
      <c r="K828" s="191">
        <v>5390.8841630511397</v>
      </c>
      <c r="L828" s="191"/>
      <c r="M828" s="191"/>
      <c r="N828" s="191"/>
      <c r="O828" s="191"/>
      <c r="P828" s="191"/>
      <c r="Q828" s="191"/>
      <c r="R828" s="191"/>
      <c r="S828" s="191"/>
      <c r="T828" s="191"/>
      <c r="U828" s="439"/>
      <c r="V828" s="441"/>
      <c r="W828" s="178"/>
      <c r="X828" s="172"/>
      <c r="Y828" s="172"/>
      <c r="Z828" s="172"/>
      <c r="AA828" s="195"/>
      <c r="AB828" s="172"/>
    </row>
    <row r="829" spans="1:28" ht="12.75" customHeight="1" x14ac:dyDescent="0.3">
      <c r="A829" s="667"/>
      <c r="B829" s="668" t="s">
        <v>5715</v>
      </c>
      <c r="C829" s="160" t="s">
        <v>5716</v>
      </c>
      <c r="D829" s="160"/>
      <c r="E829" s="439"/>
      <c r="F829" s="161">
        <v>404.00819552000002</v>
      </c>
      <c r="G829" s="161"/>
      <c r="H829" s="654"/>
      <c r="I829" s="654"/>
      <c r="J829" s="191"/>
      <c r="K829" s="191">
        <v>6125.4782198877601</v>
      </c>
      <c r="L829" s="191"/>
      <c r="M829" s="191"/>
      <c r="N829" s="191"/>
      <c r="O829" s="191"/>
      <c r="P829" s="191"/>
      <c r="Q829" s="191"/>
      <c r="R829" s="191"/>
      <c r="S829" s="191"/>
      <c r="T829" s="191"/>
      <c r="U829" s="439"/>
      <c r="V829" s="441"/>
      <c r="W829" s="178"/>
      <c r="X829" s="172"/>
      <c r="Y829" s="172"/>
      <c r="Z829" s="172"/>
      <c r="AA829" s="195"/>
      <c r="AB829" s="172"/>
    </row>
    <row r="830" spans="1:28" ht="12.75" customHeight="1" x14ac:dyDescent="0.3">
      <c r="A830" s="667"/>
      <c r="B830" s="668" t="s">
        <v>5717</v>
      </c>
      <c r="C830" s="160" t="s">
        <v>5718</v>
      </c>
      <c r="D830" s="160"/>
      <c r="E830" s="439"/>
      <c r="F830" s="161">
        <v>425.892494</v>
      </c>
      <c r="G830" s="161">
        <v>-58.271999999999998</v>
      </c>
      <c r="H830" s="654">
        <v>617.87680934000002</v>
      </c>
      <c r="I830" s="654"/>
      <c r="J830" s="191"/>
      <c r="K830" s="191">
        <v>10413.338836536001</v>
      </c>
      <c r="L830" s="191"/>
      <c r="M830" s="191"/>
      <c r="N830" s="191"/>
      <c r="O830" s="191"/>
      <c r="P830" s="191"/>
      <c r="Q830" s="191"/>
      <c r="R830" s="191"/>
      <c r="S830" s="191"/>
      <c r="T830" s="191"/>
      <c r="U830" s="439"/>
      <c r="V830" s="441"/>
      <c r="W830" s="178"/>
      <c r="X830" s="172"/>
      <c r="Y830" s="172"/>
      <c r="Z830" s="172"/>
      <c r="AA830" s="195"/>
      <c r="AB830" s="172"/>
    </row>
    <row r="831" spans="1:28" ht="12.75" customHeight="1" x14ac:dyDescent="0.3">
      <c r="A831" s="667"/>
      <c r="B831" s="668" t="s">
        <v>5719</v>
      </c>
      <c r="C831" s="160" t="s">
        <v>5720</v>
      </c>
      <c r="D831" s="160"/>
      <c r="E831" s="439"/>
      <c r="F831" s="161">
        <v>381.9430084</v>
      </c>
      <c r="G831" s="161">
        <v>-59.277000000000001</v>
      </c>
      <c r="H831" s="654">
        <v>899.29422016000001</v>
      </c>
      <c r="I831" s="654"/>
      <c r="J831" s="191"/>
      <c r="K831" s="191">
        <v>13540.353416223999</v>
      </c>
      <c r="L831" s="191"/>
      <c r="M831" s="191"/>
      <c r="N831" s="191"/>
      <c r="O831" s="191"/>
      <c r="P831" s="191"/>
      <c r="Q831" s="191"/>
      <c r="R831" s="191"/>
      <c r="S831" s="191"/>
      <c r="T831" s="191"/>
      <c r="U831" s="439"/>
      <c r="V831" s="441"/>
      <c r="W831" s="178"/>
      <c r="X831" s="172"/>
      <c r="Y831" s="172"/>
      <c r="Z831" s="172"/>
      <c r="AA831" s="195"/>
      <c r="AB831" s="172"/>
    </row>
    <row r="832" spans="1:28" ht="12.75" customHeight="1" x14ac:dyDescent="0.3">
      <c r="A832" s="667"/>
      <c r="B832" s="668" t="s">
        <v>5721</v>
      </c>
      <c r="C832" s="160" t="s">
        <v>5722</v>
      </c>
      <c r="D832" s="160"/>
      <c r="E832" s="439"/>
      <c r="F832" s="161">
        <v>809.93683874999999</v>
      </c>
      <c r="G832" s="161"/>
      <c r="H832" s="654"/>
      <c r="I832" s="654"/>
      <c r="J832" s="191"/>
      <c r="K832" s="191">
        <v>260543.35426384499</v>
      </c>
      <c r="L832" s="191"/>
      <c r="M832" s="191"/>
      <c r="N832" s="191"/>
      <c r="O832" s="191"/>
      <c r="P832" s="191"/>
      <c r="Q832" s="191"/>
      <c r="R832" s="191"/>
      <c r="S832" s="191"/>
      <c r="T832" s="191"/>
      <c r="U832" s="439"/>
      <c r="V832" s="441"/>
      <c r="W832" s="178"/>
      <c r="X832" s="172"/>
      <c r="Y832" s="172"/>
      <c r="Z832" s="172"/>
      <c r="AA832" s="195"/>
      <c r="AB832" s="172"/>
    </row>
    <row r="833" spans="1:28" ht="12.75" customHeight="1" x14ac:dyDescent="0.3">
      <c r="A833" s="667"/>
      <c r="B833" s="668" t="s">
        <v>5723</v>
      </c>
      <c r="C833" s="160" t="s">
        <v>5724</v>
      </c>
      <c r="D833" s="160"/>
      <c r="E833" s="439"/>
      <c r="F833" s="161">
        <v>439.98935178200003</v>
      </c>
      <c r="G833" s="161">
        <v>-57.765999999999998</v>
      </c>
      <c r="H833" s="654">
        <v>133.62997382</v>
      </c>
      <c r="I833" s="654">
        <v>1.0219808669581201</v>
      </c>
      <c r="J833" s="191"/>
      <c r="K833" s="191">
        <v>12608.400629842899</v>
      </c>
      <c r="L833" s="191"/>
      <c r="M833" s="191"/>
      <c r="N833" s="191"/>
      <c r="O833" s="191"/>
      <c r="P833" s="191"/>
      <c r="Q833" s="191"/>
      <c r="R833" s="191"/>
      <c r="S833" s="191"/>
      <c r="T833" s="191"/>
      <c r="U833" s="439"/>
      <c r="V833" s="441"/>
      <c r="W833" s="178"/>
      <c r="X833" s="172"/>
      <c r="Y833" s="172"/>
      <c r="Z833" s="172"/>
      <c r="AA833" s="195"/>
      <c r="AB833" s="172"/>
    </row>
    <row r="834" spans="1:28" ht="12.75" customHeight="1" x14ac:dyDescent="0.3">
      <c r="A834" s="667"/>
      <c r="B834" s="668" t="s">
        <v>5725</v>
      </c>
      <c r="C834" s="160" t="s">
        <v>5726</v>
      </c>
      <c r="D834" s="160"/>
      <c r="E834" s="439"/>
      <c r="F834" s="161">
        <v>454.00500184600003</v>
      </c>
      <c r="G834" s="161"/>
      <c r="H834" s="654"/>
      <c r="I834" s="654"/>
      <c r="J834" s="191"/>
      <c r="K834" s="191">
        <v>12696.967267809399</v>
      </c>
      <c r="L834" s="191"/>
      <c r="M834" s="191"/>
      <c r="N834" s="191"/>
      <c r="O834" s="191"/>
      <c r="P834" s="191"/>
      <c r="Q834" s="191"/>
      <c r="R834" s="191"/>
      <c r="S834" s="191"/>
      <c r="T834" s="191"/>
      <c r="U834" s="439"/>
      <c r="V834" s="441"/>
      <c r="W834" s="178"/>
      <c r="X834" s="172"/>
      <c r="Y834" s="172"/>
      <c r="Z834" s="172"/>
      <c r="AA834" s="195"/>
      <c r="AB834" s="172"/>
    </row>
    <row r="835" spans="1:28" ht="12.75" customHeight="1" x14ac:dyDescent="0.3">
      <c r="A835" s="667"/>
      <c r="B835" s="668" t="s">
        <v>5727</v>
      </c>
      <c r="C835" s="160" t="s">
        <v>5728</v>
      </c>
      <c r="D835" s="160"/>
      <c r="E835" s="439"/>
      <c r="F835" s="161">
        <v>530.03630197500001</v>
      </c>
      <c r="G835" s="161">
        <v>-52.395000000000003</v>
      </c>
      <c r="H835" s="654">
        <v>0.98378837088000004</v>
      </c>
      <c r="I835" s="654">
        <v>3.1791100359788702E-2</v>
      </c>
      <c r="J835" s="191"/>
      <c r="K835" s="191">
        <v>1310327.9353529401</v>
      </c>
      <c r="L835" s="191"/>
      <c r="M835" s="191"/>
      <c r="N835" s="191"/>
      <c r="O835" s="191"/>
      <c r="P835" s="191"/>
      <c r="Q835" s="191"/>
      <c r="R835" s="191"/>
      <c r="S835" s="191"/>
      <c r="T835" s="191"/>
      <c r="U835" s="439"/>
      <c r="V835" s="441"/>
      <c r="W835" s="178"/>
      <c r="X835" s="172"/>
      <c r="Y835" s="172"/>
      <c r="Z835" s="172"/>
      <c r="AA835" s="195"/>
      <c r="AB835" s="172"/>
    </row>
    <row r="836" spans="1:28" ht="12.75" customHeight="1" x14ac:dyDescent="0.3">
      <c r="A836" s="667"/>
      <c r="B836" s="668" t="s">
        <v>5729</v>
      </c>
      <c r="C836" s="160" t="s">
        <v>5730</v>
      </c>
      <c r="D836" s="160"/>
      <c r="E836" s="439"/>
      <c r="F836" s="161">
        <v>475.88929999999999</v>
      </c>
      <c r="G836" s="161"/>
      <c r="H836" s="654"/>
      <c r="I836" s="654"/>
      <c r="J836" s="191"/>
      <c r="K836" s="191">
        <v>52670.810336841198</v>
      </c>
      <c r="L836" s="191"/>
      <c r="M836" s="191"/>
      <c r="N836" s="191"/>
      <c r="O836" s="191"/>
      <c r="P836" s="191"/>
      <c r="Q836" s="191"/>
      <c r="R836" s="191"/>
      <c r="S836" s="191"/>
      <c r="T836" s="191"/>
      <c r="U836" s="439"/>
      <c r="V836" s="441"/>
      <c r="W836" s="178"/>
      <c r="X836" s="172"/>
      <c r="Y836" s="172"/>
      <c r="Z836" s="172"/>
      <c r="AA836" s="195"/>
      <c r="AB836" s="172"/>
    </row>
    <row r="837" spans="1:28" ht="12.75" customHeight="1" x14ac:dyDescent="0.3">
      <c r="A837" s="667"/>
      <c r="B837" s="668" t="s">
        <v>5731</v>
      </c>
      <c r="C837" s="160" t="s">
        <v>5732</v>
      </c>
      <c r="D837" s="160"/>
      <c r="E837" s="439">
        <v>6.9960000000000004</v>
      </c>
      <c r="F837" s="161">
        <v>431.93981480000002</v>
      </c>
      <c r="G837" s="161">
        <v>-64.727999999999994</v>
      </c>
      <c r="H837" s="654">
        <v>247.11632666</v>
      </c>
      <c r="I837" s="654"/>
      <c r="J837" s="191"/>
      <c r="K837" s="191">
        <v>11655.475612296201</v>
      </c>
      <c r="L837" s="191"/>
      <c r="M837" s="191"/>
      <c r="N837" s="191"/>
      <c r="O837" s="191"/>
      <c r="P837" s="191"/>
      <c r="Q837" s="191"/>
      <c r="R837" s="191"/>
      <c r="S837" s="191"/>
      <c r="T837" s="191"/>
      <c r="U837" s="439"/>
      <c r="V837" s="441"/>
      <c r="W837" s="178"/>
      <c r="X837" s="172"/>
      <c r="Y837" s="172"/>
      <c r="Z837" s="172"/>
      <c r="AA837" s="195"/>
      <c r="AB837" s="172"/>
    </row>
    <row r="838" spans="1:28" ht="12.75" customHeight="1" x14ac:dyDescent="0.3">
      <c r="A838" s="667"/>
      <c r="B838" s="668" t="s">
        <v>5733</v>
      </c>
      <c r="C838" s="160" t="s">
        <v>5734</v>
      </c>
      <c r="D838" s="160"/>
      <c r="E838" s="439">
        <v>3</v>
      </c>
      <c r="F838" s="161">
        <v>615.04909271700001</v>
      </c>
      <c r="G838" s="161"/>
      <c r="H838" s="654"/>
      <c r="I838" s="654"/>
      <c r="J838" s="191"/>
      <c r="K838" s="191">
        <v>1155127704.3219199</v>
      </c>
      <c r="L838" s="191"/>
      <c r="M838" s="191"/>
      <c r="N838" s="191"/>
      <c r="O838" s="191"/>
      <c r="P838" s="191"/>
      <c r="Q838" s="191"/>
      <c r="R838" s="191"/>
      <c r="S838" s="191"/>
      <c r="T838" s="191"/>
      <c r="U838" s="439"/>
      <c r="V838" s="441"/>
      <c r="W838" s="178"/>
      <c r="X838" s="172"/>
      <c r="Y838" s="172"/>
      <c r="Z838" s="172"/>
      <c r="AA838" s="195"/>
      <c r="AB838" s="172"/>
    </row>
    <row r="839" spans="1:28" ht="12.75" customHeight="1" x14ac:dyDescent="0.3">
      <c r="A839" s="667"/>
      <c r="B839" s="668" t="s">
        <v>5735</v>
      </c>
      <c r="C839" s="160" t="s">
        <v>5736</v>
      </c>
      <c r="D839" s="160"/>
      <c r="E839" s="439">
        <v>8.2899999999999991</v>
      </c>
      <c r="F839" s="161">
        <v>539.01779258800002</v>
      </c>
      <c r="G839" s="161"/>
      <c r="H839" s="654"/>
      <c r="I839" s="654"/>
      <c r="J839" s="191"/>
      <c r="K839" s="191">
        <v>3067255.8257122701</v>
      </c>
      <c r="L839" s="191"/>
      <c r="M839" s="191"/>
      <c r="N839" s="191"/>
      <c r="O839" s="191"/>
      <c r="P839" s="191"/>
      <c r="Q839" s="191"/>
      <c r="R839" s="191"/>
      <c r="S839" s="191"/>
      <c r="T839" s="191"/>
      <c r="U839" s="439"/>
      <c r="V839" s="441"/>
      <c r="W839" s="178"/>
      <c r="X839" s="172"/>
      <c r="Y839" s="172"/>
      <c r="Z839" s="172"/>
      <c r="AA839" s="195"/>
      <c r="AB839" s="172"/>
    </row>
    <row r="840" spans="1:28" ht="12.75" customHeight="1" x14ac:dyDescent="0.3">
      <c r="A840" s="667"/>
      <c r="B840" s="668" t="s">
        <v>5737</v>
      </c>
      <c r="C840" s="160" t="s">
        <v>5738</v>
      </c>
      <c r="D840" s="160"/>
      <c r="E840" s="439">
        <v>8.7100000000000009</v>
      </c>
      <c r="F840" s="161">
        <v>545.06474278099995</v>
      </c>
      <c r="G840" s="161"/>
      <c r="H840" s="654"/>
      <c r="I840" s="654"/>
      <c r="J840" s="191"/>
      <c r="K840" s="191">
        <v>441733.15788859298</v>
      </c>
      <c r="L840" s="191"/>
      <c r="M840" s="191"/>
      <c r="N840" s="191"/>
      <c r="O840" s="191"/>
      <c r="P840" s="191"/>
      <c r="Q840" s="191"/>
      <c r="R840" s="191"/>
      <c r="S840" s="191"/>
      <c r="T840" s="191"/>
      <c r="U840" s="439"/>
      <c r="V840" s="441"/>
      <c r="W840" s="178"/>
      <c r="X840" s="172"/>
      <c r="Y840" s="172"/>
      <c r="Z840" s="172"/>
      <c r="AA840" s="195"/>
      <c r="AB840" s="172"/>
    </row>
    <row r="841" spans="1:28" ht="12.75" customHeight="1" x14ac:dyDescent="0.3">
      <c r="A841" s="667"/>
      <c r="B841" s="668" t="s">
        <v>5739</v>
      </c>
      <c r="C841" s="160" t="s">
        <v>5740</v>
      </c>
      <c r="D841" s="160"/>
      <c r="E841" s="439">
        <v>7.48</v>
      </c>
      <c r="F841" s="161">
        <v>503.01779258800002</v>
      </c>
      <c r="G841" s="161"/>
      <c r="H841" s="654"/>
      <c r="I841" s="654"/>
      <c r="J841" s="191"/>
      <c r="K841" s="191">
        <v>72092.4857065018</v>
      </c>
      <c r="L841" s="191"/>
      <c r="M841" s="191"/>
      <c r="N841" s="191"/>
      <c r="O841" s="191"/>
      <c r="P841" s="191"/>
      <c r="Q841" s="191"/>
      <c r="R841" s="191"/>
      <c r="S841" s="191"/>
      <c r="T841" s="191"/>
      <c r="U841" s="439"/>
      <c r="V841" s="441"/>
      <c r="W841" s="178"/>
      <c r="X841" s="172"/>
      <c r="Y841" s="172"/>
      <c r="Z841" s="172"/>
      <c r="AA841" s="195"/>
      <c r="AB841" s="172"/>
    </row>
    <row r="842" spans="1:28" ht="12.75" customHeight="1" x14ac:dyDescent="0.3">
      <c r="A842" s="667"/>
      <c r="B842" s="668" t="s">
        <v>5741</v>
      </c>
      <c r="C842" s="160" t="s">
        <v>5742</v>
      </c>
      <c r="D842" s="160"/>
      <c r="E842" s="439"/>
      <c r="F842" s="161">
        <v>489.98615810799998</v>
      </c>
      <c r="G842" s="161"/>
      <c r="H842" s="654"/>
      <c r="I842" s="654"/>
      <c r="J842" s="191"/>
      <c r="K842" s="191">
        <v>59747.536054944801</v>
      </c>
      <c r="L842" s="191"/>
      <c r="M842" s="191"/>
      <c r="N842" s="191"/>
      <c r="O842" s="191"/>
      <c r="P842" s="191"/>
      <c r="Q842" s="191"/>
      <c r="R842" s="191"/>
      <c r="S842" s="191"/>
      <c r="T842" s="191"/>
      <c r="U842" s="439"/>
      <c r="V842" s="441"/>
      <c r="W842" s="178"/>
      <c r="X842" s="172"/>
      <c r="Y842" s="172"/>
      <c r="Z842" s="172"/>
      <c r="AA842" s="195"/>
      <c r="AB842" s="172"/>
    </row>
    <row r="843" spans="1:28" ht="12.75" customHeight="1" x14ac:dyDescent="0.3">
      <c r="A843" s="667"/>
      <c r="B843" s="668" t="s">
        <v>5743</v>
      </c>
      <c r="C843" s="160" t="s">
        <v>5744</v>
      </c>
      <c r="D843" s="160"/>
      <c r="E843" s="439"/>
      <c r="F843" s="161">
        <v>504.00180817199998</v>
      </c>
      <c r="G843" s="161">
        <v>-58.746000000000002</v>
      </c>
      <c r="H843" s="654">
        <v>72.094404787999906</v>
      </c>
      <c r="I843" s="654">
        <v>0.117066515991343</v>
      </c>
      <c r="J843" s="191"/>
      <c r="K843" s="191">
        <v>59007.878390535501</v>
      </c>
      <c r="L843" s="191"/>
      <c r="M843" s="191"/>
      <c r="N843" s="191"/>
      <c r="O843" s="191"/>
      <c r="P843" s="191"/>
      <c r="Q843" s="191"/>
      <c r="R843" s="191"/>
      <c r="S843" s="191"/>
      <c r="T843" s="191"/>
      <c r="U843" s="439"/>
      <c r="V843" s="441"/>
      <c r="W843" s="178"/>
      <c r="X843" s="172"/>
      <c r="Y843" s="172"/>
      <c r="Z843" s="172"/>
      <c r="AA843" s="195"/>
      <c r="AB843" s="172"/>
    </row>
    <row r="844" spans="1:28" ht="12.75" customHeight="1" x14ac:dyDescent="0.3">
      <c r="A844" s="667"/>
      <c r="B844" s="668" t="s">
        <v>5745</v>
      </c>
      <c r="C844" s="160" t="s">
        <v>5746</v>
      </c>
      <c r="D844" s="160"/>
      <c r="E844" s="439"/>
      <c r="F844" s="161">
        <v>554.01745823600004</v>
      </c>
      <c r="G844" s="161"/>
      <c r="H844" s="654"/>
      <c r="I844" s="654"/>
      <c r="J844" s="191"/>
      <c r="K844" s="191">
        <v>374903.93602729298</v>
      </c>
      <c r="L844" s="191"/>
      <c r="M844" s="191"/>
      <c r="N844" s="191"/>
      <c r="O844" s="191"/>
      <c r="P844" s="191"/>
      <c r="Q844" s="191"/>
      <c r="R844" s="191"/>
      <c r="S844" s="191"/>
      <c r="T844" s="191"/>
      <c r="U844" s="439"/>
      <c r="V844" s="441"/>
      <c r="W844" s="178"/>
      <c r="X844" s="172"/>
      <c r="Y844" s="172"/>
      <c r="Z844" s="172"/>
      <c r="AA844" s="195"/>
      <c r="AB844" s="172"/>
    </row>
    <row r="845" spans="1:28" ht="12.75" customHeight="1" x14ac:dyDescent="0.3">
      <c r="A845" s="667"/>
      <c r="B845" s="668" t="s">
        <v>5747</v>
      </c>
      <c r="C845" s="160" t="s">
        <v>5748</v>
      </c>
      <c r="D845" s="160"/>
      <c r="E845" s="439"/>
      <c r="F845" s="161">
        <v>525.88610600000004</v>
      </c>
      <c r="G845" s="161"/>
      <c r="H845" s="654"/>
      <c r="I845" s="654"/>
      <c r="J845" s="191"/>
      <c r="K845" s="191">
        <v>278798.222142966</v>
      </c>
      <c r="L845" s="191"/>
      <c r="M845" s="191"/>
      <c r="N845" s="191"/>
      <c r="O845" s="191"/>
      <c r="P845" s="191"/>
      <c r="Q845" s="191"/>
      <c r="R845" s="191"/>
      <c r="S845" s="191"/>
      <c r="T845" s="191"/>
      <c r="U845" s="439"/>
      <c r="V845" s="441"/>
      <c r="W845" s="178"/>
      <c r="X845" s="172"/>
      <c r="Y845" s="172"/>
      <c r="Z845" s="172"/>
      <c r="AA845" s="195"/>
      <c r="AB845" s="172"/>
    </row>
    <row r="846" spans="1:28" ht="12.75" customHeight="1" x14ac:dyDescent="0.3">
      <c r="A846" s="667"/>
      <c r="B846" s="668" t="s">
        <v>5749</v>
      </c>
      <c r="C846" s="160" t="s">
        <v>5750</v>
      </c>
      <c r="D846" s="160"/>
      <c r="E846" s="439"/>
      <c r="F846" s="161">
        <v>481.93662110000002</v>
      </c>
      <c r="G846" s="161">
        <v>-64.844999999999999</v>
      </c>
      <c r="H846" s="654">
        <v>183.61239162000001</v>
      </c>
      <c r="I846" s="654"/>
      <c r="J846" s="191"/>
      <c r="K846" s="191">
        <v>46446.179900373703</v>
      </c>
      <c r="L846" s="191"/>
      <c r="M846" s="191"/>
      <c r="N846" s="191"/>
      <c r="O846" s="191"/>
      <c r="P846" s="191"/>
      <c r="Q846" s="191"/>
      <c r="R846" s="191"/>
      <c r="S846" s="191"/>
      <c r="T846" s="191"/>
      <c r="U846" s="439"/>
      <c r="V846" s="441"/>
      <c r="W846" s="178"/>
      <c r="X846" s="172"/>
      <c r="Y846" s="172"/>
      <c r="Z846" s="172"/>
      <c r="AA846" s="195"/>
      <c r="AB846" s="172"/>
    </row>
    <row r="847" spans="1:28" ht="12.75" customHeight="1" x14ac:dyDescent="0.3">
      <c r="A847" s="667"/>
      <c r="B847" s="668" t="s">
        <v>5751</v>
      </c>
      <c r="C847" s="160" t="s">
        <v>5752</v>
      </c>
      <c r="D847" s="160"/>
      <c r="E847" s="439"/>
      <c r="F847" s="161">
        <v>539.982964434</v>
      </c>
      <c r="G847" s="161"/>
      <c r="H847" s="654"/>
      <c r="I847" s="654"/>
      <c r="J847" s="191"/>
      <c r="K847" s="191">
        <v>57767.024738636297</v>
      </c>
      <c r="L847" s="191"/>
      <c r="M847" s="191"/>
      <c r="N847" s="191"/>
      <c r="O847" s="191"/>
      <c r="P847" s="191"/>
      <c r="Q847" s="191"/>
      <c r="R847" s="191"/>
      <c r="S847" s="191"/>
      <c r="T847" s="191"/>
      <c r="U847" s="439"/>
      <c r="V847" s="441"/>
      <c r="W847" s="178"/>
      <c r="X847" s="172"/>
      <c r="Y847" s="172"/>
      <c r="Z847" s="172"/>
      <c r="AA847" s="195"/>
      <c r="AB847" s="172"/>
    </row>
    <row r="848" spans="1:28" ht="12.75" customHeight="1" x14ac:dyDescent="0.3">
      <c r="A848" s="667"/>
      <c r="B848" s="668" t="s">
        <v>5753</v>
      </c>
      <c r="C848" s="160" t="s">
        <v>5754</v>
      </c>
      <c r="D848" s="160"/>
      <c r="E848" s="439"/>
      <c r="F848" s="161">
        <v>531.93342740000003</v>
      </c>
      <c r="G848" s="161">
        <v>-66.628</v>
      </c>
      <c r="H848" s="654">
        <v>136.11376268000001</v>
      </c>
      <c r="I848" s="654"/>
      <c r="J848" s="191"/>
      <c r="K848" s="191">
        <v>126336.837118856</v>
      </c>
      <c r="L848" s="191"/>
      <c r="M848" s="191"/>
      <c r="N848" s="191"/>
      <c r="O848" s="191"/>
      <c r="P848" s="191"/>
      <c r="Q848" s="191"/>
      <c r="R848" s="191"/>
      <c r="S848" s="191"/>
      <c r="T848" s="191"/>
      <c r="U848" s="439"/>
      <c r="V848" s="441"/>
      <c r="W848" s="178"/>
      <c r="X848" s="172"/>
      <c r="Y848" s="172"/>
      <c r="Z848" s="172"/>
      <c r="AA848" s="195"/>
      <c r="AB848" s="172"/>
    </row>
    <row r="849" spans="1:28" ht="12.75" customHeight="1" x14ac:dyDescent="0.3">
      <c r="A849" s="667"/>
      <c r="B849" s="668" t="s">
        <v>5755</v>
      </c>
      <c r="C849" s="160" t="s">
        <v>5756</v>
      </c>
      <c r="D849" s="160"/>
      <c r="E849" s="439"/>
      <c r="F849" s="161">
        <v>254.01777654200001</v>
      </c>
      <c r="G849" s="161"/>
      <c r="H849" s="654"/>
      <c r="I849" s="654"/>
      <c r="J849" s="191"/>
      <c r="K849" s="191">
        <v>163.094756992859</v>
      </c>
      <c r="L849" s="191"/>
      <c r="M849" s="191"/>
      <c r="N849" s="191"/>
      <c r="O849" s="191"/>
      <c r="P849" s="191"/>
      <c r="Q849" s="191"/>
      <c r="R849" s="191"/>
      <c r="S849" s="191"/>
      <c r="T849" s="191"/>
      <c r="U849" s="439"/>
      <c r="V849" s="441"/>
      <c r="W849" s="178"/>
      <c r="X849" s="172"/>
      <c r="Y849" s="172"/>
      <c r="Z849" s="172"/>
      <c r="AA849" s="195"/>
      <c r="AB849" s="172"/>
    </row>
    <row r="850" spans="1:28" ht="12.75" customHeight="1" x14ac:dyDescent="0.3">
      <c r="A850" s="667"/>
      <c r="B850" s="668" t="s">
        <v>5757</v>
      </c>
      <c r="C850" s="160" t="s">
        <v>5758</v>
      </c>
      <c r="D850" s="160"/>
      <c r="E850" s="439"/>
      <c r="F850" s="161">
        <v>395.98312358599998</v>
      </c>
      <c r="G850" s="161">
        <v>-57.808999999999997</v>
      </c>
      <c r="H850" s="685">
        <v>79.965335701999905</v>
      </c>
      <c r="I850" s="654">
        <v>4.6738680043102701</v>
      </c>
      <c r="J850" s="191"/>
      <c r="K850" s="191">
        <v>2834.9147267612798</v>
      </c>
      <c r="L850" s="191"/>
      <c r="M850" s="191"/>
      <c r="N850" s="191"/>
      <c r="O850" s="191"/>
      <c r="P850" s="191"/>
      <c r="Q850" s="191"/>
      <c r="R850" s="191"/>
      <c r="S850" s="191"/>
      <c r="T850" s="191"/>
      <c r="U850" s="439"/>
      <c r="V850" s="441"/>
      <c r="W850" s="178"/>
      <c r="X850" s="172"/>
      <c r="Y850" s="172"/>
      <c r="Z850" s="172"/>
      <c r="AA850" s="195"/>
      <c r="AB850" s="172"/>
    </row>
    <row r="851" spans="1:28" ht="12.75" customHeight="1" x14ac:dyDescent="0.3">
      <c r="A851" s="667"/>
      <c r="B851" s="668" t="s">
        <v>5759</v>
      </c>
      <c r="C851" s="160" t="s">
        <v>5760</v>
      </c>
      <c r="D851" s="160"/>
      <c r="E851" s="439"/>
      <c r="F851" s="161">
        <v>363.97689539100003</v>
      </c>
      <c r="G851" s="161"/>
      <c r="H851" s="654"/>
      <c r="I851" s="654"/>
      <c r="J851" s="191"/>
      <c r="K851" s="191">
        <v>2438.2599210793601</v>
      </c>
      <c r="L851" s="191"/>
      <c r="M851" s="191"/>
      <c r="N851" s="191"/>
      <c r="O851" s="191"/>
      <c r="P851" s="191"/>
      <c r="Q851" s="191"/>
      <c r="R851" s="191"/>
      <c r="S851" s="191"/>
      <c r="T851" s="191"/>
      <c r="U851" s="439"/>
      <c r="V851" s="441"/>
      <c r="W851" s="178"/>
      <c r="X851" s="172"/>
      <c r="Y851" s="172"/>
      <c r="Z851" s="172"/>
      <c r="AA851" s="195"/>
      <c r="AB851" s="172"/>
    </row>
    <row r="852" spans="1:28" ht="12.75" customHeight="1" x14ac:dyDescent="0.3">
      <c r="A852" s="667"/>
      <c r="B852" s="668" t="s">
        <v>5761</v>
      </c>
      <c r="C852" s="160" t="s">
        <v>5762</v>
      </c>
      <c r="D852" s="160"/>
      <c r="E852" s="439">
        <v>7.9</v>
      </c>
      <c r="F852" s="161">
        <v>607.00517704499998</v>
      </c>
      <c r="G852" s="161"/>
      <c r="H852" s="654"/>
      <c r="I852" s="654"/>
      <c r="J852" s="191"/>
      <c r="K852" s="191">
        <v>13865323.282534501</v>
      </c>
      <c r="L852" s="191"/>
      <c r="M852" s="191"/>
      <c r="N852" s="191"/>
      <c r="O852" s="191"/>
      <c r="P852" s="191"/>
      <c r="Q852" s="191"/>
      <c r="R852" s="191"/>
      <c r="S852" s="191"/>
      <c r="T852" s="191"/>
      <c r="U852" s="439"/>
      <c r="V852" s="441"/>
      <c r="W852" s="178"/>
      <c r="X852" s="172"/>
      <c r="Y852" s="172"/>
      <c r="Z852" s="172"/>
      <c r="AA852" s="195"/>
      <c r="AB852" s="172"/>
    </row>
    <row r="853" spans="1:28" ht="12.75" customHeight="1" x14ac:dyDescent="0.3">
      <c r="A853" s="667"/>
      <c r="B853" s="668" t="s">
        <v>5763</v>
      </c>
      <c r="C853" s="160" t="s">
        <v>5764</v>
      </c>
      <c r="D853" s="160"/>
      <c r="E853" s="439">
        <v>7.56</v>
      </c>
      <c r="F853" s="161">
        <v>357.02114541499998</v>
      </c>
      <c r="G853" s="161"/>
      <c r="H853" s="654"/>
      <c r="I853" s="654"/>
      <c r="J853" s="191"/>
      <c r="K853" s="191">
        <v>157340.309455348</v>
      </c>
      <c r="L853" s="191"/>
      <c r="M853" s="191"/>
      <c r="N853" s="191"/>
      <c r="O853" s="191"/>
      <c r="P853" s="191"/>
      <c r="Q853" s="191"/>
      <c r="R853" s="191"/>
      <c r="S853" s="191"/>
      <c r="T853" s="191"/>
      <c r="U853" s="439"/>
      <c r="V853" s="441"/>
      <c r="W853" s="178"/>
      <c r="X853" s="172"/>
      <c r="Y853" s="172"/>
      <c r="Z853" s="172"/>
      <c r="AA853" s="195"/>
      <c r="AB853" s="172"/>
    </row>
    <row r="854" spans="1:28" ht="12.75" customHeight="1" x14ac:dyDescent="0.3">
      <c r="A854" s="667"/>
      <c r="B854" s="668" t="s">
        <v>5765</v>
      </c>
      <c r="C854" s="160" t="s">
        <v>5766</v>
      </c>
      <c r="D854" s="160"/>
      <c r="E854" s="439">
        <v>0.35199999999999998</v>
      </c>
      <c r="F854" s="161">
        <v>221.97516283799999</v>
      </c>
      <c r="G854" s="161">
        <v>-25.524000000000001</v>
      </c>
      <c r="H854" s="654">
        <v>1628.9281960000001</v>
      </c>
      <c r="I854" s="654">
        <v>118.933626323111</v>
      </c>
      <c r="J854" s="191"/>
      <c r="K854" s="191">
        <v>95.275228714908295</v>
      </c>
      <c r="L854" s="191"/>
      <c r="M854" s="191"/>
      <c r="N854" s="191"/>
      <c r="O854" s="191"/>
      <c r="P854" s="191"/>
      <c r="Q854" s="191"/>
      <c r="R854" s="191"/>
      <c r="S854" s="191"/>
      <c r="T854" s="191"/>
      <c r="U854" s="439"/>
      <c r="V854" s="441"/>
      <c r="W854" s="178"/>
      <c r="X854" s="172"/>
      <c r="Y854" s="172"/>
      <c r="Z854" s="172"/>
      <c r="AA854" s="195"/>
      <c r="AB854" s="172"/>
    </row>
    <row r="855" spans="1:28" ht="12.75" customHeight="1" x14ac:dyDescent="0.3">
      <c r="A855" s="667"/>
      <c r="B855" s="668" t="s">
        <v>5767</v>
      </c>
      <c r="C855" s="160" t="s">
        <v>5768</v>
      </c>
      <c r="D855" s="160"/>
      <c r="E855" s="439"/>
      <c r="F855" s="161">
        <v>387.89568700000001</v>
      </c>
      <c r="G855" s="161"/>
      <c r="H855" s="654"/>
      <c r="I855" s="654"/>
      <c r="J855" s="191"/>
      <c r="K855" s="191">
        <v>100524.05520674201</v>
      </c>
      <c r="L855" s="191"/>
      <c r="M855" s="191"/>
      <c r="N855" s="191"/>
      <c r="O855" s="191"/>
      <c r="P855" s="191"/>
      <c r="Q855" s="191"/>
      <c r="R855" s="191"/>
      <c r="S855" s="191"/>
      <c r="T855" s="191"/>
      <c r="U855" s="439"/>
      <c r="V855" s="441"/>
      <c r="W855" s="178"/>
      <c r="X855" s="172"/>
      <c r="Y855" s="172"/>
      <c r="Z855" s="172"/>
      <c r="AA855" s="195"/>
      <c r="AB855" s="172"/>
    </row>
    <row r="856" spans="1:28" ht="12.75" customHeight="1" x14ac:dyDescent="0.3">
      <c r="A856" s="667"/>
      <c r="B856" s="668" t="s">
        <v>5769</v>
      </c>
      <c r="C856" s="160" t="s">
        <v>5770</v>
      </c>
      <c r="D856" s="160"/>
      <c r="E856" s="439">
        <v>8.0500000000000007</v>
      </c>
      <c r="F856" s="161">
        <v>378.986651612</v>
      </c>
      <c r="G856" s="161"/>
      <c r="H856" s="654"/>
      <c r="I856" s="654"/>
      <c r="J856" s="191"/>
      <c r="K856" s="191">
        <v>496352.25581992499</v>
      </c>
      <c r="L856" s="191"/>
      <c r="M856" s="191"/>
      <c r="N856" s="191"/>
      <c r="O856" s="191"/>
      <c r="P856" s="191"/>
      <c r="Q856" s="191"/>
      <c r="R856" s="191"/>
      <c r="S856" s="191"/>
      <c r="T856" s="191"/>
      <c r="U856" s="439"/>
      <c r="V856" s="441"/>
      <c r="W856" s="178"/>
      <c r="X856" s="172"/>
      <c r="Y856" s="172"/>
      <c r="Z856" s="172"/>
      <c r="AA856" s="195"/>
      <c r="AB856" s="172"/>
    </row>
    <row r="857" spans="1:28" ht="12.75" customHeight="1" x14ac:dyDescent="0.3">
      <c r="A857" s="667"/>
      <c r="B857" s="668" t="s">
        <v>5771</v>
      </c>
      <c r="C857" s="160" t="s">
        <v>5772</v>
      </c>
      <c r="D857" s="160"/>
      <c r="E857" s="439">
        <v>7.13</v>
      </c>
      <c r="F857" s="161">
        <v>378.986651612</v>
      </c>
      <c r="G857" s="161"/>
      <c r="H857" s="654"/>
      <c r="I857" s="654"/>
      <c r="J857" s="191"/>
      <c r="K857" s="191">
        <v>210867.67034497199</v>
      </c>
      <c r="L857" s="191"/>
      <c r="M857" s="191"/>
      <c r="N857" s="191"/>
      <c r="O857" s="191"/>
      <c r="P857" s="191"/>
      <c r="Q857" s="191"/>
      <c r="R857" s="191"/>
      <c r="S857" s="191"/>
      <c r="T857" s="191"/>
      <c r="U857" s="439"/>
      <c r="V857" s="441"/>
      <c r="W857" s="178"/>
      <c r="X857" s="172"/>
      <c r="Y857" s="172"/>
      <c r="Z857" s="172"/>
      <c r="AA857" s="195"/>
      <c r="AB857" s="172"/>
    </row>
    <row r="858" spans="1:28" ht="12.75" customHeight="1" x14ac:dyDescent="0.3">
      <c r="A858" s="667"/>
      <c r="B858" s="668" t="s">
        <v>5773</v>
      </c>
      <c r="C858" s="160" t="s">
        <v>5774</v>
      </c>
      <c r="D858" s="160"/>
      <c r="E858" s="439">
        <v>7.5</v>
      </c>
      <c r="F858" s="161">
        <v>407.99788742999999</v>
      </c>
      <c r="G858" s="161"/>
      <c r="H858" s="654"/>
      <c r="I858" s="654"/>
      <c r="J858" s="191"/>
      <c r="K858" s="191">
        <v>36057.034048714602</v>
      </c>
      <c r="L858" s="191"/>
      <c r="M858" s="191"/>
      <c r="N858" s="191"/>
      <c r="O858" s="191"/>
      <c r="P858" s="191"/>
      <c r="Q858" s="191"/>
      <c r="R858" s="191"/>
      <c r="S858" s="191"/>
      <c r="T858" s="191"/>
      <c r="U858" s="439"/>
      <c r="V858" s="441"/>
      <c r="W858" s="178"/>
      <c r="X858" s="172"/>
      <c r="Y858" s="172"/>
      <c r="Z858" s="172"/>
      <c r="AA858" s="195"/>
      <c r="AB858" s="172"/>
    </row>
    <row r="859" spans="1:28" ht="12.75" customHeight="1" x14ac:dyDescent="0.3">
      <c r="A859" s="667"/>
      <c r="B859" s="668" t="s">
        <v>5775</v>
      </c>
      <c r="C859" s="160" t="s">
        <v>5776</v>
      </c>
      <c r="D859" s="160"/>
      <c r="E859" s="439">
        <v>8.5</v>
      </c>
      <c r="F859" s="161">
        <v>557.00837071900003</v>
      </c>
      <c r="G859" s="161"/>
      <c r="H859" s="654"/>
      <c r="I859" s="654"/>
      <c r="J859" s="191"/>
      <c r="K859" s="191">
        <v>3229535.0330199501</v>
      </c>
      <c r="L859" s="191"/>
      <c r="M859" s="191"/>
      <c r="N859" s="191"/>
      <c r="O859" s="191"/>
      <c r="P859" s="191"/>
      <c r="Q859" s="191"/>
      <c r="R859" s="191"/>
      <c r="S859" s="191"/>
      <c r="T859" s="191"/>
      <c r="U859" s="439"/>
      <c r="V859" s="441"/>
      <c r="W859" s="178"/>
      <c r="X859" s="172"/>
      <c r="Y859" s="172"/>
      <c r="Z859" s="172"/>
      <c r="AA859" s="195"/>
      <c r="AB859" s="172"/>
    </row>
    <row r="860" spans="1:28" ht="12.75" customHeight="1" x14ac:dyDescent="0.3">
      <c r="A860" s="667"/>
      <c r="B860" s="668" t="s">
        <v>5777</v>
      </c>
      <c r="C860" s="160" t="s">
        <v>5778</v>
      </c>
      <c r="D860" s="160"/>
      <c r="E860" s="439">
        <v>8.43</v>
      </c>
      <c r="F860" s="161">
        <v>307.02433908900002</v>
      </c>
      <c r="G860" s="161"/>
      <c r="H860" s="654"/>
      <c r="I860" s="654"/>
      <c r="J860" s="191"/>
      <c r="K860" s="191">
        <v>21659.079730200701</v>
      </c>
      <c r="L860" s="191"/>
      <c r="M860" s="191"/>
      <c r="N860" s="191"/>
      <c r="O860" s="191"/>
      <c r="P860" s="191"/>
      <c r="Q860" s="191"/>
      <c r="R860" s="191"/>
      <c r="S860" s="191"/>
      <c r="T860" s="191"/>
      <c r="U860" s="439"/>
      <c r="V860" s="441"/>
      <c r="W860" s="178"/>
      <c r="X860" s="172"/>
      <c r="Y860" s="172"/>
      <c r="Z860" s="172"/>
      <c r="AA860" s="195"/>
      <c r="AB860" s="172"/>
    </row>
    <row r="861" spans="1:28" ht="12.75" customHeight="1" x14ac:dyDescent="0.3">
      <c r="A861" s="667"/>
      <c r="B861" s="668" t="s">
        <v>5779</v>
      </c>
      <c r="C861" s="160" t="s">
        <v>5780</v>
      </c>
      <c r="D861" s="160"/>
      <c r="E861" s="439">
        <v>7.55</v>
      </c>
      <c r="F861" s="161">
        <v>557.00837071900003</v>
      </c>
      <c r="G861" s="161"/>
      <c r="H861" s="654"/>
      <c r="I861" s="654"/>
      <c r="J861" s="191"/>
      <c r="K861" s="191">
        <v>3159148.2019183799</v>
      </c>
      <c r="L861" s="191"/>
      <c r="M861" s="191"/>
      <c r="N861" s="191"/>
      <c r="O861" s="191"/>
      <c r="P861" s="191"/>
      <c r="Q861" s="191"/>
      <c r="R861" s="191"/>
      <c r="S861" s="191"/>
      <c r="T861" s="191"/>
      <c r="U861" s="439"/>
      <c r="V861" s="441"/>
      <c r="W861" s="178"/>
      <c r="X861" s="172"/>
      <c r="Y861" s="172"/>
      <c r="Z861" s="172"/>
      <c r="AA861" s="195"/>
      <c r="AB861" s="172"/>
    </row>
    <row r="862" spans="1:28" ht="12.75" customHeight="1" x14ac:dyDescent="0.3">
      <c r="A862" s="667"/>
      <c r="B862" s="668" t="s">
        <v>5781</v>
      </c>
      <c r="C862" s="160" t="s">
        <v>5782</v>
      </c>
      <c r="D862" s="160"/>
      <c r="E862" s="439">
        <v>7.43</v>
      </c>
      <c r="F862" s="161">
        <v>307.02433908900002</v>
      </c>
      <c r="G862" s="161"/>
      <c r="H862" s="654"/>
      <c r="I862" s="654"/>
      <c r="J862" s="191"/>
      <c r="K862" s="191">
        <v>19731.4953737865</v>
      </c>
      <c r="L862" s="191"/>
      <c r="M862" s="191"/>
      <c r="N862" s="191"/>
      <c r="O862" s="191"/>
      <c r="P862" s="191"/>
      <c r="Q862" s="191"/>
      <c r="R862" s="191"/>
      <c r="S862" s="191"/>
      <c r="T862" s="191"/>
      <c r="U862" s="439"/>
      <c r="V862" s="441"/>
      <c r="W862" s="178"/>
      <c r="X862" s="172"/>
      <c r="Y862" s="172"/>
      <c r="Z862" s="172"/>
      <c r="AA862" s="195"/>
      <c r="AB862" s="172"/>
    </row>
    <row r="863" spans="1:28" ht="12.75" customHeight="1" x14ac:dyDescent="0.3">
      <c r="A863" s="667"/>
      <c r="B863" s="668" t="s">
        <v>5783</v>
      </c>
      <c r="C863" s="160" t="s">
        <v>5784</v>
      </c>
      <c r="D863" s="160"/>
      <c r="E863" s="439">
        <v>8.14</v>
      </c>
      <c r="F863" s="161">
        <v>557.00837071900003</v>
      </c>
      <c r="G863" s="161"/>
      <c r="H863" s="654"/>
      <c r="I863" s="654"/>
      <c r="J863" s="191"/>
      <c r="K863" s="191">
        <v>3101558.6641338998</v>
      </c>
      <c r="L863" s="191"/>
      <c r="M863" s="191"/>
      <c r="N863" s="191"/>
      <c r="O863" s="191"/>
      <c r="P863" s="191"/>
      <c r="Q863" s="191"/>
      <c r="R863" s="191"/>
      <c r="S863" s="191"/>
      <c r="T863" s="191"/>
      <c r="U863" s="439"/>
      <c r="V863" s="441"/>
      <c r="W863" s="178"/>
      <c r="X863" s="172"/>
      <c r="Y863" s="172"/>
      <c r="Z863" s="172"/>
      <c r="AA863" s="195"/>
      <c r="AB863" s="172"/>
    </row>
    <row r="864" spans="1:28" ht="12.75" customHeight="1" x14ac:dyDescent="0.3">
      <c r="A864" s="667"/>
      <c r="B864" s="668" t="s">
        <v>5785</v>
      </c>
      <c r="C864" s="160" t="s">
        <v>5786</v>
      </c>
      <c r="D864" s="160"/>
      <c r="E864" s="439">
        <v>-0.21</v>
      </c>
      <c r="F864" s="161">
        <v>231.01302551399999</v>
      </c>
      <c r="G864" s="161"/>
      <c r="H864" s="654"/>
      <c r="I864" s="654"/>
      <c r="J864" s="191"/>
      <c r="K864" s="191"/>
      <c r="L864" s="191"/>
      <c r="M864" s="191"/>
      <c r="N864" s="191"/>
      <c r="O864" s="191"/>
      <c r="P864" s="191"/>
      <c r="Q864" s="191"/>
      <c r="R864" s="191"/>
      <c r="S864" s="191"/>
      <c r="T864" s="191"/>
      <c r="U864" s="439"/>
      <c r="V864" s="441"/>
      <c r="W864" s="178"/>
      <c r="X864" s="172"/>
      <c r="Y864" s="172"/>
      <c r="Z864" s="172"/>
      <c r="AA864" s="195"/>
      <c r="AB864" s="172"/>
    </row>
    <row r="865" spans="1:28" ht="12.75" customHeight="1" x14ac:dyDescent="0.3">
      <c r="A865" s="667"/>
      <c r="B865" s="668" t="s">
        <v>5787</v>
      </c>
      <c r="C865" s="160" t="s">
        <v>5788</v>
      </c>
      <c r="D865" s="160"/>
      <c r="E865" s="439">
        <v>1</v>
      </c>
      <c r="F865" s="161">
        <v>270.035157938</v>
      </c>
      <c r="G865" s="161"/>
      <c r="H865" s="654"/>
      <c r="I865" s="654"/>
      <c r="J865" s="191"/>
      <c r="K865" s="191">
        <v>29.794767444595099</v>
      </c>
      <c r="L865" s="191"/>
      <c r="M865" s="191"/>
      <c r="N865" s="191"/>
      <c r="O865" s="191"/>
      <c r="P865" s="191"/>
      <c r="Q865" s="191"/>
      <c r="R865" s="191"/>
      <c r="S865" s="191"/>
      <c r="T865" s="191"/>
      <c r="U865" s="439"/>
      <c r="V865" s="441"/>
      <c r="W865" s="178"/>
      <c r="X865" s="172"/>
      <c r="Y865" s="172"/>
      <c r="Z865" s="172"/>
      <c r="AA865" s="195"/>
      <c r="AB865" s="172"/>
    </row>
    <row r="866" spans="1:28" ht="12.75" customHeight="1" x14ac:dyDescent="0.3">
      <c r="A866" s="667"/>
      <c r="B866" s="668" t="s">
        <v>5789</v>
      </c>
      <c r="C866" s="160" t="s">
        <v>5790</v>
      </c>
      <c r="D866" s="160"/>
      <c r="E866" s="439">
        <v>7.34</v>
      </c>
      <c r="F866" s="161">
        <v>213.002460829</v>
      </c>
      <c r="G866" s="161"/>
      <c r="H866" s="654"/>
      <c r="I866" s="654"/>
      <c r="J866" s="191"/>
      <c r="K866" s="191">
        <v>72.532057973141306</v>
      </c>
      <c r="L866" s="191"/>
      <c r="M866" s="191"/>
      <c r="N866" s="191"/>
      <c r="O866" s="191"/>
      <c r="P866" s="191"/>
      <c r="Q866" s="191"/>
      <c r="R866" s="191"/>
      <c r="S866" s="191"/>
      <c r="T866" s="191"/>
      <c r="U866" s="439"/>
      <c r="V866" s="441"/>
      <c r="W866" s="178"/>
      <c r="X866" s="172"/>
      <c r="Y866" s="172"/>
      <c r="Z866" s="172"/>
      <c r="AA866" s="195"/>
      <c r="AB866" s="172"/>
    </row>
    <row r="867" spans="1:28" ht="12.75" customHeight="1" x14ac:dyDescent="0.3">
      <c r="A867" s="667"/>
      <c r="B867" s="668" t="s">
        <v>5791</v>
      </c>
      <c r="C867" s="160" t="s">
        <v>5792</v>
      </c>
      <c r="D867" s="160"/>
      <c r="E867" s="439">
        <v>6.7</v>
      </c>
      <c r="F867" s="161">
        <v>512.98329878499999</v>
      </c>
      <c r="G867" s="161">
        <v>-9.0559999999999992</v>
      </c>
      <c r="H867" s="654">
        <v>14.057338358000001</v>
      </c>
      <c r="I867" s="654"/>
      <c r="J867" s="191"/>
      <c r="K867" s="191">
        <v>58151.3765854792</v>
      </c>
      <c r="L867" s="191"/>
      <c r="M867" s="191"/>
      <c r="N867" s="191"/>
      <c r="O867" s="191"/>
      <c r="P867" s="191"/>
      <c r="Q867" s="191"/>
      <c r="R867" s="191"/>
      <c r="S867" s="191"/>
      <c r="T867" s="191"/>
      <c r="U867" s="439"/>
      <c r="V867" s="441"/>
      <c r="W867" s="178"/>
      <c r="X867" s="172"/>
      <c r="Y867" s="172"/>
      <c r="Z867" s="172"/>
      <c r="AA867" s="195"/>
      <c r="AB867" s="172"/>
    </row>
    <row r="868" spans="1:28" ht="12.75" customHeight="1" x14ac:dyDescent="0.3">
      <c r="A868" s="667"/>
      <c r="B868" s="668" t="s">
        <v>5793</v>
      </c>
      <c r="C868" s="160" t="s">
        <v>5794</v>
      </c>
      <c r="D868" s="160"/>
      <c r="E868" s="439">
        <v>6.52</v>
      </c>
      <c r="F868" s="161">
        <v>462.98649245899998</v>
      </c>
      <c r="G868" s="161"/>
      <c r="H868" s="654"/>
      <c r="I868" s="654"/>
      <c r="J868" s="191"/>
      <c r="K868" s="191">
        <v>47494.136927533</v>
      </c>
      <c r="L868" s="191"/>
      <c r="M868" s="191"/>
      <c r="N868" s="191"/>
      <c r="O868" s="191"/>
      <c r="P868" s="191"/>
      <c r="Q868" s="191"/>
      <c r="R868" s="191"/>
      <c r="S868" s="191"/>
      <c r="T868" s="191"/>
      <c r="U868" s="439"/>
      <c r="V868" s="441"/>
      <c r="W868" s="178"/>
      <c r="X868" s="172"/>
      <c r="Y868" s="172"/>
      <c r="Z868" s="172"/>
      <c r="AA868" s="195"/>
      <c r="AB868" s="172"/>
    </row>
    <row r="869" spans="1:28" ht="12.75" customHeight="1" x14ac:dyDescent="0.3">
      <c r="A869" s="667"/>
      <c r="B869" s="668" t="s">
        <v>5795</v>
      </c>
      <c r="C869" s="160" t="s">
        <v>5796</v>
      </c>
      <c r="D869" s="160"/>
      <c r="E869" s="439">
        <v>6.54</v>
      </c>
      <c r="F869" s="161">
        <v>412.98968613300002</v>
      </c>
      <c r="G869" s="161">
        <v>2.5110000000000001</v>
      </c>
      <c r="H869" s="654">
        <v>21.622295282</v>
      </c>
      <c r="I869" s="654">
        <v>1.4925860246532701</v>
      </c>
      <c r="J869" s="191"/>
      <c r="K869" s="191">
        <v>10824.0552401394</v>
      </c>
      <c r="L869" s="191"/>
      <c r="M869" s="191"/>
      <c r="N869" s="191"/>
      <c r="O869" s="191"/>
      <c r="P869" s="191"/>
      <c r="Q869" s="191"/>
      <c r="R869" s="191"/>
      <c r="S869" s="191"/>
      <c r="T869" s="191"/>
      <c r="U869" s="439"/>
      <c r="V869" s="441"/>
      <c r="W869" s="178"/>
      <c r="X869" s="172"/>
      <c r="Y869" s="172"/>
      <c r="Z869" s="172"/>
      <c r="AA869" s="195"/>
      <c r="AB869" s="172"/>
    </row>
    <row r="870" spans="1:28" ht="12.75" customHeight="1" x14ac:dyDescent="0.3">
      <c r="A870" s="667"/>
      <c r="B870" s="668" t="s">
        <v>5797</v>
      </c>
      <c r="C870" s="160" t="s">
        <v>5798</v>
      </c>
      <c r="D870" s="160"/>
      <c r="E870" s="439">
        <v>6.08</v>
      </c>
      <c r="F870" s="161">
        <v>388.00811533299998</v>
      </c>
      <c r="G870" s="161"/>
      <c r="H870" s="654"/>
      <c r="I870" s="654"/>
      <c r="J870" s="191"/>
      <c r="K870" s="191">
        <v>14892.581998457599</v>
      </c>
      <c r="L870" s="191"/>
      <c r="M870" s="191"/>
      <c r="N870" s="191"/>
      <c r="O870" s="191"/>
      <c r="P870" s="191"/>
      <c r="Q870" s="191"/>
      <c r="R870" s="191"/>
      <c r="S870" s="191"/>
      <c r="T870" s="191"/>
      <c r="U870" s="439"/>
      <c r="V870" s="441"/>
      <c r="W870" s="178"/>
      <c r="X870" s="172"/>
      <c r="Y870" s="172"/>
      <c r="Z870" s="172"/>
      <c r="AA870" s="195"/>
      <c r="AB870" s="172"/>
    </row>
    <row r="871" spans="1:28" ht="12.75" customHeight="1" x14ac:dyDescent="0.3">
      <c r="A871" s="667"/>
      <c r="B871" s="668" t="s">
        <v>5799</v>
      </c>
      <c r="C871" s="160" t="s">
        <v>5800</v>
      </c>
      <c r="D871" s="160"/>
      <c r="E871" s="439">
        <v>6.53</v>
      </c>
      <c r="F871" s="161">
        <v>362.99287980700001</v>
      </c>
      <c r="G871" s="161">
        <v>4.2949999999999999</v>
      </c>
      <c r="H871" s="654">
        <v>55.195307999999997</v>
      </c>
      <c r="I871" s="654">
        <v>3.2576033713231598</v>
      </c>
      <c r="J871" s="191"/>
      <c r="K871" s="191">
        <v>2649.6590875213801</v>
      </c>
      <c r="L871" s="191"/>
      <c r="M871" s="191"/>
      <c r="N871" s="191"/>
      <c r="O871" s="191"/>
      <c r="P871" s="191"/>
      <c r="Q871" s="191"/>
      <c r="R871" s="191"/>
      <c r="S871" s="191"/>
      <c r="T871" s="191"/>
      <c r="U871" s="439"/>
      <c r="V871" s="441"/>
      <c r="W871" s="178"/>
      <c r="X871" s="172"/>
      <c r="Y871" s="172"/>
      <c r="Z871" s="172"/>
      <c r="AA871" s="195"/>
      <c r="AB871" s="172"/>
    </row>
    <row r="872" spans="1:28" ht="12.75" customHeight="1" x14ac:dyDescent="0.3">
      <c r="A872" s="667"/>
      <c r="B872" s="668" t="s">
        <v>5801</v>
      </c>
      <c r="C872" s="160" t="s">
        <v>5802</v>
      </c>
      <c r="D872" s="160"/>
      <c r="E872" s="439">
        <v>6.62</v>
      </c>
      <c r="F872" s="161">
        <v>312.996073481</v>
      </c>
      <c r="G872" s="161">
        <v>-11.772</v>
      </c>
      <c r="H872" s="654">
        <v>74.456337340000005</v>
      </c>
      <c r="I872" s="654">
        <v>29.345322464499301</v>
      </c>
      <c r="J872" s="191"/>
      <c r="K872" s="191">
        <v>223.774193205606</v>
      </c>
      <c r="L872" s="191"/>
      <c r="M872" s="191"/>
      <c r="N872" s="191"/>
      <c r="O872" s="191"/>
      <c r="P872" s="191"/>
      <c r="Q872" s="191"/>
      <c r="R872" s="191"/>
      <c r="S872" s="191"/>
      <c r="T872" s="191"/>
      <c r="U872" s="439"/>
      <c r="V872" s="441"/>
      <c r="W872" s="178"/>
      <c r="X872" s="172"/>
      <c r="Y872" s="172"/>
      <c r="Z872" s="172"/>
      <c r="AA872" s="195"/>
      <c r="AB872" s="172"/>
    </row>
    <row r="873" spans="1:28" ht="12.75" customHeight="1" x14ac:dyDescent="0.3">
      <c r="A873" s="667"/>
      <c r="B873" s="668" t="s">
        <v>5803</v>
      </c>
      <c r="C873" s="160" t="s">
        <v>5804</v>
      </c>
      <c r="D873" s="160"/>
      <c r="E873" s="439">
        <v>6.36</v>
      </c>
      <c r="F873" s="161">
        <v>288.01450268100001</v>
      </c>
      <c r="G873" s="161">
        <v>107.883</v>
      </c>
      <c r="H873" s="654">
        <v>2.2228110449999998</v>
      </c>
      <c r="I873" s="654">
        <v>174.34698706741901</v>
      </c>
      <c r="J873" s="191"/>
      <c r="K873" s="191">
        <v>71.285303012651895</v>
      </c>
      <c r="L873" s="191"/>
      <c r="M873" s="191"/>
      <c r="N873" s="191"/>
      <c r="O873" s="191"/>
      <c r="P873" s="191"/>
      <c r="Q873" s="191"/>
      <c r="R873" s="191"/>
      <c r="S873" s="191"/>
      <c r="T873" s="191"/>
      <c r="U873" s="439"/>
      <c r="V873" s="441"/>
      <c r="W873" s="178"/>
      <c r="X873" s="172"/>
      <c r="Y873" s="172"/>
      <c r="Z873" s="172"/>
      <c r="AA873" s="195"/>
      <c r="AB873" s="172"/>
    </row>
    <row r="874" spans="1:28" ht="12.75" customHeight="1" x14ac:dyDescent="0.3">
      <c r="A874" s="667"/>
      <c r="B874" s="668" t="s">
        <v>5805</v>
      </c>
      <c r="C874" s="160" t="s">
        <v>5806</v>
      </c>
      <c r="D874" s="160"/>
      <c r="E874" s="439">
        <v>6.46</v>
      </c>
      <c r="F874" s="161">
        <v>262.99926715499998</v>
      </c>
      <c r="G874" s="161">
        <v>14.33</v>
      </c>
      <c r="H874" s="654">
        <v>64.402391997999999</v>
      </c>
      <c r="I874" s="654">
        <v>55.969926040324097</v>
      </c>
      <c r="J874" s="191"/>
      <c r="K874" s="191">
        <v>92.653109689604804</v>
      </c>
      <c r="L874" s="191"/>
      <c r="M874" s="191"/>
      <c r="N874" s="191"/>
      <c r="O874" s="191"/>
      <c r="P874" s="191"/>
      <c r="Q874" s="191"/>
      <c r="R874" s="191"/>
      <c r="S874" s="191"/>
      <c r="T874" s="191"/>
      <c r="U874" s="439"/>
      <c r="V874" s="441"/>
      <c r="W874" s="178"/>
      <c r="X874" s="172"/>
      <c r="Y874" s="172"/>
      <c r="Z874" s="172"/>
      <c r="AA874" s="195"/>
      <c r="AB874" s="172"/>
    </row>
    <row r="875" spans="1:28" ht="12.75" customHeight="1" x14ac:dyDescent="0.3">
      <c r="A875" s="667"/>
      <c r="B875" s="668" t="s">
        <v>5807</v>
      </c>
      <c r="C875" s="160" t="s">
        <v>5808</v>
      </c>
      <c r="D875" s="160"/>
      <c r="E875" s="439">
        <v>6.98</v>
      </c>
      <c r="F875" s="161">
        <v>245.008689025</v>
      </c>
      <c r="G875" s="161">
        <v>61.87</v>
      </c>
      <c r="H875" s="654">
        <v>39.075211658000001</v>
      </c>
      <c r="I875" s="654">
        <v>64.147684943147397</v>
      </c>
      <c r="J875" s="191"/>
      <c r="K875" s="191">
        <v>128.88132727962599</v>
      </c>
      <c r="L875" s="191"/>
      <c r="M875" s="191"/>
      <c r="N875" s="191"/>
      <c r="O875" s="191"/>
      <c r="P875" s="191"/>
      <c r="Q875" s="191"/>
      <c r="R875" s="191"/>
      <c r="S875" s="191"/>
      <c r="T875" s="191"/>
      <c r="U875" s="439"/>
      <c r="V875" s="441"/>
      <c r="W875" s="178"/>
      <c r="X875" s="172"/>
      <c r="Y875" s="172"/>
      <c r="Z875" s="172"/>
      <c r="AA875" s="195"/>
      <c r="AB875" s="172"/>
    </row>
    <row r="876" spans="1:28" ht="12.75" customHeight="1" x14ac:dyDescent="0.3">
      <c r="A876" s="667"/>
      <c r="B876" s="668" t="s">
        <v>5809</v>
      </c>
      <c r="C876" s="160" t="s">
        <v>5810</v>
      </c>
      <c r="D876" s="160"/>
      <c r="E876" s="439">
        <v>6.61</v>
      </c>
      <c r="F876" s="161">
        <v>213.002460829</v>
      </c>
      <c r="G876" s="161">
        <v>5.6989999999999998</v>
      </c>
      <c r="H876" s="654">
        <v>250.55470104</v>
      </c>
      <c r="I876" s="654">
        <v>112.56008541278</v>
      </c>
      <c r="J876" s="191"/>
      <c r="K876" s="191">
        <v>100.262839519585</v>
      </c>
      <c r="L876" s="191"/>
      <c r="M876" s="191"/>
      <c r="N876" s="191"/>
      <c r="O876" s="191"/>
      <c r="P876" s="191"/>
      <c r="Q876" s="191"/>
      <c r="R876" s="191"/>
      <c r="S876" s="191"/>
      <c r="T876" s="191"/>
      <c r="U876" s="439"/>
      <c r="V876" s="441"/>
      <c r="W876" s="178"/>
      <c r="X876" s="172"/>
      <c r="Y876" s="172"/>
      <c r="Z876" s="172"/>
      <c r="AA876" s="195"/>
      <c r="AB876" s="172"/>
    </row>
    <row r="877" spans="1:28" ht="12.75" customHeight="1" x14ac:dyDescent="0.3">
      <c r="A877" s="667"/>
      <c r="B877" s="668" t="s">
        <v>5811</v>
      </c>
      <c r="C877" s="160" t="s">
        <v>5812</v>
      </c>
      <c r="D877" s="160"/>
      <c r="E877" s="439">
        <v>6.95</v>
      </c>
      <c r="F877" s="161">
        <v>417.01712266300001</v>
      </c>
      <c r="G877" s="161"/>
      <c r="H877" s="654"/>
      <c r="I877" s="654"/>
      <c r="J877" s="191"/>
      <c r="K877" s="191">
        <v>184395.36485608001</v>
      </c>
      <c r="L877" s="191"/>
      <c r="M877" s="191"/>
      <c r="N877" s="191"/>
      <c r="O877" s="191"/>
      <c r="P877" s="191"/>
      <c r="Q877" s="191"/>
      <c r="R877" s="191"/>
      <c r="S877" s="191"/>
      <c r="T877" s="191"/>
      <c r="U877" s="439"/>
      <c r="V877" s="441"/>
      <c r="W877" s="178"/>
      <c r="X877" s="172"/>
      <c r="Y877" s="172"/>
      <c r="Z877" s="172"/>
      <c r="AA877" s="195"/>
      <c r="AB877" s="172"/>
    </row>
    <row r="878" spans="1:28" ht="12.75" customHeight="1" x14ac:dyDescent="0.3">
      <c r="A878" s="667"/>
      <c r="B878" s="668" t="s">
        <v>5813</v>
      </c>
      <c r="C878" s="160" t="s">
        <v>5814</v>
      </c>
      <c r="D878" s="160"/>
      <c r="E878" s="439">
        <v>7.66</v>
      </c>
      <c r="F878" s="161">
        <v>320.039574614</v>
      </c>
      <c r="G878" s="161">
        <v>105.535</v>
      </c>
      <c r="H878" s="654">
        <v>4.0728804424000004E-3</v>
      </c>
      <c r="I878" s="654">
        <v>5.0257734639084104</v>
      </c>
      <c r="J878" s="191"/>
      <c r="K878" s="191">
        <v>1361.4446824659401</v>
      </c>
      <c r="L878" s="191"/>
      <c r="M878" s="191"/>
      <c r="N878" s="191"/>
      <c r="O878" s="191"/>
      <c r="P878" s="191"/>
      <c r="Q878" s="191"/>
      <c r="R878" s="191"/>
      <c r="S878" s="191"/>
      <c r="T878" s="191"/>
      <c r="U878" s="439"/>
      <c r="V878" s="441"/>
      <c r="W878" s="178"/>
      <c r="X878" s="172"/>
      <c r="Y878" s="172"/>
      <c r="Z878" s="172"/>
      <c r="AA878" s="195"/>
      <c r="AB878" s="172"/>
    </row>
    <row r="879" spans="1:28" ht="12.75" customHeight="1" x14ac:dyDescent="0.3">
      <c r="A879" s="667"/>
      <c r="B879" s="668" t="s">
        <v>5815</v>
      </c>
      <c r="C879" s="160" t="s">
        <v>5816</v>
      </c>
      <c r="D879" s="160"/>
      <c r="E879" s="439">
        <v>1</v>
      </c>
      <c r="F879" s="161">
        <v>557.02835727299998</v>
      </c>
      <c r="G879" s="161"/>
      <c r="H879" s="654"/>
      <c r="I879" s="654"/>
      <c r="J879" s="191"/>
      <c r="K879" s="191"/>
      <c r="L879" s="191"/>
      <c r="M879" s="191"/>
      <c r="N879" s="191"/>
      <c r="O879" s="191"/>
      <c r="P879" s="191"/>
      <c r="Q879" s="191"/>
      <c r="R879" s="191"/>
      <c r="S879" s="191"/>
      <c r="T879" s="191"/>
      <c r="U879" s="439"/>
      <c r="V879" s="441"/>
      <c r="W879" s="178"/>
      <c r="X879" s="172"/>
      <c r="Y879" s="172"/>
      <c r="Z879" s="172"/>
      <c r="AA879" s="195"/>
      <c r="AB879" s="172"/>
    </row>
    <row r="880" spans="1:28" ht="12.75" customHeight="1" x14ac:dyDescent="0.3">
      <c r="A880" s="667"/>
      <c r="B880" s="668" t="s">
        <v>5817</v>
      </c>
      <c r="C880" s="160" t="s">
        <v>5818</v>
      </c>
      <c r="D880" s="160"/>
      <c r="E880" s="439">
        <v>8.73</v>
      </c>
      <c r="F880" s="161">
        <v>470.04753536300001</v>
      </c>
      <c r="G880" s="161">
        <v>11.680999999999999</v>
      </c>
      <c r="H880" s="654">
        <v>1.2998761677999999</v>
      </c>
      <c r="I880" s="654">
        <v>0.40470810766233001</v>
      </c>
      <c r="J880" s="191"/>
      <c r="K880" s="191">
        <v>67145.977407928702</v>
      </c>
      <c r="L880" s="191"/>
      <c r="M880" s="191"/>
      <c r="N880" s="191"/>
      <c r="O880" s="191"/>
      <c r="P880" s="191"/>
      <c r="Q880" s="191"/>
      <c r="R880" s="191"/>
      <c r="S880" s="191"/>
      <c r="T880" s="191"/>
      <c r="U880" s="439"/>
      <c r="V880" s="441"/>
      <c r="W880" s="178"/>
      <c r="X880" s="172"/>
      <c r="Y880" s="172"/>
      <c r="Z880" s="172"/>
      <c r="AA880" s="195"/>
      <c r="AB880" s="172"/>
    </row>
    <row r="881" spans="1:28" ht="12.75" customHeight="1" x14ac:dyDescent="0.3">
      <c r="A881" s="667"/>
      <c r="B881" s="668" t="s">
        <v>5819</v>
      </c>
      <c r="C881" s="160" t="s">
        <v>5820</v>
      </c>
      <c r="D881" s="160"/>
      <c r="E881" s="439">
        <v>7.54</v>
      </c>
      <c r="F881" s="161">
        <v>718.01075136099996</v>
      </c>
      <c r="G881" s="161"/>
      <c r="H881" s="654"/>
      <c r="I881" s="654"/>
      <c r="J881" s="191"/>
      <c r="K881" s="191">
        <v>100669.984095796</v>
      </c>
      <c r="L881" s="191"/>
      <c r="M881" s="191"/>
      <c r="N881" s="191"/>
      <c r="O881" s="191"/>
      <c r="P881" s="191"/>
      <c r="Q881" s="191"/>
      <c r="R881" s="191"/>
      <c r="S881" s="191"/>
      <c r="T881" s="191"/>
      <c r="U881" s="439"/>
      <c r="V881" s="441"/>
      <c r="W881" s="178"/>
      <c r="X881" s="172"/>
      <c r="Y881" s="172"/>
      <c r="Z881" s="172"/>
      <c r="AA881" s="195"/>
      <c r="AB881" s="172"/>
    </row>
    <row r="882" spans="1:28" ht="12.75" customHeight="1" x14ac:dyDescent="0.3">
      <c r="A882" s="667"/>
      <c r="B882" s="668" t="s">
        <v>5821</v>
      </c>
      <c r="C882" s="160" t="s">
        <v>5822</v>
      </c>
      <c r="D882" s="160"/>
      <c r="E882" s="439">
        <v>8.24</v>
      </c>
      <c r="F882" s="161">
        <v>378.00377884400001</v>
      </c>
      <c r="G882" s="161"/>
      <c r="H882" s="654"/>
      <c r="I882" s="654"/>
      <c r="J882" s="191"/>
      <c r="K882" s="191">
        <v>7487.3821545353103</v>
      </c>
      <c r="L882" s="191"/>
      <c r="M882" s="191"/>
      <c r="N882" s="191"/>
      <c r="O882" s="191"/>
      <c r="P882" s="191"/>
      <c r="Q882" s="191"/>
      <c r="R882" s="191"/>
      <c r="S882" s="191"/>
      <c r="T882" s="191"/>
      <c r="U882" s="439"/>
      <c r="V882" s="441"/>
      <c r="W882" s="178"/>
      <c r="X882" s="172"/>
      <c r="Y882" s="172"/>
      <c r="Z882" s="172"/>
      <c r="AA882" s="195"/>
      <c r="AB882" s="172"/>
    </row>
    <row r="883" spans="1:28" ht="12.75" customHeight="1" x14ac:dyDescent="0.3">
      <c r="A883" s="667"/>
      <c r="B883" s="668" t="s">
        <v>5823</v>
      </c>
      <c r="C883" s="160" t="s">
        <v>5824</v>
      </c>
      <c r="D883" s="160"/>
      <c r="E883" s="439">
        <v>8.1199999999999992</v>
      </c>
      <c r="F883" s="161">
        <v>228.013359866</v>
      </c>
      <c r="G883" s="161">
        <v>-11.086</v>
      </c>
      <c r="H883" s="654">
        <v>33.029458923999997</v>
      </c>
      <c r="I883" s="654">
        <v>147.897217663323</v>
      </c>
      <c r="J883" s="191"/>
      <c r="K883" s="191">
        <v>82.072941717897606</v>
      </c>
      <c r="L883" s="191"/>
      <c r="M883" s="191"/>
      <c r="N883" s="191"/>
      <c r="O883" s="191"/>
      <c r="P883" s="191"/>
      <c r="Q883" s="191"/>
      <c r="R883" s="191"/>
      <c r="S883" s="191"/>
      <c r="T883" s="191"/>
      <c r="U883" s="439"/>
      <c r="V883" s="441"/>
      <c r="W883" s="178"/>
      <c r="X883" s="172"/>
      <c r="Y883" s="172"/>
      <c r="Z883" s="172"/>
      <c r="AA883" s="195"/>
      <c r="AB883" s="172"/>
    </row>
    <row r="884" spans="1:28" ht="12.75" customHeight="1" x14ac:dyDescent="0.3">
      <c r="A884" s="667"/>
      <c r="B884" s="668" t="s">
        <v>5825</v>
      </c>
      <c r="C884" s="160" t="s">
        <v>5826</v>
      </c>
      <c r="D884" s="160"/>
      <c r="E884" s="439">
        <v>6.54</v>
      </c>
      <c r="F884" s="161">
        <v>632.00624210299998</v>
      </c>
      <c r="G884" s="161"/>
      <c r="H884" s="654"/>
      <c r="I884" s="654"/>
      <c r="J884" s="191"/>
      <c r="K884" s="191">
        <v>184663.04815521601</v>
      </c>
      <c r="L884" s="191"/>
      <c r="M884" s="191"/>
      <c r="N884" s="191"/>
      <c r="O884" s="191"/>
      <c r="P884" s="191"/>
      <c r="Q884" s="191"/>
      <c r="R884" s="191"/>
      <c r="S884" s="191"/>
      <c r="T884" s="191"/>
      <c r="U884" s="439"/>
      <c r="V884" s="441"/>
      <c r="W884" s="178"/>
      <c r="X884" s="172"/>
      <c r="Y884" s="172"/>
      <c r="Z884" s="172"/>
      <c r="AA884" s="195"/>
      <c r="AB884" s="172"/>
    </row>
    <row r="885" spans="1:28" ht="12.75" customHeight="1" x14ac:dyDescent="0.3">
      <c r="A885" s="667"/>
      <c r="B885" s="668" t="s">
        <v>5827</v>
      </c>
      <c r="C885" s="160" t="s">
        <v>5828</v>
      </c>
      <c r="D885" s="160"/>
      <c r="E885" s="439">
        <v>6.48</v>
      </c>
      <c r="F885" s="161">
        <v>532.01262945099995</v>
      </c>
      <c r="G885" s="161"/>
      <c r="H885" s="654"/>
      <c r="I885" s="654"/>
      <c r="J885" s="191"/>
      <c r="K885" s="191">
        <v>32104.063075962302</v>
      </c>
      <c r="L885" s="191"/>
      <c r="M885" s="191"/>
      <c r="N885" s="191"/>
      <c r="O885" s="191"/>
      <c r="P885" s="191"/>
      <c r="Q885" s="191"/>
      <c r="R885" s="191"/>
      <c r="S885" s="191"/>
      <c r="T885" s="191"/>
      <c r="U885" s="439"/>
      <c r="V885" s="441"/>
      <c r="W885" s="178"/>
      <c r="X885" s="172"/>
      <c r="Y885" s="172"/>
      <c r="Z885" s="172"/>
      <c r="AA885" s="195"/>
      <c r="AB885" s="172"/>
    </row>
    <row r="886" spans="1:28" ht="12.75" customHeight="1" x14ac:dyDescent="0.3">
      <c r="A886" s="667"/>
      <c r="B886" s="668" t="s">
        <v>5829</v>
      </c>
      <c r="C886" s="160" t="s">
        <v>5830</v>
      </c>
      <c r="D886" s="160"/>
      <c r="E886" s="439">
        <v>6.16</v>
      </c>
      <c r="F886" s="161">
        <v>432.01901679899998</v>
      </c>
      <c r="G886" s="161"/>
      <c r="H886" s="654"/>
      <c r="I886" s="654"/>
      <c r="J886" s="191"/>
      <c r="K886" s="177">
        <v>662.88776001568999</v>
      </c>
      <c r="L886" s="191"/>
      <c r="M886" s="191"/>
      <c r="N886" s="191"/>
      <c r="O886" s="191"/>
      <c r="P886" s="191"/>
      <c r="Q886" s="191"/>
      <c r="R886" s="191"/>
      <c r="S886" s="191"/>
      <c r="T886" s="191"/>
      <c r="U886" s="439"/>
      <c r="V886" s="441"/>
      <c r="W886" s="178"/>
      <c r="X886" s="172"/>
      <c r="Y886" s="172"/>
      <c r="Z886" s="172"/>
      <c r="AA886" s="195"/>
      <c r="AB886" s="172"/>
    </row>
    <row r="887" spans="1:28" ht="12.75" customHeight="1" x14ac:dyDescent="0.3">
      <c r="A887" s="667"/>
      <c r="B887" s="668" t="s">
        <v>5831</v>
      </c>
      <c r="C887" s="160" t="s">
        <v>5832</v>
      </c>
      <c r="D887" s="160"/>
      <c r="E887" s="439">
        <v>5.94</v>
      </c>
      <c r="F887" s="161">
        <v>382.02221047299997</v>
      </c>
      <c r="G887" s="161"/>
      <c r="H887" s="654"/>
      <c r="I887" s="654"/>
      <c r="J887" s="191"/>
      <c r="K887" s="191">
        <v>98.673378871856102</v>
      </c>
      <c r="L887" s="191"/>
      <c r="M887" s="191"/>
      <c r="N887" s="191"/>
      <c r="O887" s="191"/>
      <c r="P887" s="191"/>
      <c r="Q887" s="191"/>
      <c r="R887" s="191"/>
      <c r="S887" s="191"/>
      <c r="T887" s="191"/>
      <c r="U887" s="439"/>
      <c r="V887" s="441"/>
      <c r="W887" s="178"/>
      <c r="X887" s="172"/>
      <c r="Y887" s="172"/>
      <c r="Z887" s="172"/>
      <c r="AA887" s="195"/>
      <c r="AB887" s="172"/>
    </row>
    <row r="888" spans="1:28" ht="12.75" customHeight="1" x14ac:dyDescent="0.3">
      <c r="A888" s="667"/>
      <c r="B888" s="668" t="s">
        <v>5833</v>
      </c>
      <c r="C888" s="160" t="s">
        <v>5834</v>
      </c>
      <c r="D888" s="160"/>
      <c r="E888" s="439">
        <v>0.34</v>
      </c>
      <c r="F888" s="161">
        <v>487.95071253999998</v>
      </c>
      <c r="G888" s="161"/>
      <c r="H888" s="654"/>
      <c r="I888" s="654"/>
      <c r="J888" s="191"/>
      <c r="K888" s="191">
        <v>26.108985677325698</v>
      </c>
      <c r="L888" s="191"/>
      <c r="M888" s="191"/>
      <c r="N888" s="191"/>
      <c r="O888" s="191"/>
      <c r="P888" s="191"/>
      <c r="Q888" s="191"/>
      <c r="R888" s="191"/>
      <c r="S888" s="191"/>
      <c r="T888" s="191"/>
      <c r="U888" s="439"/>
      <c r="V888" s="441"/>
      <c r="W888" s="178"/>
      <c r="X888" s="172"/>
      <c r="Y888" s="172"/>
      <c r="Z888" s="172"/>
      <c r="AA888" s="195"/>
      <c r="AB888" s="172"/>
    </row>
    <row r="889" spans="1:28" ht="12.75" customHeight="1" x14ac:dyDescent="0.3">
      <c r="A889" s="667"/>
      <c r="B889" s="668" t="s">
        <v>5835</v>
      </c>
      <c r="C889" s="160" t="s">
        <v>5836</v>
      </c>
      <c r="D889" s="160"/>
      <c r="E889" s="439">
        <v>0.34</v>
      </c>
      <c r="F889" s="161">
        <v>415.980411387</v>
      </c>
      <c r="G889" s="161"/>
      <c r="H889" s="654"/>
      <c r="I889" s="654"/>
      <c r="J889" s="191"/>
      <c r="K889" s="191">
        <v>1277.67383167036</v>
      </c>
      <c r="L889" s="191"/>
      <c r="M889" s="191"/>
      <c r="N889" s="191"/>
      <c r="O889" s="191"/>
      <c r="P889" s="191"/>
      <c r="Q889" s="191"/>
      <c r="R889" s="191"/>
      <c r="S889" s="191"/>
      <c r="T889" s="191"/>
      <c r="U889" s="439"/>
      <c r="V889" s="441"/>
      <c r="W889" s="178"/>
      <c r="X889" s="172"/>
      <c r="Y889" s="172"/>
      <c r="Z889" s="172"/>
      <c r="AA889" s="195"/>
      <c r="AB889" s="172"/>
    </row>
    <row r="890" spans="1:28" ht="12.75" customHeight="1" x14ac:dyDescent="0.3">
      <c r="A890" s="667"/>
      <c r="B890" s="668" t="s">
        <v>5837</v>
      </c>
      <c r="C890" s="160" t="s">
        <v>5838</v>
      </c>
      <c r="D890" s="160"/>
      <c r="E890" s="439">
        <v>0.34</v>
      </c>
      <c r="F890" s="161">
        <v>414.97705655200002</v>
      </c>
      <c r="G890" s="161"/>
      <c r="H890" s="654"/>
      <c r="I890" s="654"/>
      <c r="J890" s="191"/>
      <c r="K890" s="191">
        <v>1277.67383167036</v>
      </c>
      <c r="L890" s="191"/>
      <c r="M890" s="191"/>
      <c r="N890" s="191"/>
      <c r="O890" s="191"/>
      <c r="P890" s="191"/>
      <c r="Q890" s="191"/>
      <c r="R890" s="191"/>
      <c r="S890" s="191"/>
      <c r="T890" s="191"/>
      <c r="U890" s="439"/>
      <c r="V890" s="441"/>
      <c r="W890" s="178"/>
      <c r="X890" s="172"/>
      <c r="Y890" s="172"/>
      <c r="Z890" s="172"/>
      <c r="AA890" s="195"/>
      <c r="AB890" s="172"/>
    </row>
    <row r="891" spans="1:28" ht="12.75" customHeight="1" x14ac:dyDescent="0.3">
      <c r="A891" s="667"/>
      <c r="B891" s="668" t="s">
        <v>5839</v>
      </c>
      <c r="C891" s="160" t="s">
        <v>5210</v>
      </c>
      <c r="D891" s="160"/>
      <c r="E891" s="439">
        <v>0.12</v>
      </c>
      <c r="F891" s="161">
        <v>446.9707004</v>
      </c>
      <c r="G891" s="161">
        <v>26.067</v>
      </c>
      <c r="H891" s="654">
        <v>6.7748774198000001</v>
      </c>
      <c r="I891" s="654">
        <v>0.63281664791931602</v>
      </c>
      <c r="J891" s="191"/>
      <c r="K891" s="191">
        <v>2683.1194037161799</v>
      </c>
      <c r="L891" s="191"/>
      <c r="M891" s="191"/>
      <c r="N891" s="191"/>
      <c r="O891" s="191"/>
      <c r="P891" s="191"/>
      <c r="Q891" s="191"/>
      <c r="R891" s="191"/>
      <c r="S891" s="191"/>
      <c r="T891" s="191"/>
      <c r="U891" s="439"/>
      <c r="V891" s="441"/>
      <c r="W891" s="178"/>
      <c r="X891" s="172"/>
      <c r="Y891" s="172"/>
      <c r="Z891" s="172"/>
      <c r="AA891" s="195"/>
      <c r="AB891" s="172"/>
    </row>
    <row r="892" spans="1:28" ht="12.75" customHeight="1" x14ac:dyDescent="0.3">
      <c r="A892" s="667"/>
      <c r="B892" s="668" t="s">
        <v>5840</v>
      </c>
      <c r="C892" s="160" t="s">
        <v>5841</v>
      </c>
      <c r="D892" s="160"/>
      <c r="E892" s="439">
        <v>0.54</v>
      </c>
      <c r="F892" s="161">
        <v>813.94815232500002</v>
      </c>
      <c r="G892" s="161">
        <v>52.585999999999999</v>
      </c>
      <c r="H892" s="654">
        <v>0.21872673998</v>
      </c>
      <c r="I892" s="654"/>
      <c r="J892" s="191"/>
      <c r="K892" s="191">
        <v>253956.890006117</v>
      </c>
      <c r="L892" s="191"/>
      <c r="M892" s="191"/>
      <c r="N892" s="191"/>
      <c r="O892" s="191"/>
      <c r="P892" s="191"/>
      <c r="Q892" s="191"/>
      <c r="R892" s="191"/>
      <c r="S892" s="191"/>
      <c r="T892" s="191"/>
      <c r="U892" s="439"/>
      <c r="V892" s="441"/>
      <c r="W892" s="178"/>
      <c r="X892" s="172"/>
      <c r="Y892" s="172"/>
      <c r="Z892" s="172"/>
      <c r="AA892" s="195"/>
      <c r="AB892" s="172"/>
    </row>
    <row r="893" spans="1:28" ht="12.75" customHeight="1" x14ac:dyDescent="0.3">
      <c r="A893" s="667"/>
      <c r="B893" s="668" t="s">
        <v>5842</v>
      </c>
      <c r="C893" s="160" t="s">
        <v>5843</v>
      </c>
      <c r="D893" s="160"/>
      <c r="E893" s="439">
        <v>1.1299999999999999</v>
      </c>
      <c r="F893" s="161">
        <v>763.95134599899995</v>
      </c>
      <c r="G893" s="161">
        <v>45.546999999999997</v>
      </c>
      <c r="H893" s="654">
        <v>0.57398720694000005</v>
      </c>
      <c r="I893" s="654"/>
      <c r="J893" s="191"/>
      <c r="K893" s="191">
        <v>225325.321810486</v>
      </c>
      <c r="L893" s="191"/>
      <c r="M893" s="191"/>
      <c r="N893" s="191"/>
      <c r="O893" s="191"/>
      <c r="P893" s="191"/>
      <c r="Q893" s="191"/>
      <c r="R893" s="191"/>
      <c r="S893" s="191"/>
      <c r="T893" s="191"/>
      <c r="U893" s="439"/>
      <c r="V893" s="441"/>
      <c r="W893" s="178"/>
      <c r="X893" s="172"/>
      <c r="Y893" s="172"/>
      <c r="Z893" s="172"/>
      <c r="AA893" s="195"/>
      <c r="AB893" s="172"/>
    </row>
    <row r="894" spans="1:28" ht="12.75" customHeight="1" x14ac:dyDescent="0.3">
      <c r="A894" s="667"/>
      <c r="B894" s="668" t="s">
        <v>4098</v>
      </c>
      <c r="C894" s="160" t="s">
        <v>5844</v>
      </c>
      <c r="D894" s="160"/>
      <c r="E894" s="439">
        <v>0.54</v>
      </c>
      <c r="F894" s="161">
        <v>713.954539673</v>
      </c>
      <c r="G894" s="161">
        <v>52.28</v>
      </c>
      <c r="H894" s="654">
        <v>0.51392697915999996</v>
      </c>
      <c r="I894" s="654"/>
      <c r="J894" s="191"/>
      <c r="K894" s="191">
        <v>126008.545908823</v>
      </c>
      <c r="L894" s="191"/>
      <c r="M894" s="191"/>
      <c r="N894" s="191"/>
      <c r="O894" s="191"/>
      <c r="P894" s="191"/>
      <c r="Q894" s="191"/>
      <c r="R894" s="191"/>
      <c r="S894" s="191"/>
      <c r="T894" s="191"/>
      <c r="U894" s="439"/>
      <c r="V894" s="441"/>
      <c r="W894" s="178"/>
      <c r="X894" s="172"/>
      <c r="Y894" s="172"/>
      <c r="Z894" s="172"/>
      <c r="AA894" s="195"/>
      <c r="AB894" s="172"/>
    </row>
    <row r="895" spans="1:28" ht="12.75" customHeight="1" x14ac:dyDescent="0.3">
      <c r="A895" s="667"/>
      <c r="B895" s="668" t="s">
        <v>5845</v>
      </c>
      <c r="C895" s="160" t="s">
        <v>5846</v>
      </c>
      <c r="D895" s="160"/>
      <c r="E895" s="439">
        <v>1.1299999999999999</v>
      </c>
      <c r="F895" s="161">
        <v>663.95773334700004</v>
      </c>
      <c r="G895" s="161">
        <v>-2.25</v>
      </c>
      <c r="H895" s="654">
        <v>3.5310331700000002</v>
      </c>
      <c r="I895" s="654"/>
      <c r="J895" s="191"/>
      <c r="K895" s="191">
        <v>235982.60990413401</v>
      </c>
      <c r="L895" s="191"/>
      <c r="M895" s="191"/>
      <c r="N895" s="191"/>
      <c r="O895" s="191"/>
      <c r="P895" s="191"/>
      <c r="Q895" s="191"/>
      <c r="R895" s="191"/>
      <c r="S895" s="191"/>
      <c r="T895" s="191"/>
      <c r="U895" s="439"/>
      <c r="V895" s="441"/>
      <c r="W895" s="178"/>
      <c r="X895" s="172"/>
      <c r="Y895" s="172"/>
      <c r="Z895" s="172"/>
      <c r="AA895" s="195"/>
      <c r="AB895" s="172"/>
    </row>
    <row r="896" spans="1:28" ht="12.75" customHeight="1" x14ac:dyDescent="0.3">
      <c r="A896" s="667"/>
      <c r="B896" s="668" t="s">
        <v>5847</v>
      </c>
      <c r="C896" s="160" t="s">
        <v>5848</v>
      </c>
      <c r="D896" s="160"/>
      <c r="E896" s="439">
        <v>1.7</v>
      </c>
      <c r="F896" s="161">
        <v>545.97354256400001</v>
      </c>
      <c r="G896" s="161">
        <v>11.307</v>
      </c>
      <c r="H896" s="654">
        <v>1.1452533118599999</v>
      </c>
      <c r="I896" s="654">
        <v>1.33712196415179</v>
      </c>
      <c r="J896" s="191"/>
      <c r="K896" s="191">
        <v>77307.210006726295</v>
      </c>
      <c r="L896" s="191"/>
      <c r="M896" s="191"/>
      <c r="N896" s="191"/>
      <c r="O896" s="191"/>
      <c r="P896" s="191"/>
      <c r="Q896" s="191"/>
      <c r="R896" s="191"/>
      <c r="S896" s="191"/>
      <c r="T896" s="191"/>
      <c r="U896" s="439"/>
      <c r="V896" s="441"/>
      <c r="W896" s="178"/>
      <c r="X896" s="172"/>
      <c r="Y896" s="172"/>
      <c r="Z896" s="172"/>
      <c r="AA896" s="195"/>
      <c r="AB896" s="172"/>
    </row>
    <row r="897" spans="1:28" ht="12.75" customHeight="1" x14ac:dyDescent="0.3">
      <c r="A897" s="667"/>
      <c r="B897" s="668" t="s">
        <v>5849</v>
      </c>
      <c r="C897" s="160" t="s">
        <v>5850</v>
      </c>
      <c r="D897" s="160"/>
      <c r="E897" s="439">
        <v>0.98</v>
      </c>
      <c r="F897" s="161">
        <v>563.96412069500002</v>
      </c>
      <c r="G897" s="161">
        <v>-5.9130000000000003</v>
      </c>
      <c r="H897" s="654">
        <v>6.8218467603999997</v>
      </c>
      <c r="I897" s="654"/>
      <c r="J897" s="191"/>
      <c r="K897" s="191">
        <v>60863.931200099403</v>
      </c>
      <c r="L897" s="191"/>
      <c r="M897" s="191"/>
      <c r="N897" s="191"/>
      <c r="O897" s="191"/>
      <c r="P897" s="191"/>
      <c r="Q897" s="191"/>
      <c r="R897" s="191"/>
      <c r="S897" s="191"/>
      <c r="T897" s="191"/>
      <c r="U897" s="439"/>
      <c r="V897" s="441"/>
      <c r="W897" s="178"/>
      <c r="X897" s="172"/>
      <c r="Y897" s="172"/>
      <c r="Z897" s="172"/>
      <c r="AA897" s="195"/>
      <c r="AB897" s="172"/>
    </row>
    <row r="898" spans="1:28" ht="12.75" customHeight="1" x14ac:dyDescent="0.3">
      <c r="A898" s="667"/>
      <c r="B898" s="668" t="s">
        <v>5851</v>
      </c>
      <c r="C898" s="160" t="s">
        <v>5852</v>
      </c>
      <c r="D898" s="160"/>
      <c r="E898" s="439">
        <v>7.1660000000000004</v>
      </c>
      <c r="F898" s="161">
        <v>463.94604299999997</v>
      </c>
      <c r="G898" s="161">
        <v>-36.904000000000003</v>
      </c>
      <c r="H898" s="654">
        <v>119.922872356</v>
      </c>
      <c r="I898" s="654"/>
      <c r="J898" s="191"/>
      <c r="K898" s="191">
        <v>50375.573106007403</v>
      </c>
      <c r="L898" s="191"/>
      <c r="M898" s="191"/>
      <c r="N898" s="191"/>
      <c r="O898" s="191"/>
      <c r="P898" s="191"/>
      <c r="Q898" s="191"/>
      <c r="R898" s="191"/>
      <c r="S898" s="191"/>
      <c r="T898" s="191"/>
      <c r="U898" s="439"/>
      <c r="V898" s="441"/>
      <c r="W898" s="178"/>
      <c r="X898" s="172"/>
      <c r="Y898" s="172"/>
      <c r="Z898" s="172"/>
      <c r="AA898" s="195"/>
      <c r="AB898" s="172"/>
    </row>
    <row r="899" spans="1:28" ht="12.75" customHeight="1" x14ac:dyDescent="0.3">
      <c r="A899" s="667"/>
      <c r="B899" s="668" t="s">
        <v>5853</v>
      </c>
      <c r="C899" s="160" t="s">
        <v>5854</v>
      </c>
      <c r="D899" s="160"/>
      <c r="E899" s="439">
        <v>1.4</v>
      </c>
      <c r="F899" s="161">
        <v>445.97992991199999</v>
      </c>
      <c r="G899" s="161">
        <v>17.216000000000001</v>
      </c>
      <c r="H899" s="654">
        <v>3.9618898774</v>
      </c>
      <c r="I899" s="654"/>
      <c r="J899" s="191"/>
      <c r="K899" s="191">
        <v>10380.5412840358</v>
      </c>
      <c r="L899" s="191"/>
      <c r="M899" s="191"/>
      <c r="N899" s="191"/>
      <c r="O899" s="191"/>
      <c r="P899" s="191"/>
      <c r="Q899" s="191"/>
      <c r="R899" s="191"/>
      <c r="S899" s="191"/>
      <c r="T899" s="191"/>
      <c r="U899" s="439"/>
      <c r="V899" s="441"/>
      <c r="W899" s="178"/>
      <c r="X899" s="172"/>
      <c r="Y899" s="172"/>
      <c r="Z899" s="172"/>
      <c r="AA899" s="195"/>
      <c r="AB899" s="172"/>
    </row>
    <row r="900" spans="1:28" ht="12.75" customHeight="1" x14ac:dyDescent="0.3">
      <c r="A900" s="667"/>
      <c r="B900" s="668" t="s">
        <v>5855</v>
      </c>
      <c r="C900" s="160" t="s">
        <v>5856</v>
      </c>
      <c r="D900" s="160"/>
      <c r="E900" s="439">
        <v>0.71</v>
      </c>
      <c r="F900" s="161">
        <v>496.9675067</v>
      </c>
      <c r="G900" s="161"/>
      <c r="H900" s="654"/>
      <c r="I900" s="654"/>
      <c r="J900" s="191"/>
      <c r="K900" s="191">
        <v>21883.662083484</v>
      </c>
      <c r="L900" s="191"/>
      <c r="M900" s="191"/>
      <c r="N900" s="191"/>
      <c r="O900" s="191"/>
      <c r="P900" s="191"/>
      <c r="Q900" s="191"/>
      <c r="R900" s="191"/>
      <c r="S900" s="191"/>
      <c r="T900" s="191"/>
      <c r="U900" s="439"/>
      <c r="V900" s="441"/>
      <c r="W900" s="178"/>
      <c r="X900" s="172"/>
      <c r="Y900" s="172"/>
      <c r="Z900" s="172"/>
      <c r="AA900" s="195"/>
      <c r="AB900" s="172"/>
    </row>
    <row r="901" spans="1:28" ht="12.75" customHeight="1" x14ac:dyDescent="0.3">
      <c r="A901" s="667"/>
      <c r="B901" s="668" t="s">
        <v>5857</v>
      </c>
      <c r="C901" s="160" t="s">
        <v>5858</v>
      </c>
      <c r="D901" s="160"/>
      <c r="E901" s="439">
        <v>0.93</v>
      </c>
      <c r="F901" s="161">
        <v>463.970508043</v>
      </c>
      <c r="G901" s="161">
        <v>2.7909999999999999</v>
      </c>
      <c r="H901" s="654">
        <v>33.105585785999999</v>
      </c>
      <c r="I901" s="654">
        <v>0.89431243366304303</v>
      </c>
      <c r="J901" s="191"/>
      <c r="K901" s="191">
        <v>21078.029111827302</v>
      </c>
      <c r="L901" s="191"/>
      <c r="M901" s="191"/>
      <c r="N901" s="191"/>
      <c r="O901" s="191"/>
      <c r="P901" s="191"/>
      <c r="Q901" s="191"/>
      <c r="R901" s="191"/>
      <c r="S901" s="191"/>
      <c r="T901" s="191"/>
      <c r="U901" s="439"/>
      <c r="V901" s="441"/>
      <c r="W901" s="178"/>
      <c r="X901" s="172"/>
      <c r="Y901" s="172"/>
      <c r="Z901" s="172"/>
      <c r="AA901" s="195"/>
      <c r="AB901" s="172"/>
    </row>
    <row r="902" spans="1:28" ht="12.75" customHeight="1" x14ac:dyDescent="0.3">
      <c r="A902" s="667"/>
      <c r="B902" s="668" t="s">
        <v>5859</v>
      </c>
      <c r="C902" s="160" t="s">
        <v>5860</v>
      </c>
      <c r="D902" s="160"/>
      <c r="E902" s="439"/>
      <c r="F902" s="161">
        <v>415.96936522800002</v>
      </c>
      <c r="G902" s="161">
        <v>-72.040999999999997</v>
      </c>
      <c r="H902" s="654">
        <v>1458.4893512000001</v>
      </c>
      <c r="I902" s="654"/>
      <c r="J902" s="191"/>
      <c r="K902" s="191">
        <v>11920.377251337801</v>
      </c>
      <c r="L902" s="191"/>
      <c r="M902" s="191"/>
      <c r="N902" s="191"/>
      <c r="O902" s="191"/>
      <c r="P902" s="191"/>
      <c r="Q902" s="191"/>
      <c r="R902" s="191"/>
      <c r="S902" s="191"/>
      <c r="T902" s="191"/>
      <c r="U902" s="439"/>
      <c r="V902" s="441"/>
      <c r="W902" s="178"/>
      <c r="X902" s="172"/>
      <c r="Y902" s="172"/>
      <c r="Z902" s="172"/>
      <c r="AA902" s="195"/>
      <c r="AB902" s="172"/>
    </row>
    <row r="903" spans="1:28" ht="12.75" customHeight="1" x14ac:dyDescent="0.3">
      <c r="A903" s="667"/>
      <c r="B903" s="668" t="s">
        <v>5861</v>
      </c>
      <c r="C903" s="160" t="s">
        <v>5862</v>
      </c>
      <c r="D903" s="160"/>
      <c r="E903" s="439">
        <v>0.84</v>
      </c>
      <c r="F903" s="161">
        <v>363.97689539100003</v>
      </c>
      <c r="G903" s="161">
        <v>-13.884</v>
      </c>
      <c r="H903" s="654">
        <v>146.85951588</v>
      </c>
      <c r="I903" s="654">
        <v>13.2762028501448</v>
      </c>
      <c r="J903" s="191"/>
      <c r="K903" s="191">
        <v>1903.6188648350601</v>
      </c>
      <c r="L903" s="191"/>
      <c r="M903" s="191"/>
      <c r="N903" s="191"/>
      <c r="O903" s="191"/>
      <c r="P903" s="191"/>
      <c r="Q903" s="191"/>
      <c r="R903" s="191"/>
      <c r="S903" s="191"/>
      <c r="T903" s="191"/>
      <c r="U903" s="439"/>
      <c r="V903" s="441"/>
      <c r="W903" s="178"/>
      <c r="X903" s="172"/>
      <c r="Y903" s="172"/>
      <c r="Z903" s="172"/>
      <c r="AA903" s="195"/>
      <c r="AB903" s="172"/>
    </row>
    <row r="904" spans="1:28" ht="12.75" customHeight="1" x14ac:dyDescent="0.3">
      <c r="A904" s="667"/>
      <c r="B904" s="668" t="s">
        <v>5863</v>
      </c>
      <c r="C904" s="160" t="s">
        <v>5864</v>
      </c>
      <c r="D904" s="160"/>
      <c r="E904" s="439">
        <v>-0.76</v>
      </c>
      <c r="F904" s="161">
        <v>289.982533848</v>
      </c>
      <c r="G904" s="161">
        <v>94.271000000000001</v>
      </c>
      <c r="H904" s="654">
        <v>1.5097383280000001</v>
      </c>
      <c r="I904" s="654">
        <v>158.26028770781599</v>
      </c>
      <c r="J904" s="191"/>
      <c r="K904" s="191">
        <v>211.68983285107299</v>
      </c>
      <c r="L904" s="191"/>
      <c r="M904" s="191"/>
      <c r="N904" s="191"/>
      <c r="O904" s="191"/>
      <c r="P904" s="191"/>
      <c r="Q904" s="191"/>
      <c r="R904" s="191"/>
      <c r="S904" s="191"/>
      <c r="T904" s="191"/>
      <c r="U904" s="439"/>
      <c r="V904" s="441"/>
      <c r="W904" s="178"/>
      <c r="X904" s="172"/>
      <c r="Y904" s="172"/>
      <c r="Z904" s="172"/>
      <c r="AA904" s="195"/>
      <c r="AB904" s="172"/>
    </row>
    <row r="905" spans="1:28" ht="12.75" customHeight="1" x14ac:dyDescent="0.3">
      <c r="A905" s="667"/>
      <c r="B905" s="668" t="s">
        <v>5865</v>
      </c>
      <c r="C905" s="160" t="s">
        <v>5866</v>
      </c>
      <c r="D905" s="160"/>
      <c r="E905" s="439"/>
      <c r="F905" s="161">
        <v>215.98213992399999</v>
      </c>
      <c r="G905" s="161">
        <v>-72.489999999999995</v>
      </c>
      <c r="H905" s="654">
        <v>52468.873099999997</v>
      </c>
      <c r="I905" s="654"/>
      <c r="J905" s="191"/>
      <c r="K905" s="191">
        <v>98.898567252222094</v>
      </c>
      <c r="L905" s="191"/>
      <c r="M905" s="191"/>
      <c r="N905" s="191"/>
      <c r="O905" s="191"/>
      <c r="P905" s="191"/>
      <c r="Q905" s="191"/>
      <c r="R905" s="191"/>
      <c r="S905" s="191"/>
      <c r="T905" s="191"/>
      <c r="U905" s="439"/>
      <c r="V905" s="441"/>
      <c r="W905" s="178"/>
      <c r="X905" s="172"/>
      <c r="Y905" s="172"/>
      <c r="Z905" s="172"/>
      <c r="AA905" s="195"/>
      <c r="AB905" s="172"/>
    </row>
    <row r="906" spans="1:28" ht="12.75" customHeight="1" x14ac:dyDescent="0.3">
      <c r="A906" s="667"/>
      <c r="B906" s="668" t="s">
        <v>5867</v>
      </c>
      <c r="C906" s="160" t="s">
        <v>5868</v>
      </c>
      <c r="D906" s="160"/>
      <c r="E906" s="439">
        <v>-0.03</v>
      </c>
      <c r="F906" s="161">
        <v>245.992704608</v>
      </c>
      <c r="G906" s="161">
        <v>28.576000000000001</v>
      </c>
      <c r="H906" s="654">
        <v>149.93392119999999</v>
      </c>
      <c r="I906" s="654">
        <v>247.12919090328799</v>
      </c>
      <c r="J906" s="191"/>
      <c r="K906" s="191">
        <v>100.827732380567</v>
      </c>
      <c r="L906" s="191"/>
      <c r="M906" s="191"/>
      <c r="N906" s="191"/>
      <c r="O906" s="191"/>
      <c r="P906" s="191"/>
      <c r="Q906" s="191"/>
      <c r="R906" s="191"/>
      <c r="S906" s="191"/>
      <c r="T906" s="191"/>
      <c r="U906" s="439"/>
      <c r="V906" s="441"/>
      <c r="W906" s="178"/>
      <c r="X906" s="172"/>
      <c r="Y906" s="172"/>
      <c r="Z906" s="172"/>
      <c r="AA906" s="195"/>
      <c r="AB906" s="172"/>
    </row>
    <row r="907" spans="1:28" ht="12.75" customHeight="1" x14ac:dyDescent="0.3">
      <c r="A907" s="667"/>
      <c r="B907" s="668" t="s">
        <v>5869</v>
      </c>
      <c r="C907" s="160" t="s">
        <v>5870</v>
      </c>
      <c r="D907" s="160"/>
      <c r="E907" s="439"/>
      <c r="F907" s="161">
        <v>243.977054544</v>
      </c>
      <c r="G907" s="161">
        <v>-11.272</v>
      </c>
      <c r="H907" s="654">
        <v>3205.5408391999999</v>
      </c>
      <c r="I907" s="654"/>
      <c r="J907" s="191"/>
      <c r="K907" s="191">
        <v>1576.59447393699</v>
      </c>
      <c r="L907" s="191"/>
      <c r="M907" s="191"/>
      <c r="N907" s="191"/>
      <c r="O907" s="191"/>
      <c r="P907" s="191"/>
      <c r="Q907" s="191"/>
      <c r="R907" s="191"/>
      <c r="S907" s="191"/>
      <c r="T907" s="191"/>
      <c r="U907" s="439"/>
      <c r="V907" s="441"/>
      <c r="W907" s="178"/>
      <c r="X907" s="172"/>
      <c r="Y907" s="172"/>
      <c r="Z907" s="172"/>
      <c r="AA907" s="195"/>
      <c r="AB907" s="172"/>
    </row>
    <row r="908" spans="1:28" ht="12.75" customHeight="1" x14ac:dyDescent="0.3">
      <c r="A908" s="667"/>
      <c r="B908" s="668" t="s">
        <v>5871</v>
      </c>
      <c r="C908" s="160" t="s">
        <v>5872</v>
      </c>
      <c r="D908" s="160"/>
      <c r="E908" s="439"/>
      <c r="F908" s="161">
        <v>365.972558902</v>
      </c>
      <c r="G908" s="161">
        <v>-83.325000000000003</v>
      </c>
      <c r="H908" s="654">
        <v>2753.6059236000001</v>
      </c>
      <c r="I908" s="654"/>
      <c r="J908" s="191"/>
      <c r="K908" s="191">
        <v>4546.7387406113503</v>
      </c>
      <c r="L908" s="191"/>
      <c r="M908" s="191"/>
      <c r="N908" s="191"/>
      <c r="O908" s="191"/>
      <c r="P908" s="191"/>
      <c r="Q908" s="191"/>
      <c r="R908" s="191"/>
      <c r="S908" s="191"/>
      <c r="T908" s="191"/>
      <c r="U908" s="439"/>
      <c r="V908" s="441"/>
      <c r="W908" s="178"/>
      <c r="X908" s="172"/>
      <c r="Y908" s="172"/>
      <c r="Z908" s="172"/>
      <c r="AA908" s="195"/>
      <c r="AB908" s="172"/>
    </row>
    <row r="909" spans="1:28" ht="12.75" customHeight="1" x14ac:dyDescent="0.3">
      <c r="A909" s="667"/>
      <c r="B909" s="668" t="s">
        <v>5873</v>
      </c>
      <c r="C909" s="160" t="s">
        <v>5874</v>
      </c>
      <c r="D909" s="160"/>
      <c r="E909" s="439">
        <v>5.51</v>
      </c>
      <c r="F909" s="161">
        <v>293.97386087000001</v>
      </c>
      <c r="G909" s="161">
        <v>-49.238999999999997</v>
      </c>
      <c r="H909" s="654">
        <v>907.61484617999997</v>
      </c>
      <c r="I909" s="654"/>
      <c r="J909" s="191"/>
      <c r="K909" s="191">
        <v>1333.2144128544901</v>
      </c>
      <c r="L909" s="191"/>
      <c r="M909" s="191"/>
      <c r="N909" s="191"/>
      <c r="O909" s="191"/>
      <c r="P909" s="191"/>
      <c r="Q909" s="191"/>
      <c r="R909" s="191"/>
      <c r="S909" s="191"/>
      <c r="T909" s="191"/>
      <c r="U909" s="439"/>
      <c r="V909" s="441"/>
      <c r="W909" s="178"/>
      <c r="X909" s="172"/>
      <c r="Y909" s="172"/>
      <c r="Z909" s="172"/>
      <c r="AA909" s="195"/>
      <c r="AB909" s="172"/>
    </row>
    <row r="910" spans="1:28" ht="12.75" customHeight="1" x14ac:dyDescent="0.3">
      <c r="A910" s="667"/>
      <c r="B910" s="668" t="s">
        <v>5875</v>
      </c>
      <c r="C910" s="160" t="s">
        <v>5876</v>
      </c>
      <c r="D910" s="160"/>
      <c r="E910" s="439"/>
      <c r="F910" s="161">
        <v>465.96617155400003</v>
      </c>
      <c r="G910" s="161">
        <v>-78.709000000000003</v>
      </c>
      <c r="H910" s="654">
        <v>560.92165093999995</v>
      </c>
      <c r="I910" s="654"/>
      <c r="J910" s="191"/>
      <c r="K910" s="191">
        <v>19138.592697783199</v>
      </c>
      <c r="L910" s="191"/>
      <c r="M910" s="191"/>
      <c r="N910" s="191"/>
      <c r="O910" s="191"/>
      <c r="P910" s="191"/>
      <c r="Q910" s="191"/>
      <c r="R910" s="191"/>
      <c r="S910" s="191"/>
      <c r="T910" s="191"/>
      <c r="U910" s="439"/>
      <c r="V910" s="441"/>
      <c r="W910" s="178"/>
      <c r="X910" s="172"/>
      <c r="Y910" s="172"/>
      <c r="Z910" s="172"/>
      <c r="AA910" s="195"/>
      <c r="AB910" s="172"/>
    </row>
    <row r="911" spans="1:28" ht="12.75" customHeight="1" x14ac:dyDescent="0.3">
      <c r="A911" s="667"/>
      <c r="B911" s="668" t="s">
        <v>5877</v>
      </c>
      <c r="C911" s="160" t="s">
        <v>5878</v>
      </c>
      <c r="D911" s="160"/>
      <c r="E911" s="439"/>
      <c r="F911" s="161">
        <v>565.95978420599999</v>
      </c>
      <c r="G911" s="161">
        <v>-80.61</v>
      </c>
      <c r="H911" s="654">
        <v>309.67234228000001</v>
      </c>
      <c r="I911" s="654"/>
      <c r="J911" s="191"/>
      <c r="K911" s="191">
        <v>182498.794474895</v>
      </c>
      <c r="L911" s="191"/>
      <c r="M911" s="191"/>
      <c r="N911" s="191"/>
      <c r="O911" s="191"/>
      <c r="P911" s="191"/>
      <c r="Q911" s="191"/>
      <c r="R911" s="191"/>
      <c r="S911" s="191"/>
      <c r="T911" s="191"/>
      <c r="U911" s="439"/>
      <c r="V911" s="441"/>
      <c r="W911" s="178"/>
      <c r="X911" s="172"/>
      <c r="Y911" s="172"/>
      <c r="Z911" s="172"/>
      <c r="AA911" s="195"/>
      <c r="AB911" s="172"/>
    </row>
    <row r="912" spans="1:28" ht="12.75" customHeight="1" x14ac:dyDescent="0.3">
      <c r="A912" s="667"/>
      <c r="B912" s="668" t="s">
        <v>5879</v>
      </c>
      <c r="C912" s="160" t="s">
        <v>5880</v>
      </c>
      <c r="D912" s="160"/>
      <c r="E912" s="439"/>
      <c r="F912" s="161">
        <v>665.95339685800002</v>
      </c>
      <c r="G912" s="161">
        <v>-93.843999999999994</v>
      </c>
      <c r="H912" s="654">
        <v>170.96280025999999</v>
      </c>
      <c r="I912" s="654"/>
      <c r="J912" s="191"/>
      <c r="K912" s="191">
        <v>220602.28167150501</v>
      </c>
      <c r="L912" s="191"/>
      <c r="M912" s="191"/>
      <c r="N912" s="191"/>
      <c r="O912" s="191"/>
      <c r="P912" s="191"/>
      <c r="Q912" s="191"/>
      <c r="R912" s="191"/>
      <c r="S912" s="191"/>
      <c r="T912" s="191"/>
      <c r="U912" s="439"/>
      <c r="V912" s="441"/>
      <c r="W912" s="178"/>
      <c r="X912" s="172"/>
      <c r="Y912" s="172"/>
      <c r="Z912" s="172"/>
      <c r="AA912" s="195"/>
      <c r="AB912" s="172"/>
    </row>
    <row r="913" spans="1:28" ht="12.75" customHeight="1" x14ac:dyDescent="0.3">
      <c r="A913" s="667"/>
      <c r="B913" s="668" t="s">
        <v>5881</v>
      </c>
      <c r="C913" s="160" t="s">
        <v>5882</v>
      </c>
      <c r="D913" s="160"/>
      <c r="E913" s="439"/>
      <c r="F913" s="161">
        <v>765.94700951000004</v>
      </c>
      <c r="G913" s="161">
        <v>-49.244999999999997</v>
      </c>
      <c r="H913" s="654">
        <v>94.384776611999996</v>
      </c>
      <c r="I913" s="654"/>
      <c r="J913" s="191"/>
      <c r="K913" s="191">
        <v>256235.91379592099</v>
      </c>
      <c r="L913" s="191"/>
      <c r="M913" s="191"/>
      <c r="N913" s="191"/>
      <c r="O913" s="191"/>
      <c r="P913" s="191"/>
      <c r="Q913" s="191"/>
      <c r="R913" s="191"/>
      <c r="S913" s="191"/>
      <c r="T913" s="191"/>
      <c r="U913" s="439"/>
      <c r="V913" s="441"/>
      <c r="W913" s="178"/>
      <c r="X913" s="172"/>
      <c r="Y913" s="172"/>
      <c r="Z913" s="172"/>
      <c r="AA913" s="195"/>
      <c r="AB913" s="172"/>
    </row>
    <row r="914" spans="1:28" ht="12.75" customHeight="1" x14ac:dyDescent="0.3">
      <c r="A914" s="667"/>
      <c r="B914" s="668" t="s">
        <v>5883</v>
      </c>
      <c r="C914" s="160" t="s">
        <v>5884</v>
      </c>
      <c r="D914" s="160"/>
      <c r="E914" s="439"/>
      <c r="F914" s="161">
        <v>365.972558902</v>
      </c>
      <c r="G914" s="161">
        <v>-80.590999999999994</v>
      </c>
      <c r="H914" s="654">
        <v>1962.9131382</v>
      </c>
      <c r="I914" s="654"/>
      <c r="J914" s="191"/>
      <c r="K914" s="191">
        <v>4327.5291306569497</v>
      </c>
      <c r="L914" s="191"/>
      <c r="M914" s="191"/>
      <c r="N914" s="191"/>
      <c r="O914" s="191"/>
      <c r="P914" s="191"/>
      <c r="Q914" s="191"/>
      <c r="R914" s="191"/>
      <c r="S914" s="191"/>
      <c r="T914" s="191"/>
      <c r="U914" s="439"/>
      <c r="V914" s="441"/>
      <c r="W914" s="178"/>
      <c r="X914" s="172"/>
      <c r="Y914" s="172"/>
      <c r="Z914" s="172"/>
      <c r="AA914" s="195"/>
      <c r="AB914" s="172"/>
    </row>
    <row r="915" spans="1:28" ht="12.75" customHeight="1" x14ac:dyDescent="0.3">
      <c r="A915" s="667"/>
      <c r="B915" s="668" t="s">
        <v>5885</v>
      </c>
      <c r="C915" s="160" t="s">
        <v>5886</v>
      </c>
      <c r="D915" s="160"/>
      <c r="E915" s="439"/>
      <c r="F915" s="161">
        <v>315.97575257599999</v>
      </c>
      <c r="G915" s="161">
        <v>-92.323999999999998</v>
      </c>
      <c r="H915" s="654">
        <v>2641.8154266000001</v>
      </c>
      <c r="I915" s="654"/>
      <c r="J915" s="191"/>
      <c r="K915" s="191">
        <v>1417.9796560211901</v>
      </c>
      <c r="L915" s="191"/>
      <c r="M915" s="191"/>
      <c r="N915" s="191"/>
      <c r="O915" s="191"/>
      <c r="P915" s="191"/>
      <c r="Q915" s="191"/>
      <c r="R915" s="191"/>
      <c r="S915" s="191"/>
      <c r="T915" s="191"/>
      <c r="U915" s="439"/>
      <c r="V915" s="441"/>
      <c r="W915" s="178"/>
      <c r="X915" s="172"/>
      <c r="Y915" s="172"/>
      <c r="Z915" s="172"/>
      <c r="AA915" s="195"/>
      <c r="AB915" s="172"/>
    </row>
    <row r="916" spans="1:28" ht="12.75" customHeight="1" x14ac:dyDescent="0.3">
      <c r="A916" s="667"/>
      <c r="B916" s="668" t="s">
        <v>4095</v>
      </c>
      <c r="C916" s="160" t="s">
        <v>5887</v>
      </c>
      <c r="D916" s="160"/>
      <c r="E916" s="439">
        <v>0.54</v>
      </c>
      <c r="F916" s="161">
        <v>663.95773334700004</v>
      </c>
      <c r="G916" s="161">
        <v>0.26400000000000001</v>
      </c>
      <c r="H916" s="654">
        <v>2.1033012042000001</v>
      </c>
      <c r="I916" s="654"/>
      <c r="J916" s="191"/>
      <c r="K916" s="191">
        <v>224884.74697905401</v>
      </c>
      <c r="L916" s="191"/>
      <c r="M916" s="191"/>
      <c r="N916" s="191"/>
      <c r="O916" s="191"/>
      <c r="P916" s="191"/>
      <c r="Q916" s="191"/>
      <c r="R916" s="191"/>
      <c r="S916" s="191"/>
      <c r="T916" s="191"/>
      <c r="U916" s="439"/>
      <c r="V916" s="441"/>
      <c r="W916" s="178"/>
      <c r="X916" s="172"/>
      <c r="Y916" s="172"/>
      <c r="Z916" s="172"/>
      <c r="AA916" s="195"/>
      <c r="AB916" s="172"/>
    </row>
    <row r="917" spans="1:28" ht="12.75" customHeight="1" x14ac:dyDescent="0.3">
      <c r="A917" s="667"/>
      <c r="B917" s="668" t="s">
        <v>4086</v>
      </c>
      <c r="C917" s="160" t="s">
        <v>5888</v>
      </c>
      <c r="D917" s="160"/>
      <c r="E917" s="439">
        <v>0.4</v>
      </c>
      <c r="F917" s="161">
        <v>513.96731436899995</v>
      </c>
      <c r="G917" s="161">
        <v>5.9809999999999999</v>
      </c>
      <c r="H917" s="654">
        <v>5.6872498760000001</v>
      </c>
      <c r="I917" s="654"/>
      <c r="J917" s="191"/>
      <c r="K917" s="191">
        <v>14154.3522694516</v>
      </c>
      <c r="L917" s="191"/>
      <c r="M917" s="191"/>
      <c r="N917" s="191"/>
      <c r="O917" s="191"/>
      <c r="P917" s="191"/>
      <c r="Q917" s="191"/>
      <c r="R917" s="191"/>
      <c r="S917" s="191"/>
      <c r="T917" s="191"/>
      <c r="U917" s="439"/>
      <c r="V917" s="441"/>
      <c r="W917" s="178"/>
      <c r="X917" s="172"/>
      <c r="Y917" s="172"/>
      <c r="Z917" s="172"/>
      <c r="AA917" s="195"/>
      <c r="AB917" s="172"/>
    </row>
    <row r="918" spans="1:28" ht="12.75" customHeight="1" x14ac:dyDescent="0.3">
      <c r="A918" s="667"/>
      <c r="B918" s="668" t="s">
        <v>4083</v>
      </c>
      <c r="C918" s="160" t="s">
        <v>5889</v>
      </c>
      <c r="D918" s="160"/>
      <c r="E918" s="439">
        <v>0.23</v>
      </c>
      <c r="F918" s="161">
        <v>463.970508043</v>
      </c>
      <c r="G918" s="161">
        <v>4.7080000000000002</v>
      </c>
      <c r="H918" s="654">
        <v>8.9929422016</v>
      </c>
      <c r="I918" s="654">
        <v>0.88407724425561396</v>
      </c>
      <c r="J918" s="191"/>
      <c r="K918" s="191">
        <v>3449.2923085864099</v>
      </c>
      <c r="L918" s="191"/>
      <c r="M918" s="191"/>
      <c r="N918" s="191"/>
      <c r="O918" s="191"/>
      <c r="P918" s="191"/>
      <c r="Q918" s="191"/>
      <c r="R918" s="191"/>
      <c r="S918" s="191"/>
      <c r="T918" s="191"/>
      <c r="U918" s="439"/>
      <c r="V918" s="441"/>
      <c r="W918" s="178"/>
      <c r="X918" s="172"/>
      <c r="Y918" s="172"/>
      <c r="Z918" s="172"/>
      <c r="AA918" s="195"/>
      <c r="AB918" s="172"/>
    </row>
    <row r="919" spans="1:28" ht="12.75" customHeight="1" x14ac:dyDescent="0.3">
      <c r="A919" s="667"/>
      <c r="B919" s="668" t="s">
        <v>4077</v>
      </c>
      <c r="C919" s="160" t="s">
        <v>5890</v>
      </c>
      <c r="D919" s="160"/>
      <c r="E919" s="439">
        <v>0.06</v>
      </c>
      <c r="F919" s="161">
        <v>363.97689539100003</v>
      </c>
      <c r="G919" s="161">
        <v>-7.6999999999999999E-2</v>
      </c>
      <c r="H919" s="654">
        <v>79.965335701999905</v>
      </c>
      <c r="I919" s="654">
        <v>4.2862283178139498</v>
      </c>
      <c r="J919" s="191"/>
      <c r="K919" s="191">
        <v>114.65156836610799</v>
      </c>
      <c r="L919" s="191"/>
      <c r="M919" s="191"/>
      <c r="N919" s="191"/>
      <c r="O919" s="191"/>
      <c r="P919" s="191"/>
      <c r="Q919" s="191"/>
      <c r="R919" s="191"/>
      <c r="S919" s="191"/>
      <c r="T919" s="191"/>
      <c r="U919" s="439"/>
      <c r="V919" s="441"/>
      <c r="W919" s="178"/>
      <c r="X919" s="172"/>
      <c r="Y919" s="172"/>
      <c r="Z919" s="172"/>
      <c r="AA919" s="195"/>
      <c r="AB919" s="172"/>
    </row>
    <row r="920" spans="1:28" ht="12.75" customHeight="1" x14ac:dyDescent="0.3">
      <c r="A920" s="667"/>
      <c r="B920" s="668" t="s">
        <v>4074</v>
      </c>
      <c r="C920" s="160" t="s">
        <v>5891</v>
      </c>
      <c r="D920" s="160"/>
      <c r="E920" s="439">
        <v>0.2</v>
      </c>
      <c r="F920" s="161">
        <v>313.98008906500002</v>
      </c>
      <c r="G920" s="161">
        <v>11.557</v>
      </c>
      <c r="H920" s="654">
        <v>121.311420986</v>
      </c>
      <c r="I920" s="654">
        <v>31.543067707647999</v>
      </c>
      <c r="J920" s="191"/>
      <c r="K920" s="191">
        <v>708.67971198729094</v>
      </c>
      <c r="L920" s="191"/>
      <c r="M920" s="191"/>
      <c r="N920" s="191"/>
      <c r="O920" s="191"/>
      <c r="P920" s="191"/>
      <c r="Q920" s="191"/>
      <c r="R920" s="191"/>
      <c r="S920" s="191"/>
      <c r="T920" s="191"/>
      <c r="U920" s="439"/>
      <c r="V920" s="441"/>
      <c r="W920" s="178"/>
      <c r="X920" s="172"/>
      <c r="Y920" s="172"/>
      <c r="Z920" s="172"/>
      <c r="AA920" s="195"/>
      <c r="AB920" s="172"/>
    </row>
    <row r="921" spans="1:28" ht="12.75" customHeight="1" x14ac:dyDescent="0.3">
      <c r="A921" s="667"/>
      <c r="B921" s="668" t="s">
        <v>4055</v>
      </c>
      <c r="C921" s="160" t="s">
        <v>5892</v>
      </c>
      <c r="D921" s="160"/>
      <c r="E921" s="439">
        <v>-0.8</v>
      </c>
      <c r="F921" s="161">
        <v>263.983282739</v>
      </c>
      <c r="G921" s="161">
        <v>25.277000000000001</v>
      </c>
      <c r="H921" s="654">
        <v>122.99901086200001</v>
      </c>
      <c r="I921" s="654">
        <v>73.548910370478197</v>
      </c>
      <c r="J921" s="191"/>
      <c r="K921" s="191">
        <v>22.544468448183501</v>
      </c>
      <c r="L921" s="191"/>
      <c r="M921" s="191"/>
      <c r="N921" s="191"/>
      <c r="O921" s="191"/>
      <c r="P921" s="191"/>
      <c r="Q921" s="191"/>
      <c r="R921" s="191"/>
      <c r="S921" s="191"/>
      <c r="T921" s="191"/>
      <c r="U921" s="439"/>
      <c r="V921" s="441"/>
      <c r="W921" s="178"/>
      <c r="X921" s="172"/>
      <c r="Y921" s="172"/>
      <c r="Z921" s="172"/>
      <c r="AA921" s="195"/>
      <c r="AB921" s="172"/>
    </row>
    <row r="922" spans="1:28" ht="12.75" customHeight="1" x14ac:dyDescent="0.3">
      <c r="A922" s="667"/>
      <c r="B922" s="668" t="s">
        <v>5893</v>
      </c>
      <c r="C922" s="160" t="s">
        <v>5894</v>
      </c>
      <c r="D922" s="160"/>
      <c r="E922" s="439">
        <v>-0.21</v>
      </c>
      <c r="F922" s="161">
        <v>213.98647641299999</v>
      </c>
      <c r="G922" s="161">
        <v>13.541</v>
      </c>
      <c r="H922" s="654">
        <v>522.27826923999999</v>
      </c>
      <c r="I922" s="654">
        <v>327.63255417118</v>
      </c>
      <c r="J922" s="191"/>
      <c r="K922" s="191">
        <v>27.032113360127799</v>
      </c>
      <c r="L922" s="191"/>
      <c r="M922" s="191"/>
      <c r="N922" s="191"/>
      <c r="O922" s="191"/>
      <c r="P922" s="191"/>
      <c r="Q922" s="191"/>
      <c r="R922" s="191"/>
      <c r="S922" s="191"/>
      <c r="T922" s="191"/>
      <c r="U922" s="439"/>
      <c r="V922" s="441"/>
      <c r="W922" s="178"/>
      <c r="X922" s="172"/>
      <c r="Y922" s="172"/>
      <c r="Z922" s="172"/>
      <c r="AA922" s="195"/>
      <c r="AB922" s="172"/>
    </row>
    <row r="923" spans="1:28" ht="12.75" customHeight="1" x14ac:dyDescent="0.3">
      <c r="A923" s="667"/>
      <c r="B923" s="668" t="s">
        <v>5895</v>
      </c>
      <c r="C923" s="160" t="s">
        <v>5896</v>
      </c>
      <c r="D923" s="160"/>
      <c r="E923" s="439">
        <v>3.05</v>
      </c>
      <c r="F923" s="161">
        <v>361.05489032700001</v>
      </c>
      <c r="G923" s="161"/>
      <c r="H923" s="654"/>
      <c r="I923" s="654"/>
      <c r="J923" s="191"/>
      <c r="K923" s="191">
        <v>2401.2644980181199</v>
      </c>
      <c r="L923" s="191"/>
      <c r="M923" s="191"/>
      <c r="N923" s="191"/>
      <c r="O923" s="191"/>
      <c r="P923" s="191"/>
      <c r="Q923" s="191"/>
      <c r="R923" s="191"/>
      <c r="S923" s="191"/>
      <c r="T923" s="191"/>
      <c r="U923" s="439"/>
      <c r="V923" s="441"/>
      <c r="W923" s="178"/>
      <c r="X923" s="172"/>
      <c r="Y923" s="172"/>
      <c r="Z923" s="172"/>
      <c r="AA923" s="195"/>
      <c r="AB923" s="172"/>
    </row>
    <row r="924" spans="1:28" ht="12.75" customHeight="1" x14ac:dyDescent="0.3">
      <c r="A924" s="667"/>
      <c r="B924" s="668" t="s">
        <v>5897</v>
      </c>
      <c r="C924" s="160" t="s">
        <v>5898</v>
      </c>
      <c r="D924" s="160"/>
      <c r="E924" s="439">
        <v>-0.17</v>
      </c>
      <c r="F924" s="161">
        <v>413.97370171699998</v>
      </c>
      <c r="G924" s="161"/>
      <c r="H924" s="654"/>
      <c r="I924" s="654"/>
      <c r="J924" s="191"/>
      <c r="K924" s="191">
        <v>8044.8879577725402</v>
      </c>
      <c r="L924" s="191"/>
      <c r="M924" s="191"/>
      <c r="N924" s="191"/>
      <c r="O924" s="191"/>
      <c r="P924" s="191"/>
      <c r="Q924" s="191"/>
      <c r="R924" s="191"/>
      <c r="S924" s="191"/>
      <c r="T924" s="191"/>
      <c r="U924" s="439"/>
      <c r="V924" s="441"/>
      <c r="W924" s="178"/>
      <c r="X924" s="172"/>
      <c r="Y924" s="172"/>
      <c r="Z924" s="172"/>
      <c r="AA924" s="195"/>
      <c r="AB924" s="172"/>
    </row>
    <row r="925" spans="1:28" ht="12.75" customHeight="1" x14ac:dyDescent="0.3">
      <c r="A925" s="667"/>
      <c r="B925" s="668" t="s">
        <v>5899</v>
      </c>
      <c r="C925" s="160" t="s">
        <v>5900</v>
      </c>
      <c r="D925" s="160"/>
      <c r="E925" s="439">
        <v>0.13</v>
      </c>
      <c r="F925" s="161">
        <v>413.97370171699998</v>
      </c>
      <c r="G925" s="161"/>
      <c r="H925" s="654"/>
      <c r="I925" s="654"/>
      <c r="J925" s="191"/>
      <c r="K925" s="191">
        <v>8148.3560941990299</v>
      </c>
      <c r="L925" s="191"/>
      <c r="M925" s="191"/>
      <c r="N925" s="191"/>
      <c r="O925" s="191"/>
      <c r="P925" s="191"/>
      <c r="Q925" s="191"/>
      <c r="R925" s="191"/>
      <c r="S925" s="191"/>
      <c r="T925" s="191"/>
      <c r="U925" s="439"/>
      <c r="V925" s="441"/>
      <c r="W925" s="178"/>
      <c r="X925" s="172"/>
      <c r="Y925" s="172"/>
      <c r="Z925" s="172"/>
      <c r="AA925" s="195"/>
      <c r="AB925" s="172"/>
    </row>
    <row r="926" spans="1:28" ht="12.75" customHeight="1" x14ac:dyDescent="0.3">
      <c r="A926" s="667"/>
      <c r="B926" s="668" t="s">
        <v>5901</v>
      </c>
      <c r="C926" s="160" t="s">
        <v>5902</v>
      </c>
      <c r="D926" s="160"/>
      <c r="E926" s="439">
        <v>0.21</v>
      </c>
      <c r="F926" s="161">
        <v>413.97370171699998</v>
      </c>
      <c r="G926" s="161"/>
      <c r="H926" s="654"/>
      <c r="I926" s="654"/>
      <c r="J926" s="191"/>
      <c r="K926" s="191">
        <v>7878.4357931938302</v>
      </c>
      <c r="L926" s="191"/>
      <c r="M926" s="191"/>
      <c r="N926" s="191"/>
      <c r="O926" s="191"/>
      <c r="P926" s="191"/>
      <c r="Q926" s="191"/>
      <c r="R926" s="191"/>
      <c r="S926" s="191"/>
      <c r="T926" s="191"/>
      <c r="U926" s="439"/>
      <c r="V926" s="441"/>
      <c r="W926" s="178"/>
      <c r="X926" s="172"/>
      <c r="Y926" s="172"/>
      <c r="Z926" s="172"/>
      <c r="AA926" s="195"/>
      <c r="AB926" s="172"/>
    </row>
    <row r="927" spans="1:28" ht="12.75" customHeight="1" x14ac:dyDescent="0.3">
      <c r="A927" s="667"/>
      <c r="B927" s="668" t="s">
        <v>5903</v>
      </c>
      <c r="C927" s="160" t="s">
        <v>5904</v>
      </c>
      <c r="D927" s="160"/>
      <c r="E927" s="439">
        <v>0.39</v>
      </c>
      <c r="F927" s="161">
        <v>413.97370171699998</v>
      </c>
      <c r="G927" s="161"/>
      <c r="H927" s="654"/>
      <c r="I927" s="654"/>
      <c r="J927" s="191"/>
      <c r="K927" s="191">
        <v>107671.31074439699</v>
      </c>
      <c r="L927" s="191"/>
      <c r="M927" s="191"/>
      <c r="N927" s="191"/>
      <c r="O927" s="191"/>
      <c r="P927" s="191"/>
      <c r="Q927" s="191"/>
      <c r="R927" s="191"/>
      <c r="S927" s="191"/>
      <c r="T927" s="191"/>
      <c r="U927" s="439"/>
      <c r="V927" s="441"/>
      <c r="W927" s="178"/>
      <c r="X927" s="172"/>
      <c r="Y927" s="172"/>
      <c r="Z927" s="172"/>
      <c r="AA927" s="195"/>
      <c r="AB927" s="172"/>
    </row>
    <row r="928" spans="1:28" ht="12.75" customHeight="1" x14ac:dyDescent="0.3">
      <c r="A928" s="667"/>
      <c r="B928" s="668" t="s">
        <v>5905</v>
      </c>
      <c r="C928" s="160" t="s">
        <v>5906</v>
      </c>
      <c r="D928" s="160"/>
      <c r="E928" s="439">
        <v>-0.03</v>
      </c>
      <c r="F928" s="161">
        <v>413.97370171699998</v>
      </c>
      <c r="G928" s="161"/>
      <c r="H928" s="654"/>
      <c r="I928" s="654"/>
      <c r="J928" s="191"/>
      <c r="K928" s="191">
        <v>8123.2533812844604</v>
      </c>
      <c r="L928" s="191"/>
      <c r="M928" s="191"/>
      <c r="N928" s="191"/>
      <c r="O928" s="191"/>
      <c r="P928" s="191"/>
      <c r="Q928" s="191"/>
      <c r="R928" s="191"/>
      <c r="S928" s="191"/>
      <c r="T928" s="191"/>
      <c r="U928" s="439"/>
      <c r="V928" s="441"/>
      <c r="W928" s="178"/>
      <c r="X928" s="172"/>
      <c r="Y928" s="172"/>
      <c r="Z928" s="172"/>
      <c r="AA928" s="195"/>
      <c r="AB928" s="172"/>
    </row>
    <row r="929" spans="1:28" ht="12.75" customHeight="1" x14ac:dyDescent="0.3">
      <c r="A929" s="667"/>
      <c r="B929" s="668" t="s">
        <v>5907</v>
      </c>
      <c r="C929" s="160" t="s">
        <v>5908</v>
      </c>
      <c r="D929" s="160"/>
      <c r="E929" s="439">
        <v>-0.17</v>
      </c>
      <c r="F929" s="161">
        <v>413.97370171699998</v>
      </c>
      <c r="G929" s="161"/>
      <c r="H929" s="654"/>
      <c r="I929" s="654"/>
      <c r="J929" s="191"/>
      <c r="K929" s="191">
        <v>8050.6324598621604</v>
      </c>
      <c r="L929" s="191"/>
      <c r="M929" s="191"/>
      <c r="N929" s="191"/>
      <c r="O929" s="191"/>
      <c r="P929" s="191"/>
      <c r="Q929" s="191"/>
      <c r="R929" s="191"/>
      <c r="S929" s="191"/>
      <c r="T929" s="191"/>
      <c r="U929" s="439"/>
      <c r="V929" s="441"/>
      <c r="W929" s="178"/>
      <c r="X929" s="172"/>
      <c r="Y929" s="172"/>
      <c r="Z929" s="172"/>
      <c r="AA929" s="195"/>
      <c r="AB929" s="172"/>
    </row>
    <row r="930" spans="1:28" ht="12.75" customHeight="1" x14ac:dyDescent="0.3">
      <c r="A930" s="667"/>
      <c r="B930" s="668" t="s">
        <v>5909</v>
      </c>
      <c r="C930" s="160" t="s">
        <v>5910</v>
      </c>
      <c r="D930" s="160"/>
      <c r="E930" s="439">
        <v>0.68</v>
      </c>
      <c r="F930" s="161">
        <v>413.97370171699998</v>
      </c>
      <c r="G930" s="161"/>
      <c r="H930" s="654"/>
      <c r="I930" s="654"/>
      <c r="J930" s="191"/>
      <c r="K930" s="191">
        <v>7741.9435436241602</v>
      </c>
      <c r="L930" s="191"/>
      <c r="M930" s="191"/>
      <c r="N930" s="191"/>
      <c r="O930" s="191"/>
      <c r="P930" s="191"/>
      <c r="Q930" s="191"/>
      <c r="R930" s="191"/>
      <c r="S930" s="191"/>
      <c r="T930" s="191"/>
      <c r="U930" s="439"/>
      <c r="V930" s="441"/>
      <c r="W930" s="178"/>
      <c r="X930" s="172"/>
      <c r="Y930" s="172"/>
      <c r="Z930" s="172"/>
      <c r="AA930" s="195"/>
      <c r="AB930" s="172"/>
    </row>
    <row r="931" spans="1:28" ht="12.75" customHeight="1" x14ac:dyDescent="0.3">
      <c r="A931" s="667"/>
      <c r="B931" s="668" t="s">
        <v>5911</v>
      </c>
      <c r="C931" s="160" t="s">
        <v>5912</v>
      </c>
      <c r="D931" s="160"/>
      <c r="E931" s="439">
        <v>0.13</v>
      </c>
      <c r="F931" s="161">
        <v>413.97370171699998</v>
      </c>
      <c r="G931" s="161"/>
      <c r="H931" s="654"/>
      <c r="I931" s="654"/>
      <c r="J931" s="191"/>
      <c r="K931" s="191">
        <v>7700.8736875845698</v>
      </c>
      <c r="L931" s="191"/>
      <c r="M931" s="191"/>
      <c r="N931" s="191"/>
      <c r="O931" s="191"/>
      <c r="P931" s="191"/>
      <c r="Q931" s="191"/>
      <c r="R931" s="191"/>
      <c r="S931" s="191"/>
      <c r="T931" s="191"/>
      <c r="U931" s="439"/>
      <c r="V931" s="441"/>
      <c r="W931" s="178"/>
      <c r="X931" s="172"/>
      <c r="Y931" s="172"/>
      <c r="Z931" s="172"/>
      <c r="AA931" s="195"/>
      <c r="AB931" s="172"/>
    </row>
    <row r="932" spans="1:28" ht="12.75" customHeight="1" x14ac:dyDescent="0.3">
      <c r="A932" s="667"/>
      <c r="B932" s="668" t="s">
        <v>5913</v>
      </c>
      <c r="C932" s="160" t="s">
        <v>5914</v>
      </c>
      <c r="D932" s="160"/>
      <c r="E932" s="439">
        <v>0.39</v>
      </c>
      <c r="F932" s="161">
        <v>413.97370171699998</v>
      </c>
      <c r="G932" s="161"/>
      <c r="H932" s="654"/>
      <c r="I932" s="654"/>
      <c r="J932" s="191"/>
      <c r="K932" s="191">
        <v>7021.6632917104798</v>
      </c>
      <c r="L932" s="191"/>
      <c r="M932" s="191"/>
      <c r="N932" s="191"/>
      <c r="O932" s="191"/>
      <c r="P932" s="191"/>
      <c r="Q932" s="191"/>
      <c r="R932" s="191"/>
      <c r="S932" s="191"/>
      <c r="T932" s="191"/>
      <c r="U932" s="439"/>
      <c r="V932" s="441"/>
      <c r="W932" s="178"/>
      <c r="X932" s="172"/>
      <c r="Y932" s="172"/>
      <c r="Z932" s="172"/>
      <c r="AA932" s="195"/>
      <c r="AB932" s="172"/>
    </row>
    <row r="933" spans="1:28" ht="12.75" customHeight="1" x14ac:dyDescent="0.3">
      <c r="A933" s="667"/>
      <c r="B933" s="668" t="s">
        <v>5915</v>
      </c>
      <c r="C933" s="160" t="s">
        <v>5916</v>
      </c>
      <c r="D933" s="160"/>
      <c r="E933" s="439">
        <v>0.19</v>
      </c>
      <c r="F933" s="161">
        <v>413.97370171699998</v>
      </c>
      <c r="G933" s="161"/>
      <c r="H933" s="654"/>
      <c r="I933" s="654"/>
      <c r="J933" s="191"/>
      <c r="K933" s="191">
        <v>5412.2768048545804</v>
      </c>
      <c r="L933" s="191"/>
      <c r="M933" s="191"/>
      <c r="N933" s="191"/>
      <c r="O933" s="191"/>
      <c r="P933" s="191"/>
      <c r="Q933" s="191"/>
      <c r="R933" s="191"/>
      <c r="S933" s="191"/>
      <c r="T933" s="191"/>
      <c r="U933" s="439"/>
      <c r="V933" s="441"/>
      <c r="W933" s="178"/>
      <c r="X933" s="172"/>
      <c r="Y933" s="172"/>
      <c r="Z933" s="172"/>
      <c r="AA933" s="195"/>
      <c r="AB933" s="172"/>
    </row>
    <row r="934" spans="1:28" ht="12.75" customHeight="1" x14ac:dyDescent="0.3">
      <c r="A934" s="667"/>
      <c r="B934" s="668" t="s">
        <v>5917</v>
      </c>
      <c r="C934" s="160" t="s">
        <v>5918</v>
      </c>
      <c r="D934" s="160"/>
      <c r="E934" s="439">
        <v>0.13</v>
      </c>
      <c r="F934" s="161">
        <v>413.97370171699998</v>
      </c>
      <c r="G934" s="161"/>
      <c r="H934" s="654"/>
      <c r="I934" s="654"/>
      <c r="J934" s="191"/>
      <c r="K934" s="191">
        <v>8147.6056374283698</v>
      </c>
      <c r="L934" s="191"/>
      <c r="M934" s="191"/>
      <c r="N934" s="191"/>
      <c r="O934" s="191"/>
      <c r="P934" s="191"/>
      <c r="Q934" s="191"/>
      <c r="R934" s="191"/>
      <c r="S934" s="191"/>
      <c r="T934" s="191"/>
      <c r="U934" s="439"/>
      <c r="V934" s="441"/>
      <c r="W934" s="178"/>
      <c r="X934" s="172"/>
      <c r="Y934" s="172"/>
      <c r="Z934" s="172"/>
      <c r="AA934" s="195"/>
      <c r="AB934" s="172"/>
    </row>
    <row r="935" spans="1:28" ht="12.75" customHeight="1" x14ac:dyDescent="0.3">
      <c r="A935" s="667"/>
      <c r="B935" s="668" t="s">
        <v>5919</v>
      </c>
      <c r="C935" s="160" t="s">
        <v>5920</v>
      </c>
      <c r="D935" s="160"/>
      <c r="E935" s="439">
        <v>0.39</v>
      </c>
      <c r="F935" s="161">
        <v>413.97370171699998</v>
      </c>
      <c r="G935" s="161"/>
      <c r="H935" s="654"/>
      <c r="I935" s="654"/>
      <c r="J935" s="191"/>
      <c r="K935" s="191">
        <v>7140.3582173548702</v>
      </c>
      <c r="L935" s="191"/>
      <c r="M935" s="191"/>
      <c r="N935" s="191"/>
      <c r="O935" s="191"/>
      <c r="P935" s="191"/>
      <c r="Q935" s="191"/>
      <c r="R935" s="191"/>
      <c r="S935" s="191"/>
      <c r="T935" s="191"/>
      <c r="U935" s="439"/>
      <c r="V935" s="441"/>
      <c r="W935" s="178"/>
      <c r="X935" s="172"/>
      <c r="Y935" s="172"/>
      <c r="Z935" s="172"/>
      <c r="AA935" s="195"/>
      <c r="AB935" s="172"/>
    </row>
    <row r="936" spans="1:28" ht="12.75" customHeight="1" x14ac:dyDescent="0.3">
      <c r="A936" s="667"/>
      <c r="B936" s="668" t="s">
        <v>5921</v>
      </c>
      <c r="C936" s="160" t="s">
        <v>5922</v>
      </c>
      <c r="D936" s="160"/>
      <c r="E936" s="439">
        <v>0.21</v>
      </c>
      <c r="F936" s="161">
        <v>413.97370171699998</v>
      </c>
      <c r="G936" s="161"/>
      <c r="H936" s="654"/>
      <c r="I936" s="654"/>
      <c r="J936" s="191"/>
      <c r="K936" s="191">
        <v>6996.1642995653501</v>
      </c>
      <c r="L936" s="191"/>
      <c r="M936" s="191"/>
      <c r="N936" s="191"/>
      <c r="O936" s="191"/>
      <c r="P936" s="191"/>
      <c r="Q936" s="191"/>
      <c r="R936" s="191"/>
      <c r="S936" s="191"/>
      <c r="T936" s="191"/>
      <c r="U936" s="439"/>
      <c r="V936" s="441"/>
      <c r="W936" s="178"/>
      <c r="X936" s="172"/>
      <c r="Y936" s="172"/>
      <c r="Z936" s="172"/>
      <c r="AA936" s="195"/>
      <c r="AB936" s="172"/>
    </row>
    <row r="937" spans="1:28" ht="12.75" customHeight="1" x14ac:dyDescent="0.3">
      <c r="A937" s="667"/>
      <c r="B937" s="668" t="s">
        <v>5923</v>
      </c>
      <c r="C937" s="160" t="s">
        <v>5924</v>
      </c>
      <c r="D937" s="160"/>
      <c r="E937" s="439">
        <v>0.62</v>
      </c>
      <c r="F937" s="161">
        <v>413.97370171699998</v>
      </c>
      <c r="G937" s="161"/>
      <c r="H937" s="654"/>
      <c r="I937" s="654"/>
      <c r="J937" s="191"/>
      <c r="K937" s="191">
        <v>5439.0117871859802</v>
      </c>
      <c r="L937" s="191"/>
      <c r="M937" s="191"/>
      <c r="N937" s="191"/>
      <c r="O937" s="191"/>
      <c r="P937" s="191"/>
      <c r="Q937" s="191"/>
      <c r="R937" s="191"/>
      <c r="S937" s="191"/>
      <c r="T937" s="191"/>
      <c r="U937" s="439"/>
      <c r="V937" s="441"/>
      <c r="W937" s="178"/>
      <c r="X937" s="172"/>
      <c r="Y937" s="172"/>
      <c r="Z937" s="172"/>
      <c r="AA937" s="195"/>
      <c r="AB937" s="172"/>
    </row>
    <row r="938" spans="1:28" ht="12.75" customHeight="1" x14ac:dyDescent="0.3">
      <c r="A938" s="667"/>
      <c r="B938" s="668" t="s">
        <v>5925</v>
      </c>
      <c r="C938" s="160" t="s">
        <v>5926</v>
      </c>
      <c r="D938" s="160"/>
      <c r="E938" s="439">
        <v>-0.03</v>
      </c>
      <c r="F938" s="161">
        <v>413.97370171699998</v>
      </c>
      <c r="G938" s="161"/>
      <c r="H938" s="654"/>
      <c r="I938" s="654"/>
      <c r="J938" s="191"/>
      <c r="K938" s="191">
        <v>8183.3287782836796</v>
      </c>
      <c r="L938" s="191"/>
      <c r="M938" s="191"/>
      <c r="N938" s="191"/>
      <c r="O938" s="191"/>
      <c r="P938" s="191"/>
      <c r="Q938" s="191"/>
      <c r="R938" s="191"/>
      <c r="S938" s="191"/>
      <c r="T938" s="191"/>
      <c r="U938" s="439"/>
      <c r="V938" s="441"/>
      <c r="W938" s="178"/>
      <c r="X938" s="172"/>
      <c r="Y938" s="172"/>
      <c r="Z938" s="172"/>
      <c r="AA938" s="195"/>
      <c r="AB938" s="172"/>
    </row>
    <row r="939" spans="1:28" ht="12.75" customHeight="1" x14ac:dyDescent="0.3">
      <c r="A939" s="667"/>
      <c r="B939" s="668" t="s">
        <v>5927</v>
      </c>
      <c r="C939" s="160" t="s">
        <v>5928</v>
      </c>
      <c r="D939" s="160"/>
      <c r="E939" s="439">
        <v>-0.03</v>
      </c>
      <c r="F939" s="161">
        <v>413.97370171699998</v>
      </c>
      <c r="G939" s="161"/>
      <c r="H939" s="654"/>
      <c r="I939" s="654"/>
      <c r="J939" s="191"/>
      <c r="K939" s="191">
        <v>7231.6933133970097</v>
      </c>
      <c r="L939" s="191"/>
      <c r="M939" s="191"/>
      <c r="N939" s="191"/>
      <c r="O939" s="191"/>
      <c r="P939" s="191"/>
      <c r="Q939" s="191"/>
      <c r="R939" s="191"/>
      <c r="S939" s="191"/>
      <c r="T939" s="191"/>
      <c r="U939" s="439"/>
      <c r="V939" s="441"/>
      <c r="W939" s="178"/>
      <c r="X939" s="172"/>
      <c r="Y939" s="172"/>
      <c r="Z939" s="172"/>
      <c r="AA939" s="195"/>
      <c r="AB939" s="172"/>
    </row>
    <row r="940" spans="1:28" ht="12.75" customHeight="1" x14ac:dyDescent="0.3">
      <c r="A940" s="667"/>
      <c r="B940" s="668" t="s">
        <v>5929</v>
      </c>
      <c r="C940" s="160" t="s">
        <v>5930</v>
      </c>
      <c r="D940" s="160"/>
      <c r="E940" s="439">
        <v>-0.03</v>
      </c>
      <c r="F940" s="161">
        <v>413.97370171699998</v>
      </c>
      <c r="G940" s="161"/>
      <c r="H940" s="654"/>
      <c r="I940" s="654"/>
      <c r="J940" s="191"/>
      <c r="K940" s="191">
        <v>7735.3505534893802</v>
      </c>
      <c r="L940" s="191"/>
      <c r="M940" s="191"/>
      <c r="N940" s="191"/>
      <c r="O940" s="191"/>
      <c r="P940" s="191"/>
      <c r="Q940" s="191"/>
      <c r="R940" s="191"/>
      <c r="S940" s="191"/>
      <c r="T940" s="191"/>
      <c r="U940" s="439"/>
      <c r="V940" s="441"/>
      <c r="W940" s="178"/>
      <c r="X940" s="172"/>
      <c r="Y940" s="172"/>
      <c r="Z940" s="172"/>
      <c r="AA940" s="195"/>
      <c r="AB940" s="172"/>
    </row>
    <row r="941" spans="1:28" ht="12.75" customHeight="1" x14ac:dyDescent="0.3">
      <c r="A941" s="667"/>
      <c r="B941" s="668" t="s">
        <v>5931</v>
      </c>
      <c r="C941" s="160" t="s">
        <v>5932</v>
      </c>
      <c r="D941" s="160"/>
      <c r="E941" s="439">
        <v>0.82</v>
      </c>
      <c r="F941" s="161">
        <v>413.97370171699998</v>
      </c>
      <c r="G941" s="161"/>
      <c r="H941" s="654"/>
      <c r="I941" s="654"/>
      <c r="J941" s="191"/>
      <c r="K941" s="191">
        <v>7034.1236769809802</v>
      </c>
      <c r="L941" s="191"/>
      <c r="M941" s="191"/>
      <c r="N941" s="191"/>
      <c r="O941" s="191"/>
      <c r="P941" s="191"/>
      <c r="Q941" s="191"/>
      <c r="R941" s="191"/>
      <c r="S941" s="191"/>
      <c r="T941" s="191"/>
      <c r="U941" s="439"/>
      <c r="V941" s="441"/>
      <c r="W941" s="178"/>
      <c r="X941" s="172"/>
      <c r="Y941" s="172"/>
      <c r="Z941" s="172"/>
      <c r="AA941" s="195"/>
      <c r="AB941" s="172"/>
    </row>
    <row r="942" spans="1:28" ht="12.75" customHeight="1" x14ac:dyDescent="0.3">
      <c r="A942" s="667"/>
      <c r="B942" s="668" t="s">
        <v>5933</v>
      </c>
      <c r="C942" s="160" t="s">
        <v>5934</v>
      </c>
      <c r="D942" s="160"/>
      <c r="E942" s="439">
        <v>-0.26</v>
      </c>
      <c r="F942" s="161">
        <v>413.97370171699998</v>
      </c>
      <c r="G942" s="161"/>
      <c r="H942" s="654"/>
      <c r="I942" s="654"/>
      <c r="J942" s="191"/>
      <c r="K942" s="191">
        <v>8109.7973113725102</v>
      </c>
      <c r="L942" s="191"/>
      <c r="M942" s="191"/>
      <c r="N942" s="191"/>
      <c r="O942" s="191"/>
      <c r="P942" s="191"/>
      <c r="Q942" s="191"/>
      <c r="R942" s="191"/>
      <c r="S942" s="191"/>
      <c r="T942" s="191"/>
      <c r="U942" s="439"/>
      <c r="V942" s="441"/>
      <c r="W942" s="178"/>
      <c r="X942" s="172"/>
      <c r="Y942" s="172"/>
      <c r="Z942" s="172"/>
      <c r="AA942" s="195"/>
      <c r="AB942" s="172"/>
    </row>
    <row r="943" spans="1:28" ht="12.75" customHeight="1" x14ac:dyDescent="0.3">
      <c r="A943" s="667"/>
      <c r="B943" s="668" t="s">
        <v>5935</v>
      </c>
      <c r="C943" s="160" t="s">
        <v>5936</v>
      </c>
      <c r="D943" s="160"/>
      <c r="E943" s="439">
        <v>0.64</v>
      </c>
      <c r="F943" s="161">
        <v>413.97370171699998</v>
      </c>
      <c r="G943" s="161"/>
      <c r="H943" s="654"/>
      <c r="I943" s="654"/>
      <c r="J943" s="191"/>
      <c r="K943" s="191">
        <v>7007.9339509676702</v>
      </c>
      <c r="L943" s="191"/>
      <c r="M943" s="191"/>
      <c r="N943" s="191"/>
      <c r="O943" s="191"/>
      <c r="P943" s="191"/>
      <c r="Q943" s="191"/>
      <c r="R943" s="191"/>
      <c r="S943" s="191"/>
      <c r="T943" s="191"/>
      <c r="U943" s="439"/>
      <c r="V943" s="441"/>
      <c r="W943" s="178"/>
      <c r="X943" s="172"/>
      <c r="Y943" s="172"/>
      <c r="Z943" s="172"/>
      <c r="AA943" s="195"/>
      <c r="AB943" s="172"/>
    </row>
    <row r="944" spans="1:28" ht="12.75" customHeight="1" x14ac:dyDescent="0.3">
      <c r="A944" s="667"/>
      <c r="B944" s="668" t="s">
        <v>5937</v>
      </c>
      <c r="C944" s="160" t="s">
        <v>5938</v>
      </c>
      <c r="D944" s="160"/>
      <c r="E944" s="439">
        <v>0.72</v>
      </c>
      <c r="F944" s="161">
        <v>413.97370171699998</v>
      </c>
      <c r="G944" s="161"/>
      <c r="H944" s="654"/>
      <c r="I944" s="654"/>
      <c r="J944" s="191"/>
      <c r="K944" s="191">
        <v>6891.1229725834201</v>
      </c>
      <c r="L944" s="191"/>
      <c r="M944" s="191"/>
      <c r="N944" s="191"/>
      <c r="O944" s="191"/>
      <c r="P944" s="191"/>
      <c r="Q944" s="191"/>
      <c r="R944" s="191"/>
      <c r="S944" s="191"/>
      <c r="T944" s="191"/>
      <c r="U944" s="439"/>
      <c r="V944" s="441"/>
      <c r="W944" s="178"/>
      <c r="X944" s="172"/>
      <c r="Y944" s="172"/>
      <c r="Z944" s="172"/>
      <c r="AA944" s="195"/>
      <c r="AB944" s="172"/>
    </row>
    <row r="945" spans="1:28" ht="12.75" customHeight="1" x14ac:dyDescent="0.3">
      <c r="A945" s="667"/>
      <c r="B945" s="668" t="s">
        <v>5939</v>
      </c>
      <c r="C945" s="160" t="s">
        <v>5940</v>
      </c>
      <c r="D945" s="160"/>
      <c r="E945" s="439">
        <v>0.79</v>
      </c>
      <c r="F945" s="161">
        <v>413.97370171699998</v>
      </c>
      <c r="G945" s="161"/>
      <c r="H945" s="654"/>
      <c r="I945" s="654"/>
      <c r="J945" s="191"/>
      <c r="K945" s="191">
        <v>5213.7475647187403</v>
      </c>
      <c r="L945" s="191"/>
      <c r="M945" s="191"/>
      <c r="N945" s="191"/>
      <c r="O945" s="191"/>
      <c r="P945" s="191"/>
      <c r="Q945" s="191"/>
      <c r="R945" s="191"/>
      <c r="S945" s="191"/>
      <c r="T945" s="191"/>
      <c r="U945" s="439"/>
      <c r="V945" s="441"/>
      <c r="W945" s="178"/>
      <c r="X945" s="172"/>
      <c r="Y945" s="172"/>
      <c r="Z945" s="172"/>
      <c r="AA945" s="195"/>
      <c r="AB945" s="172"/>
    </row>
    <row r="946" spans="1:28" ht="12.75" customHeight="1" x14ac:dyDescent="0.3">
      <c r="A946" s="667"/>
      <c r="B946" s="668" t="s">
        <v>5941</v>
      </c>
      <c r="C946" s="160" t="s">
        <v>5942</v>
      </c>
      <c r="D946" s="160"/>
      <c r="E946" s="439">
        <v>1.24</v>
      </c>
      <c r="F946" s="161">
        <v>213.98647641299999</v>
      </c>
      <c r="G946" s="161">
        <v>-16.427</v>
      </c>
      <c r="H946" s="654">
        <v>2381.7841977999901</v>
      </c>
      <c r="I946" s="654">
        <v>311.44875696006397</v>
      </c>
      <c r="J946" s="191"/>
      <c r="K946" s="191">
        <v>43.520111563259299</v>
      </c>
      <c r="L946" s="191"/>
      <c r="M946" s="191"/>
      <c r="N946" s="191"/>
      <c r="O946" s="191"/>
      <c r="P946" s="191"/>
      <c r="Q946" s="191"/>
      <c r="R946" s="191"/>
      <c r="S946" s="191"/>
      <c r="T946" s="191"/>
      <c r="U946" s="439"/>
      <c r="V946" s="441"/>
      <c r="W946" s="178"/>
      <c r="X946" s="172"/>
      <c r="Y946" s="172"/>
      <c r="Z946" s="172"/>
      <c r="AA946" s="195"/>
      <c r="AB946" s="172"/>
    </row>
    <row r="947" spans="1:28" ht="12.75" customHeight="1" x14ac:dyDescent="0.3">
      <c r="A947" s="667"/>
      <c r="B947" s="668" t="s">
        <v>5943</v>
      </c>
      <c r="C947" s="160" t="s">
        <v>5944</v>
      </c>
      <c r="D947" s="160"/>
      <c r="E947" s="439">
        <v>-0.65</v>
      </c>
      <c r="F947" s="161">
        <v>413.97370171699998</v>
      </c>
      <c r="G947" s="161"/>
      <c r="H947" s="654"/>
      <c r="I947" s="654"/>
      <c r="J947" s="191"/>
      <c r="K947" s="191">
        <v>8160.3728075619001</v>
      </c>
      <c r="L947" s="191"/>
      <c r="M947" s="191"/>
      <c r="N947" s="191"/>
      <c r="O947" s="191"/>
      <c r="P947" s="191"/>
      <c r="Q947" s="191"/>
      <c r="R947" s="191"/>
      <c r="S947" s="191"/>
      <c r="T947" s="191"/>
      <c r="U947" s="439"/>
      <c r="V947" s="441"/>
      <c r="W947" s="178"/>
      <c r="X947" s="172"/>
      <c r="Y947" s="172"/>
      <c r="Z947" s="172"/>
      <c r="AA947" s="195"/>
      <c r="AB947" s="172"/>
    </row>
    <row r="948" spans="1:28" ht="12.75" customHeight="1" x14ac:dyDescent="0.3">
      <c r="A948" s="667"/>
      <c r="B948" s="668" t="s">
        <v>5945</v>
      </c>
      <c r="C948" s="160" t="s">
        <v>5946</v>
      </c>
      <c r="D948" s="160"/>
      <c r="E948" s="439">
        <v>-0.35</v>
      </c>
      <c r="F948" s="161">
        <v>413.97370171699998</v>
      </c>
      <c r="G948" s="161"/>
      <c r="H948" s="654"/>
      <c r="I948" s="654"/>
      <c r="J948" s="191"/>
      <c r="K948" s="191">
        <v>8230.1926277802504</v>
      </c>
      <c r="L948" s="191"/>
      <c r="M948" s="191"/>
      <c r="N948" s="191"/>
      <c r="O948" s="191"/>
      <c r="P948" s="191"/>
      <c r="Q948" s="191"/>
      <c r="R948" s="191"/>
      <c r="S948" s="191"/>
      <c r="T948" s="191"/>
      <c r="U948" s="439"/>
      <c r="V948" s="441"/>
      <c r="W948" s="178"/>
      <c r="X948" s="172"/>
      <c r="Y948" s="172"/>
      <c r="Z948" s="172"/>
      <c r="AA948" s="195"/>
      <c r="AB948" s="172"/>
    </row>
    <row r="949" spans="1:28" ht="12.75" customHeight="1" x14ac:dyDescent="0.3">
      <c r="A949" s="667"/>
      <c r="B949" s="668" t="s">
        <v>5947</v>
      </c>
      <c r="C949" s="160" t="s">
        <v>5948</v>
      </c>
      <c r="D949" s="160"/>
      <c r="E949" s="439">
        <v>0.48</v>
      </c>
      <c r="F949" s="161">
        <v>413.97370171699998</v>
      </c>
      <c r="G949" s="161"/>
      <c r="H949" s="654"/>
      <c r="I949" s="654"/>
      <c r="J949" s="191"/>
      <c r="K949" s="191">
        <v>8035.4462427133703</v>
      </c>
      <c r="L949" s="191"/>
      <c r="M949" s="191"/>
      <c r="N949" s="191"/>
      <c r="O949" s="191"/>
      <c r="P949" s="191"/>
      <c r="Q949" s="191"/>
      <c r="R949" s="191"/>
      <c r="S949" s="191"/>
      <c r="T949" s="191"/>
      <c r="U949" s="439"/>
      <c r="V949" s="441"/>
      <c r="W949" s="178"/>
      <c r="X949" s="172"/>
      <c r="Y949" s="172"/>
      <c r="Z949" s="172"/>
      <c r="AA949" s="195"/>
      <c r="AB949" s="172"/>
    </row>
    <row r="950" spans="1:28" ht="12.75" customHeight="1" x14ac:dyDescent="0.3">
      <c r="A950" s="667"/>
      <c r="B950" s="668" t="s">
        <v>5949</v>
      </c>
      <c r="C950" s="160" t="s">
        <v>5950</v>
      </c>
      <c r="D950" s="160"/>
      <c r="E950" s="439">
        <v>-0.03</v>
      </c>
      <c r="F950" s="161">
        <v>413.97370171699998</v>
      </c>
      <c r="G950" s="161"/>
      <c r="H950" s="654"/>
      <c r="I950" s="654"/>
      <c r="J950" s="191"/>
      <c r="K950" s="191">
        <v>7416.8586101188203</v>
      </c>
      <c r="L950" s="191"/>
      <c r="M950" s="191"/>
      <c r="N950" s="191"/>
      <c r="O950" s="191"/>
      <c r="P950" s="191"/>
      <c r="Q950" s="191"/>
      <c r="R950" s="191"/>
      <c r="S950" s="191"/>
      <c r="T950" s="191"/>
      <c r="U950" s="439"/>
      <c r="V950" s="441"/>
      <c r="W950" s="178"/>
      <c r="X950" s="172"/>
      <c r="Y950" s="172"/>
      <c r="Z950" s="172"/>
      <c r="AA950" s="195"/>
      <c r="AB950" s="172"/>
    </row>
    <row r="951" spans="1:28" ht="12.75" customHeight="1" x14ac:dyDescent="0.3">
      <c r="A951" s="667"/>
      <c r="B951" s="668" t="s">
        <v>5951</v>
      </c>
      <c r="C951" s="160" t="s">
        <v>5952</v>
      </c>
      <c r="D951" s="160"/>
      <c r="E951" s="439">
        <v>0.64</v>
      </c>
      <c r="F951" s="161">
        <v>413.97370171699998</v>
      </c>
      <c r="G951" s="161"/>
      <c r="H951" s="654"/>
      <c r="I951" s="654"/>
      <c r="J951" s="191"/>
      <c r="K951" s="191">
        <v>6003.9905498259204</v>
      </c>
      <c r="L951" s="191"/>
      <c r="M951" s="191"/>
      <c r="N951" s="191"/>
      <c r="O951" s="191"/>
      <c r="P951" s="191"/>
      <c r="Q951" s="191"/>
      <c r="R951" s="191"/>
      <c r="S951" s="191"/>
      <c r="T951" s="191"/>
      <c r="U951" s="439"/>
      <c r="V951" s="441"/>
      <c r="W951" s="178"/>
      <c r="X951" s="172"/>
      <c r="Y951" s="172"/>
      <c r="Z951" s="172"/>
      <c r="AA951" s="195"/>
      <c r="AB951" s="172"/>
    </row>
    <row r="952" spans="1:28" ht="12.75" customHeight="1" x14ac:dyDescent="0.3">
      <c r="A952" s="667"/>
      <c r="B952" s="668" t="s">
        <v>5953</v>
      </c>
      <c r="C952" s="160" t="s">
        <v>5954</v>
      </c>
      <c r="D952" s="160"/>
      <c r="E952" s="439">
        <v>-0.03</v>
      </c>
      <c r="F952" s="161">
        <v>413.97370171699998</v>
      </c>
      <c r="G952" s="161"/>
      <c r="H952" s="654"/>
      <c r="I952" s="654"/>
      <c r="J952" s="191"/>
      <c r="K952" s="191">
        <v>8223.94126591645</v>
      </c>
      <c r="L952" s="191"/>
      <c r="M952" s="191"/>
      <c r="N952" s="191"/>
      <c r="O952" s="191"/>
      <c r="P952" s="191"/>
      <c r="Q952" s="191"/>
      <c r="R952" s="191"/>
      <c r="S952" s="191"/>
      <c r="T952" s="191"/>
      <c r="U952" s="439"/>
      <c r="V952" s="441"/>
      <c r="W952" s="178"/>
      <c r="X952" s="172"/>
      <c r="Y952" s="172"/>
      <c r="Z952" s="172"/>
      <c r="AA952" s="195"/>
      <c r="AB952" s="172"/>
    </row>
    <row r="953" spans="1:28" ht="12.75" customHeight="1" x14ac:dyDescent="0.3">
      <c r="A953" s="667"/>
      <c r="B953" s="668" t="s">
        <v>5955</v>
      </c>
      <c r="C953" s="160" t="s">
        <v>5956</v>
      </c>
      <c r="D953" s="160"/>
      <c r="E953" s="439">
        <v>0.98</v>
      </c>
      <c r="F953" s="161">
        <v>413.97370171699998</v>
      </c>
      <c r="G953" s="161"/>
      <c r="H953" s="654"/>
      <c r="I953" s="654"/>
      <c r="J953" s="191"/>
      <c r="K953" s="191">
        <v>7351.2298162467196</v>
      </c>
      <c r="L953" s="191"/>
      <c r="M953" s="191"/>
      <c r="N953" s="191"/>
      <c r="O953" s="191"/>
      <c r="P953" s="191"/>
      <c r="Q953" s="191"/>
      <c r="R953" s="191"/>
      <c r="S953" s="191"/>
      <c r="T953" s="191"/>
      <c r="U953" s="439"/>
      <c r="V953" s="441"/>
      <c r="W953" s="178"/>
      <c r="X953" s="172"/>
      <c r="Y953" s="172"/>
      <c r="Z953" s="172"/>
      <c r="AA953" s="195"/>
      <c r="AB953" s="172"/>
    </row>
    <row r="954" spans="1:28" ht="12.75" customHeight="1" x14ac:dyDescent="0.3">
      <c r="A954" s="667"/>
      <c r="B954" s="668" t="s">
        <v>5957</v>
      </c>
      <c r="C954" s="160" t="s">
        <v>5958</v>
      </c>
      <c r="D954" s="160"/>
      <c r="E954" s="439">
        <v>0.83</v>
      </c>
      <c r="F954" s="161">
        <v>413.97370171699998</v>
      </c>
      <c r="G954" s="161"/>
      <c r="H954" s="654"/>
      <c r="I954" s="654"/>
      <c r="J954" s="191"/>
      <c r="K954" s="191">
        <v>7179.7612036546298</v>
      </c>
      <c r="L954" s="191"/>
      <c r="M954" s="191"/>
      <c r="N954" s="191"/>
      <c r="O954" s="191"/>
      <c r="P954" s="191"/>
      <c r="Q954" s="191"/>
      <c r="R954" s="191"/>
      <c r="S954" s="191"/>
      <c r="T954" s="191"/>
      <c r="U954" s="439"/>
      <c r="V954" s="441"/>
      <c r="W954" s="178"/>
      <c r="X954" s="172"/>
      <c r="Y954" s="172"/>
      <c r="Z954" s="172"/>
      <c r="AA954" s="195"/>
      <c r="AB954" s="172"/>
    </row>
    <row r="955" spans="1:28" ht="12.75" customHeight="1" x14ac:dyDescent="0.3">
      <c r="A955" s="667"/>
      <c r="B955" s="668" t="s">
        <v>5959</v>
      </c>
      <c r="C955" s="160" t="s">
        <v>5960</v>
      </c>
      <c r="D955" s="160"/>
      <c r="E955" s="439">
        <v>0.89</v>
      </c>
      <c r="F955" s="161">
        <v>513.96731436899995</v>
      </c>
      <c r="G955" s="161"/>
      <c r="H955" s="654"/>
      <c r="I955" s="654"/>
      <c r="J955" s="191"/>
      <c r="K955" s="191">
        <v>60339.262821930497</v>
      </c>
      <c r="L955" s="191"/>
      <c r="M955" s="191"/>
      <c r="N955" s="191"/>
      <c r="O955" s="191"/>
      <c r="P955" s="191"/>
      <c r="Q955" s="191"/>
      <c r="R955" s="191"/>
      <c r="S955" s="191"/>
      <c r="T955" s="191"/>
      <c r="U955" s="439"/>
      <c r="V955" s="441"/>
      <c r="W955" s="178"/>
      <c r="X955" s="172"/>
      <c r="Y955" s="172"/>
      <c r="Z955" s="172"/>
      <c r="AA955" s="195"/>
      <c r="AB955" s="172"/>
    </row>
    <row r="956" spans="1:28" ht="12.75" customHeight="1" x14ac:dyDescent="0.3">
      <c r="A956" s="667"/>
      <c r="B956" s="668" t="s">
        <v>5961</v>
      </c>
      <c r="C956" s="160" t="s">
        <v>5962</v>
      </c>
      <c r="D956" s="160"/>
      <c r="E956" s="439">
        <v>0.65</v>
      </c>
      <c r="F956" s="161">
        <v>413.97370171699998</v>
      </c>
      <c r="G956" s="161"/>
      <c r="H956" s="654"/>
      <c r="I956" s="654"/>
      <c r="J956" s="191"/>
      <c r="K956" s="191">
        <v>5695.3445155477903</v>
      </c>
      <c r="L956" s="191"/>
      <c r="M956" s="191"/>
      <c r="N956" s="191"/>
      <c r="O956" s="191"/>
      <c r="P956" s="191"/>
      <c r="Q956" s="191"/>
      <c r="R956" s="191"/>
      <c r="S956" s="191"/>
      <c r="T956" s="191"/>
      <c r="U956" s="439"/>
      <c r="V956" s="441"/>
      <c r="W956" s="178"/>
      <c r="X956" s="172"/>
      <c r="Y956" s="172"/>
      <c r="Z956" s="172"/>
      <c r="AA956" s="195"/>
      <c r="AB956" s="172"/>
    </row>
    <row r="957" spans="1:28" ht="12.75" customHeight="1" x14ac:dyDescent="0.3">
      <c r="A957" s="667"/>
      <c r="B957" s="668" t="s">
        <v>5963</v>
      </c>
      <c r="C957" s="160" t="s">
        <v>5964</v>
      </c>
      <c r="D957" s="160"/>
      <c r="E957" s="439">
        <v>0.7</v>
      </c>
      <c r="F957" s="161">
        <v>413.97370171699998</v>
      </c>
      <c r="G957" s="161"/>
      <c r="H957" s="654"/>
      <c r="I957" s="654"/>
      <c r="J957" s="191"/>
      <c r="K957" s="191">
        <v>8107.5568011171399</v>
      </c>
      <c r="L957" s="191"/>
      <c r="M957" s="191"/>
      <c r="N957" s="191"/>
      <c r="O957" s="191"/>
      <c r="P957" s="191"/>
      <c r="Q957" s="191"/>
      <c r="R957" s="191"/>
      <c r="S957" s="191"/>
      <c r="T957" s="191"/>
      <c r="U957" s="439"/>
      <c r="V957" s="441"/>
      <c r="W957" s="178"/>
      <c r="X957" s="172"/>
      <c r="Y957" s="172"/>
      <c r="Z957" s="172"/>
      <c r="AA957" s="195"/>
      <c r="AB957" s="172"/>
    </row>
    <row r="958" spans="1:28" ht="12.75" customHeight="1" x14ac:dyDescent="0.3">
      <c r="A958" s="667"/>
      <c r="B958" s="668" t="s">
        <v>5965</v>
      </c>
      <c r="C958" s="160" t="s">
        <v>5966</v>
      </c>
      <c r="D958" s="160"/>
      <c r="E958" s="439">
        <v>0.79</v>
      </c>
      <c r="F958" s="161">
        <v>413.97370171699998</v>
      </c>
      <c r="G958" s="161"/>
      <c r="H958" s="654"/>
      <c r="I958" s="654"/>
      <c r="J958" s="191"/>
      <c r="K958" s="191">
        <v>6148.9363851262597</v>
      </c>
      <c r="L958" s="191"/>
      <c r="M958" s="191"/>
      <c r="N958" s="191"/>
      <c r="O958" s="191"/>
      <c r="P958" s="191"/>
      <c r="Q958" s="191"/>
      <c r="R958" s="191"/>
      <c r="S958" s="191"/>
      <c r="T958" s="191"/>
      <c r="U958" s="439"/>
      <c r="V958" s="441"/>
      <c r="W958" s="178"/>
      <c r="X958" s="172"/>
      <c r="Y958" s="172"/>
      <c r="Z958" s="172"/>
      <c r="AA958" s="195"/>
      <c r="AB958" s="172"/>
    </row>
    <row r="959" spans="1:28" ht="12.75" customHeight="1" x14ac:dyDescent="0.3">
      <c r="A959" s="667"/>
      <c r="B959" s="668" t="s">
        <v>5967</v>
      </c>
      <c r="C959" s="160" t="s">
        <v>5968</v>
      </c>
      <c r="D959" s="160"/>
      <c r="E959" s="439">
        <v>1.01</v>
      </c>
      <c r="F959" s="161">
        <v>413.97370171699998</v>
      </c>
      <c r="G959" s="161"/>
      <c r="H959" s="654"/>
      <c r="I959" s="654"/>
      <c r="J959" s="191"/>
      <c r="K959" s="191">
        <v>7322.6790566412701</v>
      </c>
      <c r="L959" s="191"/>
      <c r="M959" s="191"/>
      <c r="N959" s="191"/>
      <c r="O959" s="191"/>
      <c r="P959" s="191"/>
      <c r="Q959" s="191"/>
      <c r="R959" s="191"/>
      <c r="S959" s="191"/>
      <c r="T959" s="191"/>
      <c r="U959" s="439"/>
      <c r="V959" s="441"/>
      <c r="W959" s="178"/>
      <c r="X959" s="172"/>
      <c r="Y959" s="172"/>
      <c r="Z959" s="172"/>
      <c r="AA959" s="195"/>
      <c r="AB959" s="172"/>
    </row>
    <row r="960" spans="1:28" ht="12.75" customHeight="1" x14ac:dyDescent="0.3">
      <c r="A960" s="667"/>
      <c r="B960" s="668" t="s">
        <v>5969</v>
      </c>
      <c r="C960" s="160" t="s">
        <v>5970</v>
      </c>
      <c r="D960" s="160"/>
      <c r="E960" s="439">
        <v>0.65</v>
      </c>
      <c r="F960" s="161">
        <v>413.97370171699998</v>
      </c>
      <c r="G960" s="161"/>
      <c r="H960" s="654"/>
      <c r="I960" s="654"/>
      <c r="J960" s="191"/>
      <c r="K960" s="191">
        <v>5801.8968051431002</v>
      </c>
      <c r="L960" s="191"/>
      <c r="M960" s="191"/>
      <c r="N960" s="191"/>
      <c r="O960" s="191"/>
      <c r="P960" s="191"/>
      <c r="Q960" s="191"/>
      <c r="R960" s="191"/>
      <c r="S960" s="191"/>
      <c r="T960" s="191"/>
      <c r="U960" s="439"/>
      <c r="V960" s="441"/>
      <c r="W960" s="178"/>
      <c r="X960" s="172"/>
      <c r="Y960" s="172"/>
      <c r="Z960" s="172"/>
      <c r="AA960" s="195"/>
      <c r="AB960" s="172"/>
    </row>
    <row r="961" spans="1:28" ht="12.75" customHeight="1" x14ac:dyDescent="0.3">
      <c r="A961" s="667"/>
      <c r="B961" s="668" t="s">
        <v>5971</v>
      </c>
      <c r="C961" s="160" t="s">
        <v>5972</v>
      </c>
      <c r="D961" s="160"/>
      <c r="E961" s="439">
        <v>1.03</v>
      </c>
      <c r="F961" s="161">
        <v>413.97370171699998</v>
      </c>
      <c r="G961" s="161"/>
      <c r="H961" s="654"/>
      <c r="I961" s="654"/>
      <c r="J961" s="191"/>
      <c r="K961" s="191">
        <v>8001.2897912307399</v>
      </c>
      <c r="L961" s="191"/>
      <c r="M961" s="191"/>
      <c r="N961" s="191"/>
      <c r="O961" s="191"/>
      <c r="P961" s="191"/>
      <c r="Q961" s="191"/>
      <c r="R961" s="191"/>
      <c r="S961" s="191"/>
      <c r="T961" s="191"/>
      <c r="U961" s="439"/>
      <c r="V961" s="441"/>
      <c r="W961" s="178"/>
      <c r="X961" s="172"/>
      <c r="Y961" s="172"/>
      <c r="Z961" s="172"/>
      <c r="AA961" s="195"/>
      <c r="AB961" s="172"/>
    </row>
    <row r="962" spans="1:28" ht="12.75" customHeight="1" x14ac:dyDescent="0.3">
      <c r="A962" s="667"/>
      <c r="B962" s="668" t="s">
        <v>5973</v>
      </c>
      <c r="C962" s="160" t="s">
        <v>5974</v>
      </c>
      <c r="D962" s="160"/>
      <c r="E962" s="439">
        <v>0.69</v>
      </c>
      <c r="F962" s="161">
        <v>413.97370171699998</v>
      </c>
      <c r="G962" s="161"/>
      <c r="H962" s="654"/>
      <c r="I962" s="654"/>
      <c r="J962" s="191"/>
      <c r="K962" s="191">
        <v>5828.8113558087298</v>
      </c>
      <c r="L962" s="191"/>
      <c r="M962" s="191"/>
      <c r="N962" s="191"/>
      <c r="O962" s="191"/>
      <c r="P962" s="191"/>
      <c r="Q962" s="191"/>
      <c r="R962" s="191"/>
      <c r="S962" s="191"/>
      <c r="T962" s="191"/>
      <c r="U962" s="439"/>
      <c r="V962" s="441"/>
      <c r="W962" s="178"/>
      <c r="X962" s="172"/>
      <c r="Y962" s="172"/>
      <c r="Z962" s="172"/>
      <c r="AA962" s="195"/>
      <c r="AB962" s="172"/>
    </row>
    <row r="963" spans="1:28" ht="12.75" customHeight="1" x14ac:dyDescent="0.3">
      <c r="A963" s="667"/>
      <c r="B963" s="668" t="s">
        <v>5975</v>
      </c>
      <c r="C963" s="160" t="s">
        <v>5976</v>
      </c>
      <c r="D963" s="160"/>
      <c r="E963" s="439">
        <v>0.69</v>
      </c>
      <c r="F963" s="161">
        <v>413.97370171699998</v>
      </c>
      <c r="G963" s="161">
        <v>0.70699999999999996</v>
      </c>
      <c r="H963" s="654">
        <v>79.965335701999905</v>
      </c>
      <c r="I963" s="654">
        <v>1.98140232852807</v>
      </c>
      <c r="J963" s="191"/>
      <c r="K963" s="191">
        <v>5648.9795169642803</v>
      </c>
      <c r="L963" s="191"/>
      <c r="M963" s="191"/>
      <c r="N963" s="191"/>
      <c r="O963" s="191"/>
      <c r="P963" s="191"/>
      <c r="Q963" s="191"/>
      <c r="R963" s="191"/>
      <c r="S963" s="191"/>
      <c r="T963" s="191"/>
      <c r="U963" s="439"/>
      <c r="V963" s="441"/>
      <c r="W963" s="178"/>
      <c r="X963" s="172"/>
      <c r="Y963" s="172"/>
      <c r="Z963" s="172"/>
      <c r="AA963" s="195"/>
      <c r="AB963" s="172"/>
    </row>
    <row r="964" spans="1:28" ht="12.75" customHeight="1" x14ac:dyDescent="0.3">
      <c r="A964" s="667"/>
      <c r="B964" s="668" t="s">
        <v>4092</v>
      </c>
      <c r="C964" s="160" t="s">
        <v>5977</v>
      </c>
      <c r="D964" s="160"/>
      <c r="E964" s="439">
        <v>0.54</v>
      </c>
      <c r="F964" s="161">
        <v>613.96092702099997</v>
      </c>
      <c r="G964" s="161">
        <v>-0.4</v>
      </c>
      <c r="H964" s="654">
        <v>2.8372788108</v>
      </c>
      <c r="I964" s="654"/>
      <c r="J964" s="191"/>
      <c r="K964" s="191">
        <v>174236.84560989999</v>
      </c>
      <c r="L964" s="191"/>
      <c r="M964" s="191"/>
      <c r="N964" s="191"/>
      <c r="O964" s="191"/>
      <c r="P964" s="191"/>
      <c r="Q964" s="191"/>
      <c r="R964" s="191"/>
      <c r="S964" s="191"/>
      <c r="T964" s="191"/>
      <c r="U964" s="439"/>
      <c r="V964" s="441"/>
      <c r="W964" s="178"/>
      <c r="X964" s="172"/>
      <c r="Y964" s="172"/>
      <c r="Z964" s="172"/>
      <c r="AA964" s="195"/>
      <c r="AB964" s="172"/>
    </row>
    <row r="965" spans="1:28" ht="12.75" customHeight="1" x14ac:dyDescent="0.3">
      <c r="A965" s="667"/>
      <c r="B965" s="668" t="s">
        <v>5978</v>
      </c>
      <c r="C965" s="160" t="s">
        <v>5979</v>
      </c>
      <c r="D965" s="160"/>
      <c r="E965" s="439">
        <v>0.54</v>
      </c>
      <c r="F965" s="161">
        <v>563.96412069500002</v>
      </c>
      <c r="G965" s="161">
        <v>-2.3090000000000002</v>
      </c>
      <c r="H965" s="654">
        <v>3.9346121961999998</v>
      </c>
      <c r="I965" s="654"/>
      <c r="J965" s="191"/>
      <c r="K965" s="191">
        <v>10058.888635707101</v>
      </c>
      <c r="L965" s="191"/>
      <c r="M965" s="191"/>
      <c r="N965" s="191"/>
      <c r="O965" s="191"/>
      <c r="P965" s="191"/>
      <c r="Q965" s="191"/>
      <c r="R965" s="191"/>
      <c r="S965" s="191"/>
      <c r="T965" s="191"/>
      <c r="U965" s="439"/>
      <c r="V965" s="441"/>
      <c r="W965" s="178"/>
      <c r="X965" s="172"/>
      <c r="Y965" s="172"/>
      <c r="Z965" s="172"/>
      <c r="AA965" s="195"/>
      <c r="AB965" s="172"/>
    </row>
    <row r="966" spans="1:28" ht="12.75" customHeight="1" x14ac:dyDescent="0.3">
      <c r="A966" s="667"/>
      <c r="B966" s="668" t="s">
        <v>5980</v>
      </c>
      <c r="C966" s="160" t="s">
        <v>5981</v>
      </c>
      <c r="D966" s="160"/>
      <c r="E966" s="439">
        <v>-0.17</v>
      </c>
      <c r="F966" s="161">
        <v>489.96975915199999</v>
      </c>
      <c r="G966" s="161">
        <v>45.939</v>
      </c>
      <c r="H966" s="654">
        <v>0.11611866240800001</v>
      </c>
      <c r="I966" s="654">
        <v>2.58922069375078</v>
      </c>
      <c r="J966" s="191"/>
      <c r="K966" s="191">
        <v>28626.615183899099</v>
      </c>
      <c r="L966" s="191"/>
      <c r="M966" s="191"/>
      <c r="N966" s="191"/>
      <c r="O966" s="191"/>
      <c r="P966" s="191"/>
      <c r="Q966" s="191"/>
      <c r="R966" s="191"/>
      <c r="S966" s="191"/>
      <c r="T966" s="191"/>
      <c r="U966" s="439"/>
      <c r="V966" s="441"/>
      <c r="W966" s="178"/>
      <c r="X966" s="172"/>
      <c r="Y966" s="172"/>
      <c r="Z966" s="172"/>
      <c r="AA966" s="195"/>
      <c r="AB966" s="172"/>
    </row>
    <row r="967" spans="1:28" ht="12.75" customHeight="1" x14ac:dyDescent="0.3">
      <c r="A967" s="667"/>
      <c r="B967" s="668" t="s">
        <v>5982</v>
      </c>
      <c r="C967" s="160" t="s">
        <v>5983</v>
      </c>
      <c r="D967" s="160"/>
      <c r="E967" s="439">
        <v>0.02</v>
      </c>
      <c r="F967" s="161">
        <v>479.94095759999999</v>
      </c>
      <c r="G967" s="161">
        <v>11.95</v>
      </c>
      <c r="H967" s="654">
        <v>1.8361239162</v>
      </c>
      <c r="I967" s="654"/>
      <c r="J967" s="191"/>
      <c r="K967" s="191">
        <v>21168.4958568656</v>
      </c>
      <c r="L967" s="191"/>
      <c r="M967" s="191"/>
      <c r="N967" s="191"/>
      <c r="O967" s="191"/>
      <c r="P967" s="191"/>
      <c r="Q967" s="191"/>
      <c r="R967" s="191"/>
      <c r="S967" s="191"/>
      <c r="T967" s="191"/>
      <c r="U967" s="439"/>
      <c r="V967" s="441"/>
      <c r="W967" s="178"/>
      <c r="X967" s="172"/>
      <c r="Y967" s="172"/>
      <c r="Z967" s="172"/>
      <c r="AA967" s="195"/>
      <c r="AB967" s="172"/>
    </row>
    <row r="968" spans="1:28" ht="12.75" customHeight="1" x14ac:dyDescent="0.3">
      <c r="A968" s="667"/>
      <c r="B968" s="668" t="s">
        <v>4080</v>
      </c>
      <c r="C968" s="160" t="s">
        <v>5984</v>
      </c>
      <c r="D968" s="160"/>
      <c r="E968" s="439">
        <v>0.34</v>
      </c>
      <c r="F968" s="161">
        <v>413.97370171699998</v>
      </c>
      <c r="G968" s="161">
        <v>-8.6920000000000002</v>
      </c>
      <c r="H968" s="654">
        <v>46.015288368</v>
      </c>
      <c r="I968" s="654">
        <v>1.958720709411</v>
      </c>
      <c r="J968" s="191"/>
      <c r="K968" s="191">
        <v>1277.67383167036</v>
      </c>
      <c r="L968" s="191"/>
      <c r="M968" s="191"/>
      <c r="N968" s="191"/>
      <c r="O968" s="191"/>
      <c r="P968" s="191"/>
      <c r="Q968" s="191"/>
      <c r="R968" s="191"/>
      <c r="S968" s="191"/>
      <c r="T968" s="191"/>
      <c r="U968" s="439"/>
      <c r="V968" s="441"/>
      <c r="W968" s="178"/>
      <c r="X968" s="172"/>
      <c r="Y968" s="172"/>
      <c r="Z968" s="172"/>
      <c r="AA968" s="195"/>
      <c r="AB968" s="172"/>
    </row>
    <row r="969" spans="1:28" ht="12.75" customHeight="1" x14ac:dyDescent="0.3">
      <c r="A969" s="667"/>
      <c r="B969" s="668" t="s">
        <v>5985</v>
      </c>
      <c r="C969" s="160" t="s">
        <v>5986</v>
      </c>
      <c r="D969" s="160"/>
      <c r="E969" s="439">
        <v>1.51</v>
      </c>
      <c r="F969" s="161">
        <v>395.98312358599998</v>
      </c>
      <c r="G969" s="161">
        <v>23.931999999999999</v>
      </c>
      <c r="H969" s="654">
        <v>12.8499609938</v>
      </c>
      <c r="I969" s="654">
        <v>0.81222474377465903</v>
      </c>
      <c r="J969" s="191"/>
      <c r="K969" s="191">
        <v>3355.4440375231102</v>
      </c>
      <c r="L969" s="191"/>
      <c r="M969" s="191"/>
      <c r="N969" s="191"/>
      <c r="O969" s="191"/>
      <c r="P969" s="191"/>
      <c r="Q969" s="191"/>
      <c r="R969" s="191"/>
      <c r="S969" s="191"/>
      <c r="T969" s="191"/>
      <c r="U969" s="439"/>
      <c r="V969" s="441"/>
      <c r="W969" s="178"/>
      <c r="X969" s="172"/>
      <c r="Y969" s="172"/>
      <c r="Z969" s="172"/>
      <c r="AA969" s="195"/>
      <c r="AB969" s="172"/>
    </row>
    <row r="970" spans="1:28" ht="12.75" customHeight="1" x14ac:dyDescent="0.3">
      <c r="A970" s="667"/>
      <c r="B970" s="668" t="s">
        <v>5987</v>
      </c>
      <c r="C970" s="160" t="s">
        <v>5988</v>
      </c>
      <c r="D970" s="160"/>
      <c r="E970" s="439">
        <v>-0.34</v>
      </c>
      <c r="F970" s="161">
        <v>389.97614650000003</v>
      </c>
      <c r="G970" s="161">
        <v>76.510999999999996</v>
      </c>
      <c r="H970" s="654">
        <v>0.75145345435999999</v>
      </c>
      <c r="I970" s="654">
        <v>3.2287763068550301</v>
      </c>
      <c r="J970" s="191"/>
      <c r="K970" s="191">
        <v>2720.38267287178</v>
      </c>
      <c r="L970" s="191"/>
      <c r="M970" s="191"/>
      <c r="N970" s="191"/>
      <c r="O970" s="191"/>
      <c r="P970" s="191"/>
      <c r="Q970" s="191"/>
      <c r="R970" s="191"/>
      <c r="S970" s="191"/>
      <c r="T970" s="191"/>
      <c r="U970" s="439"/>
      <c r="V970" s="441"/>
      <c r="W970" s="178"/>
      <c r="X970" s="172"/>
      <c r="Y970" s="172"/>
      <c r="Z970" s="172"/>
      <c r="AA970" s="195"/>
      <c r="AB970" s="172"/>
    </row>
    <row r="971" spans="1:28" ht="12.75" customHeight="1" x14ac:dyDescent="0.3">
      <c r="A971" s="667"/>
      <c r="B971" s="668" t="s">
        <v>5989</v>
      </c>
      <c r="C971" s="160" t="s">
        <v>5990</v>
      </c>
      <c r="D971" s="160"/>
      <c r="E971" s="439">
        <v>0.85</v>
      </c>
      <c r="F971" s="161">
        <v>345.98631726000002</v>
      </c>
      <c r="G971" s="161">
        <v>37.85</v>
      </c>
      <c r="H971" s="654">
        <v>42.063091</v>
      </c>
      <c r="I971" s="654">
        <v>6.8874458217996404</v>
      </c>
      <c r="J971" s="191"/>
      <c r="K971" s="191">
        <v>987.37016462341501</v>
      </c>
      <c r="L971" s="191"/>
      <c r="M971" s="191"/>
      <c r="N971" s="191"/>
      <c r="O971" s="191"/>
      <c r="P971" s="191"/>
      <c r="Q971" s="191"/>
      <c r="R971" s="191"/>
      <c r="S971" s="191"/>
      <c r="T971" s="191"/>
      <c r="U971" s="439"/>
      <c r="V971" s="441"/>
      <c r="W971" s="178"/>
      <c r="X971" s="172"/>
      <c r="Y971" s="172"/>
      <c r="Z971" s="172"/>
      <c r="AA971" s="195"/>
      <c r="AB971" s="172"/>
    </row>
    <row r="972" spans="1:28" ht="12.75" customHeight="1" x14ac:dyDescent="0.3">
      <c r="A972" s="667"/>
      <c r="B972" s="668" t="s">
        <v>5991</v>
      </c>
      <c r="C972" s="160" t="s">
        <v>5992</v>
      </c>
      <c r="D972" s="160"/>
      <c r="E972" s="439">
        <v>0.81</v>
      </c>
      <c r="F972" s="161">
        <v>295.98951093400001</v>
      </c>
      <c r="G972" s="161"/>
      <c r="H972" s="654"/>
      <c r="I972" s="654"/>
      <c r="J972" s="191"/>
      <c r="K972" s="191">
        <v>282.37094027396898</v>
      </c>
      <c r="L972" s="191"/>
      <c r="M972" s="191"/>
      <c r="N972" s="191"/>
      <c r="O972" s="191"/>
      <c r="P972" s="191"/>
      <c r="Q972" s="191"/>
      <c r="R972" s="191"/>
      <c r="S972" s="191"/>
      <c r="T972" s="191"/>
      <c r="U972" s="439"/>
      <c r="V972" s="441"/>
      <c r="W972" s="178"/>
      <c r="X972" s="172"/>
      <c r="Y972" s="172"/>
      <c r="Z972" s="172"/>
      <c r="AA972" s="195"/>
      <c r="AB972" s="172"/>
    </row>
    <row r="973" spans="1:28" ht="12.75" customHeight="1" x14ac:dyDescent="0.3">
      <c r="A973" s="667"/>
      <c r="B973" s="668" t="s">
        <v>5993</v>
      </c>
      <c r="C973" s="160" t="s">
        <v>5994</v>
      </c>
      <c r="D973" s="160"/>
      <c r="E973" s="439">
        <v>-1.65</v>
      </c>
      <c r="F973" s="161">
        <v>239.98572752199999</v>
      </c>
      <c r="G973" s="161">
        <v>95.608999999999995</v>
      </c>
      <c r="H973" s="654">
        <v>1.1638623966199999</v>
      </c>
      <c r="I973" s="654">
        <v>253.038551241921</v>
      </c>
      <c r="J973" s="191"/>
      <c r="K973" s="191">
        <v>78.795243145133</v>
      </c>
      <c r="L973" s="191"/>
      <c r="M973" s="191"/>
      <c r="N973" s="191"/>
      <c r="O973" s="191"/>
      <c r="P973" s="191"/>
      <c r="Q973" s="191"/>
      <c r="R973" s="191"/>
      <c r="S973" s="191"/>
      <c r="T973" s="191"/>
      <c r="U973" s="439"/>
      <c r="V973" s="441"/>
      <c r="W973" s="178"/>
      <c r="X973" s="172"/>
      <c r="Y973" s="172"/>
      <c r="Z973" s="172"/>
      <c r="AA973" s="195"/>
      <c r="AB973" s="172"/>
    </row>
    <row r="974" spans="1:28" ht="12.75" customHeight="1" x14ac:dyDescent="0.3">
      <c r="A974" s="667"/>
      <c r="B974" s="668" t="s">
        <v>5995</v>
      </c>
      <c r="C974" s="160" t="s">
        <v>5996</v>
      </c>
      <c r="D974" s="160"/>
      <c r="E974" s="439">
        <v>1.43</v>
      </c>
      <c r="F974" s="161">
        <v>245.992704608</v>
      </c>
      <c r="G974" s="161">
        <v>-28.541</v>
      </c>
      <c r="H974" s="654">
        <v>1408.9735604</v>
      </c>
      <c r="I974" s="654">
        <v>84.902906039223495</v>
      </c>
      <c r="J974" s="191"/>
      <c r="K974" s="191">
        <v>87.496362821341293</v>
      </c>
      <c r="L974" s="191"/>
      <c r="M974" s="191"/>
      <c r="N974" s="191"/>
      <c r="O974" s="191"/>
      <c r="P974" s="191"/>
      <c r="Q974" s="191"/>
      <c r="R974" s="191"/>
      <c r="S974" s="191"/>
      <c r="T974" s="191"/>
      <c r="U974" s="439"/>
      <c r="V974" s="441"/>
      <c r="W974" s="178"/>
      <c r="X974" s="172"/>
      <c r="Y974" s="172"/>
      <c r="Z974" s="172"/>
      <c r="AA974" s="195"/>
      <c r="AB974" s="172"/>
    </row>
    <row r="975" spans="1:28" ht="12.75" customHeight="1" x14ac:dyDescent="0.3">
      <c r="A975" s="667"/>
      <c r="B975" s="668" t="s">
        <v>5997</v>
      </c>
      <c r="C975" s="160" t="s">
        <v>5998</v>
      </c>
      <c r="D975" s="160"/>
      <c r="E975" s="439">
        <v>1.62</v>
      </c>
      <c r="F975" s="161">
        <v>333.02359019800002</v>
      </c>
      <c r="G975" s="161">
        <v>104.434</v>
      </c>
      <c r="H975" s="654">
        <v>7.9597900270000008E-3</v>
      </c>
      <c r="I975" s="654">
        <v>3.7798510511063199</v>
      </c>
      <c r="J975" s="191"/>
      <c r="K975" s="191">
        <v>3693.6862268417499</v>
      </c>
      <c r="L975" s="191"/>
      <c r="M975" s="191"/>
      <c r="N975" s="191"/>
      <c r="O975" s="191"/>
      <c r="P975" s="191"/>
      <c r="Q975" s="191"/>
      <c r="R975" s="191"/>
      <c r="S975" s="191"/>
      <c r="T975" s="191"/>
      <c r="U975" s="439"/>
      <c r="V975" s="441"/>
      <c r="W975" s="178"/>
      <c r="X975" s="172"/>
      <c r="Y975" s="172"/>
      <c r="Z975" s="172"/>
      <c r="AA975" s="195"/>
      <c r="AB975" s="172"/>
    </row>
    <row r="976" spans="1:28" ht="12.75" customHeight="1" x14ac:dyDescent="0.3">
      <c r="A976" s="667"/>
      <c r="B976" s="668" t="s">
        <v>5999</v>
      </c>
      <c r="C976" s="160" t="s">
        <v>6000</v>
      </c>
      <c r="D976" s="160"/>
      <c r="E976" s="439">
        <v>3.65</v>
      </c>
      <c r="F976" s="161">
        <v>435.014009176</v>
      </c>
      <c r="G976" s="161"/>
      <c r="H976" s="654"/>
      <c r="I976" s="654"/>
      <c r="J976" s="191"/>
      <c r="K976" s="191">
        <v>17126.160115473602</v>
      </c>
      <c r="L976" s="191"/>
      <c r="M976" s="191"/>
      <c r="N976" s="191"/>
      <c r="O976" s="191"/>
      <c r="P976" s="191"/>
      <c r="Q976" s="191"/>
      <c r="R976" s="191"/>
      <c r="S976" s="191"/>
      <c r="T976" s="191"/>
      <c r="U976" s="439"/>
      <c r="V976" s="441"/>
      <c r="W976" s="178"/>
      <c r="X976" s="172"/>
      <c r="Y976" s="172"/>
      <c r="Z976" s="172"/>
      <c r="AA976" s="195"/>
      <c r="AB976" s="172"/>
    </row>
    <row r="977" spans="1:28" ht="12.75" customHeight="1" x14ac:dyDescent="0.3">
      <c r="A977" s="667"/>
      <c r="B977" s="668" t="s">
        <v>6001</v>
      </c>
      <c r="C977" s="160" t="s">
        <v>6002</v>
      </c>
      <c r="D977" s="160"/>
      <c r="E977" s="439">
        <v>-2.5499999999999998</v>
      </c>
      <c r="F977" s="161">
        <v>350.01375379000001</v>
      </c>
      <c r="G977" s="161">
        <v>89.789000000000001</v>
      </c>
      <c r="H977" s="654">
        <v>3.2501370482000001E-3</v>
      </c>
      <c r="I977" s="654">
        <v>2.5181704515046102</v>
      </c>
      <c r="J977" s="191"/>
      <c r="K977" s="191">
        <v>5628.4653911301402</v>
      </c>
      <c r="L977" s="191"/>
      <c r="M977" s="191"/>
      <c r="N977" s="191"/>
      <c r="O977" s="191"/>
      <c r="P977" s="191"/>
      <c r="Q977" s="191"/>
      <c r="R977" s="191"/>
      <c r="S977" s="191"/>
      <c r="T977" s="191"/>
      <c r="U977" s="439"/>
      <c r="V977" s="441"/>
      <c r="W977" s="178"/>
      <c r="X977" s="172"/>
      <c r="Y977" s="172"/>
      <c r="Z977" s="172"/>
      <c r="AA977" s="195"/>
      <c r="AB977" s="172"/>
    </row>
    <row r="978" spans="1:28" ht="12.75" customHeight="1" x14ac:dyDescent="0.3">
      <c r="A978" s="667"/>
      <c r="B978" s="668" t="s">
        <v>6003</v>
      </c>
      <c r="C978" s="160" t="s">
        <v>6004</v>
      </c>
      <c r="D978" s="160"/>
      <c r="E978" s="439">
        <v>7.77</v>
      </c>
      <c r="F978" s="161">
        <v>558.09996486</v>
      </c>
      <c r="G978" s="161">
        <v>40.408000000000001</v>
      </c>
      <c r="H978" s="654">
        <v>1.4618490656E-2</v>
      </c>
      <c r="I978" s="654">
        <v>0.83890238117965998</v>
      </c>
      <c r="J978" s="191"/>
      <c r="K978" s="191">
        <v>63509.691039748701</v>
      </c>
      <c r="L978" s="191"/>
      <c r="M978" s="191"/>
      <c r="N978" s="191"/>
      <c r="O978" s="191"/>
      <c r="P978" s="191"/>
      <c r="Q978" s="191"/>
      <c r="R978" s="191"/>
      <c r="S978" s="191"/>
      <c r="T978" s="191"/>
      <c r="U978" s="439"/>
      <c r="V978" s="441"/>
      <c r="W978" s="178"/>
      <c r="X978" s="172"/>
      <c r="Y978" s="172"/>
      <c r="Z978" s="172"/>
      <c r="AA978" s="195"/>
      <c r="AB978" s="172"/>
    </row>
    <row r="979" spans="1:28" ht="12.75" customHeight="1" x14ac:dyDescent="0.3">
      <c r="A979" s="667"/>
      <c r="B979" s="668" t="s">
        <v>6005</v>
      </c>
      <c r="C979" s="160" t="s">
        <v>6006</v>
      </c>
      <c r="D979" s="160"/>
      <c r="E979" s="439">
        <v>6</v>
      </c>
      <c r="F979" s="161">
        <v>507.01270720799999</v>
      </c>
      <c r="G979" s="161"/>
      <c r="H979" s="654"/>
      <c r="I979" s="654"/>
      <c r="J979" s="191"/>
      <c r="K979" s="191">
        <v>70763.613209628995</v>
      </c>
      <c r="L979" s="191"/>
      <c r="M979" s="191"/>
      <c r="N979" s="191"/>
      <c r="O979" s="191"/>
      <c r="P979" s="191"/>
      <c r="Q979" s="191"/>
      <c r="R979" s="191"/>
      <c r="S979" s="191"/>
      <c r="T979" s="191"/>
      <c r="U979" s="439"/>
      <c r="V979" s="441"/>
      <c r="W979" s="178"/>
      <c r="X979" s="172"/>
      <c r="Y979" s="172"/>
      <c r="Z979" s="172"/>
      <c r="AA979" s="195"/>
      <c r="AB979" s="172"/>
    </row>
    <row r="980" spans="1:28" ht="12.75" customHeight="1" x14ac:dyDescent="0.3">
      <c r="A980" s="667"/>
      <c r="B980" s="668" t="s">
        <v>6007</v>
      </c>
      <c r="C980" s="160" t="s">
        <v>6008</v>
      </c>
      <c r="D980" s="160"/>
      <c r="E980" s="439">
        <v>6</v>
      </c>
      <c r="F980" s="161">
        <v>407.01909455600003</v>
      </c>
      <c r="G980" s="161"/>
      <c r="H980" s="654"/>
      <c r="I980" s="654"/>
      <c r="J980" s="191"/>
      <c r="K980" s="191">
        <v>3203.0963311546102</v>
      </c>
      <c r="L980" s="191"/>
      <c r="M980" s="191"/>
      <c r="N980" s="191"/>
      <c r="O980" s="191"/>
      <c r="P980" s="191"/>
      <c r="Q980" s="191"/>
      <c r="R980" s="191"/>
      <c r="S980" s="191"/>
      <c r="T980" s="191"/>
      <c r="U980" s="439"/>
      <c r="V980" s="441"/>
      <c r="W980" s="178"/>
      <c r="X980" s="172"/>
      <c r="Y980" s="172"/>
      <c r="Z980" s="172"/>
      <c r="AA980" s="195"/>
      <c r="AB980" s="172"/>
    </row>
    <row r="981" spans="1:28" ht="12.75" customHeight="1" x14ac:dyDescent="0.3">
      <c r="A981" s="667"/>
      <c r="B981" s="668" t="s">
        <v>6009</v>
      </c>
      <c r="C981" s="160" t="s">
        <v>6010</v>
      </c>
      <c r="D981" s="160"/>
      <c r="E981" s="439">
        <v>6</v>
      </c>
      <c r="F981" s="161">
        <v>307.025481904</v>
      </c>
      <c r="G981" s="161"/>
      <c r="H981" s="654"/>
      <c r="I981" s="654"/>
      <c r="J981" s="191"/>
      <c r="K981" s="191">
        <v>90.656719573835503</v>
      </c>
      <c r="L981" s="191"/>
      <c r="M981" s="191"/>
      <c r="N981" s="191"/>
      <c r="O981" s="191"/>
      <c r="P981" s="191"/>
      <c r="Q981" s="191"/>
      <c r="R981" s="191"/>
      <c r="S981" s="191"/>
      <c r="T981" s="191"/>
      <c r="U981" s="439"/>
      <c r="V981" s="441"/>
      <c r="W981" s="178"/>
      <c r="X981" s="172"/>
      <c r="Y981" s="172"/>
      <c r="Z981" s="172"/>
      <c r="AA981" s="195"/>
      <c r="AB981" s="172"/>
    </row>
    <row r="982" spans="1:28" ht="12.75" customHeight="1" x14ac:dyDescent="0.3">
      <c r="A982" s="667"/>
      <c r="B982" s="668" t="s">
        <v>6011</v>
      </c>
      <c r="C982" s="160" t="s">
        <v>6012</v>
      </c>
      <c r="D982" s="160"/>
      <c r="E982" s="439">
        <v>-1.85</v>
      </c>
      <c r="F982" s="161">
        <v>257.02867557799999</v>
      </c>
      <c r="G982" s="161">
        <v>-31.085000000000001</v>
      </c>
      <c r="H982" s="654">
        <v>4.7852198884000003</v>
      </c>
      <c r="I982" s="654">
        <v>126.177433070644</v>
      </c>
      <c r="J982" s="191"/>
      <c r="K982" s="191">
        <v>80.199193324707906</v>
      </c>
      <c r="L982" s="191"/>
      <c r="M982" s="191"/>
      <c r="N982" s="191"/>
      <c r="O982" s="191"/>
      <c r="P982" s="191"/>
      <c r="Q982" s="191"/>
      <c r="R982" s="191"/>
      <c r="S982" s="191"/>
      <c r="T982" s="191"/>
      <c r="U982" s="439"/>
      <c r="V982" s="441"/>
      <c r="W982" s="178"/>
      <c r="X982" s="172"/>
      <c r="Y982" s="172"/>
      <c r="Z982" s="172"/>
      <c r="AA982" s="195"/>
      <c r="AB982" s="172"/>
    </row>
    <row r="983" spans="1:28" ht="12.75" customHeight="1" x14ac:dyDescent="0.3">
      <c r="A983" s="667"/>
      <c r="B983" s="668" t="s">
        <v>6013</v>
      </c>
      <c r="C983" s="160" t="s">
        <v>6014</v>
      </c>
      <c r="D983" s="160"/>
      <c r="E983" s="439">
        <v>5.87</v>
      </c>
      <c r="F983" s="161">
        <v>507.99672279200001</v>
      </c>
      <c r="G983" s="161">
        <v>-32.137</v>
      </c>
      <c r="H983" s="654">
        <v>4.6121279357999896</v>
      </c>
      <c r="I983" s="654">
        <v>0.244828004556158</v>
      </c>
      <c r="J983" s="191"/>
      <c r="K983" s="191">
        <v>53407.223409375998</v>
      </c>
      <c r="L983" s="191"/>
      <c r="M983" s="191"/>
      <c r="N983" s="191"/>
      <c r="O983" s="191"/>
      <c r="P983" s="191"/>
      <c r="Q983" s="191"/>
      <c r="R983" s="191"/>
      <c r="S983" s="191"/>
      <c r="T983" s="191"/>
      <c r="U983" s="439"/>
      <c r="V983" s="441"/>
      <c r="W983" s="178"/>
      <c r="X983" s="172"/>
      <c r="Y983" s="172"/>
      <c r="Z983" s="172"/>
      <c r="AA983" s="195"/>
      <c r="AB983" s="172"/>
    </row>
    <row r="984" spans="1:28" ht="12.75" customHeight="1" x14ac:dyDescent="0.3">
      <c r="A984" s="667"/>
      <c r="B984" s="668" t="s">
        <v>6015</v>
      </c>
      <c r="C984" s="160" t="s">
        <v>6016</v>
      </c>
      <c r="D984" s="160"/>
      <c r="E984" s="439">
        <v>6.56</v>
      </c>
      <c r="F984" s="161">
        <v>501.042115631</v>
      </c>
      <c r="G984" s="161"/>
      <c r="H984" s="654"/>
      <c r="I984" s="654"/>
      <c r="J984" s="191"/>
      <c r="K984" s="191">
        <v>32307.250568928699</v>
      </c>
      <c r="L984" s="191"/>
      <c r="M984" s="191"/>
      <c r="N984" s="191"/>
      <c r="O984" s="191"/>
      <c r="P984" s="191"/>
      <c r="Q984" s="191"/>
      <c r="R984" s="191"/>
      <c r="S984" s="191"/>
      <c r="T984" s="191"/>
      <c r="U984" s="439"/>
      <c r="V984" s="441"/>
      <c r="W984" s="178"/>
      <c r="X984" s="172"/>
      <c r="Y984" s="172"/>
      <c r="Z984" s="172"/>
      <c r="AA984" s="195"/>
      <c r="AB984" s="172"/>
    </row>
    <row r="985" spans="1:28" ht="12.75" customHeight="1" x14ac:dyDescent="0.3">
      <c r="A985" s="667"/>
      <c r="B985" s="668" t="s">
        <v>6017</v>
      </c>
      <c r="C985" s="160" t="s">
        <v>6018</v>
      </c>
      <c r="D985" s="160"/>
      <c r="E985" s="439"/>
      <c r="F985" s="161">
        <v>428.984600753</v>
      </c>
      <c r="G985" s="161">
        <v>20.448</v>
      </c>
      <c r="H985" s="654">
        <v>1.3737365557999901</v>
      </c>
      <c r="I985" s="654">
        <v>3.9395071536330399</v>
      </c>
      <c r="J985" s="191"/>
      <c r="K985" s="191">
        <v>13506.101214747199</v>
      </c>
      <c r="L985" s="191"/>
      <c r="M985" s="191"/>
      <c r="N985" s="191"/>
      <c r="O985" s="191"/>
      <c r="P985" s="191"/>
      <c r="Q985" s="191"/>
      <c r="R985" s="191"/>
      <c r="S985" s="191"/>
      <c r="T985" s="191"/>
      <c r="U985" s="439"/>
      <c r="V985" s="441"/>
      <c r="W985" s="178"/>
      <c r="X985" s="172"/>
      <c r="Y985" s="172"/>
      <c r="Z985" s="172"/>
      <c r="AA985" s="195"/>
      <c r="AB985" s="172"/>
    </row>
    <row r="986" spans="1:28" ht="12.75" customHeight="1" x14ac:dyDescent="0.3">
      <c r="A986" s="667"/>
      <c r="B986" s="668" t="s">
        <v>6019</v>
      </c>
      <c r="C986" s="160" t="s">
        <v>6020</v>
      </c>
      <c r="D986" s="160"/>
      <c r="E986" s="439"/>
      <c r="F986" s="161">
        <v>228.997375449</v>
      </c>
      <c r="G986" s="161">
        <v>93.084999999999994</v>
      </c>
      <c r="H986" s="654">
        <v>12.159113054199899</v>
      </c>
      <c r="I986" s="654">
        <v>307.48851585789902</v>
      </c>
      <c r="J986" s="191"/>
      <c r="K986" s="191">
        <v>100.660712474589</v>
      </c>
      <c r="L986" s="191"/>
      <c r="M986" s="191"/>
      <c r="N986" s="191"/>
      <c r="O986" s="191"/>
      <c r="P986" s="191"/>
      <c r="Q986" s="191"/>
      <c r="R986" s="191"/>
      <c r="S986" s="191"/>
      <c r="T986" s="191"/>
      <c r="U986" s="439"/>
      <c r="V986" s="441"/>
      <c r="W986" s="178"/>
      <c r="X986" s="172"/>
      <c r="Y986" s="172"/>
      <c r="Z986" s="172"/>
      <c r="AA986" s="195"/>
      <c r="AB986" s="172"/>
    </row>
    <row r="987" spans="1:28" ht="12.75" customHeight="1" x14ac:dyDescent="0.3">
      <c r="A987" s="667"/>
      <c r="B987" s="668" t="s">
        <v>6021</v>
      </c>
      <c r="C987" s="160" t="s">
        <v>6022</v>
      </c>
      <c r="D987" s="160"/>
      <c r="E987" s="439">
        <v>7.22</v>
      </c>
      <c r="F987" s="161">
        <v>677.98444099999995</v>
      </c>
      <c r="G987" s="161"/>
      <c r="H987" s="654"/>
      <c r="I987" s="654"/>
      <c r="J987" s="191"/>
      <c r="K987" s="191">
        <v>1.2888904327638799</v>
      </c>
      <c r="L987" s="191"/>
      <c r="M987" s="191"/>
      <c r="N987" s="191"/>
      <c r="O987" s="191"/>
      <c r="P987" s="191"/>
      <c r="Q987" s="191"/>
      <c r="R987" s="191"/>
      <c r="S987" s="191"/>
      <c r="T987" s="191"/>
      <c r="U987" s="439"/>
      <c r="V987" s="441"/>
      <c r="W987" s="178"/>
      <c r="X987" s="172"/>
      <c r="Y987" s="172"/>
      <c r="Z987" s="172"/>
      <c r="AA987" s="195"/>
      <c r="AB987" s="172"/>
    </row>
    <row r="988" spans="1:28" ht="12.75" customHeight="1" x14ac:dyDescent="0.3">
      <c r="A988" s="667"/>
      <c r="B988" s="668" t="s">
        <v>6023</v>
      </c>
      <c r="C988" s="160" t="s">
        <v>6024</v>
      </c>
      <c r="D988" s="160"/>
      <c r="E988" s="439">
        <v>7.22</v>
      </c>
      <c r="F988" s="161">
        <v>634.03495539999994</v>
      </c>
      <c r="G988" s="161"/>
      <c r="H988" s="654"/>
      <c r="I988" s="654"/>
      <c r="J988" s="191"/>
      <c r="K988" s="191">
        <v>806.77048213256398</v>
      </c>
      <c r="L988" s="191"/>
      <c r="M988" s="191"/>
      <c r="N988" s="191"/>
      <c r="O988" s="191"/>
      <c r="P988" s="191"/>
      <c r="Q988" s="191"/>
      <c r="R988" s="191"/>
      <c r="S988" s="191"/>
      <c r="T988" s="191"/>
      <c r="U988" s="439"/>
      <c r="V988" s="441"/>
      <c r="W988" s="178"/>
      <c r="X988" s="172"/>
      <c r="Y988" s="172"/>
      <c r="Z988" s="172"/>
      <c r="AA988" s="195"/>
      <c r="AB988" s="172"/>
    </row>
    <row r="989" spans="1:28" ht="12.75" customHeight="1" x14ac:dyDescent="0.3">
      <c r="A989" s="667"/>
      <c r="B989" s="668" t="s">
        <v>6025</v>
      </c>
      <c r="C989" s="160" t="s">
        <v>6026</v>
      </c>
      <c r="D989" s="160"/>
      <c r="E989" s="439">
        <v>7.1</v>
      </c>
      <c r="F989" s="161">
        <v>584.03814910000006</v>
      </c>
      <c r="G989" s="161"/>
      <c r="H989" s="654"/>
      <c r="I989" s="654"/>
      <c r="J989" s="191"/>
      <c r="K989" s="191">
        <v>244.66959325895201</v>
      </c>
      <c r="L989" s="191"/>
      <c r="M989" s="191"/>
      <c r="N989" s="191"/>
      <c r="O989" s="191"/>
      <c r="P989" s="191"/>
      <c r="Q989" s="191"/>
      <c r="R989" s="191"/>
      <c r="S989" s="191"/>
      <c r="T989" s="191"/>
      <c r="U989" s="439"/>
      <c r="V989" s="441"/>
      <c r="W989" s="178"/>
      <c r="X989" s="172"/>
      <c r="Y989" s="172"/>
      <c r="Z989" s="172"/>
      <c r="AA989" s="195"/>
      <c r="AB989" s="172"/>
    </row>
    <row r="990" spans="1:28" ht="12.75" customHeight="1" x14ac:dyDescent="0.3">
      <c r="A990" s="667"/>
      <c r="B990" s="668" t="s">
        <v>6027</v>
      </c>
      <c r="C990" s="160" t="s">
        <v>6028</v>
      </c>
      <c r="D990" s="160"/>
      <c r="E990" s="439">
        <v>7.53</v>
      </c>
      <c r="F990" s="161">
        <v>534.04134280000005</v>
      </c>
      <c r="G990" s="161"/>
      <c r="H990" s="654"/>
      <c r="I990" s="654"/>
      <c r="J990" s="191"/>
      <c r="K990" s="191">
        <v>631.66963438922301</v>
      </c>
      <c r="L990" s="191"/>
      <c r="M990" s="191"/>
      <c r="N990" s="191"/>
      <c r="O990" s="191"/>
      <c r="P990" s="191"/>
      <c r="Q990" s="191"/>
      <c r="R990" s="191"/>
      <c r="S990" s="191"/>
      <c r="T990" s="191"/>
      <c r="U990" s="439"/>
      <c r="V990" s="441"/>
      <c r="W990" s="178"/>
      <c r="X990" s="172"/>
      <c r="Y990" s="172"/>
      <c r="Z990" s="172"/>
      <c r="AA990" s="195"/>
      <c r="AB990" s="172"/>
    </row>
    <row r="991" spans="1:28" ht="12.75" customHeight="1" x14ac:dyDescent="0.3">
      <c r="A991" s="667"/>
      <c r="B991" s="668" t="s">
        <v>6029</v>
      </c>
      <c r="C991" s="160" t="s">
        <v>6030</v>
      </c>
      <c r="D991" s="160"/>
      <c r="E991" s="439">
        <v>7.64</v>
      </c>
      <c r="F991" s="161">
        <v>484.04453640000003</v>
      </c>
      <c r="G991" s="161"/>
      <c r="H991" s="654"/>
      <c r="I991" s="654"/>
      <c r="J991" s="191"/>
      <c r="K991" s="191">
        <v>37.924511900637697</v>
      </c>
      <c r="L991" s="191"/>
      <c r="M991" s="191"/>
      <c r="N991" s="191"/>
      <c r="O991" s="191"/>
      <c r="P991" s="191"/>
      <c r="Q991" s="191"/>
      <c r="R991" s="191"/>
      <c r="S991" s="191"/>
      <c r="T991" s="191"/>
      <c r="U991" s="439"/>
      <c r="V991" s="441"/>
      <c r="W991" s="178"/>
      <c r="X991" s="172"/>
      <c r="Y991" s="172"/>
      <c r="Z991" s="172"/>
      <c r="AA991" s="195"/>
      <c r="AB991" s="172"/>
    </row>
    <row r="992" spans="1:28" ht="12.75" customHeight="1" x14ac:dyDescent="0.3">
      <c r="A992" s="667"/>
      <c r="B992" s="668" t="s">
        <v>6031</v>
      </c>
      <c r="C992" s="160" t="s">
        <v>6032</v>
      </c>
      <c r="D992" s="160"/>
      <c r="E992" s="439">
        <v>7.81</v>
      </c>
      <c r="F992" s="161">
        <v>434.04773010000002</v>
      </c>
      <c r="G992" s="161"/>
      <c r="H992" s="654"/>
      <c r="I992" s="654"/>
      <c r="J992" s="191"/>
      <c r="K992" s="191">
        <v>30.957793570609599</v>
      </c>
      <c r="L992" s="191"/>
      <c r="M992" s="191"/>
      <c r="N992" s="191"/>
      <c r="O992" s="191"/>
      <c r="P992" s="191"/>
      <c r="Q992" s="191"/>
      <c r="R992" s="191"/>
      <c r="S992" s="191"/>
      <c r="T992" s="191"/>
      <c r="U992" s="439"/>
      <c r="V992" s="441"/>
      <c r="W992" s="178"/>
      <c r="X992" s="172"/>
      <c r="Y992" s="172"/>
      <c r="Z992" s="172"/>
      <c r="AA992" s="195"/>
      <c r="AB992" s="172"/>
    </row>
    <row r="993" spans="1:28" ht="12.75" customHeight="1" x14ac:dyDescent="0.3">
      <c r="A993" s="667"/>
      <c r="B993" s="668" t="s">
        <v>6033</v>
      </c>
      <c r="C993" s="160" t="s">
        <v>6034</v>
      </c>
      <c r="D993" s="160"/>
      <c r="E993" s="439"/>
      <c r="F993" s="161">
        <v>969.60689600000001</v>
      </c>
      <c r="G993" s="161"/>
      <c r="H993" s="654"/>
      <c r="I993" s="654"/>
      <c r="J993" s="191"/>
      <c r="K993" s="191"/>
      <c r="L993" s="191"/>
      <c r="M993" s="191"/>
      <c r="N993" s="191"/>
      <c r="O993" s="191"/>
      <c r="P993" s="191"/>
      <c r="Q993" s="191"/>
      <c r="R993" s="191"/>
      <c r="S993" s="191"/>
      <c r="T993" s="191"/>
      <c r="U993" s="439"/>
      <c r="V993" s="441"/>
      <c r="W993" s="178"/>
      <c r="X993" s="172"/>
      <c r="Y993" s="172"/>
      <c r="Z993" s="172"/>
      <c r="AA993" s="195"/>
      <c r="AB993" s="172"/>
    </row>
    <row r="994" spans="1:28" ht="12.75" customHeight="1" x14ac:dyDescent="0.3">
      <c r="A994" s="667"/>
      <c r="B994" s="668" t="s">
        <v>6035</v>
      </c>
      <c r="C994" s="160" t="s">
        <v>6036</v>
      </c>
      <c r="D994" s="160"/>
      <c r="E994" s="439"/>
      <c r="F994" s="161">
        <v>1028.909054</v>
      </c>
      <c r="G994" s="161"/>
      <c r="H994" s="654"/>
      <c r="I994" s="654"/>
      <c r="J994" s="191"/>
      <c r="K994" s="191"/>
      <c r="L994" s="191"/>
      <c r="M994" s="191"/>
      <c r="N994" s="191"/>
      <c r="O994" s="191"/>
      <c r="P994" s="191"/>
      <c r="Q994" s="191"/>
      <c r="R994" s="191"/>
      <c r="S994" s="191"/>
      <c r="T994" s="191"/>
      <c r="U994" s="439"/>
      <c r="V994" s="441"/>
      <c r="W994" s="178"/>
      <c r="X994" s="172"/>
      <c r="Y994" s="172"/>
      <c r="Z994" s="172"/>
      <c r="AA994" s="195"/>
      <c r="AB994" s="172"/>
    </row>
    <row r="995" spans="1:28" ht="12.75" customHeight="1" x14ac:dyDescent="0.3">
      <c r="A995" s="667"/>
      <c r="B995" s="668" t="s">
        <v>6037</v>
      </c>
      <c r="C995" s="160" t="s">
        <v>6038</v>
      </c>
      <c r="D995" s="160"/>
      <c r="E995" s="439"/>
      <c r="F995" s="161">
        <v>800.89052900000002</v>
      </c>
      <c r="G995" s="161"/>
      <c r="H995" s="654"/>
      <c r="I995" s="654"/>
      <c r="J995" s="191"/>
      <c r="K995" s="191"/>
      <c r="L995" s="191"/>
      <c r="M995" s="191"/>
      <c r="N995" s="191"/>
      <c r="O995" s="191"/>
      <c r="P995" s="191"/>
      <c r="Q995" s="191"/>
      <c r="R995" s="191"/>
      <c r="S995" s="191"/>
      <c r="T995" s="191"/>
      <c r="U995" s="439"/>
      <c r="V995" s="441"/>
      <c r="W995" s="178"/>
      <c r="X995" s="172"/>
      <c r="Y995" s="172"/>
      <c r="Z995" s="172"/>
      <c r="AA995" s="195"/>
      <c r="AB995" s="172"/>
    </row>
    <row r="996" spans="1:28" ht="12.75" customHeight="1" x14ac:dyDescent="0.3">
      <c r="A996" s="667"/>
      <c r="B996" s="668" t="s">
        <v>6039</v>
      </c>
      <c r="C996" s="160" t="s">
        <v>6040</v>
      </c>
      <c r="D996" s="160"/>
      <c r="E996" s="439"/>
      <c r="F996" s="161">
        <v>949.87312299999996</v>
      </c>
      <c r="G996" s="161"/>
      <c r="H996" s="654"/>
      <c r="I996" s="654"/>
      <c r="J996" s="191"/>
      <c r="K996" s="191"/>
      <c r="L996" s="191"/>
      <c r="M996" s="191"/>
      <c r="N996" s="191"/>
      <c r="O996" s="191"/>
      <c r="P996" s="191"/>
      <c r="Q996" s="191"/>
      <c r="R996" s="191"/>
      <c r="S996" s="191"/>
      <c r="T996" s="191"/>
      <c r="U996" s="439"/>
      <c r="V996" s="441"/>
      <c r="W996" s="178"/>
      <c r="X996" s="172"/>
      <c r="Y996" s="172"/>
      <c r="Z996" s="172"/>
      <c r="AA996" s="195"/>
      <c r="AB996" s="172"/>
    </row>
    <row r="997" spans="1:28" ht="12.75" customHeight="1" x14ac:dyDescent="0.3">
      <c r="A997" s="667"/>
      <c r="B997" s="668" t="s">
        <v>6041</v>
      </c>
      <c r="C997" s="160" t="s">
        <v>6042</v>
      </c>
      <c r="D997" s="160"/>
      <c r="E997" s="439"/>
      <c r="F997" s="161">
        <v>896.85284100000001</v>
      </c>
      <c r="G997" s="161"/>
      <c r="H997" s="654"/>
      <c r="I997" s="654"/>
      <c r="J997" s="191"/>
      <c r="K997" s="191"/>
      <c r="L997" s="191"/>
      <c r="M997" s="191"/>
      <c r="N997" s="191"/>
      <c r="O997" s="191"/>
      <c r="P997" s="191"/>
      <c r="Q997" s="191"/>
      <c r="R997" s="191"/>
      <c r="S997" s="191"/>
      <c r="T997" s="191"/>
      <c r="U997" s="439"/>
      <c r="V997" s="441"/>
      <c r="W997" s="178"/>
      <c r="X997" s="172"/>
      <c r="Y997" s="172"/>
      <c r="Z997" s="172"/>
      <c r="AA997" s="195"/>
      <c r="AB997" s="172"/>
    </row>
    <row r="998" spans="1:28" ht="12.75" customHeight="1" x14ac:dyDescent="0.3">
      <c r="A998" s="667"/>
      <c r="B998" s="668" t="s">
        <v>6043</v>
      </c>
      <c r="C998" s="160" t="s">
        <v>6044</v>
      </c>
      <c r="D998" s="160"/>
      <c r="E998" s="439"/>
      <c r="F998" s="161">
        <v>850.88733500000001</v>
      </c>
      <c r="G998" s="161"/>
      <c r="H998" s="654"/>
      <c r="I998" s="654"/>
      <c r="J998" s="191"/>
      <c r="K998" s="191"/>
      <c r="L998" s="191"/>
      <c r="M998" s="191"/>
      <c r="N998" s="191"/>
      <c r="O998" s="191"/>
      <c r="P998" s="191"/>
      <c r="Q998" s="191"/>
      <c r="R998" s="191"/>
      <c r="S998" s="191"/>
      <c r="T998" s="191"/>
      <c r="U998" s="439"/>
      <c r="V998" s="441"/>
      <c r="W998" s="178"/>
      <c r="X998" s="172"/>
      <c r="Y998" s="172"/>
      <c r="Z998" s="172"/>
      <c r="AA998" s="195"/>
      <c r="AB998" s="172"/>
    </row>
    <row r="999" spans="1:28" ht="12.75" customHeight="1" x14ac:dyDescent="0.3">
      <c r="A999" s="667"/>
      <c r="B999" s="668" t="s">
        <v>6045</v>
      </c>
      <c r="C999" s="160" t="s">
        <v>6046</v>
      </c>
      <c r="D999" s="160"/>
      <c r="E999" s="439">
        <v>6.34</v>
      </c>
      <c r="F999" s="161">
        <v>388.99321658899999</v>
      </c>
      <c r="G999" s="161"/>
      <c r="H999" s="654"/>
      <c r="I999" s="654"/>
      <c r="J999" s="191"/>
      <c r="K999" s="191">
        <v>6033.3705626368901</v>
      </c>
      <c r="L999" s="191"/>
      <c r="M999" s="191"/>
      <c r="N999" s="191"/>
      <c r="O999" s="191"/>
      <c r="P999" s="191"/>
      <c r="Q999" s="191"/>
      <c r="R999" s="191"/>
      <c r="S999" s="191"/>
      <c r="T999" s="191"/>
      <c r="U999" s="439"/>
      <c r="V999" s="441"/>
      <c r="W999" s="178"/>
      <c r="X999" s="172"/>
      <c r="Y999" s="172"/>
      <c r="Z999" s="172"/>
      <c r="AA999" s="195"/>
      <c r="AB999" s="172"/>
    </row>
    <row r="1000" spans="1:28" ht="12.75" customHeight="1" x14ac:dyDescent="0.3">
      <c r="A1000" s="667"/>
      <c r="B1000" s="668" t="s">
        <v>6047</v>
      </c>
      <c r="C1000" s="160" t="s">
        <v>6048</v>
      </c>
      <c r="D1000" s="160"/>
      <c r="E1000" s="439">
        <v>6.59</v>
      </c>
      <c r="F1000" s="161">
        <v>388.99321658899999</v>
      </c>
      <c r="G1000" s="161"/>
      <c r="H1000" s="654"/>
      <c r="I1000" s="654"/>
      <c r="J1000" s="191"/>
      <c r="K1000" s="191">
        <v>5318.1428661096697</v>
      </c>
      <c r="L1000" s="191"/>
      <c r="M1000" s="191"/>
      <c r="N1000" s="191"/>
      <c r="O1000" s="191"/>
      <c r="P1000" s="191"/>
      <c r="Q1000" s="191"/>
      <c r="R1000" s="191"/>
      <c r="S1000" s="191"/>
      <c r="T1000" s="191"/>
      <c r="U1000" s="439"/>
      <c r="V1000" s="441"/>
      <c r="W1000" s="178"/>
      <c r="X1000" s="172"/>
      <c r="Y1000" s="172"/>
      <c r="Z1000" s="172"/>
      <c r="AA1000" s="195"/>
      <c r="AB1000" s="172"/>
    </row>
    <row r="1001" spans="1:28" ht="12.75" customHeight="1" x14ac:dyDescent="0.3">
      <c r="A1001" s="667"/>
      <c r="B1001" s="668" t="s">
        <v>6049</v>
      </c>
      <c r="C1001" s="160" t="s">
        <v>6050</v>
      </c>
      <c r="D1001" s="160"/>
      <c r="E1001" s="439">
        <v>6.33</v>
      </c>
      <c r="F1001" s="161">
        <v>385.01828852300002</v>
      </c>
      <c r="G1001" s="161"/>
      <c r="H1001" s="654"/>
      <c r="I1001" s="654"/>
      <c r="J1001" s="191"/>
      <c r="K1001" s="191">
        <v>8375.6785266379502</v>
      </c>
      <c r="L1001" s="191"/>
      <c r="M1001" s="191"/>
      <c r="N1001" s="191"/>
      <c r="O1001" s="191"/>
      <c r="P1001" s="191"/>
      <c r="Q1001" s="191"/>
      <c r="R1001" s="191"/>
      <c r="S1001" s="191"/>
      <c r="T1001" s="191"/>
      <c r="U1001" s="439"/>
      <c r="V1001" s="441"/>
      <c r="W1001" s="178"/>
      <c r="X1001" s="172"/>
      <c r="Y1001" s="172"/>
      <c r="Z1001" s="172"/>
      <c r="AA1001" s="195"/>
      <c r="AB1001" s="172"/>
    </row>
    <row r="1002" spans="1:28" ht="12.75" customHeight="1" x14ac:dyDescent="0.3">
      <c r="A1002" s="667"/>
      <c r="B1002" s="668" t="s">
        <v>6051</v>
      </c>
      <c r="C1002" s="160" t="s">
        <v>6052</v>
      </c>
      <c r="D1002" s="160"/>
      <c r="E1002" s="439">
        <v>4.49</v>
      </c>
      <c r="F1002" s="161">
        <v>415.98771667</v>
      </c>
      <c r="G1002" s="161"/>
      <c r="H1002" s="654"/>
      <c r="I1002" s="654"/>
      <c r="J1002" s="191"/>
      <c r="K1002" s="191">
        <v>12356.6287879273</v>
      </c>
      <c r="L1002" s="191"/>
      <c r="M1002" s="191"/>
      <c r="N1002" s="191"/>
      <c r="O1002" s="191"/>
      <c r="P1002" s="191"/>
      <c r="Q1002" s="191"/>
      <c r="R1002" s="191"/>
      <c r="S1002" s="191"/>
      <c r="T1002" s="191"/>
      <c r="U1002" s="439"/>
      <c r="V1002" s="441"/>
      <c r="W1002" s="178"/>
      <c r="X1002" s="172"/>
      <c r="Y1002" s="172"/>
      <c r="Z1002" s="172"/>
      <c r="AA1002" s="195"/>
      <c r="AB1002" s="172"/>
    </row>
    <row r="1003" spans="1:28" ht="12.75" customHeight="1" x14ac:dyDescent="0.3">
      <c r="A1003" s="667"/>
      <c r="B1003" s="668" t="s">
        <v>6053</v>
      </c>
      <c r="C1003" s="160" t="s">
        <v>6054</v>
      </c>
      <c r="D1003" s="160"/>
      <c r="E1003" s="439">
        <v>22</v>
      </c>
      <c r="F1003" s="161">
        <v>404.96366610000001</v>
      </c>
      <c r="G1003" s="161"/>
      <c r="H1003" s="654"/>
      <c r="I1003" s="654"/>
      <c r="J1003" s="191"/>
      <c r="K1003" s="191">
        <v>6536.72177023727</v>
      </c>
      <c r="L1003" s="191"/>
      <c r="M1003" s="191"/>
      <c r="N1003" s="191"/>
      <c r="O1003" s="191"/>
      <c r="P1003" s="191"/>
      <c r="Q1003" s="191"/>
      <c r="R1003" s="191"/>
      <c r="S1003" s="191"/>
      <c r="T1003" s="191"/>
      <c r="U1003" s="439"/>
      <c r="V1003" s="441"/>
      <c r="W1003" s="178"/>
      <c r="X1003" s="172"/>
      <c r="Y1003" s="172"/>
      <c r="Z1003" s="172"/>
      <c r="AA1003" s="195"/>
      <c r="AB1003" s="172"/>
    </row>
    <row r="1004" spans="1:28" ht="12.75" customHeight="1" x14ac:dyDescent="0.3">
      <c r="A1004" s="667"/>
      <c r="B1004" s="668" t="s">
        <v>6055</v>
      </c>
      <c r="C1004" s="160" t="s">
        <v>6056</v>
      </c>
      <c r="D1004" s="160"/>
      <c r="E1004" s="439">
        <v>5.96</v>
      </c>
      <c r="F1004" s="161">
        <v>371.00263845799998</v>
      </c>
      <c r="G1004" s="161"/>
      <c r="H1004" s="654"/>
      <c r="I1004" s="654"/>
      <c r="J1004" s="191"/>
      <c r="K1004" s="191">
        <v>6559.1868088871797</v>
      </c>
      <c r="L1004" s="191"/>
      <c r="M1004" s="191"/>
      <c r="N1004" s="191"/>
      <c r="O1004" s="191"/>
      <c r="P1004" s="191"/>
      <c r="Q1004" s="191"/>
      <c r="R1004" s="191"/>
      <c r="S1004" s="191"/>
      <c r="T1004" s="191"/>
      <c r="U1004" s="439"/>
      <c r="V1004" s="441"/>
      <c r="W1004" s="178"/>
      <c r="X1004" s="172"/>
      <c r="Y1004" s="172"/>
      <c r="Z1004" s="172"/>
      <c r="AA1004" s="195"/>
      <c r="AB1004" s="172"/>
    </row>
    <row r="1005" spans="1:28" ht="12.75" customHeight="1" x14ac:dyDescent="0.3">
      <c r="A1005" s="667"/>
      <c r="B1005" s="668" t="s">
        <v>6057</v>
      </c>
      <c r="C1005" s="160" t="s">
        <v>6058</v>
      </c>
      <c r="D1005" s="160"/>
      <c r="E1005" s="439">
        <v>3.67</v>
      </c>
      <c r="F1005" s="161">
        <v>366.99246769799998</v>
      </c>
      <c r="G1005" s="161"/>
      <c r="H1005" s="654"/>
      <c r="I1005" s="654"/>
      <c r="J1005" s="191"/>
      <c r="K1005" s="191">
        <v>10063.753715724901</v>
      </c>
      <c r="L1005" s="191"/>
      <c r="M1005" s="191"/>
      <c r="N1005" s="191"/>
      <c r="O1005" s="191"/>
      <c r="P1005" s="191"/>
      <c r="Q1005" s="191"/>
      <c r="R1005" s="191"/>
      <c r="S1005" s="191"/>
      <c r="T1005" s="191"/>
      <c r="U1005" s="439"/>
      <c r="V1005" s="441"/>
      <c r="W1005" s="178"/>
      <c r="X1005" s="172"/>
      <c r="Y1005" s="172"/>
      <c r="Z1005" s="172"/>
      <c r="AA1005" s="195"/>
      <c r="AB1005" s="172"/>
    </row>
    <row r="1006" spans="1:28" ht="12.75" customHeight="1" x14ac:dyDescent="0.3">
      <c r="A1006" s="667"/>
      <c r="B1006" s="668" t="s">
        <v>6059</v>
      </c>
      <c r="C1006" s="160" t="s">
        <v>6060</v>
      </c>
      <c r="D1006" s="160"/>
      <c r="E1006" s="439"/>
      <c r="F1006" s="161">
        <v>889.13256481899998</v>
      </c>
      <c r="G1006" s="161"/>
      <c r="H1006" s="654"/>
      <c r="I1006" s="654"/>
      <c r="J1006" s="191"/>
      <c r="K1006" s="191">
        <v>73551240.187336802</v>
      </c>
      <c r="L1006" s="191"/>
      <c r="M1006" s="191"/>
      <c r="N1006" s="191"/>
      <c r="O1006" s="191"/>
      <c r="P1006" s="191"/>
      <c r="Q1006" s="191"/>
      <c r="R1006" s="191"/>
      <c r="S1006" s="191"/>
      <c r="T1006" s="191"/>
      <c r="U1006" s="439"/>
      <c r="V1006" s="441"/>
      <c r="W1006" s="178"/>
      <c r="X1006" s="172"/>
      <c r="Y1006" s="172"/>
      <c r="Z1006" s="172"/>
      <c r="AA1006" s="195"/>
      <c r="AB1006" s="172"/>
    </row>
    <row r="1007" spans="1:28" ht="12.75" customHeight="1" x14ac:dyDescent="0.3">
      <c r="A1007" s="667"/>
      <c r="B1007" s="668" t="s">
        <v>6061</v>
      </c>
      <c r="C1007" s="160" t="s">
        <v>6062</v>
      </c>
      <c r="D1007" s="160"/>
      <c r="E1007" s="439"/>
      <c r="F1007" s="161">
        <v>839.13575849300003</v>
      </c>
      <c r="G1007" s="161"/>
      <c r="H1007" s="654"/>
      <c r="I1007" s="654"/>
      <c r="J1007" s="191"/>
      <c r="K1007" s="191">
        <v>73469993.259490103</v>
      </c>
      <c r="L1007" s="191"/>
      <c r="M1007" s="191"/>
      <c r="N1007" s="191"/>
      <c r="O1007" s="191"/>
      <c r="P1007" s="191"/>
      <c r="Q1007" s="191"/>
      <c r="R1007" s="191"/>
      <c r="S1007" s="191"/>
      <c r="T1007" s="191"/>
      <c r="U1007" s="439"/>
      <c r="V1007" s="441"/>
      <c r="W1007" s="178"/>
      <c r="X1007" s="172"/>
      <c r="Y1007" s="172"/>
      <c r="Z1007" s="172"/>
      <c r="AA1007" s="195"/>
      <c r="AB1007" s="172"/>
    </row>
    <row r="1008" spans="1:28" ht="12.75" customHeight="1" x14ac:dyDescent="0.3">
      <c r="A1008" s="667"/>
      <c r="B1008" s="668" t="s">
        <v>6063</v>
      </c>
      <c r="C1008" s="160" t="s">
        <v>6064</v>
      </c>
      <c r="D1008" s="160"/>
      <c r="E1008" s="439"/>
      <c r="F1008" s="161">
        <v>789.13895216699996</v>
      </c>
      <c r="G1008" s="161"/>
      <c r="H1008" s="654"/>
      <c r="I1008" s="654"/>
      <c r="J1008" s="191"/>
      <c r="K1008" s="191">
        <v>73260520.515697598</v>
      </c>
      <c r="L1008" s="191"/>
      <c r="M1008" s="191"/>
      <c r="N1008" s="191"/>
      <c r="O1008" s="191"/>
      <c r="P1008" s="191"/>
      <c r="Q1008" s="191"/>
      <c r="R1008" s="191"/>
      <c r="S1008" s="191"/>
      <c r="T1008" s="191"/>
      <c r="U1008" s="439"/>
      <c r="V1008" s="441"/>
      <c r="W1008" s="178"/>
      <c r="X1008" s="172"/>
      <c r="Y1008" s="172"/>
      <c r="Z1008" s="172"/>
      <c r="AA1008" s="195"/>
      <c r="AB1008" s="172"/>
    </row>
    <row r="1009" spans="1:28" ht="12.75" customHeight="1" x14ac:dyDescent="0.3">
      <c r="A1009" s="667"/>
      <c r="B1009" s="668" t="s">
        <v>6065</v>
      </c>
      <c r="C1009" s="160" t="s">
        <v>6066</v>
      </c>
      <c r="D1009" s="160"/>
      <c r="E1009" s="439"/>
      <c r="F1009" s="161">
        <v>739.142145841</v>
      </c>
      <c r="G1009" s="161"/>
      <c r="H1009" s="654"/>
      <c r="I1009" s="654"/>
      <c r="J1009" s="191"/>
      <c r="K1009" s="191">
        <v>10658595.9714725</v>
      </c>
      <c r="L1009" s="191"/>
      <c r="M1009" s="191"/>
      <c r="N1009" s="191"/>
      <c r="O1009" s="191"/>
      <c r="P1009" s="191"/>
      <c r="Q1009" s="191"/>
      <c r="R1009" s="191"/>
      <c r="S1009" s="191"/>
      <c r="T1009" s="191"/>
      <c r="U1009" s="439"/>
      <c r="V1009" s="441"/>
      <c r="W1009" s="178"/>
      <c r="X1009" s="172"/>
      <c r="Y1009" s="172"/>
      <c r="Z1009" s="172"/>
      <c r="AA1009" s="195"/>
      <c r="AB1009" s="172"/>
    </row>
    <row r="1010" spans="1:28" ht="12.75" customHeight="1" x14ac:dyDescent="0.3">
      <c r="A1010" s="667"/>
      <c r="B1010" s="668" t="s">
        <v>6067</v>
      </c>
      <c r="C1010" s="160" t="s">
        <v>6068</v>
      </c>
      <c r="D1010" s="160"/>
      <c r="E1010" s="439"/>
      <c r="F1010" s="161">
        <v>689.14533951500005</v>
      </c>
      <c r="G1010" s="161"/>
      <c r="H1010" s="654"/>
      <c r="I1010" s="654"/>
      <c r="J1010" s="191"/>
      <c r="K1010" s="191">
        <v>638204.70265812404</v>
      </c>
      <c r="L1010" s="191"/>
      <c r="M1010" s="191"/>
      <c r="N1010" s="191"/>
      <c r="O1010" s="191"/>
      <c r="P1010" s="191"/>
      <c r="Q1010" s="191"/>
      <c r="R1010" s="191"/>
      <c r="S1010" s="191"/>
      <c r="T1010" s="191"/>
      <c r="U1010" s="439"/>
      <c r="V1010" s="441"/>
      <c r="W1010" s="178"/>
      <c r="X1010" s="172"/>
      <c r="Y1010" s="172"/>
      <c r="Z1010" s="172"/>
      <c r="AA1010" s="195"/>
      <c r="AB1010" s="172"/>
    </row>
    <row r="1011" spans="1:28" ht="12.75" customHeight="1" x14ac:dyDescent="0.3">
      <c r="A1011" s="667"/>
      <c r="B1011" s="668" t="s">
        <v>6069</v>
      </c>
      <c r="C1011" s="160" t="s">
        <v>6070</v>
      </c>
      <c r="D1011" s="160"/>
      <c r="E1011" s="439">
        <v>5.23</v>
      </c>
      <c r="F1011" s="161">
        <v>580.90595679800003</v>
      </c>
      <c r="G1011" s="161"/>
      <c r="H1011" s="654"/>
      <c r="I1011" s="654"/>
      <c r="J1011" s="191"/>
      <c r="K1011" s="191">
        <v>230866.01148604901</v>
      </c>
      <c r="L1011" s="191"/>
      <c r="M1011" s="191"/>
      <c r="N1011" s="191"/>
      <c r="O1011" s="191"/>
      <c r="P1011" s="191"/>
      <c r="Q1011" s="191"/>
      <c r="R1011" s="191"/>
      <c r="S1011" s="191"/>
      <c r="T1011" s="191"/>
      <c r="U1011" s="439"/>
      <c r="V1011" s="441"/>
      <c r="W1011" s="178"/>
      <c r="X1011" s="172"/>
      <c r="Y1011" s="172"/>
      <c r="Z1011" s="172"/>
      <c r="AA1011" s="195"/>
      <c r="AB1011" s="172"/>
    </row>
    <row r="1012" spans="1:28" ht="12.75" customHeight="1" x14ac:dyDescent="0.3">
      <c r="A1012" s="667"/>
      <c r="B1012" s="668" t="s">
        <v>6071</v>
      </c>
      <c r="C1012" s="160" t="s">
        <v>6072</v>
      </c>
      <c r="D1012" s="160"/>
      <c r="E1012" s="439">
        <v>7.22</v>
      </c>
      <c r="F1012" s="161">
        <v>742.99712</v>
      </c>
      <c r="G1012" s="161"/>
      <c r="H1012" s="654"/>
      <c r="I1012" s="654"/>
      <c r="J1012" s="191"/>
      <c r="K1012" s="191">
        <v>0.67791149799351402</v>
      </c>
      <c r="L1012" s="191"/>
      <c r="M1012" s="191"/>
      <c r="N1012" s="191"/>
      <c r="O1012" s="191"/>
      <c r="P1012" s="191"/>
      <c r="Q1012" s="191"/>
      <c r="R1012" s="191"/>
      <c r="S1012" s="191"/>
      <c r="T1012" s="191"/>
      <c r="U1012" s="439"/>
      <c r="V1012" s="441"/>
      <c r="W1012" s="178"/>
      <c r="X1012" s="172"/>
      <c r="Y1012" s="172"/>
      <c r="Z1012" s="172"/>
      <c r="AA1012" s="195"/>
      <c r="AB1012" s="172"/>
    </row>
    <row r="1013" spans="1:28" ht="12.75" customHeight="1" x14ac:dyDescent="0.3">
      <c r="A1013" s="667"/>
      <c r="B1013" s="668" t="s">
        <v>6073</v>
      </c>
      <c r="C1013" s="160" t="s">
        <v>6074</v>
      </c>
      <c r="D1013" s="160"/>
      <c r="E1013" s="439">
        <v>7.22</v>
      </c>
      <c r="F1013" s="161">
        <v>725.97056999999995</v>
      </c>
      <c r="G1013" s="161">
        <v>63.267000000000003</v>
      </c>
      <c r="H1013" s="654"/>
      <c r="I1013" s="654"/>
      <c r="J1013" s="191"/>
      <c r="K1013" s="191">
        <v>527.12061349732801</v>
      </c>
      <c r="L1013" s="191"/>
      <c r="M1013" s="191"/>
      <c r="N1013" s="191"/>
      <c r="O1013" s="191"/>
      <c r="P1013" s="191"/>
      <c r="Q1013" s="191"/>
      <c r="R1013" s="191"/>
      <c r="S1013" s="191"/>
      <c r="T1013" s="191"/>
      <c r="U1013" s="439"/>
      <c r="V1013" s="441"/>
      <c r="W1013" s="178"/>
      <c r="X1013" s="172"/>
      <c r="Y1013" s="172"/>
      <c r="Z1013" s="172"/>
      <c r="AA1013" s="195"/>
      <c r="AB1013" s="172"/>
    </row>
    <row r="1014" spans="1:28" ht="12.75" customHeight="1" x14ac:dyDescent="0.3">
      <c r="A1014" s="667"/>
      <c r="B1014" s="668" t="s">
        <v>6075</v>
      </c>
      <c r="C1014" s="160" t="s">
        <v>6076</v>
      </c>
      <c r="D1014" s="160"/>
      <c r="E1014" s="439">
        <v>7.1</v>
      </c>
      <c r="F1014" s="161">
        <v>675.97376999999994</v>
      </c>
      <c r="G1014" s="161"/>
      <c r="H1014" s="654"/>
      <c r="I1014" s="654"/>
      <c r="J1014" s="191"/>
      <c r="K1014" s="191">
        <v>123.33603993014501</v>
      </c>
      <c r="L1014" s="191"/>
      <c r="M1014" s="191"/>
      <c r="N1014" s="191"/>
      <c r="O1014" s="191"/>
      <c r="P1014" s="191"/>
      <c r="Q1014" s="191"/>
      <c r="R1014" s="191"/>
      <c r="S1014" s="191"/>
      <c r="T1014" s="191"/>
      <c r="U1014" s="439"/>
      <c r="V1014" s="441"/>
      <c r="W1014" s="178"/>
      <c r="X1014" s="172"/>
      <c r="Y1014" s="172"/>
      <c r="Z1014" s="172"/>
      <c r="AA1014" s="195"/>
      <c r="AB1014" s="172"/>
    </row>
    <row r="1015" spans="1:28" ht="12.75" customHeight="1" x14ac:dyDescent="0.3">
      <c r="A1015" s="667"/>
      <c r="B1015" s="668" t="s">
        <v>6077</v>
      </c>
      <c r="C1015" s="160" t="s">
        <v>6078</v>
      </c>
      <c r="D1015" s="160"/>
      <c r="E1015" s="439">
        <v>7.53</v>
      </c>
      <c r="F1015" s="161">
        <v>625.97695999999996</v>
      </c>
      <c r="G1015" s="161"/>
      <c r="H1015" s="654"/>
      <c r="I1015" s="654"/>
      <c r="J1015" s="191"/>
      <c r="K1015" s="191">
        <v>10.5329494521137</v>
      </c>
      <c r="L1015" s="191"/>
      <c r="M1015" s="191"/>
      <c r="N1015" s="191"/>
      <c r="O1015" s="191"/>
      <c r="P1015" s="191"/>
      <c r="Q1015" s="191"/>
      <c r="R1015" s="191"/>
      <c r="S1015" s="191"/>
      <c r="T1015" s="191"/>
      <c r="U1015" s="439"/>
      <c r="V1015" s="441"/>
      <c r="W1015" s="178"/>
      <c r="X1015" s="172"/>
      <c r="Y1015" s="172"/>
      <c r="Z1015" s="172"/>
      <c r="AA1015" s="195"/>
      <c r="AB1015" s="172"/>
    </row>
    <row r="1016" spans="1:28" ht="12.75" customHeight="1" x14ac:dyDescent="0.3">
      <c r="A1016" s="667"/>
      <c r="B1016" s="668" t="s">
        <v>6079</v>
      </c>
      <c r="C1016" s="160" t="s">
        <v>6080</v>
      </c>
      <c r="D1016" s="160"/>
      <c r="E1016" s="439">
        <v>7.64</v>
      </c>
      <c r="F1016" s="161">
        <v>575.98014999999998</v>
      </c>
      <c r="G1016" s="161"/>
      <c r="H1016" s="654"/>
      <c r="I1016" s="654"/>
      <c r="J1016" s="191"/>
      <c r="K1016" s="191">
        <v>1.56837532140392</v>
      </c>
      <c r="L1016" s="191"/>
      <c r="M1016" s="191"/>
      <c r="N1016" s="191"/>
      <c r="O1016" s="191"/>
      <c r="P1016" s="191"/>
      <c r="Q1016" s="191"/>
      <c r="R1016" s="191"/>
      <c r="S1016" s="191"/>
      <c r="T1016" s="191"/>
      <c r="U1016" s="439"/>
      <c r="V1016" s="441"/>
      <c r="W1016" s="178"/>
      <c r="X1016" s="172"/>
      <c r="Y1016" s="172"/>
      <c r="Z1016" s="172"/>
      <c r="AA1016" s="195"/>
      <c r="AB1016" s="172"/>
    </row>
    <row r="1017" spans="1:28" ht="12.75" customHeight="1" x14ac:dyDescent="0.3">
      <c r="A1017" s="667"/>
      <c r="B1017" s="668" t="s">
        <v>6081</v>
      </c>
      <c r="C1017" s="160" t="s">
        <v>6082</v>
      </c>
      <c r="D1017" s="160"/>
      <c r="E1017" s="439">
        <v>7.81</v>
      </c>
      <c r="F1017" s="161">
        <v>525.98334999999997</v>
      </c>
      <c r="G1017" s="161"/>
      <c r="H1017" s="654"/>
      <c r="I1017" s="654"/>
      <c r="J1017" s="191"/>
      <c r="K1017" s="191">
        <v>0.129358806501117</v>
      </c>
      <c r="L1017" s="191"/>
      <c r="M1017" s="191"/>
      <c r="N1017" s="191"/>
      <c r="O1017" s="191"/>
      <c r="P1017" s="191"/>
      <c r="Q1017" s="191"/>
      <c r="R1017" s="191"/>
      <c r="S1017" s="191"/>
      <c r="T1017" s="191"/>
      <c r="U1017" s="439"/>
      <c r="V1017" s="441"/>
      <c r="W1017" s="178"/>
      <c r="X1017" s="172"/>
      <c r="Y1017" s="172"/>
      <c r="Z1017" s="172"/>
      <c r="AA1017" s="195"/>
      <c r="AB1017" s="172"/>
    </row>
    <row r="1018" spans="1:28" ht="12.75" customHeight="1" x14ac:dyDescent="0.3">
      <c r="A1018" s="667"/>
      <c r="B1018" s="668" t="s">
        <v>6083</v>
      </c>
      <c r="C1018" s="160" t="s">
        <v>6084</v>
      </c>
      <c r="D1018" s="160"/>
      <c r="E1018" s="439">
        <v>6.2</v>
      </c>
      <c r="F1018" s="161">
        <v>711.95492000000002</v>
      </c>
      <c r="G1018" s="161"/>
      <c r="H1018" s="654"/>
      <c r="I1018" s="654"/>
      <c r="J1018" s="191"/>
      <c r="K1018" s="191">
        <v>196.263708140484</v>
      </c>
      <c r="L1018" s="191"/>
      <c r="M1018" s="191"/>
      <c r="N1018" s="191"/>
      <c r="O1018" s="191"/>
      <c r="P1018" s="191"/>
      <c r="Q1018" s="191"/>
      <c r="R1018" s="191"/>
      <c r="S1018" s="191"/>
      <c r="T1018" s="191"/>
      <c r="U1018" s="439"/>
      <c r="V1018" s="441"/>
      <c r="W1018" s="178"/>
      <c r="X1018" s="172"/>
      <c r="Y1018" s="172"/>
      <c r="Z1018" s="172"/>
      <c r="AA1018" s="195"/>
      <c r="AB1018" s="172"/>
    </row>
    <row r="1019" spans="1:28" ht="12.75" customHeight="1" x14ac:dyDescent="0.3">
      <c r="A1019" s="667"/>
      <c r="B1019" s="668" t="s">
        <v>6085</v>
      </c>
      <c r="C1019" s="160" t="s">
        <v>6086</v>
      </c>
      <c r="D1019" s="160"/>
      <c r="E1019" s="439">
        <v>6.6</v>
      </c>
      <c r="F1019" s="161">
        <v>725.97056999999995</v>
      </c>
      <c r="G1019" s="161"/>
      <c r="H1019" s="654"/>
      <c r="I1019" s="654"/>
      <c r="J1019" s="191"/>
      <c r="K1019" s="191">
        <v>527.81289953959799</v>
      </c>
      <c r="L1019" s="191"/>
      <c r="M1019" s="191"/>
      <c r="N1019" s="191"/>
      <c r="O1019" s="191"/>
      <c r="P1019" s="191"/>
      <c r="Q1019" s="191"/>
      <c r="R1019" s="191"/>
      <c r="S1019" s="191"/>
      <c r="T1019" s="191"/>
      <c r="U1019" s="439"/>
      <c r="V1019" s="441"/>
      <c r="W1019" s="178"/>
      <c r="X1019" s="172"/>
      <c r="Y1019" s="172"/>
      <c r="Z1019" s="172"/>
      <c r="AA1019" s="195"/>
      <c r="AB1019" s="172"/>
    </row>
    <row r="1020" spans="1:28" ht="12.75" customHeight="1" x14ac:dyDescent="0.3">
      <c r="A1020" s="667"/>
      <c r="B1020" s="668" t="s">
        <v>6087</v>
      </c>
      <c r="C1020" s="160" t="s">
        <v>6088</v>
      </c>
      <c r="D1020" s="160"/>
      <c r="E1020" s="439">
        <v>7.21</v>
      </c>
      <c r="F1020" s="161">
        <v>754.00187000000005</v>
      </c>
      <c r="G1020" s="161"/>
      <c r="H1020" s="654"/>
      <c r="I1020" s="654"/>
      <c r="J1020" s="191"/>
      <c r="K1020" s="191">
        <v>1456.8673151345999</v>
      </c>
      <c r="L1020" s="191"/>
      <c r="M1020" s="191"/>
      <c r="N1020" s="191"/>
      <c r="O1020" s="191"/>
      <c r="P1020" s="191"/>
      <c r="Q1020" s="191"/>
      <c r="R1020" s="191"/>
      <c r="S1020" s="191"/>
      <c r="T1020" s="191"/>
      <c r="U1020" s="439"/>
      <c r="V1020" s="441"/>
      <c r="W1020" s="178"/>
      <c r="X1020" s="172"/>
      <c r="Y1020" s="172"/>
      <c r="Z1020" s="172"/>
      <c r="AA1020" s="195"/>
      <c r="AB1020" s="172"/>
    </row>
    <row r="1021" spans="1:28" ht="12.75" customHeight="1" x14ac:dyDescent="0.3">
      <c r="A1021" s="667"/>
      <c r="B1021" s="668" t="s">
        <v>6089</v>
      </c>
      <c r="C1021" s="160" t="s">
        <v>6090</v>
      </c>
      <c r="D1021" s="160"/>
      <c r="E1021" s="439">
        <v>6.92</v>
      </c>
      <c r="F1021" s="161">
        <v>754.00187000000005</v>
      </c>
      <c r="G1021" s="161"/>
      <c r="H1021" s="654"/>
      <c r="I1021" s="654"/>
      <c r="J1021" s="191"/>
      <c r="K1021" s="191">
        <v>1457.0686026964599</v>
      </c>
      <c r="L1021" s="191"/>
      <c r="M1021" s="191"/>
      <c r="N1021" s="191"/>
      <c r="O1021" s="191"/>
      <c r="P1021" s="191"/>
      <c r="Q1021" s="191"/>
      <c r="R1021" s="191"/>
      <c r="S1021" s="191"/>
      <c r="T1021" s="191"/>
      <c r="U1021" s="439"/>
      <c r="V1021" s="441"/>
      <c r="W1021" s="178"/>
      <c r="X1021" s="172"/>
      <c r="Y1021" s="172"/>
      <c r="Z1021" s="172"/>
      <c r="AA1021" s="195"/>
      <c r="AB1021" s="172"/>
    </row>
    <row r="1022" spans="1:28" ht="12.75" customHeight="1" x14ac:dyDescent="0.3">
      <c r="A1022" s="667"/>
      <c r="B1022" s="668" t="s">
        <v>6091</v>
      </c>
      <c r="C1022" s="160" t="s">
        <v>6092</v>
      </c>
      <c r="D1022" s="160"/>
      <c r="E1022" s="439">
        <v>46</v>
      </c>
      <c r="F1022" s="161">
        <v>920.17402000000004</v>
      </c>
      <c r="G1022" s="161"/>
      <c r="H1022" s="654"/>
      <c r="I1022" s="654"/>
      <c r="J1022" s="191"/>
      <c r="K1022" s="191">
        <v>2138.2574802848299</v>
      </c>
      <c r="L1022" s="191"/>
      <c r="M1022" s="191"/>
      <c r="N1022" s="191"/>
      <c r="O1022" s="191"/>
      <c r="P1022" s="191"/>
      <c r="Q1022" s="191"/>
      <c r="R1022" s="191"/>
      <c r="S1022" s="191"/>
      <c r="T1022" s="191"/>
      <c r="U1022" s="439"/>
      <c r="V1022" s="441"/>
      <c r="W1022" s="178"/>
      <c r="X1022" s="172"/>
      <c r="Y1022" s="172"/>
      <c r="Z1022" s="172"/>
      <c r="AA1022" s="195"/>
      <c r="AB1022" s="172"/>
    </row>
    <row r="1023" spans="1:28" ht="12.6" customHeight="1" x14ac:dyDescent="0.3">
      <c r="A1023" s="667"/>
      <c r="B1023" s="668" t="s">
        <v>6093</v>
      </c>
      <c r="C1023" s="160" t="s">
        <v>6094</v>
      </c>
      <c r="D1023" s="160"/>
      <c r="E1023" s="439"/>
      <c r="F1023" s="161">
        <v>579.92516000000001</v>
      </c>
      <c r="G1023" s="161"/>
      <c r="H1023" s="654"/>
      <c r="I1023" s="654"/>
      <c r="J1023" s="191"/>
      <c r="K1023" s="191"/>
      <c r="L1023" s="191"/>
      <c r="M1023" s="191"/>
      <c r="N1023" s="191"/>
      <c r="O1023" s="191"/>
      <c r="P1023" s="191"/>
      <c r="Q1023" s="191"/>
      <c r="R1023" s="191"/>
      <c r="S1023" s="191"/>
      <c r="T1023" s="191"/>
      <c r="U1023" s="439"/>
      <c r="V1023" s="441"/>
      <c r="W1023" s="178"/>
      <c r="X1023" s="172"/>
      <c r="Y1023" s="172"/>
      <c r="Z1023" s="172"/>
      <c r="AA1023" s="195"/>
      <c r="AB1023" s="172"/>
    </row>
    <row r="1024" spans="1:28" ht="12.6" customHeight="1" x14ac:dyDescent="0.3">
      <c r="A1024" s="667"/>
      <c r="B1024" s="668" t="s">
        <v>6095</v>
      </c>
      <c r="C1024" s="160" t="s">
        <v>6096</v>
      </c>
      <c r="D1024" s="160"/>
      <c r="E1024" s="439">
        <v>-1.1200000000000001</v>
      </c>
      <c r="F1024" s="161">
        <v>499.89656896999998</v>
      </c>
      <c r="G1024" s="161"/>
      <c r="H1024" s="654"/>
      <c r="I1024" s="654"/>
      <c r="J1024" s="191"/>
      <c r="K1024" s="191">
        <v>4.82719674517414</v>
      </c>
      <c r="L1024" s="191"/>
      <c r="M1024" s="191"/>
      <c r="N1024" s="191"/>
      <c r="O1024" s="191"/>
      <c r="P1024" s="191"/>
      <c r="Q1024" s="191"/>
      <c r="R1024" s="191"/>
      <c r="S1024" s="191"/>
      <c r="T1024" s="191"/>
      <c r="U1024" s="439"/>
      <c r="V1024" s="441"/>
      <c r="W1024" s="178"/>
      <c r="X1024" s="172"/>
      <c r="Y1024" s="172"/>
      <c r="Z1024" s="172"/>
      <c r="AA1024" s="195"/>
      <c r="AB1024" s="172"/>
    </row>
    <row r="1025" spans="1:28" ht="12.6" customHeight="1" x14ac:dyDescent="0.3">
      <c r="A1025" s="667"/>
      <c r="B1025" s="668" t="s">
        <v>6097</v>
      </c>
      <c r="C1025" s="160" t="s">
        <v>6098</v>
      </c>
      <c r="D1025" s="160"/>
      <c r="E1025" s="439">
        <v>-0.79</v>
      </c>
      <c r="F1025" s="161">
        <v>1150.92907872</v>
      </c>
      <c r="G1025" s="161"/>
      <c r="H1025" s="654"/>
      <c r="I1025" s="654"/>
      <c r="J1025" s="191"/>
      <c r="K1025" s="191">
        <v>59.2966283825075</v>
      </c>
      <c r="L1025" s="191"/>
      <c r="M1025" s="191"/>
      <c r="N1025" s="191"/>
      <c r="O1025" s="191"/>
      <c r="P1025" s="191"/>
      <c r="Q1025" s="191"/>
      <c r="R1025" s="191"/>
      <c r="S1025" s="191"/>
      <c r="T1025" s="191"/>
      <c r="U1025" s="439"/>
      <c r="V1025" s="441"/>
      <c r="W1025" s="178"/>
      <c r="X1025" s="172"/>
      <c r="Y1025" s="172"/>
      <c r="Z1025" s="172"/>
      <c r="AA1025" s="195"/>
      <c r="AB1025" s="172"/>
    </row>
    <row r="1026" spans="1:28" ht="12.6" customHeight="1" x14ac:dyDescent="0.3">
      <c r="A1026" s="667"/>
      <c r="B1026" s="668" t="s">
        <v>6099</v>
      </c>
      <c r="C1026" s="160" t="s">
        <v>6100</v>
      </c>
      <c r="D1026" s="160"/>
      <c r="E1026" s="439">
        <v>4.8600000000000003</v>
      </c>
      <c r="F1026" s="161">
        <v>912.79572910000002</v>
      </c>
      <c r="G1026" s="161"/>
      <c r="H1026" s="654"/>
      <c r="I1026" s="654"/>
      <c r="J1026" s="191"/>
      <c r="K1026" s="191">
        <v>71896872.654276505</v>
      </c>
      <c r="L1026" s="191"/>
      <c r="M1026" s="191"/>
      <c r="N1026" s="191"/>
      <c r="O1026" s="191"/>
      <c r="P1026" s="191"/>
      <c r="Q1026" s="191"/>
      <c r="R1026" s="191"/>
      <c r="S1026" s="191"/>
      <c r="T1026" s="191"/>
      <c r="U1026" s="439"/>
      <c r="V1026" s="441"/>
      <c r="W1026" s="178"/>
      <c r="X1026" s="172"/>
      <c r="Y1026" s="172"/>
      <c r="Z1026" s="172"/>
      <c r="AA1026" s="195"/>
      <c r="AB1026" s="172"/>
    </row>
    <row r="1027" spans="1:28" ht="12.6" customHeight="1" x14ac:dyDescent="0.3">
      <c r="A1027" s="667"/>
      <c r="B1027" s="668" t="s">
        <v>6101</v>
      </c>
      <c r="C1027" s="160" t="s">
        <v>6102</v>
      </c>
      <c r="D1027" s="160"/>
      <c r="E1027" s="439">
        <v>4.8600000000000003</v>
      </c>
      <c r="F1027" s="161">
        <v>862.79892280000001</v>
      </c>
      <c r="G1027" s="161"/>
      <c r="H1027" s="654"/>
      <c r="I1027" s="654"/>
      <c r="J1027" s="191"/>
      <c r="K1027" s="191">
        <v>167610028.52847901</v>
      </c>
      <c r="L1027" s="191"/>
      <c r="M1027" s="191"/>
      <c r="N1027" s="191"/>
      <c r="O1027" s="191"/>
      <c r="P1027" s="191"/>
      <c r="Q1027" s="191"/>
      <c r="R1027" s="191"/>
      <c r="S1027" s="191"/>
      <c r="T1027" s="191"/>
      <c r="U1027" s="439"/>
      <c r="V1027" s="441"/>
      <c r="W1027" s="178"/>
      <c r="X1027" s="172"/>
      <c r="Y1027" s="172"/>
      <c r="Z1027" s="172"/>
      <c r="AA1027" s="195"/>
      <c r="AB1027" s="172"/>
    </row>
    <row r="1028" spans="1:28" ht="12.6" customHeight="1" x14ac:dyDescent="0.3">
      <c r="A1028" s="667"/>
      <c r="B1028" s="668" t="s">
        <v>6103</v>
      </c>
      <c r="C1028" s="160" t="s">
        <v>6104</v>
      </c>
      <c r="D1028" s="160"/>
      <c r="E1028" s="439">
        <v>5.12</v>
      </c>
      <c r="F1028" s="161">
        <v>812.80211650000001</v>
      </c>
      <c r="G1028" s="161"/>
      <c r="H1028" s="654"/>
      <c r="I1028" s="654"/>
      <c r="J1028" s="191"/>
      <c r="K1028" s="191">
        <v>8607955.2386946008</v>
      </c>
      <c r="L1028" s="191"/>
      <c r="M1028" s="191"/>
      <c r="N1028" s="191"/>
      <c r="O1028" s="191"/>
      <c r="P1028" s="191"/>
      <c r="Q1028" s="191"/>
      <c r="R1028" s="191"/>
      <c r="S1028" s="191"/>
      <c r="T1028" s="191"/>
      <c r="U1028" s="439"/>
      <c r="V1028" s="441"/>
      <c r="W1028" s="178"/>
      <c r="X1028" s="172"/>
      <c r="Y1028" s="172"/>
      <c r="Z1028" s="172"/>
      <c r="AA1028" s="195"/>
      <c r="AB1028" s="172"/>
    </row>
    <row r="1029" spans="1:28" ht="12.6" customHeight="1" x14ac:dyDescent="0.3">
      <c r="A1029" s="667"/>
      <c r="B1029" s="668" t="s">
        <v>6105</v>
      </c>
      <c r="C1029" s="160" t="s">
        <v>6106</v>
      </c>
      <c r="D1029" s="160"/>
      <c r="E1029" s="439">
        <v>5.38</v>
      </c>
      <c r="F1029" s="161">
        <v>762.80531010000004</v>
      </c>
      <c r="G1029" s="161"/>
      <c r="H1029" s="654"/>
      <c r="I1029" s="654"/>
      <c r="J1029" s="191"/>
      <c r="K1029" s="191">
        <v>5742.7511836637796</v>
      </c>
      <c r="L1029" s="191"/>
      <c r="M1029" s="191"/>
      <c r="N1029" s="191"/>
      <c r="O1029" s="191"/>
      <c r="P1029" s="191"/>
      <c r="Q1029" s="191"/>
      <c r="R1029" s="191"/>
      <c r="S1029" s="191"/>
      <c r="T1029" s="191"/>
      <c r="U1029" s="439"/>
      <c r="V1029" s="441"/>
      <c r="W1029" s="178"/>
      <c r="X1029" s="172"/>
      <c r="Y1029" s="172"/>
      <c r="Z1029" s="172"/>
      <c r="AA1029" s="195"/>
      <c r="AB1029" s="172"/>
    </row>
    <row r="1030" spans="1:28" ht="12.6" customHeight="1" x14ac:dyDescent="0.3">
      <c r="A1030" s="667"/>
      <c r="B1030" s="668" t="s">
        <v>6107</v>
      </c>
      <c r="C1030" s="160" t="s">
        <v>6108</v>
      </c>
      <c r="D1030" s="160"/>
      <c r="E1030" s="439">
        <v>5.22</v>
      </c>
      <c r="F1030" s="161">
        <v>712.80850380000004</v>
      </c>
      <c r="G1030" s="161"/>
      <c r="H1030" s="654"/>
      <c r="I1030" s="654"/>
      <c r="J1030" s="191"/>
      <c r="K1030" s="191">
        <v>1493.8603486760001</v>
      </c>
      <c r="L1030" s="191"/>
      <c r="M1030" s="191"/>
      <c r="N1030" s="191"/>
      <c r="O1030" s="191"/>
      <c r="P1030" s="191"/>
      <c r="Q1030" s="191"/>
      <c r="R1030" s="191"/>
      <c r="S1030" s="191"/>
      <c r="T1030" s="191"/>
      <c r="U1030" s="439"/>
      <c r="V1030" s="441"/>
      <c r="W1030" s="178"/>
      <c r="X1030" s="172"/>
      <c r="Y1030" s="172"/>
      <c r="Z1030" s="172"/>
      <c r="AA1030" s="195"/>
      <c r="AB1030" s="172"/>
    </row>
    <row r="1031" spans="1:28" ht="12.6" customHeight="1" x14ac:dyDescent="0.3">
      <c r="A1031" s="667"/>
      <c r="B1031" s="668" t="s">
        <v>6109</v>
      </c>
      <c r="C1031" s="160" t="s">
        <v>6110</v>
      </c>
      <c r="D1031" s="160"/>
      <c r="E1031" s="439">
        <v>2.59</v>
      </c>
      <c r="F1031" s="161">
        <v>594.91483902000004</v>
      </c>
      <c r="G1031" s="161"/>
      <c r="H1031" s="654"/>
      <c r="I1031" s="654"/>
      <c r="J1031" s="191"/>
      <c r="K1031" s="191">
        <v>1.59274774909385</v>
      </c>
      <c r="L1031" s="191"/>
      <c r="M1031" s="191"/>
      <c r="N1031" s="191"/>
      <c r="O1031" s="191"/>
      <c r="P1031" s="191"/>
      <c r="Q1031" s="191"/>
      <c r="R1031" s="191"/>
      <c r="S1031" s="191"/>
      <c r="T1031" s="191"/>
      <c r="U1031" s="439"/>
      <c r="V1031" s="441"/>
      <c r="W1031" s="178"/>
      <c r="X1031" s="172"/>
      <c r="Y1031" s="172"/>
      <c r="Z1031" s="172"/>
      <c r="AA1031" s="195"/>
      <c r="AB1031" s="172"/>
    </row>
    <row r="1032" spans="1:28" ht="12.6" customHeight="1" x14ac:dyDescent="0.3">
      <c r="A1032" s="667"/>
      <c r="B1032" s="668" t="s">
        <v>6111</v>
      </c>
      <c r="C1032" s="160" t="s">
        <v>6112</v>
      </c>
      <c r="D1032" s="160"/>
      <c r="E1032" s="439">
        <v>0.17</v>
      </c>
      <c r="F1032" s="161">
        <v>337.90614999000002</v>
      </c>
      <c r="G1032" s="161">
        <v>-16.007999999999999</v>
      </c>
      <c r="H1032" s="654">
        <v>69.486759789999994</v>
      </c>
      <c r="I1032" s="654">
        <v>677.32274047045496</v>
      </c>
      <c r="J1032" s="191"/>
      <c r="K1032" s="191">
        <v>1.8595634436996999</v>
      </c>
      <c r="L1032" s="191"/>
      <c r="M1032" s="191"/>
      <c r="N1032" s="191"/>
      <c r="O1032" s="191"/>
      <c r="P1032" s="191"/>
      <c r="Q1032" s="191"/>
      <c r="R1032" s="191"/>
      <c r="S1032" s="191"/>
      <c r="T1032" s="191"/>
      <c r="U1032" s="439"/>
      <c r="V1032" s="441"/>
      <c r="W1032" s="178"/>
      <c r="X1032" s="172"/>
      <c r="Y1032" s="172"/>
      <c r="Z1032" s="172"/>
      <c r="AA1032" s="195"/>
      <c r="AB1032" s="172"/>
    </row>
    <row r="1033" spans="1:28" ht="12.6" customHeight="1" x14ac:dyDescent="0.3">
      <c r="A1033" s="667"/>
      <c r="B1033" s="668" t="s">
        <v>6113</v>
      </c>
      <c r="C1033" s="160" t="s">
        <v>6114</v>
      </c>
      <c r="D1033" s="160"/>
      <c r="E1033" s="439">
        <v>-1.38</v>
      </c>
      <c r="F1033" s="161">
        <v>737.88060059999998</v>
      </c>
      <c r="G1033" s="161">
        <v>42.19</v>
      </c>
      <c r="H1033" s="654"/>
      <c r="I1033" s="654"/>
      <c r="J1033" s="191"/>
      <c r="K1033" s="191">
        <v>670.64084444838102</v>
      </c>
      <c r="L1033" s="191"/>
      <c r="M1033" s="191"/>
      <c r="N1033" s="191"/>
      <c r="O1033" s="191"/>
      <c r="P1033" s="191"/>
      <c r="Q1033" s="191"/>
      <c r="R1033" s="191"/>
      <c r="S1033" s="191"/>
      <c r="T1033" s="191"/>
      <c r="U1033" s="439"/>
      <c r="V1033" s="441"/>
      <c r="W1033" s="178"/>
      <c r="X1033" s="172"/>
      <c r="Y1033" s="172"/>
      <c r="Z1033" s="172"/>
      <c r="AA1033" s="195"/>
      <c r="AB1033" s="172"/>
    </row>
    <row r="1034" spans="1:28" ht="12.6" customHeight="1" x14ac:dyDescent="0.3">
      <c r="A1034" s="667"/>
      <c r="B1034" s="668" t="s">
        <v>6115</v>
      </c>
      <c r="C1034" s="160" t="s">
        <v>6116</v>
      </c>
      <c r="D1034" s="160"/>
      <c r="E1034" s="439">
        <v>-1.54</v>
      </c>
      <c r="F1034" s="161">
        <v>637.88698795000005</v>
      </c>
      <c r="G1034" s="161">
        <v>11.590999999999999</v>
      </c>
      <c r="H1034" s="654"/>
      <c r="I1034" s="654"/>
      <c r="J1034" s="191"/>
      <c r="K1034" s="191">
        <v>7.7052724588097199</v>
      </c>
      <c r="L1034" s="191"/>
      <c r="M1034" s="191"/>
      <c r="N1034" s="191"/>
      <c r="O1034" s="191"/>
      <c r="P1034" s="191"/>
      <c r="Q1034" s="191"/>
      <c r="R1034" s="191"/>
      <c r="S1034" s="191"/>
      <c r="T1034" s="191"/>
      <c r="U1034" s="439"/>
      <c r="V1034" s="441"/>
      <c r="W1034" s="178"/>
      <c r="X1034" s="172"/>
      <c r="Y1034" s="172"/>
      <c r="Z1034" s="172"/>
      <c r="AA1034" s="195"/>
      <c r="AB1034" s="172"/>
    </row>
    <row r="1035" spans="1:28" ht="12.6" customHeight="1" x14ac:dyDescent="0.3">
      <c r="A1035" s="667"/>
      <c r="B1035" s="668" t="s">
        <v>6117</v>
      </c>
      <c r="C1035" s="160" t="s">
        <v>6118</v>
      </c>
      <c r="D1035" s="160"/>
      <c r="E1035" s="439">
        <v>-1.68</v>
      </c>
      <c r="F1035" s="161">
        <v>587.89018162000002</v>
      </c>
      <c r="G1035" s="161"/>
      <c r="H1035" s="654"/>
      <c r="I1035" s="654"/>
      <c r="J1035" s="191"/>
      <c r="K1035" s="191">
        <v>0.59750975498585601</v>
      </c>
      <c r="L1035" s="191"/>
      <c r="M1035" s="191"/>
      <c r="N1035" s="191"/>
      <c r="O1035" s="191"/>
      <c r="P1035" s="191"/>
      <c r="Q1035" s="191"/>
      <c r="R1035" s="191"/>
      <c r="S1035" s="191"/>
      <c r="T1035" s="191"/>
      <c r="U1035" s="439"/>
      <c r="V1035" s="441"/>
      <c r="W1035" s="178"/>
      <c r="X1035" s="172"/>
      <c r="Y1035" s="172"/>
      <c r="Z1035" s="172"/>
      <c r="AA1035" s="195"/>
      <c r="AB1035" s="172"/>
    </row>
    <row r="1036" spans="1:28" ht="12.6" customHeight="1" x14ac:dyDescent="0.3">
      <c r="A1036" s="667"/>
      <c r="B1036" s="668" t="s">
        <v>6119</v>
      </c>
      <c r="C1036" s="160" t="s">
        <v>6120</v>
      </c>
      <c r="D1036" s="160"/>
      <c r="E1036" s="439">
        <v>-1.64</v>
      </c>
      <c r="F1036" s="161">
        <v>537.8933753</v>
      </c>
      <c r="G1036" s="161">
        <v>15.157999999999999</v>
      </c>
      <c r="H1036" s="654"/>
      <c r="I1036" s="654">
        <v>2.5391956042424302</v>
      </c>
      <c r="J1036" s="191"/>
      <c r="K1036" s="191">
        <v>8.3400758421587104E-2</v>
      </c>
      <c r="L1036" s="191"/>
      <c r="M1036" s="191"/>
      <c r="N1036" s="191"/>
      <c r="O1036" s="191"/>
      <c r="P1036" s="191"/>
      <c r="Q1036" s="191"/>
      <c r="R1036" s="191"/>
      <c r="S1036" s="191"/>
      <c r="T1036" s="191"/>
      <c r="U1036" s="439"/>
      <c r="V1036" s="441"/>
      <c r="W1036" s="178"/>
      <c r="X1036" s="172"/>
      <c r="Y1036" s="172"/>
      <c r="Z1036" s="172"/>
      <c r="AA1036" s="195"/>
      <c r="AB1036" s="172"/>
    </row>
    <row r="1037" spans="1:28" ht="12.6" customHeight="1" x14ac:dyDescent="0.3">
      <c r="A1037" s="667"/>
      <c r="B1037" s="668" t="s">
        <v>6121</v>
      </c>
      <c r="C1037" s="160" t="s">
        <v>6122</v>
      </c>
      <c r="D1037" s="160"/>
      <c r="E1037" s="439">
        <v>-1.81</v>
      </c>
      <c r="F1037" s="161">
        <v>487.89656896999998</v>
      </c>
      <c r="G1037" s="161">
        <v>24.942</v>
      </c>
      <c r="H1037" s="654"/>
      <c r="I1037" s="654">
        <v>5.7191235814663397</v>
      </c>
      <c r="J1037" s="191"/>
      <c r="K1037" s="191">
        <v>1.0903102627916801</v>
      </c>
      <c r="L1037" s="191"/>
      <c r="M1037" s="191"/>
      <c r="N1037" s="191"/>
      <c r="O1037" s="191"/>
      <c r="P1037" s="191"/>
      <c r="Q1037" s="191"/>
      <c r="R1037" s="191"/>
      <c r="S1037" s="191"/>
      <c r="T1037" s="191"/>
      <c r="U1037" s="439"/>
      <c r="V1037" s="441"/>
      <c r="W1037" s="178"/>
      <c r="X1037" s="172"/>
      <c r="Y1037" s="172"/>
      <c r="Z1037" s="172"/>
      <c r="AA1037" s="195"/>
      <c r="AB1037" s="172"/>
    </row>
    <row r="1038" spans="1:28" ht="12.6" customHeight="1" x14ac:dyDescent="0.3">
      <c r="A1038" s="667"/>
      <c r="B1038" s="668" t="s">
        <v>6123</v>
      </c>
      <c r="C1038" s="160" t="s">
        <v>6124</v>
      </c>
      <c r="D1038" s="160"/>
      <c r="E1038" s="439">
        <v>-1.64</v>
      </c>
      <c r="F1038" s="161">
        <v>437.89976264000001</v>
      </c>
      <c r="G1038" s="161">
        <v>26.725999999999999</v>
      </c>
      <c r="H1038" s="654"/>
      <c r="I1038" s="654">
        <v>12.746035971115001</v>
      </c>
      <c r="J1038" s="191"/>
      <c r="K1038" s="191">
        <v>2.4980032553342499</v>
      </c>
      <c r="L1038" s="191"/>
      <c r="M1038" s="191"/>
      <c r="N1038" s="191"/>
      <c r="O1038" s="191"/>
      <c r="P1038" s="191"/>
      <c r="Q1038" s="191"/>
      <c r="R1038" s="191"/>
      <c r="S1038" s="191"/>
      <c r="T1038" s="191"/>
      <c r="U1038" s="439"/>
      <c r="V1038" s="441"/>
      <c r="W1038" s="178"/>
      <c r="X1038" s="172"/>
      <c r="Y1038" s="172"/>
      <c r="Z1038" s="172"/>
      <c r="AA1038" s="195"/>
      <c r="AB1038" s="172"/>
    </row>
    <row r="1039" spans="1:28" ht="12.6" customHeight="1" x14ac:dyDescent="0.3">
      <c r="A1039" s="667"/>
      <c r="B1039" s="668" t="s">
        <v>6125</v>
      </c>
      <c r="C1039" s="160" t="s">
        <v>6126</v>
      </c>
      <c r="D1039" s="160"/>
      <c r="E1039" s="439">
        <v>-1.77</v>
      </c>
      <c r="F1039" s="161">
        <v>387.90295631999999</v>
      </c>
      <c r="G1039" s="161">
        <v>10.659000000000001</v>
      </c>
      <c r="H1039" s="654"/>
      <c r="I1039" s="654">
        <v>108.323452164185</v>
      </c>
      <c r="J1039" s="191"/>
      <c r="K1039" s="191">
        <v>1.7926768079283</v>
      </c>
      <c r="L1039" s="191"/>
      <c r="M1039" s="191"/>
      <c r="N1039" s="191"/>
      <c r="O1039" s="191"/>
      <c r="P1039" s="191"/>
      <c r="Q1039" s="191"/>
      <c r="R1039" s="191"/>
      <c r="S1039" s="191"/>
      <c r="T1039" s="191"/>
      <c r="U1039" s="439"/>
      <c r="V1039" s="441"/>
      <c r="W1039" s="178"/>
      <c r="X1039" s="172"/>
      <c r="Y1039" s="172"/>
      <c r="Z1039" s="172"/>
      <c r="AA1039" s="195"/>
      <c r="AB1039" s="172"/>
    </row>
    <row r="1040" spans="1:28" ht="12.6" customHeight="1" x14ac:dyDescent="0.3">
      <c r="A1040" s="667"/>
      <c r="B1040" s="668" t="s">
        <v>6127</v>
      </c>
      <c r="C1040" s="160" t="s">
        <v>6128</v>
      </c>
      <c r="D1040" s="160"/>
      <c r="E1040" s="439">
        <v>-1.61</v>
      </c>
      <c r="F1040" s="161">
        <v>337.90614999000002</v>
      </c>
      <c r="G1040" s="161">
        <v>20.376000000000001</v>
      </c>
      <c r="H1040" s="654">
        <v>27.72697634</v>
      </c>
      <c r="I1040" s="654">
        <v>941.44708261013795</v>
      </c>
      <c r="J1040" s="191"/>
      <c r="K1040" s="191">
        <v>1.8196547690168901</v>
      </c>
      <c r="L1040" s="191"/>
      <c r="M1040" s="191"/>
      <c r="N1040" s="191"/>
      <c r="O1040" s="191"/>
      <c r="P1040" s="191"/>
      <c r="Q1040" s="191"/>
      <c r="R1040" s="191"/>
      <c r="S1040" s="191"/>
      <c r="T1040" s="191"/>
      <c r="U1040" s="439"/>
      <c r="V1040" s="441"/>
      <c r="W1040" s="178"/>
      <c r="X1040" s="172"/>
      <c r="Y1040" s="172"/>
      <c r="Z1040" s="172"/>
      <c r="AA1040" s="195"/>
      <c r="AB1040" s="172"/>
    </row>
    <row r="1041" spans="1:28" ht="12.6" customHeight="1" x14ac:dyDescent="0.3">
      <c r="A1041" s="667"/>
      <c r="B1041" s="668" t="s">
        <v>6129</v>
      </c>
      <c r="C1041" s="160" t="s">
        <v>6130</v>
      </c>
      <c r="D1041" s="160"/>
      <c r="E1041" s="439">
        <v>-1.1499999999999999</v>
      </c>
      <c r="F1041" s="161">
        <v>319.91557186</v>
      </c>
      <c r="G1041" s="161"/>
      <c r="H1041" s="654"/>
      <c r="I1041" s="654"/>
      <c r="J1041" s="191"/>
      <c r="K1041" s="191">
        <v>0.59531112692494004</v>
      </c>
      <c r="L1041" s="191"/>
      <c r="M1041" s="191"/>
      <c r="N1041" s="191"/>
      <c r="O1041" s="191"/>
      <c r="P1041" s="191"/>
      <c r="Q1041" s="191"/>
      <c r="R1041" s="191"/>
      <c r="S1041" s="191"/>
      <c r="T1041" s="191"/>
      <c r="U1041" s="439"/>
      <c r="V1041" s="441"/>
      <c r="W1041" s="178"/>
      <c r="X1041" s="172"/>
      <c r="Y1041" s="172"/>
      <c r="Z1041" s="172"/>
      <c r="AA1041" s="195"/>
      <c r="AB1041" s="172"/>
    </row>
    <row r="1042" spans="1:28" ht="12.6" customHeight="1" x14ac:dyDescent="0.3">
      <c r="A1042" s="667"/>
      <c r="B1042" s="668" t="s">
        <v>6131</v>
      </c>
      <c r="C1042" s="160" t="s">
        <v>6132</v>
      </c>
      <c r="D1042" s="160"/>
      <c r="E1042" s="439"/>
      <c r="F1042" s="161">
        <v>449.89976264000001</v>
      </c>
      <c r="G1042" s="161"/>
      <c r="H1042" s="654"/>
      <c r="I1042" s="654"/>
      <c r="J1042" s="191"/>
      <c r="K1042" s="191"/>
      <c r="L1042" s="191"/>
      <c r="M1042" s="191"/>
      <c r="N1042" s="191"/>
      <c r="O1042" s="191"/>
      <c r="P1042" s="191"/>
      <c r="Q1042" s="191"/>
      <c r="R1042" s="191"/>
      <c r="S1042" s="191"/>
      <c r="T1042" s="191"/>
      <c r="U1042" s="439"/>
      <c r="V1042" s="441"/>
      <c r="W1042" s="178"/>
      <c r="X1042" s="172"/>
      <c r="Y1042" s="172"/>
      <c r="Z1042" s="172"/>
      <c r="AA1042" s="195"/>
      <c r="AB1042" s="172"/>
    </row>
    <row r="1043" spans="1:28" ht="12.6" customHeight="1" x14ac:dyDescent="0.3">
      <c r="A1043" s="667"/>
      <c r="B1043" s="668" t="s">
        <v>6133</v>
      </c>
      <c r="C1043" s="160" t="s">
        <v>6096</v>
      </c>
      <c r="D1043" s="160"/>
      <c r="E1043" s="439">
        <v>-1.1200000000000001</v>
      </c>
      <c r="F1043" s="161">
        <v>499.89656896999998</v>
      </c>
      <c r="G1043" s="161"/>
      <c r="H1043" s="654"/>
      <c r="I1043" s="654"/>
      <c r="J1043" s="191"/>
      <c r="K1043" s="191">
        <v>4.82719674517414</v>
      </c>
      <c r="L1043" s="191"/>
      <c r="M1043" s="191"/>
      <c r="N1043" s="191"/>
      <c r="O1043" s="191"/>
      <c r="P1043" s="191"/>
      <c r="Q1043" s="191"/>
      <c r="R1043" s="191"/>
      <c r="S1043" s="191"/>
      <c r="T1043" s="191"/>
      <c r="U1043" s="439"/>
      <c r="V1043" s="441"/>
      <c r="W1043" s="178"/>
      <c r="X1043" s="172"/>
      <c r="Y1043" s="172"/>
      <c r="Z1043" s="172"/>
      <c r="AA1043" s="195"/>
      <c r="AB1043" s="172"/>
    </row>
    <row r="1044" spans="1:28" ht="12.75" customHeight="1" x14ac:dyDescent="0.3">
      <c r="A1044" s="667"/>
      <c r="B1044" s="668" t="s">
        <v>6134</v>
      </c>
      <c r="C1044" s="160" t="s">
        <v>6135</v>
      </c>
      <c r="D1044" s="160"/>
      <c r="E1044" s="439">
        <v>-1.27</v>
      </c>
      <c r="F1044" s="161">
        <v>399.90295631999999</v>
      </c>
      <c r="G1044" s="161">
        <v>66.117999999999995</v>
      </c>
      <c r="H1044" s="654"/>
      <c r="I1044" s="654">
        <v>23.656739264657102</v>
      </c>
      <c r="J1044" s="191"/>
      <c r="K1044" s="191">
        <v>13.152248321922301</v>
      </c>
      <c r="L1044" s="191"/>
      <c r="M1044" s="191"/>
      <c r="N1044" s="191"/>
      <c r="O1044" s="191"/>
      <c r="P1044" s="191"/>
      <c r="Q1044" s="191"/>
      <c r="R1044" s="191"/>
      <c r="S1044" s="191"/>
      <c r="T1044" s="191"/>
      <c r="U1044" s="439"/>
      <c r="V1044" s="441"/>
      <c r="W1044" s="178"/>
      <c r="X1044" s="172"/>
      <c r="Y1044" s="172"/>
      <c r="Z1044" s="172"/>
      <c r="AA1044" s="195"/>
      <c r="AB1044" s="172"/>
    </row>
    <row r="1045" spans="1:28" ht="12.75" customHeight="1" x14ac:dyDescent="0.3">
      <c r="A1045" s="667"/>
      <c r="B1045" s="668" t="s">
        <v>6136</v>
      </c>
      <c r="C1045" s="160" t="s">
        <v>6137</v>
      </c>
      <c r="D1045" s="160"/>
      <c r="E1045" s="439">
        <v>6.07</v>
      </c>
      <c r="F1045" s="161">
        <v>637.99342368999999</v>
      </c>
      <c r="G1045" s="161"/>
      <c r="H1045" s="654"/>
      <c r="I1045" s="654"/>
      <c r="J1045" s="191"/>
      <c r="K1045" s="191">
        <v>171.135457422369</v>
      </c>
      <c r="L1045" s="191"/>
      <c r="M1045" s="191"/>
      <c r="N1045" s="191"/>
      <c r="O1045" s="191"/>
      <c r="P1045" s="191"/>
      <c r="Q1045" s="191"/>
      <c r="R1045" s="191"/>
      <c r="S1045" s="191"/>
      <c r="T1045" s="191"/>
      <c r="U1045" s="439"/>
      <c r="V1045" s="441"/>
      <c r="W1045" s="178"/>
      <c r="X1045" s="172"/>
      <c r="Y1045" s="172"/>
      <c r="Z1045" s="172"/>
      <c r="AA1045" s="195"/>
      <c r="AB1045" s="172"/>
    </row>
    <row r="1046" spans="1:28" ht="12.75" customHeight="1" x14ac:dyDescent="0.3">
      <c r="A1046" s="667"/>
      <c r="B1046" s="668" t="s">
        <v>6138</v>
      </c>
      <c r="C1046" s="160" t="s">
        <v>6139</v>
      </c>
      <c r="D1046" s="160"/>
      <c r="E1046" s="439">
        <v>4.28</v>
      </c>
      <c r="F1046" s="161">
        <v>587.99661735999996</v>
      </c>
      <c r="G1046" s="161"/>
      <c r="H1046" s="654"/>
      <c r="I1046" s="654"/>
      <c r="J1046" s="191"/>
      <c r="K1046" s="191">
        <v>10.793940009091401</v>
      </c>
      <c r="L1046" s="191"/>
      <c r="M1046" s="191"/>
      <c r="N1046" s="191"/>
      <c r="O1046" s="191"/>
      <c r="P1046" s="191"/>
      <c r="Q1046" s="191"/>
      <c r="R1046" s="191"/>
      <c r="S1046" s="191"/>
      <c r="T1046" s="191"/>
      <c r="U1046" s="439"/>
      <c r="V1046" s="441"/>
      <c r="W1046" s="178"/>
      <c r="X1046" s="172"/>
      <c r="Y1046" s="172"/>
      <c r="Z1046" s="172"/>
      <c r="AA1046" s="195"/>
      <c r="AB1046" s="172"/>
    </row>
    <row r="1047" spans="1:28" ht="12.75" customHeight="1" x14ac:dyDescent="0.3">
      <c r="A1047" s="667"/>
      <c r="B1047" s="668" t="s">
        <v>6140</v>
      </c>
      <c r="C1047" s="160" t="s">
        <v>6141</v>
      </c>
      <c r="D1047" s="160"/>
      <c r="E1047" s="439">
        <v>4.79</v>
      </c>
      <c r="F1047" s="161">
        <v>537.99981104000005</v>
      </c>
      <c r="G1047" s="161"/>
      <c r="H1047" s="654"/>
      <c r="I1047" s="654"/>
      <c r="J1047" s="191"/>
      <c r="K1047" s="191">
        <v>3.85690551663575</v>
      </c>
      <c r="L1047" s="191"/>
      <c r="M1047" s="191"/>
      <c r="N1047" s="191"/>
      <c r="O1047" s="191"/>
      <c r="P1047" s="191"/>
      <c r="Q1047" s="191"/>
      <c r="R1047" s="191"/>
      <c r="S1047" s="191"/>
      <c r="T1047" s="191"/>
      <c r="U1047" s="439"/>
      <c r="V1047" s="441"/>
      <c r="W1047" s="178"/>
      <c r="X1047" s="172"/>
      <c r="Y1047" s="172"/>
      <c r="Z1047" s="172"/>
      <c r="AA1047" s="195"/>
      <c r="AB1047" s="172"/>
    </row>
    <row r="1048" spans="1:28" ht="12.75" customHeight="1" x14ac:dyDescent="0.3">
      <c r="A1048" s="667"/>
      <c r="B1048" s="668" t="s">
        <v>6142</v>
      </c>
      <c r="C1048" s="160" t="s">
        <v>6143</v>
      </c>
      <c r="D1048" s="160"/>
      <c r="E1048" s="439">
        <v>4.91</v>
      </c>
      <c r="F1048" s="161">
        <v>488.00300471000003</v>
      </c>
      <c r="G1048" s="161"/>
      <c r="H1048" s="654"/>
      <c r="I1048" s="654"/>
      <c r="J1048" s="191"/>
      <c r="K1048" s="191">
        <v>4.1346333182331803</v>
      </c>
      <c r="L1048" s="191"/>
      <c r="M1048" s="191"/>
      <c r="N1048" s="191"/>
      <c r="O1048" s="191"/>
      <c r="P1048" s="191"/>
      <c r="Q1048" s="191"/>
      <c r="R1048" s="191"/>
      <c r="S1048" s="191"/>
      <c r="T1048" s="191"/>
      <c r="U1048" s="439"/>
      <c r="V1048" s="441"/>
      <c r="W1048" s="178"/>
      <c r="X1048" s="172"/>
      <c r="Y1048" s="172"/>
      <c r="Z1048" s="172"/>
      <c r="AA1048" s="195"/>
      <c r="AB1048" s="172"/>
    </row>
    <row r="1049" spans="1:28" ht="12.75" customHeight="1" x14ac:dyDescent="0.3">
      <c r="A1049" s="667"/>
      <c r="B1049" s="668" t="s">
        <v>6144</v>
      </c>
      <c r="C1049" s="160" t="s">
        <v>6145</v>
      </c>
      <c r="D1049" s="160"/>
      <c r="E1049" s="439">
        <v>5.03</v>
      </c>
      <c r="F1049" s="161">
        <v>438.00619839000001</v>
      </c>
      <c r="G1049" s="161"/>
      <c r="H1049" s="654"/>
      <c r="I1049" s="654"/>
      <c r="J1049" s="191"/>
      <c r="K1049" s="191">
        <v>4.3899441998231401</v>
      </c>
      <c r="L1049" s="191"/>
      <c r="M1049" s="191"/>
      <c r="N1049" s="191"/>
      <c r="O1049" s="191"/>
      <c r="P1049" s="191"/>
      <c r="Q1049" s="191"/>
      <c r="R1049" s="191"/>
      <c r="S1049" s="191"/>
      <c r="T1049" s="191"/>
      <c r="U1049" s="439"/>
      <c r="V1049" s="441"/>
      <c r="W1049" s="178"/>
      <c r="X1049" s="172"/>
      <c r="Y1049" s="172"/>
      <c r="Z1049" s="172"/>
      <c r="AA1049" s="195"/>
      <c r="AB1049" s="172"/>
    </row>
    <row r="1050" spans="1:28" ht="12.75" customHeight="1" x14ac:dyDescent="0.3">
      <c r="A1050" s="667"/>
      <c r="B1050" s="668" t="s">
        <v>6146</v>
      </c>
      <c r="C1050" s="160" t="s">
        <v>6147</v>
      </c>
      <c r="D1050" s="160"/>
      <c r="E1050" s="439"/>
      <c r="F1050" s="161">
        <v>499.89656896999998</v>
      </c>
      <c r="G1050" s="161"/>
      <c r="H1050" s="654"/>
      <c r="I1050" s="654"/>
      <c r="J1050" s="191"/>
      <c r="K1050" s="191"/>
      <c r="L1050" s="191"/>
      <c r="M1050" s="191"/>
      <c r="N1050" s="191"/>
      <c r="O1050" s="191"/>
      <c r="P1050" s="191"/>
      <c r="Q1050" s="191"/>
      <c r="R1050" s="191"/>
      <c r="S1050" s="191"/>
      <c r="T1050" s="191"/>
      <c r="U1050" s="439"/>
      <c r="V1050" s="441"/>
      <c r="W1050" s="178"/>
      <c r="X1050" s="172"/>
      <c r="Y1050" s="172"/>
      <c r="Z1050" s="172"/>
      <c r="AA1050" s="195"/>
      <c r="AB1050" s="172"/>
    </row>
    <row r="1051" spans="1:28" ht="12.75" customHeight="1" x14ac:dyDescent="0.3">
      <c r="A1051" s="667"/>
      <c r="B1051" s="668" t="s">
        <v>6148</v>
      </c>
      <c r="C1051" s="160" t="s">
        <v>6149</v>
      </c>
      <c r="D1051" s="160"/>
      <c r="E1051" s="439">
        <v>0.55000000000000004</v>
      </c>
      <c r="F1051" s="161">
        <v>536.96817655999996</v>
      </c>
      <c r="G1051" s="161">
        <v>71.218999999999994</v>
      </c>
      <c r="H1051" s="654">
        <v>1.3362997381999999</v>
      </c>
      <c r="I1051" s="654">
        <v>1.9858586680083099</v>
      </c>
      <c r="J1051" s="191"/>
      <c r="K1051" s="191">
        <v>1.90263289027007</v>
      </c>
      <c r="L1051" s="191"/>
      <c r="M1051" s="191"/>
      <c r="N1051" s="191"/>
      <c r="O1051" s="191"/>
      <c r="P1051" s="191"/>
      <c r="Q1051" s="191"/>
      <c r="R1051" s="191"/>
      <c r="S1051" s="191"/>
      <c r="T1051" s="191"/>
      <c r="U1051" s="439"/>
      <c r="V1051" s="441"/>
      <c r="W1051" s="178"/>
      <c r="X1051" s="172"/>
      <c r="Y1051" s="172"/>
      <c r="Z1051" s="172"/>
      <c r="AA1051" s="195"/>
      <c r="AB1051" s="172"/>
    </row>
    <row r="1052" spans="1:28" ht="12.75" customHeight="1" x14ac:dyDescent="0.3">
      <c r="A1052" s="667"/>
      <c r="B1052" s="668" t="s">
        <v>6150</v>
      </c>
      <c r="C1052" s="160" t="s">
        <v>6151</v>
      </c>
      <c r="D1052" s="160"/>
      <c r="E1052" s="439">
        <v>0.25</v>
      </c>
      <c r="F1052" s="161">
        <v>636.96178921000001</v>
      </c>
      <c r="G1052" s="161"/>
      <c r="H1052" s="654"/>
      <c r="I1052" s="654"/>
      <c r="J1052" s="191"/>
      <c r="K1052" s="191">
        <v>2.2052965598876599</v>
      </c>
      <c r="L1052" s="191"/>
      <c r="M1052" s="191"/>
      <c r="N1052" s="191"/>
      <c r="O1052" s="191"/>
      <c r="P1052" s="191"/>
      <c r="Q1052" s="191"/>
      <c r="R1052" s="191"/>
      <c r="S1052" s="191"/>
      <c r="T1052" s="191"/>
      <c r="U1052" s="439"/>
      <c r="V1052" s="441"/>
      <c r="W1052" s="178"/>
      <c r="X1052" s="172"/>
      <c r="Y1052" s="172"/>
      <c r="Z1052" s="172"/>
      <c r="AA1052" s="195"/>
      <c r="AB1052" s="172"/>
    </row>
    <row r="1053" spans="1:28" ht="12.75" customHeight="1" x14ac:dyDescent="0.3">
      <c r="A1053" s="667"/>
      <c r="B1053" s="668" t="s">
        <v>6152</v>
      </c>
      <c r="C1053" s="160" t="s">
        <v>6153</v>
      </c>
      <c r="D1053" s="160"/>
      <c r="E1053" s="439">
        <v>-0.56999999999999995</v>
      </c>
      <c r="F1053" s="161">
        <v>622.94613914000001</v>
      </c>
      <c r="G1053" s="161">
        <v>64.941999999999993</v>
      </c>
      <c r="H1053" s="654">
        <v>1.6553926130000001</v>
      </c>
      <c r="I1053" s="654">
        <v>0.53021313097534095</v>
      </c>
      <c r="J1053" s="191"/>
      <c r="K1053" s="191">
        <v>2.2786362388116399</v>
      </c>
      <c r="L1053" s="191"/>
      <c r="M1053" s="191"/>
      <c r="N1053" s="191"/>
      <c r="O1053" s="191"/>
      <c r="P1053" s="191"/>
      <c r="Q1053" s="191"/>
      <c r="R1053" s="191"/>
      <c r="S1053" s="191"/>
      <c r="T1053" s="191"/>
      <c r="U1053" s="439"/>
      <c r="V1053" s="441"/>
      <c r="W1053" s="178"/>
      <c r="X1053" s="172"/>
      <c r="Y1053" s="172"/>
      <c r="Z1053" s="172"/>
      <c r="AA1053" s="195"/>
      <c r="AB1053" s="172"/>
    </row>
    <row r="1054" spans="1:28" ht="12.75" customHeight="1" x14ac:dyDescent="0.3">
      <c r="A1054" s="667"/>
      <c r="B1054" s="668" t="s">
        <v>6154</v>
      </c>
      <c r="C1054" s="160" t="s">
        <v>6155</v>
      </c>
      <c r="D1054" s="160"/>
      <c r="E1054" s="439">
        <v>-0.81</v>
      </c>
      <c r="F1054" s="161">
        <v>572.94933282</v>
      </c>
      <c r="G1054" s="161">
        <v>53.393999999999998</v>
      </c>
      <c r="H1054" s="654">
        <v>1.8150990368</v>
      </c>
      <c r="I1054" s="654">
        <v>1.2109226854217401</v>
      </c>
      <c r="J1054" s="191"/>
      <c r="K1054" s="191">
        <v>1.8182809973891301</v>
      </c>
      <c r="L1054" s="191"/>
      <c r="M1054" s="191"/>
      <c r="N1054" s="191"/>
      <c r="O1054" s="191"/>
      <c r="P1054" s="191"/>
      <c r="Q1054" s="191"/>
      <c r="R1054" s="191"/>
      <c r="S1054" s="191"/>
      <c r="T1054" s="191"/>
      <c r="U1054" s="439"/>
      <c r="V1054" s="441"/>
      <c r="W1054" s="178"/>
      <c r="X1054" s="172"/>
      <c r="Y1054" s="172"/>
      <c r="Z1054" s="172"/>
      <c r="AA1054" s="195"/>
      <c r="AB1054" s="172"/>
    </row>
    <row r="1055" spans="1:28" ht="12.75" customHeight="1" x14ac:dyDescent="0.3">
      <c r="A1055" s="667"/>
      <c r="B1055" s="668" t="s">
        <v>6156</v>
      </c>
      <c r="C1055" s="160" t="s">
        <v>6157</v>
      </c>
      <c r="D1055" s="160"/>
      <c r="E1055" s="439">
        <v>-0.43</v>
      </c>
      <c r="F1055" s="161">
        <v>522.95252648999997</v>
      </c>
      <c r="G1055" s="161">
        <v>48.378</v>
      </c>
      <c r="H1055" s="654">
        <v>2.060158205</v>
      </c>
      <c r="I1055" s="654">
        <v>2.7508191912669</v>
      </c>
      <c r="J1055" s="191"/>
      <c r="K1055" s="191">
        <v>2.9185961147532198</v>
      </c>
      <c r="L1055" s="191"/>
      <c r="M1055" s="191"/>
      <c r="N1055" s="191"/>
      <c r="O1055" s="191"/>
      <c r="P1055" s="191"/>
      <c r="Q1055" s="191"/>
      <c r="R1055" s="191"/>
      <c r="S1055" s="191"/>
      <c r="T1055" s="191"/>
      <c r="U1055" s="439"/>
      <c r="V1055" s="441"/>
      <c r="W1055" s="178"/>
      <c r="X1055" s="172"/>
      <c r="Y1055" s="172"/>
      <c r="Z1055" s="172"/>
      <c r="AA1055" s="195"/>
      <c r="AB1055" s="172"/>
    </row>
    <row r="1056" spans="1:28" ht="12.75" customHeight="1" x14ac:dyDescent="0.3">
      <c r="A1056" s="667"/>
      <c r="B1056" s="668" t="s">
        <v>6158</v>
      </c>
      <c r="C1056" s="160" t="s">
        <v>6159</v>
      </c>
      <c r="D1056" s="160"/>
      <c r="E1056" s="439">
        <v>-0.77</v>
      </c>
      <c r="F1056" s="161">
        <v>472.95572017000001</v>
      </c>
      <c r="G1056" s="161">
        <v>69.936000000000007</v>
      </c>
      <c r="H1056" s="654">
        <v>2.17221534599999</v>
      </c>
      <c r="I1056" s="654">
        <v>6.1776057301444798</v>
      </c>
      <c r="J1056" s="191"/>
      <c r="K1056" s="191">
        <v>3.3771550486658102</v>
      </c>
      <c r="L1056" s="191"/>
      <c r="M1056" s="191"/>
      <c r="N1056" s="191"/>
      <c r="O1056" s="191"/>
      <c r="P1056" s="191"/>
      <c r="Q1056" s="191"/>
      <c r="R1056" s="191"/>
      <c r="S1056" s="191"/>
      <c r="T1056" s="191"/>
      <c r="U1056" s="439"/>
      <c r="V1056" s="441"/>
      <c r="W1056" s="178"/>
      <c r="X1056" s="172"/>
      <c r="Y1056" s="172"/>
      <c r="Z1056" s="172"/>
      <c r="AA1056" s="195"/>
      <c r="AB1056" s="172"/>
    </row>
    <row r="1057" spans="1:28" ht="12.75" customHeight="1" x14ac:dyDescent="0.3">
      <c r="A1057" s="667"/>
      <c r="B1057" s="668" t="s">
        <v>6160</v>
      </c>
      <c r="C1057" s="160" t="s">
        <v>6161</v>
      </c>
      <c r="D1057" s="160"/>
      <c r="E1057" s="439">
        <v>-0.77</v>
      </c>
      <c r="F1057" s="161">
        <v>422.95891383999998</v>
      </c>
      <c r="G1057" s="161">
        <v>66.549000000000007</v>
      </c>
      <c r="H1057" s="654">
        <v>2.0840228430000001</v>
      </c>
      <c r="I1057" s="654">
        <v>253.10368954882199</v>
      </c>
      <c r="J1057" s="191"/>
      <c r="K1057" s="191">
        <v>1.88696132937479</v>
      </c>
      <c r="L1057" s="191"/>
      <c r="M1057" s="191"/>
      <c r="N1057" s="191"/>
      <c r="O1057" s="191"/>
      <c r="P1057" s="191"/>
      <c r="Q1057" s="191"/>
      <c r="R1057" s="191"/>
      <c r="S1057" s="191"/>
      <c r="T1057" s="191"/>
      <c r="U1057" s="439"/>
      <c r="V1057" s="441"/>
      <c r="W1057" s="178"/>
      <c r="X1057" s="172"/>
      <c r="Y1057" s="172"/>
      <c r="Z1057" s="172"/>
      <c r="AA1057" s="195"/>
      <c r="AB1057" s="172"/>
    </row>
    <row r="1058" spans="1:28" ht="12.75" customHeight="1" x14ac:dyDescent="0.3">
      <c r="A1058" s="667"/>
      <c r="B1058" s="668" t="s">
        <v>6162</v>
      </c>
      <c r="C1058" s="160" t="s">
        <v>6163</v>
      </c>
      <c r="D1058" s="160"/>
      <c r="E1058" s="439">
        <v>2.98</v>
      </c>
      <c r="F1058" s="161">
        <v>708.98291858000005</v>
      </c>
      <c r="G1058" s="161"/>
      <c r="H1058" s="654"/>
      <c r="I1058" s="654"/>
      <c r="J1058" s="191"/>
      <c r="K1058" s="191">
        <v>2.7918237662713401</v>
      </c>
      <c r="L1058" s="191"/>
      <c r="M1058" s="191"/>
      <c r="N1058" s="191"/>
      <c r="O1058" s="191"/>
      <c r="P1058" s="191"/>
      <c r="Q1058" s="191"/>
      <c r="R1058" s="191"/>
      <c r="S1058" s="191"/>
      <c r="T1058" s="191"/>
      <c r="U1058" s="439"/>
      <c r="V1058" s="441"/>
      <c r="W1058" s="178"/>
      <c r="X1058" s="172"/>
      <c r="Y1058" s="172"/>
      <c r="Z1058" s="172"/>
      <c r="AA1058" s="195"/>
      <c r="AB1058" s="172"/>
    </row>
    <row r="1059" spans="1:28" ht="12.75" customHeight="1" x14ac:dyDescent="0.3">
      <c r="A1059" s="667"/>
      <c r="B1059" s="668" t="s">
        <v>6164</v>
      </c>
      <c r="C1059" s="160" t="s">
        <v>6165</v>
      </c>
      <c r="D1059" s="160"/>
      <c r="E1059" s="439">
        <v>5.23</v>
      </c>
      <c r="F1059" s="161">
        <v>618.86183826000001</v>
      </c>
      <c r="G1059" s="161">
        <v>73.11</v>
      </c>
      <c r="H1059" s="654">
        <v>12.328258675600001</v>
      </c>
      <c r="I1059" s="654">
        <v>1.1846624625075799</v>
      </c>
      <c r="J1059" s="191"/>
      <c r="K1059" s="191">
        <v>2.0572449267044099</v>
      </c>
      <c r="L1059" s="191"/>
      <c r="M1059" s="191"/>
      <c r="N1059" s="191"/>
      <c r="O1059" s="191"/>
      <c r="P1059" s="191"/>
      <c r="Q1059" s="191"/>
      <c r="R1059" s="191"/>
      <c r="S1059" s="191"/>
      <c r="T1059" s="191"/>
      <c r="U1059" s="439"/>
      <c r="V1059" s="441"/>
      <c r="W1059" s="178"/>
      <c r="X1059" s="172"/>
      <c r="Y1059" s="172"/>
      <c r="Z1059" s="172"/>
      <c r="AA1059" s="195"/>
      <c r="AB1059" s="172"/>
    </row>
    <row r="1060" spans="1:28" ht="12.75" customHeight="1" x14ac:dyDescent="0.3">
      <c r="A1060" s="667"/>
      <c r="B1060" s="668" t="s">
        <v>6166</v>
      </c>
      <c r="C1060" s="160" t="s">
        <v>6167</v>
      </c>
      <c r="D1060" s="160"/>
      <c r="E1060" s="439">
        <v>5.09</v>
      </c>
      <c r="F1060" s="161">
        <v>330.88100029999998</v>
      </c>
      <c r="G1060" s="161">
        <v>143.07499999999999</v>
      </c>
      <c r="H1060" s="654">
        <v>2.8767421227999999E-2</v>
      </c>
      <c r="I1060" s="654">
        <v>13172.6042386432</v>
      </c>
      <c r="J1060" s="191"/>
      <c r="K1060" s="191">
        <v>0.297068087307022</v>
      </c>
      <c r="L1060" s="191"/>
      <c r="M1060" s="191"/>
      <c r="N1060" s="191"/>
      <c r="O1060" s="191"/>
      <c r="P1060" s="191"/>
      <c r="Q1060" s="191"/>
      <c r="R1060" s="191"/>
      <c r="S1060" s="191"/>
      <c r="T1060" s="191"/>
      <c r="U1060" s="439"/>
      <c r="V1060" s="441"/>
      <c r="W1060" s="178"/>
      <c r="X1060" s="172"/>
      <c r="Y1060" s="172"/>
      <c r="Z1060" s="172"/>
      <c r="AA1060" s="195"/>
      <c r="AB1060" s="172"/>
    </row>
    <row r="1061" spans="1:28" ht="12.75" customHeight="1" x14ac:dyDescent="0.3">
      <c r="A1061" s="667"/>
      <c r="B1061" s="668" t="s">
        <v>6168</v>
      </c>
      <c r="C1061" s="160" t="s">
        <v>6147</v>
      </c>
      <c r="D1061" s="160"/>
      <c r="E1061" s="439"/>
      <c r="F1061" s="161">
        <v>499.89656896999998</v>
      </c>
      <c r="G1061" s="161"/>
      <c r="H1061" s="654"/>
      <c r="I1061" s="654"/>
      <c r="J1061" s="191"/>
      <c r="K1061" s="191"/>
      <c r="L1061" s="191"/>
      <c r="M1061" s="191"/>
      <c r="N1061" s="191"/>
      <c r="O1061" s="191"/>
      <c r="P1061" s="191"/>
      <c r="Q1061" s="191"/>
      <c r="R1061" s="191"/>
      <c r="S1061" s="191"/>
      <c r="T1061" s="191"/>
      <c r="U1061" s="439"/>
      <c r="V1061" s="441"/>
      <c r="W1061" s="178"/>
      <c r="X1061" s="172"/>
      <c r="Y1061" s="172"/>
      <c r="Z1061" s="172"/>
      <c r="AA1061" s="195"/>
      <c r="AB1061" s="172"/>
    </row>
    <row r="1062" spans="1:28" ht="12.75" customHeight="1" x14ac:dyDescent="0.3">
      <c r="A1062" s="667" t="s">
        <v>4414</v>
      </c>
      <c r="B1062" s="668" t="s">
        <v>6169</v>
      </c>
      <c r="C1062" s="160" t="s">
        <v>6170</v>
      </c>
      <c r="D1062" s="160"/>
      <c r="E1062" s="439"/>
      <c r="F1062" s="161"/>
      <c r="G1062" s="161"/>
      <c r="H1062" s="654"/>
      <c r="I1062" s="654"/>
      <c r="J1062" s="191"/>
      <c r="K1062" s="191"/>
      <c r="L1062" s="191"/>
      <c r="M1062" s="191"/>
      <c r="N1062" s="191"/>
      <c r="O1062" s="191"/>
      <c r="P1062" s="191"/>
      <c r="Q1062" s="191"/>
      <c r="R1062" s="191"/>
      <c r="S1062" s="191"/>
      <c r="T1062" s="191"/>
      <c r="U1062" s="439"/>
      <c r="V1062" s="441"/>
      <c r="W1062" s="178"/>
      <c r="X1062" s="172"/>
      <c r="Y1062" s="172"/>
      <c r="Z1062" s="172"/>
      <c r="AA1062" s="195"/>
      <c r="AB1062" s="172"/>
    </row>
    <row r="1063" spans="1:28" ht="12.75" customHeight="1" x14ac:dyDescent="0.3">
      <c r="A1063" s="667"/>
      <c r="B1063" s="668" t="s">
        <v>6171</v>
      </c>
      <c r="C1063" s="160" t="s">
        <v>6172</v>
      </c>
      <c r="D1063" s="160"/>
      <c r="E1063" s="439">
        <v>-1.64</v>
      </c>
      <c r="F1063" s="161">
        <v>505.94567224999997</v>
      </c>
      <c r="G1063" s="161">
        <v>15.157999999999999</v>
      </c>
      <c r="H1063" s="654"/>
      <c r="I1063" s="654">
        <v>2.3883823187935098</v>
      </c>
      <c r="J1063" s="191"/>
      <c r="K1063" s="191">
        <v>184518.53592053999</v>
      </c>
      <c r="L1063" s="191"/>
      <c r="M1063" s="191"/>
      <c r="N1063" s="191"/>
      <c r="O1063" s="191"/>
      <c r="P1063" s="191"/>
      <c r="Q1063" s="191"/>
      <c r="R1063" s="191"/>
      <c r="S1063" s="191"/>
      <c r="T1063" s="191"/>
      <c r="U1063" s="439"/>
      <c r="V1063" s="441"/>
      <c r="W1063" s="178"/>
      <c r="X1063" s="172"/>
      <c r="Y1063" s="172"/>
      <c r="Z1063" s="172"/>
      <c r="AA1063" s="195"/>
      <c r="AB1063" s="172"/>
    </row>
    <row r="1064" spans="1:28" ht="12.75" customHeight="1" x14ac:dyDescent="0.3">
      <c r="A1064" s="667"/>
      <c r="B1064" s="668" t="s">
        <v>6173</v>
      </c>
      <c r="C1064" s="160" t="s">
        <v>6174</v>
      </c>
      <c r="D1064" s="160"/>
      <c r="E1064" s="439">
        <v>-1.81</v>
      </c>
      <c r="F1064" s="161">
        <v>455.94886592</v>
      </c>
      <c r="G1064" s="161">
        <v>24.942</v>
      </c>
      <c r="H1064" s="654"/>
      <c r="I1064" s="654">
        <v>5.3446326063142298</v>
      </c>
      <c r="J1064" s="191"/>
      <c r="K1064" s="191">
        <v>21644.123334317199</v>
      </c>
      <c r="L1064" s="191"/>
      <c r="M1064" s="191"/>
      <c r="N1064" s="191"/>
      <c r="O1064" s="191"/>
      <c r="P1064" s="191"/>
      <c r="Q1064" s="191"/>
      <c r="R1064" s="191"/>
      <c r="S1064" s="191"/>
      <c r="T1064" s="191"/>
      <c r="U1064" s="439"/>
      <c r="V1064" s="441"/>
      <c r="W1064" s="178"/>
      <c r="X1064" s="172"/>
      <c r="Y1064" s="172"/>
      <c r="Z1064" s="172"/>
      <c r="AA1064" s="195"/>
      <c r="AB1064" s="172"/>
    </row>
    <row r="1065" spans="1:28" ht="12.75" customHeight="1" x14ac:dyDescent="0.3">
      <c r="A1065" s="667"/>
      <c r="B1065" s="668" t="s">
        <v>6175</v>
      </c>
      <c r="C1065" s="160" t="s">
        <v>6176</v>
      </c>
      <c r="D1065" s="160"/>
      <c r="E1065" s="439">
        <v>-1.64</v>
      </c>
      <c r="F1065" s="161">
        <v>405.95205958999998</v>
      </c>
      <c r="G1065" s="161"/>
      <c r="H1065" s="654"/>
      <c r="I1065" s="654"/>
      <c r="J1065" s="191"/>
      <c r="K1065" s="191">
        <v>2105.1352331828198</v>
      </c>
      <c r="L1065" s="191"/>
      <c r="M1065" s="191"/>
      <c r="N1065" s="191"/>
      <c r="O1065" s="191"/>
      <c r="P1065" s="191"/>
      <c r="Q1065" s="191"/>
      <c r="R1065" s="191"/>
      <c r="S1065" s="191"/>
      <c r="T1065" s="191"/>
      <c r="U1065" s="439"/>
      <c r="V1065" s="441"/>
      <c r="W1065" s="178"/>
      <c r="X1065" s="172"/>
      <c r="Y1065" s="172"/>
      <c r="Z1065" s="172"/>
      <c r="AA1065" s="195"/>
      <c r="AB1065" s="172"/>
    </row>
    <row r="1066" spans="1:28" ht="12.75" customHeight="1" x14ac:dyDescent="0.3">
      <c r="A1066" s="667"/>
      <c r="B1066" s="668" t="s">
        <v>6177</v>
      </c>
      <c r="C1066" s="160" t="s">
        <v>6178</v>
      </c>
      <c r="D1066" s="160"/>
      <c r="E1066" s="439">
        <v>-1.61</v>
      </c>
      <c r="F1066" s="161">
        <v>305.95844693999999</v>
      </c>
      <c r="G1066" s="161">
        <v>20.376000000000001</v>
      </c>
      <c r="H1066" s="654">
        <v>27.72697634</v>
      </c>
      <c r="I1066" s="654">
        <v>852.436948188472</v>
      </c>
      <c r="J1066" s="191"/>
      <c r="K1066" s="191">
        <v>1312.8950170114099</v>
      </c>
      <c r="L1066" s="191"/>
      <c r="M1066" s="191"/>
      <c r="N1066" s="191"/>
      <c r="O1066" s="191"/>
      <c r="P1066" s="191"/>
      <c r="Q1066" s="191"/>
      <c r="R1066" s="191"/>
      <c r="S1066" s="191"/>
      <c r="T1066" s="191"/>
      <c r="U1066" s="439"/>
      <c r="V1066" s="441"/>
      <c r="W1066" s="178"/>
      <c r="X1066" s="172"/>
      <c r="Y1066" s="172"/>
      <c r="Z1066" s="172"/>
      <c r="AA1066" s="195"/>
      <c r="AB1066" s="172"/>
    </row>
    <row r="1067" spans="1:28" ht="12.75" customHeight="1" x14ac:dyDescent="0.3">
      <c r="A1067" s="667"/>
      <c r="B1067" s="668" t="s">
        <v>6179</v>
      </c>
      <c r="C1067" s="160" t="s">
        <v>6180</v>
      </c>
      <c r="D1067" s="160"/>
      <c r="E1067" s="439">
        <v>5.23</v>
      </c>
      <c r="F1067" s="161">
        <v>586.91413521000004</v>
      </c>
      <c r="G1067" s="161"/>
      <c r="H1067" s="654"/>
      <c r="I1067" s="654"/>
      <c r="J1067" s="191"/>
      <c r="K1067" s="191">
        <v>222208.158362571</v>
      </c>
      <c r="L1067" s="191"/>
      <c r="M1067" s="191"/>
      <c r="N1067" s="191"/>
      <c r="O1067" s="191"/>
      <c r="P1067" s="191"/>
      <c r="Q1067" s="191"/>
      <c r="R1067" s="191"/>
      <c r="S1067" s="191"/>
      <c r="T1067" s="191"/>
      <c r="U1067" s="439"/>
      <c r="V1067" s="441"/>
      <c r="W1067" s="178"/>
      <c r="X1067" s="172"/>
      <c r="Y1067" s="172"/>
      <c r="Z1067" s="172"/>
      <c r="AA1067" s="195"/>
      <c r="AB1067" s="172"/>
    </row>
    <row r="1068" spans="1:28" ht="12.75" customHeight="1" x14ac:dyDescent="0.3">
      <c r="A1068" s="667"/>
      <c r="B1068" s="668" t="s">
        <v>6181</v>
      </c>
      <c r="C1068" s="160" t="s">
        <v>6182</v>
      </c>
      <c r="D1068" s="160"/>
      <c r="E1068" s="439">
        <v>5.09</v>
      </c>
      <c r="F1068" s="161">
        <v>298.93329725000001</v>
      </c>
      <c r="G1068" s="161">
        <v>143.07499999999999</v>
      </c>
      <c r="H1068" s="654">
        <v>2.8767421227999999E-2</v>
      </c>
      <c r="I1068" s="654">
        <v>11900.7438168305</v>
      </c>
      <c r="J1068" s="191"/>
      <c r="K1068" s="191">
        <v>76.272854482803993</v>
      </c>
      <c r="L1068" s="191"/>
      <c r="M1068" s="191"/>
      <c r="N1068" s="191"/>
      <c r="O1068" s="191"/>
      <c r="P1068" s="191"/>
      <c r="Q1068" s="191"/>
      <c r="R1068" s="191"/>
      <c r="S1068" s="191"/>
      <c r="T1068" s="191"/>
      <c r="U1068" s="439"/>
      <c r="V1068" s="441"/>
      <c r="W1068" s="178"/>
      <c r="X1068" s="172"/>
      <c r="Y1068" s="172"/>
      <c r="Z1068" s="172"/>
      <c r="AA1068" s="195"/>
      <c r="AB1068" s="172"/>
    </row>
    <row r="1069" spans="1:28" ht="12.75" customHeight="1" x14ac:dyDescent="0.3">
      <c r="A1069" s="667"/>
      <c r="B1069" s="668" t="s">
        <v>6183</v>
      </c>
      <c r="C1069" s="160" t="s">
        <v>6184</v>
      </c>
      <c r="D1069" s="160"/>
      <c r="E1069" s="439">
        <v>-1.3</v>
      </c>
      <c r="F1069" s="161">
        <v>1021.84437931</v>
      </c>
      <c r="G1069" s="161"/>
      <c r="H1069" s="654"/>
      <c r="I1069" s="654"/>
      <c r="J1069" s="191"/>
      <c r="K1069" s="191">
        <v>1233.53080610864</v>
      </c>
      <c r="L1069" s="191"/>
      <c r="M1069" s="191"/>
      <c r="N1069" s="191"/>
      <c r="O1069" s="191"/>
      <c r="P1069" s="191"/>
      <c r="Q1069" s="191"/>
      <c r="R1069" s="191"/>
      <c r="S1069" s="191"/>
      <c r="T1069" s="191"/>
      <c r="U1069" s="439"/>
      <c r="V1069" s="441"/>
      <c r="W1069" s="178"/>
      <c r="X1069" s="172"/>
      <c r="Y1069" s="172"/>
      <c r="Z1069" s="172"/>
      <c r="AA1069" s="195"/>
      <c r="AB1069" s="172"/>
    </row>
    <row r="1070" spans="1:28" ht="12.75" customHeight="1" x14ac:dyDescent="0.3">
      <c r="A1070" s="667"/>
      <c r="B1070" s="668" t="s">
        <v>6185</v>
      </c>
      <c r="C1070" s="160" t="s">
        <v>6186</v>
      </c>
      <c r="D1070" s="160"/>
      <c r="E1070" s="439">
        <v>-1.61</v>
      </c>
      <c r="F1070" s="161">
        <v>621.86992869999995</v>
      </c>
      <c r="G1070" s="161"/>
      <c r="H1070" s="654"/>
      <c r="I1070" s="654"/>
      <c r="J1070" s="191"/>
      <c r="K1070" s="191">
        <v>8.7085129100080607</v>
      </c>
      <c r="L1070" s="191"/>
      <c r="M1070" s="191"/>
      <c r="N1070" s="191"/>
      <c r="O1070" s="191"/>
      <c r="P1070" s="191"/>
      <c r="Q1070" s="191"/>
      <c r="R1070" s="191"/>
      <c r="S1070" s="191"/>
      <c r="T1070" s="191"/>
      <c r="U1070" s="439"/>
      <c r="V1070" s="441"/>
      <c r="W1070" s="178"/>
      <c r="X1070" s="172"/>
      <c r="Y1070" s="172"/>
      <c r="Z1070" s="172"/>
      <c r="AA1070" s="195"/>
      <c r="AB1070" s="172"/>
    </row>
    <row r="1071" spans="1:28" ht="12.75" customHeight="1" x14ac:dyDescent="0.3">
      <c r="A1071" s="667"/>
      <c r="B1071" s="668" t="s">
        <v>6187</v>
      </c>
      <c r="C1071" s="160" t="s">
        <v>6188</v>
      </c>
      <c r="D1071" s="160"/>
      <c r="E1071" s="439">
        <v>-1.64</v>
      </c>
      <c r="F1071" s="161">
        <v>1021.84437931</v>
      </c>
      <c r="G1071" s="161"/>
      <c r="H1071" s="654"/>
      <c r="I1071" s="654"/>
      <c r="J1071" s="191"/>
      <c r="K1071" s="191">
        <v>134.76279197972599</v>
      </c>
      <c r="L1071" s="191"/>
      <c r="M1071" s="191"/>
      <c r="N1071" s="191"/>
      <c r="O1071" s="191"/>
      <c r="P1071" s="191"/>
      <c r="Q1071" s="191"/>
      <c r="R1071" s="191"/>
      <c r="S1071" s="191"/>
      <c r="T1071" s="191"/>
      <c r="U1071" s="439"/>
      <c r="V1071" s="441"/>
      <c r="W1071" s="178"/>
      <c r="X1071" s="172"/>
      <c r="Y1071" s="172"/>
      <c r="Z1071" s="172"/>
      <c r="AA1071" s="195"/>
      <c r="AB1071" s="172"/>
    </row>
    <row r="1072" spans="1:28" ht="12.75" customHeight="1" x14ac:dyDescent="0.3">
      <c r="A1072" s="667"/>
      <c r="B1072" s="668" t="s">
        <v>6189</v>
      </c>
      <c r="C1072" s="160" t="s">
        <v>6190</v>
      </c>
      <c r="D1072" s="160"/>
      <c r="E1072" s="439">
        <v>4.42</v>
      </c>
      <c r="F1072" s="161">
        <v>614.01907437</v>
      </c>
      <c r="G1072" s="161"/>
      <c r="H1072" s="654"/>
      <c r="I1072" s="654"/>
      <c r="J1072" s="191"/>
      <c r="K1072" s="191">
        <v>69688.320808492703</v>
      </c>
      <c r="L1072" s="191"/>
      <c r="M1072" s="191"/>
      <c r="N1072" s="191"/>
      <c r="O1072" s="191"/>
      <c r="P1072" s="191"/>
      <c r="Q1072" s="191"/>
      <c r="R1072" s="191"/>
      <c r="S1072" s="191"/>
      <c r="T1072" s="191"/>
      <c r="U1072" s="439"/>
      <c r="V1072" s="441"/>
      <c r="W1072" s="178"/>
      <c r="X1072" s="172"/>
      <c r="Y1072" s="172"/>
      <c r="Z1072" s="172"/>
      <c r="AA1072" s="195"/>
      <c r="AB1072" s="172"/>
    </row>
    <row r="1073" spans="1:28" ht="12.75" customHeight="1" x14ac:dyDescent="0.3">
      <c r="A1073" s="667"/>
      <c r="B1073" s="668" t="s">
        <v>6191</v>
      </c>
      <c r="C1073" s="160" t="s">
        <v>6192</v>
      </c>
      <c r="D1073" s="160"/>
      <c r="E1073" s="439">
        <v>1.82</v>
      </c>
      <c r="F1073" s="161">
        <v>991.93667700000003</v>
      </c>
      <c r="G1073" s="161"/>
      <c r="H1073" s="654"/>
      <c r="I1073" s="654"/>
      <c r="J1073" s="191"/>
      <c r="K1073" s="191">
        <v>1467.13473733003</v>
      </c>
      <c r="L1073" s="191"/>
      <c r="M1073" s="191"/>
      <c r="N1073" s="191"/>
      <c r="O1073" s="191"/>
      <c r="P1073" s="191"/>
      <c r="Q1073" s="191"/>
      <c r="R1073" s="191"/>
      <c r="S1073" s="191"/>
      <c r="T1073" s="191"/>
      <c r="U1073" s="439"/>
      <c r="V1073" s="441"/>
      <c r="W1073" s="178"/>
      <c r="X1073" s="172"/>
      <c r="Y1073" s="172"/>
      <c r="Z1073" s="172"/>
      <c r="AA1073" s="195"/>
      <c r="AB1073" s="172"/>
    </row>
    <row r="1074" spans="1:28" ht="12.75" customHeight="1" x14ac:dyDescent="0.3">
      <c r="A1074" s="667"/>
      <c r="B1074" s="668" t="s">
        <v>6193</v>
      </c>
      <c r="C1074" s="160" t="s">
        <v>6194</v>
      </c>
      <c r="D1074" s="160"/>
      <c r="E1074" s="439">
        <v>-1.54</v>
      </c>
      <c r="F1074" s="161">
        <v>621.91305074000002</v>
      </c>
      <c r="G1074" s="161"/>
      <c r="H1074" s="654"/>
      <c r="I1074" s="654"/>
      <c r="J1074" s="191"/>
      <c r="K1074" s="191">
        <v>4566.2533096548004</v>
      </c>
      <c r="L1074" s="191"/>
      <c r="M1074" s="191"/>
      <c r="N1074" s="191"/>
      <c r="O1074" s="191"/>
      <c r="P1074" s="191"/>
      <c r="Q1074" s="191"/>
      <c r="R1074" s="191"/>
      <c r="S1074" s="191"/>
      <c r="T1074" s="191"/>
      <c r="U1074" s="439"/>
      <c r="V1074" s="441"/>
      <c r="W1074" s="178"/>
      <c r="X1074" s="172"/>
      <c r="Y1074" s="172"/>
      <c r="Z1074" s="172"/>
      <c r="AA1074" s="195"/>
      <c r="AB1074" s="172"/>
    </row>
    <row r="1075" spans="1:28" ht="12.75" customHeight="1" x14ac:dyDescent="0.3">
      <c r="A1075" s="667"/>
      <c r="B1075" s="668" t="s">
        <v>6195</v>
      </c>
      <c r="C1075" s="160" t="s">
        <v>6196</v>
      </c>
      <c r="D1075" s="160"/>
      <c r="E1075" s="439">
        <v>-1.68</v>
      </c>
      <c r="F1075" s="161">
        <v>571.91624440999999</v>
      </c>
      <c r="G1075" s="161"/>
      <c r="H1075" s="654"/>
      <c r="I1075" s="654"/>
      <c r="J1075" s="191"/>
      <c r="K1075" s="191">
        <v>9118.42856223134</v>
      </c>
      <c r="L1075" s="191"/>
      <c r="M1075" s="191"/>
      <c r="N1075" s="191"/>
      <c r="O1075" s="191"/>
      <c r="P1075" s="191"/>
      <c r="Q1075" s="191"/>
      <c r="R1075" s="191"/>
      <c r="S1075" s="191"/>
      <c r="T1075" s="191"/>
      <c r="U1075" s="439"/>
      <c r="V1075" s="441"/>
      <c r="W1075" s="178"/>
      <c r="X1075" s="172"/>
      <c r="Y1075" s="172"/>
      <c r="Z1075" s="172"/>
      <c r="AA1075" s="195"/>
      <c r="AB1075" s="172"/>
    </row>
    <row r="1076" spans="1:28" ht="12.75" customHeight="1" x14ac:dyDescent="0.3">
      <c r="A1076" s="667"/>
      <c r="B1076" s="668" t="s">
        <v>6197</v>
      </c>
      <c r="C1076" s="160" t="s">
        <v>6198</v>
      </c>
      <c r="D1076" s="160"/>
      <c r="E1076" s="439">
        <v>-1.64</v>
      </c>
      <c r="F1076" s="161">
        <v>521.91943808999997</v>
      </c>
      <c r="G1076" s="161">
        <v>15.157999999999999</v>
      </c>
      <c r="H1076" s="654"/>
      <c r="I1076" s="654">
        <v>2.46378855703079</v>
      </c>
      <c r="J1076" s="191"/>
      <c r="K1076" s="191">
        <v>3939.1271544686501</v>
      </c>
      <c r="L1076" s="191"/>
      <c r="M1076" s="191"/>
      <c r="N1076" s="191"/>
      <c r="O1076" s="191"/>
      <c r="P1076" s="191"/>
      <c r="Q1076" s="191"/>
      <c r="R1076" s="191"/>
      <c r="S1076" s="191"/>
      <c r="T1076" s="191"/>
      <c r="U1076" s="439"/>
      <c r="V1076" s="441"/>
      <c r="W1076" s="178"/>
      <c r="X1076" s="172"/>
      <c r="Y1076" s="172"/>
      <c r="Z1076" s="172"/>
      <c r="AA1076" s="195"/>
      <c r="AB1076" s="172"/>
    </row>
    <row r="1077" spans="1:28" ht="12.75" customHeight="1" x14ac:dyDescent="0.3">
      <c r="A1077" s="667"/>
      <c r="B1077" s="668" t="s">
        <v>6199</v>
      </c>
      <c r="C1077" s="160" t="s">
        <v>6200</v>
      </c>
      <c r="D1077" s="160"/>
      <c r="E1077" s="439">
        <v>-1.64</v>
      </c>
      <c r="F1077" s="161">
        <v>421.92582542999997</v>
      </c>
      <c r="G1077" s="161"/>
      <c r="H1077" s="654"/>
      <c r="I1077" s="654"/>
      <c r="J1077" s="191"/>
      <c r="K1077" s="191">
        <v>3.1142537781634201</v>
      </c>
      <c r="L1077" s="191"/>
      <c r="M1077" s="191"/>
      <c r="N1077" s="191"/>
      <c r="O1077" s="191"/>
      <c r="P1077" s="191"/>
      <c r="Q1077" s="191"/>
      <c r="R1077" s="191"/>
      <c r="S1077" s="191"/>
      <c r="T1077" s="191"/>
      <c r="U1077" s="439"/>
      <c r="V1077" s="441"/>
      <c r="W1077" s="178"/>
      <c r="X1077" s="172"/>
      <c r="Y1077" s="172"/>
      <c r="Z1077" s="172"/>
      <c r="AA1077" s="195"/>
      <c r="AB1077" s="172"/>
    </row>
    <row r="1078" spans="1:28" ht="12.75" customHeight="1" x14ac:dyDescent="0.3">
      <c r="A1078" s="667"/>
      <c r="B1078" s="668" t="s">
        <v>6201</v>
      </c>
      <c r="C1078" s="160" t="s">
        <v>6202</v>
      </c>
      <c r="D1078" s="160"/>
      <c r="E1078" s="439">
        <v>-1.61</v>
      </c>
      <c r="F1078" s="161">
        <v>321.93221277999999</v>
      </c>
      <c r="G1078" s="161"/>
      <c r="H1078" s="654"/>
      <c r="I1078" s="654"/>
      <c r="J1078" s="191"/>
      <c r="K1078" s="191">
        <v>9.3117219634278907</v>
      </c>
      <c r="L1078" s="191"/>
      <c r="M1078" s="191"/>
      <c r="N1078" s="191"/>
      <c r="O1078" s="191"/>
      <c r="P1078" s="191"/>
      <c r="Q1078" s="191"/>
      <c r="R1078" s="191"/>
      <c r="S1078" s="191"/>
      <c r="T1078" s="191"/>
      <c r="U1078" s="439"/>
      <c r="V1078" s="441"/>
      <c r="W1078" s="178"/>
      <c r="X1078" s="172"/>
      <c r="Y1078" s="172"/>
      <c r="Z1078" s="172"/>
      <c r="AA1078" s="195"/>
      <c r="AB1078" s="172"/>
    </row>
    <row r="1079" spans="1:28" ht="12.75" customHeight="1" x14ac:dyDescent="0.3">
      <c r="A1079" s="667"/>
      <c r="B1079" s="668" t="s">
        <v>6203</v>
      </c>
      <c r="C1079" s="160" t="s">
        <v>6204</v>
      </c>
      <c r="D1079" s="160"/>
      <c r="E1079" s="439">
        <v>0.49</v>
      </c>
      <c r="F1079" s="161">
        <v>676.92353765999997</v>
      </c>
      <c r="G1079" s="161"/>
      <c r="H1079" s="654"/>
      <c r="I1079" s="654"/>
      <c r="J1079" s="191"/>
      <c r="K1079" s="191">
        <v>1267126.5769902701</v>
      </c>
      <c r="L1079" s="191"/>
      <c r="M1079" s="191"/>
      <c r="N1079" s="191"/>
      <c r="O1079" s="191"/>
      <c r="P1079" s="191"/>
      <c r="Q1079" s="191"/>
      <c r="R1079" s="191"/>
      <c r="S1079" s="191"/>
      <c r="T1079" s="191"/>
      <c r="U1079" s="439"/>
      <c r="V1079" s="441"/>
      <c r="W1079" s="178"/>
      <c r="X1079" s="172"/>
      <c r="Y1079" s="172"/>
      <c r="Z1079" s="172"/>
      <c r="AA1079" s="195"/>
      <c r="AB1079" s="172"/>
    </row>
    <row r="1080" spans="1:28" ht="12.75" customHeight="1" x14ac:dyDescent="0.3">
      <c r="A1080" s="667"/>
      <c r="B1080" s="668" t="s">
        <v>6205</v>
      </c>
      <c r="C1080" s="160" t="s">
        <v>6206</v>
      </c>
      <c r="D1080" s="160"/>
      <c r="E1080" s="439">
        <v>5.03</v>
      </c>
      <c r="F1080" s="161">
        <v>690.93918772999996</v>
      </c>
      <c r="G1080" s="161"/>
      <c r="H1080" s="654"/>
      <c r="I1080" s="654"/>
      <c r="J1080" s="191"/>
      <c r="K1080" s="191">
        <v>1670975.1834474599</v>
      </c>
      <c r="L1080" s="191"/>
      <c r="M1080" s="191"/>
      <c r="N1080" s="191"/>
      <c r="O1080" s="191"/>
      <c r="P1080" s="191"/>
      <c r="Q1080" s="191"/>
      <c r="R1080" s="191"/>
      <c r="S1080" s="191"/>
      <c r="T1080" s="191"/>
      <c r="U1080" s="439"/>
      <c r="V1080" s="441"/>
      <c r="W1080" s="178"/>
      <c r="X1080" s="172"/>
      <c r="Y1080" s="172"/>
      <c r="Z1080" s="172"/>
      <c r="AA1080" s="195"/>
      <c r="AB1080" s="172"/>
    </row>
    <row r="1081" spans="1:28" ht="12.75" customHeight="1" x14ac:dyDescent="0.3">
      <c r="A1081" s="667"/>
      <c r="B1081" s="668" t="s">
        <v>6207</v>
      </c>
      <c r="C1081" s="160" t="s">
        <v>6208</v>
      </c>
      <c r="D1081" s="160"/>
      <c r="E1081" s="439">
        <v>5.07</v>
      </c>
      <c r="F1081" s="161">
        <v>590.94557508000003</v>
      </c>
      <c r="G1081" s="161"/>
      <c r="H1081" s="654"/>
      <c r="I1081" s="654"/>
      <c r="J1081" s="191"/>
      <c r="K1081" s="191">
        <v>23728.4844226557</v>
      </c>
      <c r="L1081" s="191"/>
      <c r="M1081" s="191"/>
      <c r="N1081" s="191"/>
      <c r="O1081" s="191"/>
      <c r="P1081" s="191"/>
      <c r="Q1081" s="191"/>
      <c r="R1081" s="191"/>
      <c r="S1081" s="191"/>
      <c r="T1081" s="191"/>
      <c r="U1081" s="439"/>
      <c r="V1081" s="441"/>
      <c r="W1081" s="178"/>
      <c r="X1081" s="172"/>
      <c r="Y1081" s="172"/>
      <c r="Z1081" s="172"/>
      <c r="AA1081" s="195"/>
      <c r="AB1081" s="172"/>
    </row>
    <row r="1082" spans="1:28" ht="12.75" customHeight="1" x14ac:dyDescent="0.3">
      <c r="A1082" s="667"/>
      <c r="B1082" s="668" t="s">
        <v>6209</v>
      </c>
      <c r="C1082" s="160" t="s">
        <v>6210</v>
      </c>
      <c r="D1082" s="160"/>
      <c r="E1082" s="439">
        <v>5.14</v>
      </c>
      <c r="F1082" s="161">
        <v>540.94876875</v>
      </c>
      <c r="G1082" s="161"/>
      <c r="H1082" s="654"/>
      <c r="I1082" s="654"/>
      <c r="J1082" s="191"/>
      <c r="K1082" s="191">
        <v>861.76727888706102</v>
      </c>
      <c r="L1082" s="191"/>
      <c r="M1082" s="191"/>
      <c r="N1082" s="191"/>
      <c r="O1082" s="191"/>
      <c r="P1082" s="191"/>
      <c r="Q1082" s="191"/>
      <c r="R1082" s="191"/>
      <c r="S1082" s="191"/>
      <c r="T1082" s="191"/>
      <c r="U1082" s="439"/>
      <c r="V1082" s="441"/>
      <c r="W1082" s="178"/>
      <c r="X1082" s="172"/>
      <c r="Y1082" s="172"/>
      <c r="Z1082" s="172"/>
      <c r="AA1082" s="195"/>
      <c r="AB1082" s="172"/>
    </row>
    <row r="1083" spans="1:28" ht="12.75" customHeight="1" x14ac:dyDescent="0.3">
      <c r="A1083" s="667"/>
      <c r="B1083" s="668" t="s">
        <v>6211</v>
      </c>
      <c r="C1083" s="160" t="s">
        <v>6212</v>
      </c>
      <c r="D1083" s="160"/>
      <c r="E1083" s="439">
        <v>-1.78</v>
      </c>
      <c r="F1083" s="161">
        <v>505.92452347</v>
      </c>
      <c r="G1083" s="161">
        <v>66.192999999999998</v>
      </c>
      <c r="H1083" s="654"/>
      <c r="I1083" s="654">
        <v>3.2142953342071801</v>
      </c>
      <c r="J1083" s="191"/>
      <c r="K1083" s="191">
        <v>3769.1203072765002</v>
      </c>
      <c r="L1083" s="191"/>
      <c r="M1083" s="191"/>
      <c r="N1083" s="191"/>
      <c r="O1083" s="191"/>
      <c r="P1083" s="191"/>
      <c r="Q1083" s="191"/>
      <c r="R1083" s="191"/>
      <c r="S1083" s="191"/>
      <c r="T1083" s="191"/>
      <c r="U1083" s="439"/>
      <c r="V1083" s="441"/>
      <c r="W1083" s="178"/>
      <c r="X1083" s="172"/>
      <c r="Y1083" s="172"/>
      <c r="Z1083" s="172"/>
      <c r="AA1083" s="195"/>
      <c r="AB1083" s="172"/>
    </row>
    <row r="1084" spans="1:28" ht="12.75" customHeight="1" x14ac:dyDescent="0.3">
      <c r="A1084" s="667"/>
      <c r="B1084" s="668" t="s">
        <v>6213</v>
      </c>
      <c r="C1084" s="160" t="s">
        <v>6214</v>
      </c>
      <c r="D1084" s="160"/>
      <c r="E1084" s="439">
        <v>-1.95</v>
      </c>
      <c r="F1084" s="161">
        <v>455.92771714000003</v>
      </c>
      <c r="G1084" s="161">
        <v>77.81</v>
      </c>
      <c r="H1084" s="654"/>
      <c r="I1084" s="654">
        <v>7.1927612583723501</v>
      </c>
      <c r="J1084" s="191"/>
      <c r="K1084" s="191">
        <v>26.4496542920911</v>
      </c>
      <c r="L1084" s="191"/>
      <c r="M1084" s="191"/>
      <c r="N1084" s="191"/>
      <c r="O1084" s="191"/>
      <c r="P1084" s="191"/>
      <c r="Q1084" s="191"/>
      <c r="R1084" s="191"/>
      <c r="S1084" s="191"/>
      <c r="T1084" s="191"/>
      <c r="U1084" s="439"/>
      <c r="V1084" s="441"/>
      <c r="W1084" s="178"/>
      <c r="X1084" s="172"/>
      <c r="Y1084" s="172"/>
      <c r="Z1084" s="172"/>
      <c r="AA1084" s="195"/>
      <c r="AB1084" s="172"/>
    </row>
    <row r="1085" spans="1:28" ht="12.75" customHeight="1" x14ac:dyDescent="0.3">
      <c r="A1085" s="667"/>
      <c r="B1085" s="668" t="s">
        <v>6215</v>
      </c>
      <c r="C1085" s="160" t="s">
        <v>6216</v>
      </c>
      <c r="D1085" s="160"/>
      <c r="E1085" s="439">
        <v>-1.9</v>
      </c>
      <c r="F1085" s="161">
        <v>355.93410448999998</v>
      </c>
      <c r="G1085" s="161"/>
      <c r="H1085" s="654"/>
      <c r="I1085" s="654"/>
      <c r="J1085" s="191"/>
      <c r="K1085" s="191">
        <v>6.9315442490758699</v>
      </c>
      <c r="L1085" s="191"/>
      <c r="M1085" s="191"/>
      <c r="N1085" s="191"/>
      <c r="O1085" s="191"/>
      <c r="P1085" s="191"/>
      <c r="Q1085" s="191"/>
      <c r="R1085" s="191"/>
      <c r="S1085" s="191"/>
      <c r="T1085" s="191"/>
      <c r="U1085" s="439"/>
      <c r="V1085" s="441"/>
      <c r="W1085" s="178"/>
      <c r="X1085" s="172"/>
      <c r="Y1085" s="172"/>
      <c r="Z1085" s="172"/>
      <c r="AA1085" s="195"/>
      <c r="AB1085" s="172"/>
    </row>
    <row r="1086" spans="1:28" ht="12.75" customHeight="1" x14ac:dyDescent="0.3">
      <c r="A1086" s="667"/>
      <c r="B1086" s="668" t="s">
        <v>6217</v>
      </c>
      <c r="C1086" s="160" t="s">
        <v>6218</v>
      </c>
      <c r="D1086" s="160"/>
      <c r="E1086" s="439">
        <v>-1.74</v>
      </c>
      <c r="F1086" s="161">
        <v>305.93729816000001</v>
      </c>
      <c r="G1086" s="161"/>
      <c r="H1086" s="654"/>
      <c r="I1086" s="654"/>
      <c r="J1086" s="191"/>
      <c r="K1086" s="191">
        <v>8.6479864405140194</v>
      </c>
      <c r="L1086" s="191"/>
      <c r="M1086" s="191"/>
      <c r="N1086" s="191"/>
      <c r="O1086" s="191"/>
      <c r="P1086" s="191"/>
      <c r="Q1086" s="191"/>
      <c r="R1086" s="191"/>
      <c r="S1086" s="191"/>
      <c r="T1086" s="191"/>
      <c r="U1086" s="439"/>
      <c r="V1086" s="441"/>
      <c r="W1086" s="178"/>
      <c r="X1086" s="172"/>
      <c r="Y1086" s="172"/>
      <c r="Z1086" s="172"/>
      <c r="AA1086" s="195"/>
      <c r="AB1086" s="172"/>
    </row>
    <row r="1087" spans="1:28" ht="12.75" customHeight="1" x14ac:dyDescent="0.3">
      <c r="A1087" s="667"/>
      <c r="B1087" s="668" t="s">
        <v>6219</v>
      </c>
      <c r="C1087" s="160" t="s">
        <v>6220</v>
      </c>
      <c r="D1087" s="160"/>
      <c r="E1087" s="439">
        <v>-0.56999999999999995</v>
      </c>
      <c r="F1087" s="161">
        <v>606.97220192999998</v>
      </c>
      <c r="G1087" s="161"/>
      <c r="H1087" s="654"/>
      <c r="I1087" s="654"/>
      <c r="J1087" s="191"/>
      <c r="K1087" s="191">
        <v>4288.4465349681996</v>
      </c>
      <c r="L1087" s="191"/>
      <c r="M1087" s="191"/>
      <c r="N1087" s="191"/>
      <c r="O1087" s="191"/>
      <c r="P1087" s="191"/>
      <c r="Q1087" s="191"/>
      <c r="R1087" s="191"/>
      <c r="S1087" s="191"/>
      <c r="T1087" s="191"/>
      <c r="U1087" s="439"/>
      <c r="V1087" s="441"/>
      <c r="W1087" s="178"/>
      <c r="X1087" s="172"/>
      <c r="Y1087" s="172"/>
      <c r="Z1087" s="172"/>
      <c r="AA1087" s="195"/>
      <c r="AB1087" s="172"/>
    </row>
    <row r="1088" spans="1:28" ht="12.75" customHeight="1" x14ac:dyDescent="0.3">
      <c r="A1088" s="667"/>
      <c r="B1088" s="668" t="s">
        <v>6221</v>
      </c>
      <c r="C1088" s="160" t="s">
        <v>6222</v>
      </c>
      <c r="D1088" s="160"/>
      <c r="E1088" s="439">
        <v>-0.81</v>
      </c>
      <c r="F1088" s="161">
        <v>556.97539560999996</v>
      </c>
      <c r="G1088" s="161">
        <v>53.393999999999998</v>
      </c>
      <c r="H1088" s="654">
        <v>1.8150990368</v>
      </c>
      <c r="I1088" s="654">
        <v>1.1771619288677699</v>
      </c>
      <c r="J1088" s="191"/>
      <c r="K1088" s="191">
        <v>1836.79208802473</v>
      </c>
      <c r="L1088" s="191"/>
      <c r="M1088" s="191"/>
      <c r="N1088" s="191"/>
      <c r="O1088" s="191"/>
      <c r="P1088" s="191"/>
      <c r="Q1088" s="191"/>
      <c r="R1088" s="191"/>
      <c r="S1088" s="191"/>
      <c r="T1088" s="191"/>
      <c r="U1088" s="439"/>
      <c r="V1088" s="441"/>
      <c r="W1088" s="178"/>
      <c r="X1088" s="172"/>
      <c r="Y1088" s="172"/>
      <c r="Z1088" s="172"/>
      <c r="AA1088" s="195"/>
      <c r="AB1088" s="172"/>
    </row>
    <row r="1089" spans="1:28" ht="12.75" customHeight="1" x14ac:dyDescent="0.3">
      <c r="A1089" s="667"/>
      <c r="B1089" s="668" t="s">
        <v>6223</v>
      </c>
      <c r="C1089" s="160" t="s">
        <v>6224</v>
      </c>
      <c r="D1089" s="160"/>
      <c r="E1089" s="439">
        <v>-0.43</v>
      </c>
      <c r="F1089" s="161">
        <v>506.97858927999999</v>
      </c>
      <c r="G1089" s="161">
        <v>48.378</v>
      </c>
      <c r="H1089" s="654">
        <v>2.060158205</v>
      </c>
      <c r="I1089" s="654">
        <v>2.66679356597297</v>
      </c>
      <c r="J1089" s="191"/>
      <c r="K1089" s="191">
        <v>1453.9852472176501</v>
      </c>
      <c r="L1089" s="191"/>
      <c r="M1089" s="191"/>
      <c r="N1089" s="191"/>
      <c r="O1089" s="191"/>
      <c r="P1089" s="191"/>
      <c r="Q1089" s="191"/>
      <c r="R1089" s="191"/>
      <c r="S1089" s="191"/>
      <c r="T1089" s="191"/>
      <c r="U1089" s="439"/>
      <c r="V1089" s="441"/>
      <c r="W1089" s="178"/>
      <c r="X1089" s="172"/>
      <c r="Y1089" s="172"/>
      <c r="Z1089" s="172"/>
      <c r="AA1089" s="195"/>
      <c r="AB1089" s="172"/>
    </row>
    <row r="1090" spans="1:28" ht="12.75" customHeight="1" x14ac:dyDescent="0.3">
      <c r="A1090" s="667"/>
      <c r="B1090" s="668" t="s">
        <v>6225</v>
      </c>
      <c r="C1090" s="160" t="s">
        <v>6226</v>
      </c>
      <c r="D1090" s="160"/>
      <c r="E1090" s="439">
        <v>-0.77</v>
      </c>
      <c r="F1090" s="161">
        <v>456.98178295999998</v>
      </c>
      <c r="G1090" s="161">
        <v>69.936000000000007</v>
      </c>
      <c r="H1090" s="654">
        <v>2.17221534599999</v>
      </c>
      <c r="I1090" s="654">
        <v>5.9689589544886301</v>
      </c>
      <c r="J1090" s="191"/>
      <c r="K1090" s="191">
        <v>409.89252652639902</v>
      </c>
      <c r="L1090" s="191"/>
      <c r="M1090" s="191"/>
      <c r="N1090" s="191"/>
      <c r="O1090" s="191"/>
      <c r="P1090" s="191"/>
      <c r="Q1090" s="191"/>
      <c r="R1090" s="191"/>
      <c r="S1090" s="191"/>
      <c r="T1090" s="191"/>
      <c r="U1090" s="439"/>
      <c r="V1090" s="441"/>
      <c r="W1090" s="178"/>
      <c r="X1090" s="172"/>
      <c r="Y1090" s="172"/>
      <c r="Z1090" s="172"/>
      <c r="AA1090" s="195"/>
      <c r="AB1090" s="172"/>
    </row>
    <row r="1091" spans="1:28" ht="12.75" customHeight="1" x14ac:dyDescent="0.3">
      <c r="A1091" s="667"/>
      <c r="B1091" s="668" t="s">
        <v>6227</v>
      </c>
      <c r="C1091" s="160" t="s">
        <v>6228</v>
      </c>
      <c r="D1091" s="160"/>
      <c r="E1091" s="439">
        <v>-0.77</v>
      </c>
      <c r="F1091" s="161">
        <v>406.98497663000001</v>
      </c>
      <c r="G1091" s="161">
        <v>66.549000000000007</v>
      </c>
      <c r="H1091" s="654">
        <v>2.0840228430000001</v>
      </c>
      <c r="I1091" s="654">
        <v>243.54469383511099</v>
      </c>
      <c r="J1091" s="191"/>
      <c r="K1091" s="191">
        <v>11.227937849509299</v>
      </c>
      <c r="L1091" s="191"/>
      <c r="M1091" s="191"/>
      <c r="N1091" s="191"/>
      <c r="O1091" s="191"/>
      <c r="P1091" s="191"/>
      <c r="Q1091" s="191"/>
      <c r="R1091" s="191"/>
      <c r="S1091" s="191"/>
      <c r="T1091" s="191"/>
      <c r="U1091" s="439"/>
      <c r="V1091" s="441"/>
      <c r="W1091" s="178"/>
      <c r="X1091" s="172"/>
      <c r="Y1091" s="172"/>
      <c r="Z1091" s="172"/>
      <c r="AA1091" s="195"/>
      <c r="AB1091" s="172"/>
    </row>
    <row r="1092" spans="1:28" ht="12.75" customHeight="1" x14ac:dyDescent="0.3">
      <c r="A1092" s="667"/>
      <c r="B1092" s="668" t="s">
        <v>6229</v>
      </c>
      <c r="C1092" s="160" t="s">
        <v>6230</v>
      </c>
      <c r="D1092" s="160"/>
      <c r="E1092" s="439">
        <v>2.44</v>
      </c>
      <c r="F1092" s="161">
        <v>670.97048786000005</v>
      </c>
      <c r="G1092" s="161"/>
      <c r="H1092" s="654"/>
      <c r="I1092" s="654"/>
      <c r="J1092" s="191"/>
      <c r="K1092" s="191">
        <v>78080.035119620006</v>
      </c>
      <c r="L1092" s="191"/>
      <c r="M1092" s="191"/>
      <c r="N1092" s="191"/>
      <c r="O1092" s="191"/>
      <c r="P1092" s="191"/>
      <c r="Q1092" s="191"/>
      <c r="R1092" s="191"/>
      <c r="S1092" s="191"/>
      <c r="T1092" s="191"/>
      <c r="U1092" s="439"/>
      <c r="V1092" s="441"/>
      <c r="W1092" s="178"/>
      <c r="X1092" s="172"/>
      <c r="Y1092" s="172"/>
      <c r="Z1092" s="172"/>
      <c r="AA1092" s="195"/>
      <c r="AB1092" s="172"/>
    </row>
    <row r="1093" spans="1:28" ht="12.75" customHeight="1" x14ac:dyDescent="0.3">
      <c r="A1093" s="667"/>
      <c r="B1093" s="668" t="s">
        <v>6231</v>
      </c>
      <c r="C1093" s="160" t="s">
        <v>6232</v>
      </c>
      <c r="D1093" s="160"/>
      <c r="E1093" s="439">
        <v>1.2330000000000001</v>
      </c>
      <c r="F1093" s="161">
        <v>744.02325170999995</v>
      </c>
      <c r="G1093" s="161">
        <v>96.959000000000003</v>
      </c>
      <c r="H1093" s="654"/>
      <c r="I1093" s="654">
        <v>1.6240018722049601</v>
      </c>
      <c r="J1093" s="191"/>
      <c r="K1093" s="191">
        <v>1223066.3002323699</v>
      </c>
      <c r="L1093" s="191"/>
      <c r="M1093" s="191"/>
      <c r="N1093" s="191"/>
      <c r="O1093" s="191"/>
      <c r="P1093" s="191"/>
      <c r="Q1093" s="191"/>
      <c r="R1093" s="191"/>
      <c r="S1093" s="191"/>
      <c r="T1093" s="191"/>
      <c r="U1093" s="439"/>
      <c r="V1093" s="441"/>
      <c r="W1093" s="178"/>
      <c r="X1093" s="172"/>
      <c r="Y1093" s="172"/>
      <c r="Z1093" s="172"/>
      <c r="AA1093" s="195"/>
      <c r="AB1093" s="172"/>
    </row>
    <row r="1094" spans="1:28" ht="12.75" customHeight="1" x14ac:dyDescent="0.3">
      <c r="A1094" s="667"/>
      <c r="B1094" s="668" t="s">
        <v>6233</v>
      </c>
      <c r="C1094" s="160" t="s">
        <v>6234</v>
      </c>
      <c r="D1094" s="160"/>
      <c r="E1094" s="439">
        <v>1.2330000000000001</v>
      </c>
      <c r="F1094" s="161">
        <v>644.02963905000001</v>
      </c>
      <c r="G1094" s="161">
        <v>100.526</v>
      </c>
      <c r="H1094" s="654"/>
      <c r="I1094" s="654">
        <v>4.455596692136</v>
      </c>
      <c r="J1094" s="191"/>
      <c r="K1094" s="191">
        <v>22630.8048691269</v>
      </c>
      <c r="L1094" s="191"/>
      <c r="M1094" s="191"/>
      <c r="N1094" s="191"/>
      <c r="O1094" s="191"/>
      <c r="P1094" s="191"/>
      <c r="Q1094" s="191"/>
      <c r="R1094" s="191"/>
      <c r="S1094" s="191"/>
      <c r="T1094" s="191"/>
      <c r="U1094" s="439"/>
      <c r="V1094" s="441"/>
      <c r="W1094" s="178"/>
      <c r="X1094" s="172"/>
      <c r="Y1094" s="172"/>
      <c r="Z1094" s="172"/>
      <c r="AA1094" s="195"/>
      <c r="AB1094" s="172"/>
    </row>
    <row r="1095" spans="1:28" ht="12.75" customHeight="1" x14ac:dyDescent="0.3">
      <c r="A1095" s="667"/>
      <c r="B1095" s="668" t="s">
        <v>6235</v>
      </c>
      <c r="C1095" s="160" t="s">
        <v>6236</v>
      </c>
      <c r="D1095" s="160"/>
      <c r="E1095" s="439">
        <v>-0.56000000000000005</v>
      </c>
      <c r="F1095" s="161">
        <v>650.01440109999999</v>
      </c>
      <c r="G1095" s="161"/>
      <c r="H1095" s="654"/>
      <c r="I1095" s="654"/>
      <c r="J1095" s="191"/>
      <c r="K1095" s="191">
        <v>278830.32182225003</v>
      </c>
      <c r="L1095" s="191"/>
      <c r="M1095" s="191"/>
      <c r="N1095" s="191"/>
      <c r="O1095" s="191"/>
      <c r="P1095" s="191"/>
      <c r="Q1095" s="191"/>
      <c r="R1095" s="191"/>
      <c r="S1095" s="191"/>
      <c r="T1095" s="191"/>
      <c r="U1095" s="439"/>
      <c r="V1095" s="441"/>
      <c r="W1095" s="178"/>
      <c r="X1095" s="172"/>
      <c r="Y1095" s="172"/>
      <c r="Z1095" s="172"/>
      <c r="AA1095" s="195"/>
      <c r="AB1095" s="172"/>
    </row>
    <row r="1096" spans="1:28" ht="12.75" customHeight="1" x14ac:dyDescent="0.3">
      <c r="A1096" s="667"/>
      <c r="B1096" s="668" t="s">
        <v>6237</v>
      </c>
      <c r="C1096" s="160" t="s">
        <v>6238</v>
      </c>
      <c r="D1096" s="160"/>
      <c r="E1096" s="439">
        <v>1.7</v>
      </c>
      <c r="F1096" s="161">
        <v>556.98956608000003</v>
      </c>
      <c r="G1096" s="161"/>
      <c r="H1096" s="654"/>
      <c r="I1096" s="654"/>
      <c r="J1096" s="191"/>
      <c r="K1096" s="191">
        <v>1245.9195485826599</v>
      </c>
      <c r="L1096" s="191"/>
      <c r="M1096" s="191"/>
      <c r="N1096" s="191"/>
      <c r="O1096" s="191"/>
      <c r="P1096" s="191"/>
      <c r="Q1096" s="191"/>
      <c r="R1096" s="191"/>
      <c r="S1096" s="191"/>
      <c r="T1096" s="191"/>
      <c r="U1096" s="439"/>
      <c r="V1096" s="441"/>
      <c r="W1096" s="178"/>
      <c r="X1096" s="172"/>
      <c r="Y1096" s="172"/>
      <c r="Z1096" s="172"/>
      <c r="AA1096" s="195"/>
      <c r="AB1096" s="172"/>
    </row>
    <row r="1097" spans="1:28" ht="12.75" customHeight="1" x14ac:dyDescent="0.3">
      <c r="A1097" s="667"/>
      <c r="B1097" s="668" t="s">
        <v>6239</v>
      </c>
      <c r="C1097" s="160" t="s">
        <v>6240</v>
      </c>
      <c r="D1097" s="160"/>
      <c r="E1097" s="439">
        <v>4.08</v>
      </c>
      <c r="F1097" s="161">
        <v>714.01268702000004</v>
      </c>
      <c r="G1097" s="161">
        <v>102.066</v>
      </c>
      <c r="H1097" s="654"/>
      <c r="I1097" s="654">
        <v>0.71566205632701596</v>
      </c>
      <c r="J1097" s="191"/>
      <c r="K1097" s="191">
        <v>396305.40911775298</v>
      </c>
      <c r="L1097" s="191"/>
      <c r="M1097" s="191"/>
      <c r="N1097" s="191"/>
      <c r="O1097" s="191"/>
      <c r="P1097" s="191"/>
      <c r="Q1097" s="191"/>
      <c r="R1097" s="191"/>
      <c r="S1097" s="191"/>
      <c r="T1097" s="191"/>
      <c r="U1097" s="439"/>
      <c r="V1097" s="441"/>
      <c r="W1097" s="178"/>
      <c r="X1097" s="172"/>
      <c r="Y1097" s="172"/>
      <c r="Z1097" s="172"/>
      <c r="AA1097" s="195"/>
      <c r="AB1097" s="172"/>
    </row>
    <row r="1098" spans="1:28" ht="12.75" customHeight="1" x14ac:dyDescent="0.3">
      <c r="A1098" s="667"/>
      <c r="B1098" s="668" t="s">
        <v>6241</v>
      </c>
      <c r="C1098" s="160" t="s">
        <v>6242</v>
      </c>
      <c r="D1098" s="160"/>
      <c r="E1098" s="439">
        <v>4.5199999999999996</v>
      </c>
      <c r="F1098" s="161">
        <v>452.89748207000002</v>
      </c>
      <c r="G1098" s="161"/>
      <c r="H1098" s="654"/>
      <c r="I1098" s="654"/>
      <c r="J1098" s="191"/>
      <c r="K1098" s="191">
        <v>11.5502131802796</v>
      </c>
      <c r="L1098" s="191"/>
      <c r="M1098" s="191"/>
      <c r="N1098" s="191"/>
      <c r="O1098" s="191"/>
      <c r="P1098" s="191"/>
      <c r="Q1098" s="191"/>
      <c r="R1098" s="191"/>
      <c r="S1098" s="191"/>
      <c r="T1098" s="191"/>
      <c r="U1098" s="439"/>
      <c r="V1098" s="441"/>
      <c r="W1098" s="178"/>
      <c r="X1098" s="172"/>
      <c r="Y1098" s="172"/>
      <c r="Z1098" s="172"/>
      <c r="AA1098" s="195"/>
      <c r="AB1098" s="172"/>
    </row>
    <row r="1099" spans="1:28" ht="12.75" customHeight="1" x14ac:dyDescent="0.3">
      <c r="A1099" s="667"/>
      <c r="B1099" s="668" t="s">
        <v>6243</v>
      </c>
      <c r="C1099" s="160" t="s">
        <v>6244</v>
      </c>
      <c r="D1099" s="160"/>
      <c r="E1099" s="439">
        <v>1.41</v>
      </c>
      <c r="F1099" s="161">
        <v>685.03042222199997</v>
      </c>
      <c r="G1099" s="161">
        <v>65.537999999999997</v>
      </c>
      <c r="H1099" s="654"/>
      <c r="I1099" s="654"/>
      <c r="J1099" s="191"/>
      <c r="K1099" s="191">
        <v>975371.36184641405</v>
      </c>
      <c r="L1099" s="191"/>
      <c r="M1099" s="191"/>
      <c r="N1099" s="191"/>
      <c r="O1099" s="191"/>
      <c r="P1099" s="191"/>
      <c r="Q1099" s="191"/>
      <c r="R1099" s="191"/>
      <c r="S1099" s="191"/>
      <c r="T1099" s="191"/>
      <c r="U1099" s="439"/>
      <c r="V1099" s="441"/>
      <c r="W1099" s="178"/>
      <c r="X1099" s="172"/>
      <c r="Y1099" s="172"/>
      <c r="Z1099" s="172"/>
      <c r="AA1099" s="195"/>
      <c r="AB1099" s="172"/>
    </row>
    <row r="1100" spans="1:28" ht="12.75" customHeight="1" x14ac:dyDescent="0.3">
      <c r="A1100" s="667"/>
      <c r="B1100" s="668" t="s">
        <v>6245</v>
      </c>
      <c r="C1100" s="160" t="s">
        <v>6246</v>
      </c>
      <c r="D1100" s="160"/>
      <c r="E1100" s="439">
        <v>1.19</v>
      </c>
      <c r="F1100" s="161">
        <v>635.03361589600001</v>
      </c>
      <c r="G1100" s="161">
        <v>33.155000000000001</v>
      </c>
      <c r="H1100" s="654"/>
      <c r="I1100" s="654">
        <v>1.3829190556728701</v>
      </c>
      <c r="J1100" s="191"/>
      <c r="K1100" s="191">
        <v>63084.112854634797</v>
      </c>
      <c r="L1100" s="191"/>
      <c r="M1100" s="191"/>
      <c r="N1100" s="191"/>
      <c r="O1100" s="191"/>
      <c r="P1100" s="191"/>
      <c r="Q1100" s="191"/>
      <c r="R1100" s="191"/>
      <c r="S1100" s="191"/>
      <c r="T1100" s="191"/>
      <c r="U1100" s="439"/>
      <c r="V1100" s="441"/>
      <c r="W1100" s="178"/>
      <c r="X1100" s="172"/>
      <c r="Y1100" s="172"/>
      <c r="Z1100" s="172"/>
      <c r="AA1100" s="195"/>
      <c r="AB1100" s="172"/>
    </row>
    <row r="1101" spans="1:28" ht="12.75" customHeight="1" x14ac:dyDescent="0.3">
      <c r="A1101" s="667"/>
      <c r="B1101" s="668" t="s">
        <v>6247</v>
      </c>
      <c r="C1101" s="160" t="s">
        <v>6248</v>
      </c>
      <c r="D1101" s="160"/>
      <c r="E1101" s="439">
        <v>8.15</v>
      </c>
      <c r="F1101" s="161">
        <v>360.01901679899998</v>
      </c>
      <c r="G1101" s="161"/>
      <c r="H1101" s="654"/>
      <c r="I1101" s="654"/>
      <c r="J1101" s="191"/>
      <c r="K1101" s="191">
        <v>328.866775401957</v>
      </c>
      <c r="L1101" s="191"/>
      <c r="M1101" s="191"/>
      <c r="N1101" s="191"/>
      <c r="O1101" s="191"/>
      <c r="P1101" s="191"/>
      <c r="Q1101" s="191"/>
      <c r="R1101" s="191"/>
      <c r="S1101" s="191"/>
      <c r="T1101" s="191"/>
      <c r="U1101" s="439"/>
      <c r="V1101" s="441"/>
      <c r="W1101" s="178"/>
      <c r="X1101" s="172"/>
      <c r="Y1101" s="172"/>
      <c r="Z1101" s="172"/>
      <c r="AA1101" s="195"/>
      <c r="AB1101" s="172"/>
    </row>
    <row r="1102" spans="1:28" ht="12.75" customHeight="1" x14ac:dyDescent="0.3">
      <c r="A1102" s="667"/>
      <c r="B1102" s="668" t="s">
        <v>6249</v>
      </c>
      <c r="C1102" s="160" t="s">
        <v>6250</v>
      </c>
      <c r="D1102" s="160"/>
      <c r="E1102" s="439">
        <v>-1.54</v>
      </c>
      <c r="F1102" s="161">
        <v>616.95765558999994</v>
      </c>
      <c r="G1102" s="161">
        <v>11.590999999999999</v>
      </c>
      <c r="H1102" s="654"/>
      <c r="I1102" s="654"/>
      <c r="J1102" s="191"/>
      <c r="K1102" s="191">
        <v>381197.461598236</v>
      </c>
      <c r="L1102" s="191"/>
      <c r="M1102" s="191"/>
      <c r="N1102" s="191"/>
      <c r="O1102" s="191"/>
      <c r="P1102" s="191"/>
      <c r="Q1102" s="191"/>
      <c r="R1102" s="191"/>
      <c r="S1102" s="191"/>
      <c r="T1102" s="191"/>
      <c r="U1102" s="439"/>
      <c r="V1102" s="441"/>
      <c r="W1102" s="178"/>
      <c r="X1102" s="172"/>
      <c r="Y1102" s="172"/>
      <c r="Z1102" s="172"/>
      <c r="AA1102" s="195"/>
      <c r="AB1102" s="172"/>
    </row>
    <row r="1103" spans="1:28" ht="12.75" customHeight="1" x14ac:dyDescent="0.3">
      <c r="A1103" s="667"/>
      <c r="B1103" s="668" t="s">
        <v>6251</v>
      </c>
      <c r="C1103" s="160" t="s">
        <v>6252</v>
      </c>
      <c r="D1103" s="160"/>
      <c r="E1103" s="439">
        <v>-1.68</v>
      </c>
      <c r="F1103" s="161">
        <v>566.96084926399999</v>
      </c>
      <c r="G1103" s="161">
        <v>13.375</v>
      </c>
      <c r="H1103" s="654"/>
      <c r="I1103" s="654"/>
      <c r="J1103" s="191"/>
      <c r="K1103" s="191">
        <v>2865035.4499921701</v>
      </c>
      <c r="L1103" s="191"/>
      <c r="M1103" s="191"/>
      <c r="N1103" s="191"/>
      <c r="O1103" s="191"/>
      <c r="P1103" s="191"/>
      <c r="Q1103" s="191"/>
      <c r="R1103" s="191"/>
      <c r="S1103" s="191"/>
      <c r="T1103" s="191"/>
      <c r="U1103" s="439"/>
      <c r="V1103" s="441"/>
      <c r="W1103" s="178"/>
      <c r="X1103" s="172"/>
      <c r="Y1103" s="172"/>
      <c r="Z1103" s="172"/>
      <c r="AA1103" s="195"/>
      <c r="AB1103" s="172"/>
    </row>
    <row r="1104" spans="1:28" ht="12.75" customHeight="1" x14ac:dyDescent="0.3">
      <c r="A1104" s="667"/>
      <c r="B1104" s="668" t="s">
        <v>6253</v>
      </c>
      <c r="C1104" s="160" t="s">
        <v>6254</v>
      </c>
      <c r="D1104" s="160"/>
      <c r="E1104" s="439">
        <v>-1.64</v>
      </c>
      <c r="F1104" s="161">
        <v>516.96404293800003</v>
      </c>
      <c r="G1104" s="161">
        <v>15.157999999999999</v>
      </c>
      <c r="H1104" s="654"/>
      <c r="I1104" s="654">
        <v>2.4403959700144102</v>
      </c>
      <c r="J1104" s="191"/>
      <c r="K1104" s="191">
        <v>156386.76645114101</v>
      </c>
      <c r="L1104" s="191"/>
      <c r="M1104" s="191"/>
      <c r="N1104" s="191"/>
      <c r="O1104" s="191"/>
      <c r="P1104" s="191"/>
      <c r="Q1104" s="191"/>
      <c r="R1104" s="191"/>
      <c r="S1104" s="191"/>
      <c r="T1104" s="191"/>
      <c r="U1104" s="439"/>
      <c r="V1104" s="441"/>
      <c r="W1104" s="178"/>
      <c r="X1104" s="172"/>
      <c r="Y1104" s="172"/>
      <c r="Z1104" s="172"/>
      <c r="AA1104" s="195"/>
      <c r="AB1104" s="172"/>
    </row>
    <row r="1105" spans="1:28" ht="12.75" customHeight="1" x14ac:dyDescent="0.3">
      <c r="A1105" s="667"/>
      <c r="B1105" s="668" t="s">
        <v>6255</v>
      </c>
      <c r="C1105" s="160" t="s">
        <v>6256</v>
      </c>
      <c r="D1105" s="160"/>
      <c r="E1105" s="439">
        <v>-1.81</v>
      </c>
      <c r="F1105" s="161">
        <v>466.96723661200002</v>
      </c>
      <c r="G1105" s="161">
        <v>24.942</v>
      </c>
      <c r="H1105" s="654"/>
      <c r="I1105" s="654">
        <v>5.4737899475658596</v>
      </c>
      <c r="J1105" s="191"/>
      <c r="K1105" s="191">
        <v>23030.851761971699</v>
      </c>
      <c r="L1105" s="191"/>
      <c r="M1105" s="191"/>
      <c r="N1105" s="191"/>
      <c r="O1105" s="191"/>
      <c r="P1105" s="191"/>
      <c r="Q1105" s="191"/>
      <c r="R1105" s="191"/>
      <c r="S1105" s="191"/>
      <c r="T1105" s="191"/>
      <c r="U1105" s="439"/>
      <c r="V1105" s="441"/>
      <c r="W1105" s="178"/>
      <c r="X1105" s="172"/>
      <c r="Y1105" s="172"/>
      <c r="Z1105" s="172"/>
      <c r="AA1105" s="195"/>
      <c r="AB1105" s="172"/>
    </row>
    <row r="1106" spans="1:28" ht="12.75" customHeight="1" x14ac:dyDescent="0.3">
      <c r="A1106" s="667"/>
      <c r="B1106" s="668" t="s">
        <v>6257</v>
      </c>
      <c r="C1106" s="160" t="s">
        <v>6258</v>
      </c>
      <c r="D1106" s="160"/>
      <c r="E1106" s="439">
        <v>-1.64</v>
      </c>
      <c r="F1106" s="161">
        <v>416.97043028600001</v>
      </c>
      <c r="G1106" s="161">
        <v>26.725999999999999</v>
      </c>
      <c r="H1106" s="654"/>
      <c r="I1106" s="654">
        <v>12.136841708420601</v>
      </c>
      <c r="J1106" s="191"/>
      <c r="K1106" s="191">
        <v>3030.4700761372301</v>
      </c>
      <c r="L1106" s="191"/>
      <c r="M1106" s="191"/>
      <c r="N1106" s="191"/>
      <c r="O1106" s="191"/>
      <c r="P1106" s="191"/>
      <c r="Q1106" s="191"/>
      <c r="R1106" s="191"/>
      <c r="S1106" s="191"/>
      <c r="T1106" s="191"/>
      <c r="U1106" s="439"/>
      <c r="V1106" s="441"/>
      <c r="W1106" s="178"/>
      <c r="X1106" s="172"/>
      <c r="Y1106" s="172"/>
      <c r="Z1106" s="172"/>
      <c r="AA1106" s="195"/>
      <c r="AB1106" s="172"/>
    </row>
    <row r="1107" spans="1:28" ht="12.75" customHeight="1" x14ac:dyDescent="0.3">
      <c r="A1107" s="667"/>
      <c r="B1107" s="668" t="s">
        <v>6259</v>
      </c>
      <c r="C1107" s="160" t="s">
        <v>6260</v>
      </c>
      <c r="D1107" s="160"/>
      <c r="E1107" s="439">
        <v>-1.77</v>
      </c>
      <c r="F1107" s="161">
        <v>366.97362396</v>
      </c>
      <c r="G1107" s="161">
        <v>10.659000000000001</v>
      </c>
      <c r="H1107" s="654"/>
      <c r="I1107" s="654">
        <v>102.478852385325</v>
      </c>
      <c r="J1107" s="191"/>
      <c r="K1107" s="191">
        <v>2600.7583409644199</v>
      </c>
      <c r="L1107" s="191"/>
      <c r="M1107" s="191"/>
      <c r="N1107" s="191"/>
      <c r="O1107" s="191"/>
      <c r="P1107" s="191"/>
      <c r="Q1107" s="191"/>
      <c r="R1107" s="191"/>
      <c r="S1107" s="191"/>
      <c r="T1107" s="191"/>
      <c r="U1107" s="439"/>
      <c r="V1107" s="441"/>
      <c r="W1107" s="178"/>
      <c r="X1107" s="172"/>
      <c r="Y1107" s="172"/>
      <c r="Z1107" s="172"/>
      <c r="AA1107" s="195"/>
      <c r="AB1107" s="172"/>
    </row>
    <row r="1108" spans="1:28" ht="12.75" customHeight="1" x14ac:dyDescent="0.3">
      <c r="A1108" s="667"/>
      <c r="B1108" s="668" t="s">
        <v>6261</v>
      </c>
      <c r="C1108" s="160" t="s">
        <v>6262</v>
      </c>
      <c r="D1108" s="160"/>
      <c r="E1108" s="439">
        <v>-1.61</v>
      </c>
      <c r="F1108" s="161">
        <v>316.97681763399999</v>
      </c>
      <c r="G1108" s="161">
        <v>20.376000000000001</v>
      </c>
      <c r="H1108" s="654">
        <v>27.72697634</v>
      </c>
      <c r="I1108" s="654">
        <v>883.13545114644</v>
      </c>
      <c r="J1108" s="191"/>
      <c r="K1108" s="191">
        <v>1315.9821544193201</v>
      </c>
      <c r="L1108" s="191"/>
      <c r="M1108" s="191"/>
      <c r="N1108" s="191"/>
      <c r="O1108" s="191"/>
      <c r="P1108" s="191"/>
      <c r="Q1108" s="191"/>
      <c r="R1108" s="191"/>
      <c r="S1108" s="191"/>
      <c r="T1108" s="191"/>
      <c r="U1108" s="439"/>
      <c r="V1108" s="441"/>
      <c r="W1108" s="178"/>
      <c r="X1108" s="172"/>
      <c r="Y1108" s="172"/>
      <c r="Z1108" s="172"/>
      <c r="AA1108" s="195"/>
      <c r="AB1108" s="172"/>
    </row>
    <row r="1109" spans="1:28" ht="12.75" customHeight="1" x14ac:dyDescent="0.3">
      <c r="A1109" s="667"/>
      <c r="B1109" s="668" t="s">
        <v>6263</v>
      </c>
      <c r="C1109" s="160" t="s">
        <v>6264</v>
      </c>
      <c r="D1109" s="160"/>
      <c r="E1109" s="439">
        <v>-0.56999999999999995</v>
      </c>
      <c r="F1109" s="161">
        <v>602.01680678699995</v>
      </c>
      <c r="G1109" s="161"/>
      <c r="H1109" s="654"/>
      <c r="I1109" s="654"/>
      <c r="J1109" s="191"/>
      <c r="K1109" s="191">
        <v>186775.53969785699</v>
      </c>
      <c r="L1109" s="191"/>
      <c r="M1109" s="191"/>
      <c r="N1109" s="191"/>
      <c r="O1109" s="191"/>
      <c r="P1109" s="191"/>
      <c r="Q1109" s="191"/>
      <c r="R1109" s="191"/>
      <c r="S1109" s="191"/>
      <c r="T1109" s="191"/>
      <c r="U1109" s="439"/>
      <c r="V1109" s="441"/>
      <c r="W1109" s="178"/>
      <c r="X1109" s="172"/>
      <c r="Y1109" s="172"/>
      <c r="Z1109" s="172"/>
      <c r="AA1109" s="195"/>
      <c r="AB1109" s="172"/>
    </row>
    <row r="1110" spans="1:28" ht="12.75" customHeight="1" x14ac:dyDescent="0.3">
      <c r="A1110" s="667"/>
      <c r="B1110" s="668" t="s">
        <v>6265</v>
      </c>
      <c r="C1110" s="160" t="s">
        <v>6266</v>
      </c>
      <c r="D1110" s="160"/>
      <c r="E1110" s="439">
        <v>5.22</v>
      </c>
      <c r="F1110" s="161">
        <v>482.02278202600002</v>
      </c>
      <c r="G1110" s="161"/>
      <c r="H1110" s="654"/>
      <c r="I1110" s="654"/>
      <c r="J1110" s="191"/>
      <c r="K1110" s="191">
        <v>365.68740278400702</v>
      </c>
      <c r="L1110" s="191"/>
      <c r="M1110" s="191"/>
      <c r="N1110" s="191"/>
      <c r="O1110" s="191"/>
      <c r="P1110" s="191"/>
      <c r="Q1110" s="191"/>
      <c r="R1110" s="191"/>
      <c r="S1110" s="191"/>
      <c r="T1110" s="191"/>
      <c r="U1110" s="439"/>
      <c r="V1110" s="441"/>
      <c r="W1110" s="178"/>
      <c r="X1110" s="172"/>
      <c r="Y1110" s="172"/>
      <c r="Z1110" s="172"/>
      <c r="AA1110" s="195"/>
      <c r="AB1110" s="172"/>
    </row>
    <row r="1111" spans="1:28" ht="12.75" customHeight="1" x14ac:dyDescent="0.3">
      <c r="A1111" s="667"/>
      <c r="B1111" s="668" t="s">
        <v>6267</v>
      </c>
      <c r="C1111" s="160" t="s">
        <v>6268</v>
      </c>
      <c r="D1111" s="160"/>
      <c r="E1111" s="439">
        <v>5.23</v>
      </c>
      <c r="F1111" s="161">
        <v>597.93250589900003</v>
      </c>
      <c r="G1111" s="161"/>
      <c r="H1111" s="654"/>
      <c r="I1111" s="654"/>
      <c r="J1111" s="191"/>
      <c r="K1111" s="191">
        <v>202413.74493522901</v>
      </c>
      <c r="L1111" s="191"/>
      <c r="M1111" s="191"/>
      <c r="N1111" s="191"/>
      <c r="O1111" s="191"/>
      <c r="P1111" s="191"/>
      <c r="Q1111" s="191"/>
      <c r="R1111" s="191"/>
      <c r="S1111" s="191"/>
      <c r="T1111" s="191"/>
      <c r="U1111" s="439"/>
      <c r="V1111" s="441"/>
      <c r="W1111" s="178"/>
      <c r="X1111" s="172"/>
      <c r="Y1111" s="172"/>
      <c r="Z1111" s="172"/>
      <c r="AA1111" s="195"/>
      <c r="AB1111" s="172"/>
    </row>
    <row r="1112" spans="1:28" ht="12.75" customHeight="1" x14ac:dyDescent="0.3">
      <c r="A1112" s="667"/>
      <c r="B1112" s="668" t="s">
        <v>6269</v>
      </c>
      <c r="C1112" s="160" t="s">
        <v>6270</v>
      </c>
      <c r="D1112" s="160"/>
      <c r="E1112" s="439">
        <v>5.38</v>
      </c>
      <c r="F1112" s="161">
        <v>498.01769664599999</v>
      </c>
      <c r="G1112" s="161"/>
      <c r="H1112" s="654"/>
      <c r="I1112" s="654"/>
      <c r="J1112" s="191"/>
      <c r="K1112" s="191">
        <v>2749.9829424260301</v>
      </c>
      <c r="L1112" s="191"/>
      <c r="M1112" s="191"/>
      <c r="N1112" s="191"/>
      <c r="O1112" s="191"/>
      <c r="P1112" s="191"/>
      <c r="Q1112" s="191"/>
      <c r="R1112" s="191"/>
      <c r="S1112" s="191"/>
      <c r="T1112" s="191"/>
      <c r="U1112" s="439"/>
      <c r="V1112" s="441"/>
      <c r="W1112" s="178"/>
      <c r="X1112" s="172"/>
      <c r="Y1112" s="172"/>
      <c r="Z1112" s="172"/>
      <c r="AA1112" s="195"/>
      <c r="AB1112" s="172"/>
    </row>
    <row r="1113" spans="1:28" ht="12.75" customHeight="1" x14ac:dyDescent="0.3">
      <c r="A1113" s="667"/>
      <c r="B1113" s="668" t="s">
        <v>6271</v>
      </c>
      <c r="C1113" s="160" t="s">
        <v>6272</v>
      </c>
      <c r="D1113" s="160"/>
      <c r="E1113" s="439">
        <v>7.22</v>
      </c>
      <c r="F1113" s="161">
        <v>1294.0839350700001</v>
      </c>
      <c r="G1113" s="161"/>
      <c r="H1113" s="654"/>
      <c r="I1113" s="654"/>
      <c r="J1113" s="191"/>
      <c r="K1113" s="191">
        <v>4.7590032348170404</v>
      </c>
      <c r="L1113" s="191"/>
      <c r="M1113" s="191"/>
      <c r="N1113" s="191"/>
      <c r="O1113" s="191"/>
      <c r="P1113" s="191"/>
      <c r="Q1113" s="191"/>
      <c r="R1113" s="191"/>
      <c r="S1113" s="191"/>
      <c r="T1113" s="191"/>
      <c r="U1113" s="439"/>
      <c r="V1113" s="441"/>
      <c r="W1113" s="178"/>
      <c r="X1113" s="172"/>
      <c r="Y1113" s="172"/>
      <c r="Z1113" s="172"/>
      <c r="AA1113" s="195"/>
      <c r="AB1113" s="172"/>
    </row>
    <row r="1114" spans="1:28" ht="12.75" customHeight="1" x14ac:dyDescent="0.3">
      <c r="A1114" s="667"/>
      <c r="B1114" s="668" t="s">
        <v>6273</v>
      </c>
      <c r="C1114" s="160" t="s">
        <v>6274</v>
      </c>
      <c r="D1114" s="160"/>
      <c r="E1114" s="439">
        <v>-1.64</v>
      </c>
      <c r="F1114" s="161">
        <v>398.93660473300002</v>
      </c>
      <c r="G1114" s="161"/>
      <c r="H1114" s="654"/>
      <c r="I1114" s="654"/>
      <c r="J1114" s="191"/>
      <c r="K1114" s="191">
        <v>159.60628901903499</v>
      </c>
      <c r="L1114" s="191"/>
      <c r="M1114" s="191"/>
      <c r="N1114" s="191"/>
      <c r="O1114" s="191"/>
      <c r="P1114" s="191"/>
      <c r="Q1114" s="191"/>
      <c r="R1114" s="191"/>
      <c r="S1114" s="191"/>
      <c r="T1114" s="191"/>
      <c r="U1114" s="439"/>
      <c r="V1114" s="441"/>
      <c r="W1114" s="178"/>
      <c r="X1114" s="172"/>
      <c r="Y1114" s="172"/>
      <c r="Z1114" s="172"/>
      <c r="AA1114" s="195"/>
      <c r="AB1114" s="172"/>
    </row>
    <row r="1115" spans="1:28" ht="12.75" customHeight="1" x14ac:dyDescent="0.3">
      <c r="A1115" s="667"/>
      <c r="B1115" s="668" t="s">
        <v>6275</v>
      </c>
      <c r="C1115" s="160" t="s">
        <v>6276</v>
      </c>
      <c r="D1115" s="160"/>
      <c r="E1115" s="439">
        <v>6</v>
      </c>
      <c r="F1115" s="161">
        <v>806.06003113999998</v>
      </c>
      <c r="G1115" s="161"/>
      <c r="H1115" s="654"/>
      <c r="I1115" s="654"/>
      <c r="J1115" s="191"/>
      <c r="K1115" s="191">
        <v>25735.345317536401</v>
      </c>
      <c r="L1115" s="191"/>
      <c r="M1115" s="191"/>
      <c r="N1115" s="191"/>
      <c r="O1115" s="191"/>
      <c r="P1115" s="191"/>
      <c r="Q1115" s="191"/>
      <c r="R1115" s="191"/>
      <c r="S1115" s="191"/>
      <c r="T1115" s="191"/>
      <c r="U1115" s="439"/>
      <c r="V1115" s="441"/>
      <c r="W1115" s="178"/>
      <c r="X1115" s="172"/>
      <c r="Y1115" s="172"/>
      <c r="Z1115" s="172"/>
      <c r="AA1115" s="195"/>
      <c r="AB1115" s="172"/>
    </row>
    <row r="1116" spans="1:28" ht="12.75" customHeight="1" x14ac:dyDescent="0.3">
      <c r="A1116" s="667"/>
      <c r="B1116" s="668" t="s">
        <v>6277</v>
      </c>
      <c r="C1116" s="160" t="s">
        <v>6278</v>
      </c>
      <c r="D1116" s="160"/>
      <c r="E1116" s="439">
        <v>7.22</v>
      </c>
      <c r="F1116" s="161">
        <v>616.06884235999996</v>
      </c>
      <c r="G1116" s="161">
        <v>63.267000000000003</v>
      </c>
      <c r="H1116" s="654"/>
      <c r="I1116" s="654"/>
      <c r="J1116" s="191"/>
      <c r="K1116" s="191">
        <v>44129.600921798097</v>
      </c>
      <c r="L1116" s="191"/>
      <c r="M1116" s="191"/>
      <c r="N1116" s="191"/>
      <c r="O1116" s="191"/>
      <c r="P1116" s="191"/>
      <c r="Q1116" s="191"/>
      <c r="R1116" s="191"/>
      <c r="S1116" s="191"/>
      <c r="T1116" s="191"/>
      <c r="U1116" s="439"/>
      <c r="V1116" s="441"/>
      <c r="W1116" s="178"/>
      <c r="X1116" s="172"/>
      <c r="Y1116" s="172"/>
      <c r="Z1116" s="172"/>
      <c r="AA1116" s="195"/>
      <c r="AB1116" s="172"/>
    </row>
    <row r="1117" spans="1:28" ht="12.75" customHeight="1" x14ac:dyDescent="0.3">
      <c r="A1117" s="667"/>
      <c r="B1117" s="668" t="s">
        <v>6279</v>
      </c>
      <c r="C1117" s="160" t="s">
        <v>6280</v>
      </c>
      <c r="D1117" s="160"/>
      <c r="E1117" s="439">
        <v>-1.77</v>
      </c>
      <c r="F1117" s="161">
        <v>829.81142499999999</v>
      </c>
      <c r="G1117" s="161"/>
      <c r="H1117" s="654"/>
      <c r="I1117" s="654"/>
      <c r="J1117" s="191"/>
      <c r="K1117" s="191">
        <v>0.38910427291741001</v>
      </c>
      <c r="L1117" s="191"/>
      <c r="M1117" s="191"/>
      <c r="N1117" s="191"/>
      <c r="O1117" s="191"/>
      <c r="P1117" s="191"/>
      <c r="Q1117" s="191"/>
      <c r="R1117" s="191"/>
      <c r="S1117" s="191"/>
      <c r="T1117" s="191"/>
      <c r="U1117" s="439"/>
      <c r="V1117" s="441"/>
      <c r="W1117" s="178"/>
      <c r="X1117" s="172"/>
      <c r="Y1117" s="172"/>
      <c r="Z1117" s="172"/>
      <c r="AA1117" s="195"/>
      <c r="AB1117" s="172"/>
    </row>
    <row r="1118" spans="1:28" ht="12.75" customHeight="1" x14ac:dyDescent="0.3">
      <c r="A1118" s="667"/>
      <c r="B1118" s="668" t="s">
        <v>6281</v>
      </c>
      <c r="C1118" s="160" t="s">
        <v>6282</v>
      </c>
      <c r="D1118" s="160"/>
      <c r="E1118" s="439"/>
      <c r="F1118" s="161">
        <v>706.06641849000005</v>
      </c>
      <c r="G1118" s="161"/>
      <c r="H1118" s="654"/>
      <c r="I1118" s="654"/>
      <c r="J1118" s="191"/>
      <c r="K1118" s="191">
        <v>609.13001503678504</v>
      </c>
      <c r="L1118" s="191"/>
      <c r="M1118" s="191"/>
      <c r="N1118" s="191"/>
      <c r="O1118" s="191"/>
      <c r="P1118" s="191"/>
      <c r="Q1118" s="191"/>
      <c r="R1118" s="191"/>
      <c r="S1118" s="191"/>
      <c r="T1118" s="191"/>
      <c r="U1118" s="439"/>
      <c r="V1118" s="441"/>
      <c r="W1118" s="178"/>
      <c r="X1118" s="172"/>
      <c r="Y1118" s="172"/>
      <c r="Z1118" s="172"/>
      <c r="AA1118" s="195"/>
      <c r="AB1118" s="172"/>
    </row>
    <row r="1119" spans="1:28" ht="12.75" customHeight="1" x14ac:dyDescent="0.3">
      <c r="A1119" s="667"/>
      <c r="B1119" s="668" t="s">
        <v>6283</v>
      </c>
      <c r="C1119" s="160" t="s">
        <v>6284</v>
      </c>
      <c r="D1119" s="160"/>
      <c r="E1119" s="439"/>
      <c r="F1119" s="161">
        <v>551.92996367399996</v>
      </c>
      <c r="G1119" s="161">
        <v>-31.97</v>
      </c>
      <c r="H1119" s="654">
        <v>12.4997640964</v>
      </c>
      <c r="I1119" s="654"/>
      <c r="J1119" s="191"/>
      <c r="K1119" s="191">
        <v>333841.25166561903</v>
      </c>
      <c r="L1119" s="191"/>
      <c r="M1119" s="191"/>
      <c r="N1119" s="191"/>
      <c r="O1119" s="191"/>
      <c r="P1119" s="191"/>
      <c r="Q1119" s="191"/>
      <c r="R1119" s="191"/>
      <c r="S1119" s="191"/>
      <c r="T1119" s="191"/>
      <c r="U1119" s="439"/>
      <c r="V1119" s="441"/>
      <c r="W1119" s="178"/>
      <c r="X1119" s="172"/>
      <c r="Y1119" s="172"/>
      <c r="Z1119" s="172"/>
      <c r="AA1119" s="195"/>
      <c r="AB1119" s="172"/>
    </row>
    <row r="1120" spans="1:28" ht="12.75" customHeight="1" x14ac:dyDescent="0.3">
      <c r="A1120" s="667"/>
      <c r="B1120" s="668" t="s">
        <v>6285</v>
      </c>
      <c r="C1120" s="160" t="s">
        <v>6286</v>
      </c>
      <c r="D1120" s="160"/>
      <c r="E1120" s="439">
        <v>-1.64</v>
      </c>
      <c r="F1120" s="161">
        <v>499.93749383699998</v>
      </c>
      <c r="G1120" s="161">
        <v>15.157999999999999</v>
      </c>
      <c r="H1120" s="654"/>
      <c r="I1120" s="654">
        <v>2.3600199315317498</v>
      </c>
      <c r="J1120" s="191"/>
      <c r="K1120" s="191">
        <v>406686.72830731299</v>
      </c>
      <c r="L1120" s="191"/>
      <c r="M1120" s="191"/>
      <c r="N1120" s="191"/>
      <c r="O1120" s="191"/>
      <c r="P1120" s="191"/>
      <c r="Q1120" s="191"/>
      <c r="R1120" s="191"/>
      <c r="S1120" s="191"/>
      <c r="T1120" s="191"/>
      <c r="U1120" s="439"/>
      <c r="V1120" s="441"/>
      <c r="W1120" s="178"/>
      <c r="X1120" s="172"/>
      <c r="Y1120" s="172"/>
      <c r="Z1120" s="172"/>
      <c r="AA1120" s="195"/>
      <c r="AB1120" s="172"/>
    </row>
    <row r="1121" spans="1:28" ht="12.75" customHeight="1" x14ac:dyDescent="0.3">
      <c r="A1121" s="667"/>
      <c r="B1121" s="668" t="s">
        <v>6287</v>
      </c>
      <c r="C1121" s="160" t="s">
        <v>6288</v>
      </c>
      <c r="D1121" s="160"/>
      <c r="E1121" s="439">
        <v>7.1029999999999998</v>
      </c>
      <c r="F1121" s="161">
        <v>581.889972382</v>
      </c>
      <c r="G1121" s="161">
        <v>-21.765000000000001</v>
      </c>
      <c r="H1121" s="654">
        <v>0.46121279358</v>
      </c>
      <c r="I1121" s="654">
        <v>0.48177114751389699</v>
      </c>
      <c r="J1121" s="191"/>
      <c r="K1121" s="191">
        <v>104318.1796441</v>
      </c>
      <c r="L1121" s="191"/>
      <c r="M1121" s="191"/>
      <c r="N1121" s="191"/>
      <c r="O1121" s="191"/>
      <c r="P1121" s="191"/>
      <c r="Q1121" s="191"/>
      <c r="R1121" s="191"/>
      <c r="S1121" s="191"/>
      <c r="T1121" s="191"/>
      <c r="U1121" s="439"/>
      <c r="V1121" s="441"/>
      <c r="W1121" s="178"/>
      <c r="X1121" s="172"/>
      <c r="Y1121" s="172"/>
      <c r="Z1121" s="172"/>
      <c r="AA1121" s="195"/>
      <c r="AB1121" s="172"/>
    </row>
    <row r="1122" spans="1:28" ht="12.75" customHeight="1" x14ac:dyDescent="0.3">
      <c r="A1122" s="667"/>
      <c r="B1122" s="668" t="s">
        <v>6289</v>
      </c>
      <c r="C1122" s="160" t="s">
        <v>6290</v>
      </c>
      <c r="D1122" s="160"/>
      <c r="E1122" s="439">
        <v>-1.61</v>
      </c>
      <c r="F1122" s="161">
        <v>299.95026853299998</v>
      </c>
      <c r="G1122" s="161">
        <v>20.376000000000001</v>
      </c>
      <c r="H1122" s="654">
        <v>27.72697634</v>
      </c>
      <c r="I1122" s="654">
        <v>835.69744216516096</v>
      </c>
      <c r="J1122" s="191"/>
      <c r="K1122" s="191">
        <v>1310.53915228451</v>
      </c>
      <c r="L1122" s="191"/>
      <c r="M1122" s="191"/>
      <c r="N1122" s="191"/>
      <c r="O1122" s="191"/>
      <c r="P1122" s="191"/>
      <c r="Q1122" s="191"/>
      <c r="R1122" s="191"/>
      <c r="S1122" s="191"/>
      <c r="T1122" s="191"/>
      <c r="U1122" s="439"/>
      <c r="V1122" s="441"/>
      <c r="W1122" s="178"/>
      <c r="X1122" s="172"/>
      <c r="Y1122" s="172"/>
      <c r="Z1122" s="172"/>
      <c r="AA1122" s="195"/>
      <c r="AB1122" s="172"/>
    </row>
    <row r="1123" spans="1:28" ht="12.75" customHeight="1" x14ac:dyDescent="0.3">
      <c r="A1123" s="667"/>
      <c r="B1123" s="668" t="s">
        <v>6291</v>
      </c>
      <c r="C1123" s="160" t="s">
        <v>6292</v>
      </c>
      <c r="D1123" s="160"/>
      <c r="E1123" s="439">
        <v>-5.73</v>
      </c>
      <c r="F1123" s="161">
        <v>598.117094522</v>
      </c>
      <c r="G1123" s="161">
        <v>97.825000000000003</v>
      </c>
      <c r="H1123" s="654"/>
      <c r="I1123" s="654"/>
      <c r="J1123" s="191"/>
      <c r="K1123" s="191">
        <v>83153.397802799096</v>
      </c>
      <c r="L1123" s="191"/>
      <c r="M1123" s="191"/>
      <c r="N1123" s="191"/>
      <c r="O1123" s="191"/>
      <c r="P1123" s="191"/>
      <c r="Q1123" s="191"/>
      <c r="R1123" s="191"/>
      <c r="S1123" s="191"/>
      <c r="T1123" s="191"/>
      <c r="U1123" s="439"/>
      <c r="V1123" s="441"/>
      <c r="W1123" s="178"/>
      <c r="X1123" s="172"/>
      <c r="Y1123" s="172"/>
      <c r="Z1123" s="172"/>
      <c r="AA1123" s="195"/>
      <c r="AB1123" s="172"/>
    </row>
    <row r="1124" spans="1:28" ht="12.75" customHeight="1" x14ac:dyDescent="0.3">
      <c r="A1124" s="667"/>
      <c r="B1124" s="668" t="s">
        <v>6293</v>
      </c>
      <c r="C1124" s="160" t="s">
        <v>6294</v>
      </c>
      <c r="D1124" s="160"/>
      <c r="E1124" s="439">
        <v>3</v>
      </c>
      <c r="F1124" s="161">
        <v>706.04639283899996</v>
      </c>
      <c r="G1124" s="161">
        <v>87.103999999999999</v>
      </c>
      <c r="H1124" s="654"/>
      <c r="I1124" s="654">
        <v>0.91798033857748196</v>
      </c>
      <c r="J1124" s="191"/>
      <c r="K1124" s="191">
        <v>1167320.19764188</v>
      </c>
      <c r="L1124" s="191"/>
      <c r="M1124" s="191"/>
      <c r="N1124" s="191"/>
      <c r="O1124" s="191"/>
      <c r="P1124" s="191"/>
      <c r="Q1124" s="191"/>
      <c r="R1124" s="191"/>
      <c r="S1124" s="191"/>
      <c r="T1124" s="191"/>
      <c r="U1124" s="439"/>
      <c r="V1124" s="441"/>
      <c r="W1124" s="178"/>
      <c r="X1124" s="172"/>
      <c r="Y1124" s="172"/>
      <c r="Z1124" s="172"/>
      <c r="AA1124" s="195"/>
      <c r="AB1124" s="172"/>
    </row>
    <row r="1125" spans="1:28" ht="12.75" customHeight="1" x14ac:dyDescent="0.3">
      <c r="A1125" s="667"/>
      <c r="B1125" s="668" t="s">
        <v>6295</v>
      </c>
      <c r="C1125" s="160" t="s">
        <v>6296</v>
      </c>
      <c r="D1125" s="160"/>
      <c r="E1125" s="439">
        <v>-9.4179999999999993</v>
      </c>
      <c r="F1125" s="161">
        <v>903.99691451199999</v>
      </c>
      <c r="G1125" s="161">
        <v>58.66</v>
      </c>
      <c r="H1125" s="654"/>
      <c r="I1125" s="654"/>
      <c r="J1125" s="191"/>
      <c r="K1125" s="191">
        <v>1073321.9228082399</v>
      </c>
      <c r="L1125" s="191"/>
      <c r="M1125" s="191"/>
      <c r="N1125" s="191"/>
      <c r="O1125" s="191"/>
      <c r="P1125" s="191"/>
      <c r="Q1125" s="191"/>
      <c r="R1125" s="191"/>
      <c r="S1125" s="191"/>
      <c r="T1125" s="191"/>
      <c r="U1125" s="439"/>
      <c r="V1125" s="441"/>
      <c r="W1125" s="178"/>
      <c r="X1125" s="172"/>
      <c r="Y1125" s="172"/>
      <c r="Z1125" s="172"/>
      <c r="AA1125" s="195"/>
      <c r="AB1125" s="172"/>
    </row>
    <row r="1126" spans="1:28" ht="12.75" customHeight="1" x14ac:dyDescent="0.3">
      <c r="A1126" s="667"/>
      <c r="B1126" s="668" t="s">
        <v>6297</v>
      </c>
      <c r="C1126" s="160" t="s">
        <v>6298</v>
      </c>
      <c r="D1126" s="160"/>
      <c r="E1126" s="439">
        <v>1.42</v>
      </c>
      <c r="F1126" s="161">
        <v>650.97732402099996</v>
      </c>
      <c r="G1126" s="161">
        <v>65.537999999999997</v>
      </c>
      <c r="H1126" s="654"/>
      <c r="I1126" s="654"/>
      <c r="J1126" s="191"/>
      <c r="K1126" s="191">
        <v>957833.45077571098</v>
      </c>
      <c r="L1126" s="191"/>
      <c r="M1126" s="191"/>
      <c r="N1126" s="191"/>
      <c r="O1126" s="191"/>
      <c r="P1126" s="191"/>
      <c r="Q1126" s="191"/>
      <c r="R1126" s="191"/>
      <c r="S1126" s="191"/>
      <c r="T1126" s="191"/>
      <c r="U1126" s="439"/>
      <c r="V1126" s="441"/>
      <c r="W1126" s="178"/>
      <c r="X1126" s="172"/>
      <c r="Y1126" s="172"/>
      <c r="Z1126" s="172"/>
      <c r="AA1126" s="195"/>
      <c r="AB1126" s="172"/>
    </row>
    <row r="1127" spans="1:28" ht="12.75" customHeight="1" x14ac:dyDescent="0.3">
      <c r="A1127" s="667"/>
      <c r="B1127" s="668" t="s">
        <v>6299</v>
      </c>
      <c r="C1127" s="160" t="s">
        <v>6300</v>
      </c>
      <c r="D1127" s="160"/>
      <c r="E1127" s="439">
        <v>9.2560000000000002</v>
      </c>
      <c r="F1127" s="161">
        <v>616.12765920599998</v>
      </c>
      <c r="G1127" s="161">
        <v>26.120999999999999</v>
      </c>
      <c r="H1127" s="654">
        <v>0.13270938540999999</v>
      </c>
      <c r="I1127" s="654">
        <v>1.5764180675678701</v>
      </c>
      <c r="J1127" s="191"/>
      <c r="K1127" s="191">
        <v>2098.1184365006102</v>
      </c>
      <c r="L1127" s="191"/>
      <c r="M1127" s="191"/>
      <c r="N1127" s="191"/>
      <c r="O1127" s="191"/>
      <c r="P1127" s="191"/>
      <c r="Q1127" s="191"/>
      <c r="R1127" s="191"/>
      <c r="S1127" s="191"/>
      <c r="T1127" s="191"/>
      <c r="U1127" s="439"/>
      <c r="V1127" s="441"/>
      <c r="W1127" s="178"/>
      <c r="X1127" s="172"/>
      <c r="Y1127" s="172"/>
      <c r="Z1127" s="172"/>
      <c r="AA1127" s="195"/>
      <c r="AB1127" s="172"/>
    </row>
    <row r="1128" spans="1:28" ht="12.75" customHeight="1" x14ac:dyDescent="0.3">
      <c r="A1128" s="667"/>
      <c r="B1128" s="668" t="s">
        <v>6301</v>
      </c>
      <c r="C1128" s="160" t="s">
        <v>6302</v>
      </c>
      <c r="D1128" s="160"/>
      <c r="E1128" s="439">
        <v>4.7699999999999996</v>
      </c>
      <c r="F1128" s="161">
        <v>387.018682447</v>
      </c>
      <c r="G1128" s="161">
        <v>43.616</v>
      </c>
      <c r="H1128" s="654">
        <v>2.5345578776000002</v>
      </c>
      <c r="I1128" s="654">
        <v>829.33846442885101</v>
      </c>
      <c r="J1128" s="191"/>
      <c r="K1128" s="191">
        <v>1018.6148422576</v>
      </c>
      <c r="L1128" s="191"/>
      <c r="M1128" s="191"/>
      <c r="N1128" s="191"/>
      <c r="O1128" s="191"/>
      <c r="P1128" s="191"/>
      <c r="Q1128" s="191"/>
      <c r="R1128" s="191"/>
      <c r="S1128" s="191"/>
      <c r="T1128" s="191"/>
      <c r="U1128" s="439"/>
      <c r="V1128" s="441"/>
      <c r="W1128" s="178"/>
      <c r="X1128" s="172"/>
      <c r="Y1128" s="172"/>
      <c r="Z1128" s="172"/>
      <c r="AA1128" s="195"/>
      <c r="AB1128" s="172"/>
    </row>
    <row r="1129" spans="1:28" ht="12.75" customHeight="1" x14ac:dyDescent="0.3">
      <c r="A1129" s="667"/>
      <c r="B1129" s="668" t="s">
        <v>6303</v>
      </c>
      <c r="C1129" s="160" t="s">
        <v>6304</v>
      </c>
      <c r="D1129" s="160"/>
      <c r="E1129" s="439">
        <v>8.18</v>
      </c>
      <c r="F1129" s="161">
        <v>585.02664319500002</v>
      </c>
      <c r="G1129" s="161">
        <v>54.466999999999999</v>
      </c>
      <c r="H1129" s="654">
        <v>5.7530976118000003</v>
      </c>
      <c r="I1129" s="654">
        <v>0.28985145037096199</v>
      </c>
      <c r="J1129" s="191"/>
      <c r="K1129" s="191">
        <v>71991.297345982806</v>
      </c>
      <c r="L1129" s="191"/>
      <c r="M1129" s="191"/>
      <c r="N1129" s="191"/>
      <c r="O1129" s="191"/>
      <c r="P1129" s="191"/>
      <c r="Q1129" s="191"/>
      <c r="R1129" s="191"/>
      <c r="S1129" s="191"/>
      <c r="T1129" s="191"/>
      <c r="U1129" s="439"/>
      <c r="V1129" s="441"/>
      <c r="W1129" s="178"/>
      <c r="X1129" s="172"/>
      <c r="Y1129" s="172"/>
      <c r="Z1129" s="172"/>
      <c r="AA1129" s="195"/>
      <c r="AB1129" s="172"/>
    </row>
    <row r="1130" spans="1:28" ht="12.75" customHeight="1" x14ac:dyDescent="0.3">
      <c r="A1130" s="667"/>
      <c r="B1130" s="668" t="s">
        <v>6305</v>
      </c>
      <c r="C1130" s="160" t="s">
        <v>6306</v>
      </c>
      <c r="D1130" s="160"/>
      <c r="E1130" s="439">
        <v>7.92</v>
      </c>
      <c r="F1130" s="161">
        <v>653.05285794400004</v>
      </c>
      <c r="G1130" s="161"/>
      <c r="H1130" s="654"/>
      <c r="I1130" s="654"/>
      <c r="J1130" s="191"/>
      <c r="K1130" s="191">
        <v>213132.65745513199</v>
      </c>
      <c r="L1130" s="191"/>
      <c r="M1130" s="191"/>
      <c r="N1130" s="191"/>
      <c r="O1130" s="191"/>
      <c r="P1130" s="191"/>
      <c r="Q1130" s="191"/>
      <c r="R1130" s="191"/>
      <c r="S1130" s="191"/>
      <c r="T1130" s="191"/>
      <c r="U1130" s="439"/>
      <c r="V1130" s="441"/>
      <c r="W1130" s="178"/>
      <c r="X1130" s="172"/>
      <c r="Y1130" s="172"/>
      <c r="Z1130" s="172"/>
      <c r="AA1130" s="195"/>
      <c r="AB1130" s="172"/>
    </row>
    <row r="1131" spans="1:28" ht="12.75" customHeight="1" x14ac:dyDescent="0.3">
      <c r="A1131" s="667"/>
      <c r="B1131" s="668" t="s">
        <v>6307</v>
      </c>
      <c r="C1131" s="160" t="s">
        <v>6308</v>
      </c>
      <c r="D1131" s="160"/>
      <c r="E1131" s="439">
        <v>7.17</v>
      </c>
      <c r="F1131" s="161">
        <v>639.03720787999998</v>
      </c>
      <c r="G1131" s="161"/>
      <c r="H1131" s="654"/>
      <c r="I1131" s="654"/>
      <c r="J1131" s="191"/>
      <c r="K1131" s="191">
        <v>186582.10996950601</v>
      </c>
      <c r="L1131" s="191"/>
      <c r="M1131" s="191"/>
      <c r="N1131" s="191"/>
      <c r="O1131" s="191"/>
      <c r="P1131" s="191"/>
      <c r="Q1131" s="191"/>
      <c r="R1131" s="191"/>
      <c r="S1131" s="191"/>
      <c r="T1131" s="191"/>
      <c r="U1131" s="439"/>
      <c r="V1131" s="441"/>
      <c r="W1131" s="178"/>
      <c r="X1131" s="172"/>
      <c r="Y1131" s="172"/>
      <c r="Z1131" s="172"/>
      <c r="AA1131" s="195"/>
      <c r="AB1131" s="172"/>
    </row>
    <row r="1132" spans="1:28" ht="12.75" customHeight="1" x14ac:dyDescent="0.3">
      <c r="A1132" s="667"/>
      <c r="B1132" s="668" t="s">
        <v>6309</v>
      </c>
      <c r="C1132" s="160" t="s">
        <v>6310</v>
      </c>
      <c r="D1132" s="160"/>
      <c r="E1132" s="439">
        <v>6.86</v>
      </c>
      <c r="F1132" s="161">
        <v>625.02155781500005</v>
      </c>
      <c r="G1132" s="161">
        <v>43.835999999999999</v>
      </c>
      <c r="H1132" s="654"/>
      <c r="I1132" s="654"/>
      <c r="J1132" s="191"/>
      <c r="K1132" s="191">
        <v>218232.78751645199</v>
      </c>
      <c r="L1132" s="191"/>
      <c r="M1132" s="191"/>
      <c r="N1132" s="191"/>
      <c r="O1132" s="191"/>
      <c r="P1132" s="191"/>
      <c r="Q1132" s="191"/>
      <c r="R1132" s="191"/>
      <c r="S1132" s="191"/>
      <c r="T1132" s="191"/>
      <c r="U1132" s="439"/>
      <c r="V1132" s="441"/>
      <c r="W1132" s="178"/>
      <c r="X1132" s="172"/>
      <c r="Y1132" s="172"/>
      <c r="Z1132" s="172"/>
      <c r="AA1132" s="195"/>
      <c r="AB1132" s="172"/>
    </row>
    <row r="1133" spans="1:28" ht="12.75" customHeight="1" x14ac:dyDescent="0.3">
      <c r="A1133" s="667"/>
      <c r="B1133" s="668" t="s">
        <v>6311</v>
      </c>
      <c r="C1133" s="160" t="s">
        <v>6312</v>
      </c>
      <c r="D1133" s="160"/>
      <c r="E1133" s="439">
        <v>3.24</v>
      </c>
      <c r="F1133" s="161">
        <v>613.02155781500005</v>
      </c>
      <c r="G1133" s="161">
        <v>-13.635</v>
      </c>
      <c r="H1133" s="654">
        <v>8.3541431708000005</v>
      </c>
      <c r="I1133" s="654">
        <v>0.22619146835946299</v>
      </c>
      <c r="J1133" s="191"/>
      <c r="K1133" s="191">
        <v>228465.16982281199</v>
      </c>
      <c r="L1133" s="191"/>
      <c r="M1133" s="191"/>
      <c r="N1133" s="191"/>
      <c r="O1133" s="191"/>
      <c r="P1133" s="191"/>
      <c r="Q1133" s="191"/>
      <c r="R1133" s="191"/>
      <c r="S1133" s="191"/>
      <c r="T1133" s="191"/>
      <c r="U1133" s="439"/>
      <c r="V1133" s="441"/>
      <c r="W1133" s="178"/>
      <c r="X1133" s="172"/>
      <c r="Y1133" s="172"/>
      <c r="Z1133" s="172"/>
      <c r="AA1133" s="195"/>
      <c r="AB1133" s="172"/>
    </row>
    <row r="1134" spans="1:28" ht="12.75" customHeight="1" x14ac:dyDescent="0.3">
      <c r="A1134" s="667"/>
      <c r="B1134" s="668" t="s">
        <v>6313</v>
      </c>
      <c r="C1134" s="160" t="s">
        <v>6314</v>
      </c>
      <c r="D1134" s="160"/>
      <c r="E1134" s="439">
        <v>5.32</v>
      </c>
      <c r="F1134" s="161">
        <v>567.01607851100005</v>
      </c>
      <c r="G1134" s="161">
        <v>-30.562000000000001</v>
      </c>
      <c r="H1134" s="654">
        <v>39.255596323999903</v>
      </c>
      <c r="I1134" s="654">
        <v>0.192572835664298</v>
      </c>
      <c r="J1134" s="191"/>
      <c r="K1134" s="191">
        <v>86898.043806996793</v>
      </c>
      <c r="L1134" s="191"/>
      <c r="M1134" s="191"/>
      <c r="N1134" s="191"/>
      <c r="O1134" s="191"/>
      <c r="P1134" s="191"/>
      <c r="Q1134" s="191"/>
      <c r="R1134" s="191"/>
      <c r="S1134" s="191"/>
      <c r="T1134" s="191"/>
      <c r="U1134" s="439"/>
      <c r="V1134" s="441"/>
      <c r="W1134" s="178"/>
      <c r="X1134" s="172"/>
      <c r="Y1134" s="172"/>
      <c r="Z1134" s="172"/>
      <c r="AA1134" s="195"/>
      <c r="AB1134" s="172"/>
    </row>
    <row r="1135" spans="1:28" ht="12.75" customHeight="1" x14ac:dyDescent="0.3">
      <c r="A1135" s="667"/>
      <c r="B1135" s="668" t="s">
        <v>6315</v>
      </c>
      <c r="C1135" s="160" t="s">
        <v>6151</v>
      </c>
      <c r="D1135" s="160"/>
      <c r="E1135" s="439">
        <v>0.25</v>
      </c>
      <c r="F1135" s="161">
        <v>636.96178921000001</v>
      </c>
      <c r="G1135" s="161"/>
      <c r="H1135" s="654"/>
      <c r="I1135" s="654"/>
      <c r="J1135" s="191"/>
      <c r="K1135" s="191">
        <v>2.2052965598876599</v>
      </c>
      <c r="L1135" s="191"/>
      <c r="M1135" s="191"/>
      <c r="N1135" s="191"/>
      <c r="O1135" s="191"/>
      <c r="P1135" s="191"/>
      <c r="Q1135" s="191"/>
      <c r="R1135" s="191"/>
      <c r="S1135" s="191"/>
      <c r="T1135" s="191"/>
      <c r="U1135" s="439"/>
      <c r="V1135" s="441"/>
      <c r="W1135" s="178"/>
      <c r="X1135" s="172"/>
      <c r="Y1135" s="172"/>
      <c r="Z1135" s="172"/>
      <c r="AA1135" s="195"/>
      <c r="AB1135" s="172"/>
    </row>
    <row r="1136" spans="1:28" ht="12.75" customHeight="1" x14ac:dyDescent="0.3">
      <c r="A1136" s="667"/>
      <c r="B1136" s="668" t="s">
        <v>6316</v>
      </c>
      <c r="C1136" s="160" t="s">
        <v>6317</v>
      </c>
      <c r="D1136" s="160"/>
      <c r="E1136" s="439">
        <v>3.54</v>
      </c>
      <c r="F1136" s="161">
        <v>656.06375697999999</v>
      </c>
      <c r="G1136" s="161">
        <v>91.846999999999994</v>
      </c>
      <c r="H1136" s="654"/>
      <c r="I1136" s="654"/>
      <c r="J1136" s="191"/>
      <c r="K1136" s="191">
        <v>170106.143993998</v>
      </c>
      <c r="L1136" s="191"/>
      <c r="M1136" s="191"/>
      <c r="N1136" s="191"/>
      <c r="O1136" s="191"/>
      <c r="P1136" s="191"/>
      <c r="Q1136" s="191"/>
      <c r="R1136" s="191"/>
      <c r="S1136" s="191"/>
      <c r="T1136" s="191"/>
      <c r="U1136" s="439"/>
      <c r="V1136" s="441"/>
      <c r="W1136" s="178"/>
      <c r="X1136" s="172"/>
      <c r="Y1136" s="172"/>
      <c r="Z1136" s="172"/>
      <c r="AA1136" s="195"/>
      <c r="AB1136" s="172"/>
    </row>
    <row r="1137" spans="1:28" ht="12.75" customHeight="1" x14ac:dyDescent="0.3">
      <c r="A1137" s="667"/>
      <c r="B1137" s="668" t="s">
        <v>6318</v>
      </c>
      <c r="C1137" s="160" t="s">
        <v>6319</v>
      </c>
      <c r="D1137" s="160"/>
      <c r="E1137" s="439">
        <v>0.3</v>
      </c>
      <c r="F1137" s="161">
        <v>648.99805946599997</v>
      </c>
      <c r="G1137" s="161">
        <v>75.503</v>
      </c>
      <c r="H1137" s="654"/>
      <c r="I1137" s="654"/>
      <c r="J1137" s="191"/>
      <c r="K1137" s="191">
        <v>1367287.99297278</v>
      </c>
      <c r="L1137" s="191"/>
      <c r="M1137" s="191"/>
      <c r="N1137" s="191"/>
      <c r="O1137" s="191"/>
      <c r="P1137" s="191"/>
      <c r="Q1137" s="191"/>
      <c r="R1137" s="191"/>
      <c r="S1137" s="191"/>
      <c r="T1137" s="191"/>
      <c r="U1137" s="439"/>
      <c r="V1137" s="441"/>
      <c r="W1137" s="178"/>
      <c r="X1137" s="172"/>
      <c r="Y1137" s="172"/>
      <c r="Z1137" s="172"/>
      <c r="AA1137" s="195"/>
      <c r="AB1137" s="172"/>
    </row>
    <row r="1138" spans="1:28" ht="12.75" customHeight="1" x14ac:dyDescent="0.3">
      <c r="A1138" s="667"/>
      <c r="B1138" s="668" t="s">
        <v>6320</v>
      </c>
      <c r="C1138" s="160" t="s">
        <v>6321</v>
      </c>
      <c r="D1138" s="160"/>
      <c r="E1138" s="439"/>
      <c r="F1138" s="161">
        <v>705.06065972299996</v>
      </c>
      <c r="G1138" s="161">
        <v>26.957999999999998</v>
      </c>
      <c r="H1138" s="654">
        <v>0.40262577389999998</v>
      </c>
      <c r="I1138" s="654">
        <v>0.19064558214645999</v>
      </c>
      <c r="J1138" s="191"/>
      <c r="K1138" s="191">
        <v>1413546.17580809</v>
      </c>
      <c r="L1138" s="191"/>
      <c r="M1138" s="191"/>
      <c r="N1138" s="191"/>
      <c r="O1138" s="191"/>
      <c r="P1138" s="191"/>
      <c r="Q1138" s="191"/>
      <c r="R1138" s="191"/>
      <c r="S1138" s="191"/>
      <c r="T1138" s="191"/>
      <c r="U1138" s="439"/>
      <c r="V1138" s="441"/>
      <c r="W1138" s="178"/>
      <c r="X1138" s="172"/>
      <c r="Y1138" s="172"/>
      <c r="Z1138" s="172"/>
      <c r="AA1138" s="195"/>
      <c r="AB1138" s="172"/>
    </row>
    <row r="1139" spans="1:28" ht="12.75" customHeight="1" x14ac:dyDescent="0.3">
      <c r="A1139" s="667"/>
      <c r="B1139" s="668" t="s">
        <v>6322</v>
      </c>
      <c r="C1139" s="160" t="s">
        <v>6323</v>
      </c>
      <c r="D1139" s="160"/>
      <c r="E1139" s="439">
        <v>5.83</v>
      </c>
      <c r="F1139" s="161">
        <v>639.03720787999998</v>
      </c>
      <c r="G1139" s="161"/>
      <c r="H1139" s="654"/>
      <c r="I1139" s="654"/>
      <c r="J1139" s="191"/>
      <c r="K1139" s="191">
        <v>191183.32040018201</v>
      </c>
      <c r="L1139" s="191"/>
      <c r="M1139" s="191"/>
      <c r="N1139" s="191"/>
      <c r="O1139" s="191"/>
      <c r="P1139" s="191"/>
      <c r="Q1139" s="191"/>
      <c r="R1139" s="191"/>
      <c r="S1139" s="191"/>
      <c r="T1139" s="191"/>
      <c r="U1139" s="439"/>
      <c r="V1139" s="441"/>
      <c r="W1139" s="178"/>
      <c r="X1139" s="172"/>
      <c r="Y1139" s="172"/>
      <c r="Z1139" s="172"/>
      <c r="AA1139" s="195"/>
      <c r="AB1139" s="172"/>
    </row>
    <row r="1140" spans="1:28" ht="12.75" customHeight="1" x14ac:dyDescent="0.3">
      <c r="A1140" s="667"/>
      <c r="B1140" s="668" t="s">
        <v>6324</v>
      </c>
      <c r="C1140" s="160" t="s">
        <v>6325</v>
      </c>
      <c r="D1140" s="160"/>
      <c r="E1140" s="439">
        <v>7.96</v>
      </c>
      <c r="F1140" s="161">
        <v>535.02983686899995</v>
      </c>
      <c r="G1140" s="161">
        <v>50.706000000000003</v>
      </c>
      <c r="H1140" s="654">
        <v>6.2359365670000004</v>
      </c>
      <c r="I1140" s="654">
        <v>0.65823115740482396</v>
      </c>
      <c r="J1140" s="191"/>
      <c r="K1140" s="191">
        <v>72897.057783031094</v>
      </c>
      <c r="L1140" s="191"/>
      <c r="M1140" s="191"/>
      <c r="N1140" s="191"/>
      <c r="O1140" s="191"/>
      <c r="P1140" s="191"/>
      <c r="Q1140" s="191"/>
      <c r="R1140" s="191"/>
      <c r="S1140" s="191"/>
      <c r="T1140" s="191"/>
      <c r="U1140" s="439"/>
      <c r="V1140" s="441"/>
      <c r="W1140" s="178"/>
      <c r="X1140" s="172"/>
      <c r="Y1140" s="172"/>
      <c r="Z1140" s="172"/>
      <c r="AA1140" s="195"/>
      <c r="AB1140" s="172"/>
    </row>
    <row r="1141" spans="1:28" ht="12.75" customHeight="1" x14ac:dyDescent="0.3">
      <c r="A1141" s="667"/>
      <c r="B1141" s="668" t="s">
        <v>6326</v>
      </c>
      <c r="C1141" s="160" t="s">
        <v>6327</v>
      </c>
      <c r="D1141" s="160"/>
      <c r="E1141" s="439">
        <v>7.69</v>
      </c>
      <c r="F1141" s="161">
        <v>603.05605161799997</v>
      </c>
      <c r="G1141" s="161">
        <v>47.226999999999997</v>
      </c>
      <c r="H1141" s="654">
        <v>2.4598175644000002</v>
      </c>
      <c r="I1141" s="654">
        <v>0.17674909511266801</v>
      </c>
      <c r="J1141" s="191"/>
      <c r="K1141" s="191">
        <v>394638.99820986402</v>
      </c>
      <c r="L1141" s="191"/>
      <c r="M1141" s="191"/>
      <c r="N1141" s="191"/>
      <c r="O1141" s="191"/>
      <c r="P1141" s="191"/>
      <c r="Q1141" s="191"/>
      <c r="R1141" s="191"/>
      <c r="S1141" s="191"/>
      <c r="T1141" s="191"/>
      <c r="U1141" s="439"/>
      <c r="V1141" s="441"/>
      <c r="W1141" s="178"/>
      <c r="X1141" s="172"/>
      <c r="Y1141" s="172"/>
      <c r="Z1141" s="172"/>
      <c r="AA1141" s="195"/>
      <c r="AB1141" s="172"/>
    </row>
    <row r="1142" spans="1:28" ht="12.75" customHeight="1" x14ac:dyDescent="0.3">
      <c r="A1142" s="667"/>
      <c r="B1142" s="668" t="s">
        <v>6328</v>
      </c>
      <c r="C1142" s="160" t="s">
        <v>6329</v>
      </c>
      <c r="D1142" s="160"/>
      <c r="E1142" s="439">
        <v>6.94</v>
      </c>
      <c r="F1142" s="161">
        <v>589.04040155400003</v>
      </c>
      <c r="G1142" s="161">
        <v>15.398</v>
      </c>
      <c r="H1142" s="654">
        <v>2.998478441</v>
      </c>
      <c r="I1142" s="654">
        <v>0.63262350086497998</v>
      </c>
      <c r="J1142" s="191"/>
      <c r="K1142" s="191">
        <v>389054.103192929</v>
      </c>
      <c r="L1142" s="191"/>
      <c r="M1142" s="191"/>
      <c r="N1142" s="191"/>
      <c r="O1142" s="191"/>
      <c r="P1142" s="191"/>
      <c r="Q1142" s="191"/>
      <c r="R1142" s="191"/>
      <c r="S1142" s="191"/>
      <c r="T1142" s="191"/>
      <c r="U1142" s="439"/>
      <c r="V1142" s="441"/>
      <c r="W1142" s="178"/>
      <c r="X1142" s="172"/>
      <c r="Y1142" s="172"/>
      <c r="Z1142" s="172"/>
      <c r="AA1142" s="195"/>
      <c r="AB1142" s="172"/>
    </row>
    <row r="1143" spans="1:28" ht="12.75" customHeight="1" x14ac:dyDescent="0.3">
      <c r="A1143" s="667"/>
      <c r="B1143" s="668" t="s">
        <v>6330</v>
      </c>
      <c r="C1143" s="160" t="s">
        <v>6331</v>
      </c>
      <c r="D1143" s="160"/>
      <c r="E1143" s="439">
        <v>5.92</v>
      </c>
      <c r="F1143" s="161">
        <v>506.99853674100001</v>
      </c>
      <c r="G1143" s="161">
        <v>24.475999999999999</v>
      </c>
      <c r="H1143" s="654">
        <v>17.575305971999999</v>
      </c>
      <c r="I1143" s="654">
        <v>1.25894327653767</v>
      </c>
      <c r="J1143" s="191"/>
      <c r="K1143" s="191">
        <v>35912.860619821797</v>
      </c>
      <c r="L1143" s="191"/>
      <c r="M1143" s="191"/>
      <c r="N1143" s="191"/>
      <c r="O1143" s="191"/>
      <c r="P1143" s="191"/>
      <c r="Q1143" s="191"/>
      <c r="R1143" s="191"/>
      <c r="S1143" s="191"/>
      <c r="T1143" s="191"/>
      <c r="U1143" s="439"/>
      <c r="V1143" s="441"/>
      <c r="W1143" s="178"/>
      <c r="X1143" s="172"/>
      <c r="Y1143" s="172"/>
      <c r="Z1143" s="172"/>
      <c r="AA1143" s="195"/>
      <c r="AB1143" s="172"/>
    </row>
    <row r="1144" spans="1:28" ht="12.75" customHeight="1" x14ac:dyDescent="0.3">
      <c r="A1144" s="667"/>
      <c r="B1144" s="668" t="s">
        <v>6332</v>
      </c>
      <c r="C1144" s="160" t="s">
        <v>6333</v>
      </c>
      <c r="D1144" s="160"/>
      <c r="E1144" s="439">
        <v>6.62</v>
      </c>
      <c r="F1144" s="161">
        <v>575.02475148899998</v>
      </c>
      <c r="G1144" s="161">
        <v>11.452999999999999</v>
      </c>
      <c r="H1144" s="654">
        <v>6.9646879512000002</v>
      </c>
      <c r="I1144" s="654">
        <v>0.340162792040335</v>
      </c>
      <c r="J1144" s="191"/>
      <c r="K1144" s="191">
        <v>118339.573573252</v>
      </c>
      <c r="L1144" s="191"/>
      <c r="M1144" s="191"/>
      <c r="N1144" s="191"/>
      <c r="O1144" s="191"/>
      <c r="P1144" s="191"/>
      <c r="Q1144" s="191"/>
      <c r="R1144" s="191"/>
      <c r="S1144" s="191"/>
      <c r="T1144" s="191"/>
      <c r="U1144" s="439"/>
      <c r="V1144" s="441"/>
      <c r="W1144" s="178"/>
      <c r="X1144" s="172"/>
      <c r="Y1144" s="172"/>
      <c r="Z1144" s="172"/>
      <c r="AA1144" s="195"/>
      <c r="AB1144" s="172"/>
    </row>
    <row r="1145" spans="1:28" ht="12.75" customHeight="1" x14ac:dyDescent="0.3">
      <c r="A1145" s="667"/>
      <c r="B1145" s="668" t="s">
        <v>6334</v>
      </c>
      <c r="C1145" s="160" t="s">
        <v>6335</v>
      </c>
      <c r="D1145" s="160"/>
      <c r="E1145" s="439">
        <v>5.78</v>
      </c>
      <c r="F1145" s="161">
        <v>561.00910142500004</v>
      </c>
      <c r="G1145" s="161">
        <v>-20.376000000000001</v>
      </c>
      <c r="H1145" s="654">
        <v>8.4703599581999995</v>
      </c>
      <c r="I1145" s="654">
        <v>1.21609942915897</v>
      </c>
      <c r="J1145" s="191"/>
      <c r="K1145" s="191">
        <v>266753.42236628098</v>
      </c>
      <c r="L1145" s="191"/>
      <c r="M1145" s="191"/>
      <c r="N1145" s="191"/>
      <c r="O1145" s="191"/>
      <c r="P1145" s="191"/>
      <c r="Q1145" s="191"/>
      <c r="R1145" s="191"/>
      <c r="S1145" s="191"/>
      <c r="T1145" s="191"/>
      <c r="U1145" s="439"/>
      <c r="V1145" s="441"/>
      <c r="W1145" s="178"/>
      <c r="X1145" s="172"/>
      <c r="Y1145" s="172"/>
      <c r="Z1145" s="172"/>
      <c r="AA1145" s="195"/>
      <c r="AB1145" s="172"/>
    </row>
    <row r="1146" spans="1:28" ht="12.75" customHeight="1" x14ac:dyDescent="0.3">
      <c r="A1146" s="667"/>
      <c r="B1146" s="668" t="s">
        <v>6336</v>
      </c>
      <c r="C1146" s="160" t="s">
        <v>6337</v>
      </c>
      <c r="D1146" s="160"/>
      <c r="E1146" s="439">
        <v>-0.81</v>
      </c>
      <c r="F1146" s="161">
        <v>534.99345136099998</v>
      </c>
      <c r="G1146" s="161">
        <v>53.393999999999998</v>
      </c>
      <c r="H1146" s="654">
        <v>1.8150990368</v>
      </c>
      <c r="I1146" s="654">
        <v>1.1307033095169501</v>
      </c>
      <c r="J1146" s="191"/>
      <c r="K1146" s="191">
        <v>73387.146258516499</v>
      </c>
      <c r="L1146" s="191"/>
      <c r="M1146" s="191"/>
      <c r="N1146" s="191"/>
      <c r="O1146" s="191"/>
      <c r="P1146" s="191"/>
      <c r="Q1146" s="191"/>
      <c r="R1146" s="191"/>
      <c r="S1146" s="191"/>
      <c r="T1146" s="191"/>
      <c r="U1146" s="439"/>
      <c r="V1146" s="441"/>
      <c r="W1146" s="178"/>
      <c r="X1146" s="172"/>
      <c r="Y1146" s="172"/>
      <c r="Z1146" s="172"/>
      <c r="AA1146" s="195"/>
      <c r="AB1146" s="172"/>
    </row>
    <row r="1147" spans="1:28" ht="12.75" customHeight="1" x14ac:dyDescent="0.3">
      <c r="A1147" s="667"/>
      <c r="B1147" s="668" t="s">
        <v>6338</v>
      </c>
      <c r="C1147" s="160" t="s">
        <v>6339</v>
      </c>
      <c r="D1147" s="160"/>
      <c r="E1147" s="439">
        <v>3.01</v>
      </c>
      <c r="F1147" s="161">
        <v>563.02475148899998</v>
      </c>
      <c r="G1147" s="161">
        <v>-11.851000000000001</v>
      </c>
      <c r="H1147" s="654">
        <v>8.9722639593999993</v>
      </c>
      <c r="I1147" s="654">
        <v>0.51585453780925095</v>
      </c>
      <c r="J1147" s="191"/>
      <c r="K1147" s="191">
        <v>267818.14645291597</v>
      </c>
      <c r="L1147" s="191"/>
      <c r="M1147" s="191"/>
      <c r="N1147" s="191"/>
      <c r="O1147" s="191"/>
      <c r="P1147" s="191"/>
      <c r="Q1147" s="191"/>
      <c r="R1147" s="191"/>
      <c r="S1147" s="191"/>
      <c r="T1147" s="191"/>
      <c r="U1147" s="439"/>
      <c r="V1147" s="441"/>
      <c r="W1147" s="178"/>
      <c r="X1147" s="172"/>
      <c r="Y1147" s="172"/>
      <c r="Z1147" s="172"/>
      <c r="AA1147" s="195"/>
      <c r="AB1147" s="172"/>
    </row>
    <row r="1148" spans="1:28" ht="12.75" customHeight="1" x14ac:dyDescent="0.3">
      <c r="A1148" s="667"/>
      <c r="B1148" s="668" t="s">
        <v>6340</v>
      </c>
      <c r="C1148" s="160" t="s">
        <v>6341</v>
      </c>
      <c r="D1148" s="160"/>
      <c r="E1148" s="439">
        <v>5.12</v>
      </c>
      <c r="F1148" s="161">
        <v>517.01927218499998</v>
      </c>
      <c r="G1148" s="161">
        <v>-28.777999999999999</v>
      </c>
      <c r="H1148" s="654">
        <v>43.042874378</v>
      </c>
      <c r="I1148" s="654">
        <v>0.43602044790813599</v>
      </c>
      <c r="J1148" s="191"/>
      <c r="K1148" s="191">
        <v>140617.70318566301</v>
      </c>
      <c r="L1148" s="191"/>
      <c r="M1148" s="191"/>
      <c r="N1148" s="191"/>
      <c r="O1148" s="191"/>
      <c r="P1148" s="191"/>
      <c r="Q1148" s="191"/>
      <c r="R1148" s="191"/>
      <c r="S1148" s="191"/>
      <c r="T1148" s="191"/>
      <c r="U1148" s="439"/>
      <c r="V1148" s="441"/>
      <c r="W1148" s="178"/>
      <c r="X1148" s="172"/>
      <c r="Y1148" s="172"/>
      <c r="Z1148" s="172"/>
      <c r="AA1148" s="195"/>
      <c r="AB1148" s="172"/>
    </row>
    <row r="1149" spans="1:28" ht="12.75" customHeight="1" x14ac:dyDescent="0.3">
      <c r="A1149" s="667"/>
      <c r="B1149" s="668" t="s">
        <v>6342</v>
      </c>
      <c r="C1149" s="160" t="s">
        <v>6343</v>
      </c>
      <c r="D1149" s="160"/>
      <c r="E1149" s="439">
        <v>7.0000000000000007E-2</v>
      </c>
      <c r="F1149" s="161">
        <v>599.00125314000002</v>
      </c>
      <c r="G1149" s="161">
        <v>43.12</v>
      </c>
      <c r="H1149" s="654"/>
      <c r="I1149" s="654">
        <v>0.85001871828084796</v>
      </c>
      <c r="J1149" s="191"/>
      <c r="K1149" s="191">
        <v>607938.99331078003</v>
      </c>
      <c r="L1149" s="191"/>
      <c r="M1149" s="191"/>
      <c r="N1149" s="191"/>
      <c r="O1149" s="191"/>
      <c r="P1149" s="191"/>
      <c r="Q1149" s="191"/>
      <c r="R1149" s="191"/>
      <c r="S1149" s="191"/>
      <c r="T1149" s="191"/>
      <c r="U1149" s="439"/>
      <c r="V1149" s="441"/>
      <c r="W1149" s="178"/>
      <c r="X1149" s="172"/>
      <c r="Y1149" s="172"/>
      <c r="Z1149" s="172"/>
      <c r="AA1149" s="195"/>
      <c r="AB1149" s="172"/>
    </row>
    <row r="1150" spans="1:28" ht="12.75" customHeight="1" x14ac:dyDescent="0.3">
      <c r="A1150" s="667"/>
      <c r="B1150" s="668" t="s">
        <v>6344</v>
      </c>
      <c r="C1150" s="160" t="s">
        <v>6345</v>
      </c>
      <c r="D1150" s="160"/>
      <c r="E1150" s="439"/>
      <c r="F1150" s="161">
        <v>655.063853397</v>
      </c>
      <c r="G1150" s="161">
        <v>28.742000000000001</v>
      </c>
      <c r="H1150" s="654">
        <v>0.40916788444000002</v>
      </c>
      <c r="I1150" s="654">
        <v>0.43982886802249399</v>
      </c>
      <c r="J1150" s="191"/>
      <c r="K1150" s="191">
        <v>2938732.12147506</v>
      </c>
      <c r="L1150" s="191"/>
      <c r="M1150" s="191"/>
      <c r="N1150" s="191"/>
      <c r="O1150" s="191"/>
      <c r="P1150" s="191"/>
      <c r="Q1150" s="191"/>
      <c r="R1150" s="191"/>
      <c r="S1150" s="191"/>
      <c r="T1150" s="191"/>
      <c r="U1150" s="439"/>
      <c r="V1150" s="441"/>
      <c r="W1150" s="178"/>
      <c r="X1150" s="172"/>
      <c r="Y1150" s="172"/>
      <c r="Z1150" s="172"/>
      <c r="AA1150" s="195"/>
      <c r="AB1150" s="172"/>
    </row>
    <row r="1151" spans="1:28" ht="12.75" customHeight="1" x14ac:dyDescent="0.3">
      <c r="A1151" s="667"/>
      <c r="B1151" s="668" t="s">
        <v>6346</v>
      </c>
      <c r="C1151" s="160" t="s">
        <v>6347</v>
      </c>
      <c r="D1151" s="160"/>
      <c r="E1151" s="439">
        <v>6.28</v>
      </c>
      <c r="F1151" s="161">
        <v>549.045486934</v>
      </c>
      <c r="G1151" s="161">
        <v>56.152000000000001</v>
      </c>
      <c r="H1151" s="654">
        <v>4.7195588034</v>
      </c>
      <c r="I1151" s="654">
        <v>0.47600157344327398</v>
      </c>
      <c r="J1151" s="191"/>
      <c r="K1151" s="191">
        <v>82141.0026984859</v>
      </c>
      <c r="L1151" s="191"/>
      <c r="M1151" s="191"/>
      <c r="N1151" s="191"/>
      <c r="O1151" s="191"/>
      <c r="P1151" s="191"/>
      <c r="Q1151" s="191"/>
      <c r="R1151" s="191"/>
      <c r="S1151" s="191"/>
      <c r="T1151" s="191"/>
      <c r="U1151" s="439"/>
      <c r="V1151" s="441"/>
      <c r="W1151" s="178"/>
      <c r="X1151" s="172"/>
      <c r="Y1151" s="172"/>
      <c r="Z1151" s="172"/>
      <c r="AA1151" s="195"/>
      <c r="AB1151" s="172"/>
    </row>
    <row r="1152" spans="1:28" ht="12.75" customHeight="1" x14ac:dyDescent="0.3">
      <c r="A1152" s="667"/>
      <c r="B1152" s="668" t="s">
        <v>6348</v>
      </c>
      <c r="C1152" s="160" t="s">
        <v>6349</v>
      </c>
      <c r="D1152" s="160"/>
      <c r="E1152" s="439">
        <v>1.19</v>
      </c>
      <c r="F1152" s="161">
        <v>600.980517695</v>
      </c>
      <c r="G1152" s="161">
        <v>33.155000000000001</v>
      </c>
      <c r="H1152" s="654"/>
      <c r="I1152" s="654">
        <v>1.3087612831895701</v>
      </c>
      <c r="J1152" s="191"/>
      <c r="K1152" s="191">
        <v>65591.868088871794</v>
      </c>
      <c r="L1152" s="191"/>
      <c r="M1152" s="191"/>
      <c r="N1152" s="191"/>
      <c r="O1152" s="191"/>
      <c r="P1152" s="191"/>
      <c r="Q1152" s="191"/>
      <c r="R1152" s="191"/>
      <c r="S1152" s="191"/>
      <c r="T1152" s="191"/>
      <c r="U1152" s="439"/>
      <c r="V1152" s="441"/>
      <c r="W1152" s="178"/>
      <c r="X1152" s="172"/>
      <c r="Y1152" s="172"/>
      <c r="Z1152" s="172"/>
      <c r="AA1152" s="195"/>
      <c r="AB1152" s="172"/>
    </row>
    <row r="1153" spans="1:28" ht="12.75" customHeight="1" x14ac:dyDescent="0.3">
      <c r="A1153" s="667"/>
      <c r="B1153" s="668" t="s">
        <v>6350</v>
      </c>
      <c r="C1153" s="160" t="s">
        <v>6351</v>
      </c>
      <c r="D1153" s="160"/>
      <c r="E1153" s="439">
        <v>6.29</v>
      </c>
      <c r="F1153" s="161">
        <v>589.04040155400003</v>
      </c>
      <c r="G1153" s="161">
        <v>46.423999999999999</v>
      </c>
      <c r="H1153" s="654">
        <v>4.1390614831999999</v>
      </c>
      <c r="I1153" s="654">
        <v>0.24555268315541401</v>
      </c>
      <c r="J1153" s="191"/>
      <c r="K1153" s="191">
        <v>384901.85132820898</v>
      </c>
      <c r="L1153" s="191"/>
      <c r="M1153" s="191"/>
      <c r="N1153" s="191"/>
      <c r="O1153" s="191"/>
      <c r="P1153" s="191"/>
      <c r="Q1153" s="191"/>
      <c r="R1153" s="191"/>
      <c r="S1153" s="191"/>
      <c r="T1153" s="191"/>
      <c r="U1153" s="439"/>
      <c r="V1153" s="441"/>
      <c r="W1153" s="178"/>
      <c r="X1153" s="172"/>
      <c r="Y1153" s="172"/>
      <c r="Z1153" s="172"/>
      <c r="AA1153" s="195"/>
      <c r="AB1153" s="172"/>
    </row>
    <row r="1154" spans="1:28" ht="12.75" customHeight="1" x14ac:dyDescent="0.3">
      <c r="A1154" s="667"/>
      <c r="B1154" s="668" t="s">
        <v>6352</v>
      </c>
      <c r="C1154" s="160" t="s">
        <v>6353</v>
      </c>
      <c r="D1154" s="160"/>
      <c r="E1154" s="439">
        <v>5.45</v>
      </c>
      <c r="F1154" s="161">
        <v>575.02475148899998</v>
      </c>
      <c r="G1154" s="161">
        <v>-19.571999999999999</v>
      </c>
      <c r="H1154" s="654">
        <v>5.0454777646000002</v>
      </c>
      <c r="I1154" s="654">
        <v>0.87636647250680999</v>
      </c>
      <c r="J1154" s="191"/>
      <c r="K1154" s="191">
        <v>292186.40164257202</v>
      </c>
      <c r="L1154" s="191"/>
      <c r="M1154" s="191"/>
      <c r="N1154" s="191"/>
      <c r="O1154" s="191"/>
      <c r="P1154" s="191"/>
      <c r="Q1154" s="191"/>
      <c r="R1154" s="191"/>
      <c r="S1154" s="191"/>
      <c r="T1154" s="191"/>
      <c r="U1154" s="439"/>
      <c r="V1154" s="441"/>
      <c r="W1154" s="178"/>
      <c r="X1154" s="172"/>
      <c r="Y1154" s="172"/>
      <c r="Z1154" s="172"/>
      <c r="AA1154" s="195"/>
      <c r="AB1154" s="172"/>
    </row>
    <row r="1155" spans="1:28" ht="12.75" customHeight="1" x14ac:dyDescent="0.3">
      <c r="A1155" s="667"/>
      <c r="B1155" s="668" t="s">
        <v>6354</v>
      </c>
      <c r="C1155" s="160" t="s">
        <v>6355</v>
      </c>
      <c r="D1155" s="160"/>
      <c r="E1155" s="439">
        <v>6.03</v>
      </c>
      <c r="F1155" s="161">
        <v>603.05605161799997</v>
      </c>
      <c r="G1155" s="161">
        <v>16.202000000000002</v>
      </c>
      <c r="H1155" s="654">
        <v>1.7819818519999999</v>
      </c>
      <c r="I1155" s="654">
        <v>0.45536280012833802</v>
      </c>
      <c r="J1155" s="191"/>
      <c r="K1155" s="191">
        <v>402754.12764323998</v>
      </c>
      <c r="L1155" s="191"/>
      <c r="M1155" s="191"/>
      <c r="N1155" s="191"/>
      <c r="O1155" s="191"/>
      <c r="P1155" s="191"/>
      <c r="Q1155" s="191"/>
      <c r="R1155" s="191"/>
      <c r="S1155" s="191"/>
      <c r="T1155" s="191"/>
      <c r="U1155" s="439"/>
      <c r="V1155" s="441"/>
      <c r="W1155" s="178"/>
      <c r="X1155" s="172"/>
      <c r="Y1155" s="172"/>
      <c r="Z1155" s="172"/>
      <c r="AA1155" s="195"/>
      <c r="AB1155" s="172"/>
    </row>
    <row r="1156" spans="1:28" ht="12.75" customHeight="1" x14ac:dyDescent="0.3">
      <c r="A1156" s="667"/>
      <c r="B1156" s="668" t="s">
        <v>6356</v>
      </c>
      <c r="C1156" s="160" t="s">
        <v>6357</v>
      </c>
      <c r="D1156" s="160"/>
      <c r="E1156" s="439">
        <v>8.7200000000000006</v>
      </c>
      <c r="F1156" s="161">
        <v>485.033030543</v>
      </c>
      <c r="G1156" s="161">
        <v>47.091999999999999</v>
      </c>
      <c r="H1156" s="654">
        <v>7.3097386194</v>
      </c>
      <c r="I1156" s="654">
        <v>1.4817371056664199</v>
      </c>
      <c r="J1156" s="191"/>
      <c r="K1156" s="191">
        <v>30430.563884691499</v>
      </c>
      <c r="L1156" s="191"/>
      <c r="M1156" s="191"/>
      <c r="N1156" s="191"/>
      <c r="O1156" s="191"/>
      <c r="P1156" s="191"/>
      <c r="Q1156" s="191"/>
      <c r="R1156" s="191"/>
      <c r="S1156" s="191"/>
      <c r="T1156" s="191"/>
      <c r="U1156" s="439"/>
      <c r="V1156" s="441"/>
      <c r="W1156" s="178"/>
      <c r="X1156" s="172"/>
      <c r="Y1156" s="172"/>
      <c r="Z1156" s="172"/>
      <c r="AA1156" s="195"/>
      <c r="AB1156" s="172"/>
    </row>
    <row r="1157" spans="1:28" ht="12.75" customHeight="1" x14ac:dyDescent="0.3">
      <c r="A1157" s="667"/>
      <c r="B1157" s="668" t="s">
        <v>6358</v>
      </c>
      <c r="C1157" s="160" t="s">
        <v>6359</v>
      </c>
      <c r="D1157" s="160"/>
      <c r="E1157" s="439"/>
      <c r="F1157" s="161">
        <v>553.05924529200001</v>
      </c>
      <c r="G1157" s="161">
        <v>14.843999999999999</v>
      </c>
      <c r="H1157" s="654">
        <v>3.3105585785999998</v>
      </c>
      <c r="I1157" s="654">
        <v>0.40343293789296603</v>
      </c>
      <c r="J1157" s="191"/>
      <c r="K1157" s="191">
        <v>889999.98638257501</v>
      </c>
      <c r="L1157" s="191"/>
      <c r="M1157" s="191"/>
      <c r="N1157" s="191"/>
      <c r="O1157" s="191"/>
      <c r="P1157" s="191"/>
      <c r="Q1157" s="191"/>
      <c r="R1157" s="191"/>
      <c r="S1157" s="191"/>
      <c r="T1157" s="191"/>
      <c r="U1157" s="439"/>
      <c r="V1157" s="441"/>
      <c r="W1157" s="178"/>
      <c r="X1157" s="172"/>
      <c r="Y1157" s="172"/>
      <c r="Z1157" s="172"/>
      <c r="AA1157" s="195"/>
      <c r="AB1157" s="172"/>
    </row>
    <row r="1158" spans="1:28" ht="12.75" customHeight="1" x14ac:dyDescent="0.3">
      <c r="A1158" s="667"/>
      <c r="B1158" s="668" t="s">
        <v>6360</v>
      </c>
      <c r="C1158" s="160" t="s">
        <v>6361</v>
      </c>
      <c r="D1158" s="160"/>
      <c r="E1158" s="439">
        <v>7.34</v>
      </c>
      <c r="F1158" s="161">
        <v>539.04359522799996</v>
      </c>
      <c r="G1158" s="161">
        <v>-16.984999999999999</v>
      </c>
      <c r="H1158" s="654">
        <v>4.0355369502</v>
      </c>
      <c r="I1158" s="654">
        <v>1.4375538023697401</v>
      </c>
      <c r="J1158" s="191"/>
      <c r="K1158" s="191">
        <v>563326.26419516804</v>
      </c>
      <c r="L1158" s="191"/>
      <c r="M1158" s="191"/>
      <c r="N1158" s="191"/>
      <c r="O1158" s="191"/>
      <c r="P1158" s="191"/>
      <c r="Q1158" s="191"/>
      <c r="R1158" s="191"/>
      <c r="S1158" s="191"/>
      <c r="T1158" s="191"/>
      <c r="U1158" s="439"/>
      <c r="V1158" s="441"/>
      <c r="W1158" s="178"/>
      <c r="X1158" s="172"/>
      <c r="Y1158" s="172"/>
      <c r="Z1158" s="172"/>
      <c r="AA1158" s="195"/>
      <c r="AB1158" s="172"/>
    </row>
    <row r="1159" spans="1:28" ht="12.75" customHeight="1" x14ac:dyDescent="0.3">
      <c r="A1159" s="667"/>
      <c r="B1159" s="668" t="s">
        <v>6362</v>
      </c>
      <c r="C1159" s="160" t="s">
        <v>6363</v>
      </c>
      <c r="D1159" s="160"/>
      <c r="E1159" s="439">
        <v>6.37</v>
      </c>
      <c r="F1159" s="161">
        <v>457.001730415</v>
      </c>
      <c r="G1159" s="161">
        <v>35.445</v>
      </c>
      <c r="H1159" s="654">
        <v>20.554252739999999</v>
      </c>
      <c r="I1159" s="654">
        <v>2.81784981965236</v>
      </c>
      <c r="J1159" s="191"/>
      <c r="K1159" s="191">
        <v>6766.4363362234399</v>
      </c>
      <c r="L1159" s="191"/>
      <c r="M1159" s="191"/>
      <c r="N1159" s="191"/>
      <c r="O1159" s="191"/>
      <c r="P1159" s="191"/>
      <c r="Q1159" s="191"/>
      <c r="R1159" s="191"/>
      <c r="S1159" s="191"/>
      <c r="T1159" s="191"/>
      <c r="U1159" s="439"/>
      <c r="V1159" s="441"/>
      <c r="W1159" s="178"/>
      <c r="X1159" s="172"/>
      <c r="Y1159" s="172"/>
      <c r="Z1159" s="172"/>
      <c r="AA1159" s="195"/>
      <c r="AB1159" s="172"/>
    </row>
    <row r="1160" spans="1:28" ht="12.75" customHeight="1" x14ac:dyDescent="0.3">
      <c r="A1160" s="667"/>
      <c r="B1160" s="668" t="s">
        <v>6364</v>
      </c>
      <c r="C1160" s="160" t="s">
        <v>6365</v>
      </c>
      <c r="D1160" s="160"/>
      <c r="E1160" s="439">
        <v>6.99</v>
      </c>
      <c r="F1160" s="161">
        <v>525.02794516300003</v>
      </c>
      <c r="G1160" s="161">
        <v>13.237</v>
      </c>
      <c r="H1160" s="654">
        <v>9.3734965183999996</v>
      </c>
      <c r="I1160" s="654">
        <v>0.773003893942936</v>
      </c>
      <c r="J1160" s="191"/>
      <c r="K1160" s="191">
        <v>499999.99500797398</v>
      </c>
      <c r="L1160" s="191"/>
      <c r="M1160" s="191"/>
      <c r="N1160" s="191"/>
      <c r="O1160" s="191"/>
      <c r="P1160" s="191"/>
      <c r="Q1160" s="191"/>
      <c r="R1160" s="191"/>
      <c r="S1160" s="191"/>
      <c r="T1160" s="191"/>
      <c r="U1160" s="439"/>
      <c r="V1160" s="441"/>
      <c r="W1160" s="178"/>
      <c r="X1160" s="172"/>
      <c r="Y1160" s="172"/>
      <c r="Z1160" s="172"/>
      <c r="AA1160" s="195"/>
      <c r="AB1160" s="172"/>
    </row>
    <row r="1161" spans="1:28" ht="12.75" customHeight="1" x14ac:dyDescent="0.3">
      <c r="A1161" s="667"/>
      <c r="B1161" s="668" t="s">
        <v>6366</v>
      </c>
      <c r="C1161" s="160" t="s">
        <v>6367</v>
      </c>
      <c r="D1161" s="160"/>
      <c r="E1161" s="439">
        <v>6.16</v>
      </c>
      <c r="F1161" s="161">
        <v>511.01229509900003</v>
      </c>
      <c r="G1161" s="161">
        <v>-18.591999999999999</v>
      </c>
      <c r="H1161" s="654">
        <v>11.3999242574</v>
      </c>
      <c r="I1161" s="654">
        <v>2.75062588082938</v>
      </c>
      <c r="J1161" s="191"/>
      <c r="K1161" s="191">
        <v>234460.6690815</v>
      </c>
      <c r="L1161" s="191"/>
      <c r="M1161" s="191"/>
      <c r="N1161" s="191"/>
      <c r="O1161" s="191"/>
      <c r="P1161" s="191"/>
      <c r="Q1161" s="191"/>
      <c r="R1161" s="191"/>
      <c r="S1161" s="191"/>
      <c r="T1161" s="191"/>
      <c r="U1161" s="439"/>
      <c r="V1161" s="441"/>
      <c r="W1161" s="178"/>
      <c r="X1161" s="172"/>
      <c r="Y1161" s="172"/>
      <c r="Z1161" s="172"/>
      <c r="AA1161" s="195"/>
      <c r="AB1161" s="172"/>
    </row>
    <row r="1162" spans="1:28" ht="12.75" customHeight="1" x14ac:dyDescent="0.3">
      <c r="A1162" s="667"/>
      <c r="B1162" s="668" t="s">
        <v>6368</v>
      </c>
      <c r="C1162" s="160" t="s">
        <v>6369</v>
      </c>
      <c r="D1162" s="160"/>
      <c r="E1162" s="439">
        <v>-0.43</v>
      </c>
      <c r="F1162" s="161">
        <v>484.99664503499997</v>
      </c>
      <c r="G1162" s="161">
        <v>48.378</v>
      </c>
      <c r="H1162" s="654">
        <v>2.060158205</v>
      </c>
      <c r="I1162" s="654">
        <v>2.5511648023137501</v>
      </c>
      <c r="J1162" s="191"/>
      <c r="K1162" s="191">
        <v>246547.15760611001</v>
      </c>
      <c r="L1162" s="191"/>
      <c r="M1162" s="191"/>
      <c r="N1162" s="191"/>
      <c r="O1162" s="191"/>
      <c r="P1162" s="191"/>
      <c r="Q1162" s="191"/>
      <c r="R1162" s="191"/>
      <c r="S1162" s="191"/>
      <c r="T1162" s="191"/>
      <c r="U1162" s="439"/>
      <c r="V1162" s="441"/>
      <c r="W1162" s="178"/>
      <c r="X1162" s="172"/>
      <c r="Y1162" s="172"/>
      <c r="Z1162" s="172"/>
      <c r="AA1162" s="195"/>
      <c r="AB1162" s="172"/>
    </row>
    <row r="1163" spans="1:28" ht="12.75" customHeight="1" x14ac:dyDescent="0.3">
      <c r="A1163" s="667"/>
      <c r="B1163" s="668" t="s">
        <v>6370</v>
      </c>
      <c r="C1163" s="160" t="s">
        <v>6371</v>
      </c>
      <c r="D1163" s="160"/>
      <c r="E1163" s="439">
        <v>3.39</v>
      </c>
      <c r="F1163" s="161">
        <v>513.02794516300003</v>
      </c>
      <c r="G1163" s="161">
        <v>-10.068</v>
      </c>
      <c r="H1163" s="654">
        <v>11.7463214778</v>
      </c>
      <c r="I1163" s="654">
        <v>1.16987814447299</v>
      </c>
      <c r="J1163" s="191"/>
      <c r="K1163" s="191">
        <v>236711.85020124199</v>
      </c>
      <c r="L1163" s="191"/>
      <c r="M1163" s="191"/>
      <c r="N1163" s="191"/>
      <c r="O1163" s="191"/>
      <c r="P1163" s="191"/>
      <c r="Q1163" s="191"/>
      <c r="R1163" s="191"/>
      <c r="S1163" s="191"/>
      <c r="T1163" s="191"/>
      <c r="U1163" s="439"/>
      <c r="V1163" s="441"/>
      <c r="W1163" s="178"/>
      <c r="X1163" s="172"/>
      <c r="Y1163" s="172"/>
      <c r="Z1163" s="172"/>
      <c r="AA1163" s="195"/>
      <c r="AB1163" s="172"/>
    </row>
    <row r="1164" spans="1:28" ht="12.75" customHeight="1" x14ac:dyDescent="0.3">
      <c r="A1164" s="667"/>
      <c r="B1164" s="668" t="s">
        <v>6372</v>
      </c>
      <c r="C1164" s="160" t="s">
        <v>6373</v>
      </c>
      <c r="D1164" s="160"/>
      <c r="E1164" s="439">
        <v>-14.9</v>
      </c>
      <c r="F1164" s="161">
        <v>556.07014432799997</v>
      </c>
      <c r="G1164" s="161">
        <v>95.414000000000001</v>
      </c>
      <c r="H1164" s="654"/>
      <c r="I1164" s="654"/>
      <c r="J1164" s="191"/>
      <c r="K1164" s="191">
        <v>9499.2649275870699</v>
      </c>
      <c r="L1164" s="191"/>
      <c r="M1164" s="191"/>
      <c r="N1164" s="191"/>
      <c r="O1164" s="191"/>
      <c r="P1164" s="191"/>
      <c r="Q1164" s="191"/>
      <c r="R1164" s="191"/>
      <c r="S1164" s="191"/>
      <c r="T1164" s="191"/>
      <c r="U1164" s="439"/>
      <c r="V1164" s="441"/>
      <c r="W1164" s="178"/>
      <c r="X1164" s="172"/>
      <c r="Y1164" s="172"/>
      <c r="Z1164" s="172"/>
      <c r="AA1164" s="195"/>
      <c r="AB1164" s="172"/>
    </row>
    <row r="1165" spans="1:28" ht="12.75" customHeight="1" x14ac:dyDescent="0.3">
      <c r="A1165" s="667"/>
      <c r="B1165" s="668" t="s">
        <v>6374</v>
      </c>
      <c r="C1165" s="160" t="s">
        <v>6375</v>
      </c>
      <c r="D1165" s="160"/>
      <c r="E1165" s="439"/>
      <c r="F1165" s="161">
        <v>650.07899493599996</v>
      </c>
      <c r="G1165" s="161"/>
      <c r="H1165" s="654"/>
      <c r="I1165" s="654"/>
      <c r="J1165" s="191"/>
      <c r="K1165" s="191">
        <v>26427.7384480156</v>
      </c>
      <c r="L1165" s="191"/>
      <c r="M1165" s="191"/>
      <c r="N1165" s="191"/>
      <c r="O1165" s="191"/>
      <c r="P1165" s="191"/>
      <c r="Q1165" s="191"/>
      <c r="R1165" s="191"/>
      <c r="S1165" s="191"/>
      <c r="T1165" s="191"/>
      <c r="U1165" s="439"/>
      <c r="V1165" s="441"/>
      <c r="W1165" s="178"/>
      <c r="X1165" s="172"/>
      <c r="Y1165" s="172"/>
      <c r="Z1165" s="172"/>
      <c r="AA1165" s="195"/>
      <c r="AB1165" s="172"/>
    </row>
    <row r="1166" spans="1:28" ht="12.75" customHeight="1" x14ac:dyDescent="0.3">
      <c r="A1166" s="667"/>
      <c r="B1166" s="668" t="s">
        <v>6376</v>
      </c>
      <c r="C1166" s="160" t="s">
        <v>6377</v>
      </c>
      <c r="D1166" s="160"/>
      <c r="E1166" s="439">
        <v>5.63</v>
      </c>
      <c r="F1166" s="161">
        <v>471.017380479</v>
      </c>
      <c r="G1166" s="161">
        <v>22.613</v>
      </c>
      <c r="H1166" s="654">
        <v>13.548848249999899</v>
      </c>
      <c r="I1166" s="654">
        <v>2.0466176199192998</v>
      </c>
      <c r="J1166" s="191"/>
      <c r="K1166" s="191">
        <v>26302.6799189538</v>
      </c>
      <c r="L1166" s="191"/>
      <c r="M1166" s="191"/>
      <c r="N1166" s="191"/>
      <c r="O1166" s="191"/>
      <c r="P1166" s="191"/>
      <c r="Q1166" s="191"/>
      <c r="R1166" s="191"/>
      <c r="S1166" s="191"/>
      <c r="T1166" s="191"/>
      <c r="U1166" s="439"/>
      <c r="V1166" s="441"/>
      <c r="W1166" s="178"/>
      <c r="X1166" s="172"/>
      <c r="Y1166" s="172"/>
      <c r="Z1166" s="172"/>
      <c r="AA1166" s="195"/>
      <c r="AB1166" s="172"/>
    </row>
    <row r="1167" spans="1:28" ht="12.75" customHeight="1" x14ac:dyDescent="0.3">
      <c r="A1167" s="667"/>
      <c r="B1167" s="668" t="s">
        <v>6378</v>
      </c>
      <c r="C1167" s="160" t="s">
        <v>6379</v>
      </c>
      <c r="D1167" s="160"/>
      <c r="E1167" s="439">
        <v>1.6</v>
      </c>
      <c r="F1167" s="161">
        <v>550.98371136900005</v>
      </c>
      <c r="G1167" s="161">
        <v>34.939</v>
      </c>
      <c r="H1167" s="654"/>
      <c r="I1167" s="654">
        <v>2.97946645857632</v>
      </c>
      <c r="J1167" s="191"/>
      <c r="K1167" s="191">
        <v>43816.733686717896</v>
      </c>
      <c r="L1167" s="191"/>
      <c r="M1167" s="191"/>
      <c r="N1167" s="191"/>
      <c r="O1167" s="191"/>
      <c r="P1167" s="191"/>
      <c r="Q1167" s="191"/>
      <c r="R1167" s="191"/>
      <c r="S1167" s="191"/>
      <c r="T1167" s="191"/>
      <c r="U1167" s="439"/>
      <c r="V1167" s="441"/>
      <c r="W1167" s="178"/>
      <c r="X1167" s="172"/>
      <c r="Y1167" s="172"/>
      <c r="Z1167" s="172"/>
      <c r="AA1167" s="195"/>
      <c r="AB1167" s="172"/>
    </row>
    <row r="1168" spans="1:28" ht="12.75" customHeight="1" x14ac:dyDescent="0.3">
      <c r="A1168" s="667"/>
      <c r="B1168" s="668" t="s">
        <v>6380</v>
      </c>
      <c r="C1168" s="160" t="s">
        <v>6381</v>
      </c>
      <c r="D1168" s="160"/>
      <c r="E1168" s="439">
        <v>6.66</v>
      </c>
      <c r="F1168" s="161">
        <v>539.04359522799996</v>
      </c>
      <c r="G1168" s="161">
        <v>14.041</v>
      </c>
      <c r="H1168" s="654">
        <v>5.5705931260000003</v>
      </c>
      <c r="I1168" s="654">
        <v>0.55798558716431101</v>
      </c>
      <c r="J1168" s="191"/>
      <c r="K1168" s="191">
        <v>618443.45822712698</v>
      </c>
      <c r="L1168" s="191"/>
      <c r="M1168" s="191"/>
      <c r="N1168" s="191"/>
      <c r="O1168" s="191"/>
      <c r="P1168" s="191"/>
      <c r="Q1168" s="191"/>
      <c r="R1168" s="191"/>
      <c r="S1168" s="191"/>
      <c r="T1168" s="191"/>
      <c r="U1168" s="439"/>
      <c r="V1168" s="441"/>
      <c r="W1168" s="178"/>
      <c r="X1168" s="172"/>
      <c r="Y1168" s="172"/>
      <c r="Z1168" s="172"/>
      <c r="AA1168" s="195"/>
      <c r="AB1168" s="172"/>
    </row>
    <row r="1169" spans="1:28" ht="12.75" customHeight="1" x14ac:dyDescent="0.3">
      <c r="A1169" s="667"/>
      <c r="B1169" s="668" t="s">
        <v>6382</v>
      </c>
      <c r="C1169" s="160" t="s">
        <v>6383</v>
      </c>
      <c r="D1169" s="160"/>
      <c r="E1169" s="439">
        <v>5.82</v>
      </c>
      <c r="F1169" s="161">
        <v>525.02794516300003</v>
      </c>
      <c r="G1169" s="161">
        <v>-17.788</v>
      </c>
      <c r="H1169" s="654">
        <v>6.7905027581999997</v>
      </c>
      <c r="I1169" s="654">
        <v>1.9915097501950301</v>
      </c>
      <c r="J1169" s="191"/>
      <c r="K1169" s="191">
        <v>377754.80741396197</v>
      </c>
      <c r="L1169" s="191"/>
      <c r="M1169" s="191"/>
      <c r="N1169" s="191"/>
      <c r="O1169" s="191"/>
      <c r="P1169" s="191"/>
      <c r="Q1169" s="191"/>
      <c r="R1169" s="191"/>
      <c r="S1169" s="191"/>
      <c r="T1169" s="191"/>
      <c r="U1169" s="439"/>
      <c r="V1169" s="441"/>
      <c r="W1169" s="178"/>
      <c r="X1169" s="172"/>
      <c r="Y1169" s="172"/>
      <c r="Z1169" s="172"/>
      <c r="AA1169" s="195"/>
      <c r="AB1169" s="172"/>
    </row>
    <row r="1170" spans="1:28" ht="12.75" customHeight="1" x14ac:dyDescent="0.3">
      <c r="A1170" s="667"/>
      <c r="B1170" s="668" t="s">
        <v>6384</v>
      </c>
      <c r="C1170" s="160" t="s">
        <v>6385</v>
      </c>
      <c r="D1170" s="160"/>
      <c r="E1170" s="439">
        <v>8.6300000000000008</v>
      </c>
      <c r="F1170" s="161">
        <v>435.03622421699998</v>
      </c>
      <c r="G1170" s="161">
        <v>43.698</v>
      </c>
      <c r="H1170" s="654">
        <v>6.1787680934000004</v>
      </c>
      <c r="I1170" s="654">
        <v>3.3000890889408301</v>
      </c>
      <c r="J1170" s="191"/>
      <c r="K1170" s="191">
        <v>1434.8945960492099</v>
      </c>
      <c r="L1170" s="191"/>
      <c r="M1170" s="191"/>
      <c r="N1170" s="191"/>
      <c r="O1170" s="191"/>
      <c r="P1170" s="191"/>
      <c r="Q1170" s="191"/>
      <c r="R1170" s="191"/>
      <c r="S1170" s="191"/>
      <c r="T1170" s="191"/>
      <c r="U1170" s="439"/>
      <c r="V1170" s="441"/>
      <c r="W1170" s="178"/>
      <c r="X1170" s="172"/>
      <c r="Y1170" s="172"/>
      <c r="Z1170" s="172"/>
      <c r="AA1170" s="195"/>
      <c r="AB1170" s="172"/>
    </row>
    <row r="1171" spans="1:28" ht="12.75" customHeight="1" x14ac:dyDescent="0.3">
      <c r="A1171" s="667"/>
      <c r="B1171" s="668" t="s">
        <v>6386</v>
      </c>
      <c r="C1171" s="160" t="s">
        <v>6387</v>
      </c>
      <c r="D1171" s="160"/>
      <c r="E1171" s="439"/>
      <c r="F1171" s="161">
        <v>503.062438966</v>
      </c>
      <c r="G1171" s="161">
        <v>16.628</v>
      </c>
      <c r="H1171" s="654">
        <v>4.4555545790000002</v>
      </c>
      <c r="I1171" s="654">
        <v>0.91121711819667395</v>
      </c>
      <c r="J1171" s="191"/>
      <c r="K1171" s="191">
        <v>589399.82151676295</v>
      </c>
      <c r="L1171" s="191"/>
      <c r="M1171" s="191"/>
      <c r="N1171" s="191"/>
      <c r="O1171" s="191"/>
      <c r="P1171" s="191"/>
      <c r="Q1171" s="191"/>
      <c r="R1171" s="191"/>
      <c r="S1171" s="191"/>
      <c r="T1171" s="191"/>
      <c r="U1171" s="439"/>
      <c r="V1171" s="441"/>
      <c r="W1171" s="178"/>
      <c r="X1171" s="172"/>
      <c r="Y1171" s="172"/>
      <c r="Z1171" s="172"/>
      <c r="AA1171" s="195"/>
      <c r="AB1171" s="172"/>
    </row>
    <row r="1172" spans="1:28" ht="12.75" customHeight="1" x14ac:dyDescent="0.3">
      <c r="A1172" s="667"/>
      <c r="B1172" s="668" t="s">
        <v>6388</v>
      </c>
      <c r="C1172" s="160" t="s">
        <v>6389</v>
      </c>
      <c r="D1172" s="160"/>
      <c r="E1172" s="439"/>
      <c r="F1172" s="161">
        <v>489.046788902</v>
      </c>
      <c r="G1172" s="161">
        <v>35.381999999999998</v>
      </c>
      <c r="H1172" s="654">
        <v>5.431271636</v>
      </c>
      <c r="I1172" s="654">
        <v>3.2385509740631502</v>
      </c>
      <c r="J1172" s="191"/>
      <c r="K1172" s="191">
        <v>396451.44032441301</v>
      </c>
      <c r="L1172" s="191"/>
      <c r="M1172" s="191"/>
      <c r="N1172" s="191"/>
      <c r="O1172" s="191"/>
      <c r="P1172" s="191"/>
      <c r="Q1172" s="191"/>
      <c r="R1172" s="191"/>
      <c r="S1172" s="191"/>
      <c r="T1172" s="191"/>
      <c r="U1172" s="439"/>
      <c r="V1172" s="441"/>
      <c r="W1172" s="178"/>
      <c r="X1172" s="172"/>
      <c r="Y1172" s="172"/>
      <c r="Z1172" s="172"/>
      <c r="AA1172" s="195"/>
      <c r="AB1172" s="172"/>
    </row>
    <row r="1173" spans="1:28" ht="12.75" customHeight="1" x14ac:dyDescent="0.3">
      <c r="A1173" s="667"/>
      <c r="B1173" s="668" t="s">
        <v>6390</v>
      </c>
      <c r="C1173" s="160" t="s">
        <v>6391</v>
      </c>
      <c r="D1173" s="160"/>
      <c r="E1173" s="439">
        <v>7.06</v>
      </c>
      <c r="F1173" s="161">
        <v>475.03113883700001</v>
      </c>
      <c r="G1173" s="161">
        <v>15.021000000000001</v>
      </c>
      <c r="H1173" s="654">
        <v>12.615420931399999</v>
      </c>
      <c r="I1173" s="654">
        <v>1.7366900920311299</v>
      </c>
      <c r="J1173" s="191"/>
      <c r="K1173" s="191">
        <v>181555.74670474301</v>
      </c>
      <c r="L1173" s="191"/>
      <c r="M1173" s="191"/>
      <c r="N1173" s="191"/>
      <c r="O1173" s="191"/>
      <c r="P1173" s="191"/>
      <c r="Q1173" s="191"/>
      <c r="R1173" s="191"/>
      <c r="S1173" s="191"/>
      <c r="T1173" s="191"/>
      <c r="U1173" s="439"/>
      <c r="V1173" s="441"/>
      <c r="W1173" s="178"/>
      <c r="X1173" s="172"/>
      <c r="Y1173" s="172"/>
      <c r="Z1173" s="172"/>
      <c r="AA1173" s="195"/>
      <c r="AB1173" s="172"/>
    </row>
    <row r="1174" spans="1:28" ht="12.75" customHeight="1" x14ac:dyDescent="0.3">
      <c r="A1174" s="667"/>
      <c r="B1174" s="668" t="s">
        <v>6392</v>
      </c>
      <c r="C1174" s="160" t="s">
        <v>6393</v>
      </c>
      <c r="D1174" s="160"/>
      <c r="E1174" s="439">
        <v>-0.77</v>
      </c>
      <c r="F1174" s="161">
        <v>434.99983870900002</v>
      </c>
      <c r="G1174" s="161">
        <v>69.936000000000007</v>
      </c>
      <c r="H1174" s="654">
        <v>2.17221534599999</v>
      </c>
      <c r="I1174" s="654">
        <v>5.6818373932653401</v>
      </c>
      <c r="J1174" s="191"/>
      <c r="K1174" s="191">
        <v>21939.1602313816</v>
      </c>
      <c r="L1174" s="191"/>
      <c r="M1174" s="191"/>
      <c r="N1174" s="191"/>
      <c r="O1174" s="191"/>
      <c r="P1174" s="191"/>
      <c r="Q1174" s="191"/>
      <c r="R1174" s="191"/>
      <c r="S1174" s="191"/>
      <c r="T1174" s="191"/>
      <c r="U1174" s="439"/>
      <c r="V1174" s="441"/>
      <c r="W1174" s="178"/>
      <c r="X1174" s="172"/>
      <c r="Y1174" s="172"/>
      <c r="Z1174" s="172"/>
      <c r="AA1174" s="195"/>
      <c r="AB1174" s="172"/>
    </row>
    <row r="1175" spans="1:28" ht="12.75" customHeight="1" x14ac:dyDescent="0.3">
      <c r="A1175" s="667"/>
      <c r="B1175" s="668" t="s">
        <v>6394</v>
      </c>
      <c r="C1175" s="160" t="s">
        <v>6395</v>
      </c>
      <c r="D1175" s="160"/>
      <c r="E1175" s="439">
        <v>3.37</v>
      </c>
      <c r="F1175" s="161">
        <v>463.03113883700001</v>
      </c>
      <c r="G1175" s="161">
        <v>-8.2840000000000007</v>
      </c>
      <c r="H1175" s="654">
        <v>10.517239291999999</v>
      </c>
      <c r="I1175" s="654">
        <v>2.6218628902392398</v>
      </c>
      <c r="J1175" s="191"/>
      <c r="K1175" s="191">
        <v>144543.977074592</v>
      </c>
      <c r="L1175" s="191"/>
      <c r="M1175" s="191"/>
      <c r="N1175" s="191"/>
      <c r="O1175" s="191"/>
      <c r="P1175" s="191"/>
      <c r="Q1175" s="191"/>
      <c r="R1175" s="191"/>
      <c r="S1175" s="191"/>
      <c r="T1175" s="191"/>
      <c r="U1175" s="439"/>
      <c r="V1175" s="441"/>
      <c r="W1175" s="178"/>
      <c r="X1175" s="172"/>
      <c r="Y1175" s="172"/>
      <c r="Z1175" s="172"/>
      <c r="AA1175" s="195"/>
      <c r="AB1175" s="172"/>
    </row>
    <row r="1176" spans="1:28" ht="12.75" customHeight="1" x14ac:dyDescent="0.3">
      <c r="A1176" s="667"/>
      <c r="B1176" s="668" t="s">
        <v>6396</v>
      </c>
      <c r="C1176" s="160" t="s">
        <v>6397</v>
      </c>
      <c r="D1176" s="160"/>
      <c r="E1176" s="439">
        <v>1.35</v>
      </c>
      <c r="F1176" s="161">
        <v>500.98690504299998</v>
      </c>
      <c r="G1176" s="161">
        <v>36.722000000000001</v>
      </c>
      <c r="H1176" s="654"/>
      <c r="I1176" s="654">
        <v>6.7425823602117196</v>
      </c>
      <c r="J1176" s="191"/>
      <c r="K1176" s="191">
        <v>471.986959822671</v>
      </c>
      <c r="L1176" s="191"/>
      <c r="M1176" s="191"/>
      <c r="N1176" s="191"/>
      <c r="O1176" s="191"/>
      <c r="P1176" s="191"/>
      <c r="Q1176" s="191"/>
      <c r="R1176" s="191"/>
      <c r="S1176" s="191"/>
      <c r="T1176" s="191"/>
      <c r="U1176" s="439"/>
      <c r="V1176" s="441"/>
      <c r="W1176" s="178"/>
      <c r="X1176" s="172"/>
      <c r="Y1176" s="172"/>
      <c r="Z1176" s="172"/>
      <c r="AA1176" s="195"/>
      <c r="AB1176" s="172"/>
    </row>
    <row r="1177" spans="1:28" ht="12.75" customHeight="1" x14ac:dyDescent="0.3">
      <c r="A1177" s="667"/>
      <c r="B1177" s="668" t="s">
        <v>6398</v>
      </c>
      <c r="C1177" s="160" t="s">
        <v>6399</v>
      </c>
      <c r="D1177" s="160"/>
      <c r="E1177" s="439"/>
      <c r="F1177" s="161">
        <v>489.046788902</v>
      </c>
      <c r="G1177" s="161">
        <v>15.824</v>
      </c>
      <c r="H1177" s="654">
        <v>7.4972426802000003</v>
      </c>
      <c r="I1177" s="654">
        <v>1.2570458661937001</v>
      </c>
      <c r="J1177" s="191"/>
      <c r="K1177" s="191">
        <v>391705.79800905101</v>
      </c>
      <c r="L1177" s="191"/>
      <c r="M1177" s="191"/>
      <c r="N1177" s="191"/>
      <c r="O1177" s="191"/>
      <c r="P1177" s="191"/>
      <c r="Q1177" s="191"/>
      <c r="R1177" s="191"/>
      <c r="S1177" s="191"/>
      <c r="T1177" s="191"/>
      <c r="U1177" s="439"/>
      <c r="V1177" s="441"/>
      <c r="W1177" s="178"/>
      <c r="X1177" s="172"/>
      <c r="Y1177" s="172"/>
      <c r="Z1177" s="172"/>
      <c r="AA1177" s="195"/>
      <c r="AB1177" s="172"/>
    </row>
    <row r="1178" spans="1:28" ht="12.75" customHeight="1" x14ac:dyDescent="0.3">
      <c r="A1178" s="667"/>
      <c r="B1178" s="668" t="s">
        <v>6400</v>
      </c>
      <c r="C1178" s="160" t="s">
        <v>6401</v>
      </c>
      <c r="D1178" s="160"/>
      <c r="E1178" s="439">
        <v>5.89</v>
      </c>
      <c r="F1178" s="161">
        <v>475.03113883700001</v>
      </c>
      <c r="G1178" s="161">
        <v>34.579000000000001</v>
      </c>
      <c r="H1178" s="654">
        <v>9.13906311359999</v>
      </c>
      <c r="I1178" s="654">
        <v>4.4742707935918196</v>
      </c>
      <c r="J1178" s="191"/>
      <c r="K1178" s="191">
        <v>145975.50958436701</v>
      </c>
      <c r="L1178" s="191"/>
      <c r="M1178" s="191"/>
      <c r="N1178" s="191"/>
      <c r="O1178" s="191"/>
      <c r="P1178" s="191"/>
      <c r="Q1178" s="191"/>
      <c r="R1178" s="191"/>
      <c r="S1178" s="191"/>
      <c r="T1178" s="191"/>
      <c r="U1178" s="439"/>
      <c r="V1178" s="441"/>
      <c r="W1178" s="178"/>
      <c r="X1178" s="172"/>
      <c r="Y1178" s="172"/>
      <c r="Z1178" s="172"/>
      <c r="AA1178" s="195"/>
      <c r="AB1178" s="172"/>
    </row>
    <row r="1179" spans="1:28" ht="12.75" customHeight="1" x14ac:dyDescent="0.3">
      <c r="A1179" s="667"/>
      <c r="B1179" s="668" t="s">
        <v>6402</v>
      </c>
      <c r="C1179" s="160" t="s">
        <v>6403</v>
      </c>
      <c r="D1179" s="160"/>
      <c r="E1179" s="439">
        <v>8.33</v>
      </c>
      <c r="F1179" s="161">
        <v>385.03941789100003</v>
      </c>
      <c r="G1179" s="161">
        <v>92.320999999999998</v>
      </c>
      <c r="H1179" s="654">
        <v>2.1424045467999999</v>
      </c>
      <c r="I1179" s="654">
        <v>20.5828211385484</v>
      </c>
      <c r="J1179" s="191"/>
      <c r="K1179" s="191">
        <v>621.69875834884704</v>
      </c>
      <c r="L1179" s="191"/>
      <c r="M1179" s="191"/>
      <c r="N1179" s="191"/>
      <c r="O1179" s="191"/>
      <c r="P1179" s="191"/>
      <c r="Q1179" s="191"/>
      <c r="R1179" s="191"/>
      <c r="S1179" s="191"/>
      <c r="T1179" s="191"/>
      <c r="U1179" s="439"/>
      <c r="V1179" s="441"/>
      <c r="W1179" s="178"/>
      <c r="X1179" s="172"/>
      <c r="Y1179" s="172"/>
      <c r="Z1179" s="172"/>
      <c r="AA1179" s="195"/>
      <c r="AB1179" s="172"/>
    </row>
    <row r="1180" spans="1:28" ht="12.75" customHeight="1" x14ac:dyDescent="0.3">
      <c r="A1180" s="667"/>
      <c r="B1180" s="668" t="s">
        <v>6404</v>
      </c>
      <c r="C1180" s="160" t="s">
        <v>6405</v>
      </c>
      <c r="D1180" s="160"/>
      <c r="E1180" s="439">
        <v>8.09</v>
      </c>
      <c r="F1180" s="161">
        <v>453.06563263999999</v>
      </c>
      <c r="G1180" s="161">
        <v>72.625</v>
      </c>
      <c r="H1180" s="654">
        <v>1.2103251136199999</v>
      </c>
      <c r="I1180" s="654">
        <v>1.0475149266016299</v>
      </c>
      <c r="J1180" s="191"/>
      <c r="K1180" s="191">
        <v>92422.986939167095</v>
      </c>
      <c r="L1180" s="191"/>
      <c r="M1180" s="191"/>
      <c r="N1180" s="191"/>
      <c r="O1180" s="191"/>
      <c r="P1180" s="191"/>
      <c r="Q1180" s="191"/>
      <c r="R1180" s="191"/>
      <c r="S1180" s="191"/>
      <c r="T1180" s="191"/>
      <c r="U1180" s="439"/>
      <c r="V1180" s="441"/>
      <c r="W1180" s="178"/>
      <c r="X1180" s="172"/>
      <c r="Y1180" s="172"/>
      <c r="Z1180" s="172"/>
      <c r="AA1180" s="195"/>
      <c r="AB1180" s="172"/>
    </row>
    <row r="1181" spans="1:28" ht="12.75" customHeight="1" x14ac:dyDescent="0.3">
      <c r="A1181" s="667"/>
      <c r="B1181" s="668" t="s">
        <v>6406</v>
      </c>
      <c r="C1181" s="160" t="s">
        <v>6407</v>
      </c>
      <c r="D1181" s="160"/>
      <c r="E1181" s="439">
        <v>7.31</v>
      </c>
      <c r="F1181" s="161">
        <v>439.04998257599999</v>
      </c>
      <c r="G1181" s="161">
        <v>4.4989999999999997</v>
      </c>
      <c r="H1181" s="654">
        <v>1.4753679164</v>
      </c>
      <c r="I1181" s="654">
        <v>3.7111973022185798</v>
      </c>
      <c r="J1181" s="191"/>
      <c r="K1181" s="191">
        <v>35776.676993611101</v>
      </c>
      <c r="L1181" s="191"/>
      <c r="M1181" s="191"/>
      <c r="N1181" s="191"/>
      <c r="O1181" s="191"/>
      <c r="P1181" s="191"/>
      <c r="Q1181" s="191"/>
      <c r="R1181" s="191"/>
      <c r="S1181" s="191"/>
      <c r="T1181" s="191"/>
      <c r="U1181" s="439"/>
      <c r="V1181" s="441"/>
      <c r="W1181" s="178"/>
      <c r="X1181" s="172"/>
      <c r="Y1181" s="172"/>
      <c r="Z1181" s="172"/>
      <c r="AA1181" s="195"/>
      <c r="AB1181" s="172"/>
    </row>
    <row r="1182" spans="1:28" ht="12.75" customHeight="1" x14ac:dyDescent="0.3">
      <c r="A1182" s="667"/>
      <c r="B1182" s="668" t="s">
        <v>6408</v>
      </c>
      <c r="C1182" s="160" t="s">
        <v>6409</v>
      </c>
      <c r="D1182" s="160"/>
      <c r="E1182" s="439"/>
      <c r="F1182" s="161">
        <v>425.034332511</v>
      </c>
      <c r="G1182" s="161">
        <v>71.018000000000001</v>
      </c>
      <c r="H1182" s="654">
        <v>3.4269086880000001</v>
      </c>
      <c r="I1182" s="654">
        <v>3.8585509277446799</v>
      </c>
      <c r="J1182" s="191"/>
      <c r="K1182" s="191">
        <v>35287.427591530002</v>
      </c>
      <c r="L1182" s="191"/>
      <c r="M1182" s="191"/>
      <c r="N1182" s="191"/>
      <c r="O1182" s="191"/>
      <c r="P1182" s="191"/>
      <c r="Q1182" s="191"/>
      <c r="R1182" s="191"/>
      <c r="S1182" s="191"/>
      <c r="T1182" s="191"/>
      <c r="U1182" s="439"/>
      <c r="V1182" s="441"/>
      <c r="W1182" s="178"/>
      <c r="X1182" s="172"/>
      <c r="Y1182" s="172"/>
      <c r="Z1182" s="172"/>
      <c r="AA1182" s="195"/>
      <c r="AB1182" s="172"/>
    </row>
    <row r="1183" spans="1:28" ht="12.75" customHeight="1" x14ac:dyDescent="0.3">
      <c r="A1183" s="667"/>
      <c r="B1183" s="668" t="s">
        <v>6410</v>
      </c>
      <c r="C1183" s="160" t="s">
        <v>6411</v>
      </c>
      <c r="D1183" s="160"/>
      <c r="E1183" s="439">
        <v>-0.77</v>
      </c>
      <c r="F1183" s="161">
        <v>385.003032383</v>
      </c>
      <c r="G1183" s="161">
        <v>66.549000000000007</v>
      </c>
      <c r="H1183" s="654">
        <v>2.0840228430000001</v>
      </c>
      <c r="I1183" s="654">
        <v>230.39043461437501</v>
      </c>
      <c r="J1183" s="191"/>
      <c r="K1183" s="191">
        <v>3212.1809339879801</v>
      </c>
      <c r="L1183" s="191"/>
      <c r="M1183" s="191"/>
      <c r="N1183" s="191"/>
      <c r="O1183" s="191"/>
      <c r="P1183" s="191"/>
      <c r="Q1183" s="191"/>
      <c r="R1183" s="191"/>
      <c r="S1183" s="191"/>
      <c r="T1183" s="191"/>
      <c r="U1183" s="439"/>
      <c r="V1183" s="441"/>
      <c r="W1183" s="178"/>
      <c r="X1183" s="172"/>
      <c r="Y1183" s="172"/>
      <c r="Z1183" s="172"/>
      <c r="AA1183" s="195"/>
      <c r="AB1183" s="172"/>
    </row>
    <row r="1184" spans="1:28" ht="12.75" customHeight="1" x14ac:dyDescent="0.3">
      <c r="A1184" s="667"/>
      <c r="B1184" s="668" t="s">
        <v>6412</v>
      </c>
      <c r="C1184" s="160" t="s">
        <v>6413</v>
      </c>
      <c r="D1184" s="160"/>
      <c r="E1184" s="439">
        <v>3.33</v>
      </c>
      <c r="F1184" s="161">
        <v>413.034332511</v>
      </c>
      <c r="G1184" s="161">
        <v>39.165999999999997</v>
      </c>
      <c r="H1184" s="654">
        <v>3.5884016266000001</v>
      </c>
      <c r="I1184" s="654">
        <v>5.8074692322709103</v>
      </c>
      <c r="J1184" s="191"/>
      <c r="K1184" s="191">
        <v>14921.758262707201</v>
      </c>
      <c r="L1184" s="191"/>
      <c r="M1184" s="191"/>
      <c r="N1184" s="191"/>
      <c r="O1184" s="191"/>
      <c r="P1184" s="191"/>
      <c r="Q1184" s="191"/>
      <c r="R1184" s="191"/>
      <c r="S1184" s="191"/>
      <c r="T1184" s="191"/>
      <c r="U1184" s="439"/>
      <c r="V1184" s="441"/>
      <c r="W1184" s="178"/>
      <c r="X1184" s="172"/>
      <c r="Y1184" s="172"/>
      <c r="Z1184" s="172"/>
      <c r="AA1184" s="195"/>
      <c r="AB1184" s="172"/>
    </row>
    <row r="1185" spans="1:28" ht="12.75" customHeight="1" x14ac:dyDescent="0.3">
      <c r="A1185" s="667"/>
      <c r="B1185" s="668" t="s">
        <v>6414</v>
      </c>
      <c r="C1185" s="160" t="s">
        <v>6415</v>
      </c>
      <c r="D1185" s="160"/>
      <c r="E1185" s="439">
        <v>-9.6820000000000004</v>
      </c>
      <c r="F1185" s="161">
        <v>804.00330185999997</v>
      </c>
      <c r="G1185" s="161">
        <v>62.226999999999997</v>
      </c>
      <c r="H1185" s="654"/>
      <c r="I1185" s="654">
        <v>0.31641549944700298</v>
      </c>
      <c r="J1185" s="191"/>
      <c r="K1185" s="191">
        <v>149200.40430688599</v>
      </c>
      <c r="L1185" s="191"/>
      <c r="M1185" s="191"/>
      <c r="N1185" s="191"/>
      <c r="O1185" s="191"/>
      <c r="P1185" s="191"/>
      <c r="Q1185" s="191"/>
      <c r="R1185" s="191"/>
      <c r="S1185" s="191"/>
      <c r="T1185" s="191"/>
      <c r="U1185" s="439"/>
      <c r="V1185" s="441"/>
      <c r="W1185" s="178"/>
      <c r="X1185" s="172"/>
      <c r="Y1185" s="172"/>
      <c r="Z1185" s="172"/>
      <c r="AA1185" s="195"/>
      <c r="AB1185" s="172"/>
    </row>
    <row r="1186" spans="1:28" ht="12.75" customHeight="1" x14ac:dyDescent="0.3">
      <c r="A1186" s="667"/>
      <c r="B1186" s="668" t="s">
        <v>6416</v>
      </c>
      <c r="C1186" s="160" t="s">
        <v>6417</v>
      </c>
      <c r="D1186" s="160"/>
      <c r="E1186" s="439">
        <v>5.45</v>
      </c>
      <c r="F1186" s="161">
        <v>371.02376782699997</v>
      </c>
      <c r="G1186" s="161">
        <v>49.533999999999999</v>
      </c>
      <c r="H1186" s="654">
        <v>11.063739502200001</v>
      </c>
      <c r="I1186" s="654">
        <v>189.84618356925401</v>
      </c>
      <c r="J1186" s="191"/>
      <c r="K1186" s="191">
        <v>321.55850436376397</v>
      </c>
      <c r="L1186" s="191"/>
      <c r="M1186" s="191"/>
      <c r="N1186" s="191"/>
      <c r="O1186" s="191"/>
      <c r="P1186" s="191"/>
      <c r="Q1186" s="191"/>
      <c r="R1186" s="191"/>
      <c r="S1186" s="191"/>
      <c r="T1186" s="191"/>
      <c r="U1186" s="439"/>
      <c r="V1186" s="441"/>
      <c r="W1186" s="178"/>
      <c r="X1186" s="172"/>
      <c r="Y1186" s="172"/>
      <c r="Z1186" s="172"/>
      <c r="AA1186" s="195"/>
      <c r="AB1186" s="172"/>
    </row>
    <row r="1187" spans="1:28" ht="12.6" customHeight="1" x14ac:dyDescent="0.3">
      <c r="A1187" s="667"/>
      <c r="B1187" s="668" t="s">
        <v>6418</v>
      </c>
      <c r="C1187" s="160" t="s">
        <v>6419</v>
      </c>
      <c r="D1187" s="160"/>
      <c r="E1187" s="439">
        <v>1.52</v>
      </c>
      <c r="F1187" s="161">
        <v>450.99009871700002</v>
      </c>
      <c r="G1187" s="161">
        <v>50.338999999999999</v>
      </c>
      <c r="H1187" s="654"/>
      <c r="I1187" s="654">
        <v>15.0718636040727</v>
      </c>
      <c r="J1187" s="191"/>
      <c r="K1187" s="191">
        <v>9.3424546848236805</v>
      </c>
      <c r="L1187" s="191"/>
      <c r="M1187" s="191"/>
      <c r="N1187" s="191"/>
      <c r="O1187" s="191"/>
      <c r="P1187" s="191"/>
      <c r="Q1187" s="191"/>
      <c r="R1187" s="191"/>
      <c r="S1187" s="191"/>
      <c r="T1187" s="191"/>
      <c r="U1187" s="439"/>
      <c r="V1187" s="441"/>
      <c r="W1187" s="178"/>
      <c r="X1187" s="172"/>
      <c r="Y1187" s="172"/>
      <c r="Z1187" s="172"/>
      <c r="AA1187" s="195"/>
      <c r="AB1187" s="172"/>
    </row>
    <row r="1188" spans="1:28" ht="12.75" customHeight="1" x14ac:dyDescent="0.3">
      <c r="A1188" s="667"/>
      <c r="B1188" s="668" t="s">
        <v>6420</v>
      </c>
      <c r="C1188" s="160" t="s">
        <v>6421</v>
      </c>
      <c r="D1188" s="160"/>
      <c r="E1188" s="439">
        <v>6.72</v>
      </c>
      <c r="F1188" s="161">
        <v>439.04998257599999</v>
      </c>
      <c r="G1188" s="161">
        <v>71.820999999999998</v>
      </c>
      <c r="H1188" s="654">
        <v>2.0365868753999998</v>
      </c>
      <c r="I1188" s="654">
        <v>1.4405010403327201</v>
      </c>
      <c r="J1188" s="191"/>
      <c r="K1188" s="191">
        <v>35453.572201057999</v>
      </c>
      <c r="L1188" s="191"/>
      <c r="M1188" s="191"/>
      <c r="N1188" s="191"/>
      <c r="O1188" s="191"/>
      <c r="P1188" s="191"/>
      <c r="Q1188" s="191"/>
      <c r="R1188" s="191"/>
      <c r="S1188" s="191"/>
      <c r="T1188" s="191"/>
      <c r="U1188" s="439"/>
      <c r="V1188" s="441"/>
      <c r="W1188" s="178"/>
      <c r="X1188" s="172"/>
      <c r="Y1188" s="172"/>
      <c r="Z1188" s="172"/>
      <c r="AA1188" s="195"/>
      <c r="AB1188" s="172"/>
    </row>
    <row r="1189" spans="1:28" ht="12.75" customHeight="1" x14ac:dyDescent="0.3">
      <c r="A1189" s="667"/>
      <c r="B1189" s="668" t="s">
        <v>6422</v>
      </c>
      <c r="C1189" s="160" t="s">
        <v>6423</v>
      </c>
      <c r="D1189" s="160"/>
      <c r="E1189" s="439"/>
      <c r="F1189" s="161">
        <v>425.034332511</v>
      </c>
      <c r="G1189" s="161">
        <v>3.6960000000000002</v>
      </c>
      <c r="H1189" s="654">
        <v>2.4825756297999999</v>
      </c>
      <c r="I1189" s="654">
        <v>9.9408729825002702</v>
      </c>
      <c r="J1189" s="191"/>
      <c r="K1189" s="191">
        <v>26906.672954519199</v>
      </c>
      <c r="L1189" s="191"/>
      <c r="M1189" s="191"/>
      <c r="N1189" s="191"/>
      <c r="O1189" s="191"/>
      <c r="P1189" s="191"/>
      <c r="Q1189" s="191"/>
      <c r="R1189" s="191"/>
      <c r="S1189" s="191"/>
      <c r="T1189" s="191"/>
      <c r="U1189" s="439"/>
      <c r="V1189" s="441"/>
      <c r="W1189" s="178"/>
      <c r="X1189" s="172"/>
      <c r="Y1189" s="172"/>
      <c r="Z1189" s="172"/>
      <c r="AA1189" s="195"/>
      <c r="AB1189" s="172"/>
    </row>
    <row r="1190" spans="1:28" ht="12.75" customHeight="1" x14ac:dyDescent="0.3">
      <c r="A1190" s="667"/>
      <c r="B1190" s="668" t="s">
        <v>6424</v>
      </c>
      <c r="C1190" s="160" t="s">
        <v>6425</v>
      </c>
      <c r="D1190" s="160"/>
      <c r="E1190" s="439">
        <v>6.16</v>
      </c>
      <c r="F1190" s="161">
        <v>556.99534306700002</v>
      </c>
      <c r="G1190" s="161">
        <v>29.113</v>
      </c>
      <c r="H1190" s="654">
        <v>15.5920079</v>
      </c>
      <c r="I1190" s="654">
        <v>0.55699534306700005</v>
      </c>
      <c r="J1190" s="191"/>
      <c r="K1190" s="191">
        <v>37633.967021231299</v>
      </c>
      <c r="L1190" s="191"/>
      <c r="M1190" s="191"/>
      <c r="N1190" s="191"/>
      <c r="O1190" s="191"/>
      <c r="P1190" s="191"/>
      <c r="Q1190" s="191"/>
      <c r="R1190" s="191"/>
      <c r="S1190" s="191"/>
      <c r="T1190" s="191"/>
      <c r="U1190" s="439"/>
      <c r="V1190" s="441"/>
      <c r="W1190" s="178"/>
      <c r="X1190" s="172"/>
      <c r="Y1190" s="172"/>
      <c r="Z1190" s="172"/>
      <c r="AA1190" s="195"/>
      <c r="AB1190" s="172"/>
    </row>
    <row r="1191" spans="1:28" ht="12.75" customHeight="1" x14ac:dyDescent="0.3">
      <c r="A1191" s="667"/>
      <c r="B1191" s="668" t="s">
        <v>6426</v>
      </c>
      <c r="C1191" s="160" t="s">
        <v>6427</v>
      </c>
      <c r="D1191" s="160"/>
      <c r="E1191" s="439">
        <v>5.42</v>
      </c>
      <c r="F1191" s="161">
        <v>571.01099313099996</v>
      </c>
      <c r="G1191" s="161">
        <v>32.219000000000001</v>
      </c>
      <c r="H1191" s="654">
        <v>10.6145510198</v>
      </c>
      <c r="I1191" s="654">
        <v>0.40146184096259802</v>
      </c>
      <c r="J1191" s="191"/>
      <c r="K1191" s="191">
        <v>77214.702056451206</v>
      </c>
      <c r="L1191" s="191"/>
      <c r="M1191" s="191"/>
      <c r="N1191" s="191"/>
      <c r="O1191" s="191"/>
      <c r="P1191" s="191"/>
      <c r="Q1191" s="191"/>
      <c r="R1191" s="191"/>
      <c r="S1191" s="191"/>
      <c r="T1191" s="191"/>
      <c r="U1191" s="439"/>
      <c r="V1191" s="441"/>
      <c r="W1191" s="178"/>
      <c r="X1191" s="172"/>
      <c r="Y1191" s="172"/>
      <c r="Z1191" s="172"/>
      <c r="AA1191" s="195"/>
      <c r="AB1191" s="172"/>
    </row>
    <row r="1192" spans="1:28" ht="12.75" customHeight="1" x14ac:dyDescent="0.3">
      <c r="A1192" s="667"/>
      <c r="B1192" s="668" t="s">
        <v>6428</v>
      </c>
      <c r="C1192" s="160" t="s">
        <v>6429</v>
      </c>
      <c r="D1192" s="160"/>
      <c r="E1192" s="439">
        <v>5.66</v>
      </c>
      <c r="F1192" s="161">
        <v>585.02664319500002</v>
      </c>
      <c r="G1192" s="161">
        <v>53.723999999999997</v>
      </c>
      <c r="H1192" s="654">
        <v>6.9486759789999999</v>
      </c>
      <c r="I1192" s="654">
        <v>0.28985145037096199</v>
      </c>
      <c r="J1192" s="191"/>
      <c r="K1192" s="191">
        <v>66920.626792223804</v>
      </c>
      <c r="L1192" s="191"/>
      <c r="M1192" s="191"/>
      <c r="N1192" s="191"/>
      <c r="O1192" s="191"/>
      <c r="P1192" s="191"/>
      <c r="Q1192" s="191"/>
      <c r="R1192" s="191"/>
      <c r="S1192" s="191"/>
      <c r="T1192" s="191"/>
      <c r="U1192" s="439"/>
      <c r="V1192" s="441"/>
      <c r="W1192" s="178"/>
      <c r="X1192" s="172"/>
      <c r="Y1192" s="172"/>
      <c r="Z1192" s="172"/>
      <c r="AA1192" s="195"/>
      <c r="AB1192" s="172"/>
    </row>
    <row r="1193" spans="1:28" ht="12.75" customHeight="1" x14ac:dyDescent="0.3">
      <c r="A1193" s="667"/>
      <c r="B1193" s="668" t="s">
        <v>6430</v>
      </c>
      <c r="C1193" s="160" t="s">
        <v>6431</v>
      </c>
      <c r="D1193" s="160"/>
      <c r="E1193" s="439">
        <v>1.5309999999999999</v>
      </c>
      <c r="F1193" s="161">
        <v>606.05278018700005</v>
      </c>
      <c r="G1193" s="161">
        <v>90.671999999999997</v>
      </c>
      <c r="H1193" s="654"/>
      <c r="I1193" s="654">
        <v>4.8585918071475298</v>
      </c>
      <c r="J1193" s="191"/>
      <c r="K1193" s="191">
        <v>185784.72331126299</v>
      </c>
      <c r="L1193" s="191"/>
      <c r="M1193" s="191"/>
      <c r="N1193" s="191"/>
      <c r="O1193" s="191"/>
      <c r="P1193" s="191"/>
      <c r="Q1193" s="191"/>
      <c r="R1193" s="191"/>
      <c r="S1193" s="191"/>
      <c r="T1193" s="191"/>
      <c r="U1193" s="439"/>
      <c r="V1193" s="441"/>
      <c r="W1193" s="178"/>
      <c r="X1193" s="172"/>
      <c r="Y1193" s="172"/>
      <c r="Z1193" s="172"/>
      <c r="AA1193" s="195"/>
      <c r="AB1193" s="172"/>
    </row>
    <row r="1194" spans="1:28" ht="12.75" customHeight="1" x14ac:dyDescent="0.3">
      <c r="A1194" s="667"/>
      <c r="B1194" s="668" t="s">
        <v>6432</v>
      </c>
      <c r="C1194" s="160" t="s">
        <v>6433</v>
      </c>
      <c r="D1194" s="160"/>
      <c r="E1194" s="439">
        <v>8.5299999999999994</v>
      </c>
      <c r="F1194" s="161">
        <v>538.98477838199994</v>
      </c>
      <c r="G1194" s="161">
        <v>-16.404</v>
      </c>
      <c r="H1194" s="654">
        <v>50.454777645999997</v>
      </c>
      <c r="I1194" s="654">
        <v>0.20025170963615599</v>
      </c>
      <c r="J1194" s="191"/>
      <c r="K1194" s="191">
        <v>159613.63932951799</v>
      </c>
      <c r="L1194" s="191"/>
      <c r="M1194" s="191"/>
      <c r="N1194" s="191"/>
      <c r="O1194" s="191"/>
      <c r="P1194" s="191"/>
      <c r="Q1194" s="191"/>
      <c r="R1194" s="191"/>
      <c r="S1194" s="191"/>
      <c r="T1194" s="191"/>
      <c r="U1194" s="439"/>
      <c r="V1194" s="441"/>
      <c r="W1194" s="178"/>
      <c r="X1194" s="172"/>
      <c r="Y1194" s="172"/>
      <c r="Z1194" s="172"/>
      <c r="AA1194" s="195"/>
      <c r="AB1194" s="172"/>
    </row>
    <row r="1195" spans="1:28" ht="12.75" customHeight="1" x14ac:dyDescent="0.3">
      <c r="A1195" s="667"/>
      <c r="B1195" s="668" t="s">
        <v>6434</v>
      </c>
      <c r="C1195" s="160" t="s">
        <v>6272</v>
      </c>
      <c r="D1195" s="160"/>
      <c r="E1195" s="439">
        <v>7.22</v>
      </c>
      <c r="F1195" s="161">
        <v>1294.0839350700001</v>
      </c>
      <c r="G1195" s="161"/>
      <c r="H1195" s="654"/>
      <c r="I1195" s="654"/>
      <c r="J1195" s="191"/>
      <c r="K1195" s="191">
        <v>4.7590032348170404</v>
      </c>
      <c r="L1195" s="191"/>
      <c r="M1195" s="191"/>
      <c r="N1195" s="191"/>
      <c r="O1195" s="191"/>
      <c r="P1195" s="191"/>
      <c r="Q1195" s="191"/>
      <c r="R1195" s="191"/>
      <c r="S1195" s="191"/>
      <c r="T1195" s="191"/>
      <c r="U1195" s="439"/>
      <c r="V1195" s="441"/>
      <c r="W1195" s="178"/>
      <c r="X1195" s="172"/>
      <c r="Y1195" s="172"/>
      <c r="Z1195" s="172"/>
      <c r="AA1195" s="195"/>
      <c r="AB1195" s="172"/>
    </row>
    <row r="1196" spans="1:28" ht="12.75" customHeight="1" x14ac:dyDescent="0.3">
      <c r="A1196" s="667"/>
      <c r="B1196" s="668" t="s">
        <v>6435</v>
      </c>
      <c r="C1196" s="160" t="s">
        <v>6436</v>
      </c>
      <c r="D1196" s="160"/>
      <c r="E1196" s="439">
        <v>8.07</v>
      </c>
      <c r="F1196" s="161">
        <v>584.04262761200005</v>
      </c>
      <c r="G1196" s="161">
        <v>55.704999999999998</v>
      </c>
      <c r="H1196" s="654">
        <v>8.3349314705999902</v>
      </c>
      <c r="I1196" s="654">
        <v>0.33919093258245497</v>
      </c>
      <c r="J1196" s="191"/>
      <c r="K1196" s="191">
        <v>47179.137813158501</v>
      </c>
      <c r="L1196" s="191"/>
      <c r="M1196" s="191"/>
      <c r="N1196" s="191"/>
      <c r="O1196" s="191"/>
      <c r="P1196" s="191"/>
      <c r="Q1196" s="191"/>
      <c r="R1196" s="191"/>
      <c r="S1196" s="191"/>
      <c r="T1196" s="191"/>
      <c r="U1196" s="439"/>
      <c r="V1196" s="441"/>
      <c r="W1196" s="178"/>
      <c r="X1196" s="172"/>
      <c r="Y1196" s="172"/>
      <c r="Z1196" s="172"/>
      <c r="AA1196" s="195"/>
      <c r="AB1196" s="172"/>
    </row>
    <row r="1197" spans="1:28" ht="12.75" customHeight="1" x14ac:dyDescent="0.3">
      <c r="A1197" s="667"/>
      <c r="B1197" s="668" t="s">
        <v>6437</v>
      </c>
      <c r="C1197" s="160" t="s">
        <v>6438</v>
      </c>
      <c r="D1197" s="160"/>
      <c r="E1197" s="439">
        <v>8.1199999999999992</v>
      </c>
      <c r="F1197" s="161">
        <v>476.98797205599999</v>
      </c>
      <c r="G1197" s="161">
        <v>22.300999999999998</v>
      </c>
      <c r="H1197" s="654">
        <v>83.926998932000004</v>
      </c>
      <c r="I1197" s="654">
        <v>0.55272412225905099</v>
      </c>
      <c r="J1197" s="191"/>
      <c r="K1197" s="191">
        <v>89231.871143690805</v>
      </c>
      <c r="L1197" s="191"/>
      <c r="M1197" s="191"/>
      <c r="N1197" s="191"/>
      <c r="O1197" s="191"/>
      <c r="P1197" s="191"/>
      <c r="Q1197" s="191"/>
      <c r="R1197" s="191"/>
      <c r="S1197" s="191"/>
      <c r="T1197" s="191"/>
      <c r="U1197" s="439"/>
      <c r="V1197" s="441"/>
      <c r="W1197" s="178"/>
      <c r="X1197" s="172"/>
      <c r="Y1197" s="172"/>
      <c r="Z1197" s="172"/>
      <c r="AA1197" s="195"/>
      <c r="AB1197" s="172"/>
    </row>
    <row r="1198" spans="1:28" ht="12.75" customHeight="1" x14ac:dyDescent="0.3">
      <c r="A1198" s="667"/>
      <c r="B1198" s="668" t="s">
        <v>6439</v>
      </c>
      <c r="C1198" s="160" t="s">
        <v>6440</v>
      </c>
      <c r="D1198" s="160"/>
      <c r="E1198" s="439">
        <v>8.2799999999999994</v>
      </c>
      <c r="F1198" s="161">
        <v>488.98797205599999</v>
      </c>
      <c r="G1198" s="161">
        <v>-14.62</v>
      </c>
      <c r="H1198" s="654">
        <v>56.480932046</v>
      </c>
      <c r="I1198" s="654">
        <v>0.45112612236767502</v>
      </c>
      <c r="J1198" s="191"/>
      <c r="K1198" s="191">
        <v>109579.672972398</v>
      </c>
      <c r="L1198" s="191"/>
      <c r="M1198" s="191"/>
      <c r="N1198" s="191"/>
      <c r="O1198" s="191"/>
      <c r="P1198" s="191"/>
      <c r="Q1198" s="191"/>
      <c r="R1198" s="191"/>
      <c r="S1198" s="191"/>
      <c r="T1198" s="191"/>
      <c r="U1198" s="439"/>
      <c r="V1198" s="441"/>
      <c r="W1198" s="178"/>
      <c r="X1198" s="172"/>
      <c r="Y1198" s="172"/>
      <c r="Z1198" s="172"/>
      <c r="AA1198" s="195"/>
      <c r="AB1198" s="172"/>
    </row>
    <row r="1199" spans="1:28" ht="12.75" customHeight="1" x14ac:dyDescent="0.3">
      <c r="A1199" s="667"/>
      <c r="B1199" s="668" t="s">
        <v>6441</v>
      </c>
      <c r="C1199" s="160" t="s">
        <v>6442</v>
      </c>
      <c r="D1199" s="160"/>
      <c r="E1199" s="439">
        <v>7.96</v>
      </c>
      <c r="F1199" s="161">
        <v>534.04582128599998</v>
      </c>
      <c r="G1199" s="161">
        <v>51.957000000000001</v>
      </c>
      <c r="H1199" s="654">
        <v>8.9310407969999996</v>
      </c>
      <c r="I1199" s="654">
        <v>0.77015815979296598</v>
      </c>
      <c r="J1199" s="191"/>
      <c r="K1199" s="191">
        <v>58847.768622032097</v>
      </c>
      <c r="L1199" s="191"/>
      <c r="M1199" s="191"/>
      <c r="N1199" s="191"/>
      <c r="O1199" s="191"/>
      <c r="P1199" s="191"/>
      <c r="Q1199" s="191"/>
      <c r="R1199" s="191"/>
      <c r="S1199" s="191"/>
      <c r="T1199" s="191"/>
      <c r="U1199" s="439"/>
      <c r="V1199" s="441"/>
      <c r="W1199" s="178"/>
      <c r="X1199" s="172"/>
      <c r="Y1199" s="172"/>
      <c r="Z1199" s="172"/>
      <c r="AA1199" s="195"/>
      <c r="AB1199" s="172"/>
    </row>
    <row r="1200" spans="1:28" ht="12.75" customHeight="1" x14ac:dyDescent="0.3">
      <c r="A1200" s="667"/>
      <c r="B1200" s="668" t="s">
        <v>6443</v>
      </c>
      <c r="C1200" s="160" t="s">
        <v>6444</v>
      </c>
      <c r="D1200" s="160"/>
      <c r="E1200" s="439">
        <v>8.77</v>
      </c>
      <c r="F1200" s="161">
        <v>438.99116572999998</v>
      </c>
      <c r="G1200" s="161">
        <v>11.33</v>
      </c>
      <c r="H1200" s="654">
        <v>65.750944028000006</v>
      </c>
      <c r="I1200" s="654">
        <v>2.85401326576044</v>
      </c>
      <c r="J1200" s="191"/>
      <c r="K1200" s="191">
        <v>25470.061874627601</v>
      </c>
      <c r="L1200" s="191"/>
      <c r="M1200" s="191"/>
      <c r="N1200" s="191"/>
      <c r="O1200" s="191"/>
      <c r="P1200" s="191"/>
      <c r="Q1200" s="191"/>
      <c r="R1200" s="191"/>
      <c r="S1200" s="191"/>
      <c r="T1200" s="191"/>
      <c r="U1200" s="439"/>
      <c r="V1200" s="441"/>
      <c r="W1200" s="178"/>
      <c r="X1200" s="172"/>
      <c r="Y1200" s="172"/>
      <c r="Z1200" s="172"/>
      <c r="AA1200" s="195"/>
      <c r="AB1200" s="172"/>
    </row>
    <row r="1201" spans="1:28" ht="12.75" customHeight="1" x14ac:dyDescent="0.3">
      <c r="A1201" s="667"/>
      <c r="B1201" s="668" t="s">
        <v>6445</v>
      </c>
      <c r="C1201" s="160" t="s">
        <v>6446</v>
      </c>
      <c r="D1201" s="160"/>
      <c r="E1201" s="439">
        <v>8.39</v>
      </c>
      <c r="F1201" s="161">
        <v>484.04901496000002</v>
      </c>
      <c r="G1201" s="161">
        <v>48.366999999999997</v>
      </c>
      <c r="H1201" s="654">
        <v>11.4525331186</v>
      </c>
      <c r="I1201" s="654">
        <v>1.7333601606111599</v>
      </c>
      <c r="J1201" s="191"/>
      <c r="K1201" s="191">
        <v>74189.0824704228</v>
      </c>
      <c r="L1201" s="191"/>
      <c r="M1201" s="191"/>
      <c r="N1201" s="191"/>
      <c r="O1201" s="191"/>
      <c r="P1201" s="191"/>
      <c r="Q1201" s="191"/>
      <c r="R1201" s="191"/>
      <c r="S1201" s="191"/>
      <c r="T1201" s="191"/>
      <c r="U1201" s="439"/>
      <c r="V1201" s="441"/>
      <c r="W1201" s="178"/>
      <c r="X1201" s="172"/>
      <c r="Y1201" s="172"/>
      <c r="Z1201" s="172"/>
      <c r="AA1201" s="195"/>
      <c r="AB1201" s="172"/>
    </row>
    <row r="1202" spans="1:28" ht="12.75" customHeight="1" x14ac:dyDescent="0.3">
      <c r="A1202" s="667"/>
      <c r="B1202" s="668" t="s">
        <v>6447</v>
      </c>
      <c r="C1202" s="160" t="s">
        <v>6448</v>
      </c>
      <c r="D1202" s="160"/>
      <c r="E1202" s="439">
        <v>8.5399999999999991</v>
      </c>
      <c r="F1202" s="161">
        <v>388.99435940400002</v>
      </c>
      <c r="G1202" s="161">
        <v>13.114000000000001</v>
      </c>
      <c r="H1202" s="654">
        <v>63.665121337999999</v>
      </c>
      <c r="I1202" s="654">
        <v>6.2797693404744104</v>
      </c>
      <c r="J1202" s="191"/>
      <c r="K1202" s="191">
        <v>3843.9700921550002</v>
      </c>
      <c r="L1202" s="191"/>
      <c r="M1202" s="191"/>
      <c r="N1202" s="191"/>
      <c r="O1202" s="191"/>
      <c r="P1202" s="191"/>
      <c r="Q1202" s="191"/>
      <c r="R1202" s="191"/>
      <c r="S1202" s="191"/>
      <c r="T1202" s="191"/>
      <c r="U1202" s="439"/>
      <c r="V1202" s="441"/>
      <c r="W1202" s="178"/>
      <c r="X1202" s="172"/>
      <c r="Y1202" s="172"/>
      <c r="Z1202" s="172"/>
      <c r="AA1202" s="195"/>
      <c r="AB1202" s="172"/>
    </row>
    <row r="1203" spans="1:28" ht="12.75" customHeight="1" x14ac:dyDescent="0.3">
      <c r="A1203" s="667"/>
      <c r="B1203" s="668" t="s">
        <v>6449</v>
      </c>
      <c r="C1203" s="160" t="s">
        <v>6450</v>
      </c>
      <c r="D1203" s="160"/>
      <c r="E1203" s="439">
        <v>8.5</v>
      </c>
      <c r="F1203" s="161">
        <v>434.05220863400001</v>
      </c>
      <c r="G1203" s="161">
        <v>45.015999999999998</v>
      </c>
      <c r="H1203" s="654">
        <v>9.5258035712000009</v>
      </c>
      <c r="I1203" s="654">
        <v>3.85959657969561</v>
      </c>
      <c r="J1203" s="191"/>
      <c r="K1203" s="191">
        <v>7265.2405795099203</v>
      </c>
      <c r="L1203" s="191"/>
      <c r="M1203" s="191"/>
      <c r="N1203" s="191"/>
      <c r="O1203" s="191"/>
      <c r="P1203" s="191"/>
      <c r="Q1203" s="191"/>
      <c r="R1203" s="191"/>
      <c r="S1203" s="191"/>
      <c r="T1203" s="191"/>
      <c r="U1203" s="439"/>
      <c r="V1203" s="441"/>
      <c r="W1203" s="178"/>
      <c r="X1203" s="172"/>
      <c r="Y1203" s="172"/>
      <c r="Z1203" s="172"/>
      <c r="AA1203" s="195"/>
      <c r="AB1203" s="172"/>
    </row>
    <row r="1204" spans="1:28" ht="12.75" customHeight="1" x14ac:dyDescent="0.3">
      <c r="A1204" s="667"/>
      <c r="B1204" s="668" t="s">
        <v>6451</v>
      </c>
      <c r="C1204" s="160" t="s">
        <v>6452</v>
      </c>
      <c r="D1204" s="160"/>
      <c r="E1204" s="439">
        <v>8.49</v>
      </c>
      <c r="F1204" s="161">
        <v>338.99755307800001</v>
      </c>
      <c r="G1204" s="161">
        <v>68.397999999999996</v>
      </c>
      <c r="H1204" s="654">
        <v>23.275621403999999</v>
      </c>
      <c r="I1204" s="654">
        <v>56.910909210734602</v>
      </c>
      <c r="J1204" s="191"/>
      <c r="K1204" s="191">
        <v>8571.5625756380796</v>
      </c>
      <c r="L1204" s="191"/>
      <c r="M1204" s="191"/>
      <c r="N1204" s="191"/>
      <c r="O1204" s="191"/>
      <c r="P1204" s="191"/>
      <c r="Q1204" s="191"/>
      <c r="R1204" s="191"/>
      <c r="S1204" s="191"/>
      <c r="T1204" s="191"/>
      <c r="U1204" s="439"/>
      <c r="V1204" s="441"/>
      <c r="W1204" s="178"/>
      <c r="X1204" s="172"/>
      <c r="Y1204" s="172"/>
      <c r="Z1204" s="172"/>
      <c r="AA1204" s="195"/>
      <c r="AB1204" s="172"/>
    </row>
    <row r="1205" spans="1:28" ht="12.75" customHeight="1" x14ac:dyDescent="0.3">
      <c r="A1205" s="667"/>
      <c r="B1205" s="668" t="s">
        <v>6453</v>
      </c>
      <c r="C1205" s="160" t="s">
        <v>6076</v>
      </c>
      <c r="D1205" s="160"/>
      <c r="E1205" s="439">
        <v>7.1</v>
      </c>
      <c r="F1205" s="161">
        <v>675.97376999999994</v>
      </c>
      <c r="G1205" s="161"/>
      <c r="H1205" s="654"/>
      <c r="I1205" s="654"/>
      <c r="J1205" s="191"/>
      <c r="K1205" s="191">
        <v>123.33603993014501</v>
      </c>
      <c r="L1205" s="191"/>
      <c r="M1205" s="191"/>
      <c r="N1205" s="191"/>
      <c r="O1205" s="191"/>
      <c r="P1205" s="191"/>
      <c r="Q1205" s="191"/>
      <c r="R1205" s="191"/>
      <c r="S1205" s="191"/>
      <c r="T1205" s="191"/>
      <c r="U1205" s="439"/>
      <c r="V1205" s="441"/>
      <c r="W1205" s="178"/>
      <c r="X1205" s="172"/>
      <c r="Y1205" s="172"/>
      <c r="Z1205" s="172"/>
      <c r="AA1205" s="195"/>
      <c r="AB1205" s="172"/>
    </row>
    <row r="1206" spans="1:28" ht="12.75" customHeight="1" x14ac:dyDescent="0.3">
      <c r="A1206" s="667"/>
      <c r="B1206" s="668" t="s">
        <v>6454</v>
      </c>
      <c r="C1206" s="160" t="s">
        <v>6078</v>
      </c>
      <c r="D1206" s="160"/>
      <c r="E1206" s="439">
        <v>7.53</v>
      </c>
      <c r="F1206" s="161">
        <v>625.97695999999996</v>
      </c>
      <c r="G1206" s="161"/>
      <c r="H1206" s="654"/>
      <c r="I1206" s="654"/>
      <c r="J1206" s="191"/>
      <c r="K1206" s="191">
        <v>10.5329494521137</v>
      </c>
      <c r="L1206" s="191"/>
      <c r="M1206" s="191"/>
      <c r="N1206" s="191"/>
      <c r="O1206" s="191"/>
      <c r="P1206" s="191"/>
      <c r="Q1206" s="191"/>
      <c r="R1206" s="191"/>
      <c r="S1206" s="191"/>
      <c r="T1206" s="191"/>
      <c r="U1206" s="439"/>
      <c r="V1206" s="441"/>
      <c r="W1206" s="178"/>
      <c r="X1206" s="172"/>
      <c r="Y1206" s="172"/>
      <c r="Z1206" s="172"/>
      <c r="AA1206" s="195"/>
      <c r="AB1206" s="172"/>
    </row>
    <row r="1207" spans="1:28" ht="12.75" customHeight="1" x14ac:dyDescent="0.3">
      <c r="A1207" s="667"/>
      <c r="B1207" s="668" t="s">
        <v>6455</v>
      </c>
      <c r="C1207" s="160" t="s">
        <v>6030</v>
      </c>
      <c r="D1207" s="160"/>
      <c r="E1207" s="439">
        <v>7.64</v>
      </c>
      <c r="F1207" s="161">
        <v>484.04453640000003</v>
      </c>
      <c r="G1207" s="161"/>
      <c r="H1207" s="654"/>
      <c r="I1207" s="654"/>
      <c r="J1207" s="191"/>
      <c r="K1207" s="191">
        <v>37.924511900637697</v>
      </c>
      <c r="L1207" s="191"/>
      <c r="M1207" s="191"/>
      <c r="N1207" s="191"/>
      <c r="O1207" s="191"/>
      <c r="P1207" s="191"/>
      <c r="Q1207" s="191"/>
      <c r="R1207" s="191"/>
      <c r="S1207" s="191"/>
      <c r="T1207" s="191"/>
      <c r="U1207" s="439"/>
      <c r="V1207" s="441"/>
      <c r="W1207" s="178"/>
      <c r="X1207" s="172"/>
      <c r="Y1207" s="172"/>
      <c r="Z1207" s="172"/>
      <c r="AA1207" s="195"/>
      <c r="AB1207" s="172"/>
    </row>
    <row r="1208" spans="1:28" ht="12.75" customHeight="1" x14ac:dyDescent="0.3">
      <c r="A1208" s="667"/>
      <c r="B1208" s="668" t="s">
        <v>6456</v>
      </c>
      <c r="C1208" s="160" t="s">
        <v>6032</v>
      </c>
      <c r="D1208" s="160"/>
      <c r="E1208" s="439">
        <v>7.81</v>
      </c>
      <c r="F1208" s="161">
        <v>434.04773010000002</v>
      </c>
      <c r="G1208" s="161"/>
      <c r="H1208" s="654"/>
      <c r="I1208" s="654"/>
      <c r="J1208" s="191"/>
      <c r="K1208" s="191">
        <v>30.957793570609599</v>
      </c>
      <c r="L1208" s="191"/>
      <c r="M1208" s="191"/>
      <c r="N1208" s="191"/>
      <c r="O1208" s="191"/>
      <c r="P1208" s="191"/>
      <c r="Q1208" s="191"/>
      <c r="R1208" s="191"/>
      <c r="S1208" s="191"/>
      <c r="T1208" s="191"/>
      <c r="U1208" s="439"/>
      <c r="V1208" s="441"/>
      <c r="W1208" s="178"/>
      <c r="X1208" s="172"/>
      <c r="Y1208" s="172"/>
      <c r="Z1208" s="172"/>
      <c r="AA1208" s="195"/>
      <c r="AB1208" s="172"/>
    </row>
    <row r="1209" spans="1:28" ht="12.75" customHeight="1" x14ac:dyDescent="0.3">
      <c r="A1209" s="667"/>
      <c r="B1209" s="668" t="s">
        <v>6457</v>
      </c>
      <c r="C1209" s="160" t="s">
        <v>6458</v>
      </c>
      <c r="D1209" s="160"/>
      <c r="E1209" s="439">
        <v>4.83</v>
      </c>
      <c r="F1209" s="161">
        <v>587.005907751</v>
      </c>
      <c r="G1209" s="161">
        <v>12.314</v>
      </c>
      <c r="H1209" s="654">
        <v>2.2641275327999999</v>
      </c>
      <c r="I1209" s="654">
        <v>0.68177801155739803</v>
      </c>
      <c r="J1209" s="191"/>
      <c r="K1209" s="191">
        <v>72680.850380816802</v>
      </c>
      <c r="L1209" s="191"/>
      <c r="M1209" s="191"/>
      <c r="N1209" s="191"/>
      <c r="O1209" s="191"/>
      <c r="P1209" s="191"/>
      <c r="Q1209" s="191"/>
      <c r="R1209" s="191"/>
      <c r="S1209" s="191"/>
      <c r="T1209" s="191"/>
      <c r="U1209" s="439"/>
      <c r="V1209" s="441"/>
      <c r="W1209" s="178"/>
      <c r="X1209" s="172"/>
      <c r="Y1209" s="172"/>
      <c r="Z1209" s="172"/>
      <c r="AA1209" s="195"/>
      <c r="AB1209" s="172"/>
    </row>
    <row r="1210" spans="1:28" ht="12.75" customHeight="1" x14ac:dyDescent="0.3">
      <c r="A1210" s="667"/>
      <c r="B1210" s="668" t="s">
        <v>6459</v>
      </c>
      <c r="C1210" s="160" t="s">
        <v>6460</v>
      </c>
      <c r="D1210" s="160"/>
      <c r="E1210" s="439">
        <v>6.04</v>
      </c>
      <c r="F1210" s="161">
        <v>485.033030543</v>
      </c>
      <c r="G1210" s="161">
        <v>46.177</v>
      </c>
      <c r="H1210" s="654">
        <v>8.5290749669999997</v>
      </c>
      <c r="I1210" s="654">
        <v>1.4817371056664199</v>
      </c>
      <c r="J1210" s="191"/>
      <c r="K1210" s="191">
        <v>29240.850475217499</v>
      </c>
      <c r="L1210" s="191"/>
      <c r="M1210" s="191"/>
      <c r="N1210" s="191"/>
      <c r="O1210" s="191"/>
      <c r="P1210" s="191"/>
      <c r="Q1210" s="191"/>
      <c r="R1210" s="191"/>
      <c r="S1210" s="191"/>
      <c r="T1210" s="191"/>
      <c r="U1210" s="439"/>
      <c r="V1210" s="441"/>
      <c r="W1210" s="178"/>
      <c r="X1210" s="172"/>
      <c r="Y1210" s="172"/>
      <c r="Z1210" s="172"/>
      <c r="AA1210" s="195"/>
      <c r="AB1210" s="172"/>
    </row>
    <row r="1211" spans="1:28" ht="12.75" customHeight="1" x14ac:dyDescent="0.3">
      <c r="A1211" s="667"/>
      <c r="B1211" s="668" t="s">
        <v>6461</v>
      </c>
      <c r="C1211" s="160" t="s">
        <v>6462</v>
      </c>
      <c r="D1211" s="160"/>
      <c r="E1211" s="439">
        <v>6.77</v>
      </c>
      <c r="F1211" s="161">
        <v>339.01753963200002</v>
      </c>
      <c r="G1211" s="161">
        <v>73.956000000000003</v>
      </c>
      <c r="H1211" s="654">
        <v>4.6655367289999896</v>
      </c>
      <c r="I1211" s="654">
        <v>405.71585037919903</v>
      </c>
      <c r="J1211" s="191"/>
      <c r="K1211" s="191">
        <v>16.4656924765853</v>
      </c>
      <c r="L1211" s="191"/>
      <c r="M1211" s="191"/>
      <c r="N1211" s="191"/>
      <c r="O1211" s="191"/>
      <c r="P1211" s="191"/>
      <c r="Q1211" s="191"/>
      <c r="R1211" s="191"/>
      <c r="S1211" s="191"/>
      <c r="T1211" s="191"/>
      <c r="U1211" s="439"/>
      <c r="V1211" s="441"/>
      <c r="W1211" s="178"/>
      <c r="X1211" s="172"/>
      <c r="Y1211" s="172"/>
      <c r="Z1211" s="172"/>
      <c r="AA1211" s="195"/>
      <c r="AB1211" s="172"/>
    </row>
    <row r="1212" spans="1:28" ht="12.75" customHeight="1" x14ac:dyDescent="0.3">
      <c r="A1212" s="667"/>
      <c r="B1212" s="668" t="s">
        <v>6463</v>
      </c>
      <c r="C1212" s="160" t="s">
        <v>6464</v>
      </c>
      <c r="D1212" s="160"/>
      <c r="E1212" s="439">
        <v>5.36</v>
      </c>
      <c r="F1212" s="161">
        <v>369.028104316</v>
      </c>
      <c r="G1212" s="161">
        <v>83.44</v>
      </c>
      <c r="H1212" s="654">
        <v>0.61787680934</v>
      </c>
      <c r="I1212" s="654">
        <v>562.41728238279904</v>
      </c>
      <c r="J1212" s="191"/>
      <c r="K1212" s="191">
        <v>10.750038014123801</v>
      </c>
      <c r="L1212" s="191"/>
      <c r="M1212" s="191"/>
      <c r="N1212" s="191"/>
      <c r="O1212" s="191"/>
      <c r="P1212" s="191"/>
      <c r="Q1212" s="191"/>
      <c r="R1212" s="191"/>
      <c r="S1212" s="191"/>
      <c r="T1212" s="191"/>
      <c r="U1212" s="439"/>
      <c r="V1212" s="441"/>
      <c r="W1212" s="178"/>
      <c r="X1212" s="172"/>
      <c r="Y1212" s="172"/>
      <c r="Z1212" s="172"/>
      <c r="AA1212" s="195"/>
      <c r="AB1212" s="172"/>
    </row>
    <row r="1213" spans="1:28" ht="12.75" customHeight="1" x14ac:dyDescent="0.3">
      <c r="A1213" s="667"/>
      <c r="B1213" s="668" t="s">
        <v>6465</v>
      </c>
      <c r="C1213" s="160" t="s">
        <v>6466</v>
      </c>
      <c r="D1213" s="160"/>
      <c r="E1213" s="439">
        <v>1.88</v>
      </c>
      <c r="F1213" s="161">
        <v>664.992974086</v>
      </c>
      <c r="G1213" s="161"/>
      <c r="H1213" s="654"/>
      <c r="I1213" s="654"/>
      <c r="J1213" s="191"/>
      <c r="K1213" s="191">
        <v>1035356.70417115</v>
      </c>
      <c r="L1213" s="191"/>
      <c r="M1213" s="191"/>
      <c r="N1213" s="191"/>
      <c r="O1213" s="191"/>
      <c r="P1213" s="191"/>
      <c r="Q1213" s="191"/>
      <c r="R1213" s="191"/>
      <c r="S1213" s="191"/>
      <c r="T1213" s="191"/>
      <c r="U1213" s="439"/>
      <c r="V1213" s="441"/>
      <c r="W1213" s="178"/>
      <c r="X1213" s="172"/>
      <c r="Y1213" s="172"/>
      <c r="Z1213" s="172"/>
      <c r="AA1213" s="195"/>
      <c r="AB1213" s="172"/>
    </row>
    <row r="1214" spans="1:28" ht="12.75" customHeight="1" x14ac:dyDescent="0.3">
      <c r="A1214" s="667"/>
      <c r="B1214" s="668" t="s">
        <v>6467</v>
      </c>
      <c r="C1214" s="160" t="s">
        <v>6468</v>
      </c>
      <c r="D1214" s="160"/>
      <c r="E1214" s="439">
        <v>6.13</v>
      </c>
      <c r="F1214" s="161">
        <v>653.05285794400004</v>
      </c>
      <c r="G1214" s="161"/>
      <c r="H1214" s="654"/>
      <c r="I1214" s="654"/>
      <c r="J1214" s="191"/>
      <c r="K1214" s="191">
        <v>217635.631536164</v>
      </c>
      <c r="L1214" s="191"/>
      <c r="M1214" s="191"/>
      <c r="N1214" s="191"/>
      <c r="O1214" s="191"/>
      <c r="P1214" s="191"/>
      <c r="Q1214" s="191"/>
      <c r="R1214" s="191"/>
      <c r="S1214" s="191"/>
      <c r="T1214" s="191"/>
      <c r="U1214" s="439"/>
      <c r="V1214" s="441"/>
      <c r="W1214" s="178"/>
      <c r="X1214" s="172"/>
      <c r="Y1214" s="172"/>
      <c r="Z1214" s="172"/>
      <c r="AA1214" s="195"/>
      <c r="AB1214" s="172"/>
    </row>
    <row r="1215" spans="1:28" ht="12.75" customHeight="1" x14ac:dyDescent="0.3">
      <c r="A1215" s="667" t="s">
        <v>4414</v>
      </c>
      <c r="B1215" s="668" t="s">
        <v>6469</v>
      </c>
      <c r="C1215" s="160" t="s">
        <v>6470</v>
      </c>
      <c r="D1215" s="160"/>
      <c r="E1215" s="439"/>
      <c r="F1215" s="161"/>
      <c r="G1215" s="161"/>
      <c r="H1215" s="654"/>
      <c r="I1215" s="654"/>
      <c r="J1215" s="191"/>
      <c r="K1215" s="191"/>
      <c r="L1215" s="191"/>
      <c r="M1215" s="191"/>
      <c r="N1215" s="191"/>
      <c r="O1215" s="191"/>
      <c r="P1215" s="191"/>
      <c r="Q1215" s="191"/>
      <c r="R1215" s="191"/>
      <c r="S1215" s="191"/>
      <c r="T1215" s="191"/>
      <c r="U1215" s="439"/>
      <c r="V1215" s="441"/>
      <c r="W1215" s="178"/>
      <c r="X1215" s="172"/>
      <c r="Y1215" s="172"/>
      <c r="Z1215" s="172"/>
      <c r="AA1215" s="195"/>
      <c r="AB1215" s="172"/>
    </row>
    <row r="1216" spans="1:28" ht="12.75" customHeight="1" x14ac:dyDescent="0.3">
      <c r="A1216" s="667"/>
      <c r="B1216" s="668" t="s">
        <v>6471</v>
      </c>
      <c r="C1216" s="160" t="s">
        <v>6472</v>
      </c>
      <c r="D1216" s="160"/>
      <c r="E1216" s="439"/>
      <c r="F1216" s="161">
        <v>750.07260758799998</v>
      </c>
      <c r="G1216" s="161"/>
      <c r="H1216" s="654"/>
      <c r="I1216" s="654"/>
      <c r="J1216" s="191"/>
      <c r="K1216" s="191">
        <v>136848.48693604299</v>
      </c>
      <c r="L1216" s="191"/>
      <c r="M1216" s="191"/>
      <c r="N1216" s="191"/>
      <c r="O1216" s="191"/>
      <c r="P1216" s="191"/>
      <c r="Q1216" s="191"/>
      <c r="R1216" s="191"/>
      <c r="S1216" s="191"/>
      <c r="T1216" s="191"/>
      <c r="U1216" s="439"/>
      <c r="V1216" s="441"/>
      <c r="W1216" s="178"/>
      <c r="X1216" s="172"/>
      <c r="Y1216" s="172"/>
      <c r="Z1216" s="172"/>
      <c r="AA1216" s="195"/>
      <c r="AB1216" s="172"/>
    </row>
    <row r="1217" spans="1:28" ht="12.75" customHeight="1" x14ac:dyDescent="0.3">
      <c r="A1217" s="667" t="s">
        <v>4414</v>
      </c>
      <c r="B1217" s="668" t="s">
        <v>6473</v>
      </c>
      <c r="C1217" s="160" t="s">
        <v>6474</v>
      </c>
      <c r="D1217" s="160"/>
      <c r="E1217" s="439"/>
      <c r="F1217" s="161"/>
      <c r="G1217" s="161"/>
      <c r="H1217" s="654"/>
      <c r="I1217" s="654"/>
      <c r="J1217" s="191"/>
      <c r="K1217" s="191"/>
      <c r="L1217" s="191"/>
      <c r="M1217" s="191"/>
      <c r="N1217" s="191"/>
      <c r="O1217" s="191"/>
      <c r="P1217" s="191"/>
      <c r="Q1217" s="191"/>
      <c r="R1217" s="191"/>
      <c r="S1217" s="191"/>
      <c r="T1217" s="191"/>
      <c r="U1217" s="439"/>
      <c r="V1217" s="441"/>
      <c r="W1217" s="178"/>
      <c r="X1217" s="172"/>
      <c r="Y1217" s="172"/>
      <c r="Z1217" s="172"/>
      <c r="AA1217" s="195"/>
      <c r="AB1217" s="172"/>
    </row>
    <row r="1218" spans="1:28" ht="12.75" customHeight="1" x14ac:dyDescent="0.3">
      <c r="A1218" s="667"/>
      <c r="B1218" s="668" t="s">
        <v>6475</v>
      </c>
      <c r="C1218" s="160" t="s">
        <v>6476</v>
      </c>
      <c r="D1218" s="160"/>
      <c r="E1218" s="439">
        <v>6.02</v>
      </c>
      <c r="F1218" s="161">
        <v>611.005907751</v>
      </c>
      <c r="G1218" s="161">
        <v>-22.158999999999999</v>
      </c>
      <c r="H1218" s="654">
        <v>6.2936383286000002</v>
      </c>
      <c r="I1218" s="654"/>
      <c r="J1218" s="191"/>
      <c r="K1218" s="191">
        <v>59455.221306759602</v>
      </c>
      <c r="L1218" s="191"/>
      <c r="M1218" s="191"/>
      <c r="N1218" s="191"/>
      <c r="O1218" s="191"/>
      <c r="P1218" s="191"/>
      <c r="Q1218" s="191"/>
      <c r="R1218" s="191"/>
      <c r="S1218" s="191"/>
      <c r="T1218" s="191"/>
      <c r="U1218" s="439"/>
      <c r="V1218" s="441"/>
      <c r="W1218" s="178"/>
      <c r="X1218" s="172"/>
      <c r="Y1218" s="172"/>
      <c r="Z1218" s="172"/>
      <c r="AA1218" s="195"/>
      <c r="AB1218" s="172"/>
    </row>
    <row r="1219" spans="1:28" ht="12.75" customHeight="1" x14ac:dyDescent="0.3">
      <c r="A1219" s="667"/>
      <c r="B1219" s="668" t="s">
        <v>6477</v>
      </c>
      <c r="C1219" s="160" t="s">
        <v>6478</v>
      </c>
      <c r="D1219" s="160"/>
      <c r="E1219" s="439">
        <v>7.1</v>
      </c>
      <c r="F1219" s="161">
        <v>1194.0903224179999</v>
      </c>
      <c r="G1219" s="161"/>
      <c r="H1219" s="654"/>
      <c r="I1219" s="654"/>
      <c r="J1219" s="191"/>
      <c r="K1219" s="191">
        <v>4.5199746593220604</v>
      </c>
      <c r="L1219" s="191"/>
      <c r="M1219" s="191"/>
      <c r="N1219" s="191"/>
      <c r="O1219" s="191"/>
      <c r="P1219" s="191"/>
      <c r="Q1219" s="191"/>
      <c r="R1219" s="191"/>
      <c r="S1219" s="191"/>
      <c r="T1219" s="191"/>
      <c r="U1219" s="439"/>
      <c r="V1219" s="441"/>
      <c r="W1219" s="178"/>
      <c r="X1219" s="172"/>
      <c r="Y1219" s="172"/>
      <c r="Z1219" s="172"/>
      <c r="AA1219" s="195"/>
      <c r="AB1219" s="172"/>
    </row>
    <row r="1220" spans="1:28" ht="12.75" customHeight="1" x14ac:dyDescent="0.3">
      <c r="A1220" s="667"/>
      <c r="B1220" s="668" t="s">
        <v>6479</v>
      </c>
      <c r="C1220" s="160" t="s">
        <v>6480</v>
      </c>
      <c r="D1220" s="160"/>
      <c r="E1220" s="439">
        <v>7.53</v>
      </c>
      <c r="F1220" s="161">
        <v>1094.096709766</v>
      </c>
      <c r="G1220" s="161"/>
      <c r="H1220" s="654"/>
      <c r="I1220" s="654"/>
      <c r="J1220" s="191"/>
      <c r="K1220" s="191">
        <v>4.2695489788161503</v>
      </c>
      <c r="L1220" s="191"/>
      <c r="M1220" s="191"/>
      <c r="N1220" s="191"/>
      <c r="O1220" s="191"/>
      <c r="P1220" s="191"/>
      <c r="Q1220" s="191"/>
      <c r="R1220" s="191"/>
      <c r="S1220" s="191"/>
      <c r="T1220" s="191"/>
      <c r="U1220" s="439"/>
      <c r="V1220" s="441"/>
      <c r="W1220" s="178"/>
      <c r="X1220" s="172"/>
      <c r="Y1220" s="172"/>
      <c r="Z1220" s="172"/>
      <c r="AA1220" s="195"/>
      <c r="AB1220" s="172"/>
    </row>
    <row r="1221" spans="1:28" ht="12.75" customHeight="1" x14ac:dyDescent="0.3">
      <c r="A1221" s="667"/>
      <c r="B1221" s="668" t="s">
        <v>6481</v>
      </c>
      <c r="C1221" s="160" t="s">
        <v>6482</v>
      </c>
      <c r="D1221" s="160"/>
      <c r="E1221" s="439">
        <v>7.64</v>
      </c>
      <c r="F1221" s="161">
        <v>994.10309711399998</v>
      </c>
      <c r="G1221" s="161"/>
      <c r="H1221" s="654"/>
      <c r="I1221" s="654"/>
      <c r="J1221" s="191"/>
      <c r="K1221" s="191">
        <v>4.0156421117593197</v>
      </c>
      <c r="L1221" s="191"/>
      <c r="M1221" s="191"/>
      <c r="N1221" s="191"/>
      <c r="O1221" s="191"/>
      <c r="P1221" s="191"/>
      <c r="Q1221" s="191"/>
      <c r="R1221" s="191"/>
      <c r="S1221" s="191"/>
      <c r="T1221" s="191"/>
      <c r="U1221" s="439"/>
      <c r="V1221" s="441"/>
      <c r="W1221" s="178"/>
      <c r="X1221" s="172"/>
      <c r="Y1221" s="172"/>
      <c r="Z1221" s="172"/>
      <c r="AA1221" s="195"/>
      <c r="AB1221" s="172"/>
    </row>
    <row r="1222" spans="1:28" ht="12.75" customHeight="1" x14ac:dyDescent="0.3">
      <c r="A1222" s="667"/>
      <c r="B1222" s="668" t="s">
        <v>6483</v>
      </c>
      <c r="C1222" s="160" t="s">
        <v>6484</v>
      </c>
      <c r="D1222" s="160"/>
      <c r="E1222" s="439">
        <v>7.81</v>
      </c>
      <c r="F1222" s="161">
        <v>894.10948446199995</v>
      </c>
      <c r="G1222" s="161"/>
      <c r="H1222" s="654"/>
      <c r="I1222" s="654"/>
      <c r="J1222" s="191"/>
      <c r="K1222" s="191">
        <v>3.7720461710412598</v>
      </c>
      <c r="L1222" s="191"/>
      <c r="M1222" s="191"/>
      <c r="N1222" s="191"/>
      <c r="O1222" s="191"/>
      <c r="P1222" s="191"/>
      <c r="Q1222" s="191"/>
      <c r="R1222" s="191"/>
      <c r="S1222" s="191"/>
      <c r="T1222" s="191"/>
      <c r="U1222" s="439"/>
      <c r="V1222" s="441"/>
      <c r="W1222" s="178"/>
      <c r="X1222" s="172"/>
      <c r="Y1222" s="172"/>
      <c r="Z1222" s="172"/>
      <c r="AA1222" s="195"/>
      <c r="AB1222" s="172"/>
    </row>
    <row r="1223" spans="1:28" ht="12.75" customHeight="1" x14ac:dyDescent="0.3">
      <c r="A1223" s="667"/>
      <c r="B1223" s="668" t="s">
        <v>6485</v>
      </c>
      <c r="C1223" s="160" t="s">
        <v>6486</v>
      </c>
      <c r="D1223" s="160"/>
      <c r="E1223" s="439">
        <v>7.9</v>
      </c>
      <c r="F1223" s="161">
        <v>633.06744583399995</v>
      </c>
      <c r="G1223" s="161"/>
      <c r="H1223" s="654"/>
      <c r="I1223" s="654"/>
      <c r="J1223" s="191"/>
      <c r="K1223" s="191">
        <v>44790.921764466802</v>
      </c>
      <c r="L1223" s="191"/>
      <c r="M1223" s="191"/>
      <c r="N1223" s="191"/>
      <c r="O1223" s="191"/>
      <c r="P1223" s="191"/>
      <c r="Q1223" s="191"/>
      <c r="R1223" s="191"/>
      <c r="S1223" s="191"/>
      <c r="T1223" s="191"/>
      <c r="U1223" s="439"/>
      <c r="V1223" s="441"/>
      <c r="W1223" s="178"/>
      <c r="X1223" s="172"/>
      <c r="Y1223" s="172"/>
      <c r="Z1223" s="172"/>
      <c r="AA1223" s="195"/>
      <c r="AB1223" s="172"/>
    </row>
    <row r="1224" spans="1:28" ht="12.75" customHeight="1" x14ac:dyDescent="0.3">
      <c r="A1224" s="667"/>
      <c r="B1224" s="668" t="s">
        <v>6487</v>
      </c>
      <c r="C1224" s="160" t="s">
        <v>6488</v>
      </c>
      <c r="D1224" s="160"/>
      <c r="E1224" s="439">
        <v>6.18</v>
      </c>
      <c r="F1224" s="161">
        <v>656.07792744799997</v>
      </c>
      <c r="G1224" s="161"/>
      <c r="H1224" s="654"/>
      <c r="I1224" s="654"/>
      <c r="J1224" s="191"/>
      <c r="K1224" s="191">
        <v>43476.042036814899</v>
      </c>
      <c r="L1224" s="191"/>
      <c r="M1224" s="191"/>
      <c r="N1224" s="191"/>
      <c r="O1224" s="191"/>
      <c r="P1224" s="191"/>
      <c r="Q1224" s="191"/>
      <c r="R1224" s="191"/>
      <c r="S1224" s="191"/>
      <c r="T1224" s="191"/>
      <c r="U1224" s="439"/>
      <c r="V1224" s="441"/>
      <c r="W1224" s="178"/>
      <c r="X1224" s="172"/>
      <c r="Y1224" s="172"/>
      <c r="Z1224" s="172"/>
      <c r="AA1224" s="195"/>
      <c r="AB1224" s="172"/>
    </row>
    <row r="1225" spans="1:28" ht="12.75" customHeight="1" x14ac:dyDescent="0.3">
      <c r="A1225" s="667"/>
      <c r="B1225" s="668" t="s">
        <v>6489</v>
      </c>
      <c r="C1225" s="160" t="s">
        <v>6490</v>
      </c>
      <c r="D1225" s="160"/>
      <c r="E1225" s="439">
        <v>6.18</v>
      </c>
      <c r="F1225" s="161">
        <v>606.08112112200001</v>
      </c>
      <c r="G1225" s="161"/>
      <c r="H1225" s="654"/>
      <c r="I1225" s="654"/>
      <c r="J1225" s="191"/>
      <c r="K1225" s="191">
        <v>115194.037401037</v>
      </c>
      <c r="L1225" s="191"/>
      <c r="M1225" s="191"/>
      <c r="N1225" s="191"/>
      <c r="O1225" s="191"/>
      <c r="P1225" s="191"/>
      <c r="Q1225" s="191"/>
      <c r="R1225" s="191"/>
      <c r="S1225" s="191"/>
      <c r="T1225" s="191"/>
      <c r="U1225" s="439"/>
      <c r="V1225" s="441"/>
      <c r="W1225" s="178"/>
      <c r="X1225" s="172"/>
      <c r="Y1225" s="172"/>
      <c r="Z1225" s="172"/>
      <c r="AA1225" s="195"/>
      <c r="AB1225" s="172"/>
    </row>
    <row r="1226" spans="1:28" ht="12.75" customHeight="1" x14ac:dyDescent="0.3">
      <c r="A1226" s="667"/>
      <c r="B1226" s="668" t="s">
        <v>6491</v>
      </c>
      <c r="C1226" s="160" t="s">
        <v>6492</v>
      </c>
      <c r="D1226" s="160"/>
      <c r="E1226" s="439">
        <v>6.26</v>
      </c>
      <c r="F1226" s="161">
        <v>506.08750846999999</v>
      </c>
      <c r="G1226" s="161"/>
      <c r="H1226" s="654"/>
      <c r="I1226" s="654"/>
      <c r="J1226" s="191"/>
      <c r="K1226" s="191">
        <v>8589.3440707963291</v>
      </c>
      <c r="L1226" s="191"/>
      <c r="M1226" s="191"/>
      <c r="N1226" s="191"/>
      <c r="O1226" s="191"/>
      <c r="P1226" s="191"/>
      <c r="Q1226" s="191"/>
      <c r="R1226" s="191"/>
      <c r="S1226" s="191"/>
      <c r="T1226" s="191"/>
      <c r="U1226" s="439"/>
      <c r="V1226" s="441"/>
      <c r="W1226" s="178"/>
      <c r="X1226" s="172"/>
      <c r="Y1226" s="172"/>
      <c r="Z1226" s="172"/>
      <c r="AA1226" s="195"/>
      <c r="AB1226" s="172"/>
    </row>
    <row r="1227" spans="1:28" ht="12.75" customHeight="1" x14ac:dyDescent="0.3">
      <c r="A1227" s="667"/>
      <c r="B1227" s="668" t="s">
        <v>6493</v>
      </c>
      <c r="C1227" s="160" t="s">
        <v>6494</v>
      </c>
      <c r="D1227" s="160"/>
      <c r="E1227" s="439">
        <v>5.17</v>
      </c>
      <c r="F1227" s="161">
        <v>642.04810691600005</v>
      </c>
      <c r="G1227" s="161"/>
      <c r="H1227" s="654"/>
      <c r="I1227" s="654"/>
      <c r="J1227" s="191"/>
      <c r="K1227" s="191">
        <v>162757.12135876401</v>
      </c>
      <c r="L1227" s="191"/>
      <c r="M1227" s="191"/>
      <c r="N1227" s="191"/>
      <c r="O1227" s="191"/>
      <c r="P1227" s="191"/>
      <c r="Q1227" s="191"/>
      <c r="R1227" s="191"/>
      <c r="S1227" s="191"/>
      <c r="T1227" s="191"/>
      <c r="U1227" s="439"/>
      <c r="V1227" s="441"/>
      <c r="W1227" s="178"/>
      <c r="X1227" s="172"/>
      <c r="Y1227" s="172"/>
      <c r="Z1227" s="172"/>
      <c r="AA1227" s="195"/>
      <c r="AB1227" s="172"/>
    </row>
    <row r="1228" spans="1:28" ht="12.75" customHeight="1" x14ac:dyDescent="0.3">
      <c r="A1228" s="667"/>
      <c r="B1228" s="668" t="s">
        <v>6495</v>
      </c>
      <c r="C1228" s="160" t="s">
        <v>6496</v>
      </c>
      <c r="D1228" s="160"/>
      <c r="E1228" s="439"/>
      <c r="F1228" s="161">
        <v>438.00059002900002</v>
      </c>
      <c r="G1228" s="161"/>
      <c r="H1228" s="654"/>
      <c r="I1228" s="654"/>
      <c r="J1228" s="191"/>
      <c r="K1228" s="191"/>
      <c r="L1228" s="191"/>
      <c r="M1228" s="191"/>
      <c r="N1228" s="191"/>
      <c r="O1228" s="191"/>
      <c r="P1228" s="191"/>
      <c r="Q1228" s="191"/>
      <c r="R1228" s="191"/>
      <c r="S1228" s="191"/>
      <c r="T1228" s="191"/>
      <c r="U1228" s="439"/>
      <c r="V1228" s="441"/>
      <c r="W1228" s="178"/>
      <c r="X1228" s="172"/>
      <c r="Y1228" s="172"/>
      <c r="Z1228" s="172"/>
      <c r="AA1228" s="195"/>
      <c r="AB1228" s="172"/>
    </row>
    <row r="1229" spans="1:28" ht="12.75" customHeight="1" x14ac:dyDescent="0.3">
      <c r="A1229" s="667"/>
      <c r="B1229" s="668" t="s">
        <v>6497</v>
      </c>
      <c r="C1229" s="160" t="s">
        <v>6498</v>
      </c>
      <c r="D1229" s="160"/>
      <c r="E1229" s="439"/>
      <c r="F1229" s="161">
        <v>371.98979532599998</v>
      </c>
      <c r="G1229" s="161">
        <v>-35.043999999999997</v>
      </c>
      <c r="H1229" s="654">
        <v>28.833815584</v>
      </c>
      <c r="I1229" s="654">
        <v>1.1182310839335801</v>
      </c>
      <c r="J1229" s="191"/>
      <c r="K1229" s="191">
        <v>140110.279684468</v>
      </c>
      <c r="L1229" s="191"/>
      <c r="M1229" s="191"/>
      <c r="N1229" s="191"/>
      <c r="O1229" s="191"/>
      <c r="P1229" s="191"/>
      <c r="Q1229" s="191"/>
      <c r="R1229" s="191"/>
      <c r="S1229" s="191"/>
      <c r="T1229" s="191"/>
      <c r="U1229" s="439"/>
      <c r="V1229" s="441"/>
      <c r="W1229" s="178"/>
      <c r="X1229" s="172"/>
      <c r="Y1229" s="172"/>
      <c r="Z1229" s="172"/>
      <c r="AA1229" s="195"/>
      <c r="AB1229" s="172"/>
    </row>
    <row r="1230" spans="1:28" ht="12.75" customHeight="1" x14ac:dyDescent="0.3">
      <c r="A1230" s="667"/>
      <c r="B1230" s="668" t="s">
        <v>6499</v>
      </c>
      <c r="C1230" s="160" t="s">
        <v>6220</v>
      </c>
      <c r="D1230" s="160"/>
      <c r="E1230" s="439">
        <v>-0.56999999999999995</v>
      </c>
      <c r="F1230" s="161">
        <v>606.97220192999998</v>
      </c>
      <c r="G1230" s="161"/>
      <c r="H1230" s="654"/>
      <c r="I1230" s="654"/>
      <c r="J1230" s="191"/>
      <c r="K1230" s="191">
        <v>4288.4465349681996</v>
      </c>
      <c r="L1230" s="191"/>
      <c r="M1230" s="191"/>
      <c r="N1230" s="191"/>
      <c r="O1230" s="191"/>
      <c r="P1230" s="191"/>
      <c r="Q1230" s="191"/>
      <c r="R1230" s="191"/>
      <c r="S1230" s="191"/>
      <c r="T1230" s="191"/>
      <c r="U1230" s="439"/>
      <c r="V1230" s="441"/>
      <c r="W1230" s="178"/>
      <c r="X1230" s="172"/>
      <c r="Y1230" s="172"/>
      <c r="Z1230" s="172"/>
      <c r="AA1230" s="195"/>
      <c r="AB1230" s="172"/>
    </row>
    <row r="1231" spans="1:28" ht="12.75" customHeight="1" x14ac:dyDescent="0.3">
      <c r="A1231" s="667"/>
      <c r="B1231" s="668" t="s">
        <v>6500</v>
      </c>
      <c r="C1231" s="160" t="s">
        <v>6206</v>
      </c>
      <c r="D1231" s="160"/>
      <c r="E1231" s="439">
        <v>5.03</v>
      </c>
      <c r="F1231" s="161">
        <v>690.93918772999996</v>
      </c>
      <c r="G1231" s="161"/>
      <c r="H1231" s="654"/>
      <c r="I1231" s="654"/>
      <c r="J1231" s="191"/>
      <c r="K1231" s="191">
        <v>1670975.1834474599</v>
      </c>
      <c r="L1231" s="191"/>
      <c r="M1231" s="191"/>
      <c r="N1231" s="191"/>
      <c r="O1231" s="191"/>
      <c r="P1231" s="191"/>
      <c r="Q1231" s="191"/>
      <c r="R1231" s="191"/>
      <c r="S1231" s="191"/>
      <c r="T1231" s="191"/>
      <c r="U1231" s="439"/>
      <c r="V1231" s="441"/>
      <c r="W1231" s="178"/>
      <c r="X1231" s="172"/>
      <c r="Y1231" s="172"/>
      <c r="Z1231" s="172"/>
      <c r="AA1231" s="195"/>
      <c r="AB1231" s="172"/>
    </row>
    <row r="1232" spans="1:28" ht="12.75" customHeight="1" x14ac:dyDescent="0.3">
      <c r="A1232" s="667"/>
      <c r="B1232" s="668" t="s">
        <v>6501</v>
      </c>
      <c r="C1232" s="160" t="s">
        <v>6502</v>
      </c>
      <c r="D1232" s="160"/>
      <c r="E1232" s="439">
        <v>4.8099999999999996</v>
      </c>
      <c r="F1232" s="161">
        <v>640.94238140000004</v>
      </c>
      <c r="G1232" s="161"/>
      <c r="H1232" s="654"/>
      <c r="I1232" s="654"/>
      <c r="J1232" s="191"/>
      <c r="K1232" s="191">
        <v>95651.106864006593</v>
      </c>
      <c r="L1232" s="191"/>
      <c r="M1232" s="191"/>
      <c r="N1232" s="191"/>
      <c r="O1232" s="191"/>
      <c r="P1232" s="191"/>
      <c r="Q1232" s="191"/>
      <c r="R1232" s="191"/>
      <c r="S1232" s="191"/>
      <c r="T1232" s="191"/>
      <c r="U1232" s="439"/>
      <c r="V1232" s="441"/>
      <c r="W1232" s="178"/>
      <c r="X1232" s="172"/>
      <c r="Y1232" s="172"/>
      <c r="Z1232" s="172"/>
      <c r="AA1232" s="195"/>
      <c r="AB1232" s="172"/>
    </row>
    <row r="1233" spans="1:28" ht="12.75" customHeight="1" x14ac:dyDescent="0.3">
      <c r="A1233" s="667"/>
      <c r="B1233" s="668" t="s">
        <v>6503</v>
      </c>
      <c r="C1233" s="160" t="s">
        <v>6208</v>
      </c>
      <c r="D1233" s="160"/>
      <c r="E1233" s="439">
        <v>5.07</v>
      </c>
      <c r="F1233" s="161">
        <v>590.94557508000003</v>
      </c>
      <c r="G1233" s="161"/>
      <c r="H1233" s="654"/>
      <c r="I1233" s="654"/>
      <c r="J1233" s="191"/>
      <c r="K1233" s="191">
        <v>23728.4844226557</v>
      </c>
      <c r="L1233" s="191"/>
      <c r="M1233" s="191"/>
      <c r="N1233" s="191"/>
      <c r="O1233" s="191"/>
      <c r="P1233" s="191"/>
      <c r="Q1233" s="191"/>
      <c r="R1233" s="191"/>
      <c r="S1233" s="191"/>
      <c r="T1233" s="191"/>
      <c r="U1233" s="439"/>
      <c r="V1233" s="441"/>
      <c r="W1233" s="178"/>
      <c r="X1233" s="172"/>
      <c r="Y1233" s="172"/>
      <c r="Z1233" s="172"/>
      <c r="AA1233" s="195"/>
      <c r="AB1233" s="172"/>
    </row>
    <row r="1234" spans="1:28" ht="12.75" customHeight="1" x14ac:dyDescent="0.3">
      <c r="A1234" s="667"/>
      <c r="B1234" s="668" t="s">
        <v>6504</v>
      </c>
      <c r="C1234" s="160" t="s">
        <v>6210</v>
      </c>
      <c r="D1234" s="160"/>
      <c r="E1234" s="439">
        <v>5.14</v>
      </c>
      <c r="F1234" s="161">
        <v>540.94876875</v>
      </c>
      <c r="G1234" s="161"/>
      <c r="H1234" s="654"/>
      <c r="I1234" s="654"/>
      <c r="J1234" s="191"/>
      <c r="K1234" s="191">
        <v>861.76727888706102</v>
      </c>
      <c r="L1234" s="191"/>
      <c r="M1234" s="191"/>
      <c r="N1234" s="191"/>
      <c r="O1234" s="191"/>
      <c r="P1234" s="191"/>
      <c r="Q1234" s="191"/>
      <c r="R1234" s="191"/>
      <c r="S1234" s="191"/>
      <c r="T1234" s="191"/>
      <c r="U1234" s="439"/>
      <c r="V1234" s="441"/>
      <c r="W1234" s="178"/>
      <c r="X1234" s="172"/>
      <c r="Y1234" s="172"/>
      <c r="Z1234" s="172"/>
      <c r="AA1234" s="195"/>
      <c r="AB1234" s="172"/>
    </row>
    <row r="1235" spans="1:28" ht="12.75" customHeight="1" x14ac:dyDescent="0.3">
      <c r="A1235" s="667"/>
      <c r="B1235" s="668" t="s">
        <v>6505</v>
      </c>
      <c r="C1235" s="160" t="s">
        <v>6506</v>
      </c>
      <c r="D1235" s="160"/>
      <c r="E1235" s="439">
        <v>5.08</v>
      </c>
      <c r="F1235" s="161">
        <v>490.95196241999997</v>
      </c>
      <c r="G1235" s="161"/>
      <c r="H1235" s="654"/>
      <c r="I1235" s="654"/>
      <c r="J1235" s="191"/>
      <c r="K1235" s="191">
        <v>340.61988658219099</v>
      </c>
      <c r="L1235" s="191"/>
      <c r="M1235" s="191"/>
      <c r="N1235" s="191"/>
      <c r="O1235" s="191"/>
      <c r="P1235" s="191"/>
      <c r="Q1235" s="191"/>
      <c r="R1235" s="191"/>
      <c r="S1235" s="191"/>
      <c r="T1235" s="191"/>
      <c r="U1235" s="439"/>
      <c r="V1235" s="441"/>
      <c r="W1235" s="178"/>
      <c r="X1235" s="172"/>
      <c r="Y1235" s="172"/>
      <c r="Z1235" s="172"/>
      <c r="AA1235" s="195"/>
      <c r="AB1235" s="172"/>
    </row>
    <row r="1236" spans="1:28" ht="12.75" customHeight="1" x14ac:dyDescent="0.3">
      <c r="A1236" s="667"/>
      <c r="B1236" s="668" t="s">
        <v>6507</v>
      </c>
      <c r="C1236" s="160" t="s">
        <v>6100</v>
      </c>
      <c r="D1236" s="160"/>
      <c r="E1236" s="439">
        <v>4.8600000000000003</v>
      </c>
      <c r="F1236" s="161">
        <v>912.79572910000002</v>
      </c>
      <c r="G1236" s="161"/>
      <c r="H1236" s="654"/>
      <c r="I1236" s="654"/>
      <c r="J1236" s="191"/>
      <c r="K1236" s="191">
        <v>71896872.654276505</v>
      </c>
      <c r="L1236" s="191"/>
      <c r="M1236" s="191"/>
      <c r="N1236" s="191"/>
      <c r="O1236" s="191"/>
      <c r="P1236" s="191"/>
      <c r="Q1236" s="191"/>
      <c r="R1236" s="191"/>
      <c r="S1236" s="191"/>
      <c r="T1236" s="191"/>
      <c r="U1236" s="439"/>
      <c r="V1236" s="441"/>
      <c r="W1236" s="178"/>
      <c r="X1236" s="172"/>
      <c r="Y1236" s="172"/>
      <c r="Z1236" s="172"/>
      <c r="AA1236" s="195"/>
      <c r="AB1236" s="172"/>
    </row>
    <row r="1237" spans="1:28" ht="12.75" customHeight="1" x14ac:dyDescent="0.3">
      <c r="A1237" s="667"/>
      <c r="B1237" s="668" t="s">
        <v>6508</v>
      </c>
      <c r="C1237" s="160" t="s">
        <v>6108</v>
      </c>
      <c r="D1237" s="160"/>
      <c r="E1237" s="439">
        <v>5.22</v>
      </c>
      <c r="F1237" s="161">
        <v>712.80850380000004</v>
      </c>
      <c r="G1237" s="161"/>
      <c r="H1237" s="654"/>
      <c r="I1237" s="654"/>
      <c r="J1237" s="191"/>
      <c r="K1237" s="191">
        <v>1493.8603486760001</v>
      </c>
      <c r="L1237" s="191"/>
      <c r="M1237" s="191"/>
      <c r="N1237" s="191"/>
      <c r="O1237" s="191"/>
      <c r="P1237" s="191"/>
      <c r="Q1237" s="191"/>
      <c r="R1237" s="191"/>
      <c r="S1237" s="191"/>
      <c r="T1237" s="191"/>
      <c r="U1237" s="439"/>
      <c r="V1237" s="441"/>
      <c r="W1237" s="178"/>
      <c r="X1237" s="172"/>
      <c r="Y1237" s="172"/>
      <c r="Z1237" s="172"/>
      <c r="AA1237" s="195"/>
      <c r="AB1237" s="172"/>
    </row>
    <row r="1238" spans="1:28" ht="12.75" customHeight="1" x14ac:dyDescent="0.3">
      <c r="A1238" s="667"/>
      <c r="B1238" s="668" t="s">
        <v>6509</v>
      </c>
      <c r="C1238" s="160" t="s">
        <v>6510</v>
      </c>
      <c r="D1238" s="160"/>
      <c r="E1238" s="439">
        <v>9.31</v>
      </c>
      <c r="F1238" s="161">
        <v>589.00042844699999</v>
      </c>
      <c r="G1238" s="161">
        <v>9.3369999999999997</v>
      </c>
      <c r="H1238" s="654">
        <v>1.5991973900000001</v>
      </c>
      <c r="I1238" s="654">
        <v>8.6919382226352204E-2</v>
      </c>
      <c r="J1238" s="191"/>
      <c r="K1238" s="191">
        <v>657794.13966000895</v>
      </c>
      <c r="L1238" s="191"/>
      <c r="M1238" s="191"/>
      <c r="N1238" s="191"/>
      <c r="O1238" s="191"/>
      <c r="P1238" s="191"/>
      <c r="Q1238" s="191"/>
      <c r="R1238" s="191"/>
      <c r="S1238" s="191"/>
      <c r="T1238" s="191"/>
      <c r="U1238" s="439"/>
      <c r="V1238" s="441"/>
      <c r="W1238" s="178"/>
      <c r="X1238" s="172"/>
      <c r="Y1238" s="172"/>
      <c r="Z1238" s="172"/>
      <c r="AA1238" s="195"/>
      <c r="AB1238" s="172"/>
    </row>
    <row r="1239" spans="1:28" ht="12.75" customHeight="1" x14ac:dyDescent="0.3">
      <c r="A1239" s="667"/>
      <c r="B1239" s="668" t="s">
        <v>6511</v>
      </c>
      <c r="C1239" s="160" t="s">
        <v>6512</v>
      </c>
      <c r="D1239" s="160"/>
      <c r="E1239" s="439">
        <v>9.09</v>
      </c>
      <c r="F1239" s="161">
        <v>539.00362212100003</v>
      </c>
      <c r="G1239" s="161">
        <v>11.121</v>
      </c>
      <c r="H1239" s="654">
        <v>2.3763046636</v>
      </c>
      <c r="I1239" s="654">
        <v>0.197511409282775</v>
      </c>
      <c r="J1239" s="191"/>
      <c r="K1239" s="191">
        <v>546399.13104194705</v>
      </c>
      <c r="L1239" s="191"/>
      <c r="M1239" s="191"/>
      <c r="N1239" s="191"/>
      <c r="O1239" s="191"/>
      <c r="P1239" s="191"/>
      <c r="Q1239" s="191"/>
      <c r="R1239" s="191"/>
      <c r="S1239" s="191"/>
      <c r="T1239" s="191"/>
      <c r="U1239" s="439"/>
      <c r="V1239" s="441"/>
      <c r="W1239" s="178"/>
      <c r="X1239" s="172"/>
      <c r="Y1239" s="172"/>
      <c r="Z1239" s="172"/>
      <c r="AA1239" s="195"/>
      <c r="AB1239" s="172"/>
    </row>
    <row r="1240" spans="1:28" ht="12.75" customHeight="1" x14ac:dyDescent="0.3">
      <c r="A1240" s="667"/>
      <c r="B1240" s="668" t="s">
        <v>6513</v>
      </c>
      <c r="C1240" s="160" t="s">
        <v>6514</v>
      </c>
      <c r="D1240" s="160"/>
      <c r="E1240" s="439">
        <v>9.5399999999999991</v>
      </c>
      <c r="F1240" s="161">
        <v>489.00681579500002</v>
      </c>
      <c r="G1240" s="161">
        <v>12.904</v>
      </c>
      <c r="H1240" s="654">
        <v>2.2798328643999999</v>
      </c>
      <c r="I1240" s="654">
        <v>0.44495365878047499</v>
      </c>
      <c r="J1240" s="191"/>
      <c r="K1240" s="191">
        <v>26694.389930023499</v>
      </c>
      <c r="L1240" s="191"/>
      <c r="M1240" s="191"/>
      <c r="N1240" s="191"/>
      <c r="O1240" s="191"/>
      <c r="P1240" s="191"/>
      <c r="Q1240" s="191"/>
      <c r="R1240" s="191"/>
      <c r="S1240" s="191"/>
      <c r="T1240" s="191"/>
      <c r="U1240" s="439"/>
      <c r="V1240" s="441"/>
      <c r="W1240" s="178"/>
      <c r="X1240" s="172"/>
      <c r="Y1240" s="172"/>
      <c r="Z1240" s="172"/>
      <c r="AA1240" s="195"/>
      <c r="AB1240" s="172"/>
    </row>
    <row r="1241" spans="1:28" ht="12.75" customHeight="1" x14ac:dyDescent="0.3">
      <c r="A1241" s="667"/>
      <c r="B1241" s="668" t="s">
        <v>6515</v>
      </c>
      <c r="C1241" s="160" t="s">
        <v>6516</v>
      </c>
      <c r="D1241" s="160"/>
      <c r="E1241" s="439">
        <v>9.5299999999999994</v>
      </c>
      <c r="F1241" s="161">
        <v>439.01000946900001</v>
      </c>
      <c r="G1241" s="161">
        <v>14.688000000000001</v>
      </c>
      <c r="H1241" s="654">
        <v>0.69968318854</v>
      </c>
      <c r="I1241" s="654">
        <v>0.99419962784387605</v>
      </c>
      <c r="J1241" s="191"/>
      <c r="K1241" s="191">
        <v>8951.7923595357697</v>
      </c>
      <c r="L1241" s="191"/>
      <c r="M1241" s="191"/>
      <c r="N1241" s="191"/>
      <c r="O1241" s="191"/>
      <c r="P1241" s="191"/>
      <c r="Q1241" s="191"/>
      <c r="R1241" s="191"/>
      <c r="S1241" s="191"/>
      <c r="T1241" s="191"/>
      <c r="U1241" s="439"/>
      <c r="V1241" s="441"/>
      <c r="W1241" s="178"/>
      <c r="X1241" s="172"/>
      <c r="Y1241" s="172"/>
      <c r="Z1241" s="172"/>
      <c r="AA1241" s="195"/>
      <c r="AB1241" s="172"/>
    </row>
    <row r="1242" spans="1:28" ht="12.75" customHeight="1" x14ac:dyDescent="0.3">
      <c r="A1242" s="667"/>
      <c r="B1242" s="668" t="s">
        <v>6517</v>
      </c>
      <c r="C1242" s="160" t="s">
        <v>6518</v>
      </c>
      <c r="D1242" s="160"/>
      <c r="E1242" s="439">
        <v>9.2200000000000006</v>
      </c>
      <c r="F1242" s="161">
        <v>389.013203143</v>
      </c>
      <c r="G1242" s="161">
        <v>96.856999999999999</v>
      </c>
      <c r="H1242" s="654">
        <v>4.97624365E-2</v>
      </c>
      <c r="I1242" s="654">
        <v>2.1875807366863702</v>
      </c>
      <c r="J1242" s="191"/>
      <c r="K1242" s="191">
        <v>18395.432368588401</v>
      </c>
      <c r="L1242" s="191"/>
      <c r="M1242" s="191"/>
      <c r="N1242" s="191"/>
      <c r="O1242" s="191"/>
      <c r="P1242" s="191"/>
      <c r="Q1242" s="191"/>
      <c r="R1242" s="191"/>
      <c r="S1242" s="191"/>
      <c r="T1242" s="191"/>
      <c r="U1242" s="439"/>
      <c r="V1242" s="441"/>
      <c r="W1242" s="178"/>
      <c r="X1242" s="172"/>
      <c r="Y1242" s="172"/>
      <c r="Z1242" s="172"/>
      <c r="AA1242" s="195"/>
      <c r="AB1242" s="172"/>
    </row>
    <row r="1243" spans="1:28" ht="12.75" customHeight="1" x14ac:dyDescent="0.3">
      <c r="A1243" s="667"/>
      <c r="B1243" s="668" t="s">
        <v>6519</v>
      </c>
      <c r="C1243" s="160" t="s">
        <v>6520</v>
      </c>
      <c r="D1243" s="160"/>
      <c r="E1243" s="439"/>
      <c r="F1243" s="161">
        <v>585.02664319500002</v>
      </c>
      <c r="G1243" s="161"/>
      <c r="H1243" s="654"/>
      <c r="I1243" s="654"/>
      <c r="J1243" s="191"/>
      <c r="K1243" s="191"/>
      <c r="L1243" s="191"/>
      <c r="M1243" s="191"/>
      <c r="N1243" s="191"/>
      <c r="O1243" s="191"/>
      <c r="P1243" s="191"/>
      <c r="Q1243" s="191"/>
      <c r="R1243" s="191"/>
      <c r="S1243" s="191"/>
      <c r="T1243" s="191"/>
      <c r="U1243" s="439"/>
      <c r="V1243" s="441"/>
      <c r="W1243" s="178"/>
      <c r="X1243" s="172"/>
      <c r="Y1243" s="172"/>
      <c r="Z1243" s="172"/>
      <c r="AA1243" s="195"/>
      <c r="AB1243" s="172"/>
    </row>
    <row r="1244" spans="1:28" ht="12.75" customHeight="1" x14ac:dyDescent="0.3">
      <c r="A1244" s="667"/>
      <c r="B1244" s="668" t="s">
        <v>6521</v>
      </c>
      <c r="C1244" s="160" t="s">
        <v>6102</v>
      </c>
      <c r="D1244" s="160"/>
      <c r="E1244" s="439">
        <v>4.8600000000000003</v>
      </c>
      <c r="F1244" s="161">
        <v>862.79892280000001</v>
      </c>
      <c r="G1244" s="161"/>
      <c r="H1244" s="654"/>
      <c r="I1244" s="654"/>
      <c r="J1244" s="191"/>
      <c r="K1244" s="191">
        <v>167610028.52847901</v>
      </c>
      <c r="L1244" s="191"/>
      <c r="M1244" s="191"/>
      <c r="N1244" s="191"/>
      <c r="O1244" s="191"/>
      <c r="P1244" s="191"/>
      <c r="Q1244" s="191"/>
      <c r="R1244" s="191"/>
      <c r="S1244" s="191"/>
      <c r="T1244" s="191"/>
      <c r="U1244" s="439"/>
      <c r="V1244" s="441"/>
      <c r="W1244" s="178"/>
      <c r="X1244" s="172"/>
      <c r="Y1244" s="172"/>
      <c r="Z1244" s="172"/>
      <c r="AA1244" s="195"/>
      <c r="AB1244" s="172"/>
    </row>
    <row r="1245" spans="1:28" ht="12.75" customHeight="1" x14ac:dyDescent="0.3">
      <c r="A1245" s="667"/>
      <c r="B1245" s="668" t="s">
        <v>6522</v>
      </c>
      <c r="C1245" s="160" t="s">
        <v>6104</v>
      </c>
      <c r="D1245" s="160"/>
      <c r="E1245" s="439">
        <v>5.12</v>
      </c>
      <c r="F1245" s="161">
        <v>812.80211650000001</v>
      </c>
      <c r="G1245" s="161"/>
      <c r="H1245" s="654"/>
      <c r="I1245" s="654"/>
      <c r="J1245" s="191"/>
      <c r="K1245" s="191">
        <v>8607955.2386946008</v>
      </c>
      <c r="L1245" s="191"/>
      <c r="M1245" s="191"/>
      <c r="N1245" s="191"/>
      <c r="O1245" s="191"/>
      <c r="P1245" s="191"/>
      <c r="Q1245" s="191"/>
      <c r="R1245" s="191"/>
      <c r="S1245" s="191"/>
      <c r="T1245" s="191"/>
      <c r="U1245" s="439"/>
      <c r="V1245" s="441"/>
      <c r="W1245" s="178"/>
      <c r="X1245" s="172"/>
      <c r="Y1245" s="172"/>
      <c r="Z1245" s="172"/>
      <c r="AA1245" s="195"/>
      <c r="AB1245" s="172"/>
    </row>
    <row r="1246" spans="1:28" ht="12.75" customHeight="1" x14ac:dyDescent="0.3">
      <c r="A1246" s="667"/>
      <c r="B1246" s="668" t="s">
        <v>6523</v>
      </c>
      <c r="C1246" s="160" t="s">
        <v>6106</v>
      </c>
      <c r="D1246" s="160"/>
      <c r="E1246" s="439">
        <v>5.38</v>
      </c>
      <c r="F1246" s="161">
        <v>762.80531010000004</v>
      </c>
      <c r="G1246" s="161"/>
      <c r="H1246" s="654"/>
      <c r="I1246" s="654"/>
      <c r="J1246" s="191"/>
      <c r="K1246" s="191">
        <v>5742.7511836637796</v>
      </c>
      <c r="L1246" s="191"/>
      <c r="M1246" s="191"/>
      <c r="N1246" s="191"/>
      <c r="O1246" s="191"/>
      <c r="P1246" s="191"/>
      <c r="Q1246" s="191"/>
      <c r="R1246" s="191"/>
      <c r="S1246" s="191"/>
      <c r="T1246" s="191"/>
      <c r="U1246" s="439"/>
      <c r="V1246" s="441"/>
      <c r="W1246" s="178"/>
      <c r="X1246" s="172"/>
      <c r="Y1246" s="172"/>
      <c r="Z1246" s="172"/>
      <c r="AA1246" s="195"/>
      <c r="AB1246" s="172"/>
    </row>
    <row r="1247" spans="1:28" ht="12.75" customHeight="1" x14ac:dyDescent="0.3">
      <c r="A1247" s="667"/>
      <c r="B1247" s="668" t="s">
        <v>6524</v>
      </c>
      <c r="C1247" s="160" t="s">
        <v>6525</v>
      </c>
      <c r="D1247" s="160"/>
      <c r="E1247" s="439">
        <v>10.029999999999999</v>
      </c>
      <c r="F1247" s="161">
        <v>433.003032383</v>
      </c>
      <c r="G1247" s="161"/>
      <c r="H1247" s="654"/>
      <c r="I1247" s="654"/>
      <c r="J1247" s="191"/>
      <c r="K1247" s="191">
        <v>94521.368323374001</v>
      </c>
      <c r="L1247" s="191"/>
      <c r="M1247" s="191"/>
      <c r="N1247" s="191"/>
      <c r="O1247" s="191"/>
      <c r="P1247" s="191"/>
      <c r="Q1247" s="191"/>
      <c r="R1247" s="191"/>
      <c r="S1247" s="191"/>
      <c r="T1247" s="191"/>
      <c r="U1247" s="439"/>
      <c r="V1247" s="441"/>
      <c r="W1247" s="178"/>
      <c r="X1247" s="172"/>
      <c r="Y1247" s="172"/>
      <c r="Z1247" s="172"/>
      <c r="AA1247" s="195"/>
      <c r="AB1247" s="172"/>
    </row>
    <row r="1248" spans="1:28" ht="12.75" customHeight="1" x14ac:dyDescent="0.3">
      <c r="A1248" s="667"/>
      <c r="B1248" s="668" t="s">
        <v>6526</v>
      </c>
      <c r="C1248" s="160" t="s">
        <v>6527</v>
      </c>
      <c r="D1248" s="160"/>
      <c r="E1248" s="439">
        <v>9.3000000000000007</v>
      </c>
      <c r="F1248" s="161">
        <v>466.96406009999998</v>
      </c>
      <c r="G1248" s="161"/>
      <c r="H1248" s="654"/>
      <c r="I1248" s="654"/>
      <c r="J1248" s="191"/>
      <c r="K1248" s="191">
        <v>76563.186474977701</v>
      </c>
      <c r="L1248" s="191"/>
      <c r="M1248" s="191"/>
      <c r="N1248" s="191"/>
      <c r="O1248" s="191"/>
      <c r="P1248" s="191"/>
      <c r="Q1248" s="191"/>
      <c r="R1248" s="191"/>
      <c r="S1248" s="191"/>
      <c r="T1248" s="191"/>
      <c r="U1248" s="439"/>
      <c r="V1248" s="441"/>
      <c r="W1248" s="178"/>
      <c r="X1248" s="172"/>
      <c r="Y1248" s="172"/>
      <c r="Z1248" s="172"/>
      <c r="AA1248" s="195"/>
      <c r="AB1248" s="172"/>
    </row>
    <row r="1249" spans="1:28" ht="12.75" customHeight="1" x14ac:dyDescent="0.3">
      <c r="A1249" s="667"/>
      <c r="B1249" s="668" t="s">
        <v>6528</v>
      </c>
      <c r="C1249" s="160" t="s">
        <v>6529</v>
      </c>
      <c r="D1249" s="160"/>
      <c r="E1249" s="439">
        <v>3.59</v>
      </c>
      <c r="F1249" s="161">
        <v>495.980917213</v>
      </c>
      <c r="G1249" s="161"/>
      <c r="H1249" s="654"/>
      <c r="I1249" s="654"/>
      <c r="J1249" s="191"/>
      <c r="K1249" s="191">
        <v>11226.3867597182</v>
      </c>
      <c r="L1249" s="191"/>
      <c r="M1249" s="191"/>
      <c r="N1249" s="191"/>
      <c r="O1249" s="191"/>
      <c r="P1249" s="191"/>
      <c r="Q1249" s="191"/>
      <c r="R1249" s="191"/>
      <c r="S1249" s="191"/>
      <c r="T1249" s="191"/>
      <c r="U1249" s="439"/>
      <c r="V1249" s="441"/>
      <c r="W1249" s="178"/>
      <c r="X1249" s="172"/>
      <c r="Y1249" s="172"/>
      <c r="Z1249" s="172"/>
      <c r="AA1249" s="195"/>
      <c r="AB1249" s="172"/>
    </row>
    <row r="1250" spans="1:28" ht="12.75" customHeight="1" x14ac:dyDescent="0.3">
      <c r="A1250" s="667"/>
      <c r="B1250" s="668" t="s">
        <v>6530</v>
      </c>
      <c r="C1250" s="160" t="s">
        <v>6531</v>
      </c>
      <c r="D1250" s="160"/>
      <c r="E1250" s="439"/>
      <c r="F1250" s="161">
        <v>630.04535069300005</v>
      </c>
      <c r="G1250" s="161">
        <v>47.658000000000001</v>
      </c>
      <c r="H1250" s="654">
        <v>5.2348216689999902E-5</v>
      </c>
      <c r="I1250" s="654">
        <v>0.78409773939094496</v>
      </c>
      <c r="J1250" s="191"/>
      <c r="K1250" s="191">
        <v>2270.49212537739</v>
      </c>
      <c r="L1250" s="191"/>
      <c r="M1250" s="191"/>
      <c r="N1250" s="191"/>
      <c r="O1250" s="191"/>
      <c r="P1250" s="191"/>
      <c r="Q1250" s="191"/>
      <c r="R1250" s="191"/>
      <c r="S1250" s="191"/>
      <c r="T1250" s="191"/>
      <c r="U1250" s="439"/>
      <c r="V1250" s="441"/>
      <c r="W1250" s="178"/>
      <c r="X1250" s="172"/>
      <c r="Y1250" s="172"/>
      <c r="Z1250" s="172"/>
      <c r="AA1250" s="195"/>
      <c r="AB1250" s="172"/>
    </row>
    <row r="1251" spans="1:28" ht="12.75" customHeight="1" x14ac:dyDescent="0.3">
      <c r="A1251" s="667"/>
      <c r="B1251" s="668" t="s">
        <v>6532</v>
      </c>
      <c r="C1251" s="160" t="s">
        <v>6533</v>
      </c>
      <c r="D1251" s="160"/>
      <c r="E1251" s="439">
        <v>9.3699999999999992</v>
      </c>
      <c r="F1251" s="161">
        <v>384.055402308</v>
      </c>
      <c r="G1251" s="161"/>
      <c r="H1251" s="654"/>
      <c r="I1251" s="654"/>
      <c r="J1251" s="191"/>
      <c r="K1251" s="191">
        <v>436.79735514016301</v>
      </c>
      <c r="L1251" s="191"/>
      <c r="M1251" s="191"/>
      <c r="N1251" s="191"/>
      <c r="O1251" s="191"/>
      <c r="P1251" s="191"/>
      <c r="Q1251" s="191"/>
      <c r="R1251" s="191"/>
      <c r="S1251" s="191"/>
      <c r="T1251" s="191"/>
      <c r="U1251" s="439"/>
      <c r="V1251" s="441"/>
      <c r="W1251" s="178"/>
      <c r="X1251" s="172"/>
      <c r="Y1251" s="172"/>
      <c r="Z1251" s="172"/>
      <c r="AA1251" s="195"/>
      <c r="AB1251" s="172"/>
    </row>
    <row r="1252" spans="1:28" ht="12.75" customHeight="1" x14ac:dyDescent="0.3">
      <c r="A1252" s="667"/>
      <c r="B1252" s="668" t="s">
        <v>6534</v>
      </c>
      <c r="C1252" s="160" t="s">
        <v>6535</v>
      </c>
      <c r="D1252" s="160"/>
      <c r="E1252" s="439">
        <v>8</v>
      </c>
      <c r="F1252" s="161">
        <v>429.102018149</v>
      </c>
      <c r="G1252" s="161"/>
      <c r="H1252" s="654"/>
      <c r="I1252" s="654"/>
      <c r="J1252" s="191"/>
      <c r="K1252" s="191"/>
      <c r="L1252" s="191"/>
      <c r="M1252" s="191"/>
      <c r="N1252" s="191"/>
      <c r="O1252" s="191"/>
      <c r="P1252" s="191"/>
      <c r="Q1252" s="191"/>
      <c r="R1252" s="191"/>
      <c r="S1252" s="191"/>
      <c r="T1252" s="191"/>
      <c r="U1252" s="439"/>
      <c r="V1252" s="441"/>
      <c r="W1252" s="178"/>
      <c r="X1252" s="172"/>
      <c r="Y1252" s="172"/>
      <c r="Z1252" s="172"/>
      <c r="AA1252" s="195"/>
      <c r="AB1252" s="172"/>
    </row>
    <row r="1253" spans="1:28" ht="12.75" customHeight="1" x14ac:dyDescent="0.3">
      <c r="A1253" s="667"/>
      <c r="B1253" s="668" t="s">
        <v>6536</v>
      </c>
      <c r="C1253" s="160" t="s">
        <v>6537</v>
      </c>
      <c r="D1253" s="160"/>
      <c r="E1253" s="439"/>
      <c r="F1253" s="161">
        <v>353.99721872600003</v>
      </c>
      <c r="G1253" s="161"/>
      <c r="H1253" s="654"/>
      <c r="I1253" s="654"/>
      <c r="J1253" s="191"/>
      <c r="K1253" s="191">
        <v>3472.1621617221899</v>
      </c>
      <c r="L1253" s="191"/>
      <c r="M1253" s="191"/>
      <c r="N1253" s="191"/>
      <c r="O1253" s="191"/>
      <c r="P1253" s="191"/>
      <c r="Q1253" s="191"/>
      <c r="R1253" s="191"/>
      <c r="S1253" s="191"/>
      <c r="T1253" s="191"/>
      <c r="U1253" s="439"/>
      <c r="V1253" s="441"/>
      <c r="W1253" s="178"/>
      <c r="X1253" s="172"/>
      <c r="Y1253" s="172"/>
      <c r="Z1253" s="172"/>
      <c r="AA1253" s="195"/>
      <c r="AB1253" s="172"/>
    </row>
    <row r="1254" spans="1:28" ht="12.75" customHeight="1" x14ac:dyDescent="0.3">
      <c r="A1254" s="667"/>
      <c r="B1254" s="668" t="s">
        <v>6538</v>
      </c>
      <c r="C1254" s="160" t="s">
        <v>6539</v>
      </c>
      <c r="D1254" s="160"/>
      <c r="E1254" s="439">
        <v>-1.61</v>
      </c>
      <c r="F1254" s="161">
        <v>661.814029</v>
      </c>
      <c r="G1254" s="161"/>
      <c r="H1254" s="654"/>
      <c r="I1254" s="654"/>
      <c r="J1254" s="191"/>
      <c r="K1254" s="191"/>
      <c r="L1254" s="191"/>
      <c r="M1254" s="191"/>
      <c r="N1254" s="191"/>
      <c r="O1254" s="191"/>
      <c r="P1254" s="191"/>
      <c r="Q1254" s="191"/>
      <c r="R1254" s="191"/>
      <c r="S1254" s="191"/>
      <c r="T1254" s="191"/>
      <c r="U1254" s="439"/>
      <c r="V1254" s="441"/>
      <c r="W1254" s="178"/>
      <c r="X1254" s="172"/>
      <c r="Y1254" s="172"/>
      <c r="Z1254" s="172"/>
      <c r="AA1254" s="195"/>
      <c r="AB1254" s="172"/>
    </row>
    <row r="1255" spans="1:28" ht="12.75" customHeight="1" x14ac:dyDescent="0.3">
      <c r="A1255" s="667" t="s">
        <v>4414</v>
      </c>
      <c r="B1255" s="668" t="s">
        <v>6540</v>
      </c>
      <c r="C1255" s="160" t="s">
        <v>6541</v>
      </c>
      <c r="D1255" s="160"/>
      <c r="E1255" s="439"/>
      <c r="F1255" s="161"/>
      <c r="G1255" s="161"/>
      <c r="H1255" s="654"/>
      <c r="I1255" s="654"/>
      <c r="J1255" s="191"/>
      <c r="K1255" s="191"/>
      <c r="L1255" s="191"/>
      <c r="M1255" s="191"/>
      <c r="N1255" s="191"/>
      <c r="O1255" s="191"/>
      <c r="P1255" s="191"/>
      <c r="Q1255" s="191"/>
      <c r="R1255" s="191"/>
      <c r="S1255" s="191"/>
      <c r="T1255" s="191"/>
      <c r="U1255" s="439"/>
      <c r="V1255" s="441"/>
      <c r="W1255" s="178"/>
      <c r="X1255" s="172"/>
      <c r="Y1255" s="172"/>
      <c r="Z1255" s="172"/>
      <c r="AA1255" s="195"/>
      <c r="AB1255" s="172"/>
    </row>
    <row r="1256" spans="1:28" ht="12.75" customHeight="1" x14ac:dyDescent="0.3">
      <c r="A1256" s="667"/>
      <c r="B1256" s="668" t="s">
        <v>6542</v>
      </c>
      <c r="C1256" s="160" t="s">
        <v>6543</v>
      </c>
      <c r="D1256" s="160"/>
      <c r="E1256" s="439">
        <v>8.39</v>
      </c>
      <c r="F1256" s="161">
        <v>544.07014432799997</v>
      </c>
      <c r="G1256" s="161">
        <v>48.366999999999997</v>
      </c>
      <c r="H1256" s="654">
        <v>11.4525331186</v>
      </c>
      <c r="I1256" s="654">
        <v>1.94829342403279</v>
      </c>
      <c r="J1256" s="191"/>
      <c r="K1256" s="191">
        <v>8.9291475595034093</v>
      </c>
      <c r="L1256" s="191"/>
      <c r="M1256" s="191"/>
      <c r="N1256" s="191"/>
      <c r="O1256" s="191"/>
      <c r="P1256" s="191"/>
      <c r="Q1256" s="191"/>
      <c r="R1256" s="191"/>
      <c r="S1256" s="191"/>
      <c r="T1256" s="191"/>
      <c r="U1256" s="439"/>
      <c r="V1256" s="441"/>
      <c r="W1256" s="178"/>
      <c r="X1256" s="172"/>
      <c r="Y1256" s="172"/>
      <c r="Z1256" s="172"/>
      <c r="AA1256" s="195"/>
      <c r="AB1256" s="172"/>
    </row>
    <row r="1257" spans="1:28" ht="12.75" customHeight="1" x14ac:dyDescent="0.3">
      <c r="A1257" s="667"/>
      <c r="B1257" s="668" t="s">
        <v>6544</v>
      </c>
      <c r="C1257" s="160" t="s">
        <v>6545</v>
      </c>
      <c r="D1257" s="160"/>
      <c r="E1257" s="439"/>
      <c r="F1257" s="161">
        <v>395.96895311899999</v>
      </c>
      <c r="G1257" s="161"/>
      <c r="H1257" s="654"/>
      <c r="I1257" s="654"/>
      <c r="J1257" s="191"/>
      <c r="K1257" s="191">
        <v>3968.98995714383</v>
      </c>
      <c r="L1257" s="191"/>
      <c r="M1257" s="191"/>
      <c r="N1257" s="191"/>
      <c r="O1257" s="191"/>
      <c r="P1257" s="191"/>
      <c r="Q1257" s="191"/>
      <c r="R1257" s="191"/>
      <c r="S1257" s="191"/>
      <c r="T1257" s="191"/>
      <c r="U1257" s="439"/>
      <c r="V1257" s="441"/>
      <c r="W1257" s="178"/>
      <c r="X1257" s="172"/>
      <c r="Y1257" s="172"/>
      <c r="Z1257" s="172"/>
      <c r="AA1257" s="195"/>
      <c r="AB1257" s="172"/>
    </row>
    <row r="1258" spans="1:28" ht="12.75" customHeight="1" x14ac:dyDescent="0.3">
      <c r="A1258" s="667"/>
      <c r="B1258" s="668" t="s">
        <v>6546</v>
      </c>
      <c r="C1258" s="160" t="s">
        <v>6547</v>
      </c>
      <c r="D1258" s="160"/>
      <c r="E1258" s="439"/>
      <c r="F1258" s="161">
        <v>428.09364453699999</v>
      </c>
      <c r="G1258" s="161"/>
      <c r="H1258" s="654"/>
      <c r="I1258" s="654"/>
      <c r="J1258" s="191"/>
      <c r="K1258" s="177">
        <v>31047.025616729701</v>
      </c>
      <c r="L1258" s="191"/>
      <c r="M1258" s="191"/>
      <c r="N1258" s="191"/>
      <c r="O1258" s="191"/>
      <c r="P1258" s="191"/>
      <c r="Q1258" s="191"/>
      <c r="R1258" s="191"/>
      <c r="S1258" s="191"/>
      <c r="T1258" s="191"/>
      <c r="U1258" s="439"/>
      <c r="V1258" s="441"/>
      <c r="W1258" s="178"/>
      <c r="X1258" s="172"/>
      <c r="Y1258" s="172"/>
      <c r="Z1258" s="172"/>
      <c r="AA1258" s="195"/>
      <c r="AB1258" s="172"/>
    </row>
    <row r="1259" spans="1:28" ht="12.75" customHeight="1" x14ac:dyDescent="0.3">
      <c r="A1259" s="667"/>
      <c r="B1259" s="668" t="s">
        <v>6548</v>
      </c>
      <c r="C1259" s="160" t="s">
        <v>6549</v>
      </c>
      <c r="D1259" s="160"/>
      <c r="E1259" s="439"/>
      <c r="F1259" s="161">
        <v>629.08924345299999</v>
      </c>
      <c r="G1259" s="161"/>
      <c r="H1259" s="654"/>
      <c r="I1259" s="654"/>
      <c r="J1259" s="191"/>
      <c r="K1259" s="177"/>
      <c r="L1259" s="191"/>
      <c r="M1259" s="191"/>
      <c r="N1259" s="191"/>
      <c r="O1259" s="191"/>
      <c r="P1259" s="191"/>
      <c r="Q1259" s="191"/>
      <c r="R1259" s="191"/>
      <c r="S1259" s="191"/>
      <c r="T1259" s="191"/>
      <c r="U1259" s="439"/>
      <c r="V1259" s="441"/>
      <c r="W1259" s="178"/>
      <c r="X1259" s="172"/>
      <c r="Y1259" s="172"/>
      <c r="Z1259" s="172"/>
      <c r="AA1259" s="195"/>
      <c r="AB1259" s="172"/>
    </row>
    <row r="1260" spans="1:28" ht="12.75" customHeight="1" x14ac:dyDescent="0.3">
      <c r="A1260" s="667"/>
      <c r="B1260" s="668" t="s">
        <v>6550</v>
      </c>
      <c r="C1260" s="160" t="s">
        <v>6551</v>
      </c>
      <c r="D1260" s="160"/>
      <c r="E1260" s="439"/>
      <c r="F1260" s="161">
        <v>629.08924345299999</v>
      </c>
      <c r="G1260" s="161"/>
      <c r="H1260" s="654"/>
      <c r="I1260" s="654"/>
      <c r="J1260" s="191"/>
      <c r="K1260" s="177"/>
      <c r="L1260" s="191"/>
      <c r="M1260" s="191"/>
      <c r="N1260" s="191"/>
      <c r="O1260" s="191"/>
      <c r="P1260" s="191"/>
      <c r="Q1260" s="191"/>
      <c r="R1260" s="191"/>
      <c r="S1260" s="191"/>
      <c r="T1260" s="191"/>
      <c r="U1260" s="439"/>
      <c r="V1260" s="441"/>
      <c r="W1260" s="178"/>
      <c r="X1260" s="172"/>
      <c r="Y1260" s="172"/>
      <c r="Z1260" s="172"/>
      <c r="AA1260" s="195"/>
      <c r="AB1260" s="172"/>
    </row>
    <row r="1261" spans="1:28" ht="12.75" customHeight="1" x14ac:dyDescent="0.3">
      <c r="A1261" s="667"/>
      <c r="B1261" s="668" t="s">
        <v>6552</v>
      </c>
      <c r="C1261" s="160" t="s">
        <v>6553</v>
      </c>
      <c r="D1261" s="160"/>
      <c r="E1261" s="439">
        <v>15</v>
      </c>
      <c r="F1261" s="161">
        <v>421.03941789100003</v>
      </c>
      <c r="G1261" s="161"/>
      <c r="H1261" s="654"/>
      <c r="I1261" s="654"/>
      <c r="J1261" s="191"/>
      <c r="K1261" s="177"/>
      <c r="L1261" s="191"/>
      <c r="M1261" s="191"/>
      <c r="N1261" s="191"/>
      <c r="O1261" s="191"/>
      <c r="P1261" s="191"/>
      <c r="Q1261" s="191"/>
      <c r="R1261" s="191"/>
      <c r="S1261" s="191"/>
      <c r="T1261" s="191"/>
      <c r="U1261" s="439"/>
      <c r="V1261" s="441"/>
      <c r="W1261" s="178"/>
      <c r="X1261" s="172"/>
      <c r="Y1261" s="172"/>
      <c r="Z1261" s="172"/>
      <c r="AA1261" s="195"/>
      <c r="AB1261" s="172"/>
    </row>
    <row r="1262" spans="1:28" ht="12.75" customHeight="1" x14ac:dyDescent="0.3">
      <c r="A1262" s="667"/>
      <c r="B1262" s="668" t="s">
        <v>6554</v>
      </c>
      <c r="C1262" s="160" t="s">
        <v>6555</v>
      </c>
      <c r="D1262" s="160"/>
      <c r="E1262" s="439"/>
      <c r="F1262" s="161">
        <v>323.986654042</v>
      </c>
      <c r="G1262" s="161">
        <v>39.859000000000002</v>
      </c>
      <c r="H1262" s="654"/>
      <c r="I1262" s="654">
        <v>21.356357869148098</v>
      </c>
      <c r="J1262" s="191"/>
      <c r="K1262" s="177">
        <v>15857.3276558913</v>
      </c>
      <c r="L1262" s="191"/>
      <c r="M1262" s="191"/>
      <c r="N1262" s="191"/>
      <c r="O1262" s="191"/>
      <c r="P1262" s="191"/>
      <c r="Q1262" s="191"/>
      <c r="R1262" s="191"/>
      <c r="S1262" s="191"/>
      <c r="T1262" s="191"/>
      <c r="U1262" s="439"/>
      <c r="V1262" s="441"/>
      <c r="W1262" s="178"/>
      <c r="X1262" s="172"/>
      <c r="Y1262" s="172"/>
      <c r="Z1262" s="172"/>
      <c r="AA1262" s="195"/>
      <c r="AB1262" s="172"/>
    </row>
    <row r="1263" spans="1:28" ht="12.75" customHeight="1" x14ac:dyDescent="0.3">
      <c r="A1263" s="667"/>
      <c r="B1263" s="668" t="s">
        <v>6556</v>
      </c>
      <c r="C1263" s="160" t="s">
        <v>6557</v>
      </c>
      <c r="D1263" s="160"/>
      <c r="E1263" s="439">
        <v>5.84</v>
      </c>
      <c r="F1263" s="161">
        <v>409.03941789100003</v>
      </c>
      <c r="G1263" s="161"/>
      <c r="H1263" s="654"/>
      <c r="I1263" s="654"/>
      <c r="J1263" s="191"/>
      <c r="K1263" s="177">
        <v>4829.4758644476997</v>
      </c>
      <c r="L1263" s="191"/>
      <c r="M1263" s="191"/>
      <c r="N1263" s="191"/>
      <c r="O1263" s="191"/>
      <c r="P1263" s="191"/>
      <c r="Q1263" s="191"/>
      <c r="R1263" s="191"/>
      <c r="S1263" s="191"/>
      <c r="T1263" s="191"/>
      <c r="U1263" s="439"/>
      <c r="V1263" s="441"/>
      <c r="W1263" s="178"/>
      <c r="X1263" s="172"/>
      <c r="Y1263" s="172"/>
      <c r="Z1263" s="172"/>
      <c r="AA1263" s="195"/>
      <c r="AB1263" s="172"/>
    </row>
    <row r="1264" spans="1:28" ht="12.75" customHeight="1" x14ac:dyDescent="0.3">
      <c r="A1264" s="667"/>
      <c r="B1264" s="668" t="s">
        <v>6558</v>
      </c>
      <c r="C1264" s="160" t="s">
        <v>6559</v>
      </c>
      <c r="D1264" s="160"/>
      <c r="E1264" s="439"/>
      <c r="F1264" s="161">
        <v>804.06606565499999</v>
      </c>
      <c r="G1264" s="161"/>
      <c r="H1264" s="654"/>
      <c r="I1264" s="654"/>
      <c r="J1264" s="191"/>
      <c r="K1264" s="177"/>
      <c r="L1264" s="191"/>
      <c r="M1264" s="191"/>
      <c r="N1264" s="191"/>
      <c r="O1264" s="191"/>
      <c r="P1264" s="191"/>
      <c r="Q1264" s="191"/>
      <c r="R1264" s="191"/>
      <c r="S1264" s="191"/>
      <c r="T1264" s="191"/>
      <c r="U1264" s="439"/>
      <c r="V1264" s="441"/>
      <c r="W1264" s="178"/>
      <c r="X1264" s="172"/>
      <c r="Y1264" s="172"/>
      <c r="Z1264" s="172"/>
      <c r="AA1264" s="195"/>
      <c r="AB1264" s="172"/>
    </row>
    <row r="1265" spans="1:28" ht="12.75" customHeight="1" x14ac:dyDescent="0.3">
      <c r="A1265" s="667"/>
      <c r="B1265" s="668" t="s">
        <v>6560</v>
      </c>
      <c r="C1265" s="160" t="s">
        <v>6561</v>
      </c>
      <c r="D1265" s="160"/>
      <c r="E1265" s="439">
        <v>33</v>
      </c>
      <c r="F1265" s="161">
        <v>745.10700683200002</v>
      </c>
      <c r="G1265" s="161"/>
      <c r="H1265" s="654"/>
      <c r="I1265" s="654"/>
      <c r="J1265" s="191"/>
      <c r="K1265" s="177">
        <v>6.5196757944730299</v>
      </c>
      <c r="L1265" s="191"/>
      <c r="M1265" s="191"/>
      <c r="N1265" s="191"/>
      <c r="O1265" s="191"/>
      <c r="P1265" s="191"/>
      <c r="Q1265" s="191"/>
      <c r="R1265" s="191"/>
      <c r="S1265" s="191"/>
      <c r="T1265" s="191"/>
      <c r="U1265" s="439"/>
      <c r="V1265" s="441"/>
      <c r="W1265" s="178"/>
      <c r="X1265" s="172"/>
      <c r="Y1265" s="172"/>
      <c r="Z1265" s="172"/>
      <c r="AA1265" s="195"/>
      <c r="AB1265" s="172"/>
    </row>
    <row r="1266" spans="1:28" ht="12.75" customHeight="1" x14ac:dyDescent="0.3">
      <c r="A1266" s="667"/>
      <c r="B1266" s="668" t="s">
        <v>6562</v>
      </c>
      <c r="C1266" s="160" t="s">
        <v>6563</v>
      </c>
      <c r="D1266" s="160"/>
      <c r="E1266" s="439"/>
      <c r="F1266" s="161">
        <v>389.99721872600003</v>
      </c>
      <c r="G1266" s="161">
        <v>27.158999999999999</v>
      </c>
      <c r="H1266" s="654">
        <v>1.4685951587999999</v>
      </c>
      <c r="I1266" s="654">
        <v>1.31238744067923</v>
      </c>
      <c r="J1266" s="191"/>
      <c r="K1266" s="177">
        <v>185789.00121185801</v>
      </c>
      <c r="L1266" s="191"/>
      <c r="M1266" s="191"/>
      <c r="N1266" s="191"/>
      <c r="O1266" s="191"/>
      <c r="P1266" s="191"/>
      <c r="Q1266" s="191"/>
      <c r="R1266" s="191"/>
      <c r="S1266" s="191"/>
      <c r="T1266" s="191"/>
      <c r="U1266" s="439"/>
      <c r="V1266" s="441"/>
      <c r="W1266" s="178"/>
      <c r="X1266" s="172"/>
      <c r="Y1266" s="172"/>
      <c r="Z1266" s="172"/>
      <c r="AA1266" s="195"/>
      <c r="AB1266" s="172"/>
    </row>
    <row r="1267" spans="1:28" ht="12.75" customHeight="1" x14ac:dyDescent="0.3">
      <c r="A1267" s="667"/>
      <c r="B1267" s="668" t="s">
        <v>6564</v>
      </c>
      <c r="C1267" s="160" t="s">
        <v>6565</v>
      </c>
      <c r="D1267" s="160"/>
      <c r="E1267" s="439"/>
      <c r="F1267" s="161">
        <v>389.99721872600003</v>
      </c>
      <c r="G1267" s="161"/>
      <c r="H1267" s="654"/>
      <c r="I1267" s="654"/>
      <c r="J1267" s="191"/>
      <c r="K1267" s="177">
        <v>291816.60462246201</v>
      </c>
      <c r="L1267" s="191"/>
      <c r="M1267" s="191"/>
      <c r="N1267" s="191"/>
      <c r="O1267" s="191"/>
      <c r="P1267" s="191"/>
      <c r="Q1267" s="191"/>
      <c r="R1267" s="191"/>
      <c r="S1267" s="191"/>
      <c r="T1267" s="191"/>
      <c r="U1267" s="439"/>
      <c r="V1267" s="441"/>
      <c r="W1267" s="178"/>
      <c r="X1267" s="172"/>
      <c r="Y1267" s="172"/>
      <c r="Z1267" s="172"/>
      <c r="AA1267" s="195"/>
      <c r="AB1267" s="172"/>
    </row>
    <row r="1268" spans="1:28" ht="12.75" customHeight="1" x14ac:dyDescent="0.3">
      <c r="A1268" s="667"/>
      <c r="B1268" s="668" t="s">
        <v>6566</v>
      </c>
      <c r="C1268" s="160" t="s">
        <v>6567</v>
      </c>
      <c r="D1268" s="160"/>
      <c r="E1268" s="439">
        <v>23</v>
      </c>
      <c r="F1268" s="161">
        <v>495.029915835</v>
      </c>
      <c r="G1268" s="161"/>
      <c r="H1268" s="654"/>
      <c r="I1268" s="654"/>
      <c r="J1268" s="191"/>
      <c r="K1268" s="177">
        <v>115215.258881413</v>
      </c>
      <c r="L1268" s="191"/>
      <c r="M1268" s="191"/>
      <c r="N1268" s="191"/>
      <c r="O1268" s="191"/>
      <c r="P1268" s="191"/>
      <c r="Q1268" s="191"/>
      <c r="R1268" s="191"/>
      <c r="S1268" s="191"/>
      <c r="T1268" s="191"/>
      <c r="U1268" s="439"/>
      <c r="V1268" s="441"/>
      <c r="W1268" s="178"/>
      <c r="X1268" s="172"/>
      <c r="Y1268" s="172"/>
      <c r="Z1268" s="172"/>
      <c r="AA1268" s="195"/>
      <c r="AB1268" s="172"/>
    </row>
    <row r="1269" spans="1:28" ht="12.75" customHeight="1" x14ac:dyDescent="0.3">
      <c r="A1269" s="667"/>
      <c r="B1269" s="668" t="s">
        <v>6568</v>
      </c>
      <c r="C1269" s="160" t="s">
        <v>6569</v>
      </c>
      <c r="D1269" s="160"/>
      <c r="E1269" s="439">
        <v>5.8</v>
      </c>
      <c r="F1269" s="161">
        <v>624.03754223199996</v>
      </c>
      <c r="G1269" s="161"/>
      <c r="H1269" s="654"/>
      <c r="I1269" s="654"/>
      <c r="J1269" s="191"/>
      <c r="K1269" s="177">
        <v>2235784.80374568</v>
      </c>
      <c r="L1269" s="191"/>
      <c r="M1269" s="191"/>
      <c r="N1269" s="191"/>
      <c r="O1269" s="191"/>
      <c r="P1269" s="191"/>
      <c r="Q1269" s="191"/>
      <c r="R1269" s="191"/>
      <c r="S1269" s="191"/>
      <c r="T1269" s="191"/>
      <c r="U1269" s="439"/>
      <c r="V1269" s="441"/>
      <c r="W1269" s="178"/>
      <c r="X1269" s="172"/>
      <c r="Y1269" s="172"/>
      <c r="Z1269" s="172"/>
      <c r="AA1269" s="195"/>
      <c r="AB1269" s="172"/>
    </row>
    <row r="1270" spans="1:28" ht="12.75" customHeight="1" x14ac:dyDescent="0.3">
      <c r="A1270" s="667"/>
      <c r="B1270" s="668" t="s">
        <v>6570</v>
      </c>
      <c r="C1270" s="160" t="s">
        <v>6571</v>
      </c>
      <c r="D1270" s="160"/>
      <c r="E1270" s="439">
        <v>8</v>
      </c>
      <c r="F1270" s="161">
        <v>699.16749377500003</v>
      </c>
      <c r="G1270" s="161"/>
      <c r="H1270" s="654"/>
      <c r="I1270" s="654"/>
      <c r="J1270" s="191"/>
      <c r="K1270" s="177"/>
      <c r="L1270" s="191"/>
      <c r="M1270" s="191"/>
      <c r="N1270" s="191"/>
      <c r="O1270" s="191"/>
      <c r="P1270" s="191"/>
      <c r="Q1270" s="191"/>
      <c r="R1270" s="191"/>
      <c r="S1270" s="191"/>
      <c r="T1270" s="191"/>
      <c r="U1270" s="439"/>
      <c r="V1270" s="441"/>
      <c r="W1270" s="178"/>
      <c r="X1270" s="172"/>
      <c r="Y1270" s="172"/>
      <c r="Z1270" s="172"/>
      <c r="AA1270" s="195"/>
      <c r="AB1270" s="172"/>
    </row>
    <row r="1271" spans="1:28" ht="12.75" customHeight="1" x14ac:dyDescent="0.3">
      <c r="A1271" s="667"/>
      <c r="B1271" s="668" t="s">
        <v>6572</v>
      </c>
      <c r="C1271" s="160" t="s">
        <v>6573</v>
      </c>
      <c r="D1271" s="160"/>
      <c r="E1271" s="439">
        <v>8</v>
      </c>
      <c r="F1271" s="161">
        <v>499.18026847099998</v>
      </c>
      <c r="G1271" s="161"/>
      <c r="H1271" s="654"/>
      <c r="I1271" s="654"/>
      <c r="J1271" s="191"/>
      <c r="K1271" s="177"/>
      <c r="L1271" s="191"/>
      <c r="M1271" s="191"/>
      <c r="N1271" s="191"/>
      <c r="O1271" s="191"/>
      <c r="P1271" s="191"/>
      <c r="Q1271" s="191"/>
      <c r="R1271" s="191"/>
      <c r="S1271" s="191"/>
      <c r="T1271" s="191"/>
      <c r="U1271" s="439"/>
      <c r="V1271" s="441"/>
      <c r="W1271" s="178"/>
      <c r="X1271" s="172"/>
      <c r="Y1271" s="172"/>
      <c r="Z1271" s="172"/>
      <c r="AA1271" s="195"/>
      <c r="AB1271" s="172"/>
    </row>
    <row r="1272" spans="1:28" ht="12.75" customHeight="1" x14ac:dyDescent="0.3">
      <c r="A1272" s="667"/>
      <c r="B1272" s="668" t="s">
        <v>6574</v>
      </c>
      <c r="C1272" s="160" t="s">
        <v>6575</v>
      </c>
      <c r="D1272" s="160"/>
      <c r="E1272" s="439"/>
      <c r="F1272" s="161">
        <v>741.21444396799996</v>
      </c>
      <c r="G1272" s="161"/>
      <c r="H1272" s="654"/>
      <c r="I1272" s="654"/>
      <c r="J1272" s="191"/>
      <c r="K1272" s="177"/>
      <c r="L1272" s="191"/>
      <c r="M1272" s="191"/>
      <c r="N1272" s="191"/>
      <c r="O1272" s="191"/>
      <c r="P1272" s="191"/>
      <c r="Q1272" s="191"/>
      <c r="R1272" s="191"/>
      <c r="S1272" s="191"/>
      <c r="T1272" s="191"/>
      <c r="U1272" s="439"/>
      <c r="V1272" s="441"/>
      <c r="W1272" s="178"/>
      <c r="X1272" s="172"/>
      <c r="Y1272" s="172"/>
      <c r="Z1272" s="172"/>
      <c r="AA1272" s="195"/>
      <c r="AB1272" s="172"/>
    </row>
    <row r="1273" spans="1:28" ht="12.75" customHeight="1" x14ac:dyDescent="0.3">
      <c r="A1273" s="667"/>
      <c r="B1273" s="668" t="s">
        <v>6576</v>
      </c>
      <c r="C1273" s="160" t="s">
        <v>6577</v>
      </c>
      <c r="D1273" s="160"/>
      <c r="E1273" s="439">
        <v>8</v>
      </c>
      <c r="F1273" s="161">
        <v>713.18314383899997</v>
      </c>
      <c r="G1273" s="161"/>
      <c r="H1273" s="654"/>
      <c r="I1273" s="654"/>
      <c r="J1273" s="191"/>
      <c r="K1273" s="177"/>
      <c r="L1273" s="191"/>
      <c r="M1273" s="191"/>
      <c r="N1273" s="191"/>
      <c r="O1273" s="191"/>
      <c r="P1273" s="191"/>
      <c r="Q1273" s="191"/>
      <c r="R1273" s="191"/>
      <c r="S1273" s="191"/>
      <c r="T1273" s="191"/>
      <c r="U1273" s="439"/>
      <c r="V1273" s="441"/>
      <c r="W1273" s="178"/>
      <c r="X1273" s="172"/>
      <c r="Y1273" s="172"/>
      <c r="Z1273" s="172"/>
      <c r="AA1273" s="195"/>
      <c r="AB1273" s="172"/>
    </row>
    <row r="1274" spans="1:28" ht="12.75" customHeight="1" x14ac:dyDescent="0.3">
      <c r="A1274" s="667"/>
      <c r="B1274" s="668" t="s">
        <v>6578</v>
      </c>
      <c r="C1274" s="160" t="s">
        <v>6579</v>
      </c>
      <c r="D1274" s="160"/>
      <c r="E1274" s="439">
        <v>8</v>
      </c>
      <c r="F1274" s="161">
        <v>513.19591853500003</v>
      </c>
      <c r="G1274" s="161"/>
      <c r="H1274" s="654"/>
      <c r="I1274" s="654"/>
      <c r="J1274" s="191"/>
      <c r="K1274" s="177"/>
      <c r="L1274" s="191"/>
      <c r="M1274" s="191"/>
      <c r="N1274" s="191"/>
      <c r="O1274" s="191"/>
      <c r="P1274" s="191"/>
      <c r="Q1274" s="191"/>
      <c r="R1274" s="191"/>
      <c r="S1274" s="191"/>
      <c r="T1274" s="191"/>
      <c r="U1274" s="439"/>
      <c r="V1274" s="441"/>
      <c r="W1274" s="178"/>
      <c r="X1274" s="172"/>
      <c r="Y1274" s="172"/>
      <c r="Z1274" s="172"/>
      <c r="AA1274" s="195"/>
      <c r="AB1274" s="172"/>
    </row>
    <row r="1275" spans="1:28" ht="12.75" customHeight="1" x14ac:dyDescent="0.3">
      <c r="A1275" s="667"/>
      <c r="B1275" s="668" t="s">
        <v>6580</v>
      </c>
      <c r="C1275" s="160" t="s">
        <v>6581</v>
      </c>
      <c r="D1275" s="160"/>
      <c r="E1275" s="439">
        <v>6.31</v>
      </c>
      <c r="F1275" s="161">
        <v>666.08449242500001</v>
      </c>
      <c r="G1275" s="161"/>
      <c r="H1275" s="654"/>
      <c r="I1275" s="654"/>
      <c r="J1275" s="191"/>
      <c r="K1275" s="177">
        <v>2662195.8371583899</v>
      </c>
      <c r="L1275" s="191"/>
      <c r="M1275" s="191"/>
      <c r="N1275" s="191"/>
      <c r="O1275" s="191"/>
      <c r="P1275" s="191"/>
      <c r="Q1275" s="191"/>
      <c r="R1275" s="191"/>
      <c r="S1275" s="191"/>
      <c r="T1275" s="191"/>
      <c r="U1275" s="439"/>
      <c r="V1275" s="441"/>
      <c r="W1275" s="178"/>
      <c r="X1275" s="172"/>
      <c r="Y1275" s="172"/>
      <c r="Z1275" s="172"/>
      <c r="AA1275" s="195"/>
      <c r="AB1275" s="172"/>
    </row>
    <row r="1276" spans="1:28" ht="12.75" customHeight="1" x14ac:dyDescent="0.3">
      <c r="A1276" s="667"/>
      <c r="B1276" s="668" t="s">
        <v>6582</v>
      </c>
      <c r="C1276" s="160" t="s">
        <v>6583</v>
      </c>
      <c r="D1276" s="160"/>
      <c r="E1276" s="439"/>
      <c r="F1276" s="161">
        <v>999.31488628700004</v>
      </c>
      <c r="G1276" s="161"/>
      <c r="H1276" s="654"/>
      <c r="I1276" s="654"/>
      <c r="J1276" s="191"/>
      <c r="K1276" s="177">
        <v>116088713.940421</v>
      </c>
      <c r="L1276" s="191"/>
      <c r="M1276" s="191"/>
      <c r="N1276" s="191"/>
      <c r="O1276" s="191"/>
      <c r="P1276" s="191"/>
      <c r="Q1276" s="191"/>
      <c r="R1276" s="191"/>
      <c r="S1276" s="191"/>
      <c r="T1276" s="191"/>
      <c r="U1276" s="439"/>
      <c r="V1276" s="441"/>
      <c r="W1276" s="178"/>
      <c r="X1276" s="172"/>
      <c r="Y1276" s="172"/>
      <c r="Z1276" s="172"/>
      <c r="AA1276" s="195"/>
      <c r="AB1276" s="172"/>
    </row>
    <row r="1277" spans="1:28" ht="12.75" customHeight="1" x14ac:dyDescent="0.3">
      <c r="A1277" s="667"/>
      <c r="B1277" s="668" t="s">
        <v>6584</v>
      </c>
      <c r="C1277" s="160" t="s">
        <v>6585</v>
      </c>
      <c r="D1277" s="160"/>
      <c r="E1277" s="439"/>
      <c r="F1277" s="161">
        <v>999.31488628700004</v>
      </c>
      <c r="G1277" s="161"/>
      <c r="H1277" s="654"/>
      <c r="I1277" s="654"/>
      <c r="J1277" s="191"/>
      <c r="K1277" s="177">
        <v>115207300.368166</v>
      </c>
      <c r="L1277" s="191"/>
      <c r="M1277" s="191"/>
      <c r="N1277" s="191"/>
      <c r="O1277" s="191"/>
      <c r="P1277" s="191"/>
      <c r="Q1277" s="191"/>
      <c r="R1277" s="191"/>
      <c r="S1277" s="191"/>
      <c r="T1277" s="191"/>
      <c r="U1277" s="439"/>
      <c r="V1277" s="441"/>
      <c r="W1277" s="178"/>
      <c r="X1277" s="172"/>
      <c r="Y1277" s="172"/>
      <c r="Z1277" s="172"/>
      <c r="AA1277" s="195"/>
      <c r="AB1277" s="172"/>
    </row>
    <row r="1278" spans="1:28" ht="12.75" customHeight="1" x14ac:dyDescent="0.3">
      <c r="A1278" s="667"/>
      <c r="B1278" s="668" t="s">
        <v>6586</v>
      </c>
      <c r="C1278" s="160" t="s">
        <v>6587</v>
      </c>
      <c r="D1278" s="160"/>
      <c r="E1278" s="439"/>
      <c r="F1278" s="161">
        <v>825.30834435500003</v>
      </c>
      <c r="G1278" s="161"/>
      <c r="H1278" s="654"/>
      <c r="I1278" s="654"/>
      <c r="J1278" s="191"/>
      <c r="K1278" s="177"/>
      <c r="L1278" s="191"/>
      <c r="M1278" s="191"/>
      <c r="N1278" s="191"/>
      <c r="O1278" s="191"/>
      <c r="P1278" s="191"/>
      <c r="Q1278" s="191"/>
      <c r="R1278" s="191"/>
      <c r="S1278" s="191"/>
      <c r="T1278" s="191"/>
      <c r="U1278" s="439"/>
      <c r="V1278" s="441"/>
      <c r="W1278" s="178"/>
      <c r="X1278" s="172"/>
      <c r="Y1278" s="172"/>
      <c r="Z1278" s="172"/>
      <c r="AA1278" s="195"/>
      <c r="AB1278" s="172"/>
    </row>
    <row r="1279" spans="1:28" ht="12.75" customHeight="1" x14ac:dyDescent="0.3">
      <c r="A1279" s="667"/>
      <c r="B1279" s="668" t="s">
        <v>6588</v>
      </c>
      <c r="C1279" s="160" t="s">
        <v>6589</v>
      </c>
      <c r="D1279" s="160"/>
      <c r="E1279" s="439">
        <v>8</v>
      </c>
      <c r="F1279" s="161">
        <v>741.21444396799996</v>
      </c>
      <c r="G1279" s="161"/>
      <c r="H1279" s="654"/>
      <c r="I1279" s="654"/>
      <c r="J1279" s="191"/>
      <c r="K1279" s="177"/>
      <c r="L1279" s="191"/>
      <c r="M1279" s="191"/>
      <c r="N1279" s="191"/>
      <c r="O1279" s="191"/>
      <c r="P1279" s="191"/>
      <c r="Q1279" s="191"/>
      <c r="R1279" s="191"/>
      <c r="S1279" s="191"/>
      <c r="T1279" s="191"/>
      <c r="U1279" s="439"/>
      <c r="V1279" s="441"/>
      <c r="W1279" s="178"/>
      <c r="X1279" s="172"/>
      <c r="Y1279" s="172"/>
      <c r="Z1279" s="172"/>
      <c r="AA1279" s="195"/>
      <c r="AB1279" s="172"/>
    </row>
    <row r="1280" spans="1:28" ht="12.75" customHeight="1" x14ac:dyDescent="0.3">
      <c r="A1280" s="667"/>
      <c r="B1280" s="668" t="s">
        <v>6590</v>
      </c>
      <c r="C1280" s="160" t="s">
        <v>6591</v>
      </c>
      <c r="D1280" s="160"/>
      <c r="E1280" s="439"/>
      <c r="F1280" s="161">
        <v>864.28285788200003</v>
      </c>
      <c r="G1280" s="161"/>
      <c r="H1280" s="654"/>
      <c r="I1280" s="654"/>
      <c r="J1280" s="191"/>
      <c r="K1280" s="177">
        <v>8646891.3100039102</v>
      </c>
      <c r="L1280" s="191"/>
      <c r="M1280" s="191"/>
      <c r="N1280" s="191"/>
      <c r="O1280" s="191"/>
      <c r="P1280" s="191"/>
      <c r="Q1280" s="191"/>
      <c r="R1280" s="191"/>
      <c r="S1280" s="191"/>
      <c r="T1280" s="191"/>
      <c r="U1280" s="439"/>
      <c r="V1280" s="441"/>
      <c r="W1280" s="178"/>
      <c r="X1280" s="172"/>
      <c r="Y1280" s="172"/>
      <c r="Z1280" s="172"/>
      <c r="AA1280" s="195"/>
      <c r="AB1280" s="172"/>
    </row>
    <row r="1281" spans="1:28" ht="12.75" customHeight="1" x14ac:dyDescent="0.3">
      <c r="A1281" s="667"/>
      <c r="B1281" s="668" t="s">
        <v>6592</v>
      </c>
      <c r="C1281" s="160" t="s">
        <v>6593</v>
      </c>
      <c r="D1281" s="160"/>
      <c r="E1281" s="439"/>
      <c r="F1281" s="161">
        <v>864.28285788200003</v>
      </c>
      <c r="G1281" s="161"/>
      <c r="H1281" s="654"/>
      <c r="I1281" s="654"/>
      <c r="J1281" s="191"/>
      <c r="K1281" s="177">
        <v>8697210.8704455495</v>
      </c>
      <c r="L1281" s="191"/>
      <c r="M1281" s="191"/>
      <c r="N1281" s="191"/>
      <c r="O1281" s="191"/>
      <c r="P1281" s="191"/>
      <c r="Q1281" s="191"/>
      <c r="R1281" s="191"/>
      <c r="S1281" s="191"/>
      <c r="T1281" s="191"/>
      <c r="U1281" s="439"/>
      <c r="V1281" s="441"/>
      <c r="W1281" s="178"/>
      <c r="X1281" s="172"/>
      <c r="Y1281" s="172"/>
      <c r="Z1281" s="172"/>
      <c r="AA1281" s="195"/>
      <c r="AB1281" s="172"/>
    </row>
    <row r="1282" spans="1:28" ht="12.75" customHeight="1" x14ac:dyDescent="0.3">
      <c r="A1282" s="667"/>
      <c r="B1282" s="668" t="s">
        <v>6594</v>
      </c>
      <c r="C1282" s="160" t="s">
        <v>6595</v>
      </c>
      <c r="D1282" s="160"/>
      <c r="E1282" s="439"/>
      <c r="F1282" s="161">
        <v>1073.403307369</v>
      </c>
      <c r="G1282" s="161"/>
      <c r="H1282" s="654"/>
      <c r="I1282" s="654"/>
      <c r="J1282" s="191"/>
      <c r="K1282" s="177">
        <v>33098628.622598398</v>
      </c>
      <c r="L1282" s="191"/>
      <c r="M1282" s="191"/>
      <c r="N1282" s="191"/>
      <c r="O1282" s="191"/>
      <c r="P1282" s="191"/>
      <c r="Q1282" s="191"/>
      <c r="R1282" s="191"/>
      <c r="S1282" s="191"/>
      <c r="T1282" s="191"/>
      <c r="U1282" s="439"/>
      <c r="V1282" s="441"/>
      <c r="W1282" s="178"/>
      <c r="X1282" s="172"/>
      <c r="Y1282" s="172"/>
      <c r="Z1282" s="172"/>
      <c r="AA1282" s="195"/>
      <c r="AB1282" s="172"/>
    </row>
    <row r="1283" spans="1:28" ht="12.75" customHeight="1" x14ac:dyDescent="0.3">
      <c r="A1283" s="667"/>
      <c r="B1283" s="668" t="s">
        <v>6596</v>
      </c>
      <c r="C1283" s="160" t="s">
        <v>6597</v>
      </c>
      <c r="D1283" s="160"/>
      <c r="E1283" s="439">
        <v>14</v>
      </c>
      <c r="F1283" s="161">
        <v>496.144217314</v>
      </c>
      <c r="G1283" s="161"/>
      <c r="H1283" s="654"/>
      <c r="I1283" s="654"/>
      <c r="J1283" s="191"/>
      <c r="K1283" s="177"/>
      <c r="L1283" s="191"/>
      <c r="M1283" s="191"/>
      <c r="N1283" s="191"/>
      <c r="O1283" s="191"/>
      <c r="P1283" s="191"/>
      <c r="Q1283" s="191"/>
      <c r="R1283" s="191"/>
      <c r="S1283" s="191"/>
      <c r="T1283" s="191"/>
      <c r="U1283" s="439"/>
      <c r="V1283" s="441"/>
      <c r="W1283" s="178"/>
      <c r="X1283" s="172"/>
      <c r="Y1283" s="172"/>
      <c r="Z1283" s="172"/>
      <c r="AA1283" s="195"/>
      <c r="AB1283" s="172"/>
    </row>
    <row r="1284" spans="1:28" ht="12.75" customHeight="1" x14ac:dyDescent="0.3">
      <c r="A1284" s="667"/>
      <c r="B1284" s="668" t="s">
        <v>6598</v>
      </c>
      <c r="C1284" s="160" t="s">
        <v>6599</v>
      </c>
      <c r="D1284" s="160"/>
      <c r="E1284" s="439">
        <v>14</v>
      </c>
      <c r="F1284" s="161">
        <v>468.11291718500001</v>
      </c>
      <c r="G1284" s="161"/>
      <c r="H1284" s="654"/>
      <c r="I1284" s="654"/>
      <c r="J1284" s="191"/>
      <c r="K1284" s="177"/>
      <c r="L1284" s="191"/>
      <c r="M1284" s="191"/>
      <c r="N1284" s="191"/>
      <c r="O1284" s="191"/>
      <c r="P1284" s="191"/>
      <c r="Q1284" s="191"/>
      <c r="R1284" s="191"/>
      <c r="S1284" s="191"/>
      <c r="T1284" s="191"/>
      <c r="U1284" s="439"/>
      <c r="V1284" s="441"/>
      <c r="W1284" s="178"/>
      <c r="X1284" s="172"/>
      <c r="Y1284" s="172"/>
      <c r="Z1284" s="172"/>
      <c r="AA1284" s="195"/>
      <c r="AB1284" s="172"/>
    </row>
    <row r="1285" spans="1:28" ht="12.75" customHeight="1" x14ac:dyDescent="0.3">
      <c r="A1285" s="667"/>
      <c r="B1285" s="668" t="s">
        <v>6600</v>
      </c>
      <c r="C1285" s="160" t="s">
        <v>6601</v>
      </c>
      <c r="D1285" s="160"/>
      <c r="E1285" s="439">
        <v>6.13</v>
      </c>
      <c r="F1285" s="161">
        <v>653.05285794400004</v>
      </c>
      <c r="G1285" s="161">
        <v>14.417999999999999</v>
      </c>
      <c r="H1285" s="654">
        <v>1.32404211352</v>
      </c>
      <c r="I1285" s="654"/>
      <c r="J1285" s="191"/>
      <c r="K1285" s="177">
        <v>185374.50314135899</v>
      </c>
      <c r="L1285" s="191"/>
      <c r="M1285" s="191"/>
      <c r="N1285" s="191"/>
      <c r="O1285" s="191"/>
      <c r="P1285" s="191"/>
      <c r="Q1285" s="191"/>
      <c r="R1285" s="191"/>
      <c r="S1285" s="191"/>
      <c r="T1285" s="191"/>
      <c r="U1285" s="439"/>
      <c r="V1285" s="441"/>
      <c r="W1285" s="178"/>
      <c r="X1285" s="172"/>
      <c r="Y1285" s="172"/>
      <c r="Z1285" s="172"/>
      <c r="AA1285" s="195"/>
      <c r="AB1285" s="172"/>
    </row>
    <row r="1286" spans="1:28" ht="12.75" customHeight="1" x14ac:dyDescent="0.3">
      <c r="A1286" s="667"/>
      <c r="B1286" s="668" t="s">
        <v>6602</v>
      </c>
      <c r="C1286" s="160" t="s">
        <v>6603</v>
      </c>
      <c r="D1286" s="160"/>
      <c r="E1286" s="439">
        <v>27</v>
      </c>
      <c r="F1286" s="161">
        <v>721.03730532099996</v>
      </c>
      <c r="G1286" s="161"/>
      <c r="H1286" s="654"/>
      <c r="I1286" s="654"/>
      <c r="J1286" s="191"/>
      <c r="K1286" s="177"/>
      <c r="L1286" s="191"/>
      <c r="M1286" s="191"/>
      <c r="N1286" s="191"/>
      <c r="O1286" s="191"/>
      <c r="P1286" s="191"/>
      <c r="Q1286" s="191"/>
      <c r="R1286" s="191"/>
      <c r="S1286" s="191"/>
      <c r="T1286" s="191"/>
      <c r="U1286" s="439"/>
      <c r="V1286" s="441"/>
      <c r="W1286" s="178"/>
      <c r="X1286" s="172"/>
      <c r="Y1286" s="172"/>
      <c r="Z1286" s="172"/>
      <c r="AA1286" s="195"/>
      <c r="AB1286" s="172"/>
    </row>
    <row r="1287" spans="1:28" ht="12.75" customHeight="1" x14ac:dyDescent="0.3">
      <c r="A1287" s="667"/>
      <c r="B1287" s="668" t="s">
        <v>6604</v>
      </c>
      <c r="C1287" s="160" t="s">
        <v>6605</v>
      </c>
      <c r="D1287" s="160"/>
      <c r="E1287" s="439">
        <v>8.94</v>
      </c>
      <c r="F1287" s="161">
        <v>555.01607851100005</v>
      </c>
      <c r="G1287" s="161">
        <v>29.79</v>
      </c>
      <c r="H1287" s="654">
        <v>26.723994934</v>
      </c>
      <c r="I1287" s="654">
        <v>0.12832304744821399</v>
      </c>
      <c r="J1287" s="191"/>
      <c r="K1287" s="177">
        <v>312011.067954353</v>
      </c>
      <c r="L1287" s="191"/>
      <c r="M1287" s="191"/>
      <c r="N1287" s="191"/>
      <c r="O1287" s="191"/>
      <c r="P1287" s="191"/>
      <c r="Q1287" s="191"/>
      <c r="R1287" s="191"/>
      <c r="S1287" s="191"/>
      <c r="T1287" s="191"/>
      <c r="U1287" s="439"/>
      <c r="V1287" s="441"/>
      <c r="W1287" s="178"/>
      <c r="X1287" s="172"/>
      <c r="Y1287" s="172"/>
      <c r="Z1287" s="172"/>
      <c r="AA1287" s="195"/>
      <c r="AB1287" s="172"/>
    </row>
    <row r="1288" spans="1:28" ht="12.75" customHeight="1" x14ac:dyDescent="0.3">
      <c r="A1288" s="667"/>
      <c r="B1288" s="668" t="s">
        <v>6606</v>
      </c>
      <c r="C1288" s="160" t="s">
        <v>6607</v>
      </c>
      <c r="D1288" s="160"/>
      <c r="E1288" s="439">
        <v>0.25</v>
      </c>
      <c r="F1288" s="161">
        <v>599.005907751</v>
      </c>
      <c r="G1288" s="161"/>
      <c r="H1288" s="654"/>
      <c r="I1288" s="654"/>
      <c r="J1288" s="191"/>
      <c r="K1288" s="177"/>
      <c r="L1288" s="191"/>
      <c r="M1288" s="191"/>
      <c r="N1288" s="191"/>
      <c r="O1288" s="191"/>
      <c r="P1288" s="191"/>
      <c r="Q1288" s="191"/>
      <c r="R1288" s="191"/>
      <c r="S1288" s="191"/>
      <c r="T1288" s="191"/>
      <c r="U1288" s="439"/>
      <c r="V1288" s="441"/>
      <c r="W1288" s="178"/>
      <c r="X1288" s="172"/>
      <c r="Y1288" s="172"/>
      <c r="Z1288" s="172"/>
      <c r="AA1288" s="195"/>
      <c r="AB1288" s="172"/>
    </row>
    <row r="1289" spans="1:28" ht="12.75" customHeight="1" x14ac:dyDescent="0.3">
      <c r="A1289" s="667"/>
      <c r="B1289" s="668" t="s">
        <v>6608</v>
      </c>
      <c r="C1289" s="160" t="s">
        <v>6609</v>
      </c>
      <c r="D1289" s="160"/>
      <c r="E1289" s="439">
        <v>5.05</v>
      </c>
      <c r="F1289" s="161">
        <v>615.03720787999998</v>
      </c>
      <c r="G1289" s="161">
        <v>7.5090000000000003</v>
      </c>
      <c r="H1289" s="654">
        <v>1.2998761677999999</v>
      </c>
      <c r="I1289" s="654">
        <v>0.36049667895236698</v>
      </c>
      <c r="J1289" s="191"/>
      <c r="K1289" s="177">
        <v>129354.040834353</v>
      </c>
      <c r="L1289" s="191"/>
      <c r="M1289" s="191"/>
      <c r="N1289" s="191"/>
      <c r="O1289" s="191"/>
      <c r="P1289" s="191"/>
      <c r="Q1289" s="191"/>
      <c r="R1289" s="191"/>
      <c r="S1289" s="191"/>
      <c r="T1289" s="191"/>
      <c r="U1289" s="439"/>
      <c r="V1289" s="441"/>
      <c r="W1289" s="178"/>
      <c r="X1289" s="172"/>
      <c r="Y1289" s="172"/>
      <c r="Z1289" s="172"/>
      <c r="AA1289" s="195"/>
      <c r="AB1289" s="172"/>
    </row>
    <row r="1290" spans="1:28" ht="12.75" customHeight="1" x14ac:dyDescent="0.3">
      <c r="A1290" s="667"/>
      <c r="B1290" s="668" t="s">
        <v>6610</v>
      </c>
      <c r="C1290" s="160" t="s">
        <v>6611</v>
      </c>
      <c r="D1290" s="160"/>
      <c r="E1290" s="439">
        <v>5.99</v>
      </c>
      <c r="F1290" s="161">
        <v>597.02664319500002</v>
      </c>
      <c r="G1290" s="161">
        <v>-12.983000000000001</v>
      </c>
      <c r="H1290" s="654">
        <v>2.772697634</v>
      </c>
      <c r="I1290" s="654"/>
      <c r="J1290" s="191"/>
      <c r="K1290" s="177">
        <v>183007.96845186301</v>
      </c>
      <c r="L1290" s="191"/>
      <c r="M1290" s="191"/>
      <c r="N1290" s="191"/>
      <c r="O1290" s="191"/>
      <c r="P1290" s="191"/>
      <c r="Q1290" s="191"/>
      <c r="R1290" s="191"/>
      <c r="S1290" s="191"/>
      <c r="T1290" s="191"/>
      <c r="U1290" s="439"/>
      <c r="V1290" s="441"/>
      <c r="W1290" s="178"/>
      <c r="X1290" s="172"/>
      <c r="Y1290" s="172"/>
      <c r="Z1290" s="172"/>
      <c r="AA1290" s="195"/>
      <c r="AB1290" s="172"/>
    </row>
    <row r="1291" spans="1:28" ht="12.75" customHeight="1" x14ac:dyDescent="0.3">
      <c r="A1291" s="667" t="s">
        <v>4414</v>
      </c>
      <c r="B1291" s="668" t="s">
        <v>6612</v>
      </c>
      <c r="C1291" s="160" t="s">
        <v>6613</v>
      </c>
      <c r="D1291" s="160"/>
      <c r="E1291" s="439"/>
      <c r="F1291" s="161"/>
      <c r="G1291" s="161"/>
      <c r="H1291" s="654"/>
      <c r="I1291" s="654"/>
      <c r="J1291" s="191"/>
      <c r="K1291" s="177"/>
      <c r="L1291" s="191"/>
      <c r="M1291" s="191"/>
      <c r="N1291" s="191"/>
      <c r="O1291" s="191"/>
      <c r="P1291" s="191"/>
      <c r="Q1291" s="191"/>
      <c r="R1291" s="191"/>
      <c r="S1291" s="191"/>
      <c r="T1291" s="191"/>
      <c r="U1291" s="439"/>
      <c r="V1291" s="441"/>
      <c r="W1291" s="178"/>
      <c r="X1291" s="172"/>
      <c r="Y1291" s="172"/>
      <c r="Z1291" s="172"/>
      <c r="AA1291" s="195"/>
      <c r="AB1291" s="172"/>
    </row>
    <row r="1292" spans="1:28" ht="12.75" customHeight="1" x14ac:dyDescent="0.3">
      <c r="A1292" s="667"/>
      <c r="B1292" s="668" t="s">
        <v>6614</v>
      </c>
      <c r="C1292" s="160" t="s">
        <v>6615</v>
      </c>
      <c r="D1292" s="160"/>
      <c r="E1292" s="439">
        <v>6.43</v>
      </c>
      <c r="F1292" s="161">
        <v>500.04392958</v>
      </c>
      <c r="G1292" s="161"/>
      <c r="H1292" s="654"/>
      <c r="I1292" s="654"/>
      <c r="J1292" s="191"/>
      <c r="K1292" s="177">
        <v>190155.985430423</v>
      </c>
      <c r="L1292" s="191"/>
      <c r="M1292" s="191"/>
      <c r="N1292" s="191"/>
      <c r="O1292" s="191"/>
      <c r="P1292" s="191"/>
      <c r="Q1292" s="191"/>
      <c r="R1292" s="191"/>
      <c r="S1292" s="191"/>
      <c r="T1292" s="191"/>
      <c r="U1292" s="439"/>
      <c r="V1292" s="441"/>
      <c r="W1292" s="178"/>
      <c r="X1292" s="172"/>
      <c r="Y1292" s="172"/>
      <c r="Z1292" s="172"/>
      <c r="AA1292" s="195"/>
      <c r="AB1292" s="172"/>
    </row>
    <row r="1293" spans="1:28" ht="12.75" customHeight="1" x14ac:dyDescent="0.3">
      <c r="A1293" s="667"/>
      <c r="B1293" s="668" t="s">
        <v>6616</v>
      </c>
      <c r="C1293" s="160" t="s">
        <v>6617</v>
      </c>
      <c r="D1293" s="160"/>
      <c r="E1293" s="439">
        <v>5.14</v>
      </c>
      <c r="F1293" s="161">
        <v>441.00681579500002</v>
      </c>
      <c r="G1293" s="161"/>
      <c r="H1293" s="654"/>
      <c r="I1293" s="654"/>
      <c r="J1293" s="191"/>
      <c r="K1293" s="177">
        <v>33273.615980616203</v>
      </c>
      <c r="L1293" s="191"/>
      <c r="M1293" s="191"/>
      <c r="N1293" s="191"/>
      <c r="O1293" s="191"/>
      <c r="P1293" s="191"/>
      <c r="Q1293" s="191"/>
      <c r="R1293" s="191"/>
      <c r="S1293" s="191"/>
      <c r="T1293" s="191"/>
      <c r="U1293" s="439"/>
      <c r="V1293" s="441"/>
      <c r="W1293" s="178"/>
      <c r="X1293" s="172"/>
      <c r="Y1293" s="172"/>
      <c r="Z1293" s="172"/>
      <c r="AA1293" s="195"/>
      <c r="AB1293" s="172"/>
    </row>
    <row r="1294" spans="1:28" ht="12.75" customHeight="1" x14ac:dyDescent="0.3">
      <c r="A1294" s="667"/>
      <c r="B1294" s="668" t="s">
        <v>6618</v>
      </c>
      <c r="C1294" s="160" t="s">
        <v>6619</v>
      </c>
      <c r="D1294" s="160"/>
      <c r="E1294" s="439">
        <v>5.3</v>
      </c>
      <c r="F1294" s="161">
        <v>341.013203143</v>
      </c>
      <c r="G1294" s="161"/>
      <c r="H1294" s="654"/>
      <c r="I1294" s="654"/>
      <c r="J1294" s="191"/>
      <c r="K1294" s="177">
        <v>473.12947004248002</v>
      </c>
      <c r="L1294" s="191"/>
      <c r="M1294" s="191"/>
      <c r="N1294" s="191"/>
      <c r="O1294" s="191"/>
      <c r="P1294" s="191"/>
      <c r="Q1294" s="191"/>
      <c r="R1294" s="191"/>
      <c r="S1294" s="191"/>
      <c r="T1294" s="191"/>
      <c r="U1294" s="439"/>
      <c r="V1294" s="441"/>
      <c r="W1294" s="178"/>
      <c r="X1294" s="172"/>
      <c r="Y1294" s="172"/>
      <c r="Z1294" s="172"/>
      <c r="AA1294" s="195"/>
      <c r="AB1294" s="172"/>
    </row>
    <row r="1295" spans="1:28" ht="12.75" customHeight="1" x14ac:dyDescent="0.3">
      <c r="A1295" s="667"/>
      <c r="B1295" s="668" t="s">
        <v>6620</v>
      </c>
      <c r="C1295" s="160" t="s">
        <v>6621</v>
      </c>
      <c r="D1295" s="160"/>
      <c r="E1295" s="439">
        <v>3.14</v>
      </c>
      <c r="F1295" s="161">
        <v>599.005907751</v>
      </c>
      <c r="G1295" s="161"/>
      <c r="H1295" s="654"/>
      <c r="I1295" s="654"/>
      <c r="J1295" s="191"/>
      <c r="K1295" s="177">
        <v>61854.3147569067</v>
      </c>
      <c r="L1295" s="191"/>
      <c r="M1295" s="191"/>
      <c r="N1295" s="191"/>
      <c r="O1295" s="191"/>
      <c r="P1295" s="191"/>
      <c r="Q1295" s="191"/>
      <c r="R1295" s="191"/>
      <c r="S1295" s="191"/>
      <c r="T1295" s="191"/>
      <c r="U1295" s="439"/>
      <c r="V1295" s="441"/>
      <c r="W1295" s="178"/>
      <c r="X1295" s="172"/>
      <c r="Y1295" s="172"/>
      <c r="Z1295" s="172"/>
      <c r="AA1295" s="195"/>
      <c r="AB1295" s="172"/>
    </row>
    <row r="1296" spans="1:28" ht="12.75" customHeight="1" x14ac:dyDescent="0.3">
      <c r="A1296" s="667"/>
      <c r="B1296" s="668" t="s">
        <v>6622</v>
      </c>
      <c r="C1296" s="160" t="s">
        <v>6623</v>
      </c>
      <c r="D1296" s="160"/>
      <c r="E1296" s="439">
        <v>6.78</v>
      </c>
      <c r="F1296" s="161">
        <v>600.07392774000004</v>
      </c>
      <c r="G1296" s="161">
        <v>30.087</v>
      </c>
      <c r="H1296" s="654">
        <v>127.32157674600001</v>
      </c>
      <c r="I1296" s="654">
        <v>1.1329335748338401</v>
      </c>
      <c r="J1296" s="191"/>
      <c r="K1296" s="177">
        <v>3.6703543946147699</v>
      </c>
      <c r="L1296" s="191"/>
      <c r="M1296" s="191"/>
      <c r="N1296" s="191"/>
      <c r="O1296" s="191"/>
      <c r="P1296" s="191"/>
      <c r="Q1296" s="191"/>
      <c r="R1296" s="191"/>
      <c r="S1296" s="191"/>
      <c r="T1296" s="191"/>
      <c r="U1296" s="439"/>
      <c r="V1296" s="441"/>
      <c r="W1296" s="178"/>
      <c r="X1296" s="172"/>
      <c r="Y1296" s="172"/>
      <c r="Z1296" s="172"/>
      <c r="AA1296" s="195"/>
      <c r="AB1296" s="172"/>
    </row>
    <row r="1297" spans="1:28" ht="12.75" customHeight="1" x14ac:dyDescent="0.3">
      <c r="A1297" s="667"/>
      <c r="B1297" s="668" t="s">
        <v>6624</v>
      </c>
      <c r="C1297" s="160" t="s">
        <v>6625</v>
      </c>
      <c r="D1297" s="160"/>
      <c r="E1297" s="439">
        <v>5.07</v>
      </c>
      <c r="F1297" s="161">
        <v>455.02246585900002</v>
      </c>
      <c r="G1297" s="161"/>
      <c r="H1297" s="654"/>
      <c r="I1297" s="654"/>
      <c r="J1297" s="191"/>
      <c r="K1297" s="177">
        <v>40563.927702753601</v>
      </c>
      <c r="L1297" s="191"/>
      <c r="M1297" s="191"/>
      <c r="N1297" s="191"/>
      <c r="O1297" s="191"/>
      <c r="P1297" s="191"/>
      <c r="Q1297" s="191"/>
      <c r="R1297" s="191"/>
      <c r="S1297" s="191"/>
      <c r="T1297" s="191"/>
      <c r="U1297" s="439"/>
      <c r="V1297" s="441"/>
      <c r="W1297" s="178"/>
      <c r="X1297" s="172"/>
      <c r="Y1297" s="172"/>
      <c r="Z1297" s="172"/>
      <c r="AA1297" s="195"/>
      <c r="AB1297" s="172"/>
    </row>
    <row r="1298" spans="1:28" ht="12.75" customHeight="1" x14ac:dyDescent="0.3">
      <c r="A1298" s="667"/>
      <c r="B1298" s="668" t="s">
        <v>6626</v>
      </c>
      <c r="C1298" s="160" t="s">
        <v>6627</v>
      </c>
      <c r="D1298" s="160"/>
      <c r="E1298" s="439">
        <v>5.2</v>
      </c>
      <c r="F1298" s="161">
        <v>700.90738820000001</v>
      </c>
      <c r="G1298" s="161">
        <v>24.768999999999998</v>
      </c>
      <c r="H1298" s="654">
        <v>1.8788936138000001</v>
      </c>
      <c r="I1298" s="654"/>
      <c r="J1298" s="191"/>
      <c r="K1298" s="177">
        <v>3275291.8157555498</v>
      </c>
      <c r="L1298" s="191"/>
      <c r="M1298" s="191"/>
      <c r="N1298" s="191"/>
      <c r="O1298" s="191"/>
      <c r="P1298" s="191"/>
      <c r="Q1298" s="191"/>
      <c r="R1298" s="191"/>
      <c r="S1298" s="191"/>
      <c r="T1298" s="191"/>
      <c r="U1298" s="439"/>
      <c r="V1298" s="441"/>
      <c r="W1298" s="178"/>
      <c r="X1298" s="172"/>
      <c r="Y1298" s="172"/>
      <c r="Z1298" s="172"/>
      <c r="AA1298" s="195"/>
      <c r="AB1298" s="172"/>
    </row>
    <row r="1299" spans="1:28" ht="12.75" customHeight="1" x14ac:dyDescent="0.3">
      <c r="A1299" s="667"/>
      <c r="B1299" s="668" t="s">
        <v>6628</v>
      </c>
      <c r="C1299" s="160" t="s">
        <v>6629</v>
      </c>
      <c r="D1299" s="160"/>
      <c r="E1299" s="439"/>
      <c r="F1299" s="161">
        <v>689.05599922800002</v>
      </c>
      <c r="G1299" s="161">
        <v>4.806</v>
      </c>
      <c r="H1299" s="654">
        <v>12.243399222600001</v>
      </c>
      <c r="I1299" s="654">
        <v>9.5115912021434601E-2</v>
      </c>
      <c r="J1299" s="191"/>
      <c r="K1299" s="177">
        <v>211611.85779893701</v>
      </c>
      <c r="L1299" s="191"/>
      <c r="M1299" s="191"/>
      <c r="N1299" s="191"/>
      <c r="O1299" s="191"/>
      <c r="P1299" s="191"/>
      <c r="Q1299" s="191"/>
      <c r="R1299" s="191"/>
      <c r="S1299" s="191"/>
      <c r="T1299" s="191"/>
      <c r="U1299" s="439"/>
      <c r="V1299" s="441"/>
      <c r="W1299" s="178"/>
      <c r="X1299" s="172"/>
      <c r="Y1299" s="172"/>
      <c r="Z1299" s="172"/>
      <c r="AA1299" s="195"/>
      <c r="AB1299" s="172"/>
    </row>
    <row r="1300" spans="1:28" ht="12.75" customHeight="1" x14ac:dyDescent="0.3">
      <c r="A1300" s="667"/>
      <c r="B1300" s="668" t="s">
        <v>6630</v>
      </c>
      <c r="C1300" s="160" t="s">
        <v>6631</v>
      </c>
      <c r="D1300" s="160"/>
      <c r="E1300" s="439">
        <v>33</v>
      </c>
      <c r="F1300" s="161">
        <v>876.23121623300005</v>
      </c>
      <c r="G1300" s="161"/>
      <c r="H1300" s="654"/>
      <c r="I1300" s="654"/>
      <c r="J1300" s="191"/>
      <c r="K1300" s="177">
        <v>7217.0547507674</v>
      </c>
      <c r="L1300" s="191"/>
      <c r="M1300" s="191"/>
      <c r="N1300" s="191"/>
      <c r="O1300" s="191"/>
      <c r="P1300" s="191"/>
      <c r="Q1300" s="191"/>
      <c r="R1300" s="191"/>
      <c r="S1300" s="191"/>
      <c r="T1300" s="191"/>
      <c r="U1300" s="439"/>
      <c r="V1300" s="441"/>
      <c r="W1300" s="178"/>
      <c r="X1300" s="172"/>
      <c r="Y1300" s="172"/>
      <c r="Z1300" s="172"/>
      <c r="AA1300" s="195"/>
      <c r="AB1300" s="172"/>
    </row>
    <row r="1301" spans="1:28" ht="12.75" customHeight="1" x14ac:dyDescent="0.3">
      <c r="A1301" s="667"/>
      <c r="B1301" s="668" t="s">
        <v>6632</v>
      </c>
      <c r="C1301" s="160" t="s">
        <v>6633</v>
      </c>
      <c r="D1301" s="160"/>
      <c r="E1301" s="439">
        <v>5.19</v>
      </c>
      <c r="F1301" s="161">
        <v>521.01418680500001</v>
      </c>
      <c r="G1301" s="161">
        <v>27.66</v>
      </c>
      <c r="H1301" s="654">
        <v>11.800543535199999</v>
      </c>
      <c r="I1301" s="654">
        <v>0.91169667478072902</v>
      </c>
      <c r="J1301" s="191"/>
      <c r="K1301" s="177">
        <v>40370.116249182</v>
      </c>
      <c r="L1301" s="191"/>
      <c r="M1301" s="191"/>
      <c r="N1301" s="191"/>
      <c r="O1301" s="191"/>
      <c r="P1301" s="191"/>
      <c r="Q1301" s="191"/>
      <c r="R1301" s="191"/>
      <c r="S1301" s="191"/>
      <c r="T1301" s="191"/>
      <c r="U1301" s="439"/>
      <c r="V1301" s="441"/>
      <c r="W1301" s="178"/>
      <c r="X1301" s="172"/>
      <c r="Y1301" s="172"/>
      <c r="Z1301" s="172"/>
      <c r="AA1301" s="195"/>
      <c r="AB1301" s="172"/>
    </row>
    <row r="1302" spans="1:28" ht="12.75" customHeight="1" x14ac:dyDescent="0.3">
      <c r="A1302" s="667"/>
      <c r="B1302" s="668" t="s">
        <v>6634</v>
      </c>
      <c r="C1302" s="160" t="s">
        <v>6635</v>
      </c>
      <c r="D1302" s="160"/>
      <c r="E1302" s="439">
        <v>5.37</v>
      </c>
      <c r="F1302" s="161">
        <v>421.02057415299998</v>
      </c>
      <c r="G1302" s="161">
        <v>52.81</v>
      </c>
      <c r="H1302" s="654">
        <v>11.800543535199999</v>
      </c>
      <c r="I1302" s="654">
        <v>12.8618417239148</v>
      </c>
      <c r="J1302" s="191"/>
      <c r="K1302" s="177">
        <v>783.26730737987305</v>
      </c>
      <c r="L1302" s="191"/>
      <c r="M1302" s="191"/>
      <c r="N1302" s="191"/>
      <c r="O1302" s="191"/>
      <c r="P1302" s="191"/>
      <c r="Q1302" s="191"/>
      <c r="R1302" s="191"/>
      <c r="S1302" s="191"/>
      <c r="T1302" s="191"/>
      <c r="U1302" s="439"/>
      <c r="V1302" s="441"/>
      <c r="W1302" s="178"/>
      <c r="X1302" s="172"/>
      <c r="Y1302" s="172"/>
      <c r="Z1302" s="172"/>
      <c r="AA1302" s="195"/>
      <c r="AB1302" s="172"/>
    </row>
    <row r="1303" spans="1:28" ht="12.75" customHeight="1" x14ac:dyDescent="0.3">
      <c r="A1303" s="667"/>
      <c r="B1303" s="668" t="s">
        <v>6636</v>
      </c>
      <c r="C1303" s="160" t="s">
        <v>6637</v>
      </c>
      <c r="D1303" s="160"/>
      <c r="E1303" s="439">
        <v>6.52</v>
      </c>
      <c r="F1303" s="161">
        <v>639.03720787999998</v>
      </c>
      <c r="G1303" s="161">
        <v>44.64</v>
      </c>
      <c r="H1303" s="654"/>
      <c r="I1303" s="654"/>
      <c r="J1303" s="191"/>
      <c r="K1303" s="177">
        <v>219573.53812936999</v>
      </c>
      <c r="L1303" s="191"/>
      <c r="M1303" s="191"/>
      <c r="N1303" s="191"/>
      <c r="O1303" s="191"/>
      <c r="P1303" s="191"/>
      <c r="Q1303" s="191"/>
      <c r="R1303" s="191"/>
      <c r="S1303" s="191"/>
      <c r="T1303" s="191"/>
      <c r="U1303" s="439"/>
      <c r="V1303" s="441"/>
      <c r="W1303" s="178"/>
      <c r="X1303" s="172"/>
      <c r="Y1303" s="172"/>
      <c r="Z1303" s="172"/>
      <c r="AA1303" s="195"/>
      <c r="AB1303" s="172"/>
    </row>
    <row r="1304" spans="1:28" ht="12.75" customHeight="1" x14ac:dyDescent="0.3">
      <c r="A1304" s="667"/>
      <c r="B1304" s="668" t="s">
        <v>6638</v>
      </c>
      <c r="C1304" s="160" t="s">
        <v>6639</v>
      </c>
      <c r="D1304" s="160"/>
      <c r="E1304" s="439">
        <v>5.67</v>
      </c>
      <c r="F1304" s="161">
        <v>625.02155781500005</v>
      </c>
      <c r="G1304" s="161">
        <v>12.811</v>
      </c>
      <c r="H1304" s="654">
        <v>3.7402553846000002</v>
      </c>
      <c r="I1304" s="654"/>
      <c r="J1304" s="191"/>
      <c r="K1304" s="177">
        <v>193883.120068169</v>
      </c>
      <c r="L1304" s="191"/>
      <c r="M1304" s="191"/>
      <c r="N1304" s="191"/>
      <c r="O1304" s="191"/>
      <c r="P1304" s="191"/>
      <c r="Q1304" s="191"/>
      <c r="R1304" s="191"/>
      <c r="S1304" s="191"/>
      <c r="T1304" s="191"/>
      <c r="U1304" s="439"/>
      <c r="V1304" s="441"/>
      <c r="W1304" s="178"/>
      <c r="X1304" s="172"/>
      <c r="Y1304" s="172"/>
      <c r="Z1304" s="172"/>
      <c r="AA1304" s="195"/>
      <c r="AB1304" s="172"/>
    </row>
    <row r="1305" spans="1:28" ht="12.75" customHeight="1" x14ac:dyDescent="0.3">
      <c r="A1305" s="667" t="s">
        <v>4414</v>
      </c>
      <c r="B1305" s="668" t="s">
        <v>6640</v>
      </c>
      <c r="C1305" s="160" t="s">
        <v>6641</v>
      </c>
      <c r="D1305" s="160"/>
      <c r="E1305" s="439"/>
      <c r="F1305" s="161"/>
      <c r="G1305" s="161"/>
      <c r="H1305" s="654"/>
      <c r="I1305" s="654"/>
      <c r="J1305" s="191"/>
      <c r="K1305" s="177"/>
      <c r="L1305" s="191"/>
      <c r="M1305" s="191"/>
      <c r="N1305" s="191"/>
      <c r="O1305" s="191"/>
      <c r="P1305" s="191"/>
      <c r="Q1305" s="191"/>
      <c r="R1305" s="191"/>
      <c r="S1305" s="191"/>
      <c r="T1305" s="191"/>
      <c r="U1305" s="439"/>
      <c r="V1305" s="441"/>
      <c r="W1305" s="178"/>
      <c r="X1305" s="172"/>
      <c r="Y1305" s="172"/>
      <c r="Z1305" s="172"/>
      <c r="AA1305" s="195"/>
      <c r="AB1305" s="172"/>
    </row>
    <row r="1306" spans="1:28" ht="12.75" customHeight="1" x14ac:dyDescent="0.3">
      <c r="A1306" s="667" t="s">
        <v>4414</v>
      </c>
      <c r="B1306" s="668" t="s">
        <v>6642</v>
      </c>
      <c r="C1306" s="160" t="s">
        <v>6643</v>
      </c>
      <c r="D1306" s="160"/>
      <c r="E1306" s="439"/>
      <c r="F1306" s="161"/>
      <c r="G1306" s="161"/>
      <c r="H1306" s="654"/>
      <c r="I1306" s="654"/>
      <c r="J1306" s="191"/>
      <c r="K1306" s="177"/>
      <c r="L1306" s="191"/>
      <c r="M1306" s="191"/>
      <c r="N1306" s="191"/>
      <c r="O1306" s="191"/>
      <c r="P1306" s="191"/>
      <c r="Q1306" s="191"/>
      <c r="R1306" s="191"/>
      <c r="S1306" s="191"/>
      <c r="T1306" s="191"/>
      <c r="U1306" s="439"/>
      <c r="V1306" s="441"/>
      <c r="W1306" s="178"/>
      <c r="X1306" s="172"/>
      <c r="Y1306" s="172"/>
      <c r="Z1306" s="172"/>
      <c r="AA1306" s="195"/>
      <c r="AB1306" s="172"/>
    </row>
    <row r="1307" spans="1:28" ht="12.75" customHeight="1" x14ac:dyDescent="0.3">
      <c r="A1307" s="667"/>
      <c r="B1307" s="668" t="s">
        <v>6644</v>
      </c>
      <c r="C1307" s="160" t="s">
        <v>6645</v>
      </c>
      <c r="D1307" s="160"/>
      <c r="E1307" s="439">
        <v>1.31</v>
      </c>
      <c r="F1307" s="161">
        <v>620.95724348099998</v>
      </c>
      <c r="G1307" s="161">
        <v>49.927</v>
      </c>
      <c r="H1307" s="654"/>
      <c r="I1307" s="654">
        <v>1.30936907232134</v>
      </c>
      <c r="J1307" s="191"/>
      <c r="K1307" s="177">
        <v>1542339.56675221</v>
      </c>
      <c r="L1307" s="191"/>
      <c r="M1307" s="191"/>
      <c r="N1307" s="191"/>
      <c r="O1307" s="191"/>
      <c r="P1307" s="191"/>
      <c r="Q1307" s="191"/>
      <c r="R1307" s="191"/>
      <c r="S1307" s="191"/>
      <c r="T1307" s="191"/>
      <c r="U1307" s="439"/>
      <c r="V1307" s="441"/>
      <c r="W1307" s="178"/>
      <c r="X1307" s="172"/>
      <c r="Y1307" s="172"/>
      <c r="Z1307" s="172"/>
      <c r="AA1307" s="195"/>
      <c r="AB1307" s="172"/>
    </row>
    <row r="1308" spans="1:28" ht="12.75" customHeight="1" x14ac:dyDescent="0.3">
      <c r="A1308" s="667"/>
      <c r="B1308" s="668" t="s">
        <v>6646</v>
      </c>
      <c r="C1308" s="160" t="s">
        <v>6647</v>
      </c>
      <c r="D1308" s="160"/>
      <c r="E1308" s="439">
        <v>8.66</v>
      </c>
      <c r="F1308" s="161">
        <v>703.07164929199996</v>
      </c>
      <c r="G1308" s="161"/>
      <c r="H1308" s="654"/>
      <c r="I1308" s="654"/>
      <c r="J1308" s="191"/>
      <c r="K1308" s="177">
        <v>220495.63679696299</v>
      </c>
      <c r="L1308" s="191"/>
      <c r="M1308" s="191"/>
      <c r="N1308" s="191"/>
      <c r="O1308" s="191"/>
      <c r="P1308" s="191"/>
      <c r="Q1308" s="191"/>
      <c r="R1308" s="191"/>
      <c r="S1308" s="191"/>
      <c r="T1308" s="191"/>
      <c r="U1308" s="439"/>
      <c r="V1308" s="441"/>
      <c r="W1308" s="178"/>
      <c r="X1308" s="172"/>
      <c r="Y1308" s="172"/>
      <c r="Z1308" s="172"/>
      <c r="AA1308" s="195"/>
      <c r="AB1308" s="172"/>
    </row>
    <row r="1309" spans="1:28" ht="12.75" customHeight="1" x14ac:dyDescent="0.3">
      <c r="A1309" s="667"/>
      <c r="B1309" s="668" t="s">
        <v>6648</v>
      </c>
      <c r="C1309" s="160" t="s">
        <v>6649</v>
      </c>
      <c r="D1309" s="160"/>
      <c r="E1309" s="439"/>
      <c r="F1309" s="161">
        <v>365.99721872600003</v>
      </c>
      <c r="G1309" s="161"/>
      <c r="H1309" s="654"/>
      <c r="I1309" s="654"/>
      <c r="J1309" s="191"/>
      <c r="K1309" s="177">
        <v>2134.86294892558</v>
      </c>
      <c r="L1309" s="191"/>
      <c r="M1309" s="191"/>
      <c r="N1309" s="191"/>
      <c r="O1309" s="191"/>
      <c r="P1309" s="191"/>
      <c r="Q1309" s="191"/>
      <c r="R1309" s="191"/>
      <c r="S1309" s="191"/>
      <c r="T1309" s="191"/>
      <c r="U1309" s="439"/>
      <c r="V1309" s="441"/>
      <c r="W1309" s="178"/>
      <c r="X1309" s="172"/>
      <c r="Y1309" s="172"/>
      <c r="Z1309" s="172"/>
      <c r="AA1309" s="195"/>
      <c r="AB1309" s="172"/>
    </row>
    <row r="1310" spans="1:28" ht="12.75" customHeight="1" x14ac:dyDescent="0.3">
      <c r="A1310" s="667"/>
      <c r="B1310" s="668" t="s">
        <v>6650</v>
      </c>
      <c r="C1310" s="160" t="s">
        <v>6651</v>
      </c>
      <c r="D1310" s="160"/>
      <c r="E1310" s="439">
        <v>5.22</v>
      </c>
      <c r="F1310" s="161">
        <v>501.06563263999999</v>
      </c>
      <c r="G1310" s="161"/>
      <c r="H1310" s="654"/>
      <c r="I1310" s="654"/>
      <c r="J1310" s="191"/>
      <c r="K1310" s="177">
        <v>132941.32408557701</v>
      </c>
      <c r="L1310" s="191"/>
      <c r="M1310" s="191"/>
      <c r="N1310" s="191"/>
      <c r="O1310" s="191"/>
      <c r="P1310" s="191"/>
      <c r="Q1310" s="191"/>
      <c r="R1310" s="191"/>
      <c r="S1310" s="191"/>
      <c r="T1310" s="191"/>
      <c r="U1310" s="439"/>
      <c r="V1310" s="441"/>
      <c r="W1310" s="178"/>
      <c r="X1310" s="172"/>
      <c r="Y1310" s="172"/>
      <c r="Z1310" s="172"/>
      <c r="AA1310" s="195"/>
      <c r="AB1310" s="172"/>
    </row>
    <row r="1311" spans="1:28" ht="12.75" customHeight="1" x14ac:dyDescent="0.3">
      <c r="A1311" s="667"/>
      <c r="B1311" s="668" t="s">
        <v>6652</v>
      </c>
      <c r="C1311" s="160" t="s">
        <v>6653</v>
      </c>
      <c r="D1311" s="160"/>
      <c r="E1311" s="439"/>
      <c r="F1311" s="161">
        <v>365.99721872600003</v>
      </c>
      <c r="G1311" s="161"/>
      <c r="H1311" s="654"/>
      <c r="I1311" s="654"/>
      <c r="J1311" s="191"/>
      <c r="K1311" s="177">
        <v>4993.4418872134902</v>
      </c>
      <c r="L1311" s="191"/>
      <c r="M1311" s="191"/>
      <c r="N1311" s="191"/>
      <c r="O1311" s="191"/>
      <c r="P1311" s="191"/>
      <c r="Q1311" s="191"/>
      <c r="R1311" s="191"/>
      <c r="S1311" s="191"/>
      <c r="T1311" s="191"/>
      <c r="U1311" s="439"/>
      <c r="V1311" s="441"/>
      <c r="W1311" s="178"/>
      <c r="X1311" s="172"/>
      <c r="Y1311" s="172"/>
      <c r="Z1311" s="172"/>
      <c r="AA1311" s="195"/>
      <c r="AB1311" s="172"/>
    </row>
    <row r="1312" spans="1:28" ht="12.75" customHeight="1" x14ac:dyDescent="0.3">
      <c r="A1312" s="667"/>
      <c r="B1312" s="668" t="s">
        <v>6654</v>
      </c>
      <c r="C1312" s="160" t="s">
        <v>6655</v>
      </c>
      <c r="D1312" s="160"/>
      <c r="E1312" s="439"/>
      <c r="F1312" s="161">
        <v>464.01515442099998</v>
      </c>
      <c r="G1312" s="161"/>
      <c r="H1312" s="654"/>
      <c r="I1312" s="654"/>
      <c r="J1312" s="191"/>
      <c r="K1312" s="177">
        <v>19358.424097664301</v>
      </c>
      <c r="L1312" s="191"/>
      <c r="M1312" s="191"/>
      <c r="N1312" s="191"/>
      <c r="O1312" s="191"/>
      <c r="P1312" s="191"/>
      <c r="Q1312" s="191"/>
      <c r="R1312" s="191"/>
      <c r="S1312" s="191"/>
      <c r="T1312" s="191"/>
      <c r="U1312" s="439"/>
      <c r="V1312" s="441"/>
      <c r="W1312" s="178"/>
      <c r="X1312" s="172"/>
      <c r="Y1312" s="172"/>
      <c r="Z1312" s="172"/>
      <c r="AA1312" s="195"/>
      <c r="AB1312" s="172"/>
    </row>
    <row r="1313" spans="1:28" ht="12.75" customHeight="1" x14ac:dyDescent="0.3">
      <c r="A1313" s="667"/>
      <c r="B1313" s="668" t="s">
        <v>6656</v>
      </c>
      <c r="C1313" s="160" t="s">
        <v>6657</v>
      </c>
      <c r="D1313" s="160"/>
      <c r="E1313" s="439"/>
      <c r="F1313" s="161">
        <v>369.992133346</v>
      </c>
      <c r="G1313" s="161"/>
      <c r="H1313" s="654"/>
      <c r="I1313" s="654"/>
      <c r="J1313" s="191"/>
      <c r="K1313" s="177">
        <v>1861.27266816152</v>
      </c>
      <c r="L1313" s="191"/>
      <c r="M1313" s="191"/>
      <c r="N1313" s="191"/>
      <c r="O1313" s="191"/>
      <c r="P1313" s="191"/>
      <c r="Q1313" s="191"/>
      <c r="R1313" s="191"/>
      <c r="S1313" s="191"/>
      <c r="T1313" s="191"/>
      <c r="U1313" s="439"/>
      <c r="V1313" s="441"/>
      <c r="W1313" s="178"/>
      <c r="X1313" s="172"/>
      <c r="Y1313" s="172"/>
      <c r="Z1313" s="172"/>
      <c r="AA1313" s="195"/>
      <c r="AB1313" s="172"/>
    </row>
    <row r="1314" spans="1:28" ht="12.75" customHeight="1" x14ac:dyDescent="0.3">
      <c r="A1314" s="667"/>
      <c r="B1314" s="668" t="s">
        <v>6658</v>
      </c>
      <c r="C1314" s="160" t="s">
        <v>6659</v>
      </c>
      <c r="D1314" s="160"/>
      <c r="E1314" s="439">
        <v>8.07</v>
      </c>
      <c r="F1314" s="161">
        <v>620.01930530000004</v>
      </c>
      <c r="G1314" s="161">
        <v>55.704999999999998</v>
      </c>
      <c r="H1314" s="654">
        <v>8.3349314705999902</v>
      </c>
      <c r="I1314" s="654">
        <v>0.36008489182324899</v>
      </c>
      <c r="J1314" s="191"/>
      <c r="K1314" s="177">
        <v>193.584240976643</v>
      </c>
      <c r="L1314" s="191"/>
      <c r="M1314" s="191"/>
      <c r="N1314" s="191"/>
      <c r="O1314" s="191"/>
      <c r="P1314" s="191"/>
      <c r="Q1314" s="191"/>
      <c r="R1314" s="191"/>
      <c r="S1314" s="191"/>
      <c r="T1314" s="191"/>
      <c r="U1314" s="439"/>
      <c r="V1314" s="441"/>
      <c r="W1314" s="178"/>
      <c r="X1314" s="172"/>
      <c r="Y1314" s="172"/>
      <c r="Z1314" s="172"/>
      <c r="AA1314" s="195"/>
      <c r="AB1314" s="172"/>
    </row>
    <row r="1315" spans="1:28" ht="12.75" customHeight="1" x14ac:dyDescent="0.3">
      <c r="A1315" s="667"/>
      <c r="B1315" s="668" t="s">
        <v>6660</v>
      </c>
      <c r="C1315" s="160" t="s">
        <v>6661</v>
      </c>
      <c r="D1315" s="160"/>
      <c r="E1315" s="439">
        <v>7.96</v>
      </c>
      <c r="F1315" s="161">
        <v>570.02249900000004</v>
      </c>
      <c r="G1315" s="161"/>
      <c r="H1315" s="654"/>
      <c r="I1315" s="654"/>
      <c r="J1315" s="191"/>
      <c r="K1315" s="177">
        <v>175.270973963476</v>
      </c>
      <c r="L1315" s="191"/>
      <c r="M1315" s="191"/>
      <c r="N1315" s="191"/>
      <c r="O1315" s="191"/>
      <c r="P1315" s="191"/>
      <c r="Q1315" s="191"/>
      <c r="R1315" s="191"/>
      <c r="S1315" s="191"/>
      <c r="T1315" s="191"/>
      <c r="U1315" s="439"/>
      <c r="V1315" s="441"/>
      <c r="W1315" s="178"/>
      <c r="X1315" s="172"/>
      <c r="Y1315" s="172"/>
      <c r="Z1315" s="172"/>
      <c r="AA1315" s="195"/>
      <c r="AB1315" s="172"/>
    </row>
    <row r="1316" spans="1:28" ht="12.75" customHeight="1" x14ac:dyDescent="0.3">
      <c r="A1316" s="667"/>
      <c r="B1316" s="668" t="s">
        <v>6662</v>
      </c>
      <c r="C1316" s="160" t="s">
        <v>6663</v>
      </c>
      <c r="D1316" s="160"/>
      <c r="E1316" s="439">
        <v>8.39</v>
      </c>
      <c r="F1316" s="161">
        <v>520.02569270000004</v>
      </c>
      <c r="G1316" s="161">
        <v>48.366999999999997</v>
      </c>
      <c r="H1316" s="654">
        <v>11.4525331186</v>
      </c>
      <c r="I1316" s="654">
        <v>1.8621912045309901</v>
      </c>
      <c r="J1316" s="191"/>
      <c r="K1316" s="177">
        <v>25.518197831080801</v>
      </c>
      <c r="L1316" s="191"/>
      <c r="M1316" s="191"/>
      <c r="N1316" s="191"/>
      <c r="O1316" s="191"/>
      <c r="P1316" s="191"/>
      <c r="Q1316" s="191"/>
      <c r="R1316" s="191"/>
      <c r="S1316" s="191"/>
      <c r="T1316" s="191"/>
      <c r="U1316" s="439"/>
      <c r="V1316" s="441"/>
      <c r="W1316" s="178"/>
      <c r="X1316" s="172"/>
      <c r="Y1316" s="172"/>
      <c r="Z1316" s="172"/>
      <c r="AA1316" s="195"/>
      <c r="AB1316" s="172"/>
    </row>
    <row r="1317" spans="1:28" ht="12.75" customHeight="1" x14ac:dyDescent="0.3">
      <c r="A1317" s="667"/>
      <c r="B1317" s="668" t="s">
        <v>6664</v>
      </c>
      <c r="C1317" s="160" t="s">
        <v>6665</v>
      </c>
      <c r="D1317" s="160"/>
      <c r="E1317" s="439">
        <v>8.5</v>
      </c>
      <c r="F1317" s="161">
        <v>470.02888639999998</v>
      </c>
      <c r="G1317" s="161">
        <v>45.015999999999998</v>
      </c>
      <c r="H1317" s="654">
        <v>9.5258035712000009</v>
      </c>
      <c r="I1317" s="654">
        <v>4.1795015581576598</v>
      </c>
      <c r="J1317" s="191"/>
      <c r="K1317" s="177">
        <v>4.3127471813023499</v>
      </c>
      <c r="L1317" s="191"/>
      <c r="M1317" s="191"/>
      <c r="N1317" s="191"/>
      <c r="O1317" s="191"/>
      <c r="P1317" s="191"/>
      <c r="Q1317" s="191"/>
      <c r="R1317" s="191"/>
      <c r="S1317" s="191"/>
      <c r="T1317" s="191"/>
      <c r="U1317" s="439"/>
      <c r="V1317" s="441"/>
      <c r="W1317" s="178"/>
      <c r="X1317" s="172"/>
      <c r="Y1317" s="172"/>
      <c r="Z1317" s="172"/>
      <c r="AA1317" s="195"/>
      <c r="AB1317" s="172"/>
    </row>
    <row r="1318" spans="1:28" ht="12.75" customHeight="1" x14ac:dyDescent="0.3">
      <c r="A1318" s="667"/>
      <c r="B1318" s="668" t="s">
        <v>6666</v>
      </c>
      <c r="C1318" s="160" t="s">
        <v>6667</v>
      </c>
      <c r="D1318" s="160"/>
      <c r="E1318" s="439">
        <v>8.67</v>
      </c>
      <c r="F1318" s="161">
        <v>420.03208000000001</v>
      </c>
      <c r="G1318" s="161">
        <v>93.591999999999999</v>
      </c>
      <c r="H1318" s="654">
        <v>2.94374975999999</v>
      </c>
      <c r="I1318" s="654">
        <v>26.319798177711998</v>
      </c>
      <c r="J1318" s="191"/>
      <c r="K1318" s="177">
        <v>4.6668516957724799</v>
      </c>
      <c r="L1318" s="191"/>
      <c r="M1318" s="191"/>
      <c r="N1318" s="191"/>
      <c r="O1318" s="191"/>
      <c r="P1318" s="191"/>
      <c r="Q1318" s="191"/>
      <c r="R1318" s="191"/>
      <c r="S1318" s="191"/>
      <c r="T1318" s="191"/>
      <c r="U1318" s="439"/>
      <c r="V1318" s="441"/>
      <c r="W1318" s="178"/>
      <c r="X1318" s="172"/>
      <c r="Y1318" s="172"/>
      <c r="Z1318" s="172"/>
      <c r="AA1318" s="195"/>
      <c r="AB1318" s="172"/>
    </row>
    <row r="1319" spans="1:28" ht="12.75" customHeight="1" x14ac:dyDescent="0.3">
      <c r="A1319" s="667"/>
      <c r="B1319" s="668" t="s">
        <v>6668</v>
      </c>
      <c r="C1319" s="160" t="s">
        <v>6669</v>
      </c>
      <c r="D1319" s="160"/>
      <c r="E1319" s="439">
        <v>6.07</v>
      </c>
      <c r="F1319" s="161">
        <v>600.03754223199996</v>
      </c>
      <c r="G1319" s="161"/>
      <c r="H1319" s="654"/>
      <c r="I1319" s="654"/>
      <c r="J1319" s="191"/>
      <c r="K1319" s="177">
        <v>358756.68303926103</v>
      </c>
      <c r="L1319" s="191"/>
      <c r="M1319" s="191"/>
      <c r="N1319" s="191"/>
      <c r="O1319" s="191"/>
      <c r="P1319" s="191"/>
      <c r="Q1319" s="191"/>
      <c r="R1319" s="191"/>
      <c r="S1319" s="191"/>
      <c r="T1319" s="191"/>
      <c r="U1319" s="439"/>
      <c r="V1319" s="441"/>
      <c r="W1319" s="178"/>
      <c r="X1319" s="172"/>
      <c r="Y1319" s="172"/>
      <c r="Z1319" s="172"/>
      <c r="AA1319" s="195"/>
      <c r="AB1319" s="172"/>
    </row>
    <row r="1320" spans="1:28" ht="12.75" customHeight="1" x14ac:dyDescent="0.3">
      <c r="A1320" s="667"/>
      <c r="B1320" s="668" t="s">
        <v>6670</v>
      </c>
      <c r="C1320" s="160" t="s">
        <v>6671</v>
      </c>
      <c r="D1320" s="160"/>
      <c r="E1320" s="439">
        <v>6.63</v>
      </c>
      <c r="F1320" s="161">
        <v>419.02376782699997</v>
      </c>
      <c r="G1320" s="161"/>
      <c r="H1320" s="654"/>
      <c r="I1320" s="654"/>
      <c r="J1320" s="191"/>
      <c r="K1320" s="177">
        <v>71047.696197761805</v>
      </c>
      <c r="L1320" s="191"/>
      <c r="M1320" s="191"/>
      <c r="N1320" s="191"/>
      <c r="O1320" s="191"/>
      <c r="P1320" s="191"/>
      <c r="Q1320" s="191"/>
      <c r="R1320" s="191"/>
      <c r="S1320" s="191"/>
      <c r="T1320" s="191"/>
      <c r="U1320" s="439"/>
      <c r="V1320" s="441"/>
      <c r="W1320" s="178"/>
      <c r="X1320" s="172"/>
      <c r="Y1320" s="172"/>
      <c r="Z1320" s="172"/>
      <c r="AA1320" s="195"/>
      <c r="AB1320" s="172"/>
    </row>
    <row r="1321" spans="1:28" ht="12.75" customHeight="1" x14ac:dyDescent="0.3">
      <c r="A1321" s="667"/>
      <c r="B1321" s="668" t="s">
        <v>6672</v>
      </c>
      <c r="C1321" s="160" t="s">
        <v>6234</v>
      </c>
      <c r="D1321" s="160"/>
      <c r="E1321" s="439">
        <v>1.2330000000000001</v>
      </c>
      <c r="F1321" s="161">
        <v>644.02963905000001</v>
      </c>
      <c r="G1321" s="161">
        <v>100.526</v>
      </c>
      <c r="H1321" s="654"/>
      <c r="I1321" s="654">
        <v>4.455596692136</v>
      </c>
      <c r="J1321" s="191"/>
      <c r="K1321" s="177">
        <v>22630.8048691269</v>
      </c>
      <c r="L1321" s="191"/>
      <c r="M1321" s="191"/>
      <c r="N1321" s="191"/>
      <c r="O1321" s="191"/>
      <c r="P1321" s="191"/>
      <c r="Q1321" s="191"/>
      <c r="R1321" s="191"/>
      <c r="S1321" s="191"/>
      <c r="T1321" s="191"/>
      <c r="U1321" s="439"/>
      <c r="V1321" s="441"/>
      <c r="W1321" s="178"/>
      <c r="X1321" s="172"/>
      <c r="Y1321" s="172"/>
      <c r="Z1321" s="172"/>
      <c r="AA1321" s="195"/>
      <c r="AB1321" s="172"/>
    </row>
    <row r="1322" spans="1:28" ht="12.75" customHeight="1" x14ac:dyDescent="0.3">
      <c r="A1322" s="667"/>
      <c r="B1322" s="668" t="s">
        <v>6673</v>
      </c>
      <c r="C1322" s="160" t="s">
        <v>6674</v>
      </c>
      <c r="D1322" s="160"/>
      <c r="E1322" s="439">
        <v>8.67</v>
      </c>
      <c r="F1322" s="161">
        <v>384.055402308</v>
      </c>
      <c r="G1322" s="161">
        <v>93.591999999999999</v>
      </c>
      <c r="H1322" s="654">
        <v>2.94374975999999</v>
      </c>
      <c r="I1322" s="654">
        <v>24.065449186182502</v>
      </c>
      <c r="J1322" s="191"/>
      <c r="K1322" s="177">
        <v>328.82891539466499</v>
      </c>
      <c r="L1322" s="191"/>
      <c r="M1322" s="191"/>
      <c r="N1322" s="191"/>
      <c r="O1322" s="191"/>
      <c r="P1322" s="191"/>
      <c r="Q1322" s="191"/>
      <c r="R1322" s="191"/>
      <c r="S1322" s="191"/>
      <c r="T1322" s="191"/>
      <c r="U1322" s="439"/>
      <c r="V1322" s="441"/>
      <c r="W1322" s="178"/>
      <c r="X1322" s="172"/>
      <c r="Y1322" s="172"/>
      <c r="Z1322" s="172"/>
      <c r="AA1322" s="195"/>
      <c r="AB1322" s="172"/>
    </row>
    <row r="1323" spans="1:28" ht="12.75" customHeight="1" x14ac:dyDescent="0.3">
      <c r="A1323" s="667"/>
      <c r="B1323" s="668" t="s">
        <v>6675</v>
      </c>
      <c r="C1323" s="160" t="s">
        <v>6676</v>
      </c>
      <c r="D1323" s="160"/>
      <c r="E1323" s="439">
        <v>4.88</v>
      </c>
      <c r="F1323" s="161">
        <v>426.99116572999998</v>
      </c>
      <c r="G1323" s="161"/>
      <c r="H1323" s="654"/>
      <c r="I1323" s="654"/>
      <c r="J1323" s="191"/>
      <c r="K1323" s="177">
        <v>28387.032827913099</v>
      </c>
      <c r="L1323" s="191"/>
      <c r="M1323" s="191"/>
      <c r="N1323" s="191"/>
      <c r="O1323" s="191"/>
      <c r="P1323" s="191"/>
      <c r="Q1323" s="191"/>
      <c r="R1323" s="191"/>
      <c r="S1323" s="191"/>
      <c r="T1323" s="191"/>
      <c r="U1323" s="439"/>
      <c r="V1323" s="441"/>
      <c r="W1323" s="178"/>
      <c r="X1323" s="172"/>
      <c r="Y1323" s="172"/>
      <c r="Z1323" s="172"/>
      <c r="AA1323" s="195"/>
      <c r="AB1323" s="172"/>
    </row>
    <row r="1324" spans="1:28" ht="12.75" customHeight="1" x14ac:dyDescent="0.3">
      <c r="A1324" s="667"/>
      <c r="B1324" s="668" t="s">
        <v>6677</v>
      </c>
      <c r="C1324" s="160" t="s">
        <v>6678</v>
      </c>
      <c r="D1324" s="160"/>
      <c r="E1324" s="439"/>
      <c r="F1324" s="161">
        <v>556.99534306700002</v>
      </c>
      <c r="G1324" s="161"/>
      <c r="H1324" s="654"/>
      <c r="I1324" s="654"/>
      <c r="J1324" s="191"/>
      <c r="K1324" s="177"/>
      <c r="L1324" s="191"/>
      <c r="M1324" s="191"/>
      <c r="N1324" s="191"/>
      <c r="O1324" s="191"/>
      <c r="P1324" s="191"/>
      <c r="Q1324" s="191"/>
      <c r="R1324" s="191"/>
      <c r="S1324" s="191"/>
      <c r="T1324" s="191"/>
      <c r="U1324" s="439"/>
      <c r="V1324" s="441"/>
      <c r="W1324" s="178"/>
      <c r="X1324" s="172"/>
      <c r="Y1324" s="172"/>
      <c r="Z1324" s="172"/>
      <c r="AA1324" s="195"/>
      <c r="AB1324" s="172"/>
    </row>
    <row r="1325" spans="1:28" ht="12.75" customHeight="1" x14ac:dyDescent="0.3">
      <c r="A1325" s="667"/>
      <c r="B1325" s="668" t="s">
        <v>6679</v>
      </c>
      <c r="C1325" s="160" t="s">
        <v>6680</v>
      </c>
      <c r="D1325" s="160"/>
      <c r="E1325" s="439">
        <v>6.79</v>
      </c>
      <c r="F1325" s="161">
        <v>357.00811776299997</v>
      </c>
      <c r="G1325" s="161">
        <v>27.585999999999999</v>
      </c>
      <c r="H1325" s="654">
        <v>8.9310407969999996</v>
      </c>
      <c r="I1325" s="654">
        <v>310.94121827933299</v>
      </c>
      <c r="J1325" s="191"/>
      <c r="K1325" s="177">
        <v>1101.2856999410701</v>
      </c>
      <c r="L1325" s="191"/>
      <c r="M1325" s="191"/>
      <c r="N1325" s="191"/>
      <c r="O1325" s="191"/>
      <c r="P1325" s="191"/>
      <c r="Q1325" s="191"/>
      <c r="R1325" s="191"/>
      <c r="S1325" s="191"/>
      <c r="T1325" s="191"/>
      <c r="U1325" s="439"/>
      <c r="V1325" s="441"/>
      <c r="W1325" s="178"/>
      <c r="X1325" s="172"/>
      <c r="Y1325" s="172"/>
      <c r="Z1325" s="172"/>
      <c r="AA1325" s="195"/>
      <c r="AB1325" s="172"/>
    </row>
    <row r="1326" spans="1:28" ht="12.75" customHeight="1" x14ac:dyDescent="0.3">
      <c r="A1326" s="667"/>
      <c r="B1326" s="668" t="s">
        <v>6681</v>
      </c>
      <c r="C1326" s="160" t="s">
        <v>6682</v>
      </c>
      <c r="D1326" s="160"/>
      <c r="E1326" s="439">
        <v>6.09</v>
      </c>
      <c r="F1326" s="161">
        <v>407.00492408899999</v>
      </c>
      <c r="G1326" s="161">
        <v>47.097999999999999</v>
      </c>
      <c r="H1326" s="654">
        <v>17.374123074</v>
      </c>
      <c r="I1326" s="654">
        <v>17.684770956591102</v>
      </c>
      <c r="J1326" s="191"/>
      <c r="K1326" s="177">
        <v>1054.82399376483</v>
      </c>
      <c r="L1326" s="191"/>
      <c r="M1326" s="191"/>
      <c r="N1326" s="191"/>
      <c r="O1326" s="191"/>
      <c r="P1326" s="191"/>
      <c r="Q1326" s="191"/>
      <c r="R1326" s="191"/>
      <c r="S1326" s="191"/>
      <c r="T1326" s="191"/>
      <c r="U1326" s="439"/>
      <c r="V1326" s="441"/>
      <c r="W1326" s="178"/>
      <c r="X1326" s="172"/>
      <c r="Y1326" s="172"/>
      <c r="Z1326" s="172"/>
      <c r="AA1326" s="195"/>
      <c r="AB1326" s="172"/>
    </row>
    <row r="1327" spans="1:28" ht="12.75" customHeight="1" x14ac:dyDescent="0.3">
      <c r="A1327" s="667"/>
      <c r="B1327" s="668" t="s">
        <v>6683</v>
      </c>
      <c r="C1327" s="160" t="s">
        <v>6684</v>
      </c>
      <c r="D1327" s="160"/>
      <c r="E1327" s="439">
        <v>6.17</v>
      </c>
      <c r="F1327" s="161">
        <v>357.00811776299997</v>
      </c>
      <c r="G1327" s="161">
        <v>41.183</v>
      </c>
      <c r="H1327" s="654">
        <v>19.226632263999999</v>
      </c>
      <c r="I1327" s="654">
        <v>278.40564047511998</v>
      </c>
      <c r="J1327" s="191"/>
      <c r="K1327" s="177">
        <v>540.80413055299005</v>
      </c>
      <c r="L1327" s="191"/>
      <c r="M1327" s="191"/>
      <c r="N1327" s="191"/>
      <c r="O1327" s="191"/>
      <c r="P1327" s="191"/>
      <c r="Q1327" s="191"/>
      <c r="R1327" s="191"/>
      <c r="S1327" s="191"/>
      <c r="T1327" s="191"/>
      <c r="U1327" s="439"/>
      <c r="V1327" s="441"/>
      <c r="W1327" s="178"/>
      <c r="X1327" s="172"/>
      <c r="Y1327" s="172"/>
      <c r="Z1327" s="172"/>
      <c r="AA1327" s="195"/>
      <c r="AB1327" s="172"/>
    </row>
    <row r="1328" spans="1:28" ht="12.75" customHeight="1" x14ac:dyDescent="0.3">
      <c r="A1328" s="667"/>
      <c r="B1328" s="668" t="s">
        <v>6685</v>
      </c>
      <c r="C1328" s="160" t="s">
        <v>6686</v>
      </c>
      <c r="D1328" s="160"/>
      <c r="E1328" s="439">
        <v>8.1999999999999993</v>
      </c>
      <c r="F1328" s="161">
        <v>485.033030543</v>
      </c>
      <c r="G1328" s="161"/>
      <c r="H1328" s="654"/>
      <c r="I1328" s="654"/>
      <c r="J1328" s="191"/>
      <c r="K1328" s="177">
        <v>16099.782167453801</v>
      </c>
      <c r="L1328" s="191"/>
      <c r="M1328" s="191"/>
      <c r="N1328" s="191"/>
      <c r="O1328" s="191"/>
      <c r="P1328" s="191"/>
      <c r="Q1328" s="191"/>
      <c r="R1328" s="191"/>
      <c r="S1328" s="191"/>
      <c r="T1328" s="191"/>
      <c r="U1328" s="439"/>
      <c r="V1328" s="441"/>
      <c r="W1328" s="178"/>
      <c r="X1328" s="172"/>
      <c r="Y1328" s="172"/>
      <c r="Z1328" s="172"/>
      <c r="AA1328" s="195"/>
      <c r="AB1328" s="172"/>
    </row>
    <row r="1329" spans="1:28" ht="12.75" customHeight="1" x14ac:dyDescent="0.3">
      <c r="A1329" s="667"/>
      <c r="B1329" s="668" t="s">
        <v>6687</v>
      </c>
      <c r="C1329" s="160" t="s">
        <v>6688</v>
      </c>
      <c r="D1329" s="160"/>
      <c r="E1329" s="439">
        <v>6.22</v>
      </c>
      <c r="F1329" s="161">
        <v>461.01548877300002</v>
      </c>
      <c r="G1329" s="161">
        <v>33.774999999999999</v>
      </c>
      <c r="H1329" s="654">
        <v>15.34269576</v>
      </c>
      <c r="I1329" s="654">
        <v>6.1619330229399099</v>
      </c>
      <c r="J1329" s="191"/>
      <c r="K1329" s="177">
        <v>140786.171821139</v>
      </c>
      <c r="L1329" s="191"/>
      <c r="M1329" s="191"/>
      <c r="N1329" s="191"/>
      <c r="O1329" s="191"/>
      <c r="P1329" s="191"/>
      <c r="Q1329" s="191"/>
      <c r="R1329" s="191"/>
      <c r="S1329" s="191"/>
      <c r="T1329" s="191"/>
      <c r="U1329" s="439"/>
      <c r="V1329" s="441"/>
      <c r="W1329" s="178"/>
      <c r="X1329" s="172"/>
      <c r="Y1329" s="172"/>
      <c r="Z1329" s="172"/>
      <c r="AA1329" s="195"/>
      <c r="AB1329" s="172"/>
    </row>
    <row r="1330" spans="1:28" ht="12.75" customHeight="1" x14ac:dyDescent="0.3">
      <c r="A1330" s="667"/>
      <c r="B1330" s="668" t="s">
        <v>6689</v>
      </c>
      <c r="C1330" s="160" t="s">
        <v>6690</v>
      </c>
      <c r="D1330" s="160"/>
      <c r="E1330" s="439">
        <v>6.19</v>
      </c>
      <c r="F1330" s="161">
        <v>411.018682447</v>
      </c>
      <c r="G1330" s="161">
        <v>2.8919999999999999</v>
      </c>
      <c r="H1330" s="654">
        <v>4.1677523776000003</v>
      </c>
      <c r="I1330" s="654">
        <v>13.641463459206401</v>
      </c>
      <c r="J1330" s="191"/>
      <c r="K1330" s="177">
        <v>24238.737756683098</v>
      </c>
      <c r="L1330" s="191"/>
      <c r="M1330" s="191"/>
      <c r="N1330" s="191"/>
      <c r="O1330" s="191"/>
      <c r="P1330" s="191"/>
      <c r="Q1330" s="191"/>
      <c r="R1330" s="191"/>
      <c r="S1330" s="191"/>
      <c r="T1330" s="191"/>
      <c r="U1330" s="439"/>
      <c r="V1330" s="441"/>
      <c r="W1330" s="178"/>
      <c r="X1330" s="172"/>
      <c r="Y1330" s="172"/>
      <c r="Z1330" s="172"/>
      <c r="AA1330" s="195"/>
      <c r="AB1330" s="172"/>
    </row>
    <row r="1331" spans="1:28" ht="12.75" customHeight="1" x14ac:dyDescent="0.3">
      <c r="A1331" s="667"/>
      <c r="B1331" s="668" t="s">
        <v>6691</v>
      </c>
      <c r="C1331" s="160" t="s">
        <v>6692</v>
      </c>
      <c r="D1331" s="160"/>
      <c r="E1331" s="439"/>
      <c r="F1331" s="161">
        <v>775.97200173099998</v>
      </c>
      <c r="G1331" s="161"/>
      <c r="H1331" s="654"/>
      <c r="I1331" s="654"/>
      <c r="J1331" s="191"/>
      <c r="K1331" s="177">
        <v>48862.985658821599</v>
      </c>
      <c r="L1331" s="191"/>
      <c r="M1331" s="191"/>
      <c r="N1331" s="191"/>
      <c r="O1331" s="191"/>
      <c r="P1331" s="191"/>
      <c r="Q1331" s="191"/>
      <c r="R1331" s="191"/>
      <c r="S1331" s="191"/>
      <c r="T1331" s="191"/>
      <c r="U1331" s="439"/>
      <c r="V1331" s="441"/>
      <c r="W1331" s="178"/>
      <c r="X1331" s="172"/>
      <c r="Y1331" s="172"/>
      <c r="Z1331" s="172"/>
      <c r="AA1331" s="195"/>
      <c r="AB1331" s="172"/>
    </row>
    <row r="1332" spans="1:28" ht="12.75" customHeight="1" x14ac:dyDescent="0.3">
      <c r="A1332" s="667"/>
      <c r="B1332" s="668" t="s">
        <v>6693</v>
      </c>
      <c r="C1332" s="160" t="s">
        <v>6694</v>
      </c>
      <c r="D1332" s="160"/>
      <c r="E1332" s="439">
        <v>2.19</v>
      </c>
      <c r="F1332" s="161">
        <v>436.97444865300002</v>
      </c>
      <c r="G1332" s="161"/>
      <c r="H1332" s="654"/>
      <c r="I1332" s="654"/>
      <c r="J1332" s="191"/>
      <c r="K1332" s="177">
        <v>7.5707342198907401</v>
      </c>
      <c r="L1332" s="191"/>
      <c r="M1332" s="191"/>
      <c r="N1332" s="191"/>
      <c r="O1332" s="191"/>
      <c r="P1332" s="191"/>
      <c r="Q1332" s="191"/>
      <c r="R1332" s="191"/>
      <c r="S1332" s="191"/>
      <c r="T1332" s="191"/>
      <c r="U1332" s="439"/>
      <c r="V1332" s="441"/>
      <c r="W1332" s="178"/>
      <c r="X1332" s="172"/>
      <c r="Y1332" s="172"/>
      <c r="Z1332" s="172"/>
      <c r="AA1332" s="195"/>
      <c r="AB1332" s="172"/>
    </row>
    <row r="1333" spans="1:28" ht="12.75" customHeight="1" x14ac:dyDescent="0.3">
      <c r="A1333" s="667"/>
      <c r="B1333" s="668" t="s">
        <v>6695</v>
      </c>
      <c r="C1333" s="160" t="s">
        <v>6696</v>
      </c>
      <c r="D1333" s="160"/>
      <c r="E1333" s="439">
        <v>2</v>
      </c>
      <c r="F1333" s="161">
        <v>460.95179100000001</v>
      </c>
      <c r="G1333" s="161"/>
      <c r="H1333" s="654"/>
      <c r="I1333" s="654"/>
      <c r="J1333" s="191"/>
      <c r="K1333" s="177"/>
      <c r="L1333" s="191"/>
      <c r="M1333" s="191"/>
      <c r="N1333" s="191"/>
      <c r="O1333" s="191"/>
      <c r="P1333" s="191"/>
      <c r="Q1333" s="191"/>
      <c r="R1333" s="191"/>
      <c r="S1333" s="191"/>
      <c r="T1333" s="191"/>
      <c r="U1333" s="439"/>
      <c r="V1333" s="441"/>
      <c r="W1333" s="178"/>
      <c r="X1333" s="172"/>
      <c r="Y1333" s="172"/>
      <c r="Z1333" s="172"/>
      <c r="AA1333" s="195"/>
      <c r="AB1333" s="172"/>
    </row>
    <row r="1334" spans="1:28" ht="12.75" customHeight="1" x14ac:dyDescent="0.3">
      <c r="A1334" s="667"/>
      <c r="B1334" s="668" t="s">
        <v>6697</v>
      </c>
      <c r="C1334" s="160" t="s">
        <v>6698</v>
      </c>
      <c r="D1334" s="160"/>
      <c r="E1334" s="439">
        <v>8.32</v>
      </c>
      <c r="F1334" s="161">
        <v>512.969128318</v>
      </c>
      <c r="G1334" s="161"/>
      <c r="H1334" s="654"/>
      <c r="I1334" s="654"/>
      <c r="J1334" s="191"/>
      <c r="K1334" s="191">
        <v>123089.21443668701</v>
      </c>
      <c r="L1334" s="191"/>
      <c r="M1334" s="191"/>
      <c r="N1334" s="191"/>
      <c r="O1334" s="191"/>
      <c r="P1334" s="191"/>
      <c r="Q1334" s="191"/>
      <c r="R1334" s="191"/>
      <c r="S1334" s="191"/>
      <c r="T1334" s="191"/>
      <c r="U1334" s="439"/>
      <c r="V1334" s="441"/>
      <c r="W1334" s="178"/>
      <c r="X1334" s="172"/>
      <c r="Y1334" s="172"/>
      <c r="Z1334" s="172"/>
      <c r="AA1334" s="195"/>
      <c r="AB1334" s="172"/>
    </row>
    <row r="1335" spans="1:28" ht="12.75" customHeight="1" x14ac:dyDescent="0.3">
      <c r="A1335" s="667"/>
      <c r="B1335" s="668" t="s">
        <v>6699</v>
      </c>
      <c r="C1335" s="160" t="s">
        <v>6700</v>
      </c>
      <c r="D1335" s="160"/>
      <c r="E1335" s="439">
        <v>7.86</v>
      </c>
      <c r="F1335" s="161">
        <v>462.97232199199999</v>
      </c>
      <c r="G1335" s="161">
        <v>36.401000000000003</v>
      </c>
      <c r="H1335" s="654">
        <v>133.01535939999999</v>
      </c>
      <c r="I1335" s="654">
        <v>2.1605020080846402</v>
      </c>
      <c r="J1335" s="191"/>
      <c r="K1335" s="191">
        <v>40541.517440650197</v>
      </c>
      <c r="L1335" s="191"/>
      <c r="M1335" s="191"/>
      <c r="N1335" s="191"/>
      <c r="O1335" s="191"/>
      <c r="P1335" s="191"/>
      <c r="Q1335" s="191"/>
      <c r="R1335" s="191"/>
      <c r="S1335" s="191"/>
      <c r="T1335" s="191"/>
      <c r="U1335" s="439"/>
      <c r="V1335" s="441"/>
      <c r="W1335" s="178"/>
      <c r="X1335" s="172"/>
      <c r="Y1335" s="172"/>
      <c r="Z1335" s="172"/>
      <c r="AA1335" s="195"/>
      <c r="AB1335" s="172"/>
    </row>
    <row r="1336" spans="1:28" ht="12.75" customHeight="1" x14ac:dyDescent="0.3">
      <c r="A1336" s="667"/>
      <c r="B1336" s="668" t="s">
        <v>6701</v>
      </c>
      <c r="C1336" s="160" t="s">
        <v>6702</v>
      </c>
      <c r="D1336" s="160"/>
      <c r="E1336" s="439">
        <v>8.26</v>
      </c>
      <c r="F1336" s="161">
        <v>412.97551566599998</v>
      </c>
      <c r="G1336" s="161">
        <v>34.76</v>
      </c>
      <c r="H1336" s="654">
        <v>171.35743338</v>
      </c>
      <c r="I1336" s="654">
        <v>4.7854776804344699</v>
      </c>
      <c r="J1336" s="191"/>
      <c r="K1336" s="191">
        <v>17675.8374881407</v>
      </c>
      <c r="L1336" s="191"/>
      <c r="M1336" s="191"/>
      <c r="N1336" s="191"/>
      <c r="O1336" s="191"/>
      <c r="P1336" s="191"/>
      <c r="Q1336" s="191"/>
      <c r="R1336" s="191"/>
      <c r="S1336" s="191"/>
      <c r="T1336" s="191"/>
      <c r="U1336" s="439"/>
      <c r="V1336" s="441"/>
      <c r="W1336" s="178"/>
      <c r="X1336" s="172"/>
      <c r="Y1336" s="172"/>
      <c r="Z1336" s="172"/>
      <c r="AA1336" s="195"/>
      <c r="AB1336" s="172"/>
    </row>
    <row r="1337" spans="1:28" ht="12.75" customHeight="1" x14ac:dyDescent="0.3">
      <c r="A1337" s="667"/>
      <c r="B1337" s="668" t="s">
        <v>6703</v>
      </c>
      <c r="C1337" s="160" t="s">
        <v>6704</v>
      </c>
      <c r="D1337" s="160"/>
      <c r="E1337" s="439">
        <v>8.2200000000000006</v>
      </c>
      <c r="F1337" s="161">
        <v>362.97870934000002</v>
      </c>
      <c r="G1337" s="161">
        <v>21.585999999999999</v>
      </c>
      <c r="H1337" s="654">
        <v>269.09312513999998</v>
      </c>
      <c r="I1337" s="654">
        <v>41.009334581233198</v>
      </c>
      <c r="J1337" s="191"/>
      <c r="K1337" s="191">
        <v>1533.0982926988299</v>
      </c>
      <c r="L1337" s="191"/>
      <c r="M1337" s="191"/>
      <c r="N1337" s="191"/>
      <c r="O1337" s="191"/>
      <c r="P1337" s="191"/>
      <c r="Q1337" s="191"/>
      <c r="R1337" s="191"/>
      <c r="S1337" s="191"/>
      <c r="T1337" s="191"/>
      <c r="U1337" s="439"/>
      <c r="V1337" s="441"/>
      <c r="W1337" s="178"/>
      <c r="X1337" s="172"/>
      <c r="Y1337" s="172"/>
      <c r="Z1337" s="172"/>
      <c r="AA1337" s="195"/>
      <c r="AB1337" s="172"/>
    </row>
    <row r="1338" spans="1:28" ht="12.75" customHeight="1" x14ac:dyDescent="0.3">
      <c r="A1338" s="667"/>
      <c r="B1338" s="668" t="s">
        <v>6705</v>
      </c>
      <c r="C1338" s="160" t="s">
        <v>6706</v>
      </c>
      <c r="D1338" s="160"/>
      <c r="E1338" s="439">
        <v>8.2100000000000009</v>
      </c>
      <c r="F1338" s="161">
        <v>312.98190301400001</v>
      </c>
      <c r="G1338" s="161">
        <v>8.4730000000000008</v>
      </c>
      <c r="H1338" s="654">
        <v>549.41729555999996</v>
      </c>
      <c r="I1338" s="654">
        <v>105.079918154114</v>
      </c>
      <c r="J1338" s="191"/>
      <c r="K1338" s="191">
        <v>499.19473936717702</v>
      </c>
      <c r="L1338" s="191"/>
      <c r="M1338" s="191"/>
      <c r="N1338" s="191"/>
      <c r="O1338" s="191"/>
      <c r="P1338" s="191"/>
      <c r="Q1338" s="191"/>
      <c r="R1338" s="191"/>
      <c r="S1338" s="191"/>
      <c r="T1338" s="191"/>
      <c r="U1338" s="439"/>
      <c r="V1338" s="441"/>
      <c r="W1338" s="178"/>
      <c r="X1338" s="172"/>
      <c r="Y1338" s="172"/>
      <c r="Z1338" s="172"/>
      <c r="AA1338" s="195"/>
      <c r="AB1338" s="172"/>
    </row>
    <row r="1339" spans="1:28" ht="12.75" customHeight="1" x14ac:dyDescent="0.3">
      <c r="A1339" s="667"/>
      <c r="B1339" s="668" t="s">
        <v>6707</v>
      </c>
      <c r="C1339" s="160" t="s">
        <v>6708</v>
      </c>
      <c r="D1339" s="160"/>
      <c r="E1339" s="439">
        <v>15</v>
      </c>
      <c r="F1339" s="161">
        <v>517.04278919399997</v>
      </c>
      <c r="G1339" s="161"/>
      <c r="H1339" s="654"/>
      <c r="I1339" s="654"/>
      <c r="J1339" s="191"/>
      <c r="K1339" s="191"/>
      <c r="L1339" s="191"/>
      <c r="M1339" s="191"/>
      <c r="N1339" s="191"/>
      <c r="O1339" s="191"/>
      <c r="P1339" s="191"/>
      <c r="Q1339" s="191"/>
      <c r="R1339" s="191"/>
      <c r="S1339" s="191"/>
      <c r="T1339" s="191"/>
      <c r="U1339" s="439"/>
      <c r="V1339" s="441"/>
      <c r="W1339" s="178"/>
      <c r="X1339" s="172"/>
      <c r="Y1339" s="172"/>
      <c r="Z1339" s="172"/>
      <c r="AA1339" s="195"/>
      <c r="AB1339" s="172"/>
    </row>
    <row r="1340" spans="1:28" ht="12.75" customHeight="1" x14ac:dyDescent="0.3">
      <c r="A1340" s="667"/>
      <c r="B1340" s="668" t="s">
        <v>6709</v>
      </c>
      <c r="C1340" s="160" t="s">
        <v>6710</v>
      </c>
      <c r="D1340" s="160"/>
      <c r="E1340" s="439"/>
      <c r="F1340" s="161">
        <v>463.997612651</v>
      </c>
      <c r="G1340" s="161"/>
      <c r="H1340" s="654"/>
      <c r="I1340" s="654"/>
      <c r="J1340" s="191"/>
      <c r="K1340" s="191">
        <v>2288.81135828475</v>
      </c>
      <c r="L1340" s="191"/>
      <c r="M1340" s="191"/>
      <c r="N1340" s="191"/>
      <c r="O1340" s="191"/>
      <c r="P1340" s="191"/>
      <c r="Q1340" s="191"/>
      <c r="R1340" s="191"/>
      <c r="S1340" s="191"/>
      <c r="T1340" s="191"/>
      <c r="U1340" s="439"/>
      <c r="V1340" s="441"/>
      <c r="W1340" s="178"/>
      <c r="X1340" s="172"/>
      <c r="Y1340" s="172"/>
      <c r="Z1340" s="172"/>
      <c r="AA1340" s="195"/>
      <c r="AB1340" s="172"/>
    </row>
    <row r="1341" spans="1:28" ht="12.75" customHeight="1" x14ac:dyDescent="0.3">
      <c r="A1341" s="667"/>
      <c r="B1341" s="668" t="s">
        <v>6711</v>
      </c>
      <c r="C1341" s="160" t="s">
        <v>6712</v>
      </c>
      <c r="D1341" s="160"/>
      <c r="E1341" s="439"/>
      <c r="F1341" s="161">
        <v>501.90910330000003</v>
      </c>
      <c r="G1341" s="161"/>
      <c r="H1341" s="654"/>
      <c r="I1341" s="654"/>
      <c r="J1341" s="191"/>
      <c r="K1341" s="191">
        <v>223310.940167861</v>
      </c>
      <c r="L1341" s="191"/>
      <c r="M1341" s="191"/>
      <c r="N1341" s="191"/>
      <c r="O1341" s="191"/>
      <c r="P1341" s="191"/>
      <c r="Q1341" s="191"/>
      <c r="R1341" s="191"/>
      <c r="S1341" s="191"/>
      <c r="T1341" s="191"/>
      <c r="U1341" s="439"/>
      <c r="V1341" s="441"/>
      <c r="W1341" s="178"/>
      <c r="X1341" s="172"/>
      <c r="Y1341" s="172"/>
      <c r="Z1341" s="172"/>
      <c r="AA1341" s="195"/>
      <c r="AB1341" s="172"/>
    </row>
    <row r="1342" spans="1:28" ht="12.75" customHeight="1" x14ac:dyDescent="0.3">
      <c r="A1342" s="667"/>
      <c r="B1342" s="668" t="s">
        <v>6713</v>
      </c>
      <c r="C1342" s="160" t="s">
        <v>6714</v>
      </c>
      <c r="D1342" s="160"/>
      <c r="E1342" s="439">
        <v>4.58</v>
      </c>
      <c r="F1342" s="161">
        <v>575.04359522799996</v>
      </c>
      <c r="G1342" s="161"/>
      <c r="H1342" s="654"/>
      <c r="I1342" s="654"/>
      <c r="J1342" s="191"/>
      <c r="K1342" s="191">
        <v>358121.17438255902</v>
      </c>
      <c r="L1342" s="191"/>
      <c r="M1342" s="191"/>
      <c r="N1342" s="191"/>
      <c r="O1342" s="191"/>
      <c r="P1342" s="191"/>
      <c r="Q1342" s="191"/>
      <c r="R1342" s="191"/>
      <c r="S1342" s="191"/>
      <c r="T1342" s="191"/>
      <c r="U1342" s="439"/>
      <c r="V1342" s="441"/>
      <c r="W1342" s="178"/>
      <c r="X1342" s="172"/>
      <c r="Y1342" s="172"/>
      <c r="Z1342" s="172"/>
      <c r="AA1342" s="195"/>
      <c r="AB1342" s="172"/>
    </row>
    <row r="1343" spans="1:28" ht="12.75" customHeight="1" x14ac:dyDescent="0.3">
      <c r="A1343" s="667"/>
      <c r="B1343" s="668" t="s">
        <v>6715</v>
      </c>
      <c r="C1343" s="160" t="s">
        <v>6716</v>
      </c>
      <c r="D1343" s="160"/>
      <c r="E1343" s="439"/>
      <c r="F1343" s="161">
        <v>439.95316100000002</v>
      </c>
      <c r="G1343" s="161"/>
      <c r="H1343" s="654"/>
      <c r="I1343" s="654"/>
      <c r="J1343" s="191"/>
      <c r="K1343" s="191">
        <v>69955.199586938295</v>
      </c>
      <c r="L1343" s="191"/>
      <c r="M1343" s="191"/>
      <c r="N1343" s="191"/>
      <c r="O1343" s="191"/>
      <c r="P1343" s="191"/>
      <c r="Q1343" s="191"/>
      <c r="R1343" s="191"/>
      <c r="S1343" s="191"/>
      <c r="T1343" s="191"/>
      <c r="U1343" s="439"/>
      <c r="V1343" s="441"/>
      <c r="W1343" s="178"/>
      <c r="X1343" s="172"/>
      <c r="Y1343" s="172"/>
      <c r="Z1343" s="172"/>
      <c r="AA1343" s="195"/>
      <c r="AB1343" s="172"/>
    </row>
    <row r="1344" spans="1:28" ht="12.75" customHeight="1" x14ac:dyDescent="0.3">
      <c r="A1344" s="667"/>
      <c r="B1344" s="668" t="s">
        <v>6717</v>
      </c>
      <c r="C1344" s="160" t="s">
        <v>6718</v>
      </c>
      <c r="D1344" s="160"/>
      <c r="E1344" s="439">
        <v>7.18</v>
      </c>
      <c r="F1344" s="161">
        <v>457.003032383</v>
      </c>
      <c r="G1344" s="161"/>
      <c r="H1344" s="654"/>
      <c r="I1344" s="654"/>
      <c r="J1344" s="191"/>
      <c r="K1344" s="191">
        <v>22569.918975894401</v>
      </c>
      <c r="L1344" s="191"/>
      <c r="M1344" s="191"/>
      <c r="N1344" s="191"/>
      <c r="O1344" s="191"/>
      <c r="P1344" s="191"/>
      <c r="Q1344" s="191"/>
      <c r="R1344" s="191"/>
      <c r="S1344" s="191"/>
      <c r="T1344" s="191"/>
      <c r="U1344" s="439"/>
      <c r="V1344" s="441"/>
      <c r="W1344" s="178"/>
      <c r="X1344" s="172"/>
      <c r="Y1344" s="172"/>
      <c r="Z1344" s="172"/>
      <c r="AA1344" s="195"/>
      <c r="AB1344" s="172"/>
    </row>
    <row r="1345" spans="1:28" ht="12.75" customHeight="1" x14ac:dyDescent="0.3">
      <c r="A1345" s="667"/>
      <c r="B1345" s="668" t="s">
        <v>6719</v>
      </c>
      <c r="C1345" s="160" t="s">
        <v>6720</v>
      </c>
      <c r="D1345" s="160"/>
      <c r="E1345" s="439">
        <v>5.27</v>
      </c>
      <c r="F1345" s="161">
        <v>515.04359522799996</v>
      </c>
      <c r="G1345" s="161"/>
      <c r="H1345" s="654"/>
      <c r="I1345" s="654"/>
      <c r="J1345" s="191"/>
      <c r="K1345" s="191">
        <v>42129.858453391898</v>
      </c>
      <c r="L1345" s="191"/>
      <c r="M1345" s="191"/>
      <c r="N1345" s="191"/>
      <c r="O1345" s="191"/>
      <c r="P1345" s="191"/>
      <c r="Q1345" s="191"/>
      <c r="R1345" s="191"/>
      <c r="S1345" s="191"/>
      <c r="T1345" s="191"/>
      <c r="U1345" s="439"/>
      <c r="V1345" s="441"/>
      <c r="W1345" s="178"/>
      <c r="X1345" s="172"/>
      <c r="Y1345" s="172"/>
      <c r="Z1345" s="172"/>
      <c r="AA1345" s="195"/>
      <c r="AB1345" s="172"/>
    </row>
    <row r="1346" spans="1:28" ht="12.75" customHeight="1" x14ac:dyDescent="0.3">
      <c r="A1346" s="667"/>
      <c r="B1346" s="668" t="s">
        <v>6721</v>
      </c>
      <c r="C1346" s="160" t="s">
        <v>6722</v>
      </c>
      <c r="D1346" s="160"/>
      <c r="E1346" s="439">
        <v>5</v>
      </c>
      <c r="F1346" s="161">
        <v>415.04998257599999</v>
      </c>
      <c r="G1346" s="161"/>
      <c r="H1346" s="654"/>
      <c r="I1346" s="654"/>
      <c r="J1346" s="191"/>
      <c r="K1346" s="191">
        <v>875.89087116488702</v>
      </c>
      <c r="L1346" s="191"/>
      <c r="M1346" s="191"/>
      <c r="N1346" s="191"/>
      <c r="O1346" s="191"/>
      <c r="P1346" s="191"/>
      <c r="Q1346" s="191"/>
      <c r="R1346" s="191"/>
      <c r="S1346" s="191"/>
      <c r="T1346" s="191"/>
      <c r="U1346" s="439"/>
      <c r="V1346" s="441"/>
      <c r="W1346" s="178"/>
      <c r="X1346" s="172"/>
      <c r="Y1346" s="172"/>
      <c r="Z1346" s="172"/>
      <c r="AA1346" s="195"/>
      <c r="AB1346" s="172"/>
    </row>
    <row r="1347" spans="1:28" ht="12.75" customHeight="1" x14ac:dyDescent="0.3">
      <c r="A1347" s="667"/>
      <c r="B1347" s="668" t="s">
        <v>6723</v>
      </c>
      <c r="C1347" s="160" t="s">
        <v>6724</v>
      </c>
      <c r="D1347" s="160"/>
      <c r="E1347" s="439"/>
      <c r="F1347" s="161">
        <v>297.971003978</v>
      </c>
      <c r="G1347" s="161">
        <v>-40.478999999999999</v>
      </c>
      <c r="H1347" s="654">
        <v>115.851485119999</v>
      </c>
      <c r="I1347" s="654">
        <v>77.834793775117205</v>
      </c>
      <c r="J1347" s="191"/>
      <c r="K1347" s="191">
        <v>2326.75148626295</v>
      </c>
      <c r="L1347" s="191"/>
      <c r="M1347" s="191"/>
      <c r="N1347" s="191"/>
      <c r="O1347" s="191"/>
      <c r="P1347" s="191"/>
      <c r="Q1347" s="191"/>
      <c r="R1347" s="191"/>
      <c r="S1347" s="191"/>
      <c r="T1347" s="191"/>
      <c r="U1347" s="439"/>
      <c r="V1347" s="441"/>
      <c r="W1347" s="178"/>
      <c r="X1347" s="172"/>
      <c r="Y1347" s="172"/>
      <c r="Z1347" s="172"/>
      <c r="AA1347" s="195"/>
      <c r="AB1347" s="172"/>
    </row>
    <row r="1348" spans="1:28" ht="12.75" customHeight="1" x14ac:dyDescent="0.3">
      <c r="A1348" s="667"/>
      <c r="B1348" s="668" t="s">
        <v>6725</v>
      </c>
      <c r="C1348" s="160" t="s">
        <v>6726</v>
      </c>
      <c r="D1348" s="160"/>
      <c r="E1348" s="439"/>
      <c r="F1348" s="161">
        <v>463.95633757600001</v>
      </c>
      <c r="G1348" s="161"/>
      <c r="H1348" s="654"/>
      <c r="I1348" s="654"/>
      <c r="J1348" s="191"/>
      <c r="K1348" s="191">
        <v>15047.3492121201</v>
      </c>
      <c r="L1348" s="191"/>
      <c r="M1348" s="191"/>
      <c r="N1348" s="191"/>
      <c r="O1348" s="191"/>
      <c r="P1348" s="191"/>
      <c r="Q1348" s="191"/>
      <c r="R1348" s="191"/>
      <c r="S1348" s="191"/>
      <c r="T1348" s="191"/>
      <c r="U1348" s="439"/>
      <c r="V1348" s="441"/>
      <c r="W1348" s="178"/>
      <c r="X1348" s="172"/>
      <c r="Y1348" s="172"/>
      <c r="Z1348" s="172"/>
      <c r="AA1348" s="195"/>
      <c r="AB1348" s="172"/>
    </row>
    <row r="1349" spans="1:28" ht="12.75" customHeight="1" x14ac:dyDescent="0.3">
      <c r="A1349" s="667"/>
      <c r="B1349" s="668" t="s">
        <v>6727</v>
      </c>
      <c r="C1349" s="160" t="s">
        <v>6728</v>
      </c>
      <c r="D1349" s="160"/>
      <c r="E1349" s="439">
        <v>6.78</v>
      </c>
      <c r="F1349" s="161">
        <v>498.95347825300001</v>
      </c>
      <c r="G1349" s="161">
        <v>30.087</v>
      </c>
      <c r="H1349" s="654">
        <v>127.32157674600001</v>
      </c>
      <c r="I1349" s="654">
        <v>0.94201917740688101</v>
      </c>
      <c r="J1349" s="191"/>
      <c r="K1349" s="191">
        <v>104884.183097259</v>
      </c>
      <c r="L1349" s="191"/>
      <c r="M1349" s="191"/>
      <c r="N1349" s="191"/>
      <c r="O1349" s="191"/>
      <c r="P1349" s="191"/>
      <c r="Q1349" s="191"/>
      <c r="R1349" s="191"/>
      <c r="S1349" s="191"/>
      <c r="T1349" s="191"/>
      <c r="U1349" s="439"/>
      <c r="V1349" s="441"/>
      <c r="W1349" s="178"/>
      <c r="X1349" s="172"/>
      <c r="Y1349" s="172"/>
      <c r="Z1349" s="172"/>
      <c r="AA1349" s="195"/>
      <c r="AB1349" s="172"/>
    </row>
    <row r="1350" spans="1:28" ht="12.75" customHeight="1" x14ac:dyDescent="0.3">
      <c r="A1350" s="667"/>
      <c r="B1350" s="668" t="s">
        <v>6729</v>
      </c>
      <c r="C1350" s="160" t="s">
        <v>6730</v>
      </c>
      <c r="D1350" s="160"/>
      <c r="E1350" s="439">
        <v>8.27</v>
      </c>
      <c r="F1350" s="161">
        <v>512.969128318</v>
      </c>
      <c r="G1350" s="161">
        <v>21.207999999999998</v>
      </c>
      <c r="H1350" s="654">
        <v>111.661041338</v>
      </c>
      <c r="I1350" s="654">
        <v>0.33969687724736097</v>
      </c>
      <c r="J1350" s="191"/>
      <c r="K1350" s="191">
        <v>184476.05384863701</v>
      </c>
      <c r="L1350" s="191"/>
      <c r="M1350" s="191"/>
      <c r="N1350" s="191"/>
      <c r="O1350" s="191"/>
      <c r="P1350" s="191"/>
      <c r="Q1350" s="191"/>
      <c r="R1350" s="191"/>
      <c r="S1350" s="191"/>
      <c r="T1350" s="191"/>
      <c r="U1350" s="439"/>
      <c r="V1350" s="441"/>
      <c r="W1350" s="178"/>
      <c r="X1350" s="172"/>
      <c r="Y1350" s="172"/>
      <c r="Z1350" s="172"/>
      <c r="AA1350" s="195"/>
      <c r="AB1350" s="172"/>
    </row>
    <row r="1351" spans="1:28" ht="12.75" customHeight="1" x14ac:dyDescent="0.3">
      <c r="A1351" s="667"/>
      <c r="B1351" s="668" t="s">
        <v>6731</v>
      </c>
      <c r="C1351" s="160" t="s">
        <v>6732</v>
      </c>
      <c r="D1351" s="160"/>
      <c r="E1351" s="439">
        <v>-0.36</v>
      </c>
      <c r="F1351" s="161">
        <v>570.97460762200001</v>
      </c>
      <c r="G1351" s="161">
        <v>66.838999999999999</v>
      </c>
      <c r="H1351" s="654">
        <v>2.3817841978000001</v>
      </c>
      <c r="I1351" s="654">
        <v>0.69122185998719299</v>
      </c>
      <c r="J1351" s="191"/>
      <c r="K1351" s="191">
        <v>55261.160374892897</v>
      </c>
      <c r="L1351" s="191"/>
      <c r="M1351" s="191"/>
      <c r="N1351" s="191"/>
      <c r="O1351" s="191"/>
      <c r="P1351" s="191"/>
      <c r="Q1351" s="191"/>
      <c r="R1351" s="191"/>
      <c r="S1351" s="191"/>
      <c r="T1351" s="191"/>
      <c r="U1351" s="439"/>
      <c r="V1351" s="441"/>
      <c r="W1351" s="178"/>
      <c r="X1351" s="172"/>
      <c r="Y1351" s="172"/>
      <c r="Z1351" s="172"/>
      <c r="AA1351" s="195"/>
      <c r="AB1351" s="172"/>
    </row>
    <row r="1352" spans="1:28" ht="12.75" customHeight="1" x14ac:dyDescent="0.3">
      <c r="A1352" s="667"/>
      <c r="B1352" s="668" t="s">
        <v>6733</v>
      </c>
      <c r="C1352" s="160" t="s">
        <v>6734</v>
      </c>
      <c r="D1352" s="160"/>
      <c r="E1352" s="439">
        <v>-0.56999999999999995</v>
      </c>
      <c r="F1352" s="161">
        <v>584.99025768700005</v>
      </c>
      <c r="G1352" s="161">
        <v>64.941999999999993</v>
      </c>
      <c r="H1352" s="654">
        <v>1.6553926130000001</v>
      </c>
      <c r="I1352" s="654">
        <v>0.497907437947197</v>
      </c>
      <c r="J1352" s="191"/>
      <c r="K1352" s="191">
        <v>204932.10451978701</v>
      </c>
      <c r="L1352" s="191"/>
      <c r="M1352" s="191"/>
      <c r="N1352" s="191"/>
      <c r="O1352" s="191"/>
      <c r="P1352" s="191"/>
      <c r="Q1352" s="191"/>
      <c r="R1352" s="191"/>
      <c r="S1352" s="191"/>
      <c r="T1352" s="191"/>
      <c r="U1352" s="439"/>
      <c r="V1352" s="441"/>
      <c r="W1352" s="178"/>
      <c r="X1352" s="172"/>
      <c r="Y1352" s="172"/>
      <c r="Z1352" s="172"/>
      <c r="AA1352" s="195"/>
      <c r="AB1352" s="172"/>
    </row>
    <row r="1353" spans="1:28" ht="12.75" customHeight="1" x14ac:dyDescent="0.3">
      <c r="A1353" s="667"/>
      <c r="B1353" s="668" t="s">
        <v>6735</v>
      </c>
      <c r="C1353" s="160" t="s">
        <v>6736</v>
      </c>
      <c r="D1353" s="160"/>
      <c r="E1353" s="439">
        <v>8.36</v>
      </c>
      <c r="F1353" s="161">
        <v>526.98477838199994</v>
      </c>
      <c r="G1353" s="161">
        <v>23.326000000000001</v>
      </c>
      <c r="H1353" s="654">
        <v>72.094404787999906</v>
      </c>
      <c r="I1353" s="654">
        <v>0.24592218969496499</v>
      </c>
      <c r="J1353" s="191"/>
      <c r="K1353" s="191">
        <v>6246978.3381348802</v>
      </c>
      <c r="L1353" s="191"/>
      <c r="M1353" s="191"/>
      <c r="N1353" s="191"/>
      <c r="O1353" s="191"/>
      <c r="P1353" s="191"/>
      <c r="Q1353" s="191"/>
      <c r="R1353" s="191"/>
      <c r="S1353" s="191"/>
      <c r="T1353" s="191"/>
      <c r="U1353" s="439"/>
      <c r="V1353" s="441"/>
      <c r="W1353" s="178"/>
      <c r="X1353" s="172"/>
      <c r="Y1353" s="172"/>
      <c r="Z1353" s="172"/>
      <c r="AA1353" s="195"/>
      <c r="AB1353" s="172"/>
    </row>
    <row r="1354" spans="1:28" ht="12.75" customHeight="1" x14ac:dyDescent="0.3">
      <c r="A1354" s="667"/>
      <c r="B1354" s="668" t="s">
        <v>6737</v>
      </c>
      <c r="C1354" s="160" t="s">
        <v>6738</v>
      </c>
      <c r="D1354" s="160"/>
      <c r="E1354" s="439">
        <v>7.05</v>
      </c>
      <c r="F1354" s="161">
        <v>398.95986560099999</v>
      </c>
      <c r="G1354" s="161">
        <v>29.321000000000002</v>
      </c>
      <c r="H1354" s="654">
        <v>402.62577390000001</v>
      </c>
      <c r="I1354" s="654">
        <v>4.64441148342092</v>
      </c>
      <c r="J1354" s="191"/>
      <c r="K1354" s="191">
        <v>1774.02607952515</v>
      </c>
      <c r="L1354" s="191"/>
      <c r="M1354" s="191"/>
      <c r="N1354" s="191"/>
      <c r="O1354" s="191"/>
      <c r="P1354" s="191"/>
      <c r="Q1354" s="191"/>
      <c r="R1354" s="191"/>
      <c r="S1354" s="191"/>
      <c r="T1354" s="191"/>
      <c r="U1354" s="439"/>
      <c r="V1354" s="441"/>
      <c r="W1354" s="178"/>
      <c r="X1354" s="172"/>
      <c r="Y1354" s="172"/>
      <c r="Z1354" s="172"/>
      <c r="AA1354" s="195"/>
      <c r="AB1354" s="172"/>
    </row>
    <row r="1355" spans="1:28" ht="12.75" customHeight="1" x14ac:dyDescent="0.3">
      <c r="A1355" s="667"/>
      <c r="B1355" s="668" t="s">
        <v>6739</v>
      </c>
      <c r="C1355" s="160" t="s">
        <v>6740</v>
      </c>
      <c r="D1355" s="160"/>
      <c r="E1355" s="439">
        <v>6.97</v>
      </c>
      <c r="F1355" s="161">
        <v>298.96625294900002</v>
      </c>
      <c r="G1355" s="161"/>
      <c r="H1355" s="654"/>
      <c r="I1355" s="654"/>
      <c r="J1355" s="191"/>
      <c r="K1355" s="191">
        <v>1950.51816853891</v>
      </c>
      <c r="L1355" s="191"/>
      <c r="M1355" s="191"/>
      <c r="N1355" s="191"/>
      <c r="O1355" s="191"/>
      <c r="P1355" s="191"/>
      <c r="Q1355" s="191"/>
      <c r="R1355" s="191"/>
      <c r="S1355" s="191"/>
      <c r="T1355" s="191"/>
      <c r="U1355" s="439"/>
      <c r="V1355" s="441"/>
      <c r="W1355" s="178"/>
      <c r="X1355" s="172"/>
      <c r="Y1355" s="172"/>
      <c r="Z1355" s="172"/>
      <c r="AA1355" s="195"/>
      <c r="AB1355" s="172"/>
    </row>
    <row r="1356" spans="1:28" ht="12.75" customHeight="1" x14ac:dyDescent="0.3">
      <c r="A1356" s="667"/>
      <c r="B1356" s="668" t="s">
        <v>6741</v>
      </c>
      <c r="C1356" s="160" t="s">
        <v>6742</v>
      </c>
      <c r="D1356" s="160"/>
      <c r="E1356" s="439"/>
      <c r="F1356" s="161">
        <v>581.889972382</v>
      </c>
      <c r="G1356" s="161"/>
      <c r="H1356" s="654"/>
      <c r="I1356" s="654"/>
      <c r="J1356" s="191"/>
      <c r="K1356" s="191">
        <v>125311.23206317201</v>
      </c>
      <c r="L1356" s="191"/>
      <c r="M1356" s="191"/>
      <c r="N1356" s="191"/>
      <c r="O1356" s="191"/>
      <c r="P1356" s="191"/>
      <c r="Q1356" s="191"/>
      <c r="R1356" s="191"/>
      <c r="S1356" s="191"/>
      <c r="T1356" s="191"/>
      <c r="U1356" s="439"/>
      <c r="V1356" s="441"/>
      <c r="W1356" s="178"/>
      <c r="X1356" s="172"/>
      <c r="Y1356" s="172"/>
      <c r="Z1356" s="172"/>
      <c r="AA1356" s="195"/>
      <c r="AB1356" s="172"/>
    </row>
    <row r="1357" spans="1:28" ht="12.75" customHeight="1" x14ac:dyDescent="0.3">
      <c r="A1357" s="667"/>
      <c r="B1357" s="668" t="s">
        <v>6743</v>
      </c>
      <c r="C1357" s="160" t="s">
        <v>6744</v>
      </c>
      <c r="D1357" s="160"/>
      <c r="E1357" s="439">
        <v>6.73</v>
      </c>
      <c r="F1357" s="161">
        <v>639.03720787999998</v>
      </c>
      <c r="G1357" s="161"/>
      <c r="H1357" s="654"/>
      <c r="I1357" s="654"/>
      <c r="J1357" s="191"/>
      <c r="K1357" s="191">
        <v>1341837.7322533701</v>
      </c>
      <c r="L1357" s="191"/>
      <c r="M1357" s="191"/>
      <c r="N1357" s="191"/>
      <c r="O1357" s="191"/>
      <c r="P1357" s="191"/>
      <c r="Q1357" s="191"/>
      <c r="R1357" s="191"/>
      <c r="S1357" s="191"/>
      <c r="T1357" s="191"/>
      <c r="U1357" s="439"/>
      <c r="V1357" s="441"/>
      <c r="W1357" s="178"/>
      <c r="X1357" s="172"/>
      <c r="Y1357" s="172"/>
      <c r="Z1357" s="172"/>
      <c r="AA1357" s="195"/>
      <c r="AB1357" s="172"/>
    </row>
    <row r="1358" spans="1:28" ht="12.75" customHeight="1" x14ac:dyDescent="0.3">
      <c r="A1358" s="667"/>
      <c r="B1358" s="668" t="s">
        <v>6745</v>
      </c>
      <c r="C1358" s="160" t="s">
        <v>6746</v>
      </c>
      <c r="D1358" s="160"/>
      <c r="E1358" s="439">
        <v>4.42</v>
      </c>
      <c r="F1358" s="161">
        <v>568.01132748299995</v>
      </c>
      <c r="G1358" s="161"/>
      <c r="H1358" s="654"/>
      <c r="I1358" s="654"/>
      <c r="J1358" s="191"/>
      <c r="K1358" s="191">
        <v>43406.023379936501</v>
      </c>
      <c r="L1358" s="191"/>
      <c r="M1358" s="191"/>
      <c r="N1358" s="191"/>
      <c r="O1358" s="191"/>
      <c r="P1358" s="191"/>
      <c r="Q1358" s="191"/>
      <c r="R1358" s="191"/>
      <c r="S1358" s="191"/>
      <c r="T1358" s="191"/>
      <c r="U1358" s="439"/>
      <c r="V1358" s="441"/>
      <c r="W1358" s="178"/>
      <c r="X1358" s="172"/>
      <c r="Y1358" s="172"/>
      <c r="Z1358" s="172"/>
      <c r="AA1358" s="195"/>
      <c r="AB1358" s="172"/>
    </row>
    <row r="1359" spans="1:28" ht="12.75" customHeight="1" x14ac:dyDescent="0.3">
      <c r="A1359" s="667"/>
      <c r="B1359" s="668" t="s">
        <v>6747</v>
      </c>
      <c r="C1359" s="160" t="s">
        <v>6748</v>
      </c>
      <c r="D1359" s="160"/>
      <c r="E1359" s="439">
        <v>4.6900000000000004</v>
      </c>
      <c r="F1359" s="161">
        <v>568.99534306700002</v>
      </c>
      <c r="G1359" s="161"/>
      <c r="H1359" s="654"/>
      <c r="I1359" s="654"/>
      <c r="J1359" s="191"/>
      <c r="K1359" s="191">
        <v>108737.66428482201</v>
      </c>
      <c r="L1359" s="191"/>
      <c r="M1359" s="191"/>
      <c r="N1359" s="191"/>
      <c r="O1359" s="191"/>
      <c r="P1359" s="191"/>
      <c r="Q1359" s="191"/>
      <c r="R1359" s="191"/>
      <c r="S1359" s="191"/>
      <c r="T1359" s="191"/>
      <c r="U1359" s="439"/>
      <c r="V1359" s="441"/>
      <c r="W1359" s="178"/>
      <c r="X1359" s="172"/>
      <c r="Y1359" s="172"/>
      <c r="Z1359" s="172"/>
      <c r="AA1359" s="195"/>
      <c r="AB1359" s="172"/>
    </row>
    <row r="1360" spans="1:28" ht="12.75" customHeight="1" x14ac:dyDescent="0.3">
      <c r="A1360" s="667"/>
      <c r="B1360" s="668" t="s">
        <v>6749</v>
      </c>
      <c r="C1360" s="160" t="s">
        <v>6750</v>
      </c>
      <c r="D1360" s="160"/>
      <c r="E1360" s="439">
        <v>4.5199999999999996</v>
      </c>
      <c r="F1360" s="161">
        <v>602.97969300199998</v>
      </c>
      <c r="G1360" s="161">
        <v>70.322999999999993</v>
      </c>
      <c r="H1360" s="654">
        <v>0.69807399199999998</v>
      </c>
      <c r="I1360" s="654">
        <v>8.5566436315141797E-2</v>
      </c>
      <c r="J1360" s="191"/>
      <c r="K1360" s="191">
        <v>1388033.6665672299</v>
      </c>
      <c r="L1360" s="191"/>
      <c r="M1360" s="191"/>
      <c r="N1360" s="191"/>
      <c r="O1360" s="191"/>
      <c r="P1360" s="191"/>
      <c r="Q1360" s="191"/>
      <c r="R1360" s="191"/>
      <c r="S1360" s="191"/>
      <c r="T1360" s="191"/>
      <c r="U1360" s="439"/>
      <c r="V1360" s="441"/>
      <c r="W1360" s="178"/>
      <c r="X1360" s="172"/>
      <c r="Y1360" s="172"/>
      <c r="Z1360" s="172"/>
      <c r="AA1360" s="195"/>
      <c r="AB1360" s="172"/>
    </row>
    <row r="1361" spans="1:28" ht="12.75" customHeight="1" x14ac:dyDescent="0.3">
      <c r="A1361" s="667"/>
      <c r="B1361" s="668" t="s">
        <v>6751</v>
      </c>
      <c r="C1361" s="160" t="s">
        <v>6752</v>
      </c>
      <c r="D1361" s="160"/>
      <c r="E1361" s="439">
        <v>8.08</v>
      </c>
      <c r="F1361" s="161">
        <v>623.04229325999995</v>
      </c>
      <c r="G1361" s="161"/>
      <c r="H1361" s="654"/>
      <c r="I1361" s="654"/>
      <c r="J1361" s="191"/>
      <c r="K1361" s="191">
        <v>39804300.842994802</v>
      </c>
      <c r="L1361" s="191"/>
      <c r="M1361" s="191"/>
      <c r="N1361" s="191"/>
      <c r="O1361" s="191"/>
      <c r="P1361" s="191"/>
      <c r="Q1361" s="191"/>
      <c r="R1361" s="191"/>
      <c r="S1361" s="191"/>
      <c r="T1361" s="191"/>
      <c r="U1361" s="439"/>
      <c r="V1361" s="441"/>
      <c r="W1361" s="178"/>
      <c r="X1361" s="172"/>
      <c r="Y1361" s="172"/>
      <c r="Z1361" s="172"/>
      <c r="AA1361" s="195"/>
      <c r="AB1361" s="172"/>
    </row>
    <row r="1362" spans="1:28" ht="12.75" customHeight="1" x14ac:dyDescent="0.3">
      <c r="A1362" s="667"/>
      <c r="B1362" s="668" t="s">
        <v>6753</v>
      </c>
      <c r="C1362" s="160" t="s">
        <v>6754</v>
      </c>
      <c r="D1362" s="160"/>
      <c r="E1362" s="439">
        <v>7.66</v>
      </c>
      <c r="F1362" s="161">
        <v>596.99025768700005</v>
      </c>
      <c r="G1362" s="161">
        <v>-7.1970000000000001</v>
      </c>
      <c r="H1362" s="654">
        <v>4.7962456177999897</v>
      </c>
      <c r="I1362" s="654"/>
      <c r="J1362" s="191"/>
      <c r="K1362" s="191">
        <v>131834.78036510901</v>
      </c>
      <c r="L1362" s="191"/>
      <c r="M1362" s="191"/>
      <c r="N1362" s="191"/>
      <c r="O1362" s="191"/>
      <c r="P1362" s="191"/>
      <c r="Q1362" s="191"/>
      <c r="R1362" s="191"/>
      <c r="S1362" s="191"/>
      <c r="T1362" s="191"/>
      <c r="U1362" s="439"/>
      <c r="V1362" s="441"/>
      <c r="W1362" s="178"/>
      <c r="X1362" s="172"/>
      <c r="Y1362" s="172"/>
      <c r="Z1362" s="172"/>
      <c r="AA1362" s="195"/>
      <c r="AB1362" s="172"/>
    </row>
    <row r="1363" spans="1:28" ht="12.75" customHeight="1" x14ac:dyDescent="0.3">
      <c r="A1363" s="667"/>
      <c r="B1363" s="668" t="s">
        <v>6755</v>
      </c>
      <c r="C1363" s="160" t="s">
        <v>6756</v>
      </c>
      <c r="D1363" s="160"/>
      <c r="E1363" s="439"/>
      <c r="F1363" s="161">
        <v>517.9036069</v>
      </c>
      <c r="G1363" s="161">
        <v>-22.872</v>
      </c>
      <c r="H1363" s="654">
        <v>7.7072914912000003</v>
      </c>
      <c r="I1363" s="654">
        <v>0.39377557781984901</v>
      </c>
      <c r="J1363" s="191"/>
      <c r="K1363" s="191">
        <v>20866518.754096501</v>
      </c>
      <c r="L1363" s="191"/>
      <c r="M1363" s="191"/>
      <c r="N1363" s="191"/>
      <c r="O1363" s="191"/>
      <c r="P1363" s="191"/>
      <c r="Q1363" s="191"/>
      <c r="R1363" s="191"/>
      <c r="S1363" s="191"/>
      <c r="T1363" s="191"/>
      <c r="U1363" s="439"/>
      <c r="V1363" s="441"/>
      <c r="W1363" s="178"/>
      <c r="X1363" s="172"/>
      <c r="Y1363" s="172"/>
      <c r="Z1363" s="172"/>
      <c r="AA1363" s="195"/>
      <c r="AB1363" s="172"/>
    </row>
    <row r="1364" spans="1:28" ht="12.75" customHeight="1" x14ac:dyDescent="0.3">
      <c r="A1364" s="667"/>
      <c r="B1364" s="668" t="s">
        <v>6757</v>
      </c>
      <c r="C1364" s="160" t="s">
        <v>6758</v>
      </c>
      <c r="D1364" s="160"/>
      <c r="E1364" s="439"/>
      <c r="F1364" s="161">
        <v>681.93414100999996</v>
      </c>
      <c r="G1364" s="161"/>
      <c r="H1364" s="654"/>
      <c r="I1364" s="654"/>
      <c r="J1364" s="191"/>
      <c r="K1364" s="191">
        <v>218569.72205691299</v>
      </c>
      <c r="L1364" s="191"/>
      <c r="M1364" s="191"/>
      <c r="N1364" s="191"/>
      <c r="O1364" s="191"/>
      <c r="P1364" s="191"/>
      <c r="Q1364" s="191"/>
      <c r="R1364" s="191"/>
      <c r="S1364" s="191"/>
      <c r="T1364" s="191"/>
      <c r="U1364" s="439"/>
      <c r="V1364" s="441"/>
      <c r="W1364" s="178"/>
      <c r="X1364" s="172"/>
      <c r="Y1364" s="172"/>
      <c r="Z1364" s="172"/>
      <c r="AA1364" s="195"/>
      <c r="AB1364" s="172"/>
    </row>
    <row r="1365" spans="1:28" ht="12.75" customHeight="1" x14ac:dyDescent="0.3">
      <c r="A1365" s="667"/>
      <c r="B1365" s="668" t="s">
        <v>6759</v>
      </c>
      <c r="C1365" s="160" t="s">
        <v>6760</v>
      </c>
      <c r="D1365" s="160"/>
      <c r="E1365" s="439"/>
      <c r="F1365" s="161">
        <v>493.9412944</v>
      </c>
      <c r="G1365" s="161"/>
      <c r="H1365" s="654"/>
      <c r="I1365" s="654"/>
      <c r="J1365" s="191"/>
      <c r="K1365" s="191">
        <v>4996202.1277904399</v>
      </c>
      <c r="L1365" s="191"/>
      <c r="M1365" s="191"/>
      <c r="N1365" s="191"/>
      <c r="O1365" s="191"/>
      <c r="P1365" s="191"/>
      <c r="Q1365" s="191"/>
      <c r="R1365" s="191"/>
      <c r="S1365" s="191"/>
      <c r="T1365" s="191"/>
      <c r="U1365" s="439"/>
      <c r="V1365" s="441"/>
      <c r="W1365" s="178"/>
      <c r="X1365" s="172"/>
      <c r="Y1365" s="172"/>
      <c r="Z1365" s="172"/>
      <c r="AA1365" s="195"/>
      <c r="AB1365" s="172"/>
    </row>
    <row r="1366" spans="1:28" ht="12.75" customHeight="1" x14ac:dyDescent="0.3">
      <c r="A1366" s="667"/>
      <c r="B1366" s="668" t="s">
        <v>6761</v>
      </c>
      <c r="C1366" s="160" t="s">
        <v>6762</v>
      </c>
      <c r="D1366" s="160"/>
      <c r="E1366" s="439">
        <v>5.42</v>
      </c>
      <c r="F1366" s="161">
        <v>476.99369115399998</v>
      </c>
      <c r="G1366" s="161"/>
      <c r="H1366" s="654"/>
      <c r="I1366" s="654"/>
      <c r="J1366" s="191"/>
      <c r="K1366" s="191">
        <v>37491.256860882197</v>
      </c>
      <c r="L1366" s="191"/>
      <c r="M1366" s="191"/>
      <c r="N1366" s="191"/>
      <c r="O1366" s="191"/>
      <c r="P1366" s="191"/>
      <c r="Q1366" s="191"/>
      <c r="R1366" s="191"/>
      <c r="S1366" s="191"/>
      <c r="T1366" s="191"/>
      <c r="U1366" s="439"/>
      <c r="V1366" s="441"/>
      <c r="W1366" s="178"/>
      <c r="X1366" s="172"/>
      <c r="Y1366" s="172"/>
      <c r="Z1366" s="172"/>
      <c r="AA1366" s="195"/>
      <c r="AB1366" s="172"/>
    </row>
    <row r="1367" spans="1:28" ht="12.75" customHeight="1" x14ac:dyDescent="0.3">
      <c r="A1367" s="667"/>
      <c r="B1367" s="668" t="s">
        <v>6763</v>
      </c>
      <c r="C1367" s="160" t="s">
        <v>6764</v>
      </c>
      <c r="D1367" s="160"/>
      <c r="E1367" s="439"/>
      <c r="F1367" s="161">
        <v>393.96970200999999</v>
      </c>
      <c r="G1367" s="161"/>
      <c r="H1367" s="654"/>
      <c r="I1367" s="654"/>
      <c r="J1367" s="191"/>
      <c r="K1367" s="191"/>
      <c r="L1367" s="191"/>
      <c r="M1367" s="191"/>
      <c r="N1367" s="191"/>
      <c r="O1367" s="191"/>
      <c r="P1367" s="191"/>
      <c r="Q1367" s="191"/>
      <c r="R1367" s="191"/>
      <c r="S1367" s="191"/>
      <c r="T1367" s="191"/>
      <c r="U1367" s="439"/>
      <c r="V1367" s="441"/>
      <c r="W1367" s="178"/>
      <c r="X1367" s="172"/>
      <c r="Y1367" s="172"/>
      <c r="Z1367" s="172"/>
      <c r="AA1367" s="195"/>
      <c r="AB1367" s="172"/>
    </row>
    <row r="1368" spans="1:28" ht="12.75" customHeight="1" x14ac:dyDescent="0.3">
      <c r="A1368" s="667"/>
      <c r="B1368" s="668" t="s">
        <v>6765</v>
      </c>
      <c r="C1368" s="160" t="s">
        <v>6766</v>
      </c>
      <c r="D1368" s="160"/>
      <c r="E1368" s="439"/>
      <c r="F1368" s="161">
        <v>581.94052835800005</v>
      </c>
      <c r="G1368" s="161"/>
      <c r="H1368" s="654"/>
      <c r="I1368" s="654"/>
      <c r="J1368" s="191"/>
      <c r="K1368" s="191">
        <v>75401.502501062205</v>
      </c>
      <c r="L1368" s="191"/>
      <c r="M1368" s="191"/>
      <c r="N1368" s="191"/>
      <c r="O1368" s="191"/>
      <c r="P1368" s="191"/>
      <c r="Q1368" s="191"/>
      <c r="R1368" s="191"/>
      <c r="S1368" s="191"/>
      <c r="T1368" s="191"/>
      <c r="U1368" s="439"/>
      <c r="V1368" s="441"/>
      <c r="W1368" s="178"/>
      <c r="X1368" s="172"/>
      <c r="Y1368" s="172"/>
      <c r="Z1368" s="172"/>
      <c r="AA1368" s="195"/>
      <c r="AB1368" s="172"/>
    </row>
    <row r="1369" spans="1:28" ht="12.75" customHeight="1" x14ac:dyDescent="0.3">
      <c r="A1369" s="667"/>
      <c r="B1369" s="668" t="s">
        <v>6767</v>
      </c>
      <c r="C1369" s="160" t="s">
        <v>6768</v>
      </c>
      <c r="D1369" s="160"/>
      <c r="E1369" s="439"/>
      <c r="F1369" s="161">
        <v>379.93765299</v>
      </c>
      <c r="G1369" s="161"/>
      <c r="H1369" s="654"/>
      <c r="I1369" s="654"/>
      <c r="J1369" s="191"/>
      <c r="K1369" s="191">
        <v>8172.9717918538599</v>
      </c>
      <c r="L1369" s="191"/>
      <c r="M1369" s="191"/>
      <c r="N1369" s="191"/>
      <c r="O1369" s="191"/>
      <c r="P1369" s="191"/>
      <c r="Q1369" s="191"/>
      <c r="R1369" s="191"/>
      <c r="S1369" s="191"/>
      <c r="T1369" s="191"/>
      <c r="U1369" s="439"/>
      <c r="V1369" s="441"/>
      <c r="W1369" s="178"/>
      <c r="X1369" s="172"/>
      <c r="Y1369" s="172"/>
      <c r="Z1369" s="172"/>
      <c r="AA1369" s="195"/>
      <c r="AB1369" s="172"/>
    </row>
    <row r="1370" spans="1:28" ht="12.75" customHeight="1" x14ac:dyDescent="0.3">
      <c r="A1370" s="667"/>
      <c r="B1370" s="668" t="s">
        <v>6769</v>
      </c>
      <c r="C1370" s="160" t="s">
        <v>6770</v>
      </c>
      <c r="D1370" s="160"/>
      <c r="E1370" s="439">
        <v>7.39</v>
      </c>
      <c r="F1370" s="161">
        <v>359.00263845799998</v>
      </c>
      <c r="G1370" s="161"/>
      <c r="H1370" s="654"/>
      <c r="I1370" s="654"/>
      <c r="J1370" s="191"/>
      <c r="K1370" s="191">
        <v>50842.863231716503</v>
      </c>
      <c r="L1370" s="191"/>
      <c r="M1370" s="191"/>
      <c r="N1370" s="191"/>
      <c r="O1370" s="191"/>
      <c r="P1370" s="191"/>
      <c r="Q1370" s="191"/>
      <c r="R1370" s="191"/>
      <c r="S1370" s="191"/>
      <c r="T1370" s="191"/>
      <c r="U1370" s="439"/>
      <c r="V1370" s="441"/>
      <c r="W1370" s="178"/>
      <c r="X1370" s="172"/>
      <c r="Y1370" s="172"/>
      <c r="Z1370" s="172"/>
      <c r="AA1370" s="195"/>
      <c r="AB1370" s="172"/>
    </row>
    <row r="1371" spans="1:28" ht="12.75" customHeight="1" x14ac:dyDescent="0.3">
      <c r="A1371" s="667"/>
      <c r="B1371" s="668" t="s">
        <v>6771</v>
      </c>
      <c r="C1371" s="160" t="s">
        <v>6772</v>
      </c>
      <c r="D1371" s="160"/>
      <c r="E1371" s="439">
        <v>6.23</v>
      </c>
      <c r="F1371" s="161">
        <v>568.862436</v>
      </c>
      <c r="G1371" s="161"/>
      <c r="H1371" s="654"/>
      <c r="I1371" s="654"/>
      <c r="J1371" s="191"/>
      <c r="K1371" s="191">
        <v>607309.39548163896</v>
      </c>
      <c r="L1371" s="191"/>
      <c r="M1371" s="191"/>
      <c r="N1371" s="191"/>
      <c r="O1371" s="191"/>
      <c r="P1371" s="191"/>
      <c r="Q1371" s="191"/>
      <c r="R1371" s="191"/>
      <c r="S1371" s="191"/>
      <c r="T1371" s="191"/>
      <c r="U1371" s="439"/>
      <c r="V1371" s="441"/>
      <c r="W1371" s="178"/>
      <c r="X1371" s="172"/>
      <c r="Y1371" s="172"/>
      <c r="Z1371" s="172"/>
      <c r="AA1371" s="195"/>
      <c r="AB1371" s="172"/>
    </row>
    <row r="1372" spans="1:28" ht="12.75" customHeight="1" x14ac:dyDescent="0.3">
      <c r="A1372" s="667"/>
      <c r="B1372" s="668" t="s">
        <v>6773</v>
      </c>
      <c r="C1372" s="160" t="s">
        <v>6774</v>
      </c>
      <c r="D1372" s="160"/>
      <c r="E1372" s="439"/>
      <c r="F1372" s="161">
        <v>781.83865000000003</v>
      </c>
      <c r="G1372" s="161"/>
      <c r="H1372" s="654"/>
      <c r="I1372" s="654"/>
      <c r="J1372" s="191"/>
      <c r="K1372" s="191">
        <v>4970155767.7065897</v>
      </c>
      <c r="L1372" s="191"/>
      <c r="M1372" s="191"/>
      <c r="N1372" s="191"/>
      <c r="O1372" s="191"/>
      <c r="P1372" s="191"/>
      <c r="Q1372" s="191"/>
      <c r="R1372" s="191"/>
      <c r="S1372" s="191"/>
      <c r="T1372" s="191"/>
      <c r="U1372" s="439"/>
      <c r="V1372" s="441"/>
      <c r="W1372" s="178"/>
      <c r="X1372" s="172"/>
      <c r="Y1372" s="172"/>
      <c r="Z1372" s="172"/>
      <c r="AA1372" s="195"/>
      <c r="AB1372" s="172"/>
    </row>
    <row r="1373" spans="1:28" ht="12.75" customHeight="1" x14ac:dyDescent="0.3">
      <c r="A1373" s="667"/>
      <c r="B1373" s="668" t="s">
        <v>6775</v>
      </c>
      <c r="C1373" s="160" t="s">
        <v>6776</v>
      </c>
      <c r="D1373" s="160"/>
      <c r="E1373" s="439"/>
      <c r="F1373" s="161">
        <v>861.85041167500003</v>
      </c>
      <c r="G1373" s="161"/>
      <c r="H1373" s="654"/>
      <c r="I1373" s="654"/>
      <c r="J1373" s="191"/>
      <c r="K1373" s="191">
        <v>10541441427.8538</v>
      </c>
      <c r="L1373" s="191"/>
      <c r="M1373" s="191"/>
      <c r="N1373" s="191"/>
      <c r="O1373" s="191"/>
      <c r="P1373" s="191"/>
      <c r="Q1373" s="191"/>
      <c r="R1373" s="191"/>
      <c r="S1373" s="191"/>
      <c r="T1373" s="191"/>
      <c r="U1373" s="439"/>
      <c r="V1373" s="441"/>
      <c r="W1373" s="178"/>
      <c r="X1373" s="172"/>
      <c r="Y1373" s="172"/>
      <c r="Z1373" s="172"/>
      <c r="AA1373" s="195"/>
      <c r="AB1373" s="172"/>
    </row>
    <row r="1374" spans="1:28" ht="12.75" customHeight="1" x14ac:dyDescent="0.3">
      <c r="A1374" s="667"/>
      <c r="B1374" s="668" t="s">
        <v>6777</v>
      </c>
      <c r="C1374" s="160" t="s">
        <v>6778</v>
      </c>
      <c r="D1374" s="160"/>
      <c r="E1374" s="439"/>
      <c r="F1374" s="161">
        <v>383.986654042</v>
      </c>
      <c r="G1374" s="161">
        <v>48.183999999999997</v>
      </c>
      <c r="H1374" s="654"/>
      <c r="I1374" s="654"/>
      <c r="J1374" s="191"/>
      <c r="K1374" s="191">
        <v>88595.160652781502</v>
      </c>
      <c r="L1374" s="191"/>
      <c r="M1374" s="191"/>
      <c r="N1374" s="191"/>
      <c r="O1374" s="191"/>
      <c r="P1374" s="191"/>
      <c r="Q1374" s="191"/>
      <c r="R1374" s="191"/>
      <c r="S1374" s="191"/>
      <c r="T1374" s="191"/>
      <c r="U1374" s="439"/>
      <c r="V1374" s="441"/>
      <c r="W1374" s="178"/>
      <c r="X1374" s="172"/>
      <c r="Y1374" s="172"/>
      <c r="Z1374" s="172"/>
      <c r="AA1374" s="195"/>
      <c r="AB1374" s="172"/>
    </row>
    <row r="1375" spans="1:28" ht="12.75" customHeight="1" x14ac:dyDescent="0.3">
      <c r="A1375" s="667"/>
      <c r="B1375" s="668" t="s">
        <v>6779</v>
      </c>
      <c r="C1375" s="160" t="s">
        <v>6780</v>
      </c>
      <c r="D1375" s="160"/>
      <c r="E1375" s="439"/>
      <c r="F1375" s="161">
        <v>401.99721872600003</v>
      </c>
      <c r="G1375" s="161">
        <v>49.390999999999998</v>
      </c>
      <c r="H1375" s="654">
        <v>0.26236303057999999</v>
      </c>
      <c r="I1375" s="654">
        <v>1.40353308945995</v>
      </c>
      <c r="J1375" s="191"/>
      <c r="K1375" s="191">
        <v>33407.194070046899</v>
      </c>
      <c r="L1375" s="191"/>
      <c r="M1375" s="191"/>
      <c r="N1375" s="191"/>
      <c r="O1375" s="191"/>
      <c r="P1375" s="191"/>
      <c r="Q1375" s="191"/>
      <c r="R1375" s="191"/>
      <c r="S1375" s="191"/>
      <c r="T1375" s="191"/>
      <c r="U1375" s="439"/>
      <c r="V1375" s="441"/>
      <c r="W1375" s="178"/>
      <c r="X1375" s="172"/>
      <c r="Y1375" s="172"/>
      <c r="Z1375" s="172"/>
      <c r="AA1375" s="195"/>
      <c r="AB1375" s="172"/>
    </row>
    <row r="1376" spans="1:28" ht="12.75" customHeight="1" x14ac:dyDescent="0.3">
      <c r="A1376" s="667"/>
      <c r="B1376" s="668" t="s">
        <v>6781</v>
      </c>
      <c r="C1376" s="160" t="s">
        <v>6782</v>
      </c>
      <c r="D1376" s="160"/>
      <c r="E1376" s="439"/>
      <c r="F1376" s="161">
        <v>374.002304106</v>
      </c>
      <c r="G1376" s="161"/>
      <c r="H1376" s="654"/>
      <c r="I1376" s="654"/>
      <c r="J1376" s="191"/>
      <c r="K1376" s="191">
        <v>75632.768879422394</v>
      </c>
      <c r="L1376" s="191"/>
      <c r="M1376" s="191"/>
      <c r="N1376" s="191"/>
      <c r="O1376" s="191"/>
      <c r="P1376" s="191"/>
      <c r="Q1376" s="191"/>
      <c r="R1376" s="191"/>
      <c r="S1376" s="191"/>
      <c r="T1376" s="191"/>
      <c r="U1376" s="439"/>
      <c r="V1376" s="441"/>
      <c r="W1376" s="178"/>
      <c r="X1376" s="172"/>
      <c r="Y1376" s="172"/>
      <c r="Z1376" s="172"/>
      <c r="AA1376" s="195"/>
      <c r="AB1376" s="172"/>
    </row>
    <row r="1377" spans="1:28" ht="12.75" customHeight="1" x14ac:dyDescent="0.3">
      <c r="A1377" s="667"/>
      <c r="B1377" s="668" t="s">
        <v>6783</v>
      </c>
      <c r="C1377" s="160" t="s">
        <v>6784</v>
      </c>
      <c r="D1377" s="160"/>
      <c r="E1377" s="439"/>
      <c r="F1377" s="161">
        <v>579.91070782600002</v>
      </c>
      <c r="G1377" s="161">
        <v>31.79</v>
      </c>
      <c r="H1377" s="654"/>
      <c r="I1377" s="654">
        <v>0.344636294375329</v>
      </c>
      <c r="J1377" s="191"/>
      <c r="K1377" s="191">
        <v>20402810.693310801</v>
      </c>
      <c r="L1377" s="191"/>
      <c r="M1377" s="191"/>
      <c r="N1377" s="191"/>
      <c r="O1377" s="191"/>
      <c r="P1377" s="191"/>
      <c r="Q1377" s="191"/>
      <c r="R1377" s="191"/>
      <c r="S1377" s="191"/>
      <c r="T1377" s="191"/>
      <c r="U1377" s="439"/>
      <c r="V1377" s="441"/>
      <c r="W1377" s="178"/>
      <c r="X1377" s="172"/>
      <c r="Y1377" s="172"/>
      <c r="Z1377" s="172"/>
      <c r="AA1377" s="195"/>
      <c r="AB1377" s="172"/>
    </row>
    <row r="1378" spans="1:28" ht="12.75" customHeight="1" x14ac:dyDescent="0.3">
      <c r="A1378" s="667"/>
      <c r="B1378" s="668" t="s">
        <v>6785</v>
      </c>
      <c r="C1378" s="160" t="s">
        <v>6786</v>
      </c>
      <c r="D1378" s="160"/>
      <c r="E1378" s="439">
        <v>6.83</v>
      </c>
      <c r="F1378" s="161">
        <v>568.862436</v>
      </c>
      <c r="G1378" s="161"/>
      <c r="H1378" s="654"/>
      <c r="I1378" s="654"/>
      <c r="J1378" s="191"/>
      <c r="K1378" s="191">
        <v>584318.98887334496</v>
      </c>
      <c r="L1378" s="191"/>
      <c r="M1378" s="191"/>
      <c r="N1378" s="191"/>
      <c r="O1378" s="191"/>
      <c r="P1378" s="191"/>
      <c r="Q1378" s="191"/>
      <c r="R1378" s="191"/>
      <c r="S1378" s="191"/>
      <c r="T1378" s="191"/>
      <c r="U1378" s="439"/>
      <c r="V1378" s="441"/>
      <c r="W1378" s="178"/>
      <c r="X1378" s="172"/>
      <c r="Y1378" s="172"/>
      <c r="Z1378" s="172"/>
      <c r="AA1378" s="195"/>
      <c r="AB1378" s="172"/>
    </row>
    <row r="1379" spans="1:28" ht="12.75" customHeight="1" x14ac:dyDescent="0.3">
      <c r="A1379" s="667"/>
      <c r="B1379" s="668" t="s">
        <v>6787</v>
      </c>
      <c r="C1379" s="160" t="s">
        <v>6788</v>
      </c>
      <c r="D1379" s="160"/>
      <c r="E1379" s="439">
        <v>7</v>
      </c>
      <c r="F1379" s="161">
        <v>400.98805102199998</v>
      </c>
      <c r="G1379" s="161"/>
      <c r="H1379" s="654"/>
      <c r="I1379" s="654"/>
      <c r="J1379" s="191"/>
      <c r="K1379" s="191">
        <v>20973.456034728199</v>
      </c>
      <c r="L1379" s="191"/>
      <c r="M1379" s="191"/>
      <c r="N1379" s="191"/>
      <c r="O1379" s="191"/>
      <c r="P1379" s="191"/>
      <c r="Q1379" s="191"/>
      <c r="R1379" s="191"/>
      <c r="S1379" s="191"/>
      <c r="T1379" s="191"/>
      <c r="U1379" s="439"/>
      <c r="V1379" s="441"/>
      <c r="W1379" s="178"/>
      <c r="X1379" s="172"/>
      <c r="Y1379" s="172"/>
      <c r="Z1379" s="172"/>
      <c r="AA1379" s="195"/>
      <c r="AB1379" s="172"/>
    </row>
    <row r="1380" spans="1:28" ht="12.75" customHeight="1" x14ac:dyDescent="0.3">
      <c r="A1380" s="667"/>
      <c r="B1380" s="668" t="s">
        <v>6789</v>
      </c>
      <c r="C1380" s="160" t="s">
        <v>6790</v>
      </c>
      <c r="D1380" s="160"/>
      <c r="E1380" s="439">
        <v>4.66</v>
      </c>
      <c r="F1380" s="161">
        <v>393.00811776299997</v>
      </c>
      <c r="G1380" s="161"/>
      <c r="H1380" s="654"/>
      <c r="I1380" s="654"/>
      <c r="J1380" s="191"/>
      <c r="K1380" s="191">
        <v>2734.45008426807</v>
      </c>
      <c r="L1380" s="191"/>
      <c r="M1380" s="191"/>
      <c r="N1380" s="191"/>
      <c r="O1380" s="191"/>
      <c r="P1380" s="191"/>
      <c r="Q1380" s="191"/>
      <c r="R1380" s="191"/>
      <c r="S1380" s="191"/>
      <c r="T1380" s="191"/>
      <c r="U1380" s="439"/>
      <c r="V1380" s="441"/>
      <c r="W1380" s="178"/>
      <c r="X1380" s="172"/>
      <c r="Y1380" s="172"/>
      <c r="Z1380" s="172"/>
      <c r="AA1380" s="195"/>
      <c r="AB1380" s="172"/>
    </row>
    <row r="1381" spans="1:28" ht="12.75" customHeight="1" x14ac:dyDescent="0.3">
      <c r="A1381" s="667"/>
      <c r="B1381" s="668" t="s">
        <v>6791</v>
      </c>
      <c r="C1381" s="160" t="s">
        <v>6792</v>
      </c>
      <c r="D1381" s="160"/>
      <c r="E1381" s="439">
        <v>5.07</v>
      </c>
      <c r="F1381" s="161">
        <v>395.02376782699997</v>
      </c>
      <c r="G1381" s="161"/>
      <c r="H1381" s="654"/>
      <c r="I1381" s="654"/>
      <c r="J1381" s="191"/>
      <c r="K1381" s="191">
        <v>3471.2029003950602</v>
      </c>
      <c r="L1381" s="191"/>
      <c r="M1381" s="191"/>
      <c r="N1381" s="191"/>
      <c r="O1381" s="191"/>
      <c r="P1381" s="191"/>
      <c r="Q1381" s="191"/>
      <c r="R1381" s="191"/>
      <c r="S1381" s="191"/>
      <c r="T1381" s="191"/>
      <c r="U1381" s="439"/>
      <c r="V1381" s="441"/>
      <c r="W1381" s="178"/>
      <c r="X1381" s="172"/>
      <c r="Y1381" s="172"/>
      <c r="Z1381" s="172"/>
      <c r="AA1381" s="195"/>
      <c r="AB1381" s="172"/>
    </row>
    <row r="1382" spans="1:28" ht="12.75" customHeight="1" x14ac:dyDescent="0.3">
      <c r="A1382" s="667"/>
      <c r="B1382" s="668" t="s">
        <v>6793</v>
      </c>
      <c r="C1382" s="160" t="s">
        <v>6794</v>
      </c>
      <c r="D1382" s="160"/>
      <c r="E1382" s="439">
        <v>5.55</v>
      </c>
      <c r="F1382" s="161">
        <v>409.03941789100003</v>
      </c>
      <c r="G1382" s="161"/>
      <c r="H1382" s="654"/>
      <c r="I1382" s="654"/>
      <c r="J1382" s="191"/>
      <c r="K1382" s="191">
        <v>4243.2634842758298</v>
      </c>
      <c r="L1382" s="191"/>
      <c r="M1382" s="191"/>
      <c r="N1382" s="191"/>
      <c r="O1382" s="191"/>
      <c r="P1382" s="191"/>
      <c r="Q1382" s="191"/>
      <c r="R1382" s="191"/>
      <c r="S1382" s="191"/>
      <c r="T1382" s="191"/>
      <c r="U1382" s="439"/>
      <c r="V1382" s="441"/>
      <c r="W1382" s="178"/>
      <c r="X1382" s="172"/>
      <c r="Y1382" s="172"/>
      <c r="Z1382" s="172"/>
      <c r="AA1382" s="195"/>
      <c r="AB1382" s="172"/>
    </row>
    <row r="1383" spans="1:28" ht="12.75" customHeight="1" x14ac:dyDescent="0.3">
      <c r="A1383" s="667"/>
      <c r="B1383" s="668" t="s">
        <v>6795</v>
      </c>
      <c r="C1383" s="160" t="s">
        <v>6796</v>
      </c>
      <c r="D1383" s="160"/>
      <c r="E1383" s="439">
        <v>7.11</v>
      </c>
      <c r="F1383" s="161">
        <v>675.90668507400005</v>
      </c>
      <c r="G1383" s="161"/>
      <c r="H1383" s="654"/>
      <c r="I1383" s="654"/>
      <c r="J1383" s="191"/>
      <c r="K1383" s="191">
        <v>313899.04903784097</v>
      </c>
      <c r="L1383" s="191"/>
      <c r="M1383" s="191"/>
      <c r="N1383" s="191"/>
      <c r="O1383" s="191"/>
      <c r="P1383" s="191"/>
      <c r="Q1383" s="191"/>
      <c r="R1383" s="191"/>
      <c r="S1383" s="191"/>
      <c r="T1383" s="191"/>
      <c r="U1383" s="439"/>
      <c r="V1383" s="441"/>
      <c r="W1383" s="178"/>
      <c r="X1383" s="172"/>
      <c r="Y1383" s="172"/>
      <c r="Z1383" s="172"/>
      <c r="AA1383" s="195"/>
      <c r="AB1383" s="172"/>
    </row>
    <row r="1384" spans="1:28" ht="12.75" customHeight="1" x14ac:dyDescent="0.3">
      <c r="A1384" s="667"/>
      <c r="B1384" s="668" t="s">
        <v>6797</v>
      </c>
      <c r="C1384" s="160" t="s">
        <v>6798</v>
      </c>
      <c r="D1384" s="160"/>
      <c r="E1384" s="439">
        <v>8.98</v>
      </c>
      <c r="F1384" s="161">
        <v>409.07580339999998</v>
      </c>
      <c r="G1384" s="161"/>
      <c r="H1384" s="654"/>
      <c r="I1384" s="654"/>
      <c r="J1384" s="191"/>
      <c r="K1384" s="191">
        <v>21130.997566234601</v>
      </c>
      <c r="L1384" s="191"/>
      <c r="M1384" s="191"/>
      <c r="N1384" s="191"/>
      <c r="O1384" s="191"/>
      <c r="P1384" s="191"/>
      <c r="Q1384" s="191"/>
      <c r="R1384" s="191"/>
      <c r="S1384" s="191"/>
      <c r="T1384" s="191"/>
      <c r="U1384" s="439"/>
      <c r="V1384" s="441"/>
      <c r="W1384" s="178"/>
      <c r="X1384" s="172"/>
      <c r="Y1384" s="172"/>
      <c r="Z1384" s="172"/>
      <c r="AA1384" s="195"/>
      <c r="AB1384" s="172"/>
    </row>
    <row r="1385" spans="1:28" ht="12.75" customHeight="1" x14ac:dyDescent="0.3">
      <c r="A1385" s="667"/>
      <c r="B1385" s="668" t="s">
        <v>6799</v>
      </c>
      <c r="C1385" s="160" t="s">
        <v>6800</v>
      </c>
      <c r="D1385" s="160"/>
      <c r="E1385" s="439">
        <v>4.5199999999999996</v>
      </c>
      <c r="F1385" s="161">
        <v>430.91553782</v>
      </c>
      <c r="G1385" s="161"/>
      <c r="H1385" s="654"/>
      <c r="I1385" s="654"/>
      <c r="J1385" s="191"/>
      <c r="K1385" s="191">
        <v>14292.8883105364</v>
      </c>
      <c r="L1385" s="191"/>
      <c r="M1385" s="191"/>
      <c r="N1385" s="191"/>
      <c r="O1385" s="191"/>
      <c r="P1385" s="191"/>
      <c r="Q1385" s="191"/>
      <c r="R1385" s="191"/>
      <c r="S1385" s="191"/>
      <c r="T1385" s="191"/>
      <c r="U1385" s="439"/>
      <c r="V1385" s="441"/>
      <c r="W1385" s="178"/>
      <c r="X1385" s="172"/>
      <c r="Y1385" s="172"/>
      <c r="Z1385" s="172"/>
      <c r="AA1385" s="195"/>
      <c r="AB1385" s="172"/>
    </row>
    <row r="1386" spans="1:28" ht="12.75" customHeight="1" x14ac:dyDescent="0.3">
      <c r="A1386" s="667"/>
      <c r="B1386" s="668" t="s">
        <v>6801</v>
      </c>
      <c r="C1386" s="160" t="s">
        <v>6802</v>
      </c>
      <c r="D1386" s="160"/>
      <c r="E1386" s="439"/>
      <c r="F1386" s="161">
        <v>325.96591859799997</v>
      </c>
      <c r="G1386" s="161">
        <v>-37.557000000000002</v>
      </c>
      <c r="H1386" s="654">
        <v>110.129038236</v>
      </c>
      <c r="I1386" s="654">
        <v>39.099611935830097</v>
      </c>
      <c r="J1386" s="191"/>
      <c r="K1386" s="191">
        <v>2040.7039260142501</v>
      </c>
      <c r="L1386" s="191"/>
      <c r="M1386" s="191"/>
      <c r="N1386" s="191"/>
      <c r="O1386" s="191"/>
      <c r="P1386" s="191"/>
      <c r="Q1386" s="191"/>
      <c r="R1386" s="191"/>
      <c r="S1386" s="191"/>
      <c r="T1386" s="191"/>
      <c r="U1386" s="439"/>
      <c r="V1386" s="441"/>
      <c r="W1386" s="178"/>
      <c r="X1386" s="172"/>
      <c r="Y1386" s="172"/>
      <c r="Z1386" s="172"/>
      <c r="AA1386" s="195"/>
      <c r="AB1386" s="172"/>
    </row>
    <row r="1387" spans="1:28" ht="12.75" customHeight="1" x14ac:dyDescent="0.3">
      <c r="A1387" s="667"/>
      <c r="B1387" s="668" t="s">
        <v>6803</v>
      </c>
      <c r="C1387" s="160" t="s">
        <v>6804</v>
      </c>
      <c r="D1387" s="160"/>
      <c r="E1387" s="439"/>
      <c r="F1387" s="161">
        <v>375.98156866199997</v>
      </c>
      <c r="G1387" s="161">
        <v>10.047000000000001</v>
      </c>
      <c r="H1387" s="654">
        <v>2.5345578776000002</v>
      </c>
      <c r="I1387" s="654">
        <v>2.2655145401297401</v>
      </c>
      <c r="J1387" s="191"/>
      <c r="K1387" s="191">
        <v>73940.094279935598</v>
      </c>
      <c r="L1387" s="191"/>
      <c r="M1387" s="191"/>
      <c r="N1387" s="191"/>
      <c r="O1387" s="191"/>
      <c r="P1387" s="191"/>
      <c r="Q1387" s="191"/>
      <c r="R1387" s="191"/>
      <c r="S1387" s="191"/>
      <c r="T1387" s="191"/>
      <c r="U1387" s="439"/>
      <c r="V1387" s="441"/>
      <c r="W1387" s="178"/>
      <c r="X1387" s="172"/>
      <c r="Y1387" s="172"/>
      <c r="Z1387" s="172"/>
      <c r="AA1387" s="195"/>
      <c r="AB1387" s="172"/>
    </row>
    <row r="1388" spans="1:28" ht="12.75" customHeight="1" x14ac:dyDescent="0.3">
      <c r="A1388" s="667"/>
      <c r="B1388" s="668" t="s">
        <v>6805</v>
      </c>
      <c r="C1388" s="160" t="s">
        <v>6806</v>
      </c>
      <c r="D1388" s="160"/>
      <c r="E1388" s="439"/>
      <c r="F1388" s="161">
        <v>365.99721872600003</v>
      </c>
      <c r="G1388" s="161"/>
      <c r="H1388" s="654"/>
      <c r="I1388" s="654"/>
      <c r="J1388" s="191"/>
      <c r="K1388" s="191">
        <v>90964.094353737193</v>
      </c>
      <c r="L1388" s="191"/>
      <c r="M1388" s="191"/>
      <c r="N1388" s="191"/>
      <c r="O1388" s="191"/>
      <c r="P1388" s="191"/>
      <c r="Q1388" s="191"/>
      <c r="R1388" s="191"/>
      <c r="S1388" s="191"/>
      <c r="T1388" s="191"/>
      <c r="U1388" s="439"/>
      <c r="V1388" s="441"/>
      <c r="W1388" s="178"/>
      <c r="X1388" s="172"/>
      <c r="Y1388" s="172"/>
      <c r="Z1388" s="172"/>
      <c r="AA1388" s="195"/>
      <c r="AB1388" s="172"/>
    </row>
    <row r="1389" spans="1:28" ht="12.75" customHeight="1" x14ac:dyDescent="0.3">
      <c r="A1389" s="667"/>
      <c r="B1389" s="668" t="s">
        <v>6807</v>
      </c>
      <c r="C1389" s="160" t="s">
        <v>6808</v>
      </c>
      <c r="D1389" s="160"/>
      <c r="E1389" s="439"/>
      <c r="F1389" s="161">
        <v>380.01286879100002</v>
      </c>
      <c r="G1389" s="161"/>
      <c r="H1389" s="654"/>
      <c r="I1389" s="654"/>
      <c r="J1389" s="191"/>
      <c r="K1389" s="191">
        <v>3412007.6796949902</v>
      </c>
      <c r="L1389" s="191"/>
      <c r="M1389" s="191"/>
      <c r="N1389" s="191"/>
      <c r="O1389" s="191"/>
      <c r="P1389" s="191"/>
      <c r="Q1389" s="191"/>
      <c r="R1389" s="191"/>
      <c r="S1389" s="191"/>
      <c r="T1389" s="191"/>
      <c r="U1389" s="439"/>
      <c r="V1389" s="441"/>
      <c r="W1389" s="178"/>
      <c r="X1389" s="172"/>
      <c r="Y1389" s="172"/>
      <c r="Z1389" s="172"/>
      <c r="AA1389" s="195"/>
      <c r="AB1389" s="172"/>
    </row>
    <row r="1390" spans="1:28" ht="12.75" customHeight="1" x14ac:dyDescent="0.3">
      <c r="A1390" s="667"/>
      <c r="B1390" s="668" t="s">
        <v>6809</v>
      </c>
      <c r="C1390" s="160" t="s">
        <v>6810</v>
      </c>
      <c r="D1390" s="160"/>
      <c r="E1390" s="439"/>
      <c r="F1390" s="161">
        <v>394.02851885500002</v>
      </c>
      <c r="G1390" s="161"/>
      <c r="H1390" s="654"/>
      <c r="I1390" s="654"/>
      <c r="J1390" s="191"/>
      <c r="K1390" s="191">
        <v>7087449.8680688199</v>
      </c>
      <c r="L1390" s="191"/>
      <c r="M1390" s="191"/>
      <c r="N1390" s="191"/>
      <c r="O1390" s="191"/>
      <c r="P1390" s="191"/>
      <c r="Q1390" s="191"/>
      <c r="R1390" s="191"/>
      <c r="S1390" s="191"/>
      <c r="T1390" s="191"/>
      <c r="U1390" s="439"/>
      <c r="V1390" s="441"/>
      <c r="W1390" s="178"/>
      <c r="X1390" s="172"/>
      <c r="Y1390" s="172"/>
      <c r="Z1390" s="172"/>
      <c r="AA1390" s="195"/>
      <c r="AB1390" s="172"/>
    </row>
    <row r="1391" spans="1:28" ht="12.75" customHeight="1" x14ac:dyDescent="0.3">
      <c r="A1391" s="667"/>
      <c r="B1391" s="668" t="s">
        <v>6811</v>
      </c>
      <c r="C1391" s="160" t="s">
        <v>6812</v>
      </c>
      <c r="D1391" s="160"/>
      <c r="E1391" s="439"/>
      <c r="F1391" s="161">
        <v>400.97681763399999</v>
      </c>
      <c r="G1391" s="161"/>
      <c r="H1391" s="654"/>
      <c r="I1391" s="654"/>
      <c r="J1391" s="191"/>
      <c r="K1391" s="191">
        <v>34146.799145036202</v>
      </c>
      <c r="L1391" s="191"/>
      <c r="M1391" s="191"/>
      <c r="N1391" s="191"/>
      <c r="O1391" s="191"/>
      <c r="P1391" s="191"/>
      <c r="Q1391" s="191"/>
      <c r="R1391" s="191"/>
      <c r="S1391" s="191"/>
      <c r="T1391" s="191"/>
      <c r="U1391" s="439"/>
      <c r="V1391" s="441"/>
      <c r="W1391" s="178"/>
      <c r="X1391" s="172"/>
      <c r="Y1391" s="172"/>
      <c r="Z1391" s="172"/>
      <c r="AA1391" s="195"/>
      <c r="AB1391" s="172"/>
    </row>
    <row r="1392" spans="1:28" ht="12.75" customHeight="1" x14ac:dyDescent="0.3">
      <c r="A1392" s="667"/>
      <c r="B1392" s="668" t="s">
        <v>6813</v>
      </c>
      <c r="C1392" s="160" t="s">
        <v>6814</v>
      </c>
      <c r="D1392" s="160"/>
      <c r="E1392" s="439"/>
      <c r="F1392" s="161">
        <v>443.90362399999998</v>
      </c>
      <c r="G1392" s="161"/>
      <c r="H1392" s="654"/>
      <c r="I1392" s="654"/>
      <c r="J1392" s="191"/>
      <c r="K1392" s="191">
        <v>399006.52700941497</v>
      </c>
      <c r="L1392" s="191"/>
      <c r="M1392" s="191"/>
      <c r="N1392" s="191"/>
      <c r="O1392" s="191"/>
      <c r="P1392" s="191"/>
      <c r="Q1392" s="191"/>
      <c r="R1392" s="191"/>
      <c r="S1392" s="191"/>
      <c r="T1392" s="191"/>
      <c r="U1392" s="439"/>
      <c r="V1392" s="441"/>
      <c r="W1392" s="178"/>
      <c r="X1392" s="172"/>
      <c r="Y1392" s="172"/>
      <c r="Z1392" s="172"/>
      <c r="AA1392" s="195"/>
      <c r="AB1392" s="172"/>
    </row>
    <row r="1393" spans="1:28" ht="12.75" customHeight="1" x14ac:dyDescent="0.3">
      <c r="A1393" s="667"/>
      <c r="B1393" s="668" t="s">
        <v>6815</v>
      </c>
      <c r="C1393" s="160" t="s">
        <v>6816</v>
      </c>
      <c r="D1393" s="160"/>
      <c r="E1393" s="439">
        <v>6.59</v>
      </c>
      <c r="F1393" s="161">
        <v>426.99246769799998</v>
      </c>
      <c r="G1393" s="161"/>
      <c r="H1393" s="654"/>
      <c r="I1393" s="654"/>
      <c r="J1393" s="191"/>
      <c r="K1393" s="191">
        <v>5421.0073985146601</v>
      </c>
      <c r="L1393" s="191"/>
      <c r="M1393" s="191"/>
      <c r="N1393" s="191"/>
      <c r="O1393" s="191"/>
      <c r="P1393" s="191"/>
      <c r="Q1393" s="191"/>
      <c r="R1393" s="191"/>
      <c r="S1393" s="191"/>
      <c r="T1393" s="191"/>
      <c r="U1393" s="439"/>
      <c r="V1393" s="441"/>
      <c r="W1393" s="178"/>
      <c r="X1393" s="172"/>
      <c r="Y1393" s="172"/>
      <c r="Z1393" s="172"/>
      <c r="AA1393" s="195"/>
      <c r="AB1393" s="172"/>
    </row>
    <row r="1394" spans="1:28" ht="12.75" customHeight="1" x14ac:dyDescent="0.3">
      <c r="A1394" s="667"/>
      <c r="B1394" s="668" t="s">
        <v>6817</v>
      </c>
      <c r="C1394" s="160" t="s">
        <v>6818</v>
      </c>
      <c r="D1394" s="160"/>
      <c r="E1394" s="439"/>
      <c r="F1394" s="161">
        <v>400.97681763399999</v>
      </c>
      <c r="G1394" s="161"/>
      <c r="H1394" s="654"/>
      <c r="I1394" s="654"/>
      <c r="J1394" s="191"/>
      <c r="K1394" s="191">
        <v>21180.684930576699</v>
      </c>
      <c r="L1394" s="191"/>
      <c r="M1394" s="191"/>
      <c r="N1394" s="191"/>
      <c r="O1394" s="191"/>
      <c r="P1394" s="191"/>
      <c r="Q1394" s="191"/>
      <c r="R1394" s="191"/>
      <c r="S1394" s="191"/>
      <c r="T1394" s="191"/>
      <c r="U1394" s="439"/>
      <c r="V1394" s="441"/>
      <c r="W1394" s="178"/>
      <c r="X1394" s="172"/>
      <c r="Y1394" s="172"/>
      <c r="Z1394" s="172"/>
      <c r="AA1394" s="195"/>
      <c r="AB1394" s="172"/>
    </row>
    <row r="1395" spans="1:28" ht="12.75" customHeight="1" x14ac:dyDescent="0.3">
      <c r="A1395" s="667"/>
      <c r="B1395" s="668" t="s">
        <v>6819</v>
      </c>
      <c r="C1395" s="160" t="s">
        <v>6820</v>
      </c>
      <c r="D1395" s="160"/>
      <c r="E1395" s="439"/>
      <c r="F1395" s="161">
        <v>625.91618713100002</v>
      </c>
      <c r="G1395" s="161"/>
      <c r="H1395" s="654"/>
      <c r="I1395" s="654"/>
      <c r="J1395" s="191"/>
      <c r="K1395" s="191">
        <v>134344.53361799099</v>
      </c>
      <c r="L1395" s="191"/>
      <c r="M1395" s="191"/>
      <c r="N1395" s="191"/>
      <c r="O1395" s="191"/>
      <c r="P1395" s="191"/>
      <c r="Q1395" s="191"/>
      <c r="R1395" s="191"/>
      <c r="S1395" s="191"/>
      <c r="T1395" s="191"/>
      <c r="U1395" s="439"/>
      <c r="V1395" s="441"/>
      <c r="W1395" s="178"/>
      <c r="X1395" s="172"/>
      <c r="Y1395" s="172"/>
      <c r="Z1395" s="172"/>
      <c r="AA1395" s="195"/>
      <c r="AB1395" s="172"/>
    </row>
    <row r="1396" spans="1:28" ht="12.75" customHeight="1" x14ac:dyDescent="0.3">
      <c r="A1396" s="667"/>
      <c r="B1396" s="668" t="s">
        <v>6821</v>
      </c>
      <c r="C1396" s="160" t="s">
        <v>6822</v>
      </c>
      <c r="D1396" s="160"/>
      <c r="E1396" s="439">
        <v>5.48</v>
      </c>
      <c r="F1396" s="161">
        <v>460.99794700299998</v>
      </c>
      <c r="G1396" s="161"/>
      <c r="H1396" s="654"/>
      <c r="I1396" s="654"/>
      <c r="J1396" s="191"/>
      <c r="K1396" s="191">
        <v>128819.022697487</v>
      </c>
      <c r="L1396" s="191"/>
      <c r="M1396" s="191"/>
      <c r="N1396" s="191"/>
      <c r="O1396" s="191"/>
      <c r="P1396" s="191"/>
      <c r="Q1396" s="191"/>
      <c r="R1396" s="191"/>
      <c r="S1396" s="191"/>
      <c r="T1396" s="191"/>
      <c r="U1396" s="439"/>
      <c r="V1396" s="441"/>
      <c r="W1396" s="178"/>
      <c r="X1396" s="172"/>
      <c r="Y1396" s="172"/>
      <c r="Z1396" s="172"/>
      <c r="AA1396" s="195"/>
      <c r="AB1396" s="172"/>
    </row>
    <row r="1397" spans="1:28" ht="12.75" customHeight="1" x14ac:dyDescent="0.3">
      <c r="A1397" s="667"/>
      <c r="B1397" s="668" t="s">
        <v>6823</v>
      </c>
      <c r="C1397" s="160" t="s">
        <v>6824</v>
      </c>
      <c r="D1397" s="160"/>
      <c r="E1397" s="439">
        <v>8.15</v>
      </c>
      <c r="F1397" s="161">
        <v>342.99246769799998</v>
      </c>
      <c r="G1397" s="161"/>
      <c r="H1397" s="654"/>
      <c r="I1397" s="654"/>
      <c r="J1397" s="191"/>
      <c r="K1397" s="191">
        <v>320.66384811529599</v>
      </c>
      <c r="L1397" s="191"/>
      <c r="M1397" s="191"/>
      <c r="N1397" s="191"/>
      <c r="O1397" s="191"/>
      <c r="P1397" s="191"/>
      <c r="Q1397" s="191"/>
      <c r="R1397" s="191"/>
      <c r="S1397" s="191"/>
      <c r="T1397" s="191"/>
      <c r="U1397" s="439"/>
      <c r="V1397" s="441"/>
      <c r="W1397" s="178"/>
      <c r="X1397" s="172"/>
      <c r="Y1397" s="172"/>
      <c r="Z1397" s="172"/>
      <c r="AA1397" s="195"/>
      <c r="AB1397" s="172"/>
    </row>
    <row r="1398" spans="1:28" ht="12.75" customHeight="1" x14ac:dyDescent="0.3">
      <c r="A1398" s="667"/>
      <c r="B1398" s="668" t="s">
        <v>6825</v>
      </c>
      <c r="C1398" s="160" t="s">
        <v>6826</v>
      </c>
      <c r="D1398" s="160"/>
      <c r="E1398" s="439"/>
      <c r="F1398" s="161">
        <v>370.00738948600002</v>
      </c>
      <c r="G1398" s="161"/>
      <c r="H1398" s="654"/>
      <c r="I1398" s="654"/>
      <c r="J1398" s="191"/>
      <c r="K1398" s="191">
        <v>222576.85420035</v>
      </c>
      <c r="L1398" s="191"/>
      <c r="M1398" s="191"/>
      <c r="N1398" s="191"/>
      <c r="O1398" s="191"/>
      <c r="P1398" s="191"/>
      <c r="Q1398" s="191"/>
      <c r="R1398" s="191"/>
      <c r="S1398" s="191"/>
      <c r="T1398" s="191"/>
      <c r="U1398" s="439"/>
      <c r="V1398" s="441"/>
      <c r="W1398" s="178"/>
      <c r="X1398" s="172"/>
      <c r="Y1398" s="172"/>
      <c r="Z1398" s="172"/>
      <c r="AA1398" s="195"/>
      <c r="AB1398" s="172"/>
    </row>
    <row r="1399" spans="1:28" ht="12.75" customHeight="1" x14ac:dyDescent="0.3">
      <c r="A1399" s="667"/>
      <c r="B1399" s="668" t="s">
        <v>6827</v>
      </c>
      <c r="C1399" s="160" t="s">
        <v>6828</v>
      </c>
      <c r="D1399" s="160"/>
      <c r="E1399" s="439"/>
      <c r="F1399" s="161">
        <v>317.91638160000002</v>
      </c>
      <c r="G1399" s="161">
        <v>-42.087000000000003</v>
      </c>
      <c r="H1399" s="654">
        <v>270.95829992</v>
      </c>
      <c r="I1399" s="654">
        <v>71.665982405798403</v>
      </c>
      <c r="J1399" s="191"/>
      <c r="K1399" s="191">
        <v>4156.9040480753602</v>
      </c>
      <c r="L1399" s="191"/>
      <c r="M1399" s="191"/>
      <c r="N1399" s="191"/>
      <c r="O1399" s="191"/>
      <c r="P1399" s="191"/>
      <c r="Q1399" s="191"/>
      <c r="R1399" s="191"/>
      <c r="S1399" s="191"/>
      <c r="T1399" s="191"/>
      <c r="U1399" s="439"/>
      <c r="V1399" s="441"/>
      <c r="W1399" s="178"/>
      <c r="X1399" s="172"/>
      <c r="Y1399" s="172"/>
      <c r="Z1399" s="172"/>
      <c r="AA1399" s="195"/>
      <c r="AB1399" s="172"/>
    </row>
    <row r="1400" spans="1:28" ht="12.75" customHeight="1" x14ac:dyDescent="0.3">
      <c r="A1400" s="667"/>
      <c r="B1400" s="668" t="s">
        <v>6829</v>
      </c>
      <c r="C1400" s="160" t="s">
        <v>6830</v>
      </c>
      <c r="D1400" s="160"/>
      <c r="E1400" s="439"/>
      <c r="F1400" s="161">
        <v>301.92146700000001</v>
      </c>
      <c r="G1400" s="161"/>
      <c r="H1400" s="654"/>
      <c r="I1400" s="654"/>
      <c r="J1400" s="191"/>
      <c r="K1400" s="191">
        <v>4155.3728700990296</v>
      </c>
      <c r="L1400" s="191"/>
      <c r="M1400" s="191"/>
      <c r="N1400" s="191"/>
      <c r="O1400" s="191"/>
      <c r="P1400" s="191"/>
      <c r="Q1400" s="191"/>
      <c r="R1400" s="191"/>
      <c r="S1400" s="191"/>
      <c r="T1400" s="191"/>
      <c r="U1400" s="439"/>
      <c r="V1400" s="441"/>
      <c r="W1400" s="178"/>
      <c r="X1400" s="172"/>
      <c r="Y1400" s="172"/>
      <c r="Z1400" s="172"/>
      <c r="AA1400" s="195"/>
      <c r="AB1400" s="172"/>
    </row>
    <row r="1401" spans="1:28" ht="12.75" customHeight="1" x14ac:dyDescent="0.3">
      <c r="A1401" s="667"/>
      <c r="B1401" s="668" t="s">
        <v>6831</v>
      </c>
      <c r="C1401" s="160" t="s">
        <v>6832</v>
      </c>
      <c r="D1401" s="160"/>
      <c r="E1401" s="439">
        <v>-1.74</v>
      </c>
      <c r="F1401" s="161">
        <v>283.95535391300001</v>
      </c>
      <c r="G1401" s="161"/>
      <c r="H1401" s="654"/>
      <c r="I1401" s="654"/>
      <c r="J1401" s="191"/>
      <c r="K1401" s="191">
        <v>1198.2294791213401</v>
      </c>
      <c r="L1401" s="191"/>
      <c r="M1401" s="191"/>
      <c r="N1401" s="191"/>
      <c r="O1401" s="191"/>
      <c r="P1401" s="191"/>
      <c r="Q1401" s="191"/>
      <c r="R1401" s="191"/>
      <c r="S1401" s="191"/>
      <c r="T1401" s="191"/>
      <c r="U1401" s="439"/>
      <c r="V1401" s="441"/>
      <c r="W1401" s="178"/>
      <c r="X1401" s="172"/>
      <c r="Y1401" s="172"/>
      <c r="Z1401" s="172"/>
      <c r="AA1401" s="195"/>
      <c r="AB1401" s="172"/>
    </row>
    <row r="1402" spans="1:28" ht="12.75" customHeight="1" x14ac:dyDescent="0.3">
      <c r="A1402" s="667"/>
      <c r="B1402" s="668" t="s">
        <v>6833</v>
      </c>
      <c r="C1402" s="160" t="s">
        <v>6834</v>
      </c>
      <c r="D1402" s="160"/>
      <c r="E1402" s="439"/>
      <c r="F1402" s="161">
        <v>329.94084666399999</v>
      </c>
      <c r="G1402" s="161"/>
      <c r="H1402" s="654"/>
      <c r="I1402" s="654"/>
      <c r="J1402" s="191"/>
      <c r="K1402" s="191">
        <v>7591.3672161426603</v>
      </c>
      <c r="L1402" s="191"/>
      <c r="M1402" s="191"/>
      <c r="N1402" s="191"/>
      <c r="O1402" s="191"/>
      <c r="P1402" s="191"/>
      <c r="Q1402" s="191"/>
      <c r="R1402" s="191"/>
      <c r="S1402" s="191"/>
      <c r="T1402" s="191"/>
      <c r="U1402" s="439"/>
      <c r="V1402" s="441"/>
      <c r="W1402" s="178"/>
      <c r="X1402" s="172"/>
      <c r="Y1402" s="172"/>
      <c r="Z1402" s="172"/>
      <c r="AA1402" s="195"/>
      <c r="AB1402" s="172"/>
    </row>
    <row r="1403" spans="1:28" ht="12.75" customHeight="1" x14ac:dyDescent="0.3">
      <c r="A1403" s="667"/>
      <c r="B1403" s="668" t="s">
        <v>6835</v>
      </c>
      <c r="C1403" s="160" t="s">
        <v>6836</v>
      </c>
      <c r="D1403" s="160"/>
      <c r="E1403" s="439"/>
      <c r="F1403" s="161">
        <v>481.94691570600003</v>
      </c>
      <c r="G1403" s="161">
        <v>-54.234999999999999</v>
      </c>
      <c r="H1403" s="654">
        <v>24.598175644000001</v>
      </c>
      <c r="I1403" s="654">
        <v>0.74130664839318305</v>
      </c>
      <c r="J1403" s="191"/>
      <c r="K1403" s="191">
        <v>8302.1389932338006</v>
      </c>
      <c r="L1403" s="191"/>
      <c r="M1403" s="191"/>
      <c r="N1403" s="191"/>
      <c r="O1403" s="191"/>
      <c r="P1403" s="191"/>
      <c r="Q1403" s="191"/>
      <c r="R1403" s="191"/>
      <c r="S1403" s="191"/>
      <c r="T1403" s="191"/>
      <c r="U1403" s="439"/>
      <c r="V1403" s="441"/>
      <c r="W1403" s="178"/>
      <c r="X1403" s="172"/>
      <c r="Y1403" s="172"/>
      <c r="Z1403" s="172"/>
      <c r="AA1403" s="195"/>
      <c r="AB1403" s="172"/>
    </row>
    <row r="1404" spans="1:28" ht="12.75" customHeight="1" x14ac:dyDescent="0.3">
      <c r="A1404" s="667"/>
      <c r="B1404" s="668" t="s">
        <v>6837</v>
      </c>
      <c r="C1404" s="160" t="s">
        <v>6838</v>
      </c>
      <c r="D1404" s="160"/>
      <c r="E1404" s="439"/>
      <c r="F1404" s="161">
        <v>431.95010938000001</v>
      </c>
      <c r="G1404" s="161"/>
      <c r="H1404" s="654"/>
      <c r="I1404" s="654"/>
      <c r="J1404" s="191"/>
      <c r="K1404" s="191">
        <v>5455.3171025558604</v>
      </c>
      <c r="L1404" s="191"/>
      <c r="M1404" s="191"/>
      <c r="N1404" s="191"/>
      <c r="O1404" s="191"/>
      <c r="P1404" s="191"/>
      <c r="Q1404" s="191"/>
      <c r="R1404" s="191"/>
      <c r="S1404" s="191"/>
      <c r="T1404" s="191"/>
      <c r="U1404" s="439"/>
      <c r="V1404" s="441"/>
      <c r="W1404" s="178"/>
      <c r="X1404" s="172"/>
      <c r="Y1404" s="172"/>
      <c r="Z1404" s="172"/>
      <c r="AA1404" s="195"/>
      <c r="AB1404" s="172"/>
    </row>
    <row r="1405" spans="1:28" ht="12.75" customHeight="1" x14ac:dyDescent="0.3">
      <c r="A1405" s="667"/>
      <c r="B1405" s="668" t="s">
        <v>6839</v>
      </c>
      <c r="C1405" s="160" t="s">
        <v>6840</v>
      </c>
      <c r="D1405" s="160"/>
      <c r="E1405" s="439"/>
      <c r="F1405" s="161">
        <v>449.94068751100002</v>
      </c>
      <c r="G1405" s="161"/>
      <c r="H1405" s="654"/>
      <c r="I1405" s="654"/>
      <c r="J1405" s="191"/>
      <c r="K1405" s="191">
        <v>7463.8001110469304</v>
      </c>
      <c r="L1405" s="191"/>
      <c r="M1405" s="191"/>
      <c r="N1405" s="191"/>
      <c r="O1405" s="191"/>
      <c r="P1405" s="191"/>
      <c r="Q1405" s="191"/>
      <c r="R1405" s="191"/>
      <c r="S1405" s="191"/>
      <c r="T1405" s="191"/>
      <c r="U1405" s="439"/>
      <c r="V1405" s="441"/>
      <c r="W1405" s="178"/>
      <c r="X1405" s="172"/>
      <c r="Y1405" s="172"/>
      <c r="Z1405" s="172"/>
      <c r="AA1405" s="195"/>
      <c r="AB1405" s="172"/>
    </row>
    <row r="1406" spans="1:28" ht="12.75" customHeight="1" x14ac:dyDescent="0.3">
      <c r="A1406" s="667"/>
      <c r="B1406" s="668" t="s">
        <v>6841</v>
      </c>
      <c r="C1406" s="160" t="s">
        <v>6842</v>
      </c>
      <c r="D1406" s="160"/>
      <c r="E1406" s="439"/>
      <c r="F1406" s="161">
        <v>413.93954469599998</v>
      </c>
      <c r="G1406" s="161"/>
      <c r="H1406" s="654"/>
      <c r="I1406" s="654"/>
      <c r="J1406" s="191"/>
      <c r="K1406" s="191">
        <v>583270.48425012396</v>
      </c>
      <c r="L1406" s="191"/>
      <c r="M1406" s="191"/>
      <c r="N1406" s="191"/>
      <c r="O1406" s="191"/>
      <c r="P1406" s="191"/>
      <c r="Q1406" s="191"/>
      <c r="R1406" s="191"/>
      <c r="S1406" s="191"/>
      <c r="T1406" s="191"/>
      <c r="U1406" s="439"/>
      <c r="V1406" s="441"/>
      <c r="W1406" s="178"/>
      <c r="X1406" s="172"/>
      <c r="Y1406" s="172"/>
      <c r="Z1406" s="172"/>
      <c r="AA1406" s="195"/>
      <c r="AB1406" s="172"/>
    </row>
    <row r="1407" spans="1:28" ht="12.75" customHeight="1" x14ac:dyDescent="0.3">
      <c r="A1407" s="667"/>
      <c r="B1407" s="668" t="s">
        <v>6843</v>
      </c>
      <c r="C1407" s="160" t="s">
        <v>6844</v>
      </c>
      <c r="D1407" s="160"/>
      <c r="E1407" s="439"/>
      <c r="F1407" s="161">
        <v>381.953303054</v>
      </c>
      <c r="G1407" s="161">
        <v>-61.000999999999998</v>
      </c>
      <c r="H1407" s="654">
        <v>120.754135026</v>
      </c>
      <c r="I1407" s="654">
        <v>10.715432549867799</v>
      </c>
      <c r="J1407" s="191"/>
      <c r="K1407" s="191">
        <v>4747.1177027772601</v>
      </c>
      <c r="L1407" s="191"/>
      <c r="M1407" s="191"/>
      <c r="N1407" s="191"/>
      <c r="O1407" s="191"/>
      <c r="P1407" s="191"/>
      <c r="Q1407" s="191"/>
      <c r="R1407" s="191"/>
      <c r="S1407" s="191"/>
      <c r="T1407" s="191"/>
      <c r="U1407" s="439"/>
      <c r="V1407" s="441"/>
      <c r="W1407" s="178"/>
      <c r="X1407" s="172"/>
      <c r="Y1407" s="172"/>
      <c r="Z1407" s="172"/>
      <c r="AA1407" s="195"/>
      <c r="AB1407" s="172"/>
    </row>
    <row r="1408" spans="1:28" ht="12.75" customHeight="1" x14ac:dyDescent="0.3">
      <c r="A1408" s="667"/>
      <c r="B1408" s="668" t="s">
        <v>6845</v>
      </c>
      <c r="C1408" s="160" t="s">
        <v>6846</v>
      </c>
      <c r="D1408" s="160"/>
      <c r="E1408" s="439"/>
      <c r="F1408" s="161">
        <v>545.90881611999998</v>
      </c>
      <c r="G1408" s="161"/>
      <c r="H1408" s="654"/>
      <c r="I1408" s="654"/>
      <c r="J1408" s="191"/>
      <c r="K1408" s="191">
        <v>55349.0281895156</v>
      </c>
      <c r="L1408" s="191"/>
      <c r="M1408" s="191"/>
      <c r="N1408" s="191"/>
      <c r="O1408" s="191"/>
      <c r="P1408" s="191"/>
      <c r="Q1408" s="191"/>
      <c r="R1408" s="191"/>
      <c r="S1408" s="191"/>
      <c r="T1408" s="191"/>
      <c r="U1408" s="439"/>
      <c r="V1408" s="441"/>
      <c r="W1408" s="178"/>
      <c r="X1408" s="172"/>
      <c r="Y1408" s="172"/>
      <c r="Z1408" s="172"/>
      <c r="AA1408" s="195"/>
      <c r="AB1408" s="172"/>
    </row>
    <row r="1409" spans="1:28" ht="12.75" customHeight="1" x14ac:dyDescent="0.3">
      <c r="A1409" s="667"/>
      <c r="B1409" s="668" t="s">
        <v>6847</v>
      </c>
      <c r="C1409" s="160" t="s">
        <v>6848</v>
      </c>
      <c r="D1409" s="160"/>
      <c r="E1409" s="439">
        <v>7.35</v>
      </c>
      <c r="F1409" s="161">
        <v>791.00460578299999</v>
      </c>
      <c r="G1409" s="161"/>
      <c r="H1409" s="654"/>
      <c r="I1409" s="654"/>
      <c r="J1409" s="191"/>
      <c r="K1409" s="191">
        <v>2604233972.3836999</v>
      </c>
      <c r="L1409" s="191"/>
      <c r="M1409" s="191"/>
      <c r="N1409" s="191"/>
      <c r="O1409" s="191"/>
      <c r="P1409" s="191"/>
      <c r="Q1409" s="191"/>
      <c r="R1409" s="191"/>
      <c r="S1409" s="191"/>
      <c r="T1409" s="191"/>
      <c r="U1409" s="439"/>
      <c r="V1409" s="441"/>
      <c r="W1409" s="178"/>
      <c r="X1409" s="172"/>
      <c r="Y1409" s="172"/>
      <c r="Z1409" s="172"/>
      <c r="AA1409" s="195"/>
      <c r="AB1409" s="172"/>
    </row>
    <row r="1410" spans="1:28" ht="12.75" customHeight="1" x14ac:dyDescent="0.3">
      <c r="A1410" s="667"/>
      <c r="B1410" s="668" t="s">
        <v>6849</v>
      </c>
      <c r="C1410" s="160" t="s">
        <v>6850</v>
      </c>
      <c r="D1410" s="160"/>
      <c r="E1410" s="439"/>
      <c r="F1410" s="161">
        <v>413.95953125</v>
      </c>
      <c r="G1410" s="161"/>
      <c r="H1410" s="654"/>
      <c r="I1410" s="654"/>
      <c r="J1410" s="191"/>
      <c r="K1410" s="191">
        <v>4398.6560101472996</v>
      </c>
      <c r="L1410" s="191"/>
      <c r="M1410" s="191"/>
      <c r="N1410" s="191"/>
      <c r="O1410" s="191"/>
      <c r="P1410" s="191"/>
      <c r="Q1410" s="191"/>
      <c r="R1410" s="191"/>
      <c r="S1410" s="191"/>
      <c r="T1410" s="191"/>
      <c r="U1410" s="439"/>
      <c r="V1410" s="441"/>
      <c r="W1410" s="178"/>
      <c r="X1410" s="172"/>
      <c r="Y1410" s="172"/>
      <c r="Z1410" s="172"/>
      <c r="AA1410" s="195"/>
      <c r="AB1410" s="172"/>
    </row>
    <row r="1411" spans="1:28" ht="12.75" customHeight="1" x14ac:dyDescent="0.3">
      <c r="A1411" s="667"/>
      <c r="B1411" s="668" t="s">
        <v>6851</v>
      </c>
      <c r="C1411" s="160" t="s">
        <v>6852</v>
      </c>
      <c r="D1411" s="160"/>
      <c r="E1411" s="439"/>
      <c r="F1411" s="161">
        <v>363.96272492399999</v>
      </c>
      <c r="G1411" s="161"/>
      <c r="H1411" s="654"/>
      <c r="I1411" s="654"/>
      <c r="J1411" s="191"/>
      <c r="K1411" s="191">
        <v>763.53684661827901</v>
      </c>
      <c r="L1411" s="191"/>
      <c r="M1411" s="191"/>
      <c r="N1411" s="191"/>
      <c r="O1411" s="191"/>
      <c r="P1411" s="191"/>
      <c r="Q1411" s="191"/>
      <c r="R1411" s="191"/>
      <c r="S1411" s="191"/>
      <c r="T1411" s="191"/>
      <c r="U1411" s="439"/>
      <c r="V1411" s="441"/>
      <c r="W1411" s="178"/>
      <c r="X1411" s="172"/>
      <c r="Y1411" s="172"/>
      <c r="Z1411" s="172"/>
      <c r="AA1411" s="195"/>
      <c r="AB1411" s="172"/>
    </row>
    <row r="1412" spans="1:28" ht="12.75" customHeight="1" x14ac:dyDescent="0.3">
      <c r="A1412" s="667"/>
      <c r="B1412" s="668" t="s">
        <v>6853</v>
      </c>
      <c r="C1412" s="160" t="s">
        <v>6854</v>
      </c>
      <c r="D1412" s="160"/>
      <c r="E1412" s="439">
        <v>5.09</v>
      </c>
      <c r="F1412" s="161">
        <v>292.92511884200002</v>
      </c>
      <c r="G1412" s="161">
        <v>143.07499999999999</v>
      </c>
      <c r="H1412" s="654">
        <v>2.8767421227999999E-2</v>
      </c>
      <c r="I1412" s="654">
        <v>11661.5540286832</v>
      </c>
      <c r="J1412" s="191"/>
      <c r="K1412" s="191">
        <v>76.635500837409694</v>
      </c>
      <c r="L1412" s="191"/>
      <c r="M1412" s="191"/>
      <c r="N1412" s="191"/>
      <c r="O1412" s="191"/>
      <c r="P1412" s="191"/>
      <c r="Q1412" s="191"/>
      <c r="R1412" s="191"/>
      <c r="S1412" s="191"/>
      <c r="T1412" s="191"/>
      <c r="U1412" s="439"/>
      <c r="V1412" s="441"/>
      <c r="W1412" s="178"/>
      <c r="X1412" s="172"/>
      <c r="Y1412" s="172"/>
      <c r="Z1412" s="172"/>
      <c r="AA1412" s="195"/>
      <c r="AB1412" s="172"/>
    </row>
    <row r="1413" spans="1:28" ht="12.75" customHeight="1" x14ac:dyDescent="0.3">
      <c r="A1413" s="667"/>
      <c r="B1413" s="668" t="s">
        <v>6855</v>
      </c>
      <c r="C1413" s="160" t="s">
        <v>6856</v>
      </c>
      <c r="D1413" s="160"/>
      <c r="E1413" s="439"/>
      <c r="F1413" s="161">
        <v>477.97084482499997</v>
      </c>
      <c r="G1413" s="161"/>
      <c r="H1413" s="654"/>
      <c r="I1413" s="654"/>
      <c r="J1413" s="191"/>
      <c r="K1413" s="191">
        <v>2971392.3437857698</v>
      </c>
      <c r="L1413" s="191"/>
      <c r="M1413" s="191"/>
      <c r="N1413" s="191"/>
      <c r="O1413" s="191"/>
      <c r="P1413" s="191"/>
      <c r="Q1413" s="191"/>
      <c r="R1413" s="191"/>
      <c r="S1413" s="191"/>
      <c r="T1413" s="191"/>
      <c r="U1413" s="439"/>
      <c r="V1413" s="441"/>
      <c r="W1413" s="178"/>
      <c r="X1413" s="172"/>
      <c r="Y1413" s="172"/>
      <c r="Z1413" s="172"/>
      <c r="AA1413" s="195"/>
      <c r="AB1413" s="172"/>
    </row>
    <row r="1414" spans="1:28" ht="12.75" customHeight="1" x14ac:dyDescent="0.3">
      <c r="A1414" s="667"/>
      <c r="B1414" s="668" t="s">
        <v>6857</v>
      </c>
      <c r="C1414" s="160" t="s">
        <v>6858</v>
      </c>
      <c r="D1414" s="160"/>
      <c r="E1414" s="439">
        <v>6.11</v>
      </c>
      <c r="F1414" s="161">
        <v>410.97870934000002</v>
      </c>
      <c r="G1414" s="161"/>
      <c r="H1414" s="654"/>
      <c r="I1414" s="654"/>
      <c r="J1414" s="191"/>
      <c r="K1414" s="191">
        <v>21217.2942795667</v>
      </c>
      <c r="L1414" s="191"/>
      <c r="M1414" s="191"/>
      <c r="N1414" s="191"/>
      <c r="O1414" s="191"/>
      <c r="P1414" s="191"/>
      <c r="Q1414" s="191"/>
      <c r="R1414" s="191"/>
      <c r="S1414" s="191"/>
      <c r="T1414" s="191"/>
      <c r="U1414" s="439"/>
      <c r="V1414" s="441"/>
      <c r="W1414" s="178"/>
      <c r="X1414" s="172"/>
      <c r="Y1414" s="172"/>
      <c r="Z1414" s="172"/>
      <c r="AA1414" s="195"/>
      <c r="AB1414" s="172"/>
    </row>
    <row r="1415" spans="1:28" ht="12.75" customHeight="1" x14ac:dyDescent="0.3">
      <c r="A1415" s="667"/>
      <c r="B1415" s="668" t="s">
        <v>6859</v>
      </c>
      <c r="C1415" s="160" t="s">
        <v>6860</v>
      </c>
      <c r="D1415" s="160"/>
      <c r="E1415" s="439"/>
      <c r="F1415" s="161">
        <v>498.95347825300001</v>
      </c>
      <c r="G1415" s="161"/>
      <c r="H1415" s="654"/>
      <c r="I1415" s="654"/>
      <c r="J1415" s="191"/>
      <c r="K1415" s="191"/>
      <c r="L1415" s="191"/>
      <c r="M1415" s="191"/>
      <c r="N1415" s="191"/>
      <c r="O1415" s="191"/>
      <c r="P1415" s="191"/>
      <c r="Q1415" s="191"/>
      <c r="R1415" s="191"/>
      <c r="S1415" s="191"/>
      <c r="T1415" s="191"/>
      <c r="U1415" s="439"/>
      <c r="V1415" s="441"/>
      <c r="W1415" s="178"/>
      <c r="X1415" s="172"/>
      <c r="Y1415" s="172"/>
      <c r="Z1415" s="172"/>
      <c r="AA1415" s="195"/>
      <c r="AB1415" s="172"/>
    </row>
    <row r="1416" spans="1:28" ht="12.75" customHeight="1" x14ac:dyDescent="0.3">
      <c r="A1416" s="667"/>
      <c r="B1416" s="668" t="s">
        <v>6861</v>
      </c>
      <c r="C1416" s="160" t="s">
        <v>6862</v>
      </c>
      <c r="D1416" s="160"/>
      <c r="E1416" s="439">
        <v>7.85</v>
      </c>
      <c r="F1416" s="161">
        <v>282.97133832899999</v>
      </c>
      <c r="G1416" s="161"/>
      <c r="H1416" s="654"/>
      <c r="I1416" s="654"/>
      <c r="J1416" s="191"/>
      <c r="K1416" s="191">
        <v>3204.7193306102599</v>
      </c>
      <c r="L1416" s="191"/>
      <c r="M1416" s="191"/>
      <c r="N1416" s="191"/>
      <c r="O1416" s="191"/>
      <c r="P1416" s="191"/>
      <c r="Q1416" s="191"/>
      <c r="R1416" s="191"/>
      <c r="S1416" s="191"/>
      <c r="T1416" s="191"/>
      <c r="U1416" s="439"/>
      <c r="V1416" s="441"/>
      <c r="W1416" s="178"/>
      <c r="X1416" s="172"/>
      <c r="Y1416" s="172"/>
      <c r="Z1416" s="172"/>
      <c r="AA1416" s="195"/>
      <c r="AB1416" s="172"/>
    </row>
    <row r="1417" spans="1:28" ht="12.75" customHeight="1" x14ac:dyDescent="0.3">
      <c r="A1417" s="667"/>
      <c r="B1417" s="668" t="s">
        <v>6863</v>
      </c>
      <c r="C1417" s="160" t="s">
        <v>6864</v>
      </c>
      <c r="D1417" s="160"/>
      <c r="E1417" s="439">
        <v>10.11</v>
      </c>
      <c r="F1417" s="161">
        <v>482.00165265700002</v>
      </c>
      <c r="G1417" s="161"/>
      <c r="H1417" s="654"/>
      <c r="I1417" s="654"/>
      <c r="J1417" s="191"/>
      <c r="K1417" s="191">
        <v>7760.3266125345299</v>
      </c>
      <c r="L1417" s="191"/>
      <c r="M1417" s="191"/>
      <c r="N1417" s="191"/>
      <c r="O1417" s="191"/>
      <c r="P1417" s="191"/>
      <c r="Q1417" s="191"/>
      <c r="R1417" s="191"/>
      <c r="S1417" s="191"/>
      <c r="T1417" s="191"/>
      <c r="U1417" s="439"/>
      <c r="V1417" s="441"/>
      <c r="W1417" s="178"/>
      <c r="X1417" s="172"/>
      <c r="Y1417" s="172"/>
      <c r="Z1417" s="172"/>
      <c r="AA1417" s="195"/>
      <c r="AB1417" s="172"/>
    </row>
    <row r="1418" spans="1:28" ht="12.75" customHeight="1" x14ac:dyDescent="0.3">
      <c r="A1418" s="667"/>
      <c r="B1418" s="668" t="s">
        <v>6865</v>
      </c>
      <c r="C1418" s="160" t="s">
        <v>6866</v>
      </c>
      <c r="D1418" s="160"/>
      <c r="E1418" s="439">
        <v>-1.54</v>
      </c>
      <c r="F1418" s="161">
        <v>599.93110648899994</v>
      </c>
      <c r="G1418" s="161">
        <v>11.590999999999999</v>
      </c>
      <c r="H1418" s="654"/>
      <c r="I1418" s="654"/>
      <c r="J1418" s="191"/>
      <c r="K1418" s="191">
        <v>375967.23634903098</v>
      </c>
      <c r="L1418" s="191"/>
      <c r="M1418" s="191"/>
      <c r="N1418" s="191"/>
      <c r="O1418" s="191"/>
      <c r="P1418" s="191"/>
      <c r="Q1418" s="191"/>
      <c r="R1418" s="191"/>
      <c r="S1418" s="191"/>
      <c r="T1418" s="191"/>
      <c r="U1418" s="439"/>
      <c r="V1418" s="441"/>
      <c r="W1418" s="178"/>
      <c r="X1418" s="172"/>
      <c r="Y1418" s="172"/>
      <c r="Z1418" s="172"/>
      <c r="AA1418" s="195"/>
      <c r="AB1418" s="172"/>
    </row>
    <row r="1419" spans="1:28" ht="12.75" customHeight="1" x14ac:dyDescent="0.3">
      <c r="A1419" s="667"/>
      <c r="B1419" s="668" t="s">
        <v>6867</v>
      </c>
      <c r="C1419" s="160" t="s">
        <v>6868</v>
      </c>
      <c r="D1419" s="160"/>
      <c r="E1419" s="439"/>
      <c r="F1419" s="161">
        <v>499.89656896999998</v>
      </c>
      <c r="G1419" s="161"/>
      <c r="H1419" s="654"/>
      <c r="I1419" s="654"/>
      <c r="J1419" s="191"/>
      <c r="K1419" s="191"/>
      <c r="L1419" s="191"/>
      <c r="M1419" s="191"/>
      <c r="N1419" s="191"/>
      <c r="O1419" s="191"/>
      <c r="P1419" s="191"/>
      <c r="Q1419" s="191"/>
      <c r="R1419" s="191"/>
      <c r="S1419" s="191"/>
      <c r="T1419" s="191"/>
      <c r="U1419" s="439"/>
      <c r="V1419" s="441"/>
      <c r="W1419" s="178"/>
      <c r="X1419" s="172"/>
      <c r="Y1419" s="172"/>
      <c r="Z1419" s="172"/>
      <c r="AA1419" s="195"/>
      <c r="AB1419" s="172"/>
    </row>
    <row r="1420" spans="1:28" ht="12.75" customHeight="1" x14ac:dyDescent="0.3">
      <c r="A1420" s="667"/>
      <c r="B1420" s="668" t="s">
        <v>6869</v>
      </c>
      <c r="C1420" s="160" t="s">
        <v>6132</v>
      </c>
      <c r="D1420" s="160"/>
      <c r="E1420" s="439"/>
      <c r="F1420" s="161">
        <v>449.89976264000001</v>
      </c>
      <c r="G1420" s="161"/>
      <c r="H1420" s="654"/>
      <c r="I1420" s="654"/>
      <c r="J1420" s="191"/>
      <c r="K1420" s="191"/>
      <c r="L1420" s="191"/>
      <c r="M1420" s="191"/>
      <c r="N1420" s="191"/>
      <c r="O1420" s="191"/>
      <c r="P1420" s="191"/>
      <c r="Q1420" s="191"/>
      <c r="R1420" s="191"/>
      <c r="S1420" s="191"/>
      <c r="T1420" s="191"/>
      <c r="U1420" s="439"/>
      <c r="V1420" s="441"/>
      <c r="W1420" s="178"/>
      <c r="X1420" s="172"/>
      <c r="Y1420" s="172"/>
      <c r="Z1420" s="172"/>
      <c r="AA1420" s="195"/>
      <c r="AB1420" s="172"/>
    </row>
    <row r="1421" spans="1:28" ht="12.75" customHeight="1" x14ac:dyDescent="0.3">
      <c r="A1421" s="667"/>
      <c r="B1421" s="668" t="s">
        <v>6870</v>
      </c>
      <c r="C1421" s="160" t="s">
        <v>6135</v>
      </c>
      <c r="D1421" s="160"/>
      <c r="E1421" s="439">
        <v>-1.27</v>
      </c>
      <c r="F1421" s="161">
        <v>399.90295631999999</v>
      </c>
      <c r="G1421" s="161">
        <v>66.117999999999995</v>
      </c>
      <c r="H1421" s="654"/>
      <c r="I1421" s="654">
        <v>23.656739264657102</v>
      </c>
      <c r="J1421" s="191"/>
      <c r="K1421" s="191">
        <v>13.152248321922301</v>
      </c>
      <c r="L1421" s="191"/>
      <c r="M1421" s="191"/>
      <c r="N1421" s="191"/>
      <c r="O1421" s="191"/>
      <c r="P1421" s="191"/>
      <c r="Q1421" s="191"/>
      <c r="R1421" s="191"/>
      <c r="S1421" s="191"/>
      <c r="T1421" s="191"/>
      <c r="U1421" s="439"/>
      <c r="V1421" s="441"/>
      <c r="W1421" s="178"/>
      <c r="X1421" s="172"/>
      <c r="Y1421" s="172"/>
      <c r="Z1421" s="172"/>
      <c r="AA1421" s="195"/>
      <c r="AB1421" s="172"/>
    </row>
    <row r="1422" spans="1:28" ht="12.75" customHeight="1" x14ac:dyDescent="0.3">
      <c r="A1422" s="667"/>
      <c r="B1422" s="668" t="s">
        <v>6871</v>
      </c>
      <c r="C1422" s="160" t="s">
        <v>6212</v>
      </c>
      <c r="D1422" s="160"/>
      <c r="E1422" s="439">
        <v>-1.78</v>
      </c>
      <c r="F1422" s="161">
        <v>505.92452347</v>
      </c>
      <c r="G1422" s="161">
        <v>66.192999999999998</v>
      </c>
      <c r="H1422" s="654"/>
      <c r="I1422" s="654">
        <v>3.2142953342071801</v>
      </c>
      <c r="J1422" s="191"/>
      <c r="K1422" s="191">
        <v>3769.1203072765002</v>
      </c>
      <c r="L1422" s="191"/>
      <c r="M1422" s="191"/>
      <c r="N1422" s="191"/>
      <c r="O1422" s="191"/>
      <c r="P1422" s="191"/>
      <c r="Q1422" s="191"/>
      <c r="R1422" s="191"/>
      <c r="S1422" s="191"/>
      <c r="T1422" s="191"/>
      <c r="U1422" s="439"/>
      <c r="V1422" s="441"/>
      <c r="W1422" s="178"/>
      <c r="X1422" s="172"/>
      <c r="Y1422" s="172"/>
      <c r="Z1422" s="172"/>
      <c r="AA1422" s="195"/>
      <c r="AB1422" s="172"/>
    </row>
    <row r="1423" spans="1:28" ht="12.75" customHeight="1" x14ac:dyDescent="0.3">
      <c r="A1423" s="667"/>
      <c r="B1423" s="668" t="s">
        <v>6872</v>
      </c>
      <c r="C1423" s="160" t="s">
        <v>6214</v>
      </c>
      <c r="D1423" s="160"/>
      <c r="E1423" s="439">
        <v>-1.95</v>
      </c>
      <c r="F1423" s="161">
        <v>455.92771714000003</v>
      </c>
      <c r="G1423" s="161">
        <v>77.81</v>
      </c>
      <c r="H1423" s="654"/>
      <c r="I1423" s="654">
        <v>7.1927612583723501</v>
      </c>
      <c r="J1423" s="191"/>
      <c r="K1423" s="191">
        <v>26.4496542920911</v>
      </c>
      <c r="L1423" s="191"/>
      <c r="M1423" s="191"/>
      <c r="N1423" s="191"/>
      <c r="O1423" s="191"/>
      <c r="P1423" s="191"/>
      <c r="Q1423" s="191"/>
      <c r="R1423" s="191"/>
      <c r="S1423" s="191"/>
      <c r="T1423" s="191"/>
      <c r="U1423" s="439"/>
      <c r="V1423" s="441"/>
      <c r="W1423" s="178"/>
      <c r="X1423" s="172"/>
      <c r="Y1423" s="172"/>
      <c r="Z1423" s="172"/>
      <c r="AA1423" s="195"/>
      <c r="AB1423" s="172"/>
    </row>
    <row r="1424" spans="1:28" ht="12.75" customHeight="1" x14ac:dyDescent="0.3">
      <c r="A1424" s="667"/>
      <c r="B1424" s="668" t="s">
        <v>6873</v>
      </c>
      <c r="C1424" s="160" t="s">
        <v>6874</v>
      </c>
      <c r="D1424" s="160"/>
      <c r="E1424" s="439"/>
      <c r="F1424" s="161">
        <v>463.936351022</v>
      </c>
      <c r="G1424" s="161"/>
      <c r="H1424" s="654"/>
      <c r="I1424" s="654"/>
      <c r="J1424" s="191"/>
      <c r="K1424" s="191">
        <v>126351383.022062</v>
      </c>
      <c r="L1424" s="191"/>
      <c r="M1424" s="191"/>
      <c r="N1424" s="191"/>
      <c r="O1424" s="191"/>
      <c r="P1424" s="191"/>
      <c r="Q1424" s="191"/>
      <c r="R1424" s="191"/>
      <c r="S1424" s="191"/>
      <c r="T1424" s="191"/>
      <c r="U1424" s="439"/>
      <c r="V1424" s="441"/>
      <c r="W1424" s="178"/>
      <c r="X1424" s="172"/>
      <c r="Y1424" s="172"/>
      <c r="Z1424" s="172"/>
      <c r="AA1424" s="195"/>
      <c r="AB1424" s="172"/>
    </row>
    <row r="1425" spans="1:28" ht="12.75" customHeight="1" x14ac:dyDescent="0.3">
      <c r="A1425" s="667"/>
      <c r="B1425" s="668" t="s">
        <v>6875</v>
      </c>
      <c r="C1425" s="160" t="s">
        <v>6876</v>
      </c>
      <c r="D1425" s="160"/>
      <c r="E1425" s="439">
        <v>-1.38</v>
      </c>
      <c r="F1425" s="161">
        <v>699.92471914099997</v>
      </c>
      <c r="G1425" s="161"/>
      <c r="H1425" s="654"/>
      <c r="I1425" s="654"/>
      <c r="J1425" s="191"/>
      <c r="K1425" s="191">
        <v>2235681.8444212098</v>
      </c>
      <c r="L1425" s="191"/>
      <c r="M1425" s="191"/>
      <c r="N1425" s="191"/>
      <c r="O1425" s="191"/>
      <c r="P1425" s="191"/>
      <c r="Q1425" s="191"/>
      <c r="R1425" s="191"/>
      <c r="S1425" s="191"/>
      <c r="T1425" s="191"/>
      <c r="U1425" s="439"/>
      <c r="V1425" s="441"/>
      <c r="W1425" s="178"/>
      <c r="X1425" s="172"/>
      <c r="Y1425" s="172"/>
      <c r="Z1425" s="172"/>
      <c r="AA1425" s="195"/>
      <c r="AB1425" s="172"/>
    </row>
    <row r="1426" spans="1:28" ht="12.75" customHeight="1" x14ac:dyDescent="0.3">
      <c r="A1426" s="667"/>
      <c r="B1426" s="668" t="s">
        <v>6877</v>
      </c>
      <c r="C1426" s="160" t="s">
        <v>6878</v>
      </c>
      <c r="D1426" s="160"/>
      <c r="E1426" s="439">
        <v>-1.68</v>
      </c>
      <c r="F1426" s="161">
        <v>549.93430016299999</v>
      </c>
      <c r="G1426" s="161">
        <v>13.375</v>
      </c>
      <c r="H1426" s="654"/>
      <c r="I1426" s="654"/>
      <c r="J1426" s="191"/>
      <c r="K1426" s="191">
        <v>2044089.93600238</v>
      </c>
      <c r="L1426" s="191"/>
      <c r="M1426" s="191"/>
      <c r="N1426" s="191"/>
      <c r="O1426" s="191"/>
      <c r="P1426" s="191"/>
      <c r="Q1426" s="191"/>
      <c r="R1426" s="191"/>
      <c r="S1426" s="191"/>
      <c r="T1426" s="191"/>
      <c r="U1426" s="439"/>
      <c r="V1426" s="441"/>
      <c r="W1426" s="178"/>
      <c r="X1426" s="172"/>
      <c r="Y1426" s="172"/>
      <c r="Z1426" s="172"/>
      <c r="AA1426" s="195"/>
      <c r="AB1426" s="172"/>
    </row>
    <row r="1427" spans="1:28" ht="12.75" customHeight="1" x14ac:dyDescent="0.3">
      <c r="A1427" s="667"/>
      <c r="B1427" s="668" t="s">
        <v>6879</v>
      </c>
      <c r="C1427" s="160" t="s">
        <v>6880</v>
      </c>
      <c r="D1427" s="160"/>
      <c r="E1427" s="439">
        <v>-1.81</v>
      </c>
      <c r="F1427" s="161">
        <v>449.94068751100002</v>
      </c>
      <c r="G1427" s="161">
        <v>24.942</v>
      </c>
      <c r="H1427" s="654"/>
      <c r="I1427" s="654">
        <v>5.2742047390039399</v>
      </c>
      <c r="J1427" s="191"/>
      <c r="K1427" s="191">
        <v>20597.286030551099</v>
      </c>
      <c r="L1427" s="191"/>
      <c r="M1427" s="191"/>
      <c r="N1427" s="191"/>
      <c r="O1427" s="191"/>
      <c r="P1427" s="191"/>
      <c r="Q1427" s="191"/>
      <c r="R1427" s="191"/>
      <c r="S1427" s="191"/>
      <c r="T1427" s="191"/>
      <c r="U1427" s="439"/>
      <c r="V1427" s="441"/>
      <c r="W1427" s="178"/>
      <c r="X1427" s="172"/>
      <c r="Y1427" s="172"/>
      <c r="Z1427" s="172"/>
      <c r="AA1427" s="195"/>
      <c r="AB1427" s="172"/>
    </row>
    <row r="1428" spans="1:28" ht="12.75" customHeight="1" x14ac:dyDescent="0.3">
      <c r="A1428" s="667"/>
      <c r="B1428" s="668" t="s">
        <v>6881</v>
      </c>
      <c r="C1428" s="160" t="s">
        <v>6882</v>
      </c>
      <c r="D1428" s="160"/>
      <c r="E1428" s="439">
        <v>-1.77</v>
      </c>
      <c r="F1428" s="161">
        <v>349.947074859</v>
      </c>
      <c r="G1428" s="161">
        <v>10.659000000000001</v>
      </c>
      <c r="H1428" s="654"/>
      <c r="I1428" s="654">
        <v>97.724120442675101</v>
      </c>
      <c r="J1428" s="191"/>
      <c r="K1428" s="191">
        <v>2354.88660847345</v>
      </c>
      <c r="L1428" s="191"/>
      <c r="M1428" s="191"/>
      <c r="N1428" s="191"/>
      <c r="O1428" s="191"/>
      <c r="P1428" s="191"/>
      <c r="Q1428" s="191"/>
      <c r="R1428" s="191"/>
      <c r="S1428" s="191"/>
      <c r="T1428" s="191"/>
      <c r="U1428" s="439"/>
      <c r="V1428" s="441"/>
      <c r="W1428" s="178"/>
      <c r="X1428" s="172"/>
      <c r="Y1428" s="172"/>
      <c r="Z1428" s="172"/>
      <c r="AA1428" s="195"/>
      <c r="AB1428" s="172"/>
    </row>
    <row r="1429" spans="1:28" ht="12.75" customHeight="1" x14ac:dyDescent="0.3">
      <c r="A1429" s="667"/>
      <c r="B1429" s="668" t="s">
        <v>6883</v>
      </c>
      <c r="C1429" s="160" t="s">
        <v>6884</v>
      </c>
      <c r="D1429" s="160"/>
      <c r="E1429" s="439"/>
      <c r="F1429" s="161">
        <v>601.92677000000003</v>
      </c>
      <c r="G1429" s="161">
        <v>-33.753</v>
      </c>
      <c r="H1429" s="654">
        <v>9.2875704894000002</v>
      </c>
      <c r="I1429" s="654"/>
      <c r="J1429" s="191"/>
      <c r="K1429" s="191">
        <v>365552.703380102</v>
      </c>
      <c r="L1429" s="191"/>
      <c r="M1429" s="191"/>
      <c r="N1429" s="191"/>
      <c r="O1429" s="191"/>
      <c r="P1429" s="191"/>
      <c r="Q1429" s="191"/>
      <c r="R1429" s="191"/>
      <c r="S1429" s="191"/>
      <c r="T1429" s="191"/>
      <c r="U1429" s="439"/>
      <c r="V1429" s="441"/>
      <c r="W1429" s="178"/>
      <c r="X1429" s="172"/>
      <c r="Y1429" s="172"/>
      <c r="Z1429" s="172"/>
      <c r="AA1429" s="195"/>
      <c r="AB1429" s="172"/>
    </row>
    <row r="1430" spans="1:28" ht="12.75" customHeight="1" x14ac:dyDescent="0.3">
      <c r="A1430" s="667"/>
      <c r="B1430" s="668" t="s">
        <v>6885</v>
      </c>
      <c r="C1430" s="160" t="s">
        <v>6886</v>
      </c>
      <c r="D1430" s="160"/>
      <c r="E1430" s="439"/>
      <c r="F1430" s="161">
        <v>501.93315734800001</v>
      </c>
      <c r="G1430" s="161">
        <v>-30.186</v>
      </c>
      <c r="H1430" s="654">
        <v>16.822969925999999</v>
      </c>
      <c r="I1430" s="654"/>
      <c r="J1430" s="191"/>
      <c r="K1430" s="177">
        <v>166364.24751958699</v>
      </c>
      <c r="L1430" s="191"/>
      <c r="M1430" s="191"/>
      <c r="N1430" s="191"/>
      <c r="O1430" s="191"/>
      <c r="P1430" s="191"/>
      <c r="Q1430" s="191"/>
      <c r="R1430" s="191"/>
      <c r="S1430" s="191"/>
      <c r="T1430" s="191"/>
      <c r="U1430" s="439"/>
      <c r="V1430" s="441"/>
      <c r="W1430" s="178"/>
      <c r="X1430" s="172"/>
      <c r="Y1430" s="172"/>
      <c r="Z1430" s="172"/>
      <c r="AA1430" s="195"/>
      <c r="AB1430" s="172"/>
    </row>
    <row r="1431" spans="1:28" ht="12.75" customHeight="1" x14ac:dyDescent="0.3">
      <c r="A1431" s="667"/>
      <c r="B1431" s="668" t="s">
        <v>6887</v>
      </c>
      <c r="C1431" s="160" t="s">
        <v>6888</v>
      </c>
      <c r="D1431" s="160"/>
      <c r="E1431" s="439">
        <v>5.7089999999999996</v>
      </c>
      <c r="F1431" s="161">
        <v>417.90999420000003</v>
      </c>
      <c r="G1431" s="161">
        <v>-17.305</v>
      </c>
      <c r="H1431" s="654">
        <v>37.835717023999997</v>
      </c>
      <c r="I1431" s="654">
        <v>1.96373398814614</v>
      </c>
      <c r="J1431" s="191"/>
      <c r="K1431" s="191">
        <v>7441.8343722194304</v>
      </c>
      <c r="L1431" s="191"/>
      <c r="M1431" s="191"/>
      <c r="N1431" s="191"/>
      <c r="O1431" s="191"/>
      <c r="P1431" s="191"/>
      <c r="Q1431" s="191"/>
      <c r="R1431" s="191"/>
      <c r="S1431" s="191"/>
      <c r="T1431" s="191"/>
      <c r="U1431" s="439"/>
      <c r="V1431" s="441"/>
      <c r="W1431" s="178"/>
      <c r="X1431" s="172"/>
      <c r="Y1431" s="172"/>
      <c r="Z1431" s="172"/>
      <c r="AA1431" s="195"/>
      <c r="AB1431" s="172"/>
    </row>
    <row r="1432" spans="1:28" ht="12.75" customHeight="1" x14ac:dyDescent="0.3">
      <c r="A1432" s="667"/>
      <c r="B1432" s="668" t="s">
        <v>6889</v>
      </c>
      <c r="C1432" s="160" t="s">
        <v>6890</v>
      </c>
      <c r="D1432" s="160"/>
      <c r="E1432" s="439"/>
      <c r="F1432" s="161">
        <v>401.93954469599998</v>
      </c>
      <c r="G1432" s="161">
        <v>-24.619</v>
      </c>
      <c r="H1432" s="654">
        <v>82.585113002</v>
      </c>
      <c r="I1432" s="654">
        <v>2.2037420774728802</v>
      </c>
      <c r="J1432" s="191"/>
      <c r="K1432" s="191">
        <v>10651.971603331</v>
      </c>
      <c r="L1432" s="191"/>
      <c r="M1432" s="191"/>
      <c r="N1432" s="191"/>
      <c r="O1432" s="191"/>
      <c r="P1432" s="191"/>
      <c r="Q1432" s="191"/>
      <c r="R1432" s="191"/>
      <c r="S1432" s="191"/>
      <c r="T1432" s="191"/>
      <c r="U1432" s="439"/>
      <c r="V1432" s="441"/>
      <c r="W1432" s="178"/>
      <c r="X1432" s="172"/>
      <c r="Y1432" s="172"/>
      <c r="Z1432" s="172"/>
      <c r="AA1432" s="195"/>
      <c r="AB1432" s="172"/>
    </row>
    <row r="1433" spans="1:28" ht="12.75" customHeight="1" x14ac:dyDescent="0.3">
      <c r="A1433" s="667"/>
      <c r="B1433" s="668" t="s">
        <v>6891</v>
      </c>
      <c r="C1433" s="160" t="s">
        <v>6892</v>
      </c>
      <c r="D1433" s="160"/>
      <c r="E1433" s="439"/>
      <c r="F1433" s="161">
        <v>301.94593204400002</v>
      </c>
      <c r="G1433" s="161">
        <v>-52.234999999999999</v>
      </c>
      <c r="H1433" s="654">
        <v>1949.4076196000001</v>
      </c>
      <c r="I1433" s="654">
        <v>58.604384004487898</v>
      </c>
      <c r="J1433" s="191"/>
      <c r="K1433" s="191">
        <v>3460.27009957568</v>
      </c>
      <c r="L1433" s="191"/>
      <c r="M1433" s="191"/>
      <c r="N1433" s="191"/>
      <c r="O1433" s="191"/>
      <c r="P1433" s="191"/>
      <c r="Q1433" s="191"/>
      <c r="R1433" s="191"/>
      <c r="S1433" s="191"/>
      <c r="T1433" s="191"/>
      <c r="U1433" s="439"/>
      <c r="V1433" s="441"/>
      <c r="W1433" s="178"/>
      <c r="X1433" s="172"/>
      <c r="Y1433" s="172"/>
      <c r="Z1433" s="172"/>
      <c r="AA1433" s="195"/>
      <c r="AB1433" s="172"/>
    </row>
    <row r="1434" spans="1:28" ht="12.75" customHeight="1" x14ac:dyDescent="0.3">
      <c r="A1434" s="667"/>
      <c r="B1434" s="668" t="s">
        <v>6893</v>
      </c>
      <c r="C1434" s="160" t="s">
        <v>6894</v>
      </c>
      <c r="D1434" s="160"/>
      <c r="E1434" s="439"/>
      <c r="F1434" s="161">
        <v>463.936351022</v>
      </c>
      <c r="G1434" s="161"/>
      <c r="H1434" s="654"/>
      <c r="I1434" s="654"/>
      <c r="J1434" s="191"/>
      <c r="K1434" s="191">
        <v>49805809.140585102</v>
      </c>
      <c r="L1434" s="191"/>
      <c r="M1434" s="191"/>
      <c r="N1434" s="191"/>
      <c r="O1434" s="191"/>
      <c r="P1434" s="191"/>
      <c r="Q1434" s="191"/>
      <c r="R1434" s="191"/>
      <c r="S1434" s="191"/>
      <c r="T1434" s="191"/>
      <c r="U1434" s="439"/>
      <c r="V1434" s="441"/>
      <c r="W1434" s="178"/>
      <c r="X1434" s="172"/>
      <c r="Y1434" s="172"/>
      <c r="Z1434" s="172"/>
      <c r="AA1434" s="195"/>
      <c r="AB1434" s="172"/>
    </row>
    <row r="1435" spans="1:28" ht="12.75" customHeight="1" x14ac:dyDescent="0.3">
      <c r="A1435" s="667"/>
      <c r="B1435" s="668" t="s">
        <v>6895</v>
      </c>
      <c r="C1435" s="160" t="s">
        <v>6896</v>
      </c>
      <c r="D1435" s="160"/>
      <c r="E1435" s="439"/>
      <c r="F1435" s="161">
        <v>451.936351022</v>
      </c>
      <c r="G1435" s="161">
        <v>-30.068999999999999</v>
      </c>
      <c r="H1435" s="654">
        <v>77.786054289999996</v>
      </c>
      <c r="I1435" s="654">
        <v>0.99558414575689402</v>
      </c>
      <c r="J1435" s="191"/>
      <c r="K1435" s="191">
        <v>81097.973113725195</v>
      </c>
      <c r="L1435" s="191"/>
      <c r="M1435" s="191"/>
      <c r="N1435" s="191"/>
      <c r="O1435" s="191"/>
      <c r="P1435" s="191"/>
      <c r="Q1435" s="191"/>
      <c r="R1435" s="191"/>
      <c r="S1435" s="191"/>
      <c r="T1435" s="191"/>
      <c r="U1435" s="439"/>
      <c r="V1435" s="441"/>
      <c r="W1435" s="178"/>
      <c r="X1435" s="172"/>
      <c r="Y1435" s="172"/>
      <c r="Z1435" s="172"/>
      <c r="AA1435" s="195"/>
      <c r="AB1435" s="172"/>
    </row>
    <row r="1436" spans="1:28" ht="12.75" customHeight="1" x14ac:dyDescent="0.3">
      <c r="A1436" s="667"/>
      <c r="B1436" s="668" t="s">
        <v>6897</v>
      </c>
      <c r="C1436" s="160" t="s">
        <v>6898</v>
      </c>
      <c r="D1436" s="160"/>
      <c r="E1436" s="439"/>
      <c r="F1436" s="161">
        <v>351.94273836999997</v>
      </c>
      <c r="G1436" s="161"/>
      <c r="H1436" s="654"/>
      <c r="I1436" s="654"/>
      <c r="J1436" s="191"/>
      <c r="K1436" s="191">
        <v>2363.4694879715598</v>
      </c>
      <c r="L1436" s="191"/>
      <c r="M1436" s="191"/>
      <c r="N1436" s="191"/>
      <c r="O1436" s="191"/>
      <c r="P1436" s="191"/>
      <c r="Q1436" s="191"/>
      <c r="R1436" s="191"/>
      <c r="S1436" s="191"/>
      <c r="T1436" s="191"/>
      <c r="U1436" s="439"/>
      <c r="V1436" s="441"/>
      <c r="W1436" s="178"/>
      <c r="X1436" s="172"/>
      <c r="Y1436" s="172"/>
      <c r="Z1436" s="172"/>
      <c r="AA1436" s="195"/>
      <c r="AB1436" s="172"/>
    </row>
    <row r="1437" spans="1:28" ht="12.75" customHeight="1" x14ac:dyDescent="0.3">
      <c r="A1437" s="667"/>
      <c r="B1437" s="668" t="s">
        <v>6899</v>
      </c>
      <c r="C1437" s="160" t="s">
        <v>6900</v>
      </c>
      <c r="D1437" s="160"/>
      <c r="E1437" s="439"/>
      <c r="F1437" s="161">
        <v>363.94273836999997</v>
      </c>
      <c r="G1437" s="161">
        <v>-15.893000000000001</v>
      </c>
      <c r="H1437" s="654">
        <v>178.60881696000001</v>
      </c>
      <c r="I1437" s="654">
        <v>17.459534170645501</v>
      </c>
      <c r="J1437" s="191"/>
      <c r="K1437" s="191">
        <v>27078.836498457898</v>
      </c>
      <c r="L1437" s="191"/>
      <c r="M1437" s="191"/>
      <c r="N1437" s="191"/>
      <c r="O1437" s="191"/>
      <c r="P1437" s="191"/>
      <c r="Q1437" s="191"/>
      <c r="R1437" s="191"/>
      <c r="S1437" s="191"/>
      <c r="T1437" s="191"/>
      <c r="U1437" s="439"/>
      <c r="V1437" s="441"/>
      <c r="W1437" s="178"/>
      <c r="X1437" s="172"/>
      <c r="Y1437" s="172"/>
      <c r="Z1437" s="172"/>
      <c r="AA1437" s="195"/>
      <c r="AB1437" s="172"/>
    </row>
    <row r="1438" spans="1:28" ht="12.75" customHeight="1" x14ac:dyDescent="0.3">
      <c r="A1438" s="667"/>
      <c r="B1438" s="668" t="s">
        <v>6901</v>
      </c>
      <c r="C1438" s="160" t="s">
        <v>6902</v>
      </c>
      <c r="D1438" s="160"/>
      <c r="E1438" s="439">
        <v>-1.1499999999999999</v>
      </c>
      <c r="F1438" s="161">
        <v>281.95969040199998</v>
      </c>
      <c r="G1438" s="161"/>
      <c r="H1438" s="654"/>
      <c r="I1438" s="654"/>
      <c r="J1438" s="191"/>
      <c r="K1438" s="191">
        <v>316.74516918752897</v>
      </c>
      <c r="L1438" s="191"/>
      <c r="M1438" s="191"/>
      <c r="N1438" s="191"/>
      <c r="O1438" s="191"/>
      <c r="P1438" s="191"/>
      <c r="Q1438" s="191"/>
      <c r="R1438" s="191"/>
      <c r="S1438" s="191"/>
      <c r="T1438" s="191"/>
      <c r="U1438" s="439"/>
      <c r="V1438" s="441"/>
      <c r="W1438" s="178"/>
      <c r="X1438" s="172"/>
      <c r="Y1438" s="172"/>
      <c r="Z1438" s="172"/>
      <c r="AA1438" s="195"/>
      <c r="AB1438" s="172"/>
    </row>
    <row r="1439" spans="1:28" ht="12.75" customHeight="1" x14ac:dyDescent="0.3">
      <c r="A1439" s="667"/>
      <c r="B1439" s="668" t="s">
        <v>6903</v>
      </c>
      <c r="C1439" s="160" t="s">
        <v>6904</v>
      </c>
      <c r="D1439" s="160"/>
      <c r="E1439" s="439">
        <v>1.5449999999999999</v>
      </c>
      <c r="F1439" s="161">
        <v>263.949125718</v>
      </c>
      <c r="G1439" s="161">
        <v>41.393000000000001</v>
      </c>
      <c r="H1439" s="654">
        <v>237.63046636000001</v>
      </c>
      <c r="I1439" s="654">
        <v>99.889698984096995</v>
      </c>
      <c r="J1439" s="191"/>
      <c r="K1439" s="191">
        <v>482.63631898061902</v>
      </c>
      <c r="L1439" s="191"/>
      <c r="M1439" s="191"/>
      <c r="N1439" s="191"/>
      <c r="O1439" s="191"/>
      <c r="P1439" s="191"/>
      <c r="Q1439" s="191"/>
      <c r="R1439" s="191"/>
      <c r="S1439" s="191"/>
      <c r="T1439" s="191"/>
      <c r="U1439" s="439"/>
      <c r="V1439" s="441"/>
      <c r="W1439" s="178"/>
      <c r="X1439" s="172"/>
      <c r="Y1439" s="172"/>
      <c r="Z1439" s="172"/>
      <c r="AA1439" s="195"/>
      <c r="AB1439" s="172"/>
    </row>
    <row r="1440" spans="1:28" ht="12.75" customHeight="1" x14ac:dyDescent="0.3">
      <c r="A1440" s="667"/>
      <c r="B1440" s="668" t="s">
        <v>6905</v>
      </c>
      <c r="C1440" s="160" t="s">
        <v>6906</v>
      </c>
      <c r="D1440" s="160"/>
      <c r="E1440" s="439"/>
      <c r="F1440" s="161">
        <v>903.14821488300004</v>
      </c>
      <c r="G1440" s="161"/>
      <c r="H1440" s="654"/>
      <c r="I1440" s="654"/>
      <c r="J1440" s="191"/>
      <c r="K1440" s="191"/>
      <c r="L1440" s="191"/>
      <c r="M1440" s="191"/>
      <c r="N1440" s="191"/>
      <c r="O1440" s="191"/>
      <c r="P1440" s="191"/>
      <c r="Q1440" s="191"/>
      <c r="R1440" s="191"/>
      <c r="S1440" s="191"/>
      <c r="T1440" s="191"/>
      <c r="U1440" s="439"/>
      <c r="V1440" s="441"/>
      <c r="W1440" s="178"/>
      <c r="X1440" s="172"/>
      <c r="Y1440" s="172"/>
      <c r="Z1440" s="172"/>
      <c r="AA1440" s="195"/>
      <c r="AB1440" s="172"/>
    </row>
    <row r="1441" spans="1:28" ht="12.75" customHeight="1" x14ac:dyDescent="0.3">
      <c r="A1441" s="667"/>
      <c r="B1441" s="668" t="s">
        <v>6907</v>
      </c>
      <c r="C1441" s="160" t="s">
        <v>6908</v>
      </c>
      <c r="D1441" s="160"/>
      <c r="E1441" s="439"/>
      <c r="F1441" s="161">
        <v>853.15140855699997</v>
      </c>
      <c r="G1441" s="161"/>
      <c r="H1441" s="654"/>
      <c r="I1441" s="654"/>
      <c r="J1441" s="191"/>
      <c r="K1441" s="191">
        <v>73463226.734654397</v>
      </c>
      <c r="L1441" s="191"/>
      <c r="M1441" s="191"/>
      <c r="N1441" s="191"/>
      <c r="O1441" s="191"/>
      <c r="P1441" s="191"/>
      <c r="Q1441" s="191"/>
      <c r="R1441" s="191"/>
      <c r="S1441" s="191"/>
      <c r="T1441" s="191"/>
      <c r="U1441" s="439"/>
      <c r="V1441" s="441"/>
      <c r="W1441" s="178"/>
      <c r="X1441" s="172"/>
      <c r="Y1441" s="172"/>
      <c r="Z1441" s="172"/>
      <c r="AA1441" s="195"/>
      <c r="AB1441" s="172"/>
    </row>
    <row r="1442" spans="1:28" ht="12.75" customHeight="1" x14ac:dyDescent="0.3">
      <c r="A1442" s="667"/>
      <c r="B1442" s="668" t="s">
        <v>6909</v>
      </c>
      <c r="C1442" s="160" t="s">
        <v>6910</v>
      </c>
      <c r="D1442" s="160"/>
      <c r="E1442" s="439"/>
      <c r="F1442" s="161">
        <v>803.15460223100001</v>
      </c>
      <c r="G1442" s="161"/>
      <c r="H1442" s="654"/>
      <c r="I1442" s="654"/>
      <c r="J1442" s="191"/>
      <c r="K1442" s="191">
        <v>73208245.714272097</v>
      </c>
      <c r="L1442" s="191"/>
      <c r="M1442" s="191"/>
      <c r="N1442" s="191"/>
      <c r="O1442" s="191"/>
      <c r="P1442" s="191"/>
      <c r="Q1442" s="191"/>
      <c r="R1442" s="191"/>
      <c r="S1442" s="191"/>
      <c r="T1442" s="191"/>
      <c r="U1442" s="439"/>
      <c r="V1442" s="441"/>
      <c r="W1442" s="178"/>
      <c r="X1442" s="172"/>
      <c r="Y1442" s="172"/>
      <c r="Z1442" s="172"/>
      <c r="AA1442" s="195"/>
      <c r="AB1442" s="172"/>
    </row>
    <row r="1443" spans="1:28" ht="12.75" customHeight="1" x14ac:dyDescent="0.3">
      <c r="A1443" s="667"/>
      <c r="B1443" s="668" t="s">
        <v>6911</v>
      </c>
      <c r="C1443" s="160" t="s">
        <v>6912</v>
      </c>
      <c r="D1443" s="160"/>
      <c r="E1443" s="439"/>
      <c r="F1443" s="161">
        <v>753.15779590499994</v>
      </c>
      <c r="G1443" s="161"/>
      <c r="H1443" s="654"/>
      <c r="I1443" s="654"/>
      <c r="J1443" s="191"/>
      <c r="K1443" s="191">
        <v>4181768.6262785802</v>
      </c>
      <c r="L1443" s="191"/>
      <c r="M1443" s="191"/>
      <c r="N1443" s="191"/>
      <c r="O1443" s="191"/>
      <c r="P1443" s="191"/>
      <c r="Q1443" s="191"/>
      <c r="R1443" s="191"/>
      <c r="S1443" s="191"/>
      <c r="T1443" s="191"/>
      <c r="U1443" s="439"/>
      <c r="V1443" s="441"/>
      <c r="W1443" s="178"/>
      <c r="X1443" s="172"/>
      <c r="Y1443" s="172"/>
      <c r="Z1443" s="172"/>
      <c r="AA1443" s="195"/>
      <c r="AB1443" s="172"/>
    </row>
    <row r="1444" spans="1:28" ht="12.75" customHeight="1" x14ac:dyDescent="0.3">
      <c r="A1444" s="667"/>
      <c r="B1444" s="668" t="s">
        <v>6913</v>
      </c>
      <c r="C1444" s="160" t="s">
        <v>6914</v>
      </c>
      <c r="D1444" s="160"/>
      <c r="E1444" s="439"/>
      <c r="F1444" s="161">
        <v>703.16098957899999</v>
      </c>
      <c r="G1444" s="161"/>
      <c r="H1444" s="654"/>
      <c r="I1444" s="654"/>
      <c r="J1444" s="191"/>
      <c r="K1444" s="191">
        <v>448414.863895847</v>
      </c>
      <c r="L1444" s="191"/>
      <c r="M1444" s="191"/>
      <c r="N1444" s="191"/>
      <c r="O1444" s="191"/>
      <c r="P1444" s="191"/>
      <c r="Q1444" s="191"/>
      <c r="R1444" s="191"/>
      <c r="S1444" s="191"/>
      <c r="T1444" s="191"/>
      <c r="U1444" s="439"/>
      <c r="V1444" s="441"/>
      <c r="W1444" s="178"/>
      <c r="X1444" s="172"/>
      <c r="Y1444" s="172"/>
      <c r="Z1444" s="172"/>
      <c r="AA1444" s="195"/>
      <c r="AB1444" s="172"/>
    </row>
    <row r="1445" spans="1:28" ht="12.75" customHeight="1" x14ac:dyDescent="0.3">
      <c r="A1445" s="667"/>
      <c r="B1445" s="668" t="s">
        <v>6915</v>
      </c>
      <c r="C1445" s="160" t="s">
        <v>6916</v>
      </c>
      <c r="D1445" s="160"/>
      <c r="E1445" s="439">
        <v>5.01</v>
      </c>
      <c r="F1445" s="161">
        <v>650.91058190000001</v>
      </c>
      <c r="G1445" s="161">
        <v>-7.6139999999999999</v>
      </c>
      <c r="H1445" s="654">
        <v>2.5287317061999999</v>
      </c>
      <c r="I1445" s="654">
        <v>1.5258841134074301E-2</v>
      </c>
      <c r="J1445" s="191"/>
      <c r="K1445" s="191">
        <v>2536588.3879579199</v>
      </c>
      <c r="L1445" s="191"/>
      <c r="M1445" s="191"/>
      <c r="N1445" s="191"/>
      <c r="O1445" s="191"/>
      <c r="P1445" s="191"/>
      <c r="Q1445" s="191"/>
      <c r="R1445" s="191"/>
      <c r="S1445" s="191"/>
      <c r="T1445" s="191"/>
      <c r="U1445" s="439"/>
      <c r="V1445" s="441"/>
      <c r="W1445" s="178"/>
      <c r="X1445" s="172"/>
      <c r="Y1445" s="172"/>
      <c r="Z1445" s="172"/>
      <c r="AA1445" s="195"/>
      <c r="AB1445" s="172"/>
    </row>
    <row r="1446" spans="1:28" ht="12.75" customHeight="1" x14ac:dyDescent="0.3">
      <c r="A1446" s="667"/>
      <c r="B1446" s="668" t="s">
        <v>6917</v>
      </c>
      <c r="C1446" s="160" t="s">
        <v>6918</v>
      </c>
      <c r="D1446" s="160"/>
      <c r="E1446" s="439"/>
      <c r="F1446" s="161">
        <v>639.05919290199995</v>
      </c>
      <c r="G1446" s="161">
        <v>6.59</v>
      </c>
      <c r="H1446" s="654">
        <v>10.911939072999999</v>
      </c>
      <c r="I1446" s="654">
        <v>0.21904904143263201</v>
      </c>
      <c r="J1446" s="191"/>
      <c r="K1446" s="191">
        <v>348305.23346108798</v>
      </c>
      <c r="L1446" s="191"/>
      <c r="M1446" s="191"/>
      <c r="N1446" s="191"/>
      <c r="O1446" s="191"/>
      <c r="P1446" s="191"/>
      <c r="Q1446" s="191"/>
      <c r="R1446" s="191"/>
      <c r="S1446" s="191"/>
      <c r="T1446" s="191"/>
      <c r="U1446" s="439"/>
      <c r="V1446" s="441"/>
      <c r="W1446" s="178"/>
      <c r="X1446" s="172"/>
      <c r="Y1446" s="172"/>
      <c r="Z1446" s="172"/>
      <c r="AA1446" s="195"/>
      <c r="AB1446" s="172"/>
    </row>
    <row r="1447" spans="1:28" ht="12.75" customHeight="1" x14ac:dyDescent="0.3">
      <c r="A1447" s="667"/>
      <c r="B1447" s="668" t="s">
        <v>6919</v>
      </c>
      <c r="C1447" s="160" t="s">
        <v>6920</v>
      </c>
      <c r="D1447" s="160"/>
      <c r="E1447" s="439">
        <v>6.52</v>
      </c>
      <c r="F1447" s="161">
        <v>391.976483282</v>
      </c>
      <c r="G1447" s="161"/>
      <c r="H1447" s="654"/>
      <c r="I1447" s="654"/>
      <c r="J1447" s="191"/>
      <c r="K1447" s="191">
        <v>90317.103256768198</v>
      </c>
      <c r="L1447" s="191"/>
      <c r="M1447" s="191"/>
      <c r="N1447" s="191"/>
      <c r="O1447" s="191"/>
      <c r="P1447" s="191"/>
      <c r="Q1447" s="191"/>
      <c r="R1447" s="191"/>
      <c r="S1447" s="191"/>
      <c r="T1447" s="191"/>
      <c r="U1447" s="439"/>
      <c r="V1447" s="441"/>
      <c r="W1447" s="178"/>
      <c r="X1447" s="172"/>
      <c r="Y1447" s="172"/>
      <c r="Z1447" s="172"/>
      <c r="AA1447" s="195"/>
      <c r="AB1447" s="172"/>
    </row>
    <row r="1448" spans="1:28" ht="12.75" customHeight="1" x14ac:dyDescent="0.3">
      <c r="A1448" s="667"/>
      <c r="B1448" s="668" t="s">
        <v>6921</v>
      </c>
      <c r="C1448" s="160" t="s">
        <v>6922</v>
      </c>
      <c r="D1448" s="160"/>
      <c r="E1448" s="439">
        <v>-1.64</v>
      </c>
      <c r="F1448" s="161">
        <v>605.01647243499997</v>
      </c>
      <c r="G1448" s="161">
        <v>15.157999999999999</v>
      </c>
      <c r="H1448" s="654"/>
      <c r="I1448" s="654">
        <v>2.8560589102708298</v>
      </c>
      <c r="J1448" s="191"/>
      <c r="K1448" s="191">
        <v>3.8305047039511</v>
      </c>
      <c r="L1448" s="191"/>
      <c r="M1448" s="191"/>
      <c r="N1448" s="191"/>
      <c r="O1448" s="191"/>
      <c r="P1448" s="191"/>
      <c r="Q1448" s="191"/>
      <c r="R1448" s="191"/>
      <c r="S1448" s="191"/>
      <c r="T1448" s="191"/>
      <c r="U1448" s="439"/>
      <c r="V1448" s="441"/>
      <c r="W1448" s="178"/>
      <c r="X1448" s="172"/>
      <c r="Y1448" s="172"/>
      <c r="Z1448" s="172"/>
      <c r="AA1448" s="195"/>
      <c r="AB1448" s="172"/>
    </row>
    <row r="1449" spans="1:28" ht="12.75" customHeight="1" x14ac:dyDescent="0.3">
      <c r="A1449" s="667"/>
      <c r="B1449" s="668" t="s">
        <v>6923</v>
      </c>
      <c r="C1449" s="160" t="s">
        <v>6924</v>
      </c>
      <c r="D1449" s="160"/>
      <c r="E1449" s="439">
        <v>-1.81</v>
      </c>
      <c r="F1449" s="161">
        <v>555.01966610900001</v>
      </c>
      <c r="G1449" s="161"/>
      <c r="H1449" s="654"/>
      <c r="I1449" s="654"/>
      <c r="J1449" s="191"/>
      <c r="K1449" s="191">
        <v>3.6883149590493201</v>
      </c>
      <c r="L1449" s="191"/>
      <c r="M1449" s="191"/>
      <c r="N1449" s="191"/>
      <c r="O1449" s="191"/>
      <c r="P1449" s="191"/>
      <c r="Q1449" s="191"/>
      <c r="R1449" s="191"/>
      <c r="S1449" s="191"/>
      <c r="T1449" s="191"/>
      <c r="U1449" s="439"/>
      <c r="V1449" s="441"/>
      <c r="W1449" s="178"/>
      <c r="X1449" s="172"/>
      <c r="Y1449" s="172"/>
      <c r="Z1449" s="172"/>
      <c r="AA1449" s="195"/>
      <c r="AB1449" s="172"/>
    </row>
    <row r="1450" spans="1:28" ht="12.75" customHeight="1" x14ac:dyDescent="0.3">
      <c r="A1450" s="667"/>
      <c r="B1450" s="668" t="s">
        <v>6925</v>
      </c>
      <c r="C1450" s="160" t="s">
        <v>6926</v>
      </c>
      <c r="D1450" s="160"/>
      <c r="E1450" s="439">
        <v>-1.64</v>
      </c>
      <c r="F1450" s="161">
        <v>505.022859783</v>
      </c>
      <c r="G1450" s="161">
        <v>26.725999999999999</v>
      </c>
      <c r="H1450" s="654"/>
      <c r="I1450" s="654">
        <v>14.6998013842757</v>
      </c>
      <c r="J1450" s="191"/>
      <c r="K1450" s="191">
        <v>3.5751889552639802</v>
      </c>
      <c r="L1450" s="191"/>
      <c r="M1450" s="191"/>
      <c r="N1450" s="191"/>
      <c r="O1450" s="191"/>
      <c r="P1450" s="191"/>
      <c r="Q1450" s="191"/>
      <c r="R1450" s="191"/>
      <c r="S1450" s="191"/>
      <c r="T1450" s="191"/>
      <c r="U1450" s="439"/>
      <c r="V1450" s="441"/>
      <c r="W1450" s="178"/>
      <c r="X1450" s="172"/>
      <c r="Y1450" s="172"/>
      <c r="Z1450" s="172"/>
      <c r="AA1450" s="195"/>
      <c r="AB1450" s="172"/>
    </row>
    <row r="1451" spans="1:28" ht="12.75" customHeight="1" x14ac:dyDescent="0.3">
      <c r="A1451" s="667"/>
      <c r="B1451" s="668" t="s">
        <v>6927</v>
      </c>
      <c r="C1451" s="160" t="s">
        <v>6928</v>
      </c>
      <c r="D1451" s="160"/>
      <c r="E1451" s="439">
        <v>-1.77</v>
      </c>
      <c r="F1451" s="161">
        <v>455.02605345699999</v>
      </c>
      <c r="G1451" s="161">
        <v>10.659000000000001</v>
      </c>
      <c r="H1451" s="654"/>
      <c r="I1451" s="654">
        <v>127.06784553208099</v>
      </c>
      <c r="J1451" s="191"/>
      <c r="K1451" s="191">
        <v>3.5030392223990701</v>
      </c>
      <c r="L1451" s="191"/>
      <c r="M1451" s="191"/>
      <c r="N1451" s="191"/>
      <c r="O1451" s="191"/>
      <c r="P1451" s="191"/>
      <c r="Q1451" s="191"/>
      <c r="R1451" s="191"/>
      <c r="S1451" s="191"/>
      <c r="T1451" s="191"/>
      <c r="U1451" s="439"/>
      <c r="V1451" s="441"/>
      <c r="W1451" s="178"/>
      <c r="X1451" s="172"/>
      <c r="Y1451" s="172"/>
      <c r="Z1451" s="172"/>
      <c r="AA1451" s="195"/>
      <c r="AB1451" s="172"/>
    </row>
    <row r="1452" spans="1:28" ht="12.75" customHeight="1" x14ac:dyDescent="0.3">
      <c r="A1452" s="667"/>
      <c r="B1452" s="668" t="s">
        <v>6929</v>
      </c>
      <c r="C1452" s="160" t="s">
        <v>6930</v>
      </c>
      <c r="D1452" s="160"/>
      <c r="E1452" s="439">
        <v>-1.61</v>
      </c>
      <c r="F1452" s="161">
        <v>405.02924713099998</v>
      </c>
      <c r="G1452" s="161">
        <v>20.376000000000001</v>
      </c>
      <c r="H1452" s="654">
        <v>27.72697634</v>
      </c>
      <c r="I1452" s="654">
        <v>1128.4600860166199</v>
      </c>
      <c r="J1452" s="191"/>
      <c r="K1452" s="191">
        <v>3.48546719869845</v>
      </c>
      <c r="L1452" s="191"/>
      <c r="M1452" s="191"/>
      <c r="N1452" s="191"/>
      <c r="O1452" s="191"/>
      <c r="P1452" s="191"/>
      <c r="Q1452" s="191"/>
      <c r="R1452" s="191"/>
      <c r="S1452" s="191"/>
      <c r="T1452" s="191"/>
      <c r="U1452" s="439"/>
      <c r="V1452" s="441"/>
      <c r="W1452" s="178"/>
      <c r="X1452" s="172"/>
      <c r="Y1452" s="172"/>
      <c r="Z1452" s="172"/>
      <c r="AA1452" s="195"/>
      <c r="AB1452" s="172"/>
    </row>
    <row r="1453" spans="1:28" ht="12.75" customHeight="1" x14ac:dyDescent="0.3">
      <c r="A1453" s="667"/>
      <c r="B1453" s="668" t="s">
        <v>6931</v>
      </c>
      <c r="C1453" s="160" t="s">
        <v>6932</v>
      </c>
      <c r="D1453" s="160"/>
      <c r="E1453" s="439">
        <v>8.9499999999999993</v>
      </c>
      <c r="F1453" s="161">
        <v>341.99721872600003</v>
      </c>
      <c r="G1453" s="161">
        <v>7.0780000000000003</v>
      </c>
      <c r="H1453" s="654">
        <v>3.6974456903999999</v>
      </c>
      <c r="I1453" s="654">
        <v>48.086518938969199</v>
      </c>
      <c r="J1453" s="191"/>
      <c r="K1453" s="191">
        <v>693.17038556179898</v>
      </c>
      <c r="L1453" s="191"/>
      <c r="M1453" s="191"/>
      <c r="N1453" s="191"/>
      <c r="O1453" s="191"/>
      <c r="P1453" s="191"/>
      <c r="Q1453" s="191"/>
      <c r="R1453" s="191"/>
      <c r="S1453" s="191"/>
      <c r="T1453" s="191"/>
      <c r="U1453" s="439"/>
      <c r="V1453" s="441"/>
      <c r="W1453" s="178"/>
      <c r="X1453" s="172"/>
      <c r="Y1453" s="172"/>
      <c r="Z1453" s="172"/>
      <c r="AA1453" s="195"/>
      <c r="AB1453" s="172"/>
    </row>
    <row r="1454" spans="1:28" ht="12.75" customHeight="1" x14ac:dyDescent="0.3">
      <c r="A1454" s="667"/>
      <c r="B1454" s="668" t="s">
        <v>6933</v>
      </c>
      <c r="C1454" s="160" t="s">
        <v>6934</v>
      </c>
      <c r="D1454" s="160"/>
      <c r="E1454" s="439"/>
      <c r="F1454" s="161">
        <v>587.005907751</v>
      </c>
      <c r="G1454" s="161"/>
      <c r="H1454" s="654"/>
      <c r="I1454" s="654"/>
      <c r="J1454" s="191"/>
      <c r="K1454" s="191"/>
      <c r="L1454" s="191"/>
      <c r="M1454" s="191"/>
      <c r="N1454" s="191"/>
      <c r="O1454" s="191"/>
      <c r="P1454" s="191"/>
      <c r="Q1454" s="191"/>
      <c r="R1454" s="191"/>
      <c r="S1454" s="191"/>
      <c r="T1454" s="191"/>
      <c r="U1454" s="439"/>
      <c r="V1454" s="441"/>
      <c r="W1454" s="178"/>
      <c r="X1454" s="172"/>
      <c r="Y1454" s="172"/>
      <c r="Z1454" s="172"/>
      <c r="AA1454" s="195"/>
      <c r="AB1454" s="172"/>
    </row>
    <row r="1455" spans="1:28" ht="12.75" customHeight="1" x14ac:dyDescent="0.3">
      <c r="A1455" s="667"/>
      <c r="B1455" s="668" t="s">
        <v>6935</v>
      </c>
      <c r="C1455" s="160" t="s">
        <v>6936</v>
      </c>
      <c r="D1455" s="160"/>
      <c r="E1455" s="439">
        <v>5.38</v>
      </c>
      <c r="F1455" s="161">
        <v>387.018682447</v>
      </c>
      <c r="G1455" s="161">
        <v>52.898000000000003</v>
      </c>
      <c r="H1455" s="654">
        <v>1.2702866831199999</v>
      </c>
      <c r="I1455" s="654">
        <v>458.91514308517901</v>
      </c>
      <c r="J1455" s="191"/>
      <c r="K1455" s="191">
        <v>1173.3565445188001</v>
      </c>
      <c r="L1455" s="191"/>
      <c r="M1455" s="191"/>
      <c r="N1455" s="191"/>
      <c r="O1455" s="191"/>
      <c r="P1455" s="191"/>
      <c r="Q1455" s="191"/>
      <c r="R1455" s="191"/>
      <c r="S1455" s="191"/>
      <c r="T1455" s="191"/>
      <c r="U1455" s="439"/>
      <c r="V1455" s="441"/>
      <c r="W1455" s="178"/>
      <c r="X1455" s="172"/>
      <c r="Y1455" s="172"/>
      <c r="Z1455" s="172"/>
      <c r="AA1455" s="195"/>
      <c r="AB1455" s="172"/>
    </row>
    <row r="1456" spans="1:28" ht="12.75" customHeight="1" x14ac:dyDescent="0.3">
      <c r="A1456" s="667"/>
      <c r="B1456" s="668" t="s">
        <v>6937</v>
      </c>
      <c r="C1456" s="160" t="s">
        <v>6938</v>
      </c>
      <c r="D1456" s="160"/>
      <c r="E1456" s="439">
        <v>1.2</v>
      </c>
      <c r="F1456" s="161">
        <v>315.94518315300002</v>
      </c>
      <c r="G1456" s="161"/>
      <c r="H1456" s="654"/>
      <c r="I1456" s="654"/>
      <c r="J1456" s="191"/>
      <c r="K1456" s="191">
        <v>1028.67929843051</v>
      </c>
      <c r="L1456" s="191"/>
      <c r="M1456" s="191"/>
      <c r="N1456" s="191"/>
      <c r="O1456" s="191"/>
      <c r="P1456" s="191"/>
      <c r="Q1456" s="191"/>
      <c r="R1456" s="191"/>
      <c r="S1456" s="191"/>
      <c r="T1456" s="191"/>
      <c r="U1456" s="439"/>
      <c r="V1456" s="441"/>
      <c r="W1456" s="178"/>
      <c r="X1456" s="172"/>
      <c r="Y1456" s="172"/>
      <c r="Z1456" s="172"/>
      <c r="AA1456" s="195"/>
      <c r="AB1456" s="172"/>
    </row>
    <row r="1457" spans="1:28" ht="12.75" customHeight="1" x14ac:dyDescent="0.3">
      <c r="A1457" s="667"/>
      <c r="B1457" s="668" t="s">
        <v>6939</v>
      </c>
      <c r="C1457" s="160" t="s">
        <v>6940</v>
      </c>
      <c r="D1457" s="160"/>
      <c r="E1457" s="439">
        <v>-1.62</v>
      </c>
      <c r="F1457" s="161">
        <v>499.93749383699998</v>
      </c>
      <c r="G1457" s="161"/>
      <c r="H1457" s="654"/>
      <c r="I1457" s="654"/>
      <c r="J1457" s="191"/>
      <c r="K1457" s="191">
        <v>235662.239245748</v>
      </c>
      <c r="L1457" s="191"/>
      <c r="M1457" s="191"/>
      <c r="N1457" s="191"/>
      <c r="O1457" s="191"/>
      <c r="P1457" s="191"/>
      <c r="Q1457" s="191"/>
      <c r="R1457" s="191"/>
      <c r="S1457" s="191"/>
      <c r="T1457" s="191"/>
      <c r="U1457" s="439"/>
      <c r="V1457" s="441"/>
      <c r="W1457" s="178"/>
      <c r="X1457" s="172"/>
      <c r="Y1457" s="172"/>
      <c r="Z1457" s="172"/>
      <c r="AA1457" s="195"/>
      <c r="AB1457" s="172"/>
    </row>
    <row r="1458" spans="1:28" ht="12.75" customHeight="1" x14ac:dyDescent="0.3">
      <c r="A1458" s="667"/>
      <c r="B1458" s="668" t="s">
        <v>6941</v>
      </c>
      <c r="C1458" s="160" t="s">
        <v>6942</v>
      </c>
      <c r="D1458" s="160"/>
      <c r="E1458" s="439">
        <v>0.17</v>
      </c>
      <c r="F1458" s="161">
        <v>299.95026853299998</v>
      </c>
      <c r="G1458" s="161">
        <v>-16.007999999999999</v>
      </c>
      <c r="H1458" s="654">
        <v>69.486759789999994</v>
      </c>
      <c r="I1458" s="654">
        <v>601.24131476634204</v>
      </c>
      <c r="J1458" s="191"/>
      <c r="K1458" s="191">
        <v>943.170046845005</v>
      </c>
      <c r="L1458" s="191"/>
      <c r="M1458" s="191"/>
      <c r="N1458" s="191"/>
      <c r="O1458" s="191"/>
      <c r="P1458" s="191"/>
      <c r="Q1458" s="191"/>
      <c r="R1458" s="191"/>
      <c r="S1458" s="191"/>
      <c r="T1458" s="191"/>
      <c r="U1458" s="439"/>
      <c r="V1458" s="441"/>
      <c r="W1458" s="178"/>
      <c r="X1458" s="172"/>
      <c r="Y1458" s="172"/>
      <c r="Z1458" s="172"/>
      <c r="AA1458" s="195"/>
      <c r="AB1458" s="172"/>
    </row>
    <row r="1459" spans="1:28" ht="12.75" customHeight="1" x14ac:dyDescent="0.3">
      <c r="A1459" s="667"/>
      <c r="B1459" s="668" t="s">
        <v>6943</v>
      </c>
      <c r="C1459" s="160" t="s">
        <v>6944</v>
      </c>
      <c r="D1459" s="160"/>
      <c r="E1459" s="439">
        <v>-1.64</v>
      </c>
      <c r="F1459" s="161">
        <v>399.94388118500001</v>
      </c>
      <c r="G1459" s="161">
        <v>26.725999999999999</v>
      </c>
      <c r="H1459" s="654"/>
      <c r="I1459" s="654">
        <v>11.641246538428</v>
      </c>
      <c r="J1459" s="191"/>
      <c r="K1459" s="191">
        <v>159.60628901903499</v>
      </c>
      <c r="L1459" s="191"/>
      <c r="M1459" s="191"/>
      <c r="N1459" s="191"/>
      <c r="O1459" s="191"/>
      <c r="P1459" s="191"/>
      <c r="Q1459" s="191"/>
      <c r="R1459" s="191"/>
      <c r="S1459" s="191"/>
      <c r="T1459" s="191"/>
      <c r="U1459" s="439"/>
      <c r="V1459" s="441"/>
      <c r="W1459" s="178"/>
      <c r="X1459" s="172"/>
      <c r="Y1459" s="172"/>
      <c r="Z1459" s="172"/>
      <c r="AA1459" s="195"/>
      <c r="AB1459" s="172"/>
    </row>
    <row r="1460" spans="1:28" ht="12.75" customHeight="1" x14ac:dyDescent="0.3">
      <c r="A1460" s="667"/>
      <c r="B1460" s="668" t="s">
        <v>6095</v>
      </c>
      <c r="C1460" s="160" t="s">
        <v>6096</v>
      </c>
      <c r="D1460" s="160"/>
      <c r="E1460" s="439">
        <v>-1.1200000000000001</v>
      </c>
      <c r="F1460" s="161">
        <v>499.89656896999998</v>
      </c>
      <c r="G1460" s="161"/>
      <c r="H1460" s="654"/>
      <c r="I1460" s="654"/>
      <c r="J1460" s="191"/>
      <c r="K1460" s="191">
        <v>4.82719674517414</v>
      </c>
      <c r="L1460" s="191"/>
      <c r="M1460" s="191"/>
      <c r="N1460" s="191"/>
      <c r="O1460" s="191"/>
      <c r="P1460" s="191"/>
      <c r="Q1460" s="191"/>
      <c r="R1460" s="191"/>
      <c r="S1460" s="191"/>
      <c r="T1460" s="191"/>
      <c r="U1460" s="439"/>
      <c r="V1460" s="441"/>
      <c r="W1460" s="178"/>
      <c r="X1460" s="172"/>
      <c r="Y1460" s="172"/>
      <c r="Z1460" s="172"/>
      <c r="AA1460" s="195"/>
      <c r="AB1460" s="172"/>
    </row>
    <row r="1461" spans="1:28" ht="12.75" customHeight="1" x14ac:dyDescent="0.3">
      <c r="A1461" s="667"/>
      <c r="B1461" s="668" t="s">
        <v>6945</v>
      </c>
      <c r="C1461" s="160" t="s">
        <v>6615</v>
      </c>
      <c r="D1461" s="160"/>
      <c r="E1461" s="439">
        <v>6.43</v>
      </c>
      <c r="F1461" s="161">
        <v>500.04392958</v>
      </c>
      <c r="G1461" s="161"/>
      <c r="H1461" s="654"/>
      <c r="I1461" s="654"/>
      <c r="J1461" s="191"/>
      <c r="K1461" s="191">
        <v>190155.985430423</v>
      </c>
      <c r="L1461" s="191"/>
      <c r="M1461" s="191"/>
      <c r="N1461" s="191"/>
      <c r="O1461" s="191"/>
      <c r="P1461" s="191"/>
      <c r="Q1461" s="191"/>
      <c r="R1461" s="191"/>
      <c r="S1461" s="191"/>
      <c r="T1461" s="191"/>
      <c r="U1461" s="439"/>
      <c r="V1461" s="441"/>
      <c r="W1461" s="178"/>
      <c r="X1461" s="172"/>
      <c r="Y1461" s="172"/>
      <c r="Z1461" s="172"/>
      <c r="AA1461" s="195"/>
      <c r="AB1461" s="172"/>
    </row>
    <row r="1462" spans="1:28" ht="12.75" customHeight="1" x14ac:dyDescent="0.3">
      <c r="A1462" s="667"/>
      <c r="B1462" s="668" t="s">
        <v>6946</v>
      </c>
      <c r="C1462" s="160" t="s">
        <v>6947</v>
      </c>
      <c r="D1462" s="160"/>
      <c r="E1462" s="439">
        <v>0.24</v>
      </c>
      <c r="F1462" s="161">
        <v>723.91184276000001</v>
      </c>
      <c r="G1462" s="161"/>
      <c r="H1462" s="654"/>
      <c r="I1462" s="654"/>
      <c r="J1462" s="191"/>
      <c r="K1462" s="191">
        <v>309991.65303734801</v>
      </c>
      <c r="L1462" s="191"/>
      <c r="M1462" s="191"/>
      <c r="N1462" s="191"/>
      <c r="O1462" s="191"/>
      <c r="P1462" s="191"/>
      <c r="Q1462" s="191"/>
      <c r="R1462" s="191"/>
      <c r="S1462" s="191"/>
      <c r="T1462" s="191"/>
      <c r="U1462" s="439"/>
      <c r="V1462" s="441"/>
      <c r="W1462" s="178"/>
      <c r="X1462" s="172"/>
      <c r="Y1462" s="172"/>
      <c r="Z1462" s="172"/>
      <c r="AA1462" s="195"/>
      <c r="AB1462" s="172"/>
    </row>
    <row r="1463" spans="1:28" ht="12.75" customHeight="1" x14ac:dyDescent="0.3">
      <c r="A1463" s="667"/>
      <c r="B1463" s="668" t="s">
        <v>6948</v>
      </c>
      <c r="C1463" s="160" t="s">
        <v>6949</v>
      </c>
      <c r="D1463" s="160"/>
      <c r="E1463" s="439">
        <v>0.45</v>
      </c>
      <c r="F1463" s="161">
        <v>501.94267320400002</v>
      </c>
      <c r="G1463" s="161">
        <v>-9.9269999999999996</v>
      </c>
      <c r="H1463" s="654"/>
      <c r="I1463" s="654">
        <v>1.1712631502146</v>
      </c>
      <c r="J1463" s="191"/>
      <c r="K1463" s="191">
        <v>152436.86200287199</v>
      </c>
      <c r="L1463" s="191"/>
      <c r="M1463" s="191"/>
      <c r="N1463" s="191"/>
      <c r="O1463" s="191"/>
      <c r="P1463" s="191"/>
      <c r="Q1463" s="191"/>
      <c r="R1463" s="191"/>
      <c r="S1463" s="191"/>
      <c r="T1463" s="191"/>
      <c r="U1463" s="439"/>
      <c r="V1463" s="441"/>
      <c r="W1463" s="178"/>
      <c r="X1463" s="172"/>
      <c r="Y1463" s="172"/>
      <c r="Z1463" s="172"/>
      <c r="AA1463" s="195"/>
      <c r="AB1463" s="172"/>
    </row>
    <row r="1464" spans="1:28" ht="12.75" customHeight="1" x14ac:dyDescent="0.3">
      <c r="A1464" s="667"/>
      <c r="B1464" s="668" t="s">
        <v>6950</v>
      </c>
      <c r="C1464" s="160" t="s">
        <v>6951</v>
      </c>
      <c r="D1464" s="160"/>
      <c r="E1464" s="439">
        <v>29</v>
      </c>
      <c r="F1464" s="161">
        <v>607.02050898699997</v>
      </c>
      <c r="G1464" s="161"/>
      <c r="H1464" s="654"/>
      <c r="I1464" s="654"/>
      <c r="J1464" s="191"/>
      <c r="K1464" s="191"/>
      <c r="L1464" s="191"/>
      <c r="M1464" s="191"/>
      <c r="N1464" s="191"/>
      <c r="O1464" s="191"/>
      <c r="P1464" s="191"/>
      <c r="Q1464" s="191"/>
      <c r="R1464" s="191"/>
      <c r="S1464" s="191"/>
      <c r="T1464" s="191"/>
      <c r="U1464" s="439"/>
      <c r="V1464" s="441"/>
      <c r="W1464" s="178"/>
      <c r="X1464" s="172"/>
      <c r="Y1464" s="172"/>
      <c r="Z1464" s="172"/>
      <c r="AA1464" s="195"/>
      <c r="AB1464" s="172"/>
    </row>
    <row r="1465" spans="1:28" ht="12.75" customHeight="1" x14ac:dyDescent="0.3">
      <c r="A1465" s="667"/>
      <c r="B1465" s="668" t="s">
        <v>6952</v>
      </c>
      <c r="C1465" s="160" t="s">
        <v>6953</v>
      </c>
      <c r="D1465" s="160"/>
      <c r="E1465" s="439">
        <v>23</v>
      </c>
      <c r="F1465" s="161">
        <v>507.026896335</v>
      </c>
      <c r="G1465" s="161"/>
      <c r="H1465" s="654"/>
      <c r="I1465" s="654"/>
      <c r="J1465" s="191"/>
      <c r="K1465" s="191"/>
      <c r="L1465" s="191"/>
      <c r="M1465" s="191"/>
      <c r="N1465" s="191"/>
      <c r="O1465" s="191"/>
      <c r="P1465" s="191"/>
      <c r="Q1465" s="191"/>
      <c r="R1465" s="191"/>
      <c r="S1465" s="191"/>
      <c r="T1465" s="191"/>
      <c r="U1465" s="439"/>
      <c r="V1465" s="441"/>
      <c r="W1465" s="178"/>
      <c r="X1465" s="172"/>
      <c r="Y1465" s="172"/>
      <c r="Z1465" s="172"/>
      <c r="AA1465" s="195"/>
      <c r="AB1465" s="172"/>
    </row>
    <row r="1466" spans="1:28" ht="12.75" customHeight="1" x14ac:dyDescent="0.3">
      <c r="A1466" s="667"/>
      <c r="B1466" s="668" t="s">
        <v>6954</v>
      </c>
      <c r="C1466" s="160" t="s">
        <v>6955</v>
      </c>
      <c r="D1466" s="160"/>
      <c r="E1466" s="439">
        <v>44.363999999999997</v>
      </c>
      <c r="F1466" s="161">
        <v>703.92556201900004</v>
      </c>
      <c r="G1466" s="161">
        <v>-65.783000000000001</v>
      </c>
      <c r="H1466" s="654">
        <v>236.53855917999999</v>
      </c>
      <c r="I1466" s="654"/>
      <c r="J1466" s="191"/>
      <c r="K1466" s="191">
        <v>2561120.4269779399</v>
      </c>
      <c r="L1466" s="191"/>
      <c r="M1466" s="191"/>
      <c r="N1466" s="191"/>
      <c r="O1466" s="191"/>
      <c r="P1466" s="191"/>
      <c r="Q1466" s="191"/>
      <c r="R1466" s="191"/>
      <c r="S1466" s="191"/>
      <c r="T1466" s="191"/>
      <c r="U1466" s="439"/>
      <c r="V1466" s="441"/>
      <c r="W1466" s="178"/>
      <c r="X1466" s="172"/>
      <c r="Y1466" s="172"/>
      <c r="Z1466" s="172"/>
      <c r="AA1466" s="195"/>
      <c r="AB1466" s="172"/>
    </row>
    <row r="1467" spans="1:28" ht="12.75" customHeight="1" x14ac:dyDescent="0.3">
      <c r="A1467" s="667"/>
      <c r="B1467" s="668" t="s">
        <v>6956</v>
      </c>
      <c r="C1467" s="160" t="s">
        <v>6957</v>
      </c>
      <c r="D1467" s="160"/>
      <c r="E1467" s="439">
        <v>1.23</v>
      </c>
      <c r="F1467" s="161">
        <v>991.83996000000002</v>
      </c>
      <c r="G1467" s="161"/>
      <c r="H1467" s="654"/>
      <c r="I1467" s="654"/>
      <c r="J1467" s="191"/>
      <c r="K1467" s="191">
        <v>0.76249148827840396</v>
      </c>
      <c r="L1467" s="191"/>
      <c r="M1467" s="191"/>
      <c r="N1467" s="191"/>
      <c r="O1467" s="191"/>
      <c r="P1467" s="191"/>
      <c r="Q1467" s="191"/>
      <c r="R1467" s="191"/>
      <c r="S1467" s="191"/>
      <c r="T1467" s="191"/>
      <c r="U1467" s="439"/>
      <c r="V1467" s="441"/>
      <c r="W1467" s="178"/>
      <c r="X1467" s="172"/>
      <c r="Y1467" s="172"/>
      <c r="Z1467" s="172"/>
      <c r="AA1467" s="195"/>
      <c r="AB1467" s="172"/>
    </row>
    <row r="1468" spans="1:28" ht="12.75" customHeight="1" x14ac:dyDescent="0.3">
      <c r="A1468" s="667"/>
      <c r="B1468" s="668" t="s">
        <v>6958</v>
      </c>
      <c r="C1468" s="160" t="s">
        <v>6959</v>
      </c>
      <c r="D1468" s="160"/>
      <c r="E1468" s="439">
        <v>8.57</v>
      </c>
      <c r="F1468" s="161">
        <v>531.06682920000003</v>
      </c>
      <c r="G1468" s="161"/>
      <c r="H1468" s="654"/>
      <c r="I1468" s="654"/>
      <c r="J1468" s="191"/>
      <c r="K1468" s="191">
        <v>94.119584224060802</v>
      </c>
      <c r="L1468" s="191"/>
      <c r="M1468" s="191"/>
      <c r="N1468" s="191"/>
      <c r="O1468" s="191"/>
      <c r="P1468" s="191"/>
      <c r="Q1468" s="191"/>
      <c r="R1468" s="191"/>
      <c r="S1468" s="191"/>
      <c r="T1468" s="191"/>
      <c r="U1468" s="439"/>
      <c r="V1468" s="441"/>
      <c r="W1468" s="178"/>
      <c r="X1468" s="172"/>
      <c r="Y1468" s="172"/>
      <c r="Z1468" s="172"/>
      <c r="AA1468" s="195"/>
      <c r="AB1468" s="172"/>
    </row>
    <row r="1469" spans="1:28" ht="12.75" customHeight="1" x14ac:dyDescent="0.3">
      <c r="A1469" s="667"/>
      <c r="B1469" s="668" t="s">
        <v>6960</v>
      </c>
      <c r="C1469" s="160" t="s">
        <v>6961</v>
      </c>
      <c r="D1469" s="160"/>
      <c r="E1469" s="439">
        <v>8.74</v>
      </c>
      <c r="F1469" s="161">
        <v>214.022861922</v>
      </c>
      <c r="G1469" s="161"/>
      <c r="H1469" s="654"/>
      <c r="I1469" s="654"/>
      <c r="J1469" s="191"/>
      <c r="K1469" s="191">
        <v>181.802562377426</v>
      </c>
      <c r="L1469" s="191"/>
      <c r="M1469" s="191"/>
      <c r="N1469" s="191"/>
      <c r="O1469" s="191"/>
      <c r="P1469" s="191"/>
      <c r="Q1469" s="191"/>
      <c r="R1469" s="191"/>
      <c r="S1469" s="191"/>
      <c r="T1469" s="191"/>
      <c r="U1469" s="439"/>
      <c r="V1469" s="441"/>
      <c r="W1469" s="178"/>
      <c r="X1469" s="172"/>
      <c r="Y1469" s="172"/>
      <c r="Z1469" s="172"/>
      <c r="AA1469" s="195"/>
      <c r="AB1469" s="172"/>
    </row>
    <row r="1470" spans="1:28" ht="12.75" customHeight="1" x14ac:dyDescent="0.3">
      <c r="A1470" s="667"/>
      <c r="B1470" s="668" t="s">
        <v>6962</v>
      </c>
      <c r="C1470" s="160" t="s">
        <v>6963</v>
      </c>
      <c r="D1470" s="160"/>
      <c r="E1470" s="439"/>
      <c r="F1470" s="161">
        <v>351.99126059999998</v>
      </c>
      <c r="G1470" s="161"/>
      <c r="H1470" s="654"/>
      <c r="I1470" s="654"/>
      <c r="J1470" s="191"/>
      <c r="K1470" s="191">
        <v>4586.37963115824</v>
      </c>
      <c r="L1470" s="191"/>
      <c r="M1470" s="191"/>
      <c r="N1470" s="191"/>
      <c r="O1470" s="191"/>
      <c r="P1470" s="191"/>
      <c r="Q1470" s="191"/>
      <c r="R1470" s="191"/>
      <c r="S1470" s="191"/>
      <c r="T1470" s="191"/>
      <c r="U1470" s="439"/>
      <c r="V1470" s="441"/>
      <c r="W1470" s="178"/>
      <c r="X1470" s="172"/>
      <c r="Y1470" s="172"/>
      <c r="Z1470" s="172"/>
      <c r="AA1470" s="195"/>
      <c r="AB1470" s="172"/>
    </row>
    <row r="1471" spans="1:28" ht="12.75" customHeight="1" x14ac:dyDescent="0.3">
      <c r="A1471" s="667"/>
      <c r="B1471" s="668" t="s">
        <v>6964</v>
      </c>
      <c r="C1471" s="160" t="s">
        <v>6965</v>
      </c>
      <c r="D1471" s="160"/>
      <c r="E1471" s="439">
        <v>36</v>
      </c>
      <c r="F1471" s="161">
        <v>528.28382763699994</v>
      </c>
      <c r="G1471" s="161"/>
      <c r="H1471" s="654"/>
      <c r="I1471" s="654"/>
      <c r="J1471" s="191"/>
      <c r="K1471" s="191">
        <v>176725817.78419301</v>
      </c>
      <c r="L1471" s="191"/>
      <c r="M1471" s="191"/>
      <c r="N1471" s="191"/>
      <c r="O1471" s="191"/>
      <c r="P1471" s="191"/>
      <c r="Q1471" s="191"/>
      <c r="R1471" s="191"/>
      <c r="S1471" s="191"/>
      <c r="T1471" s="191"/>
      <c r="U1471" s="439"/>
      <c r="V1471" s="441"/>
      <c r="W1471" s="178"/>
      <c r="X1471" s="172"/>
      <c r="Y1471" s="172"/>
      <c r="Z1471" s="172"/>
      <c r="AA1471" s="195"/>
      <c r="AB1471" s="172"/>
    </row>
    <row r="1472" spans="1:28" ht="12.75" customHeight="1" x14ac:dyDescent="0.3">
      <c r="A1472" s="667"/>
      <c r="B1472" s="668" t="s">
        <v>6966</v>
      </c>
      <c r="C1472" s="160" t="s">
        <v>6967</v>
      </c>
      <c r="D1472" s="160"/>
      <c r="E1472" s="439">
        <v>36</v>
      </c>
      <c r="F1472" s="161">
        <v>528.28382763699994</v>
      </c>
      <c r="G1472" s="161"/>
      <c r="H1472" s="654"/>
      <c r="I1472" s="654"/>
      <c r="J1472" s="191"/>
      <c r="K1472" s="191">
        <v>176725817.78419301</v>
      </c>
      <c r="L1472" s="191"/>
      <c r="M1472" s="191"/>
      <c r="N1472" s="191"/>
      <c r="O1472" s="191"/>
      <c r="P1472" s="191"/>
      <c r="Q1472" s="191"/>
      <c r="R1472" s="191"/>
      <c r="S1472" s="191"/>
      <c r="T1472" s="191"/>
      <c r="U1472" s="439"/>
      <c r="V1472" s="441"/>
      <c r="W1472" s="178"/>
      <c r="X1472" s="172"/>
      <c r="Y1472" s="172"/>
      <c r="Z1472" s="172"/>
      <c r="AA1472" s="195"/>
      <c r="AB1472" s="172"/>
    </row>
    <row r="1473" spans="1:28" ht="12.75" customHeight="1" x14ac:dyDescent="0.3">
      <c r="A1473" s="667"/>
      <c r="B1473" s="668" t="s">
        <v>6968</v>
      </c>
      <c r="C1473" s="160" t="s">
        <v>6969</v>
      </c>
      <c r="D1473" s="160"/>
      <c r="E1473" s="439">
        <v>35</v>
      </c>
      <c r="F1473" s="161">
        <v>526.26817757200001</v>
      </c>
      <c r="G1473" s="161"/>
      <c r="H1473" s="654"/>
      <c r="I1473" s="654"/>
      <c r="J1473" s="191"/>
      <c r="K1473" s="191">
        <v>194719748.52167299</v>
      </c>
      <c r="L1473" s="191"/>
      <c r="M1473" s="191"/>
      <c r="N1473" s="191"/>
      <c r="O1473" s="191"/>
      <c r="P1473" s="191"/>
      <c r="Q1473" s="191"/>
      <c r="R1473" s="191"/>
      <c r="S1473" s="191"/>
      <c r="T1473" s="191"/>
      <c r="U1473" s="439"/>
      <c r="V1473" s="441"/>
      <c r="W1473" s="178"/>
      <c r="X1473" s="172"/>
      <c r="Y1473" s="172"/>
      <c r="Z1473" s="172"/>
      <c r="AA1473" s="195"/>
      <c r="AB1473" s="172"/>
    </row>
    <row r="1474" spans="1:28" ht="12.75" customHeight="1" x14ac:dyDescent="0.3">
      <c r="A1474" s="667"/>
      <c r="B1474" s="668" t="s">
        <v>6970</v>
      </c>
      <c r="C1474" s="160" t="s">
        <v>6971</v>
      </c>
      <c r="D1474" s="160"/>
      <c r="E1474" s="439">
        <v>35</v>
      </c>
      <c r="F1474" s="161">
        <v>528.28382763699994</v>
      </c>
      <c r="G1474" s="161"/>
      <c r="H1474" s="654"/>
      <c r="I1474" s="654"/>
      <c r="J1474" s="191"/>
      <c r="K1474" s="191">
        <v>210329408.264485</v>
      </c>
      <c r="L1474" s="191"/>
      <c r="M1474" s="191"/>
      <c r="N1474" s="191"/>
      <c r="O1474" s="191"/>
      <c r="P1474" s="191"/>
      <c r="Q1474" s="191"/>
      <c r="R1474" s="191"/>
      <c r="S1474" s="191"/>
      <c r="T1474" s="191"/>
      <c r="U1474" s="439"/>
      <c r="V1474" s="441"/>
      <c r="W1474" s="178"/>
      <c r="X1474" s="172"/>
      <c r="Y1474" s="172"/>
      <c r="Z1474" s="172"/>
      <c r="AA1474" s="195"/>
      <c r="AB1474" s="172"/>
    </row>
    <row r="1475" spans="1:28" ht="12.75" customHeight="1" x14ac:dyDescent="0.3">
      <c r="A1475" s="667"/>
      <c r="B1475" s="668" t="s">
        <v>6972</v>
      </c>
      <c r="C1475" s="160" t="s">
        <v>6973</v>
      </c>
      <c r="D1475" s="160"/>
      <c r="E1475" s="439">
        <v>35</v>
      </c>
      <c r="F1475" s="161">
        <v>528.28382763699994</v>
      </c>
      <c r="G1475" s="161"/>
      <c r="H1475" s="654"/>
      <c r="I1475" s="654"/>
      <c r="J1475" s="191"/>
      <c r="K1475" s="191">
        <v>210329408.264485</v>
      </c>
      <c r="L1475" s="191"/>
      <c r="M1475" s="191"/>
      <c r="N1475" s="191"/>
      <c r="O1475" s="191"/>
      <c r="P1475" s="191"/>
      <c r="Q1475" s="191"/>
      <c r="R1475" s="191"/>
      <c r="S1475" s="191"/>
      <c r="T1475" s="191"/>
      <c r="U1475" s="439"/>
      <c r="V1475" s="441"/>
      <c r="W1475" s="178"/>
      <c r="X1475" s="172"/>
      <c r="Y1475" s="172"/>
      <c r="Z1475" s="172"/>
      <c r="AA1475" s="195"/>
      <c r="AB1475" s="172"/>
    </row>
    <row r="1476" spans="1:28" ht="12.75" customHeight="1" x14ac:dyDescent="0.3">
      <c r="A1476" s="667"/>
      <c r="B1476" s="668" t="s">
        <v>6974</v>
      </c>
      <c r="C1476" s="160" t="s">
        <v>6975</v>
      </c>
      <c r="D1476" s="160"/>
      <c r="E1476" s="439">
        <v>35</v>
      </c>
      <c r="F1476" s="161">
        <v>512.28891301700003</v>
      </c>
      <c r="G1476" s="161"/>
      <c r="H1476" s="654"/>
      <c r="I1476" s="654"/>
      <c r="J1476" s="191"/>
      <c r="K1476" s="191">
        <v>844325683.00250101</v>
      </c>
      <c r="L1476" s="191"/>
      <c r="M1476" s="191"/>
      <c r="N1476" s="191"/>
      <c r="O1476" s="191"/>
      <c r="P1476" s="191"/>
      <c r="Q1476" s="191"/>
      <c r="R1476" s="191"/>
      <c r="S1476" s="191"/>
      <c r="T1476" s="191"/>
      <c r="U1476" s="439"/>
      <c r="V1476" s="441"/>
      <c r="W1476" s="178"/>
      <c r="X1476" s="172"/>
      <c r="Y1476" s="172"/>
      <c r="Z1476" s="172"/>
      <c r="AA1476" s="195"/>
      <c r="AB1476" s="172"/>
    </row>
    <row r="1477" spans="1:28" ht="12.75" customHeight="1" x14ac:dyDescent="0.3">
      <c r="A1477" s="667"/>
      <c r="B1477" s="668" t="s">
        <v>6976</v>
      </c>
      <c r="C1477" s="160" t="s">
        <v>6977</v>
      </c>
      <c r="D1477" s="160"/>
      <c r="E1477" s="439"/>
      <c r="F1477" s="161">
        <v>828.24582185400004</v>
      </c>
      <c r="G1477" s="161"/>
      <c r="H1477" s="654"/>
      <c r="I1477" s="654"/>
      <c r="J1477" s="191"/>
      <c r="K1477" s="191">
        <v>35055809.485193104</v>
      </c>
      <c r="L1477" s="191"/>
      <c r="M1477" s="191"/>
      <c r="N1477" s="191"/>
      <c r="O1477" s="191"/>
      <c r="P1477" s="191"/>
      <c r="Q1477" s="191"/>
      <c r="R1477" s="191"/>
      <c r="S1477" s="191"/>
      <c r="T1477" s="191"/>
      <c r="U1477" s="439"/>
      <c r="V1477" s="441"/>
      <c r="W1477" s="178"/>
      <c r="X1477" s="172"/>
      <c r="Y1477" s="172"/>
      <c r="Z1477" s="172"/>
      <c r="AA1477" s="195"/>
      <c r="AB1477" s="172"/>
    </row>
    <row r="1478" spans="1:28" ht="12.75" customHeight="1" x14ac:dyDescent="0.3">
      <c r="A1478" s="667"/>
      <c r="B1478" s="668" t="s">
        <v>6978</v>
      </c>
      <c r="C1478" s="160" t="s">
        <v>6979</v>
      </c>
      <c r="D1478" s="160"/>
      <c r="E1478" s="439"/>
      <c r="F1478" s="161">
        <v>728.25220920200002</v>
      </c>
      <c r="G1478" s="161"/>
      <c r="H1478" s="654"/>
      <c r="I1478" s="654"/>
      <c r="J1478" s="191"/>
      <c r="K1478" s="191">
        <v>26946353.323504701</v>
      </c>
      <c r="L1478" s="191"/>
      <c r="M1478" s="191"/>
      <c r="N1478" s="191"/>
      <c r="O1478" s="191"/>
      <c r="P1478" s="191"/>
      <c r="Q1478" s="191"/>
      <c r="R1478" s="191"/>
      <c r="S1478" s="191"/>
      <c r="T1478" s="191"/>
      <c r="U1478" s="439"/>
      <c r="V1478" s="441"/>
      <c r="W1478" s="178"/>
      <c r="X1478" s="172"/>
      <c r="Y1478" s="172"/>
      <c r="Z1478" s="172"/>
      <c r="AA1478" s="195"/>
      <c r="AB1478" s="172"/>
    </row>
    <row r="1479" spans="1:28" ht="12.75" customHeight="1" x14ac:dyDescent="0.3">
      <c r="A1479" s="667"/>
      <c r="B1479" s="668" t="s">
        <v>6980</v>
      </c>
      <c r="C1479" s="160" t="s">
        <v>6981</v>
      </c>
      <c r="D1479" s="160"/>
      <c r="E1479" s="439"/>
      <c r="F1479" s="161">
        <v>628.25859654999999</v>
      </c>
      <c r="G1479" s="161"/>
      <c r="H1479" s="654"/>
      <c r="I1479" s="654"/>
      <c r="J1479" s="191"/>
      <c r="K1479" s="191">
        <v>10071867.4119689</v>
      </c>
      <c r="L1479" s="191"/>
      <c r="M1479" s="191"/>
      <c r="N1479" s="191"/>
      <c r="O1479" s="191"/>
      <c r="P1479" s="191"/>
      <c r="Q1479" s="191"/>
      <c r="R1479" s="191"/>
      <c r="S1479" s="191"/>
      <c r="T1479" s="191"/>
      <c r="U1479" s="439"/>
      <c r="V1479" s="441"/>
      <c r="W1479" s="178"/>
      <c r="X1479" s="172"/>
      <c r="Y1479" s="172"/>
      <c r="Z1479" s="172"/>
      <c r="AA1479" s="195"/>
      <c r="AB1479" s="172"/>
    </row>
    <row r="1480" spans="1:28" ht="12.75" customHeight="1" x14ac:dyDescent="0.3">
      <c r="A1480" s="667"/>
      <c r="B1480" s="668" t="s">
        <v>6982</v>
      </c>
      <c r="C1480" s="160" t="s">
        <v>6983</v>
      </c>
      <c r="D1480" s="160"/>
      <c r="E1480" s="439">
        <v>6.28</v>
      </c>
      <c r="F1480" s="161">
        <v>700.31741339600001</v>
      </c>
      <c r="G1480" s="161"/>
      <c r="H1480" s="654"/>
      <c r="I1480" s="654"/>
      <c r="J1480" s="191"/>
      <c r="K1480" s="191">
        <v>14601584968.1178</v>
      </c>
      <c r="L1480" s="191"/>
      <c r="M1480" s="191"/>
      <c r="N1480" s="191"/>
      <c r="O1480" s="191"/>
      <c r="P1480" s="191"/>
      <c r="Q1480" s="191"/>
      <c r="R1480" s="191"/>
      <c r="S1480" s="191"/>
      <c r="T1480" s="191"/>
      <c r="U1480" s="439"/>
      <c r="V1480" s="441"/>
      <c r="W1480" s="178"/>
      <c r="X1480" s="172"/>
      <c r="Y1480" s="172"/>
      <c r="Z1480" s="172"/>
      <c r="AA1480" s="195"/>
      <c r="AB1480" s="172"/>
    </row>
    <row r="1481" spans="1:28" ht="12.75" customHeight="1" x14ac:dyDescent="0.3">
      <c r="A1481" s="667"/>
      <c r="B1481" s="668" t="s">
        <v>6984</v>
      </c>
      <c r="C1481" s="160" t="s">
        <v>6985</v>
      </c>
      <c r="D1481" s="160"/>
      <c r="E1481" s="439">
        <v>54</v>
      </c>
      <c r="F1481" s="161">
        <v>931.24843699799999</v>
      </c>
      <c r="G1481" s="161"/>
      <c r="H1481" s="654"/>
      <c r="I1481" s="654"/>
      <c r="J1481" s="191"/>
      <c r="K1481" s="191">
        <v>613479.42238812905</v>
      </c>
      <c r="L1481" s="191"/>
      <c r="M1481" s="191"/>
      <c r="N1481" s="191"/>
      <c r="O1481" s="191"/>
      <c r="P1481" s="191"/>
      <c r="Q1481" s="191"/>
      <c r="R1481" s="191"/>
      <c r="S1481" s="191"/>
      <c r="T1481" s="191"/>
      <c r="U1481" s="439"/>
      <c r="V1481" s="441"/>
      <c r="W1481" s="178"/>
      <c r="X1481" s="172"/>
      <c r="Y1481" s="172"/>
      <c r="Z1481" s="172"/>
      <c r="AA1481" s="195"/>
      <c r="AB1481" s="172"/>
    </row>
    <row r="1482" spans="1:28" ht="12.75" customHeight="1" x14ac:dyDescent="0.3">
      <c r="A1482" s="667"/>
      <c r="B1482" s="668" t="s">
        <v>6986</v>
      </c>
      <c r="C1482" s="160" t="s">
        <v>6987</v>
      </c>
      <c r="D1482" s="160"/>
      <c r="E1482" s="439"/>
      <c r="F1482" s="161">
        <v>343.98706615100002</v>
      </c>
      <c r="G1482" s="161"/>
      <c r="H1482" s="654"/>
      <c r="I1482" s="654"/>
      <c r="J1482" s="191"/>
      <c r="K1482" s="191">
        <v>6334.0283081978596</v>
      </c>
      <c r="L1482" s="191"/>
      <c r="M1482" s="191"/>
      <c r="N1482" s="191"/>
      <c r="O1482" s="191"/>
      <c r="P1482" s="191"/>
      <c r="Q1482" s="191"/>
      <c r="R1482" s="191"/>
      <c r="S1482" s="191"/>
      <c r="T1482" s="191"/>
      <c r="U1482" s="439"/>
      <c r="V1482" s="441"/>
      <c r="W1482" s="178"/>
      <c r="X1482" s="172"/>
      <c r="Y1482" s="172"/>
      <c r="Z1482" s="172"/>
      <c r="AA1482" s="195"/>
      <c r="AB1482" s="172"/>
    </row>
    <row r="1483" spans="1:28" ht="12.75" customHeight="1" x14ac:dyDescent="0.3">
      <c r="A1483" s="667"/>
      <c r="B1483" s="668" t="s">
        <v>6988</v>
      </c>
      <c r="C1483" s="160" t="s">
        <v>6989</v>
      </c>
      <c r="D1483" s="160"/>
      <c r="E1483" s="439">
        <v>3.85</v>
      </c>
      <c r="F1483" s="161">
        <v>850.13094668400004</v>
      </c>
      <c r="G1483" s="161"/>
      <c r="H1483" s="654"/>
      <c r="I1483" s="654"/>
      <c r="J1483" s="191"/>
      <c r="K1483" s="191">
        <v>85506.671288468395</v>
      </c>
      <c r="L1483" s="191"/>
      <c r="M1483" s="191"/>
      <c r="N1483" s="191"/>
      <c r="O1483" s="191"/>
      <c r="P1483" s="191"/>
      <c r="Q1483" s="191"/>
      <c r="R1483" s="191"/>
      <c r="S1483" s="191"/>
      <c r="T1483" s="191"/>
      <c r="U1483" s="439"/>
      <c r="V1483" s="441"/>
      <c r="W1483" s="178"/>
      <c r="X1483" s="172"/>
      <c r="Y1483" s="172"/>
      <c r="Z1483" s="172"/>
      <c r="AA1483" s="195"/>
      <c r="AB1483" s="172"/>
    </row>
    <row r="1484" spans="1:28" ht="12.75" customHeight="1" x14ac:dyDescent="0.3">
      <c r="A1484" s="667"/>
      <c r="B1484" s="668" t="s">
        <v>6990</v>
      </c>
      <c r="C1484" s="160" t="s">
        <v>6991</v>
      </c>
      <c r="D1484" s="160"/>
      <c r="E1484" s="439">
        <v>8.75</v>
      </c>
      <c r="F1484" s="161">
        <v>654.00825999999995</v>
      </c>
      <c r="G1484" s="161"/>
      <c r="H1484" s="654"/>
      <c r="I1484" s="654"/>
      <c r="J1484" s="191"/>
      <c r="K1484" s="191">
        <v>10.523010409296299</v>
      </c>
      <c r="L1484" s="191"/>
      <c r="M1484" s="191"/>
      <c r="N1484" s="191"/>
      <c r="O1484" s="191"/>
      <c r="P1484" s="191"/>
      <c r="Q1484" s="191"/>
      <c r="R1484" s="191"/>
      <c r="S1484" s="191"/>
      <c r="T1484" s="191"/>
      <c r="U1484" s="439"/>
      <c r="V1484" s="441"/>
      <c r="W1484" s="178"/>
      <c r="X1484" s="172"/>
      <c r="Y1484" s="172"/>
      <c r="Z1484" s="172"/>
      <c r="AA1484" s="195"/>
      <c r="AB1484" s="172"/>
    </row>
    <row r="1485" spans="1:28" ht="12.75" customHeight="1" x14ac:dyDescent="0.3">
      <c r="A1485" s="667"/>
      <c r="B1485" s="668" t="s">
        <v>6992</v>
      </c>
      <c r="C1485" s="160" t="s">
        <v>6993</v>
      </c>
      <c r="D1485" s="160"/>
      <c r="E1485" s="439">
        <v>8.26</v>
      </c>
      <c r="F1485" s="161">
        <v>712.98949000000005</v>
      </c>
      <c r="G1485" s="161"/>
      <c r="H1485" s="654"/>
      <c r="I1485" s="654"/>
      <c r="J1485" s="191"/>
      <c r="K1485" s="191">
        <v>1175.9801740658399</v>
      </c>
      <c r="L1485" s="191"/>
      <c r="M1485" s="191"/>
      <c r="N1485" s="191"/>
      <c r="O1485" s="191"/>
      <c r="P1485" s="191"/>
      <c r="Q1485" s="191"/>
      <c r="R1485" s="191"/>
      <c r="S1485" s="191"/>
      <c r="T1485" s="191"/>
      <c r="U1485" s="439"/>
      <c r="V1485" s="441"/>
      <c r="W1485" s="178"/>
      <c r="X1485" s="172"/>
      <c r="Y1485" s="172"/>
      <c r="Z1485" s="172"/>
      <c r="AA1485" s="195"/>
      <c r="AB1485" s="172"/>
    </row>
    <row r="1486" spans="1:28" ht="12.75" customHeight="1" x14ac:dyDescent="0.3">
      <c r="A1486" s="667"/>
      <c r="B1486" s="668" t="s">
        <v>6994</v>
      </c>
      <c r="C1486" s="160" t="s">
        <v>6995</v>
      </c>
      <c r="D1486" s="160"/>
      <c r="E1486" s="439">
        <v>7.76</v>
      </c>
      <c r="F1486" s="161">
        <v>662.99269000000004</v>
      </c>
      <c r="G1486" s="161"/>
      <c r="H1486" s="654"/>
      <c r="I1486" s="654"/>
      <c r="J1486" s="191"/>
      <c r="K1486" s="191">
        <v>123.742817429658</v>
      </c>
      <c r="L1486" s="191"/>
      <c r="M1486" s="191"/>
      <c r="N1486" s="191"/>
      <c r="O1486" s="191"/>
      <c r="P1486" s="191"/>
      <c r="Q1486" s="191"/>
      <c r="R1486" s="191"/>
      <c r="S1486" s="191"/>
      <c r="T1486" s="191"/>
      <c r="U1486" s="439"/>
      <c r="V1486" s="441"/>
      <c r="W1486" s="178"/>
      <c r="X1486" s="172"/>
      <c r="Y1486" s="172"/>
      <c r="Z1486" s="172"/>
      <c r="AA1486" s="195"/>
      <c r="AB1486" s="172"/>
    </row>
    <row r="1487" spans="1:28" ht="12.75" customHeight="1" x14ac:dyDescent="0.3">
      <c r="A1487" s="667"/>
      <c r="B1487" s="668" t="s">
        <v>6996</v>
      </c>
      <c r="C1487" s="160" t="s">
        <v>6997</v>
      </c>
      <c r="D1487" s="160"/>
      <c r="E1487" s="439">
        <v>7.18</v>
      </c>
      <c r="F1487" s="161">
        <v>832.02661000000001</v>
      </c>
      <c r="G1487" s="161"/>
      <c r="H1487" s="654"/>
      <c r="I1487" s="654"/>
      <c r="J1487" s="191"/>
      <c r="K1487" s="191">
        <v>2097.97350861924</v>
      </c>
      <c r="L1487" s="191"/>
      <c r="M1487" s="191"/>
      <c r="N1487" s="191"/>
      <c r="O1487" s="191"/>
      <c r="P1487" s="191"/>
      <c r="Q1487" s="191"/>
      <c r="R1487" s="191"/>
      <c r="S1487" s="191"/>
      <c r="T1487" s="191"/>
      <c r="U1487" s="439"/>
      <c r="V1487" s="441"/>
      <c r="W1487" s="178"/>
      <c r="X1487" s="172"/>
      <c r="Y1487" s="172"/>
      <c r="Z1487" s="172"/>
      <c r="AA1487" s="195"/>
      <c r="AB1487" s="172"/>
    </row>
    <row r="1488" spans="1:28" ht="12.75" customHeight="1" x14ac:dyDescent="0.3">
      <c r="A1488" s="667" t="s">
        <v>4414</v>
      </c>
      <c r="B1488" s="668" t="s">
        <v>6998</v>
      </c>
      <c r="C1488" s="160" t="s">
        <v>6999</v>
      </c>
      <c r="D1488" s="160"/>
      <c r="E1488" s="439"/>
      <c r="F1488" s="161"/>
      <c r="G1488" s="161"/>
      <c r="H1488" s="654"/>
      <c r="I1488" s="654"/>
      <c r="J1488" s="191"/>
      <c r="K1488" s="191"/>
      <c r="L1488" s="191"/>
      <c r="M1488" s="191"/>
      <c r="N1488" s="191"/>
      <c r="O1488" s="191"/>
      <c r="P1488" s="191"/>
      <c r="Q1488" s="191"/>
      <c r="R1488" s="191"/>
      <c r="S1488" s="191"/>
      <c r="T1488" s="191"/>
      <c r="U1488" s="439"/>
      <c r="V1488" s="441"/>
      <c r="W1488" s="178"/>
      <c r="X1488" s="172"/>
      <c r="Y1488" s="172"/>
      <c r="Z1488" s="172"/>
      <c r="AA1488" s="195"/>
      <c r="AB1488" s="172"/>
    </row>
    <row r="1489" spans="1:28" ht="12.75" customHeight="1" x14ac:dyDescent="0.3">
      <c r="A1489" s="667"/>
      <c r="B1489" s="668" t="s">
        <v>7000</v>
      </c>
      <c r="C1489" s="160" t="s">
        <v>7001</v>
      </c>
      <c r="D1489" s="160"/>
      <c r="E1489" s="439">
        <v>6.91</v>
      </c>
      <c r="F1489" s="161">
        <v>773.01062000000002</v>
      </c>
      <c r="G1489" s="161"/>
      <c r="H1489" s="654"/>
      <c r="I1489" s="654"/>
      <c r="J1489" s="191"/>
      <c r="K1489" s="191">
        <v>41.121599595081598</v>
      </c>
      <c r="L1489" s="191"/>
      <c r="M1489" s="191"/>
      <c r="N1489" s="191"/>
      <c r="O1489" s="191"/>
      <c r="P1489" s="191"/>
      <c r="Q1489" s="191"/>
      <c r="R1489" s="191"/>
      <c r="S1489" s="191"/>
      <c r="T1489" s="191"/>
      <c r="U1489" s="439"/>
      <c r="V1489" s="441"/>
      <c r="W1489" s="178"/>
      <c r="X1489" s="172"/>
      <c r="Y1489" s="172"/>
      <c r="Z1489" s="172"/>
      <c r="AA1489" s="195"/>
      <c r="AB1489" s="172"/>
    </row>
    <row r="1490" spans="1:28" ht="12.75" customHeight="1" x14ac:dyDescent="0.3">
      <c r="A1490" s="667"/>
      <c r="B1490" s="668" t="s">
        <v>7002</v>
      </c>
      <c r="C1490" s="160" t="s">
        <v>7003</v>
      </c>
      <c r="D1490" s="160"/>
      <c r="E1490" s="439">
        <v>6.91</v>
      </c>
      <c r="F1490" s="161">
        <v>873.00423999999998</v>
      </c>
      <c r="G1490" s="161"/>
      <c r="H1490" s="654"/>
      <c r="I1490" s="654"/>
      <c r="J1490" s="191"/>
      <c r="K1490" s="191">
        <v>1180.51089619354</v>
      </c>
      <c r="L1490" s="191"/>
      <c r="M1490" s="191"/>
      <c r="N1490" s="191"/>
      <c r="O1490" s="191"/>
      <c r="P1490" s="191"/>
      <c r="Q1490" s="191"/>
      <c r="R1490" s="191"/>
      <c r="S1490" s="191"/>
      <c r="T1490" s="191"/>
      <c r="U1490" s="439"/>
      <c r="V1490" s="441"/>
      <c r="W1490" s="178"/>
      <c r="X1490" s="172"/>
      <c r="Y1490" s="172"/>
      <c r="Z1490" s="172"/>
      <c r="AA1490" s="195"/>
      <c r="AB1490" s="172"/>
    </row>
    <row r="1491" spans="1:28" ht="12.75" customHeight="1" x14ac:dyDescent="0.3">
      <c r="A1491" s="667"/>
      <c r="B1491" s="668" t="s">
        <v>7004</v>
      </c>
      <c r="C1491" s="160" t="s">
        <v>7005</v>
      </c>
      <c r="D1491" s="160"/>
      <c r="E1491" s="439">
        <v>6.91</v>
      </c>
      <c r="F1491" s="161">
        <v>972.99784999999997</v>
      </c>
      <c r="G1491" s="161"/>
      <c r="H1491" s="654"/>
      <c r="I1491" s="654"/>
      <c r="J1491" s="191"/>
      <c r="K1491" s="191">
        <v>2068.5213129723002</v>
      </c>
      <c r="L1491" s="191"/>
      <c r="M1491" s="191"/>
      <c r="N1491" s="191"/>
      <c r="O1491" s="191"/>
      <c r="P1491" s="191"/>
      <c r="Q1491" s="191"/>
      <c r="R1491" s="191"/>
      <c r="S1491" s="191"/>
      <c r="T1491" s="191"/>
      <c r="U1491" s="439"/>
      <c r="V1491" s="441"/>
      <c r="W1491" s="178"/>
      <c r="X1491" s="172"/>
      <c r="Y1491" s="172"/>
      <c r="Z1491" s="172"/>
      <c r="AA1491" s="195"/>
      <c r="AB1491" s="172"/>
    </row>
    <row r="1492" spans="1:28" ht="12.75" customHeight="1" x14ac:dyDescent="0.3">
      <c r="A1492" s="667"/>
      <c r="B1492" s="668" t="s">
        <v>7006</v>
      </c>
      <c r="C1492" s="160" t="s">
        <v>7007</v>
      </c>
      <c r="D1492" s="160"/>
      <c r="E1492" s="439">
        <v>6.46</v>
      </c>
      <c r="F1492" s="161">
        <v>923.00103999999999</v>
      </c>
      <c r="G1492" s="161"/>
      <c r="H1492" s="654"/>
      <c r="I1492" s="654"/>
      <c r="J1492" s="191"/>
      <c r="K1492" s="191">
        <v>1465.07548028991</v>
      </c>
      <c r="L1492" s="191"/>
      <c r="M1492" s="191"/>
      <c r="N1492" s="191"/>
      <c r="O1492" s="191"/>
      <c r="P1492" s="191"/>
      <c r="Q1492" s="191"/>
      <c r="R1492" s="191"/>
      <c r="S1492" s="191"/>
      <c r="T1492" s="191"/>
      <c r="U1492" s="439"/>
      <c r="V1492" s="441"/>
      <c r="W1492" s="178"/>
      <c r="X1492" s="172"/>
      <c r="Y1492" s="172"/>
      <c r="Z1492" s="172"/>
      <c r="AA1492" s="195"/>
      <c r="AB1492" s="172"/>
    </row>
    <row r="1493" spans="1:28" ht="12.75" customHeight="1" x14ac:dyDescent="0.3">
      <c r="A1493" s="667"/>
      <c r="B1493" s="668" t="s">
        <v>7008</v>
      </c>
      <c r="C1493" s="160" t="s">
        <v>7009</v>
      </c>
      <c r="D1493" s="160"/>
      <c r="E1493" s="439">
        <v>6.46</v>
      </c>
      <c r="F1493" s="161">
        <v>823.00743</v>
      </c>
      <c r="G1493" s="161"/>
      <c r="H1493" s="654"/>
      <c r="I1493" s="654"/>
      <c r="J1493" s="191"/>
      <c r="K1493" s="191">
        <v>195.97469625587101</v>
      </c>
      <c r="L1493" s="191"/>
      <c r="M1493" s="191"/>
      <c r="N1493" s="191"/>
      <c r="O1493" s="191"/>
      <c r="P1493" s="191"/>
      <c r="Q1493" s="191"/>
      <c r="R1493" s="191"/>
      <c r="S1493" s="191"/>
      <c r="T1493" s="191"/>
      <c r="U1493" s="439"/>
      <c r="V1493" s="441"/>
      <c r="W1493" s="178"/>
      <c r="X1493" s="172"/>
      <c r="Y1493" s="172"/>
      <c r="Z1493" s="172"/>
      <c r="AA1493" s="195"/>
      <c r="AB1493" s="172"/>
    </row>
    <row r="1494" spans="1:28" ht="12.75" customHeight="1" x14ac:dyDescent="0.3">
      <c r="A1494" s="667"/>
      <c r="B1494" s="668" t="s">
        <v>7010</v>
      </c>
      <c r="C1494" s="160" t="s">
        <v>7011</v>
      </c>
      <c r="D1494" s="160"/>
      <c r="E1494" s="439"/>
      <c r="F1494" s="161">
        <v>723.01382000000001</v>
      </c>
      <c r="G1494" s="161"/>
      <c r="H1494" s="654"/>
      <c r="I1494" s="654"/>
      <c r="J1494" s="191"/>
      <c r="K1494" s="191">
        <v>10.4942160257023</v>
      </c>
      <c r="L1494" s="191"/>
      <c r="M1494" s="191"/>
      <c r="N1494" s="191"/>
      <c r="O1494" s="191"/>
      <c r="P1494" s="191"/>
      <c r="Q1494" s="191"/>
      <c r="R1494" s="191"/>
      <c r="S1494" s="191"/>
      <c r="T1494" s="191"/>
      <c r="U1494" s="439"/>
      <c r="V1494" s="441"/>
      <c r="W1494" s="178"/>
      <c r="X1494" s="172"/>
      <c r="Y1494" s="172"/>
      <c r="Z1494" s="172"/>
      <c r="AA1494" s="195"/>
      <c r="AB1494" s="172"/>
    </row>
    <row r="1495" spans="1:28" ht="12.75" customHeight="1" x14ac:dyDescent="0.3">
      <c r="A1495" s="667"/>
      <c r="B1495" s="668" t="s">
        <v>7012</v>
      </c>
      <c r="C1495" s="160" t="s">
        <v>7013</v>
      </c>
      <c r="D1495" s="160"/>
      <c r="E1495" s="439">
        <v>6.84</v>
      </c>
      <c r="F1495" s="161">
        <v>693.00324999999998</v>
      </c>
      <c r="G1495" s="161"/>
      <c r="H1495" s="654"/>
      <c r="I1495" s="654"/>
      <c r="J1495" s="191"/>
      <c r="K1495" s="191">
        <v>24.312521347484999</v>
      </c>
      <c r="L1495" s="191"/>
      <c r="M1495" s="191"/>
      <c r="N1495" s="191"/>
      <c r="O1495" s="191"/>
      <c r="P1495" s="191"/>
      <c r="Q1495" s="191"/>
      <c r="R1495" s="191"/>
      <c r="S1495" s="191"/>
      <c r="T1495" s="191"/>
      <c r="U1495" s="439"/>
      <c r="V1495" s="441"/>
      <c r="W1495" s="178"/>
      <c r="X1495" s="172"/>
      <c r="Y1495" s="172"/>
      <c r="Z1495" s="172"/>
      <c r="AA1495" s="195"/>
      <c r="AB1495" s="172"/>
    </row>
    <row r="1496" spans="1:28" ht="12.75" customHeight="1" x14ac:dyDescent="0.3">
      <c r="A1496" s="667"/>
      <c r="B1496" s="668" t="s">
        <v>7014</v>
      </c>
      <c r="C1496" s="160" t="s">
        <v>7015</v>
      </c>
      <c r="D1496" s="160"/>
      <c r="E1496" s="439">
        <v>7.58</v>
      </c>
      <c r="F1496" s="161">
        <v>652.95082000000002</v>
      </c>
      <c r="G1496" s="161"/>
      <c r="H1496" s="654"/>
      <c r="I1496" s="654"/>
      <c r="J1496" s="191"/>
      <c r="K1496" s="191">
        <v>778.34116486676896</v>
      </c>
      <c r="L1496" s="191"/>
      <c r="M1496" s="191"/>
      <c r="N1496" s="191"/>
      <c r="O1496" s="191"/>
      <c r="P1496" s="191"/>
      <c r="Q1496" s="191"/>
      <c r="R1496" s="191"/>
      <c r="S1496" s="191"/>
      <c r="T1496" s="191"/>
      <c r="U1496" s="439"/>
      <c r="V1496" s="441"/>
      <c r="W1496" s="178"/>
      <c r="X1496" s="172"/>
      <c r="Y1496" s="172"/>
      <c r="Z1496" s="172"/>
      <c r="AA1496" s="195"/>
      <c r="AB1496" s="172"/>
    </row>
    <row r="1497" spans="1:28" ht="12.75" customHeight="1" x14ac:dyDescent="0.3">
      <c r="A1497" s="667"/>
      <c r="B1497" s="668" t="s">
        <v>7016</v>
      </c>
      <c r="C1497" s="160" t="s">
        <v>7017</v>
      </c>
      <c r="D1497" s="160"/>
      <c r="E1497" s="439"/>
      <c r="F1497" s="161">
        <v>736.00615000000005</v>
      </c>
      <c r="G1497" s="161"/>
      <c r="H1497" s="654"/>
      <c r="I1497" s="654"/>
      <c r="J1497" s="191"/>
      <c r="K1497" s="191">
        <v>2102.3741113150199</v>
      </c>
      <c r="L1497" s="191"/>
      <c r="M1497" s="191"/>
      <c r="N1497" s="191"/>
      <c r="O1497" s="191"/>
      <c r="P1497" s="191"/>
      <c r="Q1497" s="191"/>
      <c r="R1497" s="191"/>
      <c r="S1497" s="191"/>
      <c r="T1497" s="191"/>
      <c r="U1497" s="439"/>
      <c r="V1497" s="441"/>
      <c r="W1497" s="178"/>
      <c r="X1497" s="172"/>
      <c r="Y1497" s="172"/>
      <c r="Z1497" s="172"/>
      <c r="AA1497" s="195"/>
      <c r="AB1497" s="172"/>
    </row>
    <row r="1498" spans="1:28" ht="12.75" customHeight="1" x14ac:dyDescent="0.3">
      <c r="A1498" s="667"/>
      <c r="B1498" s="668" t="s">
        <v>7018</v>
      </c>
      <c r="C1498" s="160" t="s">
        <v>7019</v>
      </c>
      <c r="D1498" s="160"/>
      <c r="E1498" s="439"/>
      <c r="F1498" s="161">
        <v>636.01253999999994</v>
      </c>
      <c r="G1498" s="161"/>
      <c r="H1498" s="654"/>
      <c r="I1498" s="654"/>
      <c r="J1498" s="191"/>
      <c r="K1498" s="191">
        <v>2060.1080540329199</v>
      </c>
      <c r="L1498" s="191"/>
      <c r="M1498" s="191"/>
      <c r="N1498" s="191"/>
      <c r="O1498" s="191"/>
      <c r="P1498" s="191"/>
      <c r="Q1498" s="191"/>
      <c r="R1498" s="191"/>
      <c r="S1498" s="191"/>
      <c r="T1498" s="191"/>
      <c r="U1498" s="439"/>
      <c r="V1498" s="441"/>
      <c r="W1498" s="178"/>
      <c r="X1498" s="172"/>
      <c r="Y1498" s="172"/>
      <c r="Z1498" s="172"/>
      <c r="AA1498" s="195"/>
      <c r="AB1498" s="172"/>
    </row>
    <row r="1499" spans="1:28" ht="12.75" customHeight="1" x14ac:dyDescent="0.3">
      <c r="A1499" s="667"/>
      <c r="B1499" s="668" t="s">
        <v>7020</v>
      </c>
      <c r="C1499" s="160" t="s">
        <v>7021</v>
      </c>
      <c r="D1499" s="160"/>
      <c r="E1499" s="439">
        <v>3.49</v>
      </c>
      <c r="F1499" s="161">
        <v>529.95768963</v>
      </c>
      <c r="G1499" s="161"/>
      <c r="H1499" s="654"/>
      <c r="I1499" s="654"/>
      <c r="J1499" s="191"/>
      <c r="K1499" s="191">
        <v>1.6103712185594401</v>
      </c>
      <c r="L1499" s="191"/>
      <c r="M1499" s="191"/>
      <c r="N1499" s="191"/>
      <c r="O1499" s="191"/>
      <c r="P1499" s="191"/>
      <c r="Q1499" s="191"/>
      <c r="R1499" s="191"/>
      <c r="S1499" s="191"/>
      <c r="T1499" s="191"/>
      <c r="U1499" s="439"/>
      <c r="V1499" s="441"/>
      <c r="W1499" s="178"/>
      <c r="X1499" s="172"/>
      <c r="Y1499" s="172"/>
      <c r="Z1499" s="172"/>
      <c r="AA1499" s="195"/>
      <c r="AB1499" s="172"/>
    </row>
    <row r="1500" spans="1:28" ht="12.75" customHeight="1" x14ac:dyDescent="0.3">
      <c r="A1500" s="667"/>
      <c r="B1500" s="668" t="s">
        <v>7022</v>
      </c>
      <c r="C1500" s="160" t="s">
        <v>7023</v>
      </c>
      <c r="D1500" s="160"/>
      <c r="E1500" s="439">
        <v>1.23</v>
      </c>
      <c r="F1500" s="161">
        <v>465.93106276999998</v>
      </c>
      <c r="G1500" s="161"/>
      <c r="H1500" s="654"/>
      <c r="I1500" s="654"/>
      <c r="J1500" s="191"/>
      <c r="K1500" s="191">
        <v>2.28658842127368</v>
      </c>
      <c r="L1500" s="191"/>
      <c r="M1500" s="191"/>
      <c r="N1500" s="191"/>
      <c r="O1500" s="191"/>
      <c r="P1500" s="191"/>
      <c r="Q1500" s="191"/>
      <c r="R1500" s="191"/>
      <c r="S1500" s="191"/>
      <c r="T1500" s="191"/>
      <c r="U1500" s="439"/>
      <c r="V1500" s="441"/>
      <c r="W1500" s="178"/>
      <c r="X1500" s="172"/>
      <c r="Y1500" s="172"/>
      <c r="Z1500" s="172"/>
      <c r="AA1500" s="195"/>
      <c r="AB1500" s="172"/>
    </row>
    <row r="1501" spans="1:28" ht="12.75" customHeight="1" x14ac:dyDescent="0.3">
      <c r="A1501" s="667"/>
      <c r="B1501" s="668" t="s">
        <v>7024</v>
      </c>
      <c r="C1501" s="160" t="s">
        <v>7025</v>
      </c>
      <c r="D1501" s="160"/>
      <c r="E1501" s="439">
        <v>0.87</v>
      </c>
      <c r="F1501" s="161">
        <v>393.96875025000003</v>
      </c>
      <c r="G1501" s="161"/>
      <c r="H1501" s="654"/>
      <c r="I1501" s="654"/>
      <c r="J1501" s="191"/>
      <c r="K1501" s="191">
        <v>5.9194996606549202</v>
      </c>
      <c r="L1501" s="191"/>
      <c r="M1501" s="191"/>
      <c r="N1501" s="191"/>
      <c r="O1501" s="191"/>
      <c r="P1501" s="191"/>
      <c r="Q1501" s="191"/>
      <c r="R1501" s="191"/>
      <c r="S1501" s="191"/>
      <c r="T1501" s="191"/>
      <c r="U1501" s="439"/>
      <c r="V1501" s="441"/>
      <c r="W1501" s="178"/>
      <c r="X1501" s="172"/>
      <c r="Y1501" s="172"/>
      <c r="Z1501" s="172"/>
      <c r="AA1501" s="195"/>
      <c r="AB1501" s="172"/>
    </row>
    <row r="1502" spans="1:28" ht="12.75" customHeight="1" x14ac:dyDescent="0.3">
      <c r="A1502" s="667"/>
      <c r="B1502" s="668" t="s">
        <v>7026</v>
      </c>
      <c r="C1502" s="160" t="s">
        <v>7027</v>
      </c>
      <c r="D1502" s="160"/>
      <c r="E1502" s="439">
        <v>6.61</v>
      </c>
      <c r="F1502" s="161">
        <v>681.91320270000006</v>
      </c>
      <c r="G1502" s="161">
        <v>15.446</v>
      </c>
      <c r="H1502" s="654"/>
      <c r="I1502" s="654"/>
      <c r="J1502" s="191"/>
      <c r="K1502" s="191">
        <v>1.2400877002753801</v>
      </c>
      <c r="L1502" s="191"/>
      <c r="M1502" s="191"/>
      <c r="N1502" s="191"/>
      <c r="O1502" s="191"/>
      <c r="P1502" s="191"/>
      <c r="Q1502" s="191"/>
      <c r="R1502" s="191"/>
      <c r="S1502" s="191"/>
      <c r="T1502" s="191"/>
      <c r="U1502" s="439"/>
      <c r="V1502" s="441"/>
      <c r="W1502" s="178"/>
      <c r="X1502" s="172"/>
      <c r="Y1502" s="172"/>
      <c r="Z1502" s="172"/>
      <c r="AA1502" s="195"/>
      <c r="AB1502" s="172"/>
    </row>
    <row r="1503" spans="1:28" ht="12.75" customHeight="1" x14ac:dyDescent="0.3">
      <c r="A1503" s="667"/>
      <c r="B1503" s="668" t="s">
        <v>7028</v>
      </c>
      <c r="C1503" s="160" t="s">
        <v>7029</v>
      </c>
      <c r="D1503" s="160"/>
      <c r="E1503" s="439">
        <v>6.48</v>
      </c>
      <c r="F1503" s="161">
        <v>581.91959004</v>
      </c>
      <c r="G1503" s="161">
        <v>-3.32</v>
      </c>
      <c r="H1503" s="654"/>
      <c r="I1503" s="654">
        <v>0.47082881262300302</v>
      </c>
      <c r="J1503" s="191"/>
      <c r="K1503" s="191">
        <v>1.2568819806673299</v>
      </c>
      <c r="L1503" s="191"/>
      <c r="M1503" s="191"/>
      <c r="N1503" s="191"/>
      <c r="O1503" s="191"/>
      <c r="P1503" s="191"/>
      <c r="Q1503" s="191"/>
      <c r="R1503" s="191"/>
      <c r="S1503" s="191"/>
      <c r="T1503" s="191"/>
      <c r="U1503" s="439"/>
      <c r="V1503" s="441"/>
      <c r="W1503" s="178"/>
      <c r="X1503" s="172"/>
      <c r="Y1503" s="172"/>
      <c r="Z1503" s="172"/>
      <c r="AA1503" s="195"/>
      <c r="AB1503" s="172"/>
    </row>
    <row r="1504" spans="1:28" ht="12.75" customHeight="1" x14ac:dyDescent="0.3">
      <c r="A1504" s="667"/>
      <c r="B1504" s="668" t="s">
        <v>7030</v>
      </c>
      <c r="C1504" s="160" t="s">
        <v>7031</v>
      </c>
      <c r="D1504" s="160"/>
      <c r="E1504" s="439">
        <v>-0.36</v>
      </c>
      <c r="F1504" s="161">
        <v>608.93048908000003</v>
      </c>
      <c r="G1504" s="161">
        <v>66.838999999999999</v>
      </c>
      <c r="H1504" s="654">
        <v>2.3817841978000001</v>
      </c>
      <c r="I1504" s="654">
        <v>0.73717125008024798</v>
      </c>
      <c r="J1504" s="191"/>
      <c r="K1504" s="191">
        <v>2.38017012614517</v>
      </c>
      <c r="L1504" s="191"/>
      <c r="M1504" s="191"/>
      <c r="N1504" s="191"/>
      <c r="O1504" s="191"/>
      <c r="P1504" s="191"/>
      <c r="Q1504" s="191"/>
      <c r="R1504" s="191"/>
      <c r="S1504" s="191"/>
      <c r="T1504" s="191"/>
      <c r="U1504" s="439"/>
      <c r="V1504" s="441"/>
      <c r="W1504" s="178"/>
      <c r="X1504" s="172"/>
      <c r="Y1504" s="172"/>
      <c r="Z1504" s="172"/>
      <c r="AA1504" s="195"/>
      <c r="AB1504" s="172"/>
    </row>
    <row r="1505" spans="1:28" ht="12.75" customHeight="1" x14ac:dyDescent="0.3">
      <c r="A1505" s="667"/>
      <c r="B1505" s="668" t="s">
        <v>7032</v>
      </c>
      <c r="C1505" s="160" t="s">
        <v>7033</v>
      </c>
      <c r="D1505" s="160"/>
      <c r="E1505" s="439">
        <v>2.0699999999999998</v>
      </c>
      <c r="F1505" s="161">
        <v>653.00725981000005</v>
      </c>
      <c r="G1505" s="161"/>
      <c r="H1505" s="654"/>
      <c r="I1505" s="654"/>
      <c r="J1505" s="191"/>
      <c r="K1505" s="191">
        <v>85.111844025041805</v>
      </c>
      <c r="L1505" s="191"/>
      <c r="M1505" s="191"/>
      <c r="N1505" s="191"/>
      <c r="O1505" s="191"/>
      <c r="P1505" s="191"/>
      <c r="Q1505" s="191"/>
      <c r="R1505" s="191"/>
      <c r="S1505" s="191"/>
      <c r="T1505" s="191"/>
      <c r="U1505" s="439"/>
      <c r="V1505" s="441"/>
      <c r="W1505" s="178"/>
      <c r="X1505" s="172"/>
      <c r="Y1505" s="172"/>
      <c r="Z1505" s="172"/>
      <c r="AA1505" s="195"/>
      <c r="AB1505" s="172"/>
    </row>
    <row r="1506" spans="1:28" ht="12.75" customHeight="1" x14ac:dyDescent="0.3">
      <c r="A1506" s="667"/>
      <c r="B1506" s="668" t="s">
        <v>7034</v>
      </c>
      <c r="C1506" s="160" t="s">
        <v>7035</v>
      </c>
      <c r="D1506" s="160"/>
      <c r="E1506" s="439">
        <v>1.61</v>
      </c>
      <c r="F1506" s="161">
        <v>603.01045348000002</v>
      </c>
      <c r="G1506" s="161"/>
      <c r="H1506" s="654"/>
      <c r="I1506" s="654"/>
      <c r="J1506" s="191"/>
      <c r="K1506" s="191">
        <v>5.6960396007751797</v>
      </c>
      <c r="L1506" s="191"/>
      <c r="M1506" s="191"/>
      <c r="N1506" s="191"/>
      <c r="O1506" s="191"/>
      <c r="P1506" s="191"/>
      <c r="Q1506" s="191"/>
      <c r="R1506" s="191"/>
      <c r="S1506" s="191"/>
      <c r="T1506" s="191"/>
      <c r="U1506" s="439"/>
      <c r="V1506" s="441"/>
      <c r="W1506" s="178"/>
      <c r="X1506" s="172"/>
      <c r="Y1506" s="172"/>
      <c r="Z1506" s="172"/>
      <c r="AA1506" s="195"/>
      <c r="AB1506" s="172"/>
    </row>
    <row r="1507" spans="1:28" ht="12.75" customHeight="1" x14ac:dyDescent="0.3">
      <c r="A1507" s="667"/>
      <c r="B1507" s="668" t="s">
        <v>7036</v>
      </c>
      <c r="C1507" s="160" t="s">
        <v>7037</v>
      </c>
      <c r="D1507" s="160"/>
      <c r="E1507" s="439">
        <v>2.81</v>
      </c>
      <c r="F1507" s="161">
        <v>706.03054469000006</v>
      </c>
      <c r="G1507" s="161"/>
      <c r="H1507" s="654"/>
      <c r="I1507" s="654"/>
      <c r="J1507" s="191"/>
      <c r="K1507" s="191">
        <v>710902.43207546195</v>
      </c>
      <c r="L1507" s="191"/>
      <c r="M1507" s="191"/>
      <c r="N1507" s="191"/>
      <c r="O1507" s="191"/>
      <c r="P1507" s="191"/>
      <c r="Q1507" s="191"/>
      <c r="R1507" s="191"/>
      <c r="S1507" s="191"/>
      <c r="T1507" s="191"/>
      <c r="U1507" s="439"/>
      <c r="V1507" s="441"/>
      <c r="W1507" s="178"/>
      <c r="X1507" s="172"/>
      <c r="Y1507" s="172"/>
      <c r="Z1507" s="172"/>
      <c r="AA1507" s="195"/>
      <c r="AB1507" s="172"/>
    </row>
    <row r="1508" spans="1:28" ht="12.75" customHeight="1" x14ac:dyDescent="0.3">
      <c r="A1508" s="667"/>
      <c r="B1508" s="668" t="s">
        <v>7038</v>
      </c>
      <c r="C1508" s="160" t="s">
        <v>7039</v>
      </c>
      <c r="D1508" s="160"/>
      <c r="E1508" s="439">
        <v>4.5599999999999996</v>
      </c>
      <c r="F1508" s="161">
        <v>458.01974523000001</v>
      </c>
      <c r="G1508" s="161"/>
      <c r="H1508" s="654"/>
      <c r="I1508" s="654"/>
      <c r="J1508" s="191"/>
      <c r="K1508" s="191">
        <v>773250.12699192704</v>
      </c>
      <c r="L1508" s="191"/>
      <c r="M1508" s="191"/>
      <c r="N1508" s="191"/>
      <c r="O1508" s="191"/>
      <c r="P1508" s="191"/>
      <c r="Q1508" s="191"/>
      <c r="R1508" s="191"/>
      <c r="S1508" s="191"/>
      <c r="T1508" s="191"/>
      <c r="U1508" s="439"/>
      <c r="V1508" s="441"/>
      <c r="W1508" s="178"/>
      <c r="X1508" s="172"/>
      <c r="Y1508" s="172"/>
      <c r="Z1508" s="172"/>
      <c r="AA1508" s="195"/>
      <c r="AB1508" s="172"/>
    </row>
    <row r="1509" spans="1:28" ht="12.75" customHeight="1" x14ac:dyDescent="0.3">
      <c r="A1509" s="667"/>
      <c r="B1509" s="668" t="s">
        <v>7040</v>
      </c>
      <c r="C1509" s="160" t="s">
        <v>7041</v>
      </c>
      <c r="D1509" s="160"/>
      <c r="E1509" s="439">
        <v>0.87</v>
      </c>
      <c r="F1509" s="161">
        <v>362.0210472</v>
      </c>
      <c r="G1509" s="161"/>
      <c r="H1509" s="654"/>
      <c r="I1509" s="654"/>
      <c r="J1509" s="191"/>
      <c r="K1509" s="191">
        <v>3113.2213491924199</v>
      </c>
      <c r="L1509" s="191"/>
      <c r="M1509" s="191"/>
      <c r="N1509" s="191"/>
      <c r="O1509" s="191"/>
      <c r="P1509" s="191"/>
      <c r="Q1509" s="191"/>
      <c r="R1509" s="191"/>
      <c r="S1509" s="191"/>
      <c r="T1509" s="191"/>
      <c r="U1509" s="439"/>
      <c r="V1509" s="441"/>
      <c r="W1509" s="178"/>
      <c r="X1509" s="172"/>
      <c r="Y1509" s="172"/>
      <c r="Z1509" s="172"/>
      <c r="AA1509" s="195"/>
      <c r="AB1509" s="172"/>
    </row>
    <row r="1510" spans="1:28" ht="12.75" customHeight="1" x14ac:dyDescent="0.3">
      <c r="A1510" s="667"/>
      <c r="B1510" s="668" t="s">
        <v>7042</v>
      </c>
      <c r="C1510" s="160" t="s">
        <v>7043</v>
      </c>
      <c r="D1510" s="160"/>
      <c r="E1510" s="439">
        <v>4.71</v>
      </c>
      <c r="F1510" s="161">
        <v>572.02900795000005</v>
      </c>
      <c r="G1510" s="161"/>
      <c r="H1510" s="654"/>
      <c r="I1510" s="654"/>
      <c r="J1510" s="191"/>
      <c r="K1510" s="191">
        <v>41195521.023396403</v>
      </c>
      <c r="L1510" s="191"/>
      <c r="M1510" s="191"/>
      <c r="N1510" s="191"/>
      <c r="O1510" s="191"/>
      <c r="P1510" s="191"/>
      <c r="Q1510" s="191"/>
      <c r="R1510" s="191"/>
      <c r="S1510" s="191"/>
      <c r="T1510" s="191"/>
      <c r="U1510" s="439"/>
      <c r="V1510" s="441"/>
      <c r="W1510" s="178"/>
      <c r="X1510" s="172"/>
      <c r="Y1510" s="172"/>
      <c r="Z1510" s="172"/>
      <c r="AA1510" s="195"/>
      <c r="AB1510" s="172"/>
    </row>
    <row r="1511" spans="1:28" ht="12.75" customHeight="1" x14ac:dyDescent="0.3">
      <c r="A1511" s="667"/>
      <c r="B1511" s="668" t="s">
        <v>7044</v>
      </c>
      <c r="C1511" s="160" t="s">
        <v>7045</v>
      </c>
      <c r="D1511" s="160"/>
      <c r="E1511" s="439">
        <v>-0.23</v>
      </c>
      <c r="F1511" s="161">
        <v>449.96664141999997</v>
      </c>
      <c r="G1511" s="161"/>
      <c r="H1511" s="654"/>
      <c r="I1511" s="654"/>
      <c r="J1511" s="191"/>
      <c r="K1511" s="191">
        <v>13.096341765133101</v>
      </c>
      <c r="L1511" s="191"/>
      <c r="M1511" s="191"/>
      <c r="N1511" s="191"/>
      <c r="O1511" s="191"/>
      <c r="P1511" s="191"/>
      <c r="Q1511" s="191"/>
      <c r="R1511" s="191"/>
      <c r="S1511" s="191"/>
      <c r="T1511" s="191"/>
      <c r="U1511" s="439"/>
      <c r="V1511" s="441"/>
      <c r="W1511" s="178"/>
      <c r="X1511" s="172"/>
      <c r="Y1511" s="172"/>
      <c r="Z1511" s="172"/>
      <c r="AA1511" s="195"/>
      <c r="AB1511" s="172"/>
    </row>
    <row r="1512" spans="1:28" ht="12.75" customHeight="1" x14ac:dyDescent="0.3">
      <c r="A1512" s="667"/>
      <c r="B1512" s="668" t="s">
        <v>7046</v>
      </c>
      <c r="C1512" s="160" t="s">
        <v>7047</v>
      </c>
      <c r="D1512" s="160"/>
      <c r="E1512" s="439">
        <v>2.92</v>
      </c>
      <c r="F1512" s="161">
        <v>457.95182499999999</v>
      </c>
      <c r="G1512" s="161"/>
      <c r="H1512" s="654"/>
      <c r="I1512" s="654"/>
      <c r="J1512" s="191"/>
      <c r="K1512" s="191">
        <v>13.4967747521676</v>
      </c>
      <c r="L1512" s="191"/>
      <c r="M1512" s="191"/>
      <c r="N1512" s="191"/>
      <c r="O1512" s="191"/>
      <c r="P1512" s="191"/>
      <c r="Q1512" s="191"/>
      <c r="R1512" s="191"/>
      <c r="S1512" s="191"/>
      <c r="T1512" s="191"/>
      <c r="U1512" s="439"/>
      <c r="V1512" s="441"/>
      <c r="W1512" s="178"/>
      <c r="X1512" s="172"/>
      <c r="Y1512" s="172"/>
      <c r="Z1512" s="172"/>
      <c r="AA1512" s="195"/>
      <c r="AB1512" s="172"/>
    </row>
    <row r="1513" spans="1:28" ht="12.75" customHeight="1" x14ac:dyDescent="0.3">
      <c r="A1513" s="667"/>
      <c r="B1513" s="668" t="s">
        <v>7048</v>
      </c>
      <c r="C1513" s="160" t="s">
        <v>7049</v>
      </c>
      <c r="D1513" s="160"/>
      <c r="E1513" s="439">
        <v>1.25</v>
      </c>
      <c r="F1513" s="161">
        <v>847.95834400000001</v>
      </c>
      <c r="G1513" s="161"/>
      <c r="H1513" s="654"/>
      <c r="I1513" s="654"/>
      <c r="J1513" s="191"/>
      <c r="K1513" s="191">
        <v>206823.55559317599</v>
      </c>
      <c r="L1513" s="191"/>
      <c r="M1513" s="191"/>
      <c r="N1513" s="191"/>
      <c r="O1513" s="191"/>
      <c r="P1513" s="191"/>
      <c r="Q1513" s="191"/>
      <c r="R1513" s="191"/>
      <c r="S1513" s="191"/>
      <c r="T1513" s="191"/>
      <c r="U1513" s="439"/>
      <c r="V1513" s="441"/>
      <c r="W1513" s="178"/>
      <c r="X1513" s="172"/>
      <c r="Y1513" s="172"/>
      <c r="Z1513" s="172"/>
      <c r="AA1513" s="195"/>
      <c r="AB1513" s="172"/>
    </row>
    <row r="1514" spans="1:28" ht="12.75" customHeight="1" x14ac:dyDescent="0.3">
      <c r="A1514" s="667"/>
      <c r="B1514" s="668" t="s">
        <v>7050</v>
      </c>
      <c r="C1514" s="160" t="s">
        <v>7051</v>
      </c>
      <c r="D1514" s="160"/>
      <c r="E1514" s="439">
        <v>1.45</v>
      </c>
      <c r="F1514" s="161">
        <v>747.96473133999996</v>
      </c>
      <c r="G1514" s="161"/>
      <c r="H1514" s="654"/>
      <c r="I1514" s="654"/>
      <c r="J1514" s="191"/>
      <c r="K1514" s="191">
        <v>8973.8746732906402</v>
      </c>
      <c r="L1514" s="191"/>
      <c r="M1514" s="191"/>
      <c r="N1514" s="191"/>
      <c r="O1514" s="191"/>
      <c r="P1514" s="191"/>
      <c r="Q1514" s="191"/>
      <c r="R1514" s="191"/>
      <c r="S1514" s="191"/>
      <c r="T1514" s="191"/>
      <c r="U1514" s="439"/>
      <c r="V1514" s="441"/>
      <c r="W1514" s="178"/>
      <c r="X1514" s="172"/>
      <c r="Y1514" s="172"/>
      <c r="Z1514" s="172"/>
      <c r="AA1514" s="195"/>
      <c r="AB1514" s="172"/>
    </row>
    <row r="1515" spans="1:28" ht="12.75" customHeight="1" x14ac:dyDescent="0.3">
      <c r="A1515" s="667"/>
      <c r="B1515" s="668" t="s">
        <v>7052</v>
      </c>
      <c r="C1515" s="160" t="s">
        <v>7053</v>
      </c>
      <c r="D1515" s="160"/>
      <c r="E1515" s="439">
        <v>2.67</v>
      </c>
      <c r="F1515" s="161">
        <v>911.97080039000002</v>
      </c>
      <c r="G1515" s="161"/>
      <c r="H1515" s="654"/>
      <c r="I1515" s="654"/>
      <c r="J1515" s="191"/>
      <c r="K1515" s="191">
        <v>2301547805.1613598</v>
      </c>
      <c r="L1515" s="191"/>
      <c r="M1515" s="191"/>
      <c r="N1515" s="191"/>
      <c r="O1515" s="191"/>
      <c r="P1515" s="191"/>
      <c r="Q1515" s="191"/>
      <c r="R1515" s="191"/>
      <c r="S1515" s="191"/>
      <c r="T1515" s="191"/>
      <c r="U1515" s="439"/>
      <c r="V1515" s="441"/>
      <c r="W1515" s="178"/>
      <c r="X1515" s="172"/>
      <c r="Y1515" s="172"/>
      <c r="Z1515" s="172"/>
      <c r="AA1515" s="195"/>
      <c r="AB1515" s="172"/>
    </row>
    <row r="1516" spans="1:28" ht="12.75" customHeight="1" x14ac:dyDescent="0.3">
      <c r="A1516" s="667"/>
      <c r="B1516" s="668" t="s">
        <v>7054</v>
      </c>
      <c r="C1516" s="160" t="s">
        <v>7055</v>
      </c>
      <c r="D1516" s="160"/>
      <c r="E1516" s="439">
        <v>1.76</v>
      </c>
      <c r="F1516" s="161">
        <v>625.94565282999997</v>
      </c>
      <c r="G1516" s="161"/>
      <c r="H1516" s="654"/>
      <c r="I1516" s="654"/>
      <c r="J1516" s="191"/>
      <c r="K1516" s="191">
        <v>113969856.118844</v>
      </c>
      <c r="L1516" s="191"/>
      <c r="M1516" s="191"/>
      <c r="N1516" s="191"/>
      <c r="O1516" s="191"/>
      <c r="P1516" s="191"/>
      <c r="Q1516" s="191"/>
      <c r="R1516" s="191"/>
      <c r="S1516" s="191"/>
      <c r="T1516" s="191"/>
      <c r="U1516" s="439"/>
      <c r="V1516" s="441"/>
      <c r="W1516" s="178"/>
      <c r="X1516" s="172"/>
      <c r="Y1516" s="172"/>
      <c r="Z1516" s="172"/>
      <c r="AA1516" s="195"/>
      <c r="AB1516" s="172"/>
    </row>
    <row r="1517" spans="1:28" ht="12.75" customHeight="1" x14ac:dyDescent="0.3">
      <c r="A1517" s="667" t="s">
        <v>4414</v>
      </c>
      <c r="B1517" s="668" t="s">
        <v>7056</v>
      </c>
      <c r="C1517" s="160" t="s">
        <v>7057</v>
      </c>
      <c r="D1517" s="160"/>
      <c r="E1517" s="439"/>
      <c r="F1517" s="161"/>
      <c r="G1517" s="161"/>
      <c r="H1517" s="654"/>
      <c r="I1517" s="654"/>
      <c r="J1517" s="191"/>
      <c r="K1517" s="191"/>
      <c r="L1517" s="191"/>
      <c r="M1517" s="191"/>
      <c r="N1517" s="191"/>
      <c r="O1517" s="191"/>
      <c r="P1517" s="191"/>
      <c r="Q1517" s="191"/>
      <c r="R1517" s="191"/>
      <c r="S1517" s="191"/>
      <c r="T1517" s="191"/>
      <c r="U1517" s="439"/>
      <c r="V1517" s="441"/>
      <c r="W1517" s="178"/>
      <c r="X1517" s="172"/>
      <c r="Y1517" s="172"/>
      <c r="Z1517" s="172"/>
      <c r="AA1517" s="195"/>
      <c r="AB1517" s="172"/>
    </row>
    <row r="1518" spans="1:28" ht="12.75" customHeight="1" x14ac:dyDescent="0.3">
      <c r="A1518" s="667"/>
      <c r="B1518" s="668" t="s">
        <v>7058</v>
      </c>
      <c r="C1518" s="160" t="s">
        <v>7059</v>
      </c>
      <c r="D1518" s="160"/>
      <c r="E1518" s="439">
        <v>2.16</v>
      </c>
      <c r="F1518" s="161">
        <v>537.97202674000005</v>
      </c>
      <c r="G1518" s="161"/>
      <c r="H1518" s="654"/>
      <c r="I1518" s="654"/>
      <c r="J1518" s="191"/>
      <c r="K1518" s="191">
        <v>4542.0300167553996</v>
      </c>
      <c r="L1518" s="191"/>
      <c r="M1518" s="191"/>
      <c r="N1518" s="191"/>
      <c r="O1518" s="191"/>
      <c r="P1518" s="191"/>
      <c r="Q1518" s="191"/>
      <c r="R1518" s="191"/>
      <c r="S1518" s="191"/>
      <c r="T1518" s="191"/>
      <c r="U1518" s="439"/>
      <c r="V1518" s="441"/>
      <c r="W1518" s="178"/>
      <c r="X1518" s="172"/>
      <c r="Y1518" s="172"/>
      <c r="Z1518" s="172"/>
      <c r="AA1518" s="195"/>
      <c r="AB1518" s="172"/>
    </row>
    <row r="1519" spans="1:28" ht="12.75" customHeight="1" x14ac:dyDescent="0.3">
      <c r="A1519" s="667"/>
      <c r="B1519" s="668" t="s">
        <v>7060</v>
      </c>
      <c r="C1519" s="160" t="s">
        <v>7061</v>
      </c>
      <c r="D1519" s="160"/>
      <c r="E1519" s="439">
        <v>1.23</v>
      </c>
      <c r="F1519" s="161">
        <v>449.95712556000001</v>
      </c>
      <c r="G1519" s="161"/>
      <c r="H1519" s="654"/>
      <c r="I1519" s="654"/>
      <c r="J1519" s="191"/>
      <c r="K1519" s="191">
        <v>15.026574884630501</v>
      </c>
      <c r="L1519" s="191"/>
      <c r="M1519" s="191"/>
      <c r="N1519" s="191"/>
      <c r="O1519" s="191"/>
      <c r="P1519" s="191"/>
      <c r="Q1519" s="191"/>
      <c r="R1519" s="191"/>
      <c r="S1519" s="191"/>
      <c r="T1519" s="191"/>
      <c r="U1519" s="439"/>
      <c r="V1519" s="441"/>
      <c r="W1519" s="178"/>
      <c r="X1519" s="172"/>
      <c r="Y1519" s="172"/>
      <c r="Z1519" s="172"/>
      <c r="AA1519" s="195"/>
      <c r="AB1519" s="172"/>
    </row>
    <row r="1520" spans="1:28" ht="12.75" customHeight="1" x14ac:dyDescent="0.3">
      <c r="A1520" s="667"/>
      <c r="B1520" s="668" t="s">
        <v>7062</v>
      </c>
      <c r="C1520" s="160" t="s">
        <v>7063</v>
      </c>
      <c r="D1520" s="160"/>
      <c r="E1520" s="439">
        <v>0.87</v>
      </c>
      <c r="F1520" s="161">
        <v>377.99481304</v>
      </c>
      <c r="G1520" s="161"/>
      <c r="H1520" s="654"/>
      <c r="I1520" s="654"/>
      <c r="J1520" s="191"/>
      <c r="K1520" s="191">
        <v>6.5776536237687999</v>
      </c>
      <c r="L1520" s="191"/>
      <c r="M1520" s="191"/>
      <c r="N1520" s="191"/>
      <c r="O1520" s="191"/>
      <c r="P1520" s="191"/>
      <c r="Q1520" s="191"/>
      <c r="R1520" s="191"/>
      <c r="S1520" s="191"/>
      <c r="T1520" s="191"/>
      <c r="U1520" s="439"/>
      <c r="V1520" s="441"/>
      <c r="W1520" s="178"/>
      <c r="X1520" s="172"/>
      <c r="Y1520" s="172"/>
      <c r="Z1520" s="172"/>
      <c r="AA1520" s="195"/>
      <c r="AB1520" s="172"/>
    </row>
    <row r="1521" spans="1:28" ht="12.75" customHeight="1" x14ac:dyDescent="0.3">
      <c r="A1521" s="667"/>
      <c r="B1521" s="668" t="s">
        <v>7064</v>
      </c>
      <c r="C1521" s="160" t="s">
        <v>7065</v>
      </c>
      <c r="D1521" s="160"/>
      <c r="E1521" s="439">
        <v>2.97</v>
      </c>
      <c r="F1521" s="161">
        <v>821.97907943999996</v>
      </c>
      <c r="G1521" s="161"/>
      <c r="H1521" s="654"/>
      <c r="I1521" s="654"/>
      <c r="J1521" s="191"/>
      <c r="K1521" s="191">
        <v>75325.149100552604</v>
      </c>
      <c r="L1521" s="191"/>
      <c r="M1521" s="191"/>
      <c r="N1521" s="191"/>
      <c r="O1521" s="191"/>
      <c r="P1521" s="191"/>
      <c r="Q1521" s="191"/>
      <c r="R1521" s="191"/>
      <c r="S1521" s="191"/>
      <c r="T1521" s="191"/>
      <c r="U1521" s="439"/>
      <c r="V1521" s="441"/>
      <c r="W1521" s="178"/>
      <c r="X1521" s="172"/>
      <c r="Y1521" s="172"/>
      <c r="Z1521" s="172"/>
      <c r="AA1521" s="195"/>
      <c r="AB1521" s="172"/>
    </row>
    <row r="1522" spans="1:28" ht="12.75" customHeight="1" x14ac:dyDescent="0.3">
      <c r="A1522" s="667"/>
      <c r="B1522" s="668" t="s">
        <v>7066</v>
      </c>
      <c r="C1522" s="160" t="s">
        <v>7067</v>
      </c>
      <c r="D1522" s="160"/>
      <c r="E1522" s="439">
        <v>6.09</v>
      </c>
      <c r="F1522" s="161">
        <v>568.96122514000001</v>
      </c>
      <c r="G1522" s="161">
        <v>62.1</v>
      </c>
      <c r="H1522" s="654"/>
      <c r="I1522" s="654">
        <v>0.837687301385873</v>
      </c>
      <c r="J1522" s="191"/>
      <c r="K1522" s="191">
        <v>220.91743900337701</v>
      </c>
      <c r="L1522" s="191"/>
      <c r="M1522" s="191"/>
      <c r="N1522" s="191"/>
      <c r="O1522" s="191"/>
      <c r="P1522" s="191"/>
      <c r="Q1522" s="191"/>
      <c r="R1522" s="191"/>
      <c r="S1522" s="191"/>
      <c r="T1522" s="191"/>
      <c r="U1522" s="439"/>
      <c r="V1522" s="441"/>
      <c r="W1522" s="178"/>
      <c r="X1522" s="172"/>
      <c r="Y1522" s="172"/>
      <c r="Z1522" s="172"/>
      <c r="AA1522" s="195"/>
      <c r="AB1522" s="172"/>
    </row>
    <row r="1523" spans="1:28" ht="12.75" customHeight="1" x14ac:dyDescent="0.3">
      <c r="A1523" s="667"/>
      <c r="B1523" s="668" t="s">
        <v>7068</v>
      </c>
      <c r="C1523" s="160" t="s">
        <v>7069</v>
      </c>
      <c r="D1523" s="160"/>
      <c r="E1523" s="439">
        <v>3.59</v>
      </c>
      <c r="F1523" s="161">
        <v>609.02891078000005</v>
      </c>
      <c r="G1523" s="161"/>
      <c r="H1523" s="654"/>
      <c r="I1523" s="654"/>
      <c r="J1523" s="191"/>
      <c r="K1523" s="191">
        <v>27317.4401342452</v>
      </c>
      <c r="L1523" s="191"/>
      <c r="M1523" s="191"/>
      <c r="N1523" s="191"/>
      <c r="O1523" s="191"/>
      <c r="P1523" s="191"/>
      <c r="Q1523" s="191"/>
      <c r="R1523" s="191"/>
      <c r="S1523" s="191"/>
      <c r="T1523" s="191"/>
      <c r="U1523" s="439"/>
      <c r="V1523" s="441"/>
      <c r="W1523" s="178"/>
      <c r="X1523" s="172"/>
      <c r="Y1523" s="172"/>
      <c r="Z1523" s="172"/>
      <c r="AA1523" s="195"/>
      <c r="AB1523" s="172"/>
    </row>
    <row r="1524" spans="1:28" ht="12.75" customHeight="1" x14ac:dyDescent="0.3">
      <c r="A1524" s="667"/>
      <c r="B1524" s="668" t="s">
        <v>7070</v>
      </c>
      <c r="C1524" s="160" t="s">
        <v>7071</v>
      </c>
      <c r="D1524" s="160"/>
      <c r="E1524" s="439">
        <v>6.44</v>
      </c>
      <c r="F1524" s="161">
        <v>664.05520328</v>
      </c>
      <c r="G1524" s="161"/>
      <c r="H1524" s="654"/>
      <c r="I1524" s="654"/>
      <c r="J1524" s="191"/>
      <c r="K1524" s="191">
        <v>460415.56802593498</v>
      </c>
      <c r="L1524" s="191"/>
      <c r="M1524" s="191"/>
      <c r="N1524" s="191"/>
      <c r="O1524" s="191"/>
      <c r="P1524" s="191"/>
      <c r="Q1524" s="191"/>
      <c r="R1524" s="191"/>
      <c r="S1524" s="191"/>
      <c r="T1524" s="191"/>
      <c r="U1524" s="439"/>
      <c r="V1524" s="441"/>
      <c r="W1524" s="178"/>
      <c r="X1524" s="172"/>
      <c r="Y1524" s="172"/>
      <c r="Z1524" s="172"/>
      <c r="AA1524" s="195"/>
      <c r="AB1524" s="172"/>
    </row>
    <row r="1525" spans="1:28" ht="12.75" customHeight="1" x14ac:dyDescent="0.3">
      <c r="A1525" s="667"/>
      <c r="B1525" s="668" t="s">
        <v>7072</v>
      </c>
      <c r="C1525" s="160" t="s">
        <v>7073</v>
      </c>
      <c r="D1525" s="160"/>
      <c r="E1525" s="439"/>
      <c r="F1525" s="161">
        <v>672.17547757</v>
      </c>
      <c r="G1525" s="161"/>
      <c r="H1525" s="654"/>
      <c r="I1525" s="654"/>
      <c r="J1525" s="191"/>
      <c r="K1525" s="191">
        <v>988940.12909756997</v>
      </c>
      <c r="L1525" s="191"/>
      <c r="M1525" s="191"/>
      <c r="N1525" s="191"/>
      <c r="O1525" s="191"/>
      <c r="P1525" s="191"/>
      <c r="Q1525" s="191"/>
      <c r="R1525" s="191"/>
      <c r="S1525" s="191"/>
      <c r="T1525" s="191"/>
      <c r="U1525" s="439"/>
      <c r="V1525" s="441"/>
      <c r="W1525" s="178"/>
      <c r="X1525" s="172"/>
      <c r="Y1525" s="172"/>
      <c r="Z1525" s="172"/>
      <c r="AA1525" s="195"/>
      <c r="AB1525" s="172"/>
    </row>
    <row r="1526" spans="1:28" ht="12.75" customHeight="1" x14ac:dyDescent="0.3">
      <c r="A1526" s="667" t="s">
        <v>4414</v>
      </c>
      <c r="B1526" s="668" t="s">
        <v>7074</v>
      </c>
      <c r="C1526" s="160" t="s">
        <v>7075</v>
      </c>
      <c r="D1526" s="160"/>
      <c r="E1526" s="439"/>
      <c r="F1526" s="161"/>
      <c r="G1526" s="161"/>
      <c r="H1526" s="654"/>
      <c r="I1526" s="654"/>
      <c r="J1526" s="191"/>
      <c r="K1526" s="191"/>
      <c r="L1526" s="191"/>
      <c r="M1526" s="191"/>
      <c r="N1526" s="191"/>
      <c r="O1526" s="191"/>
      <c r="P1526" s="191"/>
      <c r="Q1526" s="191"/>
      <c r="R1526" s="191"/>
      <c r="S1526" s="191"/>
      <c r="T1526" s="191"/>
      <c r="U1526" s="439"/>
      <c r="V1526" s="441"/>
      <c r="W1526" s="178"/>
      <c r="X1526" s="172"/>
      <c r="Y1526" s="172"/>
      <c r="Z1526" s="172"/>
      <c r="AA1526" s="195"/>
      <c r="AB1526" s="172"/>
    </row>
    <row r="1527" spans="1:28" ht="12.75" customHeight="1" x14ac:dyDescent="0.3">
      <c r="A1527" s="667"/>
      <c r="B1527" s="668" t="s">
        <v>7076</v>
      </c>
      <c r="C1527" s="160" t="s">
        <v>7077</v>
      </c>
      <c r="D1527" s="160"/>
      <c r="E1527" s="439">
        <v>2.57</v>
      </c>
      <c r="F1527" s="161">
        <v>591.03610416000004</v>
      </c>
      <c r="G1527" s="161"/>
      <c r="H1527" s="654"/>
      <c r="I1527" s="654"/>
      <c r="J1527" s="191"/>
      <c r="K1527" s="191">
        <v>111.51929108401499</v>
      </c>
      <c r="L1527" s="191"/>
      <c r="M1527" s="191"/>
      <c r="N1527" s="191"/>
      <c r="O1527" s="191"/>
      <c r="P1527" s="191"/>
      <c r="Q1527" s="191"/>
      <c r="R1527" s="191"/>
      <c r="S1527" s="191"/>
      <c r="T1527" s="191"/>
      <c r="U1527" s="439"/>
      <c r="V1527" s="441"/>
      <c r="W1527" s="178"/>
      <c r="X1527" s="172"/>
      <c r="Y1527" s="172"/>
      <c r="Z1527" s="172"/>
      <c r="AA1527" s="195"/>
      <c r="AB1527" s="172"/>
    </row>
    <row r="1528" spans="1:28" ht="12.75" customHeight="1" x14ac:dyDescent="0.3">
      <c r="A1528" s="667" t="s">
        <v>4414</v>
      </c>
      <c r="B1528" s="668" t="s">
        <v>7078</v>
      </c>
      <c r="C1528" s="160" t="s">
        <v>7079</v>
      </c>
      <c r="D1528" s="160"/>
      <c r="E1528" s="439"/>
      <c r="F1528" s="161"/>
      <c r="G1528" s="161"/>
      <c r="H1528" s="654"/>
      <c r="I1528" s="654"/>
      <c r="J1528" s="191"/>
      <c r="K1528" s="191"/>
      <c r="L1528" s="191"/>
      <c r="M1528" s="191"/>
      <c r="N1528" s="191"/>
      <c r="O1528" s="191"/>
      <c r="P1528" s="191"/>
      <c r="Q1528" s="191"/>
      <c r="R1528" s="191"/>
      <c r="S1528" s="191"/>
      <c r="T1528" s="191"/>
      <c r="U1528" s="439"/>
      <c r="V1528" s="441"/>
      <c r="W1528" s="178"/>
      <c r="X1528" s="172"/>
      <c r="Y1528" s="172"/>
      <c r="Z1528" s="172"/>
      <c r="AA1528" s="195"/>
      <c r="AB1528" s="172"/>
    </row>
    <row r="1529" spans="1:28" ht="12.75" customHeight="1" x14ac:dyDescent="0.3">
      <c r="A1529" s="667"/>
      <c r="B1529" s="668" t="s">
        <v>7080</v>
      </c>
      <c r="C1529" s="160" t="s">
        <v>7081</v>
      </c>
      <c r="D1529" s="160"/>
      <c r="E1529" s="439">
        <v>-0.1</v>
      </c>
      <c r="F1529" s="161">
        <v>549.96025407000002</v>
      </c>
      <c r="G1529" s="161"/>
      <c r="H1529" s="654"/>
      <c r="I1529" s="654"/>
      <c r="J1529" s="191"/>
      <c r="K1529" s="191">
        <v>211.14461027334499</v>
      </c>
      <c r="L1529" s="191"/>
      <c r="M1529" s="191"/>
      <c r="N1529" s="191"/>
      <c r="O1529" s="191"/>
      <c r="P1529" s="191"/>
      <c r="Q1529" s="191"/>
      <c r="R1529" s="191"/>
      <c r="S1529" s="191"/>
      <c r="T1529" s="191"/>
      <c r="U1529" s="439"/>
      <c r="V1529" s="441"/>
      <c r="W1529" s="178"/>
      <c r="X1529" s="172"/>
      <c r="Y1529" s="172"/>
      <c r="Z1529" s="172"/>
      <c r="AA1529" s="195"/>
      <c r="AB1529" s="172"/>
    </row>
    <row r="1530" spans="1:28" ht="12.75" customHeight="1" x14ac:dyDescent="0.3">
      <c r="A1530" s="667"/>
      <c r="B1530" s="668" t="s">
        <v>7082</v>
      </c>
      <c r="C1530" s="160" t="s">
        <v>7083</v>
      </c>
      <c r="D1530" s="160"/>
      <c r="E1530" s="439">
        <v>4.18</v>
      </c>
      <c r="F1530" s="161">
        <v>528.029516317</v>
      </c>
      <c r="G1530" s="161"/>
      <c r="H1530" s="654"/>
      <c r="I1530" s="654"/>
      <c r="J1530" s="191"/>
      <c r="K1530" s="191">
        <v>15573.6352904753</v>
      </c>
      <c r="L1530" s="191"/>
      <c r="M1530" s="191"/>
      <c r="N1530" s="191"/>
      <c r="O1530" s="191"/>
      <c r="P1530" s="191"/>
      <c r="Q1530" s="191"/>
      <c r="R1530" s="191"/>
      <c r="S1530" s="191"/>
      <c r="T1530" s="191"/>
      <c r="U1530" s="439"/>
      <c r="V1530" s="441"/>
      <c r="W1530" s="178"/>
      <c r="X1530" s="172"/>
      <c r="Y1530" s="172"/>
      <c r="Z1530" s="172"/>
      <c r="AA1530" s="195"/>
      <c r="AB1530" s="172"/>
    </row>
    <row r="1531" spans="1:28" ht="12.75" customHeight="1" x14ac:dyDescent="0.3">
      <c r="A1531" s="667"/>
      <c r="B1531" s="668" t="s">
        <v>7084</v>
      </c>
      <c r="C1531" s="160" t="s">
        <v>7085</v>
      </c>
      <c r="D1531" s="160"/>
      <c r="E1531" s="439">
        <v>4.84</v>
      </c>
      <c r="F1531" s="161">
        <v>628.02312896900003</v>
      </c>
      <c r="G1531" s="161"/>
      <c r="H1531" s="654"/>
      <c r="I1531" s="654"/>
      <c r="J1531" s="191"/>
      <c r="K1531" s="191">
        <v>200138.20483184201</v>
      </c>
      <c r="L1531" s="191"/>
      <c r="M1531" s="191"/>
      <c r="N1531" s="191"/>
      <c r="O1531" s="191"/>
      <c r="P1531" s="191"/>
      <c r="Q1531" s="191"/>
      <c r="R1531" s="191"/>
      <c r="S1531" s="191"/>
      <c r="T1531" s="191"/>
      <c r="U1531" s="439"/>
      <c r="V1531" s="441"/>
      <c r="W1531" s="178"/>
      <c r="X1531" s="172"/>
      <c r="Y1531" s="172"/>
      <c r="Z1531" s="172"/>
      <c r="AA1531" s="195"/>
      <c r="AB1531" s="172"/>
    </row>
    <row r="1532" spans="1:28" ht="12.75" customHeight="1" x14ac:dyDescent="0.3">
      <c r="A1532" s="667"/>
      <c r="B1532" s="668" t="s">
        <v>7086</v>
      </c>
      <c r="C1532" s="160" t="s">
        <v>7087</v>
      </c>
      <c r="D1532" s="160"/>
      <c r="E1532" s="439">
        <v>4.9800000000000004</v>
      </c>
      <c r="F1532" s="161">
        <v>728.01674162100005</v>
      </c>
      <c r="G1532" s="161"/>
      <c r="H1532" s="654"/>
      <c r="I1532" s="654"/>
      <c r="J1532" s="191"/>
      <c r="K1532" s="191">
        <v>330072.99965269299</v>
      </c>
      <c r="L1532" s="191"/>
      <c r="M1532" s="191"/>
      <c r="N1532" s="191"/>
      <c r="O1532" s="191"/>
      <c r="P1532" s="191"/>
      <c r="Q1532" s="191"/>
      <c r="R1532" s="191"/>
      <c r="S1532" s="191"/>
      <c r="T1532" s="191"/>
      <c r="U1532" s="439"/>
      <c r="V1532" s="441"/>
      <c r="W1532" s="178"/>
      <c r="X1532" s="172"/>
      <c r="Y1532" s="172"/>
      <c r="Z1532" s="172"/>
      <c r="AA1532" s="195"/>
      <c r="AB1532" s="172"/>
    </row>
    <row r="1533" spans="1:28" ht="12.75" customHeight="1" x14ac:dyDescent="0.3">
      <c r="A1533" s="667"/>
      <c r="B1533" s="668" t="s">
        <v>7088</v>
      </c>
      <c r="C1533" s="160" t="s">
        <v>7089</v>
      </c>
      <c r="D1533" s="160"/>
      <c r="E1533" s="439">
        <v>4.9800000000000004</v>
      </c>
      <c r="F1533" s="161">
        <v>828.01035427299996</v>
      </c>
      <c r="G1533" s="161"/>
      <c r="H1533" s="654"/>
      <c r="I1533" s="654"/>
      <c r="J1533" s="191"/>
      <c r="K1533" s="191">
        <v>295542.538988385</v>
      </c>
      <c r="L1533" s="191"/>
      <c r="M1533" s="191"/>
      <c r="N1533" s="191"/>
      <c r="O1533" s="191"/>
      <c r="P1533" s="191"/>
      <c r="Q1533" s="191"/>
      <c r="R1533" s="191"/>
      <c r="S1533" s="191"/>
      <c r="T1533" s="191"/>
      <c r="U1533" s="439"/>
      <c r="V1533" s="441"/>
      <c r="W1533" s="178"/>
      <c r="X1533" s="172"/>
      <c r="Y1533" s="172"/>
      <c r="Z1533" s="172"/>
      <c r="AA1533" s="195"/>
      <c r="AB1533" s="172"/>
    </row>
    <row r="1534" spans="1:28" ht="12.75" customHeight="1" x14ac:dyDescent="0.3">
      <c r="A1534" s="667"/>
      <c r="B1534" s="668" t="s">
        <v>7090</v>
      </c>
      <c r="C1534" s="160" t="s">
        <v>7091</v>
      </c>
      <c r="D1534" s="160"/>
      <c r="E1534" s="439">
        <v>4.9800000000000004</v>
      </c>
      <c r="F1534" s="161">
        <v>928.00396692499999</v>
      </c>
      <c r="G1534" s="161"/>
      <c r="H1534" s="654"/>
      <c r="I1534" s="654"/>
      <c r="J1534" s="191"/>
      <c r="K1534" s="191">
        <v>289507.62061073002</v>
      </c>
      <c r="L1534" s="191"/>
      <c r="M1534" s="191"/>
      <c r="N1534" s="191"/>
      <c r="O1534" s="191"/>
      <c r="P1534" s="191"/>
      <c r="Q1534" s="191"/>
      <c r="R1534" s="191"/>
      <c r="S1534" s="191"/>
      <c r="T1534" s="191"/>
      <c r="U1534" s="439"/>
      <c r="V1534" s="441"/>
      <c r="W1534" s="178"/>
      <c r="X1534" s="172"/>
      <c r="Y1534" s="172"/>
      <c r="Z1534" s="172"/>
      <c r="AA1534" s="195"/>
      <c r="AB1534" s="172"/>
    </row>
    <row r="1535" spans="1:28" ht="12.75" customHeight="1" x14ac:dyDescent="0.3">
      <c r="A1535" s="667"/>
      <c r="B1535" s="668" t="s">
        <v>7092</v>
      </c>
      <c r="C1535" s="160" t="s">
        <v>7093</v>
      </c>
      <c r="D1535" s="160"/>
      <c r="E1535" s="439">
        <v>4.45</v>
      </c>
      <c r="F1535" s="161">
        <v>978.00077325100006</v>
      </c>
      <c r="G1535" s="161"/>
      <c r="H1535" s="654"/>
      <c r="I1535" s="654"/>
      <c r="J1535" s="191"/>
      <c r="K1535" s="191">
        <v>4370287.4191342304</v>
      </c>
      <c r="L1535" s="191"/>
      <c r="M1535" s="191"/>
      <c r="N1535" s="191"/>
      <c r="O1535" s="191"/>
      <c r="P1535" s="191"/>
      <c r="Q1535" s="191"/>
      <c r="R1535" s="191"/>
      <c r="S1535" s="191"/>
      <c r="T1535" s="191"/>
      <c r="U1535" s="439"/>
      <c r="V1535" s="441"/>
      <c r="W1535" s="178"/>
      <c r="X1535" s="172"/>
      <c r="Y1535" s="172"/>
      <c r="Z1535" s="172"/>
      <c r="AA1535" s="195"/>
      <c r="AB1535" s="172"/>
    </row>
    <row r="1536" spans="1:28" ht="12.75" customHeight="1" x14ac:dyDescent="0.3">
      <c r="A1536" s="667"/>
      <c r="B1536" s="668" t="s">
        <v>7094</v>
      </c>
      <c r="C1536" s="160" t="s">
        <v>7095</v>
      </c>
      <c r="D1536" s="160"/>
      <c r="E1536" s="439">
        <v>4.45</v>
      </c>
      <c r="F1536" s="161">
        <v>878.00716059900003</v>
      </c>
      <c r="G1536" s="161"/>
      <c r="H1536" s="654"/>
      <c r="I1536" s="654"/>
      <c r="J1536" s="191"/>
      <c r="K1536" s="191">
        <v>289961.27450756403</v>
      </c>
      <c r="L1536" s="191"/>
      <c r="M1536" s="191"/>
      <c r="N1536" s="191"/>
      <c r="O1536" s="191"/>
      <c r="P1536" s="191"/>
      <c r="Q1536" s="191"/>
      <c r="R1536" s="191"/>
      <c r="S1536" s="191"/>
      <c r="T1536" s="191"/>
      <c r="U1536" s="439"/>
      <c r="V1536" s="441"/>
      <c r="W1536" s="178"/>
      <c r="X1536" s="172"/>
      <c r="Y1536" s="172"/>
      <c r="Z1536" s="172"/>
      <c r="AA1536" s="195"/>
      <c r="AB1536" s="172"/>
    </row>
    <row r="1537" spans="1:28" ht="12.75" customHeight="1" x14ac:dyDescent="0.3">
      <c r="A1537" s="667"/>
      <c r="B1537" s="668" t="s">
        <v>7096</v>
      </c>
      <c r="C1537" s="160" t="s">
        <v>7097</v>
      </c>
      <c r="D1537" s="160"/>
      <c r="E1537" s="439">
        <v>4.45</v>
      </c>
      <c r="F1537" s="161">
        <v>778.01354794700001</v>
      </c>
      <c r="G1537" s="161"/>
      <c r="H1537" s="654"/>
      <c r="I1537" s="654"/>
      <c r="J1537" s="191"/>
      <c r="K1537" s="191">
        <v>608807.50849394698</v>
      </c>
      <c r="L1537" s="191"/>
      <c r="M1537" s="191"/>
      <c r="N1537" s="191"/>
      <c r="O1537" s="191"/>
      <c r="P1537" s="191"/>
      <c r="Q1537" s="191"/>
      <c r="R1537" s="191"/>
      <c r="S1537" s="191"/>
      <c r="T1537" s="191"/>
      <c r="U1537" s="439"/>
      <c r="V1537" s="441"/>
      <c r="W1537" s="178"/>
      <c r="X1537" s="172"/>
      <c r="Y1537" s="172"/>
      <c r="Z1537" s="172"/>
      <c r="AA1537" s="195"/>
      <c r="AB1537" s="172"/>
    </row>
    <row r="1538" spans="1:28" ht="12.75" customHeight="1" x14ac:dyDescent="0.3">
      <c r="A1538" s="667"/>
      <c r="B1538" s="668" t="s">
        <v>7098</v>
      </c>
      <c r="C1538" s="160" t="s">
        <v>7099</v>
      </c>
      <c r="D1538" s="160"/>
      <c r="E1538" s="439">
        <v>4.45</v>
      </c>
      <c r="F1538" s="161">
        <v>678.01993529499998</v>
      </c>
      <c r="G1538" s="161"/>
      <c r="H1538" s="654"/>
      <c r="I1538" s="654"/>
      <c r="J1538" s="191"/>
      <c r="K1538" s="191">
        <v>99181.346491212505</v>
      </c>
      <c r="L1538" s="191"/>
      <c r="M1538" s="191"/>
      <c r="N1538" s="191"/>
      <c r="O1538" s="191"/>
      <c r="P1538" s="191"/>
      <c r="Q1538" s="191"/>
      <c r="R1538" s="191"/>
      <c r="S1538" s="191"/>
      <c r="T1538" s="191"/>
      <c r="U1538" s="439"/>
      <c r="V1538" s="441"/>
      <c r="W1538" s="178"/>
      <c r="X1538" s="172"/>
      <c r="Y1538" s="172"/>
      <c r="Z1538" s="172"/>
      <c r="AA1538" s="195"/>
      <c r="AB1538" s="172"/>
    </row>
    <row r="1539" spans="1:28" ht="12.75" customHeight="1" x14ac:dyDescent="0.3">
      <c r="A1539" s="667"/>
      <c r="B1539" s="668" t="s">
        <v>7100</v>
      </c>
      <c r="C1539" s="160" t="s">
        <v>7101</v>
      </c>
      <c r="D1539" s="160"/>
      <c r="E1539" s="439">
        <v>4.3099999999999996</v>
      </c>
      <c r="F1539" s="161">
        <v>578.02632264299996</v>
      </c>
      <c r="G1539" s="161"/>
      <c r="H1539" s="654"/>
      <c r="I1539" s="654"/>
      <c r="J1539" s="191"/>
      <c r="K1539" s="191">
        <v>97469.7831834846</v>
      </c>
      <c r="L1539" s="191"/>
      <c r="M1539" s="191"/>
      <c r="N1539" s="191"/>
      <c r="O1539" s="191"/>
      <c r="P1539" s="191"/>
      <c r="Q1539" s="191"/>
      <c r="R1539" s="191"/>
      <c r="S1539" s="191"/>
      <c r="T1539" s="191"/>
      <c r="U1539" s="439"/>
      <c r="V1539" s="441"/>
      <c r="W1539" s="178"/>
      <c r="X1539" s="172"/>
      <c r="Y1539" s="172"/>
      <c r="Z1539" s="172"/>
      <c r="AA1539" s="195"/>
      <c r="AB1539" s="172"/>
    </row>
    <row r="1540" spans="1:28" ht="12.75" customHeight="1" x14ac:dyDescent="0.3">
      <c r="A1540" s="667"/>
      <c r="B1540" s="668" t="s">
        <v>7102</v>
      </c>
      <c r="C1540" s="160" t="s">
        <v>7103</v>
      </c>
      <c r="D1540" s="160"/>
      <c r="E1540" s="439">
        <v>6.81</v>
      </c>
      <c r="F1540" s="161">
        <v>658.03369365399999</v>
      </c>
      <c r="G1540" s="161"/>
      <c r="H1540" s="654"/>
      <c r="I1540" s="654"/>
      <c r="J1540" s="191"/>
      <c r="K1540" s="191">
        <v>486967.52516586299</v>
      </c>
      <c r="L1540" s="191"/>
      <c r="M1540" s="191"/>
      <c r="N1540" s="191"/>
      <c r="O1540" s="191"/>
      <c r="P1540" s="191"/>
      <c r="Q1540" s="191"/>
      <c r="R1540" s="191"/>
      <c r="S1540" s="191"/>
      <c r="T1540" s="191"/>
      <c r="U1540" s="439"/>
      <c r="V1540" s="441"/>
      <c r="W1540" s="178"/>
      <c r="X1540" s="172"/>
      <c r="Y1540" s="172"/>
      <c r="Z1540" s="172"/>
      <c r="AA1540" s="195"/>
      <c r="AB1540" s="172"/>
    </row>
    <row r="1541" spans="1:28" ht="12.75" customHeight="1" x14ac:dyDescent="0.3">
      <c r="A1541" s="667"/>
      <c r="B1541" s="668" t="s">
        <v>7104</v>
      </c>
      <c r="C1541" s="160" t="s">
        <v>7105</v>
      </c>
      <c r="D1541" s="160"/>
      <c r="E1541" s="439">
        <v>6.81</v>
      </c>
      <c r="F1541" s="161">
        <v>758.02730630600001</v>
      </c>
      <c r="G1541" s="161"/>
      <c r="H1541" s="654"/>
      <c r="I1541" s="654"/>
      <c r="J1541" s="191"/>
      <c r="K1541" s="191">
        <v>773018.69998285605</v>
      </c>
      <c r="L1541" s="191"/>
      <c r="M1541" s="191"/>
      <c r="N1541" s="191"/>
      <c r="O1541" s="191"/>
      <c r="P1541" s="191"/>
      <c r="Q1541" s="191"/>
      <c r="R1541" s="191"/>
      <c r="S1541" s="191"/>
      <c r="T1541" s="191"/>
      <c r="U1541" s="439"/>
      <c r="V1541" s="441"/>
      <c r="W1541" s="178"/>
      <c r="X1541" s="172"/>
      <c r="Y1541" s="172"/>
      <c r="Z1541" s="172"/>
      <c r="AA1541" s="195"/>
      <c r="AB1541" s="172"/>
    </row>
    <row r="1542" spans="1:28" ht="12.75" customHeight="1" x14ac:dyDescent="0.3">
      <c r="A1542" s="667"/>
      <c r="B1542" s="668" t="s">
        <v>7106</v>
      </c>
      <c r="C1542" s="160" t="s">
        <v>7107</v>
      </c>
      <c r="D1542" s="160"/>
      <c r="E1542" s="439">
        <v>6.81</v>
      </c>
      <c r="F1542" s="161">
        <v>858.02091895800004</v>
      </c>
      <c r="G1542" s="161"/>
      <c r="H1542" s="654"/>
      <c r="I1542" s="654"/>
      <c r="J1542" s="191"/>
      <c r="K1542" s="191">
        <v>302308.25052399002</v>
      </c>
      <c r="L1542" s="191"/>
      <c r="M1542" s="191"/>
      <c r="N1542" s="191"/>
      <c r="O1542" s="191"/>
      <c r="P1542" s="191"/>
      <c r="Q1542" s="191"/>
      <c r="R1542" s="191"/>
      <c r="S1542" s="191"/>
      <c r="T1542" s="191"/>
      <c r="U1542" s="439"/>
      <c r="V1542" s="441"/>
      <c r="W1542" s="178"/>
      <c r="X1542" s="172"/>
      <c r="Y1542" s="172"/>
      <c r="Z1542" s="172"/>
      <c r="AA1542" s="195"/>
      <c r="AB1542" s="172"/>
    </row>
    <row r="1543" spans="1:28" ht="12.75" customHeight="1" x14ac:dyDescent="0.3">
      <c r="A1543" s="667"/>
      <c r="B1543" s="668" t="s">
        <v>7108</v>
      </c>
      <c r="C1543" s="160" t="s">
        <v>7109</v>
      </c>
      <c r="D1543" s="160"/>
      <c r="E1543" s="439">
        <v>6.81</v>
      </c>
      <c r="F1543" s="161">
        <v>958.01453160999995</v>
      </c>
      <c r="G1543" s="161"/>
      <c r="H1543" s="654"/>
      <c r="I1543" s="654"/>
      <c r="J1543" s="191"/>
      <c r="K1543" s="191">
        <v>297105.02692917199</v>
      </c>
      <c r="L1543" s="191"/>
      <c r="M1543" s="191"/>
      <c r="N1543" s="191"/>
      <c r="O1543" s="191"/>
      <c r="P1543" s="191"/>
      <c r="Q1543" s="191"/>
      <c r="R1543" s="191"/>
      <c r="S1543" s="191"/>
      <c r="T1543" s="191"/>
      <c r="U1543" s="439"/>
      <c r="V1543" s="441"/>
      <c r="W1543" s="178"/>
      <c r="X1543" s="172"/>
      <c r="Y1543" s="172"/>
      <c r="Z1543" s="172"/>
      <c r="AA1543" s="195"/>
      <c r="AB1543" s="172"/>
    </row>
    <row r="1544" spans="1:28" ht="12.75" customHeight="1" x14ac:dyDescent="0.3">
      <c r="A1544" s="667"/>
      <c r="B1544" s="668" t="s">
        <v>7110</v>
      </c>
      <c r="C1544" s="160" t="s">
        <v>7111</v>
      </c>
      <c r="D1544" s="160"/>
      <c r="E1544" s="439">
        <v>6.25</v>
      </c>
      <c r="F1544" s="161">
        <v>1008.011337936</v>
      </c>
      <c r="G1544" s="161"/>
      <c r="H1544" s="654"/>
      <c r="I1544" s="654"/>
      <c r="J1544" s="191"/>
      <c r="K1544" s="191">
        <v>292785.79340678401</v>
      </c>
      <c r="L1544" s="191"/>
      <c r="M1544" s="191"/>
      <c r="N1544" s="191"/>
      <c r="O1544" s="191"/>
      <c r="P1544" s="191"/>
      <c r="Q1544" s="191"/>
      <c r="R1544" s="191"/>
      <c r="S1544" s="191"/>
      <c r="T1544" s="191"/>
      <c r="U1544" s="439"/>
      <c r="V1544" s="441"/>
      <c r="W1544" s="178"/>
      <c r="X1544" s="172"/>
      <c r="Y1544" s="172"/>
      <c r="Z1544" s="172"/>
      <c r="AA1544" s="195"/>
      <c r="AB1544" s="172"/>
    </row>
    <row r="1545" spans="1:28" ht="12.75" customHeight="1" x14ac:dyDescent="0.3">
      <c r="A1545" s="667"/>
      <c r="B1545" s="668" t="s">
        <v>7112</v>
      </c>
      <c r="C1545" s="160" t="s">
        <v>7113</v>
      </c>
      <c r="D1545" s="160"/>
      <c r="E1545" s="439">
        <v>6.25</v>
      </c>
      <c r="F1545" s="161">
        <v>908.01772528399999</v>
      </c>
      <c r="G1545" s="161"/>
      <c r="H1545" s="654"/>
      <c r="I1545" s="654"/>
      <c r="J1545" s="191"/>
      <c r="K1545" s="191">
        <v>297666.52672876802</v>
      </c>
      <c r="L1545" s="191"/>
      <c r="M1545" s="191"/>
      <c r="N1545" s="191"/>
      <c r="O1545" s="191"/>
      <c r="P1545" s="191"/>
      <c r="Q1545" s="191"/>
      <c r="R1545" s="191"/>
      <c r="S1545" s="191"/>
      <c r="T1545" s="191"/>
      <c r="U1545" s="439"/>
      <c r="V1545" s="441"/>
      <c r="W1545" s="178"/>
      <c r="X1545" s="172"/>
      <c r="Y1545" s="172"/>
      <c r="Z1545" s="172"/>
      <c r="AA1545" s="195"/>
      <c r="AB1545" s="172"/>
    </row>
    <row r="1546" spans="1:28" ht="12.75" customHeight="1" x14ac:dyDescent="0.3">
      <c r="A1546" s="667"/>
      <c r="B1546" s="668" t="s">
        <v>7114</v>
      </c>
      <c r="C1546" s="160" t="s">
        <v>7115</v>
      </c>
      <c r="D1546" s="160"/>
      <c r="E1546" s="439">
        <v>6.25</v>
      </c>
      <c r="F1546" s="161">
        <v>808.02411263199997</v>
      </c>
      <c r="G1546" s="161"/>
      <c r="H1546" s="654"/>
      <c r="I1546" s="654"/>
      <c r="J1546" s="191"/>
      <c r="K1546" s="191">
        <v>282728.76752103103</v>
      </c>
      <c r="L1546" s="191"/>
      <c r="M1546" s="191"/>
      <c r="N1546" s="191"/>
      <c r="O1546" s="191"/>
      <c r="P1546" s="191"/>
      <c r="Q1546" s="191"/>
      <c r="R1546" s="191"/>
      <c r="S1546" s="191"/>
      <c r="T1546" s="191"/>
      <c r="U1546" s="439"/>
      <c r="V1546" s="441"/>
      <c r="W1546" s="178"/>
      <c r="X1546" s="172"/>
      <c r="Y1546" s="172"/>
      <c r="Z1546" s="172"/>
      <c r="AA1546" s="195"/>
      <c r="AB1546" s="172"/>
    </row>
    <row r="1547" spans="1:28" ht="12.75" customHeight="1" x14ac:dyDescent="0.3">
      <c r="A1547" s="667"/>
      <c r="B1547" s="668" t="s">
        <v>7116</v>
      </c>
      <c r="C1547" s="160" t="s">
        <v>7117</v>
      </c>
      <c r="D1547" s="160"/>
      <c r="E1547" s="439">
        <v>6.25</v>
      </c>
      <c r="F1547" s="161">
        <v>708.03049997999995</v>
      </c>
      <c r="G1547" s="161"/>
      <c r="H1547" s="654"/>
      <c r="I1547" s="654"/>
      <c r="J1547" s="191"/>
      <c r="K1547" s="191">
        <v>752419.42659187096</v>
      </c>
      <c r="L1547" s="191"/>
      <c r="M1547" s="191"/>
      <c r="N1547" s="191"/>
      <c r="O1547" s="191"/>
      <c r="P1547" s="191"/>
      <c r="Q1547" s="191"/>
      <c r="R1547" s="191"/>
      <c r="S1547" s="191"/>
      <c r="T1547" s="191"/>
      <c r="U1547" s="439"/>
      <c r="V1547" s="441"/>
      <c r="W1547" s="178"/>
      <c r="X1547" s="172"/>
      <c r="Y1547" s="172"/>
      <c r="Z1547" s="172"/>
      <c r="AA1547" s="195"/>
      <c r="AB1547" s="172"/>
    </row>
    <row r="1548" spans="1:28" ht="12.75" customHeight="1" x14ac:dyDescent="0.3">
      <c r="A1548" s="667"/>
      <c r="B1548" s="668" t="s">
        <v>7118</v>
      </c>
      <c r="C1548" s="160" t="s">
        <v>7119</v>
      </c>
      <c r="D1548" s="160"/>
      <c r="E1548" s="439">
        <v>6.25</v>
      </c>
      <c r="F1548" s="161">
        <v>608.03688732800003</v>
      </c>
      <c r="G1548" s="161"/>
      <c r="H1548" s="654"/>
      <c r="I1548" s="654"/>
      <c r="J1548" s="191"/>
      <c r="K1548" s="191">
        <v>7108.8606313049004</v>
      </c>
      <c r="L1548" s="191"/>
      <c r="M1548" s="191"/>
      <c r="N1548" s="191"/>
      <c r="O1548" s="191"/>
      <c r="P1548" s="191"/>
      <c r="Q1548" s="191"/>
      <c r="R1548" s="191"/>
      <c r="S1548" s="191"/>
      <c r="T1548" s="191"/>
      <c r="U1548" s="439"/>
      <c r="V1548" s="441"/>
      <c r="W1548" s="178"/>
      <c r="X1548" s="172"/>
      <c r="Y1548" s="172"/>
      <c r="Z1548" s="172"/>
      <c r="AA1548" s="195"/>
      <c r="AB1548" s="172"/>
    </row>
    <row r="1549" spans="1:28" ht="12.75" customHeight="1" x14ac:dyDescent="0.3">
      <c r="A1549" s="667"/>
      <c r="B1549" s="668" t="s">
        <v>7120</v>
      </c>
      <c r="C1549" s="160" t="s">
        <v>7121</v>
      </c>
      <c r="D1549" s="160"/>
      <c r="E1549" s="439">
        <v>1.33</v>
      </c>
      <c r="F1549" s="161">
        <v>544.99534306700002</v>
      </c>
      <c r="G1549" s="161"/>
      <c r="H1549" s="654"/>
      <c r="I1549" s="654"/>
      <c r="J1549" s="191"/>
      <c r="K1549" s="191">
        <v>1348310.7588861</v>
      </c>
      <c r="L1549" s="191"/>
      <c r="M1549" s="191"/>
      <c r="N1549" s="191"/>
      <c r="O1549" s="191"/>
      <c r="P1549" s="191"/>
      <c r="Q1549" s="191"/>
      <c r="R1549" s="191"/>
      <c r="S1549" s="191"/>
      <c r="T1549" s="191"/>
      <c r="U1549" s="439"/>
      <c r="V1549" s="441"/>
      <c r="W1549" s="178"/>
      <c r="X1549" s="172"/>
      <c r="Y1549" s="172"/>
      <c r="Z1549" s="172"/>
      <c r="AA1549" s="195"/>
      <c r="AB1549" s="172"/>
    </row>
    <row r="1550" spans="1:28" ht="12.75" customHeight="1" x14ac:dyDescent="0.3">
      <c r="A1550" s="667"/>
      <c r="B1550" s="668" t="s">
        <v>7122</v>
      </c>
      <c r="C1550" s="160" t="s">
        <v>7123</v>
      </c>
      <c r="D1550" s="160"/>
      <c r="E1550" s="439">
        <v>1.23</v>
      </c>
      <c r="F1550" s="161">
        <v>445.001730415</v>
      </c>
      <c r="G1550" s="161"/>
      <c r="H1550" s="654"/>
      <c r="I1550" s="654"/>
      <c r="J1550" s="191"/>
      <c r="K1550" s="191">
        <v>30466.320046155299</v>
      </c>
      <c r="L1550" s="191"/>
      <c r="M1550" s="191"/>
      <c r="N1550" s="191"/>
      <c r="O1550" s="191"/>
      <c r="P1550" s="191"/>
      <c r="Q1550" s="191"/>
      <c r="R1550" s="191"/>
      <c r="S1550" s="191"/>
      <c r="T1550" s="191"/>
      <c r="U1550" s="439"/>
      <c r="V1550" s="441"/>
      <c r="W1550" s="178"/>
      <c r="X1550" s="172"/>
      <c r="Y1550" s="172"/>
      <c r="Z1550" s="172"/>
      <c r="AA1550" s="195"/>
      <c r="AB1550" s="172"/>
    </row>
    <row r="1551" spans="1:28" ht="12.75" customHeight="1" x14ac:dyDescent="0.3">
      <c r="A1551" s="667"/>
      <c r="B1551" s="668" t="s">
        <v>7124</v>
      </c>
      <c r="C1551" s="160" t="s">
        <v>7125</v>
      </c>
      <c r="D1551" s="160"/>
      <c r="E1551" s="439">
        <v>6.61</v>
      </c>
      <c r="F1551" s="161">
        <v>760.97748299099999</v>
      </c>
      <c r="G1551" s="161"/>
      <c r="H1551" s="654"/>
      <c r="I1551" s="654"/>
      <c r="J1551" s="191"/>
      <c r="K1551" s="191">
        <v>927491.63195705402</v>
      </c>
      <c r="L1551" s="191"/>
      <c r="M1551" s="191"/>
      <c r="N1551" s="191"/>
      <c r="O1551" s="191"/>
      <c r="P1551" s="191"/>
      <c r="Q1551" s="191"/>
      <c r="R1551" s="191"/>
      <c r="S1551" s="191"/>
      <c r="T1551" s="191"/>
      <c r="U1551" s="439"/>
      <c r="V1551" s="441"/>
      <c r="W1551" s="178"/>
      <c r="X1551" s="172"/>
      <c r="Y1551" s="172"/>
      <c r="Z1551" s="172"/>
      <c r="AA1551" s="195"/>
      <c r="AB1551" s="172"/>
    </row>
    <row r="1552" spans="1:28" ht="12.75" customHeight="1" x14ac:dyDescent="0.3">
      <c r="A1552" s="667"/>
      <c r="B1552" s="668" t="s">
        <v>7126</v>
      </c>
      <c r="C1552" s="160" t="s">
        <v>7127</v>
      </c>
      <c r="D1552" s="160"/>
      <c r="E1552" s="439">
        <v>6.61</v>
      </c>
      <c r="F1552" s="161">
        <v>660.98387033899996</v>
      </c>
      <c r="G1552" s="161"/>
      <c r="H1552" s="654"/>
      <c r="I1552" s="654"/>
      <c r="J1552" s="191"/>
      <c r="K1552" s="191">
        <v>1174248.46192408</v>
      </c>
      <c r="L1552" s="191"/>
      <c r="M1552" s="191"/>
      <c r="N1552" s="191"/>
      <c r="O1552" s="191"/>
      <c r="P1552" s="191"/>
      <c r="Q1552" s="191"/>
      <c r="R1552" s="191"/>
      <c r="S1552" s="191"/>
      <c r="T1552" s="191"/>
      <c r="U1552" s="439"/>
      <c r="V1552" s="441"/>
      <c r="W1552" s="178"/>
      <c r="X1552" s="172"/>
      <c r="Y1552" s="172"/>
      <c r="Z1552" s="172"/>
      <c r="AA1552" s="195"/>
      <c r="AB1552" s="172"/>
    </row>
    <row r="1553" spans="1:28" ht="12.75" customHeight="1" x14ac:dyDescent="0.3">
      <c r="A1553" s="667"/>
      <c r="B1553" s="668" t="s">
        <v>7128</v>
      </c>
      <c r="C1553" s="160" t="s">
        <v>7129</v>
      </c>
      <c r="D1553" s="160"/>
      <c r="E1553" s="439">
        <v>6.48</v>
      </c>
      <c r="F1553" s="161">
        <v>560.99025768700005</v>
      </c>
      <c r="G1553" s="161"/>
      <c r="H1553" s="654"/>
      <c r="I1553" s="654"/>
      <c r="J1553" s="191"/>
      <c r="K1553" s="191">
        <v>195677.09849035199</v>
      </c>
      <c r="L1553" s="191"/>
      <c r="M1553" s="191"/>
      <c r="N1553" s="191"/>
      <c r="O1553" s="191"/>
      <c r="P1553" s="191"/>
      <c r="Q1553" s="191"/>
      <c r="R1553" s="191"/>
      <c r="S1553" s="191"/>
      <c r="T1553" s="191"/>
      <c r="U1553" s="439"/>
      <c r="V1553" s="441"/>
      <c r="W1553" s="178"/>
      <c r="X1553" s="172"/>
      <c r="Y1553" s="172"/>
      <c r="Z1553" s="172"/>
      <c r="AA1553" s="195"/>
      <c r="AB1553" s="172"/>
    </row>
    <row r="1554" spans="1:28" ht="12.75" customHeight="1" x14ac:dyDescent="0.3">
      <c r="A1554" s="667"/>
      <c r="B1554" s="668" t="s">
        <v>7130</v>
      </c>
      <c r="C1554" s="160" t="s">
        <v>7131</v>
      </c>
      <c r="D1554" s="160"/>
      <c r="E1554" s="439">
        <v>6.45</v>
      </c>
      <c r="F1554" s="161">
        <v>460.99664503499997</v>
      </c>
      <c r="G1554" s="161"/>
      <c r="H1554" s="654"/>
      <c r="I1554" s="654"/>
      <c r="J1554" s="191"/>
      <c r="K1554" s="191">
        <v>3288.8949349864101</v>
      </c>
      <c r="L1554" s="191"/>
      <c r="M1554" s="191"/>
      <c r="N1554" s="191"/>
      <c r="O1554" s="191"/>
      <c r="P1554" s="191"/>
      <c r="Q1554" s="191"/>
      <c r="R1554" s="191"/>
      <c r="S1554" s="191"/>
      <c r="T1554" s="191"/>
      <c r="U1554" s="439"/>
      <c r="V1554" s="441"/>
      <c r="W1554" s="178"/>
      <c r="X1554" s="172"/>
      <c r="Y1554" s="172"/>
      <c r="Z1554" s="172"/>
      <c r="AA1554" s="195"/>
      <c r="AB1554" s="172"/>
    </row>
    <row r="1555" spans="1:28" ht="12.75" customHeight="1" x14ac:dyDescent="0.3">
      <c r="A1555" s="667"/>
      <c r="B1555" s="668" t="s">
        <v>7132</v>
      </c>
      <c r="C1555" s="160" t="s">
        <v>7133</v>
      </c>
      <c r="D1555" s="160"/>
      <c r="E1555" s="439"/>
      <c r="F1555" s="161">
        <v>290.99418177500002</v>
      </c>
      <c r="G1555" s="161">
        <v>43.491</v>
      </c>
      <c r="H1555" s="654"/>
      <c r="I1555" s="654">
        <v>117.72926208580201</v>
      </c>
      <c r="J1555" s="191"/>
      <c r="K1555" s="191">
        <v>247.66235598289799</v>
      </c>
      <c r="L1555" s="191"/>
      <c r="M1555" s="191"/>
      <c r="N1555" s="191"/>
      <c r="O1555" s="191"/>
      <c r="P1555" s="191"/>
      <c r="Q1555" s="191"/>
      <c r="R1555" s="191"/>
      <c r="S1555" s="191"/>
      <c r="T1555" s="191"/>
      <c r="U1555" s="439"/>
      <c r="V1555" s="441"/>
      <c r="W1555" s="178"/>
      <c r="X1555" s="172"/>
      <c r="Y1555" s="172"/>
      <c r="Z1555" s="172"/>
      <c r="AA1555" s="195"/>
      <c r="AB1555" s="172"/>
    </row>
    <row r="1556" spans="1:28" ht="12.75" customHeight="1" x14ac:dyDescent="0.3">
      <c r="A1556" s="667"/>
      <c r="B1556" s="668" t="s">
        <v>7134</v>
      </c>
      <c r="C1556" s="160" t="s">
        <v>7135</v>
      </c>
      <c r="D1556" s="160"/>
      <c r="E1556" s="439">
        <v>5.64</v>
      </c>
      <c r="F1556" s="161">
        <v>542.02597084000001</v>
      </c>
      <c r="G1556" s="161"/>
      <c r="H1556" s="654"/>
      <c r="I1556" s="654"/>
      <c r="J1556" s="191"/>
      <c r="K1556" s="191">
        <v>454213.46020655602</v>
      </c>
      <c r="L1556" s="191"/>
      <c r="M1556" s="191"/>
      <c r="N1556" s="191"/>
      <c r="O1556" s="191"/>
      <c r="P1556" s="191"/>
      <c r="Q1556" s="191"/>
      <c r="R1556" s="191"/>
      <c r="S1556" s="191"/>
      <c r="T1556" s="191"/>
      <c r="U1556" s="439"/>
      <c r="V1556" s="441"/>
      <c r="W1556" s="178"/>
      <c r="X1556" s="172"/>
      <c r="Y1556" s="172"/>
      <c r="Z1556" s="172"/>
      <c r="AA1556" s="195"/>
      <c r="AB1556" s="172"/>
    </row>
    <row r="1557" spans="1:28" ht="12.75" customHeight="1" x14ac:dyDescent="0.3">
      <c r="A1557" s="667"/>
      <c r="B1557" s="668" t="s">
        <v>7136</v>
      </c>
      <c r="C1557" s="160" t="s">
        <v>7137</v>
      </c>
      <c r="D1557" s="160"/>
      <c r="E1557" s="439">
        <v>3.84</v>
      </c>
      <c r="F1557" s="161">
        <v>590.99603225199996</v>
      </c>
      <c r="G1557" s="161"/>
      <c r="H1557" s="654"/>
      <c r="I1557" s="654"/>
      <c r="J1557" s="191"/>
      <c r="K1557" s="191">
        <v>106103.570835523</v>
      </c>
      <c r="L1557" s="191"/>
      <c r="M1557" s="191"/>
      <c r="N1557" s="191"/>
      <c r="O1557" s="191"/>
      <c r="P1557" s="191"/>
      <c r="Q1557" s="191"/>
      <c r="R1557" s="191"/>
      <c r="S1557" s="191"/>
      <c r="T1557" s="191"/>
      <c r="U1557" s="439"/>
      <c r="V1557" s="441"/>
      <c r="W1557" s="178"/>
      <c r="X1557" s="172"/>
      <c r="Y1557" s="172"/>
      <c r="Z1557" s="172"/>
      <c r="AA1557" s="195"/>
      <c r="AB1557" s="172"/>
    </row>
    <row r="1558" spans="1:28" ht="12.75" customHeight="1" x14ac:dyDescent="0.3">
      <c r="A1558" s="667"/>
      <c r="B1558" s="668" t="s">
        <v>7138</v>
      </c>
      <c r="C1558" s="160" t="s">
        <v>7139</v>
      </c>
      <c r="D1558" s="160"/>
      <c r="E1558" s="439">
        <v>5.88</v>
      </c>
      <c r="F1558" s="161">
        <v>421.01720284999999</v>
      </c>
      <c r="G1558" s="161"/>
      <c r="H1558" s="654"/>
      <c r="I1558" s="654"/>
      <c r="J1558" s="191"/>
      <c r="K1558" s="191">
        <v>18049.700499111601</v>
      </c>
      <c r="L1558" s="191"/>
      <c r="M1558" s="191"/>
      <c r="N1558" s="191"/>
      <c r="O1558" s="191"/>
      <c r="P1558" s="191"/>
      <c r="Q1558" s="191"/>
      <c r="R1558" s="191"/>
      <c r="S1558" s="191"/>
      <c r="T1558" s="191"/>
      <c r="U1558" s="439"/>
      <c r="V1558" s="441"/>
      <c r="W1558" s="178"/>
      <c r="X1558" s="172"/>
      <c r="Y1558" s="172"/>
      <c r="Z1558" s="172"/>
      <c r="AA1558" s="195"/>
      <c r="AB1558" s="172"/>
    </row>
    <row r="1559" spans="1:28" ht="12.75" customHeight="1" x14ac:dyDescent="0.3">
      <c r="A1559" s="667"/>
      <c r="B1559" s="668" t="s">
        <v>7140</v>
      </c>
      <c r="C1559" s="160" t="s">
        <v>7141</v>
      </c>
      <c r="D1559" s="160"/>
      <c r="E1559" s="439">
        <v>6.08</v>
      </c>
      <c r="F1559" s="161">
        <v>321.02359019800002</v>
      </c>
      <c r="G1559" s="161"/>
      <c r="H1559" s="654"/>
      <c r="I1559" s="654"/>
      <c r="J1559" s="191"/>
      <c r="K1559" s="191">
        <v>9347.8126580823991</v>
      </c>
      <c r="L1559" s="191"/>
      <c r="M1559" s="191"/>
      <c r="N1559" s="191"/>
      <c r="O1559" s="191"/>
      <c r="P1559" s="191"/>
      <c r="Q1559" s="191"/>
      <c r="R1559" s="191"/>
      <c r="S1559" s="191"/>
      <c r="T1559" s="191"/>
      <c r="U1559" s="439"/>
      <c r="V1559" s="441"/>
      <c r="W1559" s="178"/>
      <c r="X1559" s="172"/>
      <c r="Y1559" s="172"/>
      <c r="Z1559" s="172"/>
      <c r="AA1559" s="195"/>
      <c r="AB1559" s="172"/>
    </row>
    <row r="1560" spans="1:28" ht="12.75" customHeight="1" x14ac:dyDescent="0.3">
      <c r="A1560" s="667"/>
      <c r="B1560" s="668" t="s">
        <v>7142</v>
      </c>
      <c r="C1560" s="160" t="s">
        <v>7143</v>
      </c>
      <c r="D1560" s="160"/>
      <c r="E1560" s="439"/>
      <c r="F1560" s="161">
        <v>302.01375379000001</v>
      </c>
      <c r="G1560" s="161">
        <v>-4.6749999999999998</v>
      </c>
      <c r="H1560" s="654">
        <v>72.427176500000002</v>
      </c>
      <c r="I1560" s="654">
        <v>24.2117782110859</v>
      </c>
      <c r="J1560" s="191"/>
      <c r="K1560" s="191">
        <v>52.286551575140898</v>
      </c>
      <c r="L1560" s="191"/>
      <c r="M1560" s="191"/>
      <c r="N1560" s="191"/>
      <c r="O1560" s="191"/>
      <c r="P1560" s="191"/>
      <c r="Q1560" s="191"/>
      <c r="R1560" s="191"/>
      <c r="S1560" s="191"/>
      <c r="T1560" s="191"/>
      <c r="U1560" s="439"/>
      <c r="V1560" s="441"/>
      <c r="W1560" s="178"/>
      <c r="X1560" s="172"/>
      <c r="Y1560" s="172"/>
      <c r="Z1560" s="172"/>
      <c r="AA1560" s="195"/>
      <c r="AB1560" s="172"/>
    </row>
    <row r="1561" spans="1:28" ht="12.75" customHeight="1" x14ac:dyDescent="0.3">
      <c r="A1561" s="667"/>
      <c r="B1561" s="668" t="s">
        <v>7144</v>
      </c>
      <c r="C1561" s="160" t="s">
        <v>7145</v>
      </c>
      <c r="D1561" s="160"/>
      <c r="E1561" s="439">
        <v>7.67</v>
      </c>
      <c r="F1561" s="161">
        <v>309.00474645999998</v>
      </c>
      <c r="G1561" s="161">
        <v>-54.024999999999999</v>
      </c>
      <c r="H1561" s="654">
        <v>290.33665262</v>
      </c>
      <c r="I1561" s="654">
        <v>13.7077286572374</v>
      </c>
      <c r="J1561" s="191"/>
      <c r="K1561" s="191">
        <v>269.61869356817903</v>
      </c>
      <c r="L1561" s="191"/>
      <c r="M1561" s="191"/>
      <c r="N1561" s="191"/>
      <c r="O1561" s="191"/>
      <c r="P1561" s="191"/>
      <c r="Q1561" s="191"/>
      <c r="R1561" s="191"/>
      <c r="S1561" s="191"/>
      <c r="T1561" s="191"/>
      <c r="U1561" s="439"/>
      <c r="V1561" s="441"/>
      <c r="W1561" s="178"/>
      <c r="X1561" s="172"/>
      <c r="Y1561" s="172"/>
      <c r="Z1561" s="172"/>
      <c r="AA1561" s="195"/>
      <c r="AB1561" s="172"/>
    </row>
    <row r="1562" spans="1:28" ht="12.75" customHeight="1" x14ac:dyDescent="0.3">
      <c r="A1562" s="667"/>
      <c r="B1562" s="668" t="s">
        <v>7146</v>
      </c>
      <c r="C1562" s="160" t="s">
        <v>7147</v>
      </c>
      <c r="D1562" s="160"/>
      <c r="E1562" s="439"/>
      <c r="F1562" s="161">
        <v>521.88444000000004</v>
      </c>
      <c r="G1562" s="161"/>
      <c r="H1562" s="654"/>
      <c r="I1562" s="654"/>
      <c r="J1562" s="191"/>
      <c r="K1562" s="191">
        <v>5.6338074530917597</v>
      </c>
      <c r="L1562" s="191"/>
      <c r="M1562" s="191"/>
      <c r="N1562" s="191"/>
      <c r="O1562" s="191"/>
      <c r="P1562" s="191"/>
      <c r="Q1562" s="191"/>
      <c r="R1562" s="191"/>
      <c r="S1562" s="191"/>
      <c r="T1562" s="191"/>
      <c r="U1562" s="439"/>
      <c r="V1562" s="441"/>
      <c r="W1562" s="178"/>
      <c r="X1562" s="172"/>
      <c r="Y1562" s="172"/>
      <c r="Z1562" s="172"/>
      <c r="AA1562" s="195"/>
      <c r="AB1562" s="172"/>
    </row>
    <row r="1563" spans="1:28" ht="12.75" customHeight="1" x14ac:dyDescent="0.3">
      <c r="A1563" s="667"/>
      <c r="B1563" s="668" t="s">
        <v>7148</v>
      </c>
      <c r="C1563" s="160" t="s">
        <v>7149</v>
      </c>
      <c r="D1563" s="160"/>
      <c r="E1563" s="439"/>
      <c r="F1563" s="161">
        <v>521.88444000000004</v>
      </c>
      <c r="G1563" s="161"/>
      <c r="H1563" s="654"/>
      <c r="I1563" s="654"/>
      <c r="J1563" s="191"/>
      <c r="K1563" s="191">
        <v>5.6234909427653097</v>
      </c>
      <c r="L1563" s="191"/>
      <c r="M1563" s="191"/>
      <c r="N1563" s="191"/>
      <c r="O1563" s="191"/>
      <c r="P1563" s="191"/>
      <c r="Q1563" s="191"/>
      <c r="R1563" s="191"/>
      <c r="S1563" s="191"/>
      <c r="T1563" s="191"/>
      <c r="U1563" s="439"/>
      <c r="V1563" s="441"/>
      <c r="W1563" s="178"/>
      <c r="X1563" s="172"/>
      <c r="Y1563" s="172"/>
      <c r="Z1563" s="172"/>
      <c r="AA1563" s="195"/>
      <c r="AB1563" s="172"/>
    </row>
    <row r="1564" spans="1:28" ht="12.75" customHeight="1" x14ac:dyDescent="0.3">
      <c r="A1564" s="667"/>
      <c r="B1564" s="668" t="s">
        <v>7150</v>
      </c>
      <c r="C1564" s="160" t="s">
        <v>7151</v>
      </c>
      <c r="D1564" s="160"/>
      <c r="E1564" s="439"/>
      <c r="F1564" s="161">
        <v>671.87486000000001</v>
      </c>
      <c r="G1564" s="161"/>
      <c r="H1564" s="654"/>
      <c r="I1564" s="654"/>
      <c r="J1564" s="191"/>
      <c r="K1564" s="191">
        <v>5.6260942069891904</v>
      </c>
      <c r="L1564" s="191"/>
      <c r="M1564" s="191"/>
      <c r="N1564" s="191"/>
      <c r="O1564" s="191"/>
      <c r="P1564" s="191"/>
      <c r="Q1564" s="191"/>
      <c r="R1564" s="191"/>
      <c r="S1564" s="191"/>
      <c r="T1564" s="191"/>
      <c r="U1564" s="439"/>
      <c r="V1564" s="441"/>
      <c r="W1564" s="178"/>
      <c r="X1564" s="172"/>
      <c r="Y1564" s="172"/>
      <c r="Z1564" s="172"/>
      <c r="AA1564" s="195"/>
      <c r="AB1564" s="172"/>
    </row>
    <row r="1565" spans="1:28" ht="12.75" customHeight="1" x14ac:dyDescent="0.3">
      <c r="A1565" s="667"/>
      <c r="B1565" s="668" t="s">
        <v>7152</v>
      </c>
      <c r="C1565" s="160" t="s">
        <v>7153</v>
      </c>
      <c r="D1565" s="160"/>
      <c r="E1565" s="439"/>
      <c r="F1565" s="161">
        <v>771.86847</v>
      </c>
      <c r="G1565" s="161"/>
      <c r="H1565" s="654"/>
      <c r="I1565" s="654"/>
      <c r="J1565" s="191"/>
      <c r="K1565" s="191">
        <v>5.6653924571253702</v>
      </c>
      <c r="L1565" s="191"/>
      <c r="M1565" s="191"/>
      <c r="N1565" s="191"/>
      <c r="O1565" s="191"/>
      <c r="P1565" s="191"/>
      <c r="Q1565" s="191"/>
      <c r="R1565" s="191"/>
      <c r="S1565" s="191"/>
      <c r="T1565" s="191"/>
      <c r="U1565" s="439"/>
      <c r="V1565" s="441"/>
      <c r="W1565" s="178"/>
      <c r="X1565" s="172"/>
      <c r="Y1565" s="172"/>
      <c r="Z1565" s="172"/>
      <c r="AA1565" s="195"/>
      <c r="AB1565" s="172"/>
    </row>
    <row r="1566" spans="1:28" ht="12.75" customHeight="1" x14ac:dyDescent="0.3">
      <c r="A1566" s="667"/>
      <c r="B1566" s="668" t="s">
        <v>7154</v>
      </c>
      <c r="C1566" s="160" t="s">
        <v>7155</v>
      </c>
      <c r="D1566" s="160"/>
      <c r="E1566" s="439">
        <v>5.66</v>
      </c>
      <c r="F1566" s="161">
        <v>610.98592119700004</v>
      </c>
      <c r="G1566" s="161"/>
      <c r="H1566" s="654"/>
      <c r="I1566" s="654"/>
      <c r="J1566" s="191"/>
      <c r="K1566" s="191">
        <v>5.5976275707688803</v>
      </c>
      <c r="L1566" s="191"/>
      <c r="M1566" s="191"/>
      <c r="N1566" s="191"/>
      <c r="O1566" s="191"/>
      <c r="P1566" s="191"/>
      <c r="Q1566" s="191"/>
      <c r="R1566" s="191"/>
      <c r="S1566" s="191"/>
      <c r="T1566" s="191"/>
      <c r="U1566" s="439"/>
      <c r="V1566" s="441"/>
      <c r="W1566" s="178"/>
      <c r="X1566" s="172"/>
      <c r="Y1566" s="172"/>
      <c r="Z1566" s="172"/>
      <c r="AA1566" s="195"/>
      <c r="AB1566" s="172"/>
    </row>
    <row r="1567" spans="1:28" ht="12.75" customHeight="1" x14ac:dyDescent="0.3">
      <c r="A1567" s="667"/>
      <c r="B1567" s="668" t="s">
        <v>7156</v>
      </c>
      <c r="C1567" s="160" t="s">
        <v>7157</v>
      </c>
      <c r="D1567" s="160"/>
      <c r="E1567" s="439">
        <v>1.23</v>
      </c>
      <c r="F1567" s="161">
        <v>426.96790486200001</v>
      </c>
      <c r="G1567" s="161"/>
      <c r="H1567" s="654"/>
      <c r="I1567" s="654"/>
      <c r="J1567" s="191"/>
      <c r="K1567" s="191">
        <v>5332.1210472698003</v>
      </c>
      <c r="L1567" s="191"/>
      <c r="M1567" s="191"/>
      <c r="N1567" s="191"/>
      <c r="O1567" s="191"/>
      <c r="P1567" s="191"/>
      <c r="Q1567" s="191"/>
      <c r="R1567" s="191"/>
      <c r="S1567" s="191"/>
      <c r="T1567" s="191"/>
      <c r="U1567" s="439"/>
      <c r="V1567" s="441"/>
      <c r="W1567" s="178"/>
      <c r="X1567" s="172"/>
      <c r="Y1567" s="172"/>
      <c r="Z1567" s="172"/>
      <c r="AA1567" s="195"/>
      <c r="AB1567" s="172"/>
    </row>
    <row r="1568" spans="1:28" ht="12.75" customHeight="1" x14ac:dyDescent="0.3">
      <c r="A1568" s="667"/>
      <c r="B1568" s="668" t="s">
        <v>7158</v>
      </c>
      <c r="C1568" s="160" t="s">
        <v>7159</v>
      </c>
      <c r="D1568" s="160"/>
      <c r="E1568" s="439">
        <v>2.15</v>
      </c>
      <c r="F1568" s="161">
        <v>718.15109239000003</v>
      </c>
      <c r="G1568" s="161"/>
      <c r="H1568" s="654"/>
      <c r="I1568" s="654"/>
      <c r="J1568" s="191"/>
      <c r="K1568" s="191">
        <v>232916.36302139601</v>
      </c>
      <c r="L1568" s="191"/>
      <c r="M1568" s="191"/>
      <c r="N1568" s="191"/>
      <c r="O1568" s="191"/>
      <c r="P1568" s="191"/>
      <c r="Q1568" s="191"/>
      <c r="R1568" s="191"/>
      <c r="S1568" s="191"/>
      <c r="T1568" s="191"/>
      <c r="U1568" s="439"/>
      <c r="V1568" s="441"/>
      <c r="W1568" s="178"/>
      <c r="X1568" s="172"/>
      <c r="Y1568" s="172"/>
      <c r="Z1568" s="172"/>
      <c r="AA1568" s="195"/>
      <c r="AB1568" s="172"/>
    </row>
    <row r="1569" spans="1:28" ht="12.75" customHeight="1" x14ac:dyDescent="0.3">
      <c r="A1569" s="667"/>
      <c r="B1569" s="668" t="s">
        <v>7160</v>
      </c>
      <c r="C1569" s="160" t="s">
        <v>6993</v>
      </c>
      <c r="D1569" s="160"/>
      <c r="E1569" s="439">
        <v>8.26</v>
      </c>
      <c r="F1569" s="161">
        <v>712.98949000000005</v>
      </c>
      <c r="G1569" s="161"/>
      <c r="H1569" s="654"/>
      <c r="I1569" s="654"/>
      <c r="J1569" s="191"/>
      <c r="K1569" s="191">
        <v>1175.9801740658399</v>
      </c>
      <c r="L1569" s="191"/>
      <c r="M1569" s="191"/>
      <c r="N1569" s="191"/>
      <c r="O1569" s="191"/>
      <c r="P1569" s="191"/>
      <c r="Q1569" s="191"/>
      <c r="R1569" s="191"/>
      <c r="S1569" s="191"/>
      <c r="T1569" s="191"/>
      <c r="U1569" s="439"/>
      <c r="V1569" s="441"/>
      <c r="W1569" s="178"/>
      <c r="X1569" s="172"/>
      <c r="Y1569" s="172"/>
      <c r="Z1569" s="172"/>
      <c r="AA1569" s="195"/>
      <c r="AB1569" s="172"/>
    </row>
    <row r="1570" spans="1:28" ht="12.75" customHeight="1" x14ac:dyDescent="0.3">
      <c r="A1570" s="667"/>
      <c r="B1570" s="668" t="s">
        <v>7161</v>
      </c>
      <c r="C1570" s="160" t="s">
        <v>7162</v>
      </c>
      <c r="D1570" s="160"/>
      <c r="E1570" s="439">
        <v>1.33</v>
      </c>
      <c r="F1570" s="161">
        <v>527.96879396600002</v>
      </c>
      <c r="G1570" s="161">
        <v>16.765000000000001</v>
      </c>
      <c r="H1570" s="654"/>
      <c r="I1570" s="654">
        <v>0.43511914592155099</v>
      </c>
      <c r="J1570" s="191"/>
      <c r="K1570" s="191">
        <v>1523596.6181198801</v>
      </c>
      <c r="L1570" s="191"/>
      <c r="M1570" s="191"/>
      <c r="N1570" s="191"/>
      <c r="O1570" s="191"/>
      <c r="P1570" s="191"/>
      <c r="Q1570" s="191"/>
      <c r="R1570" s="191"/>
      <c r="S1570" s="191"/>
      <c r="T1570" s="191"/>
      <c r="U1570" s="439"/>
      <c r="V1570" s="441"/>
      <c r="W1570" s="178"/>
      <c r="X1570" s="172"/>
      <c r="Y1570" s="172"/>
      <c r="Z1570" s="172"/>
      <c r="AA1570" s="195"/>
      <c r="AB1570" s="172"/>
    </row>
    <row r="1571" spans="1:28" ht="12.75" customHeight="1" x14ac:dyDescent="0.3">
      <c r="A1571" s="667"/>
      <c r="B1571" s="668" t="s">
        <v>7163</v>
      </c>
      <c r="C1571" s="160" t="s">
        <v>7164</v>
      </c>
      <c r="D1571" s="160"/>
      <c r="E1571" s="439"/>
      <c r="F1571" s="161">
        <v>745.92213230000004</v>
      </c>
      <c r="G1571" s="161">
        <v>10.1</v>
      </c>
      <c r="H1571" s="654">
        <v>0.82966280599999997</v>
      </c>
      <c r="I1571" s="654"/>
      <c r="J1571" s="191"/>
      <c r="K1571" s="191">
        <v>268052585.150047</v>
      </c>
      <c r="L1571" s="191"/>
      <c r="M1571" s="191"/>
      <c r="N1571" s="191"/>
      <c r="O1571" s="191"/>
      <c r="P1571" s="191"/>
      <c r="Q1571" s="191"/>
      <c r="R1571" s="191"/>
      <c r="S1571" s="191"/>
      <c r="T1571" s="191"/>
      <c r="U1571" s="439"/>
      <c r="V1571" s="441"/>
      <c r="W1571" s="178"/>
      <c r="X1571" s="172"/>
      <c r="Y1571" s="172"/>
      <c r="Z1571" s="172"/>
      <c r="AA1571" s="195"/>
      <c r="AB1571" s="172"/>
    </row>
    <row r="1572" spans="1:28" ht="12.75" customHeight="1" x14ac:dyDescent="0.3">
      <c r="A1572" s="667"/>
      <c r="B1572" s="668" t="s">
        <v>7165</v>
      </c>
      <c r="C1572" s="160" t="s">
        <v>7166</v>
      </c>
      <c r="D1572" s="160"/>
      <c r="E1572" s="439"/>
      <c r="F1572" s="161">
        <v>645.92851970000004</v>
      </c>
      <c r="G1572" s="161">
        <v>13.667999999999999</v>
      </c>
      <c r="H1572" s="654">
        <v>1.5028055840000001</v>
      </c>
      <c r="I1572" s="654"/>
      <c r="J1572" s="191"/>
      <c r="K1572" s="191">
        <v>291675532.89394999</v>
      </c>
      <c r="L1572" s="191"/>
      <c r="M1572" s="191"/>
      <c r="N1572" s="191"/>
      <c r="O1572" s="191"/>
      <c r="P1572" s="191"/>
      <c r="Q1572" s="191"/>
      <c r="R1572" s="191"/>
      <c r="S1572" s="191"/>
      <c r="T1572" s="191"/>
      <c r="U1572" s="439"/>
      <c r="V1572" s="441"/>
      <c r="W1572" s="178"/>
      <c r="X1572" s="172"/>
      <c r="Y1572" s="172"/>
      <c r="Z1572" s="172"/>
      <c r="AA1572" s="195"/>
      <c r="AB1572" s="172"/>
    </row>
    <row r="1573" spans="1:28" ht="12.75" customHeight="1" x14ac:dyDescent="0.3">
      <c r="A1573" s="667"/>
      <c r="B1573" s="668" t="s">
        <v>7167</v>
      </c>
      <c r="C1573" s="160" t="s">
        <v>7168</v>
      </c>
      <c r="D1573" s="160"/>
      <c r="E1573" s="439"/>
      <c r="F1573" s="161">
        <v>595.93171329999996</v>
      </c>
      <c r="G1573" s="161">
        <v>-32.715000000000003</v>
      </c>
      <c r="H1573" s="654">
        <v>2.0225614009999999</v>
      </c>
      <c r="I1573" s="654"/>
      <c r="J1573" s="191"/>
      <c r="K1573" s="191">
        <v>142892686.03891799</v>
      </c>
      <c r="L1573" s="191"/>
      <c r="M1573" s="191"/>
      <c r="N1573" s="191"/>
      <c r="O1573" s="191"/>
      <c r="P1573" s="191"/>
      <c r="Q1573" s="191"/>
      <c r="R1573" s="191"/>
      <c r="S1573" s="191"/>
      <c r="T1573" s="191"/>
      <c r="U1573" s="439"/>
      <c r="V1573" s="441"/>
      <c r="W1573" s="178"/>
      <c r="X1573" s="172"/>
      <c r="Y1573" s="172"/>
      <c r="Z1573" s="172"/>
      <c r="AA1573" s="195"/>
      <c r="AB1573" s="172"/>
    </row>
    <row r="1574" spans="1:28" ht="12.75" customHeight="1" x14ac:dyDescent="0.3">
      <c r="A1574" s="667"/>
      <c r="B1574" s="668" t="s">
        <v>7169</v>
      </c>
      <c r="C1574" s="160" t="s">
        <v>7170</v>
      </c>
      <c r="D1574" s="160"/>
      <c r="E1574" s="439"/>
      <c r="F1574" s="161">
        <v>495.93810070000001</v>
      </c>
      <c r="G1574" s="161">
        <v>-29.148</v>
      </c>
      <c r="H1574" s="654">
        <v>3.6635419057999998</v>
      </c>
      <c r="I1574" s="654">
        <v>0.16384307032825901</v>
      </c>
      <c r="J1574" s="191"/>
      <c r="K1574" s="191">
        <v>2941914.1829661699</v>
      </c>
      <c r="L1574" s="191"/>
      <c r="M1574" s="191"/>
      <c r="N1574" s="191"/>
      <c r="O1574" s="191"/>
      <c r="P1574" s="191"/>
      <c r="Q1574" s="191"/>
      <c r="R1574" s="191"/>
      <c r="S1574" s="191"/>
      <c r="T1574" s="191"/>
      <c r="U1574" s="439"/>
      <c r="V1574" s="441"/>
      <c r="W1574" s="178"/>
      <c r="X1574" s="172"/>
      <c r="Y1574" s="172"/>
      <c r="Z1574" s="172"/>
      <c r="AA1574" s="195"/>
      <c r="AB1574" s="172"/>
    </row>
    <row r="1575" spans="1:28" ht="12.75" customHeight="1" x14ac:dyDescent="0.3">
      <c r="A1575" s="667"/>
      <c r="B1575" s="668" t="s">
        <v>7171</v>
      </c>
      <c r="C1575" s="160" t="s">
        <v>7172</v>
      </c>
      <c r="D1575" s="160"/>
      <c r="E1575" s="439"/>
      <c r="F1575" s="161">
        <v>395.94448799999998</v>
      </c>
      <c r="G1575" s="161">
        <v>-17.581</v>
      </c>
      <c r="H1575" s="654">
        <v>6.6359292313999996</v>
      </c>
      <c r="I1575" s="654">
        <v>6.0483292153415897</v>
      </c>
      <c r="J1575" s="191"/>
      <c r="K1575" s="191">
        <v>62595.051343938903</v>
      </c>
      <c r="L1575" s="191"/>
      <c r="M1575" s="191"/>
      <c r="N1575" s="191"/>
      <c r="O1575" s="191"/>
      <c r="P1575" s="191"/>
      <c r="Q1575" s="191"/>
      <c r="R1575" s="191"/>
      <c r="S1575" s="191"/>
      <c r="T1575" s="191"/>
      <c r="U1575" s="439"/>
      <c r="V1575" s="441"/>
      <c r="W1575" s="178"/>
      <c r="X1575" s="172"/>
      <c r="Y1575" s="172"/>
      <c r="Z1575" s="172"/>
      <c r="AA1575" s="195"/>
      <c r="AB1575" s="172"/>
    </row>
    <row r="1576" spans="1:28" ht="12.75" customHeight="1" x14ac:dyDescent="0.3">
      <c r="A1576" s="667"/>
      <c r="B1576" s="668" t="s">
        <v>7173</v>
      </c>
      <c r="C1576" s="160" t="s">
        <v>7174</v>
      </c>
      <c r="D1576" s="160"/>
      <c r="E1576" s="439"/>
      <c r="F1576" s="161">
        <v>345.94768169999998</v>
      </c>
      <c r="G1576" s="161">
        <v>-26.13</v>
      </c>
      <c r="H1576" s="654">
        <v>24.204875743999999</v>
      </c>
      <c r="I1576" s="654">
        <v>24.210871745629099</v>
      </c>
      <c r="J1576" s="191"/>
      <c r="K1576" s="191">
        <v>72955.829549575094</v>
      </c>
      <c r="L1576" s="191"/>
      <c r="M1576" s="191"/>
      <c r="N1576" s="191"/>
      <c r="O1576" s="191"/>
      <c r="P1576" s="191"/>
      <c r="Q1576" s="191"/>
      <c r="R1576" s="191"/>
      <c r="S1576" s="191"/>
      <c r="T1576" s="191"/>
      <c r="U1576" s="439"/>
      <c r="V1576" s="441"/>
      <c r="W1576" s="178"/>
      <c r="X1576" s="172"/>
      <c r="Y1576" s="172"/>
      <c r="Z1576" s="172"/>
      <c r="AA1576" s="195"/>
      <c r="AB1576" s="172"/>
    </row>
    <row r="1577" spans="1:28" ht="12.75" customHeight="1" x14ac:dyDescent="0.3">
      <c r="A1577" s="667"/>
      <c r="B1577" s="668" t="s">
        <v>7175</v>
      </c>
      <c r="C1577" s="160" t="s">
        <v>7176</v>
      </c>
      <c r="D1577" s="160"/>
      <c r="E1577" s="439"/>
      <c r="F1577" s="161">
        <v>541.97862794399998</v>
      </c>
      <c r="G1577" s="161"/>
      <c r="H1577" s="654"/>
      <c r="I1577" s="654"/>
      <c r="J1577" s="191"/>
      <c r="K1577" s="191">
        <v>114059.115653184</v>
      </c>
      <c r="L1577" s="191"/>
      <c r="M1577" s="191"/>
      <c r="N1577" s="191"/>
      <c r="O1577" s="191"/>
      <c r="P1577" s="191"/>
      <c r="Q1577" s="191"/>
      <c r="R1577" s="191"/>
      <c r="S1577" s="191"/>
      <c r="T1577" s="191"/>
      <c r="U1577" s="439"/>
      <c r="V1577" s="441"/>
      <c r="W1577" s="178"/>
      <c r="X1577" s="172"/>
      <c r="Y1577" s="172"/>
      <c r="Z1577" s="172"/>
      <c r="AA1577" s="195"/>
      <c r="AB1577" s="172"/>
    </row>
    <row r="1578" spans="1:28" ht="12.75" customHeight="1" x14ac:dyDescent="0.3">
      <c r="A1578" s="667"/>
      <c r="B1578" s="668" t="s">
        <v>7177</v>
      </c>
      <c r="C1578" s="160" t="s">
        <v>7178</v>
      </c>
      <c r="D1578" s="160"/>
      <c r="E1578" s="439">
        <v>2.69</v>
      </c>
      <c r="F1578" s="161">
        <v>477.98615810799998</v>
      </c>
      <c r="G1578" s="161">
        <v>12.726000000000001</v>
      </c>
      <c r="H1578" s="654">
        <v>3.8985352629999999</v>
      </c>
      <c r="I1578" s="654">
        <v>0.64182547352267905</v>
      </c>
      <c r="J1578" s="191"/>
      <c r="K1578" s="191">
        <v>25190.686319525899</v>
      </c>
      <c r="L1578" s="191"/>
      <c r="M1578" s="191"/>
      <c r="N1578" s="191"/>
      <c r="O1578" s="191"/>
      <c r="P1578" s="191"/>
      <c r="Q1578" s="191"/>
      <c r="R1578" s="191"/>
      <c r="S1578" s="191"/>
      <c r="T1578" s="191"/>
      <c r="U1578" s="439"/>
      <c r="V1578" s="441"/>
      <c r="W1578" s="178"/>
      <c r="X1578" s="172"/>
      <c r="Y1578" s="172"/>
      <c r="Z1578" s="172"/>
      <c r="AA1578" s="195"/>
      <c r="AB1578" s="172"/>
    </row>
    <row r="1579" spans="1:28" ht="12.75" customHeight="1" x14ac:dyDescent="0.3">
      <c r="A1579" s="667"/>
      <c r="B1579" s="668" t="s">
        <v>7179</v>
      </c>
      <c r="C1579" s="160" t="s">
        <v>7180</v>
      </c>
      <c r="D1579" s="160"/>
      <c r="E1579" s="439">
        <v>2.72</v>
      </c>
      <c r="F1579" s="161">
        <v>377.99254545600002</v>
      </c>
      <c r="G1579" s="161">
        <v>13.657</v>
      </c>
      <c r="H1579" s="654">
        <v>33.411959742000001</v>
      </c>
      <c r="I1579" s="654">
        <v>3.1295590406993101</v>
      </c>
      <c r="J1579" s="191"/>
      <c r="K1579" s="191">
        <v>4408.3899130587197</v>
      </c>
      <c r="L1579" s="191"/>
      <c r="M1579" s="191"/>
      <c r="N1579" s="191"/>
      <c r="O1579" s="191"/>
      <c r="P1579" s="191"/>
      <c r="Q1579" s="191"/>
      <c r="R1579" s="191"/>
      <c r="S1579" s="191"/>
      <c r="T1579" s="191"/>
      <c r="U1579" s="439"/>
      <c r="V1579" s="441"/>
      <c r="W1579" s="178"/>
      <c r="X1579" s="172"/>
      <c r="Y1579" s="172"/>
      <c r="Z1579" s="172"/>
      <c r="AA1579" s="195"/>
      <c r="AB1579" s="172"/>
    </row>
    <row r="1580" spans="1:28" ht="12.75" customHeight="1" x14ac:dyDescent="0.3">
      <c r="A1580" s="667"/>
      <c r="B1580" s="668" t="s">
        <v>7181</v>
      </c>
      <c r="C1580" s="160" t="s">
        <v>7182</v>
      </c>
      <c r="D1580" s="160"/>
      <c r="E1580" s="439">
        <v>9.8699999999999992</v>
      </c>
      <c r="F1580" s="161">
        <v>863.98134416000005</v>
      </c>
      <c r="G1580" s="161">
        <v>45.267000000000003</v>
      </c>
      <c r="H1580" s="654"/>
      <c r="I1580" s="654"/>
      <c r="J1580" s="191"/>
      <c r="K1580" s="191">
        <v>272546.11765405198</v>
      </c>
      <c r="L1580" s="191"/>
      <c r="M1580" s="191"/>
      <c r="N1580" s="191"/>
      <c r="O1580" s="191"/>
      <c r="P1580" s="191"/>
      <c r="Q1580" s="191"/>
      <c r="R1580" s="191"/>
      <c r="S1580" s="191"/>
      <c r="T1580" s="191"/>
      <c r="U1580" s="439"/>
      <c r="V1580" s="441"/>
      <c r="W1580" s="178"/>
      <c r="X1580" s="172"/>
      <c r="Y1580" s="172"/>
      <c r="Z1580" s="172"/>
      <c r="AA1580" s="195"/>
      <c r="AB1580" s="172"/>
    </row>
    <row r="1581" spans="1:28" ht="12.75" customHeight="1" x14ac:dyDescent="0.3">
      <c r="A1581" s="667"/>
      <c r="B1581" s="668" t="s">
        <v>7183</v>
      </c>
      <c r="C1581" s="160" t="s">
        <v>7184</v>
      </c>
      <c r="D1581" s="160"/>
      <c r="E1581" s="439">
        <v>6.81</v>
      </c>
      <c r="F1581" s="161">
        <v>923.96143340900005</v>
      </c>
      <c r="G1581" s="161"/>
      <c r="H1581" s="654"/>
      <c r="I1581" s="654"/>
      <c r="J1581" s="191"/>
      <c r="K1581" s="191">
        <v>292866.70428892202</v>
      </c>
      <c r="L1581" s="191"/>
      <c r="M1581" s="191"/>
      <c r="N1581" s="191"/>
      <c r="O1581" s="191"/>
      <c r="P1581" s="191"/>
      <c r="Q1581" s="191"/>
      <c r="R1581" s="191"/>
      <c r="S1581" s="191"/>
      <c r="T1581" s="191"/>
      <c r="U1581" s="439"/>
      <c r="V1581" s="441"/>
      <c r="W1581" s="178"/>
      <c r="X1581" s="172"/>
      <c r="Y1581" s="172"/>
      <c r="Z1581" s="172"/>
      <c r="AA1581" s="195"/>
      <c r="AB1581" s="172"/>
    </row>
    <row r="1582" spans="1:28" ht="12.75" customHeight="1" x14ac:dyDescent="0.3">
      <c r="A1582" s="667"/>
      <c r="B1582" s="668" t="s">
        <v>7185</v>
      </c>
      <c r="C1582" s="160" t="s">
        <v>7186</v>
      </c>
      <c r="D1582" s="160"/>
      <c r="E1582" s="439">
        <v>9.8699999999999992</v>
      </c>
      <c r="F1582" s="161">
        <v>763.98773150800002</v>
      </c>
      <c r="G1582" s="161">
        <v>37.003999999999998</v>
      </c>
      <c r="H1582" s="654">
        <v>0.57796553541999995</v>
      </c>
      <c r="I1582" s="654"/>
      <c r="J1582" s="191"/>
      <c r="K1582" s="191">
        <v>256832.51230038601</v>
      </c>
      <c r="L1582" s="191"/>
      <c r="M1582" s="191"/>
      <c r="N1582" s="191"/>
      <c r="O1582" s="191"/>
      <c r="P1582" s="191"/>
      <c r="Q1582" s="191"/>
      <c r="R1582" s="191"/>
      <c r="S1582" s="191"/>
      <c r="T1582" s="191"/>
      <c r="U1582" s="439"/>
      <c r="V1582" s="441"/>
      <c r="W1582" s="178"/>
      <c r="X1582" s="172"/>
      <c r="Y1582" s="172"/>
      <c r="Z1582" s="172"/>
      <c r="AA1582" s="195"/>
      <c r="AB1582" s="172"/>
    </row>
    <row r="1583" spans="1:28" ht="12.75" customHeight="1" x14ac:dyDescent="0.3">
      <c r="A1583" s="667"/>
      <c r="B1583" s="668" t="s">
        <v>7187</v>
      </c>
      <c r="C1583" s="160" t="s">
        <v>7188</v>
      </c>
      <c r="D1583" s="160"/>
      <c r="E1583" s="439"/>
      <c r="F1583" s="161">
        <v>832.01394625700004</v>
      </c>
      <c r="G1583" s="161">
        <v>-11.86</v>
      </c>
      <c r="H1583" s="654"/>
      <c r="I1583" s="654"/>
      <c r="J1583" s="191"/>
      <c r="K1583" s="191">
        <v>265289.46261208202</v>
      </c>
      <c r="L1583" s="191"/>
      <c r="M1583" s="191"/>
      <c r="N1583" s="191"/>
      <c r="O1583" s="191"/>
      <c r="P1583" s="191"/>
      <c r="Q1583" s="191"/>
      <c r="R1583" s="191"/>
      <c r="S1583" s="191"/>
      <c r="T1583" s="191"/>
      <c r="U1583" s="439"/>
      <c r="V1583" s="441"/>
      <c r="W1583" s="178"/>
      <c r="X1583" s="172"/>
      <c r="Y1583" s="172"/>
      <c r="Z1583" s="172"/>
      <c r="AA1583" s="195"/>
      <c r="AB1583" s="172"/>
    </row>
    <row r="1584" spans="1:28" ht="12.75" customHeight="1" x14ac:dyDescent="0.3">
      <c r="A1584" s="667"/>
      <c r="B1584" s="668" t="s">
        <v>7189</v>
      </c>
      <c r="C1584" s="160" t="s">
        <v>7190</v>
      </c>
      <c r="D1584" s="160"/>
      <c r="E1584" s="439"/>
      <c r="F1584" s="161">
        <v>817.998296192</v>
      </c>
      <c r="G1584" s="161">
        <v>-43.689</v>
      </c>
      <c r="H1584" s="654">
        <v>6.4550779383999997</v>
      </c>
      <c r="I1584" s="654"/>
      <c r="J1584" s="191"/>
      <c r="K1584" s="191">
        <v>254272.855369</v>
      </c>
      <c r="L1584" s="191"/>
      <c r="M1584" s="191"/>
      <c r="N1584" s="191"/>
      <c r="O1584" s="191"/>
      <c r="P1584" s="191"/>
      <c r="Q1584" s="191"/>
      <c r="R1584" s="191"/>
      <c r="S1584" s="191"/>
      <c r="T1584" s="191"/>
      <c r="U1584" s="439"/>
      <c r="V1584" s="441"/>
      <c r="W1584" s="178"/>
      <c r="X1584" s="172"/>
      <c r="Y1584" s="172"/>
      <c r="Z1584" s="172"/>
      <c r="AA1584" s="195"/>
      <c r="AB1584" s="172"/>
    </row>
    <row r="1585" spans="1:28" ht="12.75" customHeight="1" x14ac:dyDescent="0.3">
      <c r="A1585" s="667"/>
      <c r="B1585" s="668" t="s">
        <v>7191</v>
      </c>
      <c r="C1585" s="160" t="s">
        <v>7192</v>
      </c>
      <c r="D1585" s="160"/>
      <c r="E1585" s="439">
        <v>6.81</v>
      </c>
      <c r="F1585" s="161">
        <v>823.96782075700003</v>
      </c>
      <c r="G1585" s="161"/>
      <c r="H1585" s="654"/>
      <c r="I1585" s="654"/>
      <c r="J1585" s="191"/>
      <c r="K1585" s="191">
        <v>299564.26144135802</v>
      </c>
      <c r="L1585" s="191"/>
      <c r="M1585" s="191"/>
      <c r="N1585" s="191"/>
      <c r="O1585" s="191"/>
      <c r="P1585" s="191"/>
      <c r="Q1585" s="191"/>
      <c r="R1585" s="191"/>
      <c r="S1585" s="191"/>
      <c r="T1585" s="191"/>
      <c r="U1585" s="439"/>
      <c r="V1585" s="441"/>
      <c r="W1585" s="178"/>
      <c r="X1585" s="172"/>
      <c r="Y1585" s="172"/>
      <c r="Z1585" s="172"/>
      <c r="AA1585" s="195"/>
      <c r="AB1585" s="172"/>
    </row>
    <row r="1586" spans="1:28" ht="12.75" customHeight="1" x14ac:dyDescent="0.3">
      <c r="A1586" s="667"/>
      <c r="B1586" s="668" t="s">
        <v>7193</v>
      </c>
      <c r="C1586" s="160" t="s">
        <v>7194</v>
      </c>
      <c r="D1586" s="160"/>
      <c r="E1586" s="439"/>
      <c r="F1586" s="161">
        <v>725.99092518199996</v>
      </c>
      <c r="G1586" s="161"/>
      <c r="H1586" s="654"/>
      <c r="I1586" s="654"/>
      <c r="J1586" s="191"/>
      <c r="K1586" s="191">
        <v>364527.25061101199</v>
      </c>
      <c r="L1586" s="191"/>
      <c r="M1586" s="191"/>
      <c r="N1586" s="191"/>
      <c r="O1586" s="191"/>
      <c r="P1586" s="191"/>
      <c r="Q1586" s="191"/>
      <c r="R1586" s="191"/>
      <c r="S1586" s="191"/>
      <c r="T1586" s="191"/>
      <c r="U1586" s="439"/>
      <c r="V1586" s="441"/>
      <c r="W1586" s="178"/>
      <c r="X1586" s="172"/>
      <c r="Y1586" s="172"/>
      <c r="Z1586" s="172"/>
      <c r="AA1586" s="195"/>
      <c r="AB1586" s="172"/>
    </row>
    <row r="1587" spans="1:28" ht="12.75" customHeight="1" x14ac:dyDescent="0.3">
      <c r="A1587" s="667"/>
      <c r="B1587" s="668" t="s">
        <v>7195</v>
      </c>
      <c r="C1587" s="160" t="s">
        <v>7196</v>
      </c>
      <c r="D1587" s="160"/>
      <c r="E1587" s="439"/>
      <c r="F1587" s="161">
        <v>773.89585</v>
      </c>
      <c r="G1587" s="161">
        <v>-11.861000000000001</v>
      </c>
      <c r="H1587" s="654">
        <v>19.404483811999999</v>
      </c>
      <c r="I1587" s="654"/>
      <c r="J1587" s="191"/>
      <c r="K1587" s="191">
        <v>380093.11248665699</v>
      </c>
      <c r="L1587" s="191"/>
      <c r="M1587" s="191"/>
      <c r="N1587" s="191"/>
      <c r="O1587" s="191"/>
      <c r="P1587" s="191"/>
      <c r="Q1587" s="191"/>
      <c r="R1587" s="191"/>
      <c r="S1587" s="191"/>
      <c r="T1587" s="191"/>
      <c r="U1587" s="439"/>
      <c r="V1587" s="441"/>
      <c r="W1587" s="178"/>
      <c r="X1587" s="172"/>
      <c r="Y1587" s="172"/>
      <c r="Z1587" s="172"/>
      <c r="AA1587" s="195"/>
      <c r="AB1587" s="172"/>
    </row>
    <row r="1588" spans="1:28" ht="12.75" customHeight="1" x14ac:dyDescent="0.3">
      <c r="A1588" s="667"/>
      <c r="B1588" s="668" t="s">
        <v>7197</v>
      </c>
      <c r="C1588" s="160" t="s">
        <v>7198</v>
      </c>
      <c r="D1588" s="160"/>
      <c r="E1588" s="439">
        <v>9.8699999999999992</v>
      </c>
      <c r="F1588" s="161">
        <v>663.994118856</v>
      </c>
      <c r="G1588" s="161">
        <v>28.905999999999999</v>
      </c>
      <c r="H1588" s="654">
        <v>3.1688506247999899</v>
      </c>
      <c r="I1588" s="654"/>
      <c r="J1588" s="191"/>
      <c r="K1588" s="191">
        <v>305780.65034761903</v>
      </c>
      <c r="L1588" s="191"/>
      <c r="M1588" s="191"/>
      <c r="N1588" s="191"/>
      <c r="O1588" s="191"/>
      <c r="P1588" s="191"/>
      <c r="Q1588" s="191"/>
      <c r="R1588" s="191"/>
      <c r="S1588" s="191"/>
      <c r="T1588" s="191"/>
      <c r="U1588" s="439"/>
      <c r="V1588" s="441"/>
      <c r="W1588" s="178"/>
      <c r="X1588" s="172"/>
      <c r="Y1588" s="172"/>
      <c r="Z1588" s="172"/>
      <c r="AA1588" s="195"/>
      <c r="AB1588" s="172"/>
    </row>
    <row r="1589" spans="1:28" ht="12.75" customHeight="1" x14ac:dyDescent="0.3">
      <c r="A1589" s="667"/>
      <c r="B1589" s="668" t="s">
        <v>7199</v>
      </c>
      <c r="C1589" s="160" t="s">
        <v>7200</v>
      </c>
      <c r="D1589" s="160"/>
      <c r="E1589" s="439"/>
      <c r="F1589" s="161">
        <v>732.02033360500002</v>
      </c>
      <c r="G1589" s="161">
        <v>-8.2929999999999993</v>
      </c>
      <c r="H1589" s="654">
        <v>9.6139427453999993</v>
      </c>
      <c r="I1589" s="654"/>
      <c r="J1589" s="191"/>
      <c r="K1589" s="191">
        <v>243455.729661747</v>
      </c>
      <c r="L1589" s="191"/>
      <c r="M1589" s="191"/>
      <c r="N1589" s="191"/>
      <c r="O1589" s="191"/>
      <c r="P1589" s="191"/>
      <c r="Q1589" s="191"/>
      <c r="R1589" s="191"/>
      <c r="S1589" s="191"/>
      <c r="T1589" s="191"/>
      <c r="U1589" s="439"/>
      <c r="V1589" s="441"/>
      <c r="W1589" s="178"/>
      <c r="X1589" s="172"/>
      <c r="Y1589" s="172"/>
      <c r="Z1589" s="172"/>
      <c r="AA1589" s="195"/>
      <c r="AB1589" s="172"/>
    </row>
    <row r="1590" spans="1:28" ht="12.75" customHeight="1" x14ac:dyDescent="0.3">
      <c r="A1590" s="667"/>
      <c r="B1590" s="668" t="s">
        <v>7201</v>
      </c>
      <c r="C1590" s="160" t="s">
        <v>7202</v>
      </c>
      <c r="D1590" s="160"/>
      <c r="E1590" s="439"/>
      <c r="F1590" s="161">
        <v>718.00468353999997</v>
      </c>
      <c r="G1590" s="161">
        <v>-40.122</v>
      </c>
      <c r="H1590" s="654">
        <v>11.6923527322</v>
      </c>
      <c r="I1590" s="654"/>
      <c r="J1590" s="191"/>
      <c r="K1590" s="191">
        <v>247331.823828355</v>
      </c>
      <c r="L1590" s="191"/>
      <c r="M1590" s="191"/>
      <c r="N1590" s="191"/>
      <c r="O1590" s="191"/>
      <c r="P1590" s="191"/>
      <c r="Q1590" s="191"/>
      <c r="R1590" s="191"/>
      <c r="S1590" s="191"/>
      <c r="T1590" s="191"/>
      <c r="U1590" s="439"/>
      <c r="V1590" s="441"/>
      <c r="W1590" s="178"/>
      <c r="X1590" s="172"/>
      <c r="Y1590" s="172"/>
      <c r="Z1590" s="172"/>
      <c r="AA1590" s="195"/>
      <c r="AB1590" s="172"/>
    </row>
    <row r="1591" spans="1:28" ht="12.75" customHeight="1" x14ac:dyDescent="0.3">
      <c r="A1591" s="667"/>
      <c r="B1591" s="668" t="s">
        <v>7203</v>
      </c>
      <c r="C1591" s="160" t="s">
        <v>7204</v>
      </c>
      <c r="D1591" s="160"/>
      <c r="E1591" s="439">
        <v>6.81</v>
      </c>
      <c r="F1591" s="161">
        <v>723.974208105</v>
      </c>
      <c r="G1591" s="161"/>
      <c r="H1591" s="654"/>
      <c r="I1591" s="654"/>
      <c r="J1591" s="191"/>
      <c r="K1591" s="191">
        <v>771969.24761025095</v>
      </c>
      <c r="L1591" s="191"/>
      <c r="M1591" s="191"/>
      <c r="N1591" s="191"/>
      <c r="O1591" s="191"/>
      <c r="P1591" s="191"/>
      <c r="Q1591" s="191"/>
      <c r="R1591" s="191"/>
      <c r="S1591" s="191"/>
      <c r="T1591" s="191"/>
      <c r="U1591" s="439"/>
      <c r="V1591" s="441"/>
      <c r="W1591" s="178"/>
      <c r="X1591" s="172"/>
      <c r="Y1591" s="172"/>
      <c r="Z1591" s="172"/>
      <c r="AA1591" s="195"/>
      <c r="AB1591" s="172"/>
    </row>
    <row r="1592" spans="1:28" ht="12.75" customHeight="1" x14ac:dyDescent="0.3">
      <c r="A1592" s="667"/>
      <c r="B1592" s="668" t="s">
        <v>7205</v>
      </c>
      <c r="C1592" s="160" t="s">
        <v>7206</v>
      </c>
      <c r="D1592" s="160"/>
      <c r="E1592" s="439"/>
      <c r="F1592" s="161">
        <v>625.99731253000004</v>
      </c>
      <c r="G1592" s="161"/>
      <c r="H1592" s="654"/>
      <c r="I1592" s="654"/>
      <c r="J1592" s="191"/>
      <c r="K1592" s="191">
        <v>482903.107376609</v>
      </c>
      <c r="L1592" s="191"/>
      <c r="M1592" s="191"/>
      <c r="N1592" s="191"/>
      <c r="O1592" s="191"/>
      <c r="P1592" s="191"/>
      <c r="Q1592" s="191"/>
      <c r="R1592" s="191"/>
      <c r="S1592" s="191"/>
      <c r="T1592" s="191"/>
      <c r="U1592" s="439"/>
      <c r="V1592" s="441"/>
      <c r="W1592" s="178"/>
      <c r="X1592" s="172"/>
      <c r="Y1592" s="172"/>
      <c r="Z1592" s="172"/>
      <c r="AA1592" s="195"/>
      <c r="AB1592" s="172"/>
    </row>
    <row r="1593" spans="1:28" ht="12.75" customHeight="1" x14ac:dyDescent="0.3">
      <c r="A1593" s="667"/>
      <c r="B1593" s="668" t="s">
        <v>7207</v>
      </c>
      <c r="C1593" s="160" t="s">
        <v>7208</v>
      </c>
      <c r="D1593" s="160"/>
      <c r="E1593" s="439"/>
      <c r="F1593" s="161">
        <v>682.02352727899995</v>
      </c>
      <c r="G1593" s="161"/>
      <c r="H1593" s="654"/>
      <c r="I1593" s="654"/>
      <c r="J1593" s="191"/>
      <c r="K1593" s="191">
        <v>278048.143704088</v>
      </c>
      <c r="L1593" s="191"/>
      <c r="M1593" s="191"/>
      <c r="N1593" s="191"/>
      <c r="O1593" s="191"/>
      <c r="P1593" s="191"/>
      <c r="Q1593" s="191"/>
      <c r="R1593" s="191"/>
      <c r="S1593" s="191"/>
      <c r="T1593" s="191"/>
      <c r="U1593" s="439"/>
      <c r="V1593" s="441"/>
      <c r="W1593" s="178"/>
      <c r="X1593" s="172"/>
      <c r="Y1593" s="172"/>
      <c r="Z1593" s="172"/>
      <c r="AA1593" s="195"/>
      <c r="AB1593" s="172"/>
    </row>
    <row r="1594" spans="1:28" ht="12.75" customHeight="1" x14ac:dyDescent="0.3">
      <c r="A1594" s="667"/>
      <c r="B1594" s="668" t="s">
        <v>7209</v>
      </c>
      <c r="C1594" s="160" t="s">
        <v>7210</v>
      </c>
      <c r="D1594" s="160"/>
      <c r="E1594" s="439">
        <v>8.9120000000000008</v>
      </c>
      <c r="F1594" s="161">
        <v>668.00787721400002</v>
      </c>
      <c r="G1594" s="161">
        <v>-43.222000000000001</v>
      </c>
      <c r="H1594" s="654">
        <v>22.024261112000001</v>
      </c>
      <c r="I1594" s="654"/>
      <c r="J1594" s="191"/>
      <c r="K1594" s="191">
        <v>267319.10597821599</v>
      </c>
      <c r="L1594" s="191"/>
      <c r="M1594" s="191"/>
      <c r="N1594" s="191"/>
      <c r="O1594" s="191"/>
      <c r="P1594" s="191"/>
      <c r="Q1594" s="191"/>
      <c r="R1594" s="191"/>
      <c r="S1594" s="191"/>
      <c r="T1594" s="191"/>
      <c r="U1594" s="439"/>
      <c r="V1594" s="441"/>
      <c r="W1594" s="178"/>
      <c r="X1594" s="172"/>
      <c r="Y1594" s="172"/>
      <c r="Z1594" s="172"/>
      <c r="AA1594" s="195"/>
      <c r="AB1594" s="172"/>
    </row>
    <row r="1595" spans="1:28" ht="12.75" customHeight="1" x14ac:dyDescent="0.3">
      <c r="A1595" s="667"/>
      <c r="B1595" s="668" t="s">
        <v>7211</v>
      </c>
      <c r="C1595" s="160" t="s">
        <v>7212</v>
      </c>
      <c r="D1595" s="160"/>
      <c r="E1595" s="439">
        <v>8.0449999999999999</v>
      </c>
      <c r="F1595" s="161">
        <v>545.98994152</v>
      </c>
      <c r="G1595" s="161">
        <v>-68.897000000000006</v>
      </c>
      <c r="H1595" s="654">
        <v>424.52391239999997</v>
      </c>
      <c r="I1595" s="654"/>
      <c r="J1595" s="191"/>
      <c r="K1595" s="191">
        <v>146140.30183752399</v>
      </c>
      <c r="L1595" s="191"/>
      <c r="M1595" s="191"/>
      <c r="N1595" s="191"/>
      <c r="O1595" s="191"/>
      <c r="P1595" s="191"/>
      <c r="Q1595" s="191"/>
      <c r="R1595" s="191"/>
      <c r="S1595" s="191"/>
      <c r="T1595" s="191"/>
      <c r="U1595" s="439"/>
      <c r="V1595" s="441"/>
      <c r="W1595" s="178"/>
      <c r="X1595" s="172"/>
      <c r="Y1595" s="172"/>
      <c r="Z1595" s="172"/>
      <c r="AA1595" s="195"/>
      <c r="AB1595" s="172"/>
    </row>
    <row r="1596" spans="1:28" ht="12.75" customHeight="1" x14ac:dyDescent="0.3">
      <c r="A1596" s="667"/>
      <c r="B1596" s="668" t="s">
        <v>7213</v>
      </c>
      <c r="C1596" s="160" t="s">
        <v>7214</v>
      </c>
      <c r="D1596" s="160"/>
      <c r="E1596" s="439"/>
      <c r="F1596" s="161">
        <v>673.90224000000001</v>
      </c>
      <c r="G1596" s="161">
        <v>-10.893000000000001</v>
      </c>
      <c r="H1596" s="654">
        <v>35.148078826000003</v>
      </c>
      <c r="I1596" s="654"/>
      <c r="J1596" s="191"/>
      <c r="K1596" s="191">
        <v>538059.12371293304</v>
      </c>
      <c r="L1596" s="191"/>
      <c r="M1596" s="191"/>
      <c r="N1596" s="191"/>
      <c r="O1596" s="191"/>
      <c r="P1596" s="191"/>
      <c r="Q1596" s="191"/>
      <c r="R1596" s="191"/>
      <c r="S1596" s="191"/>
      <c r="T1596" s="191"/>
      <c r="U1596" s="439"/>
      <c r="V1596" s="441"/>
      <c r="W1596" s="178"/>
      <c r="X1596" s="172"/>
      <c r="Y1596" s="172"/>
      <c r="Z1596" s="172"/>
      <c r="AA1596" s="195"/>
      <c r="AB1596" s="172"/>
    </row>
    <row r="1597" spans="1:28" ht="12.75" customHeight="1" x14ac:dyDescent="0.3">
      <c r="A1597" s="667"/>
      <c r="B1597" s="668" t="s">
        <v>7215</v>
      </c>
      <c r="C1597" s="160" t="s">
        <v>7216</v>
      </c>
      <c r="D1597" s="160"/>
      <c r="E1597" s="439">
        <v>5.97</v>
      </c>
      <c r="F1597" s="161">
        <v>598.02482924699996</v>
      </c>
      <c r="G1597" s="161"/>
      <c r="H1597" s="654"/>
      <c r="I1597" s="654"/>
      <c r="J1597" s="191"/>
      <c r="K1597" s="191">
        <v>104023.14980305301</v>
      </c>
      <c r="L1597" s="191"/>
      <c r="M1597" s="191"/>
      <c r="N1597" s="191"/>
      <c r="O1597" s="191"/>
      <c r="P1597" s="191"/>
      <c r="Q1597" s="191"/>
      <c r="R1597" s="191"/>
      <c r="S1597" s="191"/>
      <c r="T1597" s="191"/>
      <c r="U1597" s="439"/>
      <c r="V1597" s="441"/>
      <c r="W1597" s="178"/>
      <c r="X1597" s="172"/>
      <c r="Y1597" s="172"/>
      <c r="Z1597" s="172"/>
      <c r="AA1597" s="195"/>
      <c r="AB1597" s="172"/>
    </row>
    <row r="1598" spans="1:28" ht="12.75" customHeight="1" x14ac:dyDescent="0.3">
      <c r="A1598" s="667"/>
      <c r="B1598" s="668" t="s">
        <v>7217</v>
      </c>
      <c r="C1598" s="160" t="s">
        <v>7218</v>
      </c>
      <c r="D1598" s="160"/>
      <c r="E1598" s="439"/>
      <c r="F1598" s="161">
        <v>526.00369987800002</v>
      </c>
      <c r="G1598" s="161"/>
      <c r="H1598" s="654"/>
      <c r="I1598" s="654"/>
      <c r="J1598" s="191"/>
      <c r="K1598" s="191">
        <v>127696.79580759699</v>
      </c>
      <c r="L1598" s="191"/>
      <c r="M1598" s="191"/>
      <c r="N1598" s="191"/>
      <c r="O1598" s="191"/>
      <c r="P1598" s="191"/>
      <c r="Q1598" s="191"/>
      <c r="R1598" s="191"/>
      <c r="S1598" s="191"/>
      <c r="T1598" s="191"/>
      <c r="U1598" s="439"/>
      <c r="V1598" s="441"/>
      <c r="W1598" s="178"/>
      <c r="X1598" s="172"/>
      <c r="Y1598" s="172"/>
      <c r="Z1598" s="172"/>
      <c r="AA1598" s="195"/>
      <c r="AB1598" s="172"/>
    </row>
    <row r="1599" spans="1:28" ht="12.75" customHeight="1" x14ac:dyDescent="0.3">
      <c r="A1599" s="667"/>
      <c r="B1599" s="668" t="s">
        <v>7219</v>
      </c>
      <c r="C1599" s="160" t="s">
        <v>7220</v>
      </c>
      <c r="D1599" s="160"/>
      <c r="E1599" s="439">
        <v>8.1839999999999993</v>
      </c>
      <c r="F1599" s="161">
        <v>582.02991462700004</v>
      </c>
      <c r="G1599" s="161">
        <v>-55.993000000000002</v>
      </c>
      <c r="H1599" s="654">
        <v>32.802144914000003</v>
      </c>
      <c r="I1599" s="654">
        <v>6.2653774219852604E-2</v>
      </c>
      <c r="J1599" s="191"/>
      <c r="K1599" s="191">
        <v>172734.86304977199</v>
      </c>
      <c r="L1599" s="191"/>
      <c r="M1599" s="191"/>
      <c r="N1599" s="191"/>
      <c r="O1599" s="191"/>
      <c r="P1599" s="191"/>
      <c r="Q1599" s="191"/>
      <c r="R1599" s="191"/>
      <c r="S1599" s="191"/>
      <c r="T1599" s="191"/>
      <c r="U1599" s="439"/>
      <c r="V1599" s="441"/>
      <c r="W1599" s="178"/>
      <c r="X1599" s="172"/>
      <c r="Y1599" s="172"/>
      <c r="Z1599" s="172"/>
      <c r="AA1599" s="195"/>
      <c r="AB1599" s="172"/>
    </row>
    <row r="1600" spans="1:28" ht="12.75" customHeight="1" x14ac:dyDescent="0.3">
      <c r="A1600" s="667"/>
      <c r="B1600" s="668" t="s">
        <v>7221</v>
      </c>
      <c r="C1600" s="160" t="s">
        <v>7222</v>
      </c>
      <c r="D1600" s="160"/>
      <c r="E1600" s="439"/>
      <c r="F1600" s="161">
        <v>568.01426456199999</v>
      </c>
      <c r="G1600" s="161"/>
      <c r="H1600" s="654"/>
      <c r="I1600" s="654"/>
      <c r="J1600" s="191"/>
      <c r="K1600" s="191">
        <v>159118.252299346</v>
      </c>
      <c r="L1600" s="191"/>
      <c r="M1600" s="191"/>
      <c r="N1600" s="191"/>
      <c r="O1600" s="191"/>
      <c r="P1600" s="191"/>
      <c r="Q1600" s="191"/>
      <c r="R1600" s="191"/>
      <c r="S1600" s="191"/>
      <c r="T1600" s="191"/>
      <c r="U1600" s="439"/>
      <c r="V1600" s="441"/>
      <c r="W1600" s="178"/>
      <c r="X1600" s="172"/>
      <c r="Y1600" s="172"/>
      <c r="Z1600" s="172"/>
      <c r="AA1600" s="195"/>
      <c r="AB1600" s="172"/>
    </row>
    <row r="1601" spans="1:28" ht="12.75" customHeight="1" x14ac:dyDescent="0.3">
      <c r="A1601" s="667"/>
      <c r="B1601" s="668" t="s">
        <v>7223</v>
      </c>
      <c r="C1601" s="160" t="s">
        <v>7013</v>
      </c>
      <c r="D1601" s="160"/>
      <c r="E1601" s="439">
        <v>6.84</v>
      </c>
      <c r="F1601" s="161">
        <v>693.00324999999998</v>
      </c>
      <c r="G1601" s="161"/>
      <c r="H1601" s="654"/>
      <c r="I1601" s="654"/>
      <c r="J1601" s="191"/>
      <c r="K1601" s="191">
        <v>24.312521347484999</v>
      </c>
      <c r="L1601" s="191"/>
      <c r="M1601" s="191"/>
      <c r="N1601" s="191"/>
      <c r="O1601" s="191"/>
      <c r="P1601" s="191"/>
      <c r="Q1601" s="191"/>
      <c r="R1601" s="191"/>
      <c r="S1601" s="191"/>
      <c r="T1601" s="191"/>
      <c r="U1601" s="439"/>
      <c r="V1601" s="441"/>
      <c r="W1601" s="178"/>
      <c r="X1601" s="172"/>
      <c r="Y1601" s="172"/>
      <c r="Z1601" s="172"/>
      <c r="AA1601" s="195"/>
      <c r="AB1601" s="172"/>
    </row>
    <row r="1602" spans="1:28" ht="12.75" customHeight="1" x14ac:dyDescent="0.3">
      <c r="A1602" s="667"/>
      <c r="B1602" s="668" t="s">
        <v>7224</v>
      </c>
      <c r="C1602" s="160" t="s">
        <v>7225</v>
      </c>
      <c r="D1602" s="160"/>
      <c r="E1602" s="439"/>
      <c r="F1602" s="161">
        <v>545.93490699999995</v>
      </c>
      <c r="G1602" s="161">
        <v>-30.931999999999999</v>
      </c>
      <c r="H1602" s="654">
        <v>2.7220886028</v>
      </c>
      <c r="I1602" s="654">
        <v>7.2633909701815005E-2</v>
      </c>
      <c r="J1602" s="191"/>
      <c r="K1602" s="191">
        <v>54512989.568891101</v>
      </c>
      <c r="L1602" s="191"/>
      <c r="M1602" s="191"/>
      <c r="N1602" s="191"/>
      <c r="O1602" s="191"/>
      <c r="P1602" s="191"/>
      <c r="Q1602" s="191"/>
      <c r="R1602" s="191"/>
      <c r="S1602" s="191"/>
      <c r="T1602" s="191"/>
      <c r="U1602" s="439"/>
      <c r="V1602" s="441"/>
      <c r="W1602" s="178"/>
      <c r="X1602" s="172"/>
      <c r="Y1602" s="172"/>
      <c r="Z1602" s="172"/>
      <c r="AA1602" s="195"/>
      <c r="AB1602" s="172"/>
    </row>
    <row r="1603" spans="1:28" ht="12.75" customHeight="1" x14ac:dyDescent="0.3">
      <c r="A1603" s="667"/>
      <c r="B1603" s="668" t="s">
        <v>7226</v>
      </c>
      <c r="C1603" s="160" t="s">
        <v>7227</v>
      </c>
      <c r="D1603" s="160"/>
      <c r="E1603" s="439"/>
      <c r="F1603" s="161">
        <v>476.00689355200001</v>
      </c>
      <c r="G1603" s="161"/>
      <c r="H1603" s="654"/>
      <c r="I1603" s="654"/>
      <c r="J1603" s="191"/>
      <c r="K1603" s="191">
        <v>98730.196186441201</v>
      </c>
      <c r="L1603" s="191"/>
      <c r="M1603" s="191"/>
      <c r="N1603" s="191"/>
      <c r="O1603" s="191"/>
      <c r="P1603" s="191"/>
      <c r="Q1603" s="191"/>
      <c r="R1603" s="191"/>
      <c r="S1603" s="191"/>
      <c r="T1603" s="191"/>
      <c r="U1603" s="439"/>
      <c r="V1603" s="441"/>
      <c r="W1603" s="178"/>
      <c r="X1603" s="172"/>
      <c r="Y1603" s="172"/>
      <c r="Z1603" s="172"/>
      <c r="AA1603" s="195"/>
      <c r="AB1603" s="172"/>
    </row>
    <row r="1604" spans="1:28" ht="12.75" customHeight="1" x14ac:dyDescent="0.3">
      <c r="A1604" s="667"/>
      <c r="B1604" s="668" t="s">
        <v>7228</v>
      </c>
      <c r="C1604" s="160" t="s">
        <v>7229</v>
      </c>
      <c r="D1604" s="160"/>
      <c r="E1604" s="439"/>
      <c r="F1604" s="161">
        <v>573.90862000000004</v>
      </c>
      <c r="G1604" s="161">
        <v>-24.603000000000002</v>
      </c>
      <c r="H1604" s="654">
        <v>63.665121337999999</v>
      </c>
      <c r="I1604" s="654"/>
      <c r="J1604" s="191"/>
      <c r="K1604" s="191">
        <v>889815.56842882</v>
      </c>
      <c r="L1604" s="191"/>
      <c r="M1604" s="191"/>
      <c r="N1604" s="191"/>
      <c r="O1604" s="191"/>
      <c r="P1604" s="191"/>
      <c r="Q1604" s="191"/>
      <c r="R1604" s="191"/>
      <c r="S1604" s="191"/>
      <c r="T1604" s="191"/>
      <c r="U1604" s="439"/>
      <c r="V1604" s="441"/>
      <c r="W1604" s="178"/>
      <c r="X1604" s="172"/>
      <c r="Y1604" s="172"/>
      <c r="Z1604" s="172"/>
      <c r="AA1604" s="195"/>
      <c r="AB1604" s="172"/>
    </row>
    <row r="1605" spans="1:28" ht="12.75" customHeight="1" x14ac:dyDescent="0.3">
      <c r="A1605" s="667"/>
      <c r="B1605" s="668" t="s">
        <v>7230</v>
      </c>
      <c r="C1605" s="160" t="s">
        <v>7231</v>
      </c>
      <c r="D1605" s="160"/>
      <c r="E1605" s="439">
        <v>9.73</v>
      </c>
      <c r="F1605" s="161">
        <v>464.00689355200001</v>
      </c>
      <c r="G1605" s="161">
        <v>-0.998</v>
      </c>
      <c r="H1605" s="654">
        <v>30.967234227999999</v>
      </c>
      <c r="I1605" s="654">
        <v>0.514662526121071</v>
      </c>
      <c r="J1605" s="191"/>
      <c r="K1605" s="191">
        <v>501337.27949610399</v>
      </c>
      <c r="L1605" s="191"/>
      <c r="M1605" s="191"/>
      <c r="N1605" s="191"/>
      <c r="O1605" s="191"/>
      <c r="P1605" s="191"/>
      <c r="Q1605" s="191"/>
      <c r="R1605" s="191"/>
      <c r="S1605" s="191"/>
      <c r="T1605" s="191"/>
      <c r="U1605" s="439"/>
      <c r="V1605" s="441"/>
      <c r="W1605" s="178"/>
      <c r="X1605" s="172"/>
      <c r="Y1605" s="172"/>
      <c r="Z1605" s="172"/>
      <c r="AA1605" s="195"/>
      <c r="AB1605" s="172"/>
    </row>
    <row r="1606" spans="1:28" ht="12.75" customHeight="1" x14ac:dyDescent="0.3">
      <c r="A1606" s="667"/>
      <c r="B1606" s="668" t="s">
        <v>7232</v>
      </c>
      <c r="C1606" s="160" t="s">
        <v>7233</v>
      </c>
      <c r="D1606" s="160"/>
      <c r="E1606" s="439"/>
      <c r="F1606" s="161">
        <v>518.01745823600004</v>
      </c>
      <c r="G1606" s="161">
        <v>-55.32</v>
      </c>
      <c r="H1606" s="654">
        <v>38.36207228</v>
      </c>
      <c r="I1606" s="654"/>
      <c r="J1606" s="191"/>
      <c r="K1606" s="191">
        <v>81564.278713278705</v>
      </c>
      <c r="L1606" s="191"/>
      <c r="M1606" s="191"/>
      <c r="N1606" s="191"/>
      <c r="O1606" s="191"/>
      <c r="P1606" s="191"/>
      <c r="Q1606" s="191"/>
      <c r="R1606" s="191"/>
      <c r="S1606" s="191"/>
      <c r="T1606" s="191"/>
      <c r="U1606" s="439"/>
      <c r="V1606" s="441"/>
      <c r="W1606" s="178"/>
      <c r="X1606" s="172"/>
      <c r="Y1606" s="172"/>
      <c r="Z1606" s="172"/>
      <c r="AA1606" s="195"/>
      <c r="AB1606" s="172"/>
    </row>
    <row r="1607" spans="1:28" ht="12.75" customHeight="1" x14ac:dyDescent="0.3">
      <c r="A1607" s="667"/>
      <c r="B1607" s="668" t="s">
        <v>7234</v>
      </c>
      <c r="C1607" s="160" t="s">
        <v>7235</v>
      </c>
      <c r="D1607" s="160"/>
      <c r="E1607" s="439">
        <v>8.34</v>
      </c>
      <c r="F1607" s="161">
        <v>432.000665357</v>
      </c>
      <c r="G1607" s="161">
        <v>-5.3010000000000002</v>
      </c>
      <c r="H1607" s="654">
        <v>42.550249588</v>
      </c>
      <c r="I1607" s="654"/>
      <c r="J1607" s="191"/>
      <c r="K1607" s="191">
        <v>17350.819825199102</v>
      </c>
      <c r="L1607" s="191"/>
      <c r="M1607" s="191"/>
      <c r="N1607" s="191"/>
      <c r="O1607" s="191"/>
      <c r="P1607" s="191"/>
      <c r="Q1607" s="191"/>
      <c r="R1607" s="191"/>
      <c r="S1607" s="191"/>
      <c r="T1607" s="191"/>
      <c r="U1607" s="439"/>
      <c r="V1607" s="441"/>
      <c r="W1607" s="178"/>
      <c r="X1607" s="172"/>
      <c r="Y1607" s="172"/>
      <c r="Z1607" s="172"/>
      <c r="AA1607" s="195"/>
      <c r="AB1607" s="172"/>
    </row>
    <row r="1608" spans="1:28" ht="12.75" customHeight="1" x14ac:dyDescent="0.3">
      <c r="A1608" s="667"/>
      <c r="B1608" s="668" t="s">
        <v>7236</v>
      </c>
      <c r="C1608" s="160" t="s">
        <v>7237</v>
      </c>
      <c r="D1608" s="160"/>
      <c r="E1608" s="439">
        <v>6.649</v>
      </c>
      <c r="F1608" s="161">
        <v>500.02688010600002</v>
      </c>
      <c r="G1608" s="161">
        <v>-12.521000000000001</v>
      </c>
      <c r="H1608" s="654">
        <v>34.665853151999997</v>
      </c>
      <c r="I1608" s="654"/>
      <c r="J1608" s="191"/>
      <c r="K1608" s="191">
        <v>120243.054506154</v>
      </c>
      <c r="L1608" s="191"/>
      <c r="M1608" s="191"/>
      <c r="N1608" s="191"/>
      <c r="O1608" s="191"/>
      <c r="P1608" s="191"/>
      <c r="Q1608" s="191"/>
      <c r="R1608" s="191"/>
      <c r="S1608" s="191"/>
      <c r="T1608" s="191"/>
      <c r="U1608" s="439"/>
      <c r="V1608" s="441"/>
      <c r="W1608" s="178"/>
      <c r="X1608" s="172"/>
      <c r="Y1608" s="172"/>
      <c r="Z1608" s="172"/>
      <c r="AA1608" s="195"/>
      <c r="AB1608" s="172"/>
    </row>
    <row r="1609" spans="1:28" ht="12.75" customHeight="1" x14ac:dyDescent="0.3">
      <c r="A1609" s="667"/>
      <c r="B1609" s="668" t="s">
        <v>7238</v>
      </c>
      <c r="C1609" s="160" t="s">
        <v>7239</v>
      </c>
      <c r="D1609" s="160"/>
      <c r="E1609" s="439">
        <v>6.1609999999999996</v>
      </c>
      <c r="F1609" s="161">
        <v>486.01123004099998</v>
      </c>
      <c r="G1609" s="161">
        <v>-44.35</v>
      </c>
      <c r="H1609" s="654">
        <v>42.257341154000002</v>
      </c>
      <c r="I1609" s="654"/>
      <c r="J1609" s="191"/>
      <c r="K1609" s="191">
        <v>60956.496809798402</v>
      </c>
      <c r="L1609" s="191"/>
      <c r="M1609" s="191"/>
      <c r="N1609" s="191"/>
      <c r="O1609" s="191"/>
      <c r="P1609" s="191"/>
      <c r="Q1609" s="191"/>
      <c r="R1609" s="191"/>
      <c r="S1609" s="191"/>
      <c r="T1609" s="191"/>
      <c r="U1609" s="439"/>
      <c r="V1609" s="441"/>
      <c r="W1609" s="178"/>
      <c r="X1609" s="172"/>
      <c r="Y1609" s="172"/>
      <c r="Z1609" s="172"/>
      <c r="AA1609" s="195"/>
      <c r="AB1609" s="172"/>
    </row>
    <row r="1610" spans="1:28" ht="12.75" customHeight="1" x14ac:dyDescent="0.3">
      <c r="A1610" s="667"/>
      <c r="B1610" s="668" t="s">
        <v>7240</v>
      </c>
      <c r="C1610" s="160" t="s">
        <v>7241</v>
      </c>
      <c r="D1610" s="160"/>
      <c r="E1610" s="439">
        <v>8.23</v>
      </c>
      <c r="F1610" s="161">
        <v>399.994437162</v>
      </c>
      <c r="G1610" s="161">
        <v>-5.1390000000000002</v>
      </c>
      <c r="H1610" s="654">
        <v>173.34126474000001</v>
      </c>
      <c r="I1610" s="654">
        <v>1.5633422581483301</v>
      </c>
      <c r="J1610" s="191"/>
      <c r="K1610" s="191">
        <v>9377.5632052632809</v>
      </c>
      <c r="L1610" s="191"/>
      <c r="M1610" s="191"/>
      <c r="N1610" s="191"/>
      <c r="O1610" s="191"/>
      <c r="P1610" s="191"/>
      <c r="Q1610" s="191"/>
      <c r="R1610" s="191"/>
      <c r="S1610" s="191"/>
      <c r="T1610" s="191"/>
      <c r="U1610" s="439"/>
      <c r="V1610" s="441"/>
      <c r="W1610" s="178"/>
      <c r="X1610" s="172"/>
      <c r="Y1610" s="172"/>
      <c r="Z1610" s="172"/>
      <c r="AA1610" s="195"/>
      <c r="AB1610" s="172"/>
    </row>
    <row r="1611" spans="1:28" ht="12.75" customHeight="1" x14ac:dyDescent="0.3">
      <c r="A1611" s="667"/>
      <c r="B1611" s="668" t="s">
        <v>7242</v>
      </c>
      <c r="C1611" s="160" t="s">
        <v>7243</v>
      </c>
      <c r="D1611" s="160"/>
      <c r="E1611" s="439"/>
      <c r="F1611" s="161">
        <v>468.02065191000003</v>
      </c>
      <c r="G1611" s="161">
        <v>-22.510999999999999</v>
      </c>
      <c r="H1611" s="654">
        <v>71.269141607999998</v>
      </c>
      <c r="I1611" s="654">
        <v>0.153909527421907</v>
      </c>
      <c r="J1611" s="191"/>
      <c r="K1611" s="191">
        <v>16462.659663282899</v>
      </c>
      <c r="L1611" s="191"/>
      <c r="M1611" s="191"/>
      <c r="N1611" s="191"/>
      <c r="O1611" s="191"/>
      <c r="P1611" s="191"/>
      <c r="Q1611" s="191"/>
      <c r="R1611" s="191"/>
      <c r="S1611" s="191"/>
      <c r="T1611" s="191"/>
      <c r="U1611" s="439"/>
      <c r="V1611" s="441"/>
      <c r="W1611" s="178"/>
      <c r="X1611" s="172"/>
      <c r="Y1611" s="172"/>
      <c r="Z1611" s="172"/>
      <c r="AA1611" s="195"/>
      <c r="AB1611" s="172"/>
    </row>
    <row r="1612" spans="1:28" ht="12.75" customHeight="1" x14ac:dyDescent="0.3">
      <c r="A1612" s="667"/>
      <c r="B1612" s="668" t="s">
        <v>7244</v>
      </c>
      <c r="C1612" s="160" t="s">
        <v>7245</v>
      </c>
      <c r="D1612" s="160"/>
      <c r="E1612" s="439"/>
      <c r="F1612" s="161">
        <v>454.00500184600003</v>
      </c>
      <c r="G1612" s="161">
        <v>-54.34</v>
      </c>
      <c r="H1612" s="654">
        <v>86.876348215999997</v>
      </c>
      <c r="I1612" s="654">
        <v>0.547094187424503</v>
      </c>
      <c r="J1612" s="191"/>
      <c r="K1612" s="191">
        <v>9286.2420595118892</v>
      </c>
      <c r="L1612" s="191"/>
      <c r="M1612" s="191"/>
      <c r="N1612" s="191"/>
      <c r="O1612" s="191"/>
      <c r="P1612" s="191"/>
      <c r="Q1612" s="191"/>
      <c r="R1612" s="191"/>
      <c r="S1612" s="191"/>
      <c r="T1612" s="191"/>
      <c r="U1612" s="439"/>
      <c r="V1612" s="441"/>
      <c r="W1612" s="178"/>
      <c r="X1612" s="172"/>
      <c r="Y1612" s="172"/>
      <c r="Z1612" s="172"/>
      <c r="AA1612" s="195"/>
      <c r="AB1612" s="172"/>
    </row>
    <row r="1613" spans="1:28" ht="12.75" customHeight="1" x14ac:dyDescent="0.3">
      <c r="A1613" s="667"/>
      <c r="B1613" s="668" t="s">
        <v>7246</v>
      </c>
      <c r="C1613" s="160" t="s">
        <v>7247</v>
      </c>
      <c r="D1613" s="160"/>
      <c r="E1613" s="439"/>
      <c r="F1613" s="161">
        <v>376.01328089999998</v>
      </c>
      <c r="G1613" s="161"/>
      <c r="H1613" s="654"/>
      <c r="I1613" s="654"/>
      <c r="J1613" s="191"/>
      <c r="K1613" s="191">
        <v>14243.935551959699</v>
      </c>
      <c r="L1613" s="191"/>
      <c r="M1613" s="191"/>
      <c r="N1613" s="191"/>
      <c r="O1613" s="191"/>
      <c r="P1613" s="191"/>
      <c r="Q1613" s="191"/>
      <c r="R1613" s="191"/>
      <c r="S1613" s="191"/>
      <c r="T1613" s="191"/>
      <c r="U1613" s="439"/>
      <c r="V1613" s="441"/>
      <c r="W1613" s="178"/>
      <c r="X1613" s="172"/>
      <c r="Y1613" s="172"/>
      <c r="Z1613" s="172"/>
      <c r="AA1613" s="195"/>
      <c r="AB1613" s="172"/>
    </row>
    <row r="1614" spans="1:28" ht="12.75" customHeight="1" x14ac:dyDescent="0.3">
      <c r="A1614" s="667"/>
      <c r="B1614" s="668" t="s">
        <v>7248</v>
      </c>
      <c r="C1614" s="160" t="s">
        <v>7249</v>
      </c>
      <c r="D1614" s="160"/>
      <c r="E1614" s="439"/>
      <c r="F1614" s="161">
        <v>473.91501</v>
      </c>
      <c r="G1614" s="161">
        <v>-41.973999999999997</v>
      </c>
      <c r="H1614" s="654">
        <v>115.31926369599999</v>
      </c>
      <c r="I1614" s="654">
        <v>0.50663884144049998</v>
      </c>
      <c r="J1614" s="191"/>
      <c r="K1614" s="191">
        <v>916178.29758067604</v>
      </c>
      <c r="L1614" s="191"/>
      <c r="M1614" s="191"/>
      <c r="N1614" s="191"/>
      <c r="O1614" s="191"/>
      <c r="P1614" s="191"/>
      <c r="Q1614" s="191"/>
      <c r="R1614" s="191"/>
      <c r="S1614" s="191"/>
      <c r="T1614" s="191"/>
      <c r="U1614" s="439"/>
      <c r="V1614" s="441"/>
      <c r="W1614" s="178"/>
      <c r="X1614" s="172"/>
      <c r="Y1614" s="172"/>
      <c r="Z1614" s="172"/>
      <c r="AA1614" s="195"/>
      <c r="AB1614" s="172"/>
    </row>
    <row r="1615" spans="1:28" ht="12.75" customHeight="1" x14ac:dyDescent="0.3">
      <c r="A1615" s="667"/>
      <c r="B1615" s="668" t="s">
        <v>7250</v>
      </c>
      <c r="C1615" s="160" t="s">
        <v>7251</v>
      </c>
      <c r="D1615" s="160"/>
      <c r="E1615" s="439">
        <v>9.74</v>
      </c>
      <c r="F1615" s="161">
        <v>364.01328089999998</v>
      </c>
      <c r="G1615" s="161">
        <v>-2.5920000000000001</v>
      </c>
      <c r="H1615" s="654">
        <v>293.02309092000002</v>
      </c>
      <c r="I1615" s="654">
        <v>2.4895305096687999</v>
      </c>
      <c r="J1615" s="191"/>
      <c r="K1615" s="191">
        <v>37371.454417858498</v>
      </c>
      <c r="L1615" s="191"/>
      <c r="M1615" s="191"/>
      <c r="N1615" s="191"/>
      <c r="O1615" s="191"/>
      <c r="P1615" s="191"/>
      <c r="Q1615" s="191"/>
      <c r="R1615" s="191"/>
      <c r="S1615" s="191"/>
      <c r="T1615" s="191"/>
      <c r="U1615" s="439"/>
      <c r="V1615" s="441"/>
      <c r="W1615" s="178"/>
      <c r="X1615" s="172"/>
      <c r="Y1615" s="172"/>
      <c r="Z1615" s="172"/>
      <c r="AA1615" s="195"/>
      <c r="AB1615" s="172"/>
    </row>
    <row r="1616" spans="1:28" ht="12.75" customHeight="1" x14ac:dyDescent="0.3">
      <c r="A1616" s="667"/>
      <c r="B1616" s="668" t="s">
        <v>7252</v>
      </c>
      <c r="C1616" s="160" t="s">
        <v>7253</v>
      </c>
      <c r="D1616" s="160"/>
      <c r="E1616" s="439"/>
      <c r="F1616" s="161">
        <v>432.039495649</v>
      </c>
      <c r="G1616" s="161">
        <v>-45.756999999999998</v>
      </c>
      <c r="H1616" s="654">
        <v>57.135009777999997</v>
      </c>
      <c r="I1616" s="654">
        <v>0.24861280737625999</v>
      </c>
      <c r="J1616" s="191"/>
      <c r="K1616" s="191">
        <v>19185.3620830662</v>
      </c>
      <c r="L1616" s="191"/>
      <c r="M1616" s="191"/>
      <c r="N1616" s="191"/>
      <c r="O1616" s="191"/>
      <c r="P1616" s="191"/>
      <c r="Q1616" s="191"/>
      <c r="R1616" s="191"/>
      <c r="S1616" s="191"/>
      <c r="T1616" s="191"/>
      <c r="U1616" s="439"/>
      <c r="V1616" s="441"/>
      <c r="W1616" s="178"/>
      <c r="X1616" s="172"/>
      <c r="Y1616" s="172"/>
      <c r="Z1616" s="172"/>
      <c r="AA1616" s="195"/>
      <c r="AB1616" s="172"/>
    </row>
    <row r="1617" spans="1:28" ht="12.75" customHeight="1" x14ac:dyDescent="0.3">
      <c r="A1617" s="667"/>
      <c r="B1617" s="668" t="s">
        <v>7254</v>
      </c>
      <c r="C1617" s="160" t="s">
        <v>7255</v>
      </c>
      <c r="D1617" s="160"/>
      <c r="E1617" s="439">
        <v>8.1</v>
      </c>
      <c r="F1617" s="161">
        <v>349.99763083599998</v>
      </c>
      <c r="G1617" s="161">
        <v>-13.56</v>
      </c>
      <c r="H1617" s="654">
        <v>504.54777646000002</v>
      </c>
      <c r="I1617" s="654">
        <v>3.4045914540282598</v>
      </c>
      <c r="J1617" s="191"/>
      <c r="K1617" s="191">
        <v>3634.96304546081</v>
      </c>
      <c r="L1617" s="191"/>
      <c r="M1617" s="191"/>
      <c r="N1617" s="191"/>
      <c r="O1617" s="191"/>
      <c r="P1617" s="191"/>
      <c r="Q1617" s="191"/>
      <c r="R1617" s="191"/>
      <c r="S1617" s="191"/>
      <c r="T1617" s="191"/>
      <c r="U1617" s="439"/>
      <c r="V1617" s="441"/>
      <c r="W1617" s="178"/>
      <c r="X1617" s="172"/>
      <c r="Y1617" s="172"/>
      <c r="Z1617" s="172"/>
      <c r="AA1617" s="195"/>
      <c r="AB1617" s="172"/>
    </row>
    <row r="1618" spans="1:28" ht="12.75" customHeight="1" x14ac:dyDescent="0.3">
      <c r="A1618" s="667"/>
      <c r="B1618" s="668" t="s">
        <v>7256</v>
      </c>
      <c r="C1618" s="160" t="s">
        <v>7257</v>
      </c>
      <c r="D1618" s="160"/>
      <c r="E1618" s="439">
        <v>8.08</v>
      </c>
      <c r="F1618" s="161">
        <v>332.00705270499998</v>
      </c>
      <c r="G1618" s="161">
        <v>-0.247</v>
      </c>
      <c r="H1618" s="654">
        <v>304.72076320000002</v>
      </c>
      <c r="I1618" s="654">
        <v>20.0977481291497</v>
      </c>
      <c r="J1618" s="191"/>
      <c r="K1618" s="191">
        <v>2878.7238108352499</v>
      </c>
      <c r="L1618" s="191"/>
      <c r="M1618" s="191"/>
      <c r="N1618" s="191"/>
      <c r="O1618" s="191"/>
      <c r="P1618" s="191"/>
      <c r="Q1618" s="191"/>
      <c r="R1618" s="191"/>
      <c r="S1618" s="191"/>
      <c r="T1618" s="191"/>
      <c r="U1618" s="439"/>
      <c r="V1618" s="441"/>
      <c r="W1618" s="178"/>
      <c r="X1618" s="172"/>
      <c r="Y1618" s="172"/>
      <c r="Z1618" s="172"/>
      <c r="AA1618" s="195"/>
      <c r="AB1618" s="172"/>
    </row>
    <row r="1619" spans="1:28" ht="12.75" customHeight="1" x14ac:dyDescent="0.3">
      <c r="A1619" s="667"/>
      <c r="B1619" s="668" t="s">
        <v>7258</v>
      </c>
      <c r="C1619" s="160" t="s">
        <v>7259</v>
      </c>
      <c r="D1619" s="160"/>
      <c r="E1619" s="439"/>
      <c r="F1619" s="161">
        <v>346.00271621600001</v>
      </c>
      <c r="G1619" s="161">
        <v>-53.762999999999998</v>
      </c>
      <c r="H1619" s="654">
        <v>1402.4941111999999</v>
      </c>
      <c r="I1619" s="654">
        <v>1.6221057139737101</v>
      </c>
      <c r="J1619" s="191"/>
      <c r="K1619" s="191">
        <v>11164.775634899201</v>
      </c>
      <c r="L1619" s="191"/>
      <c r="M1619" s="191"/>
      <c r="N1619" s="191"/>
      <c r="O1619" s="191"/>
      <c r="P1619" s="191"/>
      <c r="Q1619" s="191"/>
      <c r="R1619" s="191"/>
      <c r="S1619" s="191"/>
      <c r="T1619" s="191"/>
      <c r="U1619" s="439"/>
      <c r="V1619" s="441"/>
      <c r="W1619" s="178"/>
      <c r="X1619" s="172"/>
      <c r="Y1619" s="172"/>
      <c r="Z1619" s="172"/>
      <c r="AA1619" s="195"/>
      <c r="AB1619" s="172"/>
    </row>
    <row r="1620" spans="1:28" ht="12.75" customHeight="1" x14ac:dyDescent="0.3">
      <c r="A1620" s="667"/>
      <c r="B1620" s="668" t="s">
        <v>7260</v>
      </c>
      <c r="C1620" s="160" t="s">
        <v>7261</v>
      </c>
      <c r="D1620" s="160"/>
      <c r="E1620" s="439">
        <v>8.25</v>
      </c>
      <c r="F1620" s="161">
        <v>300.00082450999997</v>
      </c>
      <c r="G1620" s="161">
        <v>-17.747</v>
      </c>
      <c r="H1620" s="654">
        <v>596.89992585999903</v>
      </c>
      <c r="I1620" s="654">
        <v>99.798274281496504</v>
      </c>
      <c r="J1620" s="191"/>
      <c r="K1620" s="191">
        <v>1082.10648563062</v>
      </c>
      <c r="L1620" s="191"/>
      <c r="M1620" s="191"/>
      <c r="N1620" s="191"/>
      <c r="O1620" s="191"/>
      <c r="P1620" s="191"/>
      <c r="Q1620" s="191"/>
      <c r="R1620" s="191"/>
      <c r="S1620" s="191"/>
      <c r="T1620" s="191"/>
      <c r="U1620" s="439"/>
      <c r="V1620" s="441"/>
      <c r="W1620" s="178"/>
      <c r="X1620" s="172"/>
      <c r="Y1620" s="172"/>
      <c r="Z1620" s="172"/>
      <c r="AA1620" s="195"/>
      <c r="AB1620" s="172"/>
    </row>
    <row r="1621" spans="1:28" ht="12.75" customHeight="1" x14ac:dyDescent="0.3">
      <c r="A1621" s="667"/>
      <c r="B1621" s="668" t="s">
        <v>7262</v>
      </c>
      <c r="C1621" s="160" t="s">
        <v>7263</v>
      </c>
      <c r="D1621" s="160"/>
      <c r="E1621" s="439"/>
      <c r="F1621" s="161">
        <v>373.92140000000001</v>
      </c>
      <c r="G1621" s="161">
        <v>-70.033000000000001</v>
      </c>
      <c r="H1621" s="654">
        <v>566.11187640000003</v>
      </c>
      <c r="I1621" s="654">
        <v>9.4793935878200006</v>
      </c>
      <c r="J1621" s="191"/>
      <c r="K1621" s="191">
        <v>119500.57638113599</v>
      </c>
      <c r="L1621" s="191"/>
      <c r="M1621" s="191"/>
      <c r="N1621" s="191"/>
      <c r="O1621" s="191"/>
      <c r="P1621" s="191"/>
      <c r="Q1621" s="191"/>
      <c r="R1621" s="191"/>
      <c r="S1621" s="191"/>
      <c r="T1621" s="191"/>
      <c r="U1621" s="439"/>
      <c r="V1621" s="441"/>
      <c r="W1621" s="178"/>
      <c r="X1621" s="172"/>
      <c r="Y1621" s="172"/>
      <c r="Z1621" s="172"/>
      <c r="AA1621" s="195"/>
      <c r="AB1621" s="172"/>
    </row>
    <row r="1622" spans="1:28" ht="12.75" customHeight="1" x14ac:dyDescent="0.3">
      <c r="A1622" s="667"/>
      <c r="B1622" s="668" t="s">
        <v>7264</v>
      </c>
      <c r="C1622" s="160" t="s">
        <v>7265</v>
      </c>
      <c r="D1622" s="160"/>
      <c r="E1622" s="439"/>
      <c r="F1622" s="161">
        <v>332.04588299699998</v>
      </c>
      <c r="G1622" s="161">
        <v>13.856999999999999</v>
      </c>
      <c r="H1622" s="654">
        <v>103.490802534</v>
      </c>
      <c r="I1622" s="654">
        <v>3.3434696096616898</v>
      </c>
      <c r="J1622" s="191"/>
      <c r="K1622" s="191">
        <v>4327.0309341327102</v>
      </c>
      <c r="L1622" s="191"/>
      <c r="M1622" s="191"/>
      <c r="N1622" s="191"/>
      <c r="O1622" s="191"/>
      <c r="P1622" s="191"/>
      <c r="Q1622" s="191"/>
      <c r="R1622" s="191"/>
      <c r="S1622" s="191"/>
      <c r="T1622" s="191"/>
      <c r="U1622" s="439"/>
      <c r="V1622" s="441"/>
      <c r="W1622" s="178"/>
      <c r="X1622" s="172"/>
      <c r="Y1622" s="172"/>
      <c r="Z1622" s="172"/>
      <c r="AA1622" s="195"/>
      <c r="AB1622" s="172"/>
    </row>
    <row r="1623" spans="1:28" ht="12.75" customHeight="1" x14ac:dyDescent="0.3">
      <c r="A1623" s="667"/>
      <c r="B1623" s="668" t="s">
        <v>7266</v>
      </c>
      <c r="C1623" s="160" t="s">
        <v>7267</v>
      </c>
      <c r="D1623" s="160"/>
      <c r="E1623" s="439"/>
      <c r="F1623" s="161">
        <v>318.03023293199999</v>
      </c>
      <c r="G1623" s="161">
        <v>-81.352000000000004</v>
      </c>
      <c r="H1623" s="654">
        <v>125.864100642</v>
      </c>
      <c r="I1623" s="654">
        <v>11.7076151619024</v>
      </c>
      <c r="J1623" s="191"/>
      <c r="K1623" s="191">
        <v>1142.50997371939</v>
      </c>
      <c r="L1623" s="191"/>
      <c r="M1623" s="191"/>
      <c r="N1623" s="191"/>
      <c r="O1623" s="191"/>
      <c r="P1623" s="191"/>
      <c r="Q1623" s="191"/>
      <c r="R1623" s="191"/>
      <c r="S1623" s="191"/>
      <c r="T1623" s="191"/>
      <c r="U1623" s="439"/>
      <c r="V1623" s="441"/>
      <c r="W1623" s="178"/>
      <c r="X1623" s="172"/>
      <c r="Y1623" s="172"/>
      <c r="Z1623" s="172"/>
      <c r="AA1623" s="195"/>
      <c r="AB1623" s="172"/>
    </row>
    <row r="1624" spans="1:28" ht="12.75" customHeight="1" x14ac:dyDescent="0.3">
      <c r="A1624" s="667"/>
      <c r="B1624" s="668" t="s">
        <v>7268</v>
      </c>
      <c r="C1624" s="160" t="s">
        <v>7269</v>
      </c>
      <c r="D1624" s="160"/>
      <c r="E1624" s="439">
        <v>7.81</v>
      </c>
      <c r="F1624" s="161">
        <v>232.01344005300001</v>
      </c>
      <c r="G1624" s="161">
        <v>-23.582000000000001</v>
      </c>
      <c r="H1624" s="654">
        <v>1857.3887752000001</v>
      </c>
      <c r="I1624" s="654">
        <v>161.999208275086</v>
      </c>
      <c r="J1624" s="191"/>
      <c r="K1624" s="191">
        <v>155.360281689461</v>
      </c>
      <c r="L1624" s="191"/>
      <c r="M1624" s="191"/>
      <c r="N1624" s="191"/>
      <c r="O1624" s="191"/>
      <c r="P1624" s="191"/>
      <c r="Q1624" s="191"/>
      <c r="R1624" s="191"/>
      <c r="S1624" s="191"/>
      <c r="T1624" s="191"/>
      <c r="U1624" s="439"/>
      <c r="V1624" s="441"/>
      <c r="W1624" s="178"/>
      <c r="X1624" s="172"/>
      <c r="Y1624" s="172"/>
      <c r="Z1624" s="172"/>
      <c r="AA1624" s="195"/>
      <c r="AB1624" s="172"/>
    </row>
    <row r="1625" spans="1:28" ht="12.75" customHeight="1" x14ac:dyDescent="0.3">
      <c r="A1625" s="667"/>
      <c r="B1625" s="668" t="s">
        <v>7270</v>
      </c>
      <c r="C1625" s="160" t="s">
        <v>7271</v>
      </c>
      <c r="D1625" s="160"/>
      <c r="E1625" s="439"/>
      <c r="F1625" s="161">
        <v>445.99632886799998</v>
      </c>
      <c r="G1625" s="161">
        <v>-65.33</v>
      </c>
      <c r="H1625" s="654">
        <v>620.72856691999903</v>
      </c>
      <c r="I1625" s="654">
        <v>0.339102604742891</v>
      </c>
      <c r="J1625" s="191"/>
      <c r="K1625" s="191">
        <v>52892.001307513099</v>
      </c>
      <c r="L1625" s="191"/>
      <c r="M1625" s="191"/>
      <c r="N1625" s="191"/>
      <c r="O1625" s="191"/>
      <c r="P1625" s="191"/>
      <c r="Q1625" s="191"/>
      <c r="R1625" s="191"/>
      <c r="S1625" s="191"/>
      <c r="T1625" s="191"/>
      <c r="U1625" s="439"/>
      <c r="V1625" s="441"/>
      <c r="W1625" s="178"/>
      <c r="X1625" s="172"/>
      <c r="Y1625" s="172"/>
      <c r="Z1625" s="172"/>
      <c r="AA1625" s="195"/>
      <c r="AB1625" s="172"/>
    </row>
    <row r="1626" spans="1:28" ht="12.75" customHeight="1" x14ac:dyDescent="0.3">
      <c r="A1626" s="667"/>
      <c r="B1626" s="668" t="s">
        <v>7272</v>
      </c>
      <c r="C1626" s="160" t="s">
        <v>7273</v>
      </c>
      <c r="D1626" s="160"/>
      <c r="E1626" s="439">
        <v>8.6300000000000008</v>
      </c>
      <c r="F1626" s="161">
        <v>531.99427800900003</v>
      </c>
      <c r="G1626" s="161">
        <v>4.3999999999999997E-2</v>
      </c>
      <c r="H1626" s="654">
        <v>8.2966280599999997</v>
      </c>
      <c r="I1626" s="654">
        <v>1.46861276398608</v>
      </c>
      <c r="J1626" s="191"/>
      <c r="K1626" s="191">
        <v>82948.779453767595</v>
      </c>
      <c r="L1626" s="191"/>
      <c r="M1626" s="191"/>
      <c r="N1626" s="191"/>
      <c r="O1626" s="191"/>
      <c r="P1626" s="191"/>
      <c r="Q1626" s="191"/>
      <c r="R1626" s="191"/>
      <c r="S1626" s="191"/>
      <c r="T1626" s="191"/>
      <c r="U1626" s="439"/>
      <c r="V1626" s="441"/>
      <c r="W1626" s="178"/>
      <c r="X1626" s="172"/>
      <c r="Y1626" s="172"/>
      <c r="Z1626" s="172"/>
      <c r="AA1626" s="195"/>
      <c r="AB1626" s="172"/>
    </row>
    <row r="1627" spans="1:28" ht="12.75" customHeight="1" x14ac:dyDescent="0.3">
      <c r="A1627" s="667"/>
      <c r="B1627" s="668" t="s">
        <v>7274</v>
      </c>
      <c r="C1627" s="160" t="s">
        <v>7275</v>
      </c>
      <c r="D1627" s="160"/>
      <c r="E1627" s="439">
        <v>5.97</v>
      </c>
      <c r="F1627" s="161">
        <v>798.01205455100001</v>
      </c>
      <c r="G1627" s="161"/>
      <c r="H1627" s="654"/>
      <c r="I1627" s="654"/>
      <c r="J1627" s="191"/>
      <c r="K1627" s="191">
        <v>272665.38025957398</v>
      </c>
      <c r="L1627" s="191"/>
      <c r="M1627" s="191"/>
      <c r="N1627" s="191"/>
      <c r="O1627" s="191"/>
      <c r="P1627" s="191"/>
      <c r="Q1627" s="191"/>
      <c r="R1627" s="191"/>
      <c r="S1627" s="191"/>
      <c r="T1627" s="191"/>
      <c r="U1627" s="439"/>
      <c r="V1627" s="441"/>
      <c r="W1627" s="178"/>
      <c r="X1627" s="172"/>
      <c r="Y1627" s="172"/>
      <c r="Z1627" s="172"/>
      <c r="AA1627" s="195"/>
      <c r="AB1627" s="172"/>
    </row>
    <row r="1628" spans="1:28" ht="12.75" customHeight="1" x14ac:dyDescent="0.3">
      <c r="A1628" s="667"/>
      <c r="B1628" s="668" t="s">
        <v>7276</v>
      </c>
      <c r="C1628" s="160" t="s">
        <v>7277</v>
      </c>
      <c r="D1628" s="160"/>
      <c r="E1628" s="439">
        <v>6.81</v>
      </c>
      <c r="F1628" s="161">
        <v>623.98059545299998</v>
      </c>
      <c r="G1628" s="161"/>
      <c r="H1628" s="654"/>
      <c r="I1628" s="654"/>
      <c r="J1628" s="191"/>
      <c r="K1628" s="191">
        <v>479899.17131745</v>
      </c>
      <c r="L1628" s="191"/>
      <c r="M1628" s="191"/>
      <c r="N1628" s="191"/>
      <c r="O1628" s="191"/>
      <c r="P1628" s="191"/>
      <c r="Q1628" s="191"/>
      <c r="R1628" s="191"/>
      <c r="S1628" s="191"/>
      <c r="T1628" s="191"/>
      <c r="U1628" s="439"/>
      <c r="V1628" s="441"/>
      <c r="W1628" s="178"/>
      <c r="X1628" s="172"/>
      <c r="Y1628" s="172"/>
      <c r="Z1628" s="172"/>
      <c r="AA1628" s="195"/>
      <c r="AB1628" s="172"/>
    </row>
    <row r="1629" spans="1:28" ht="12.75" customHeight="1" x14ac:dyDescent="0.3">
      <c r="A1629" s="667"/>
      <c r="B1629" s="668" t="s">
        <v>7278</v>
      </c>
      <c r="C1629" s="160" t="s">
        <v>7279</v>
      </c>
      <c r="D1629" s="160"/>
      <c r="E1629" s="439"/>
      <c r="F1629" s="161">
        <v>584.04556469099998</v>
      </c>
      <c r="G1629" s="161"/>
      <c r="H1629" s="654"/>
      <c r="I1629" s="654"/>
      <c r="J1629" s="191"/>
      <c r="K1629" s="191">
        <v>341900.70790206903</v>
      </c>
      <c r="L1629" s="191"/>
      <c r="M1629" s="191"/>
      <c r="N1629" s="191"/>
      <c r="O1629" s="191"/>
      <c r="P1629" s="191"/>
      <c r="Q1629" s="191"/>
      <c r="R1629" s="191"/>
      <c r="S1629" s="191"/>
      <c r="T1629" s="191"/>
      <c r="U1629" s="439"/>
      <c r="V1629" s="441"/>
      <c r="W1629" s="178"/>
      <c r="X1629" s="172"/>
      <c r="Y1629" s="172"/>
      <c r="Z1629" s="172"/>
      <c r="AA1629" s="195"/>
      <c r="AB1629" s="172"/>
    </row>
    <row r="1630" spans="1:28" ht="12.75" customHeight="1" x14ac:dyDescent="0.3">
      <c r="A1630" s="667"/>
      <c r="B1630" s="668" t="s">
        <v>7280</v>
      </c>
      <c r="C1630" s="160" t="s">
        <v>7281</v>
      </c>
      <c r="D1630" s="160"/>
      <c r="E1630" s="439">
        <v>4.84</v>
      </c>
      <c r="F1630" s="161">
        <v>593.97003076800002</v>
      </c>
      <c r="G1630" s="161">
        <v>-35.094000000000001</v>
      </c>
      <c r="H1630" s="654"/>
      <c r="I1630" s="654">
        <v>0.33401370107210698</v>
      </c>
      <c r="J1630" s="191"/>
      <c r="K1630" s="191">
        <v>213687.933904907</v>
      </c>
      <c r="L1630" s="191"/>
      <c r="M1630" s="191"/>
      <c r="N1630" s="191"/>
      <c r="O1630" s="191"/>
      <c r="P1630" s="191"/>
      <c r="Q1630" s="191"/>
      <c r="R1630" s="191"/>
      <c r="S1630" s="191"/>
      <c r="T1630" s="191"/>
      <c r="U1630" s="439"/>
      <c r="V1630" s="441"/>
      <c r="W1630" s="178"/>
      <c r="X1630" s="172"/>
      <c r="Y1630" s="172"/>
      <c r="Z1630" s="172"/>
      <c r="AA1630" s="195"/>
      <c r="AB1630" s="172"/>
    </row>
    <row r="1631" spans="1:28" ht="12.75" customHeight="1" x14ac:dyDescent="0.3">
      <c r="A1631" s="667"/>
      <c r="B1631" s="668" t="s">
        <v>7282</v>
      </c>
      <c r="C1631" s="160" t="s">
        <v>7283</v>
      </c>
      <c r="D1631" s="160"/>
      <c r="E1631" s="439">
        <v>7.59</v>
      </c>
      <c r="F1631" s="161">
        <v>1174.259460018</v>
      </c>
      <c r="G1631" s="161"/>
      <c r="H1631" s="654"/>
      <c r="I1631" s="654"/>
      <c r="J1631" s="191"/>
      <c r="K1631" s="191">
        <v>84898496.651561901</v>
      </c>
      <c r="L1631" s="191"/>
      <c r="M1631" s="191"/>
      <c r="N1631" s="191"/>
      <c r="O1631" s="191"/>
      <c r="P1631" s="191"/>
      <c r="Q1631" s="191"/>
      <c r="R1631" s="191"/>
      <c r="S1631" s="191"/>
      <c r="T1631" s="191"/>
      <c r="U1631" s="439"/>
      <c r="V1631" s="441"/>
      <c r="W1631" s="178"/>
      <c r="X1631" s="172"/>
      <c r="Y1631" s="172"/>
      <c r="Z1631" s="172"/>
      <c r="AA1631" s="195"/>
      <c r="AB1631" s="172"/>
    </row>
    <row r="1632" spans="1:28" ht="12.75" customHeight="1" x14ac:dyDescent="0.3">
      <c r="A1632" s="667"/>
      <c r="B1632" s="668" t="s">
        <v>7284</v>
      </c>
      <c r="C1632" s="160" t="s">
        <v>7285</v>
      </c>
      <c r="D1632" s="160"/>
      <c r="E1632" s="439">
        <v>4.62</v>
      </c>
      <c r="F1632" s="161">
        <v>800.13414035799997</v>
      </c>
      <c r="G1632" s="161"/>
      <c r="H1632" s="654"/>
      <c r="I1632" s="654"/>
      <c r="J1632" s="191"/>
      <c r="K1632" s="191">
        <v>85674.188595868298</v>
      </c>
      <c r="L1632" s="191"/>
      <c r="M1632" s="191"/>
      <c r="N1632" s="191"/>
      <c r="O1632" s="191"/>
      <c r="P1632" s="191"/>
      <c r="Q1632" s="191"/>
      <c r="R1632" s="191"/>
      <c r="S1632" s="191"/>
      <c r="T1632" s="191"/>
      <c r="U1632" s="439"/>
      <c r="V1632" s="441"/>
      <c r="W1632" s="178"/>
      <c r="X1632" s="172"/>
      <c r="Y1632" s="172"/>
      <c r="Z1632" s="172"/>
      <c r="AA1632" s="195"/>
      <c r="AB1632" s="172"/>
    </row>
    <row r="1633" spans="1:28" ht="12.75" customHeight="1" x14ac:dyDescent="0.3">
      <c r="A1633" s="667"/>
      <c r="B1633" s="668" t="s">
        <v>7286</v>
      </c>
      <c r="C1633" s="160" t="s">
        <v>7287</v>
      </c>
      <c r="D1633" s="160"/>
      <c r="E1633" s="439">
        <v>4.9800000000000004</v>
      </c>
      <c r="F1633" s="161">
        <v>693.96364342000004</v>
      </c>
      <c r="G1633" s="161">
        <v>9.5050000000000008</v>
      </c>
      <c r="H1633" s="654"/>
      <c r="I1633" s="654"/>
      <c r="J1633" s="191"/>
      <c r="K1633" s="191">
        <v>324242.545334814</v>
      </c>
      <c r="L1633" s="191"/>
      <c r="M1633" s="191"/>
      <c r="N1633" s="191"/>
      <c r="O1633" s="191"/>
      <c r="P1633" s="191"/>
      <c r="Q1633" s="191"/>
      <c r="R1633" s="191"/>
      <c r="S1633" s="191"/>
      <c r="T1633" s="191"/>
      <c r="U1633" s="439"/>
      <c r="V1633" s="441"/>
      <c r="W1633" s="178"/>
      <c r="X1633" s="172"/>
      <c r="Y1633" s="172"/>
      <c r="Z1633" s="172"/>
      <c r="AA1633" s="195"/>
      <c r="AB1633" s="172"/>
    </row>
    <row r="1634" spans="1:28" ht="12.75" customHeight="1" x14ac:dyDescent="0.3">
      <c r="A1634" s="667"/>
      <c r="B1634" s="668" t="s">
        <v>7288</v>
      </c>
      <c r="C1634" s="160" t="s">
        <v>7289</v>
      </c>
      <c r="D1634" s="160"/>
      <c r="E1634" s="439">
        <v>4.9800000000000004</v>
      </c>
      <c r="F1634" s="161">
        <v>793.95725607199995</v>
      </c>
      <c r="G1634" s="161">
        <v>5.9379999999999997</v>
      </c>
      <c r="H1634" s="654"/>
      <c r="I1634" s="654"/>
      <c r="J1634" s="191"/>
      <c r="K1634" s="191">
        <v>289761.04551970097</v>
      </c>
      <c r="L1634" s="191"/>
      <c r="M1634" s="191"/>
      <c r="N1634" s="191"/>
      <c r="O1634" s="191"/>
      <c r="P1634" s="191"/>
      <c r="Q1634" s="191"/>
      <c r="R1634" s="191"/>
      <c r="S1634" s="191"/>
      <c r="T1634" s="191"/>
      <c r="U1634" s="439"/>
      <c r="V1634" s="441"/>
      <c r="W1634" s="178"/>
      <c r="X1634" s="172"/>
      <c r="Y1634" s="172"/>
      <c r="Z1634" s="172"/>
      <c r="AA1634" s="195"/>
      <c r="AB1634" s="172"/>
    </row>
    <row r="1635" spans="1:28" ht="12.75" customHeight="1" x14ac:dyDescent="0.3">
      <c r="A1635" s="667"/>
      <c r="B1635" s="668" t="s">
        <v>7290</v>
      </c>
      <c r="C1635" s="160" t="s">
        <v>7291</v>
      </c>
      <c r="D1635" s="160"/>
      <c r="E1635" s="439"/>
      <c r="F1635" s="161">
        <v>782.01713993099997</v>
      </c>
      <c r="G1635" s="161"/>
      <c r="H1635" s="654"/>
      <c r="I1635" s="654"/>
      <c r="J1635" s="191"/>
      <c r="K1635" s="191">
        <v>252702.768567122</v>
      </c>
      <c r="L1635" s="191"/>
      <c r="M1635" s="191"/>
      <c r="N1635" s="191"/>
      <c r="O1635" s="191"/>
      <c r="P1635" s="191"/>
      <c r="Q1635" s="191"/>
      <c r="R1635" s="191"/>
      <c r="S1635" s="191"/>
      <c r="T1635" s="191"/>
      <c r="U1635" s="439"/>
      <c r="V1635" s="441"/>
      <c r="W1635" s="178"/>
      <c r="X1635" s="172"/>
      <c r="Y1635" s="172"/>
      <c r="Z1635" s="172"/>
      <c r="AA1635" s="195"/>
      <c r="AB1635" s="172"/>
    </row>
    <row r="1636" spans="1:28" ht="12.75" customHeight="1" x14ac:dyDescent="0.3">
      <c r="A1636" s="667"/>
      <c r="B1636" s="668" t="s">
        <v>7292</v>
      </c>
      <c r="C1636" s="160" t="s">
        <v>7293</v>
      </c>
      <c r="D1636" s="160"/>
      <c r="E1636" s="439">
        <v>5.97</v>
      </c>
      <c r="F1636" s="161">
        <v>898.00566720300003</v>
      </c>
      <c r="G1636" s="161"/>
      <c r="H1636" s="654"/>
      <c r="I1636" s="654"/>
      <c r="J1636" s="191"/>
      <c r="K1636" s="191">
        <v>270570.22325871699</v>
      </c>
      <c r="L1636" s="191"/>
      <c r="M1636" s="191"/>
      <c r="N1636" s="191"/>
      <c r="O1636" s="191"/>
      <c r="P1636" s="191"/>
      <c r="Q1636" s="191"/>
      <c r="R1636" s="191"/>
      <c r="S1636" s="191"/>
      <c r="T1636" s="191"/>
      <c r="U1636" s="439"/>
      <c r="V1636" s="441"/>
      <c r="W1636" s="178"/>
      <c r="X1636" s="172"/>
      <c r="Y1636" s="172"/>
      <c r="Z1636" s="172"/>
      <c r="AA1636" s="195"/>
      <c r="AB1636" s="172"/>
    </row>
    <row r="1637" spans="1:28" ht="12.75" customHeight="1" x14ac:dyDescent="0.3">
      <c r="A1637" s="667"/>
      <c r="B1637" s="668" t="s">
        <v>7294</v>
      </c>
      <c r="C1637" s="160" t="s">
        <v>7295</v>
      </c>
      <c r="D1637" s="160"/>
      <c r="E1637" s="439">
        <v>4.9800000000000004</v>
      </c>
      <c r="F1637" s="161">
        <v>893.95086872399997</v>
      </c>
      <c r="G1637" s="161"/>
      <c r="H1637" s="654"/>
      <c r="I1637" s="654"/>
      <c r="J1637" s="191"/>
      <c r="K1637" s="191">
        <v>280717.83126378898</v>
      </c>
      <c r="L1637" s="191"/>
      <c r="M1637" s="191"/>
      <c r="N1637" s="191"/>
      <c r="O1637" s="191"/>
      <c r="P1637" s="191"/>
      <c r="Q1637" s="191"/>
      <c r="R1637" s="191"/>
      <c r="S1637" s="191"/>
      <c r="T1637" s="191"/>
      <c r="U1637" s="439"/>
      <c r="V1637" s="441"/>
      <c r="W1637" s="178"/>
      <c r="X1637" s="172"/>
      <c r="Y1637" s="172"/>
      <c r="Z1637" s="172"/>
      <c r="AA1637" s="195"/>
      <c r="AB1637" s="172"/>
    </row>
    <row r="1638" spans="1:28" ht="12.75" customHeight="1" x14ac:dyDescent="0.3">
      <c r="A1638" s="667"/>
      <c r="B1638" s="668" t="s">
        <v>7296</v>
      </c>
      <c r="C1638" s="160" t="s">
        <v>7297</v>
      </c>
      <c r="D1638" s="160"/>
      <c r="E1638" s="439"/>
      <c r="F1638" s="161">
        <v>882.010752583</v>
      </c>
      <c r="G1638" s="161">
        <v>-18.527999999999999</v>
      </c>
      <c r="H1638" s="654">
        <v>5.5195308000000001</v>
      </c>
      <c r="I1638" s="654"/>
      <c r="J1638" s="191"/>
      <c r="K1638" s="191">
        <v>278657.02744973602</v>
      </c>
      <c r="L1638" s="191"/>
      <c r="M1638" s="191"/>
      <c r="N1638" s="191"/>
      <c r="O1638" s="191"/>
      <c r="P1638" s="191"/>
      <c r="Q1638" s="191"/>
      <c r="R1638" s="191"/>
      <c r="S1638" s="191"/>
      <c r="T1638" s="191"/>
      <c r="U1638" s="439"/>
      <c r="V1638" s="441"/>
      <c r="W1638" s="178"/>
      <c r="X1638" s="172"/>
      <c r="Y1638" s="172"/>
      <c r="Z1638" s="172"/>
      <c r="AA1638" s="195"/>
      <c r="AB1638" s="172"/>
    </row>
    <row r="1639" spans="1:28" ht="12.75" customHeight="1" x14ac:dyDescent="0.3">
      <c r="A1639" s="667"/>
      <c r="B1639" s="668" t="s">
        <v>7298</v>
      </c>
      <c r="C1639" s="160" t="s">
        <v>7299</v>
      </c>
      <c r="D1639" s="160"/>
      <c r="E1639" s="439"/>
      <c r="F1639" s="161">
        <v>867.99510251799995</v>
      </c>
      <c r="G1639" s="161">
        <v>-50.356999999999999</v>
      </c>
      <c r="H1639" s="654">
        <v>6.7127760321999999</v>
      </c>
      <c r="I1639" s="654"/>
      <c r="J1639" s="191"/>
      <c r="K1639" s="191">
        <v>271131.514513653</v>
      </c>
      <c r="L1639" s="191"/>
      <c r="M1639" s="191"/>
      <c r="N1639" s="191"/>
      <c r="O1639" s="191"/>
      <c r="P1639" s="191"/>
      <c r="Q1639" s="191"/>
      <c r="R1639" s="191"/>
      <c r="S1639" s="191"/>
      <c r="T1639" s="191"/>
      <c r="U1639" s="439"/>
      <c r="V1639" s="441"/>
      <c r="W1639" s="178"/>
      <c r="X1639" s="172"/>
      <c r="Y1639" s="172"/>
      <c r="Z1639" s="172"/>
      <c r="AA1639" s="195"/>
      <c r="AB1639" s="172"/>
    </row>
    <row r="1640" spans="1:28" ht="12.75" customHeight="1" x14ac:dyDescent="0.3">
      <c r="A1640" s="667"/>
      <c r="B1640" s="668" t="s">
        <v>7300</v>
      </c>
      <c r="C1640" s="160" t="s">
        <v>7301</v>
      </c>
      <c r="D1640" s="160"/>
      <c r="E1640" s="439">
        <v>6.25</v>
      </c>
      <c r="F1640" s="161">
        <v>973.95823973500001</v>
      </c>
      <c r="G1640" s="161"/>
      <c r="H1640" s="654"/>
      <c r="I1640" s="654"/>
      <c r="J1640" s="191"/>
      <c r="K1640" s="191">
        <v>287693.46702813101</v>
      </c>
      <c r="L1640" s="191"/>
      <c r="M1640" s="191"/>
      <c r="N1640" s="191"/>
      <c r="O1640" s="191"/>
      <c r="P1640" s="191"/>
      <c r="Q1640" s="191"/>
      <c r="R1640" s="191"/>
      <c r="S1640" s="191"/>
      <c r="T1640" s="191"/>
      <c r="U1640" s="439"/>
      <c r="V1640" s="441"/>
      <c r="W1640" s="178"/>
      <c r="X1640" s="172"/>
      <c r="Y1640" s="172"/>
      <c r="Z1640" s="172"/>
      <c r="AA1640" s="195"/>
      <c r="AB1640" s="172"/>
    </row>
    <row r="1641" spans="1:28" ht="12.75" customHeight="1" x14ac:dyDescent="0.3">
      <c r="A1641" s="667"/>
      <c r="B1641" s="668" t="s">
        <v>7302</v>
      </c>
      <c r="C1641" s="160" t="s">
        <v>7303</v>
      </c>
      <c r="D1641" s="160"/>
      <c r="E1641" s="439">
        <v>6.25</v>
      </c>
      <c r="F1641" s="161">
        <v>873.96462708299998</v>
      </c>
      <c r="G1641" s="161"/>
      <c r="H1641" s="654"/>
      <c r="I1641" s="654"/>
      <c r="J1641" s="191"/>
      <c r="K1641" s="191">
        <v>294035.65736725001</v>
      </c>
      <c r="L1641" s="191"/>
      <c r="M1641" s="191"/>
      <c r="N1641" s="191"/>
      <c r="O1641" s="191"/>
      <c r="P1641" s="191"/>
      <c r="Q1641" s="191"/>
      <c r="R1641" s="191"/>
      <c r="S1641" s="191"/>
      <c r="T1641" s="191"/>
      <c r="U1641" s="439"/>
      <c r="V1641" s="441"/>
      <c r="W1641" s="178"/>
      <c r="X1641" s="172"/>
      <c r="Y1641" s="172"/>
      <c r="Z1641" s="172"/>
      <c r="AA1641" s="195"/>
      <c r="AB1641" s="172"/>
    </row>
    <row r="1642" spans="1:28" ht="12.75" customHeight="1" x14ac:dyDescent="0.3">
      <c r="A1642" s="667"/>
      <c r="B1642" s="668" t="s">
        <v>7304</v>
      </c>
      <c r="C1642" s="160" t="s">
        <v>7305</v>
      </c>
      <c r="D1642" s="160"/>
      <c r="E1642" s="439">
        <v>4.45</v>
      </c>
      <c r="F1642" s="161">
        <v>843.95406239800002</v>
      </c>
      <c r="G1642" s="161">
        <v>9.0380000000000003</v>
      </c>
      <c r="H1642" s="654"/>
      <c r="I1642" s="654"/>
      <c r="J1642" s="191"/>
      <c r="K1642" s="191">
        <v>281955.12953452102</v>
      </c>
      <c r="L1642" s="191"/>
      <c r="M1642" s="191"/>
      <c r="N1642" s="191"/>
      <c r="O1642" s="191"/>
      <c r="P1642" s="191"/>
      <c r="Q1642" s="191"/>
      <c r="R1642" s="191"/>
      <c r="S1642" s="191"/>
      <c r="T1642" s="191"/>
      <c r="U1642" s="439"/>
      <c r="V1642" s="441"/>
      <c r="W1642" s="178"/>
      <c r="X1642" s="172"/>
      <c r="Y1642" s="172"/>
      <c r="Z1642" s="172"/>
      <c r="AA1642" s="195"/>
      <c r="AB1642" s="172"/>
    </row>
    <row r="1643" spans="1:28" ht="12.75" customHeight="1" x14ac:dyDescent="0.3">
      <c r="A1643" s="667"/>
      <c r="B1643" s="668" t="s">
        <v>7306</v>
      </c>
      <c r="C1643" s="160" t="s">
        <v>7307</v>
      </c>
      <c r="D1643" s="160"/>
      <c r="E1643" s="439">
        <v>6.25</v>
      </c>
      <c r="F1643" s="161">
        <v>773.97101443099996</v>
      </c>
      <c r="G1643" s="161"/>
      <c r="H1643" s="654"/>
      <c r="I1643" s="654"/>
      <c r="J1643" s="191"/>
      <c r="K1643" s="191">
        <v>284223.51102319401</v>
      </c>
      <c r="L1643" s="191"/>
      <c r="M1643" s="191"/>
      <c r="N1643" s="191"/>
      <c r="O1643" s="191"/>
      <c r="P1643" s="191"/>
      <c r="Q1643" s="191"/>
      <c r="R1643" s="191"/>
      <c r="S1643" s="191"/>
      <c r="T1643" s="191"/>
      <c r="U1643" s="439"/>
      <c r="V1643" s="441"/>
      <c r="W1643" s="178"/>
      <c r="X1643" s="172"/>
      <c r="Y1643" s="172"/>
      <c r="Z1643" s="172"/>
      <c r="AA1643" s="195"/>
      <c r="AB1643" s="172"/>
    </row>
    <row r="1644" spans="1:28" ht="12.75" customHeight="1" x14ac:dyDescent="0.3">
      <c r="A1644" s="667"/>
      <c r="B1644" s="668" t="s">
        <v>7308</v>
      </c>
      <c r="C1644" s="160" t="s">
        <v>7309</v>
      </c>
      <c r="D1644" s="160"/>
      <c r="E1644" s="439"/>
      <c r="F1644" s="161">
        <v>595.94588380000005</v>
      </c>
      <c r="G1644" s="161"/>
      <c r="H1644" s="654"/>
      <c r="I1644" s="654"/>
      <c r="J1644" s="191"/>
      <c r="K1644" s="191">
        <v>223136.183153322</v>
      </c>
      <c r="L1644" s="191"/>
      <c r="M1644" s="191"/>
      <c r="N1644" s="191"/>
      <c r="O1644" s="191"/>
      <c r="P1644" s="191"/>
      <c r="Q1644" s="191"/>
      <c r="R1644" s="191"/>
      <c r="S1644" s="191"/>
      <c r="T1644" s="191"/>
      <c r="U1644" s="439"/>
      <c r="V1644" s="441"/>
      <c r="W1644" s="178"/>
      <c r="X1644" s="172"/>
      <c r="Y1644" s="172"/>
      <c r="Z1644" s="172"/>
      <c r="AA1644" s="195"/>
      <c r="AB1644" s="172"/>
    </row>
    <row r="1645" spans="1:28" ht="12.75" customHeight="1" x14ac:dyDescent="0.3">
      <c r="A1645" s="667"/>
      <c r="B1645" s="668" t="s">
        <v>7310</v>
      </c>
      <c r="C1645" s="160" t="s">
        <v>7311</v>
      </c>
      <c r="D1645" s="160"/>
      <c r="E1645" s="439">
        <v>4.22</v>
      </c>
      <c r="F1645" s="161">
        <v>750.13733403200001</v>
      </c>
      <c r="G1645" s="161"/>
      <c r="H1645" s="654"/>
      <c r="I1645" s="654"/>
      <c r="J1645" s="191"/>
      <c r="K1645" s="191">
        <v>200193.51270219299</v>
      </c>
      <c r="L1645" s="191"/>
      <c r="M1645" s="191"/>
      <c r="N1645" s="191"/>
      <c r="O1645" s="191"/>
      <c r="P1645" s="191"/>
      <c r="Q1645" s="191"/>
      <c r="R1645" s="191"/>
      <c r="S1645" s="191"/>
      <c r="T1645" s="191"/>
      <c r="U1645" s="439"/>
      <c r="V1645" s="441"/>
      <c r="W1645" s="178"/>
      <c r="X1645" s="172"/>
      <c r="Y1645" s="172"/>
      <c r="Z1645" s="172"/>
      <c r="AA1645" s="195"/>
      <c r="AB1645" s="172"/>
    </row>
    <row r="1646" spans="1:28" ht="12.75" customHeight="1" x14ac:dyDescent="0.3">
      <c r="A1646" s="667"/>
      <c r="B1646" s="668" t="s">
        <v>7312</v>
      </c>
      <c r="C1646" s="160" t="s">
        <v>7313</v>
      </c>
      <c r="D1646" s="160"/>
      <c r="E1646" s="439">
        <v>6.25</v>
      </c>
      <c r="F1646" s="161">
        <v>673.97740177900005</v>
      </c>
      <c r="G1646" s="161"/>
      <c r="H1646" s="654"/>
      <c r="I1646" s="654"/>
      <c r="J1646" s="191"/>
      <c r="K1646" s="191">
        <v>737106.091064265</v>
      </c>
      <c r="L1646" s="191"/>
      <c r="M1646" s="191"/>
      <c r="N1646" s="191"/>
      <c r="O1646" s="191"/>
      <c r="P1646" s="191"/>
      <c r="Q1646" s="191"/>
      <c r="R1646" s="191"/>
      <c r="S1646" s="191"/>
      <c r="T1646" s="191"/>
      <c r="U1646" s="439"/>
      <c r="V1646" s="441"/>
      <c r="W1646" s="178"/>
      <c r="X1646" s="172"/>
      <c r="Y1646" s="172"/>
      <c r="Z1646" s="172"/>
      <c r="AA1646" s="195"/>
      <c r="AB1646" s="172"/>
    </row>
    <row r="1647" spans="1:28" ht="12.75" customHeight="1" x14ac:dyDescent="0.3">
      <c r="A1647" s="667"/>
      <c r="B1647" s="668" t="s">
        <v>7314</v>
      </c>
      <c r="C1647" s="160" t="s">
        <v>7315</v>
      </c>
      <c r="D1647" s="160"/>
      <c r="E1647" s="439"/>
      <c r="F1647" s="161">
        <v>584.10144445699996</v>
      </c>
      <c r="G1647" s="161"/>
      <c r="H1647" s="654"/>
      <c r="I1647" s="654"/>
      <c r="J1647" s="191"/>
      <c r="K1647" s="191">
        <v>71718.302219474106</v>
      </c>
      <c r="L1647" s="191"/>
      <c r="M1647" s="191"/>
      <c r="N1647" s="191"/>
      <c r="O1647" s="191"/>
      <c r="P1647" s="191"/>
      <c r="Q1647" s="191"/>
      <c r="R1647" s="191"/>
      <c r="S1647" s="191"/>
      <c r="T1647" s="191"/>
      <c r="U1647" s="439"/>
      <c r="V1647" s="441"/>
      <c r="W1647" s="178"/>
      <c r="X1647" s="172"/>
      <c r="Y1647" s="172"/>
      <c r="Z1647" s="172"/>
      <c r="AA1647" s="195"/>
      <c r="AB1647" s="172"/>
    </row>
    <row r="1648" spans="1:28" ht="12.75" customHeight="1" x14ac:dyDescent="0.3">
      <c r="A1648" s="667"/>
      <c r="B1648" s="668" t="s">
        <v>7316</v>
      </c>
      <c r="C1648" s="160" t="s">
        <v>7317</v>
      </c>
      <c r="D1648" s="160"/>
      <c r="E1648" s="439">
        <v>6.15</v>
      </c>
      <c r="F1648" s="161">
        <v>570.08579439300001</v>
      </c>
      <c r="G1648" s="161">
        <v>111.983</v>
      </c>
      <c r="H1648" s="654"/>
      <c r="I1648" s="654"/>
      <c r="J1648" s="191"/>
      <c r="K1648" s="191">
        <v>21562.5440680719</v>
      </c>
      <c r="L1648" s="191"/>
      <c r="M1648" s="191"/>
      <c r="N1648" s="191"/>
      <c r="O1648" s="191"/>
      <c r="P1648" s="191"/>
      <c r="Q1648" s="191"/>
      <c r="R1648" s="191"/>
      <c r="S1648" s="191"/>
      <c r="T1648" s="191"/>
      <c r="U1648" s="439"/>
      <c r="V1648" s="441"/>
      <c r="W1648" s="178"/>
      <c r="X1648" s="172"/>
      <c r="Y1648" s="172"/>
      <c r="Z1648" s="172"/>
      <c r="AA1648" s="195"/>
      <c r="AB1648" s="172"/>
    </row>
    <row r="1649" spans="1:28" ht="12.75" customHeight="1" x14ac:dyDescent="0.3">
      <c r="A1649" s="667"/>
      <c r="B1649" s="668" t="s">
        <v>7318</v>
      </c>
      <c r="C1649" s="160" t="s">
        <v>7319</v>
      </c>
      <c r="D1649" s="160"/>
      <c r="E1649" s="439">
        <v>6.53</v>
      </c>
      <c r="F1649" s="161">
        <v>584.10144445699996</v>
      </c>
      <c r="G1649" s="161">
        <v>112.78700000000001</v>
      </c>
      <c r="H1649" s="654"/>
      <c r="I1649" s="654"/>
      <c r="J1649" s="191"/>
      <c r="K1649" s="191">
        <v>150556.66982669701</v>
      </c>
      <c r="L1649" s="191"/>
      <c r="M1649" s="191"/>
      <c r="N1649" s="191"/>
      <c r="O1649" s="191"/>
      <c r="P1649" s="191"/>
      <c r="Q1649" s="191"/>
      <c r="R1649" s="191"/>
      <c r="S1649" s="191"/>
      <c r="T1649" s="191"/>
      <c r="U1649" s="439"/>
      <c r="V1649" s="441"/>
      <c r="W1649" s="178"/>
      <c r="X1649" s="172"/>
      <c r="Y1649" s="172"/>
      <c r="Z1649" s="172"/>
      <c r="AA1649" s="195"/>
      <c r="AB1649" s="172"/>
    </row>
    <row r="1650" spans="1:28" ht="12.75" customHeight="1" x14ac:dyDescent="0.3">
      <c r="A1650" s="667"/>
      <c r="B1650" s="668" t="s">
        <v>7320</v>
      </c>
      <c r="C1650" s="160" t="s">
        <v>7053</v>
      </c>
      <c r="D1650" s="160"/>
      <c r="E1650" s="439">
        <v>2.67</v>
      </c>
      <c r="F1650" s="161">
        <v>911.97080039000002</v>
      </c>
      <c r="G1650" s="161"/>
      <c r="H1650" s="654"/>
      <c r="I1650" s="654"/>
      <c r="J1650" s="191"/>
      <c r="K1650" s="191">
        <v>2301547805.1613598</v>
      </c>
      <c r="L1650" s="191"/>
      <c r="M1650" s="191"/>
      <c r="N1650" s="191"/>
      <c r="O1650" s="191"/>
      <c r="P1650" s="191"/>
      <c r="Q1650" s="191"/>
      <c r="R1650" s="191"/>
      <c r="S1650" s="191"/>
      <c r="T1650" s="191"/>
      <c r="U1650" s="439"/>
      <c r="V1650" s="441"/>
      <c r="W1650" s="178"/>
      <c r="X1650" s="172"/>
      <c r="Y1650" s="172"/>
      <c r="Z1650" s="172"/>
      <c r="AA1650" s="195"/>
      <c r="AB1650" s="172"/>
    </row>
    <row r="1651" spans="1:28" ht="12.75" customHeight="1" x14ac:dyDescent="0.3">
      <c r="A1651" s="667"/>
      <c r="B1651" s="668" t="s">
        <v>7321</v>
      </c>
      <c r="C1651" s="160" t="s">
        <v>7322</v>
      </c>
      <c r="D1651" s="160"/>
      <c r="E1651" s="439"/>
      <c r="F1651" s="161">
        <v>561.98485614000003</v>
      </c>
      <c r="G1651" s="161"/>
      <c r="H1651" s="654"/>
      <c r="I1651" s="654"/>
      <c r="J1651" s="191"/>
      <c r="K1651" s="191">
        <v>253005.52198747301</v>
      </c>
      <c r="L1651" s="191"/>
      <c r="M1651" s="191"/>
      <c r="N1651" s="191"/>
      <c r="O1651" s="191"/>
      <c r="P1651" s="191"/>
      <c r="Q1651" s="191"/>
      <c r="R1651" s="191"/>
      <c r="S1651" s="191"/>
      <c r="T1651" s="191"/>
      <c r="U1651" s="439"/>
      <c r="V1651" s="441"/>
      <c r="W1651" s="178"/>
      <c r="X1651" s="172"/>
      <c r="Y1651" s="172"/>
      <c r="Z1651" s="172"/>
      <c r="AA1651" s="195"/>
      <c r="AB1651" s="172"/>
    </row>
    <row r="1652" spans="1:28" ht="12.75" customHeight="1" x14ac:dyDescent="0.3">
      <c r="A1652" s="667"/>
      <c r="B1652" s="668" t="s">
        <v>7323</v>
      </c>
      <c r="C1652" s="160" t="s">
        <v>7324</v>
      </c>
      <c r="D1652" s="160"/>
      <c r="E1652" s="439"/>
      <c r="F1652" s="161">
        <v>825.98453783399998</v>
      </c>
      <c r="G1652" s="161"/>
      <c r="H1652" s="654"/>
      <c r="I1652" s="654"/>
      <c r="J1652" s="191"/>
      <c r="K1652" s="191">
        <v>307595.51585090801</v>
      </c>
      <c r="L1652" s="191"/>
      <c r="M1652" s="191"/>
      <c r="N1652" s="191"/>
      <c r="O1652" s="191"/>
      <c r="P1652" s="191"/>
      <c r="Q1652" s="191"/>
      <c r="R1652" s="191"/>
      <c r="S1652" s="191"/>
      <c r="T1652" s="191"/>
      <c r="U1652" s="439"/>
      <c r="V1652" s="441"/>
      <c r="W1652" s="178"/>
      <c r="X1652" s="172"/>
      <c r="Y1652" s="172"/>
      <c r="Z1652" s="172"/>
      <c r="AA1652" s="195"/>
      <c r="AB1652" s="172"/>
    </row>
    <row r="1653" spans="1:28" ht="12.75" customHeight="1" x14ac:dyDescent="0.3">
      <c r="A1653" s="667"/>
      <c r="B1653" s="668" t="s">
        <v>7325</v>
      </c>
      <c r="C1653" s="160" t="s">
        <v>7326</v>
      </c>
      <c r="D1653" s="160"/>
      <c r="E1653" s="439"/>
      <c r="F1653" s="161">
        <v>478.04497495300001</v>
      </c>
      <c r="G1653" s="161"/>
      <c r="H1653" s="654"/>
      <c r="I1653" s="654"/>
      <c r="J1653" s="191"/>
      <c r="K1653" s="191">
        <v>16147.3031942036</v>
      </c>
      <c r="L1653" s="191"/>
      <c r="M1653" s="191"/>
      <c r="N1653" s="191"/>
      <c r="O1653" s="191"/>
      <c r="P1653" s="191"/>
      <c r="Q1653" s="191"/>
      <c r="R1653" s="191"/>
      <c r="S1653" s="191"/>
      <c r="T1653" s="191"/>
      <c r="U1653" s="439"/>
      <c r="V1653" s="441"/>
      <c r="W1653" s="178"/>
      <c r="X1653" s="172"/>
      <c r="Y1653" s="172"/>
      <c r="Z1653" s="172"/>
      <c r="AA1653" s="195"/>
      <c r="AB1653" s="172"/>
    </row>
    <row r="1654" spans="1:28" ht="12.75" customHeight="1" x14ac:dyDescent="0.3">
      <c r="A1654" s="667"/>
      <c r="B1654" s="668" t="s">
        <v>7327</v>
      </c>
      <c r="C1654" s="160" t="s">
        <v>7328</v>
      </c>
      <c r="D1654" s="160"/>
      <c r="E1654" s="439"/>
      <c r="F1654" s="161">
        <v>646.16000470799997</v>
      </c>
      <c r="G1654" s="161"/>
      <c r="H1654" s="654"/>
      <c r="I1654" s="654"/>
      <c r="J1654" s="191"/>
      <c r="K1654" s="191">
        <v>1498166.21805994</v>
      </c>
      <c r="L1654" s="191"/>
      <c r="M1654" s="191"/>
      <c r="N1654" s="191"/>
      <c r="O1654" s="191"/>
      <c r="P1654" s="191"/>
      <c r="Q1654" s="191"/>
      <c r="R1654" s="191"/>
      <c r="S1654" s="191"/>
      <c r="T1654" s="191"/>
      <c r="U1654" s="439"/>
      <c r="V1654" s="441"/>
      <c r="W1654" s="178"/>
      <c r="X1654" s="172"/>
      <c r="Y1654" s="172"/>
      <c r="Z1654" s="172"/>
      <c r="AA1654" s="195"/>
      <c r="AB1654" s="172"/>
    </row>
    <row r="1655" spans="1:28" ht="12.75" customHeight="1" x14ac:dyDescent="0.3">
      <c r="A1655" s="667"/>
      <c r="B1655" s="668" t="s">
        <v>7329</v>
      </c>
      <c r="C1655" s="160" t="s">
        <v>7330</v>
      </c>
      <c r="D1655" s="160"/>
      <c r="E1655" s="439">
        <v>3.2</v>
      </c>
      <c r="F1655" s="161">
        <v>392.00819552000002</v>
      </c>
      <c r="G1655" s="161">
        <v>9.9339999999999993</v>
      </c>
      <c r="H1655" s="654">
        <v>5.6221354112000004</v>
      </c>
      <c r="I1655" s="654">
        <v>2.28715221635166</v>
      </c>
      <c r="J1655" s="191"/>
      <c r="K1655" s="191">
        <v>15126.2056291429</v>
      </c>
      <c r="L1655" s="191"/>
      <c r="M1655" s="191"/>
      <c r="N1655" s="191"/>
      <c r="O1655" s="191"/>
      <c r="P1655" s="191"/>
      <c r="Q1655" s="191"/>
      <c r="R1655" s="191"/>
      <c r="S1655" s="191"/>
      <c r="T1655" s="191"/>
      <c r="U1655" s="439"/>
      <c r="V1655" s="441"/>
      <c r="W1655" s="178"/>
      <c r="X1655" s="172"/>
      <c r="Y1655" s="172"/>
      <c r="Z1655" s="172"/>
      <c r="AA1655" s="195"/>
      <c r="AB1655" s="172"/>
    </row>
    <row r="1656" spans="1:28" ht="12.75" customHeight="1" x14ac:dyDescent="0.3">
      <c r="A1656" s="667"/>
      <c r="B1656" s="668" t="s">
        <v>7331</v>
      </c>
      <c r="C1656" s="160" t="s">
        <v>7332</v>
      </c>
      <c r="D1656" s="160"/>
      <c r="E1656" s="439">
        <v>3.54</v>
      </c>
      <c r="F1656" s="161">
        <v>342.011389194</v>
      </c>
      <c r="G1656" s="161"/>
      <c r="H1656" s="654"/>
      <c r="I1656" s="654"/>
      <c r="J1656" s="191"/>
      <c r="K1656" s="191">
        <v>1977.19726025561</v>
      </c>
      <c r="L1656" s="191"/>
      <c r="M1656" s="191"/>
      <c r="N1656" s="191"/>
      <c r="O1656" s="191"/>
      <c r="P1656" s="191"/>
      <c r="Q1656" s="191"/>
      <c r="R1656" s="191"/>
      <c r="S1656" s="191"/>
      <c r="T1656" s="191"/>
      <c r="U1656" s="439"/>
      <c r="V1656" s="441"/>
      <c r="W1656" s="178"/>
      <c r="X1656" s="172"/>
      <c r="Y1656" s="172"/>
      <c r="Z1656" s="172"/>
      <c r="AA1656" s="195"/>
      <c r="AB1656" s="172"/>
    </row>
    <row r="1657" spans="1:28" ht="12.75" customHeight="1" x14ac:dyDescent="0.3">
      <c r="A1657" s="667"/>
      <c r="B1657" s="668" t="s">
        <v>7333</v>
      </c>
      <c r="C1657" s="160" t="s">
        <v>7334</v>
      </c>
      <c r="D1657" s="160"/>
      <c r="E1657" s="439">
        <v>4.45</v>
      </c>
      <c r="F1657" s="161">
        <v>943.94767505000004</v>
      </c>
      <c r="G1657" s="161">
        <v>5.4710000000000001</v>
      </c>
      <c r="H1657" s="654"/>
      <c r="I1657" s="654"/>
      <c r="J1657" s="191"/>
      <c r="K1657" s="191">
        <v>3734908.7865642202</v>
      </c>
      <c r="L1657" s="191"/>
      <c r="M1657" s="191"/>
      <c r="N1657" s="191"/>
      <c r="O1657" s="191"/>
      <c r="P1657" s="191"/>
      <c r="Q1657" s="191"/>
      <c r="R1657" s="191"/>
      <c r="S1657" s="191"/>
      <c r="T1657" s="191"/>
      <c r="U1657" s="439"/>
      <c r="V1657" s="441"/>
      <c r="W1657" s="178"/>
      <c r="X1657" s="172"/>
      <c r="Y1657" s="172"/>
      <c r="Z1657" s="172"/>
      <c r="AA1657" s="195"/>
      <c r="AB1657" s="172"/>
    </row>
    <row r="1658" spans="1:28" ht="12.75" customHeight="1" x14ac:dyDescent="0.3">
      <c r="A1658" s="667"/>
      <c r="B1658" s="668" t="s">
        <v>7335</v>
      </c>
      <c r="C1658" s="160" t="s">
        <v>7336</v>
      </c>
      <c r="D1658" s="160"/>
      <c r="E1658" s="439"/>
      <c r="F1658" s="161">
        <v>973.88306999999998</v>
      </c>
      <c r="G1658" s="161">
        <v>30.885999999999999</v>
      </c>
      <c r="H1658" s="654"/>
      <c r="I1658" s="654"/>
      <c r="J1658" s="191"/>
      <c r="K1658" s="191">
        <v>2835436.98545278</v>
      </c>
      <c r="L1658" s="191"/>
      <c r="M1658" s="191"/>
      <c r="N1658" s="191"/>
      <c r="O1658" s="191"/>
      <c r="P1658" s="191"/>
      <c r="Q1658" s="191"/>
      <c r="R1658" s="191"/>
      <c r="S1658" s="191"/>
      <c r="T1658" s="191"/>
      <c r="U1658" s="439"/>
      <c r="V1658" s="441"/>
      <c r="W1658" s="178"/>
      <c r="X1658" s="172"/>
      <c r="Y1658" s="172"/>
      <c r="Z1658" s="172"/>
      <c r="AA1658" s="195"/>
      <c r="AB1658" s="172"/>
    </row>
    <row r="1659" spans="1:28" ht="12.75" customHeight="1" x14ac:dyDescent="0.3">
      <c r="A1659" s="667"/>
      <c r="B1659" s="668" t="s">
        <v>7337</v>
      </c>
      <c r="C1659" s="160" t="s">
        <v>7338</v>
      </c>
      <c r="D1659" s="160"/>
      <c r="E1659" s="439"/>
      <c r="F1659" s="161">
        <v>873.88945999999999</v>
      </c>
      <c r="G1659" s="161">
        <v>22.614000000000001</v>
      </c>
      <c r="H1659" s="654">
        <v>10.712769337199999</v>
      </c>
      <c r="I1659" s="654"/>
      <c r="J1659" s="191"/>
      <c r="K1659" s="191">
        <v>2867675.4607426398</v>
      </c>
      <c r="L1659" s="191"/>
      <c r="M1659" s="191"/>
      <c r="N1659" s="191"/>
      <c r="O1659" s="191"/>
      <c r="P1659" s="191"/>
      <c r="Q1659" s="191"/>
      <c r="R1659" s="191"/>
      <c r="S1659" s="191"/>
      <c r="T1659" s="191"/>
      <c r="U1659" s="439"/>
      <c r="V1659" s="441"/>
      <c r="W1659" s="178"/>
      <c r="X1659" s="172"/>
      <c r="Y1659" s="172"/>
      <c r="Z1659" s="172"/>
      <c r="AA1659" s="195"/>
      <c r="AB1659" s="172"/>
    </row>
    <row r="1660" spans="1:28" ht="12.75" customHeight="1" x14ac:dyDescent="0.3">
      <c r="A1660" s="667"/>
      <c r="B1660" s="668" t="s">
        <v>7339</v>
      </c>
      <c r="C1660" s="160" t="s">
        <v>7340</v>
      </c>
      <c r="D1660" s="160"/>
      <c r="E1660" s="439"/>
      <c r="F1660" s="161">
        <v>623.90543000000002</v>
      </c>
      <c r="G1660" s="161">
        <v>-22.356000000000002</v>
      </c>
      <c r="H1660" s="654">
        <v>47.304378786000001</v>
      </c>
      <c r="I1660" s="654"/>
      <c r="J1660" s="191"/>
      <c r="K1660" s="191">
        <v>130439.762684125</v>
      </c>
      <c r="L1660" s="191"/>
      <c r="M1660" s="191"/>
      <c r="N1660" s="191"/>
      <c r="O1660" s="191"/>
      <c r="P1660" s="191"/>
      <c r="Q1660" s="191"/>
      <c r="R1660" s="191"/>
      <c r="S1660" s="191"/>
      <c r="T1660" s="191"/>
      <c r="U1660" s="439"/>
      <c r="V1660" s="441"/>
      <c r="W1660" s="178"/>
      <c r="X1660" s="172"/>
      <c r="Y1660" s="172"/>
      <c r="Z1660" s="172"/>
      <c r="AA1660" s="195"/>
      <c r="AB1660" s="172"/>
    </row>
    <row r="1661" spans="1:28" ht="12.75" customHeight="1" x14ac:dyDescent="0.3">
      <c r="A1661" s="667"/>
      <c r="B1661" s="668" t="s">
        <v>7341</v>
      </c>
      <c r="C1661" s="160" t="s">
        <v>7342</v>
      </c>
      <c r="D1661" s="160"/>
      <c r="E1661" s="439"/>
      <c r="F1661" s="161">
        <v>523.91182000000003</v>
      </c>
      <c r="G1661" s="161"/>
      <c r="H1661" s="654"/>
      <c r="I1661" s="654"/>
      <c r="J1661" s="191"/>
      <c r="K1661" s="191">
        <v>1103367.0235262199</v>
      </c>
      <c r="L1661" s="191"/>
      <c r="M1661" s="191"/>
      <c r="N1661" s="191"/>
      <c r="O1661" s="191"/>
      <c r="P1661" s="191"/>
      <c r="Q1661" s="191"/>
      <c r="R1661" s="191"/>
      <c r="S1661" s="191"/>
      <c r="T1661" s="191"/>
      <c r="U1661" s="439"/>
      <c r="V1661" s="441"/>
      <c r="W1661" s="178"/>
      <c r="X1661" s="172"/>
      <c r="Y1661" s="172"/>
      <c r="Z1661" s="172"/>
      <c r="AA1661" s="195"/>
      <c r="AB1661" s="172"/>
    </row>
    <row r="1662" spans="1:28" ht="12.75" customHeight="1" x14ac:dyDescent="0.3">
      <c r="A1662" s="667"/>
      <c r="B1662" s="668" t="s">
        <v>7343</v>
      </c>
      <c r="C1662" s="160" t="s">
        <v>7344</v>
      </c>
      <c r="D1662" s="160"/>
      <c r="E1662" s="439"/>
      <c r="F1662" s="161">
        <v>423.91820000000001</v>
      </c>
      <c r="G1662" s="161">
        <v>-52.634</v>
      </c>
      <c r="H1662" s="654">
        <v>420.63090999999997</v>
      </c>
      <c r="I1662" s="654">
        <v>1.1279318722859999</v>
      </c>
      <c r="J1662" s="191"/>
      <c r="K1662" s="191">
        <v>283667.77354791999</v>
      </c>
      <c r="L1662" s="191"/>
      <c r="M1662" s="191"/>
      <c r="N1662" s="191"/>
      <c r="O1662" s="191"/>
      <c r="P1662" s="191"/>
      <c r="Q1662" s="191"/>
      <c r="R1662" s="191"/>
      <c r="S1662" s="191"/>
      <c r="T1662" s="191"/>
      <c r="U1662" s="439"/>
      <c r="V1662" s="441"/>
      <c r="W1662" s="178"/>
      <c r="X1662" s="172"/>
      <c r="Y1662" s="172"/>
      <c r="Z1662" s="172"/>
      <c r="AA1662" s="195"/>
      <c r="AB1662" s="172"/>
    </row>
    <row r="1663" spans="1:28" ht="12.75" customHeight="1" x14ac:dyDescent="0.3">
      <c r="A1663" s="667"/>
      <c r="B1663" s="668" t="s">
        <v>7345</v>
      </c>
      <c r="C1663" s="160" t="s">
        <v>7346</v>
      </c>
      <c r="D1663" s="160"/>
      <c r="E1663" s="439">
        <v>7.17</v>
      </c>
      <c r="F1663" s="161">
        <v>825.00878311899999</v>
      </c>
      <c r="G1663" s="161">
        <v>5.6760000000000002</v>
      </c>
      <c r="H1663" s="654"/>
      <c r="I1663" s="654"/>
      <c r="J1663" s="191"/>
      <c r="K1663" s="191">
        <v>272088.383203601</v>
      </c>
      <c r="L1663" s="191"/>
      <c r="M1663" s="191"/>
      <c r="N1663" s="191"/>
      <c r="O1663" s="191"/>
      <c r="P1663" s="191"/>
      <c r="Q1663" s="191"/>
      <c r="R1663" s="191"/>
      <c r="S1663" s="191"/>
      <c r="T1663" s="191"/>
      <c r="U1663" s="439"/>
      <c r="V1663" s="441"/>
      <c r="W1663" s="178"/>
      <c r="X1663" s="172"/>
      <c r="Y1663" s="172"/>
      <c r="Z1663" s="172"/>
      <c r="AA1663" s="195"/>
      <c r="AB1663" s="172"/>
    </row>
    <row r="1664" spans="1:28" ht="12.75" customHeight="1" x14ac:dyDescent="0.3">
      <c r="A1664" s="667"/>
      <c r="B1664" s="668" t="s">
        <v>7347</v>
      </c>
      <c r="C1664" s="160" t="s">
        <v>7348</v>
      </c>
      <c r="D1664" s="160"/>
      <c r="E1664" s="439">
        <v>7.17</v>
      </c>
      <c r="F1664" s="161">
        <v>725.01517046699996</v>
      </c>
      <c r="G1664" s="161">
        <v>9.2439999999999998</v>
      </c>
      <c r="H1664" s="654"/>
      <c r="I1664" s="654"/>
      <c r="J1664" s="191"/>
      <c r="K1664" s="191">
        <v>202325.21007762701</v>
      </c>
      <c r="L1664" s="191"/>
      <c r="M1664" s="191"/>
      <c r="N1664" s="191"/>
      <c r="O1664" s="191"/>
      <c r="P1664" s="191"/>
      <c r="Q1664" s="191"/>
      <c r="R1664" s="191"/>
      <c r="S1664" s="191"/>
      <c r="T1664" s="191"/>
      <c r="U1664" s="439"/>
      <c r="V1664" s="441"/>
      <c r="W1664" s="178"/>
      <c r="X1664" s="172"/>
      <c r="Y1664" s="172"/>
      <c r="Z1664" s="172"/>
      <c r="AA1664" s="195"/>
      <c r="AB1664" s="172"/>
    </row>
    <row r="1665" spans="1:28" ht="12.75" customHeight="1" x14ac:dyDescent="0.3">
      <c r="A1665" s="667"/>
      <c r="B1665" s="668" t="s">
        <v>7349</v>
      </c>
      <c r="C1665" s="160" t="s">
        <v>7350</v>
      </c>
      <c r="D1665" s="160"/>
      <c r="E1665" s="439">
        <v>7.17</v>
      </c>
      <c r="F1665" s="161">
        <v>625.02155781500005</v>
      </c>
      <c r="G1665" s="161"/>
      <c r="H1665" s="654"/>
      <c r="I1665" s="654"/>
      <c r="J1665" s="191"/>
      <c r="K1665" s="191">
        <v>590772.13130284997</v>
      </c>
      <c r="L1665" s="191"/>
      <c r="M1665" s="191"/>
      <c r="N1665" s="191"/>
      <c r="O1665" s="191"/>
      <c r="P1665" s="191"/>
      <c r="Q1665" s="191"/>
      <c r="R1665" s="191"/>
      <c r="S1665" s="191"/>
      <c r="T1665" s="191"/>
      <c r="U1665" s="439"/>
      <c r="V1665" s="441"/>
      <c r="W1665" s="178"/>
      <c r="X1665" s="172"/>
      <c r="Y1665" s="172"/>
      <c r="Z1665" s="172"/>
      <c r="AA1665" s="195"/>
      <c r="AB1665" s="172"/>
    </row>
    <row r="1666" spans="1:28" ht="12.75" customHeight="1" x14ac:dyDescent="0.3">
      <c r="A1666" s="667"/>
      <c r="B1666" s="668" t="s">
        <v>7351</v>
      </c>
      <c r="C1666" s="160" t="s">
        <v>7352</v>
      </c>
      <c r="D1666" s="160"/>
      <c r="E1666" s="439">
        <v>6.89</v>
      </c>
      <c r="F1666" s="161">
        <v>525.02794516300003</v>
      </c>
      <c r="G1666" s="161">
        <v>-17.788</v>
      </c>
      <c r="H1666" s="654">
        <v>6.7905027581999997</v>
      </c>
      <c r="I1666" s="654">
        <v>1.9915097501950301</v>
      </c>
      <c r="J1666" s="191"/>
      <c r="K1666" s="191">
        <v>366876.589343631</v>
      </c>
      <c r="L1666" s="191"/>
      <c r="M1666" s="191"/>
      <c r="N1666" s="191"/>
      <c r="O1666" s="191"/>
      <c r="P1666" s="191"/>
      <c r="Q1666" s="191"/>
      <c r="R1666" s="191"/>
      <c r="S1666" s="191"/>
      <c r="T1666" s="191"/>
      <c r="U1666" s="439"/>
      <c r="V1666" s="441"/>
      <c r="W1666" s="178"/>
      <c r="X1666" s="172"/>
      <c r="Y1666" s="172"/>
      <c r="Z1666" s="172"/>
      <c r="AA1666" s="195"/>
      <c r="AB1666" s="172"/>
    </row>
    <row r="1667" spans="1:28" ht="12.75" customHeight="1" x14ac:dyDescent="0.3">
      <c r="A1667" s="667"/>
      <c r="B1667" s="668" t="s">
        <v>7353</v>
      </c>
      <c r="C1667" s="160" t="s">
        <v>7354</v>
      </c>
      <c r="D1667" s="160"/>
      <c r="E1667" s="439">
        <v>8.2200000000000006</v>
      </c>
      <c r="F1667" s="161">
        <v>839.02443318400003</v>
      </c>
      <c r="G1667" s="161">
        <v>6.48</v>
      </c>
      <c r="H1667" s="654"/>
      <c r="I1667" s="654"/>
      <c r="J1667" s="191"/>
      <c r="K1667" s="191">
        <v>277574.77726820798</v>
      </c>
      <c r="L1667" s="191"/>
      <c r="M1667" s="191"/>
      <c r="N1667" s="191"/>
      <c r="O1667" s="191"/>
      <c r="P1667" s="191"/>
      <c r="Q1667" s="191"/>
      <c r="R1667" s="191"/>
      <c r="S1667" s="191"/>
      <c r="T1667" s="191"/>
      <c r="U1667" s="439"/>
      <c r="V1667" s="441"/>
      <c r="W1667" s="178"/>
      <c r="X1667" s="172"/>
      <c r="Y1667" s="172"/>
      <c r="Z1667" s="172"/>
      <c r="AA1667" s="195"/>
      <c r="AB1667" s="172"/>
    </row>
    <row r="1668" spans="1:28" ht="12.75" customHeight="1" x14ac:dyDescent="0.3">
      <c r="A1668" s="667"/>
      <c r="B1668" s="668" t="s">
        <v>7355</v>
      </c>
      <c r="C1668" s="160" t="s">
        <v>7356</v>
      </c>
      <c r="D1668" s="160"/>
      <c r="E1668" s="439">
        <v>8.2200000000000006</v>
      </c>
      <c r="F1668" s="161">
        <v>739.03082053200001</v>
      </c>
      <c r="G1668" s="161"/>
      <c r="H1668" s="654"/>
      <c r="I1668" s="654"/>
      <c r="J1668" s="191"/>
      <c r="K1668" s="191">
        <v>205489.67250548801</v>
      </c>
      <c r="L1668" s="191"/>
      <c r="M1668" s="191"/>
      <c r="N1668" s="191"/>
      <c r="O1668" s="191"/>
      <c r="P1668" s="191"/>
      <c r="Q1668" s="191"/>
      <c r="R1668" s="191"/>
      <c r="S1668" s="191"/>
      <c r="T1668" s="191"/>
      <c r="U1668" s="439"/>
      <c r="V1668" s="441"/>
      <c r="W1668" s="178"/>
      <c r="X1668" s="172"/>
      <c r="Y1668" s="172"/>
      <c r="Z1668" s="172"/>
      <c r="AA1668" s="195"/>
      <c r="AB1668" s="172"/>
    </row>
    <row r="1669" spans="1:28" ht="12.75" customHeight="1" x14ac:dyDescent="0.3">
      <c r="A1669" s="667"/>
      <c r="B1669" s="668" t="s">
        <v>7357</v>
      </c>
      <c r="C1669" s="160" t="s">
        <v>7358</v>
      </c>
      <c r="D1669" s="160"/>
      <c r="E1669" s="439">
        <v>8.2200000000000006</v>
      </c>
      <c r="F1669" s="161">
        <v>639.03720787999998</v>
      </c>
      <c r="G1669" s="161"/>
      <c r="H1669" s="654"/>
      <c r="I1669" s="654"/>
      <c r="J1669" s="191"/>
      <c r="K1669" s="191">
        <v>638984.02402799996</v>
      </c>
      <c r="L1669" s="191"/>
      <c r="M1669" s="191"/>
      <c r="N1669" s="191"/>
      <c r="O1669" s="191"/>
      <c r="P1669" s="191"/>
      <c r="Q1669" s="191"/>
      <c r="R1669" s="191"/>
      <c r="S1669" s="191"/>
      <c r="T1669" s="191"/>
      <c r="U1669" s="439"/>
      <c r="V1669" s="441"/>
      <c r="W1669" s="178"/>
      <c r="X1669" s="172"/>
      <c r="Y1669" s="172"/>
      <c r="Z1669" s="172"/>
      <c r="AA1669" s="195"/>
      <c r="AB1669" s="172"/>
    </row>
    <row r="1670" spans="1:28" ht="12.75" customHeight="1" x14ac:dyDescent="0.3">
      <c r="A1670" s="667"/>
      <c r="B1670" s="668" t="s">
        <v>7359</v>
      </c>
      <c r="C1670" s="160" t="s">
        <v>7360</v>
      </c>
      <c r="D1670" s="160"/>
      <c r="E1670" s="439">
        <v>8.32</v>
      </c>
      <c r="F1670" s="161">
        <v>539.04359522799996</v>
      </c>
      <c r="G1670" s="161">
        <v>-16.984999999999999</v>
      </c>
      <c r="H1670" s="654">
        <v>4.0355369502</v>
      </c>
      <c r="I1670" s="654">
        <v>1.4375538023697401</v>
      </c>
      <c r="J1670" s="191"/>
      <c r="K1670" s="191">
        <v>395995.27137845999</v>
      </c>
      <c r="L1670" s="191"/>
      <c r="M1670" s="191"/>
      <c r="N1670" s="191"/>
      <c r="O1670" s="191"/>
      <c r="P1670" s="191"/>
      <c r="Q1670" s="191"/>
      <c r="R1670" s="191"/>
      <c r="S1670" s="191"/>
      <c r="T1670" s="191"/>
      <c r="U1670" s="439"/>
      <c r="V1670" s="441"/>
      <c r="W1670" s="178"/>
      <c r="X1670" s="172"/>
      <c r="Y1670" s="172"/>
      <c r="Z1670" s="172"/>
      <c r="AA1670" s="195"/>
      <c r="AB1670" s="172"/>
    </row>
    <row r="1671" spans="1:28" ht="12.75" customHeight="1" x14ac:dyDescent="0.3">
      <c r="A1671" s="667"/>
      <c r="B1671" s="668" t="s">
        <v>7361</v>
      </c>
      <c r="C1671" s="160" t="s">
        <v>7362</v>
      </c>
      <c r="D1671" s="160"/>
      <c r="E1671" s="439">
        <v>7.99</v>
      </c>
      <c r="F1671" s="161">
        <v>728.11301098900003</v>
      </c>
      <c r="G1671" s="161"/>
      <c r="H1671" s="654"/>
      <c r="I1671" s="654"/>
      <c r="J1671" s="191"/>
      <c r="K1671" s="191">
        <v>83272.192598523994</v>
      </c>
      <c r="L1671" s="191"/>
      <c r="M1671" s="191"/>
      <c r="N1671" s="191"/>
      <c r="O1671" s="191"/>
      <c r="P1671" s="191"/>
      <c r="Q1671" s="191"/>
      <c r="R1671" s="191"/>
      <c r="S1671" s="191"/>
      <c r="T1671" s="191"/>
      <c r="U1671" s="439"/>
      <c r="V1671" s="441"/>
      <c r="W1671" s="178"/>
      <c r="X1671" s="172"/>
      <c r="Y1671" s="172"/>
      <c r="Z1671" s="172"/>
      <c r="AA1671" s="195"/>
      <c r="AB1671" s="172"/>
    </row>
    <row r="1672" spans="1:28" ht="12.75" customHeight="1" x14ac:dyDescent="0.3">
      <c r="A1672" s="667"/>
      <c r="B1672" s="668" t="s">
        <v>7363</v>
      </c>
      <c r="C1672" s="160" t="s">
        <v>7364</v>
      </c>
      <c r="D1672" s="160"/>
      <c r="E1672" s="439">
        <v>6.36</v>
      </c>
      <c r="F1672" s="161">
        <v>596.99252526999999</v>
      </c>
      <c r="G1672" s="161"/>
      <c r="H1672" s="654"/>
      <c r="I1672" s="654"/>
      <c r="J1672" s="191"/>
      <c r="K1672" s="191">
        <v>427.03158656680802</v>
      </c>
      <c r="L1672" s="191"/>
      <c r="M1672" s="191"/>
      <c r="N1672" s="191"/>
      <c r="O1672" s="191"/>
      <c r="P1672" s="191"/>
      <c r="Q1672" s="191"/>
      <c r="R1672" s="191"/>
      <c r="S1672" s="191"/>
      <c r="T1672" s="191"/>
      <c r="U1672" s="439"/>
      <c r="V1672" s="441"/>
      <c r="W1672" s="178"/>
      <c r="X1672" s="172"/>
      <c r="Y1672" s="172"/>
      <c r="Z1672" s="172"/>
      <c r="AA1672" s="195"/>
      <c r="AB1672" s="172"/>
    </row>
    <row r="1673" spans="1:28" ht="12.75" customHeight="1" x14ac:dyDescent="0.3">
      <c r="A1673" s="667"/>
      <c r="B1673" s="668" t="s">
        <v>7365</v>
      </c>
      <c r="C1673" s="160" t="s">
        <v>7159</v>
      </c>
      <c r="D1673" s="160"/>
      <c r="E1673" s="439">
        <v>2.15</v>
      </c>
      <c r="F1673" s="161">
        <v>718.15109239000003</v>
      </c>
      <c r="G1673" s="161"/>
      <c r="H1673" s="654"/>
      <c r="I1673" s="654"/>
      <c r="J1673" s="191"/>
      <c r="K1673" s="191">
        <v>232916.36302139601</v>
      </c>
      <c r="L1673" s="191"/>
      <c r="M1673" s="191"/>
      <c r="N1673" s="191"/>
      <c r="O1673" s="191"/>
      <c r="P1673" s="191"/>
      <c r="Q1673" s="191"/>
      <c r="R1673" s="191"/>
      <c r="S1673" s="191"/>
      <c r="T1673" s="191"/>
      <c r="U1673" s="439"/>
      <c r="V1673" s="441"/>
      <c r="W1673" s="178"/>
      <c r="X1673" s="172"/>
      <c r="Y1673" s="172"/>
      <c r="Z1673" s="172"/>
      <c r="AA1673" s="195"/>
      <c r="AB1673" s="172"/>
    </row>
    <row r="1674" spans="1:28" ht="12.75" customHeight="1" x14ac:dyDescent="0.3">
      <c r="A1674" s="667"/>
      <c r="B1674" s="668" t="s">
        <v>7366</v>
      </c>
      <c r="C1674" s="160" t="s">
        <v>7367</v>
      </c>
      <c r="D1674" s="160"/>
      <c r="E1674" s="439">
        <v>7.96</v>
      </c>
      <c r="F1674" s="161">
        <v>628.11939833700001</v>
      </c>
      <c r="G1674" s="161"/>
      <c r="H1674" s="654"/>
      <c r="I1674" s="654"/>
      <c r="J1674" s="191"/>
      <c r="K1674" s="191">
        <v>208022.35084635401</v>
      </c>
      <c r="L1674" s="191"/>
      <c r="M1674" s="191"/>
      <c r="N1674" s="191"/>
      <c r="O1674" s="191"/>
      <c r="P1674" s="191"/>
      <c r="Q1674" s="191"/>
      <c r="R1674" s="191"/>
      <c r="S1674" s="191"/>
      <c r="T1674" s="191"/>
      <c r="U1674" s="439"/>
      <c r="V1674" s="441"/>
      <c r="W1674" s="178"/>
      <c r="X1674" s="172"/>
      <c r="Y1674" s="172"/>
      <c r="Z1674" s="172"/>
      <c r="AA1674" s="195"/>
      <c r="AB1674" s="172"/>
    </row>
    <row r="1675" spans="1:28" ht="12.75" customHeight="1" x14ac:dyDescent="0.3">
      <c r="A1675" s="667"/>
      <c r="B1675" s="668" t="s">
        <v>7368</v>
      </c>
      <c r="C1675" s="160" t="s">
        <v>7369</v>
      </c>
      <c r="D1675" s="160"/>
      <c r="E1675" s="439">
        <v>7.96</v>
      </c>
      <c r="F1675" s="161">
        <v>828.10662364100006</v>
      </c>
      <c r="G1675" s="161"/>
      <c r="H1675" s="654"/>
      <c r="I1675" s="654"/>
      <c r="J1675" s="191"/>
      <c r="K1675" s="191">
        <v>274561.72832752799</v>
      </c>
      <c r="L1675" s="191"/>
      <c r="M1675" s="191"/>
      <c r="N1675" s="191"/>
      <c r="O1675" s="191"/>
      <c r="P1675" s="191"/>
      <c r="Q1675" s="191"/>
      <c r="R1675" s="191"/>
      <c r="S1675" s="191"/>
      <c r="T1675" s="191"/>
      <c r="U1675" s="439"/>
      <c r="V1675" s="441"/>
      <c r="W1675" s="178"/>
      <c r="X1675" s="172"/>
      <c r="Y1675" s="172"/>
      <c r="Z1675" s="172"/>
      <c r="AA1675" s="195"/>
      <c r="AB1675" s="172"/>
    </row>
    <row r="1676" spans="1:28" ht="12.75" customHeight="1" x14ac:dyDescent="0.3">
      <c r="A1676" s="667"/>
      <c r="B1676" s="668" t="s">
        <v>7370</v>
      </c>
      <c r="C1676" s="160" t="s">
        <v>7371</v>
      </c>
      <c r="D1676" s="160"/>
      <c r="E1676" s="439">
        <v>7.58</v>
      </c>
      <c r="F1676" s="161">
        <v>778.10981731499999</v>
      </c>
      <c r="G1676" s="161"/>
      <c r="H1676" s="654"/>
      <c r="I1676" s="654"/>
      <c r="J1676" s="191"/>
      <c r="K1676" s="191">
        <v>82093.732143266505</v>
      </c>
      <c r="L1676" s="191"/>
      <c r="M1676" s="191"/>
      <c r="N1676" s="191"/>
      <c r="O1676" s="191"/>
      <c r="P1676" s="191"/>
      <c r="Q1676" s="191"/>
      <c r="R1676" s="191"/>
      <c r="S1676" s="191"/>
      <c r="T1676" s="191"/>
      <c r="U1676" s="439"/>
      <c r="V1676" s="441"/>
      <c r="W1676" s="178"/>
      <c r="X1676" s="172"/>
      <c r="Y1676" s="172"/>
      <c r="Z1676" s="172"/>
      <c r="AA1676" s="195"/>
      <c r="AB1676" s="172"/>
    </row>
    <row r="1677" spans="1:28" ht="12.75" customHeight="1" x14ac:dyDescent="0.3">
      <c r="A1677" s="667"/>
      <c r="B1677" s="668" t="s">
        <v>7372</v>
      </c>
      <c r="C1677" s="160" t="s">
        <v>7373</v>
      </c>
      <c r="D1677" s="160"/>
      <c r="E1677" s="439">
        <v>7.58</v>
      </c>
      <c r="F1677" s="161">
        <v>678.11620466299996</v>
      </c>
      <c r="G1677" s="161"/>
      <c r="H1677" s="654"/>
      <c r="I1677" s="654"/>
      <c r="J1677" s="191"/>
      <c r="K1677" s="191">
        <v>202810.296514438</v>
      </c>
      <c r="L1677" s="191"/>
      <c r="M1677" s="191"/>
      <c r="N1677" s="191"/>
      <c r="O1677" s="191"/>
      <c r="P1677" s="191"/>
      <c r="Q1677" s="191"/>
      <c r="R1677" s="191"/>
      <c r="S1677" s="191"/>
      <c r="T1677" s="191"/>
      <c r="U1677" s="439"/>
      <c r="V1677" s="441"/>
      <c r="W1677" s="178"/>
      <c r="X1677" s="172"/>
      <c r="Y1677" s="172"/>
      <c r="Z1677" s="172"/>
      <c r="AA1677" s="195"/>
      <c r="AB1677" s="172"/>
    </row>
    <row r="1678" spans="1:28" ht="12.75" customHeight="1" x14ac:dyDescent="0.3">
      <c r="A1678" s="667"/>
      <c r="B1678" s="668" t="s">
        <v>7374</v>
      </c>
      <c r="C1678" s="160" t="s">
        <v>7375</v>
      </c>
      <c r="D1678" s="160"/>
      <c r="E1678" s="439">
        <v>9.1300000000000008</v>
      </c>
      <c r="F1678" s="161">
        <v>544.01426456199999</v>
      </c>
      <c r="G1678" s="161"/>
      <c r="H1678" s="654"/>
      <c r="I1678" s="654"/>
      <c r="J1678" s="191"/>
      <c r="K1678" s="191">
        <v>100853.27370272799</v>
      </c>
      <c r="L1678" s="191"/>
      <c r="M1678" s="191"/>
      <c r="N1678" s="191"/>
      <c r="O1678" s="191"/>
      <c r="P1678" s="191"/>
      <c r="Q1678" s="191"/>
      <c r="R1678" s="191"/>
      <c r="S1678" s="191"/>
      <c r="T1678" s="191"/>
      <c r="U1678" s="439"/>
      <c r="V1678" s="441"/>
      <c r="W1678" s="178"/>
      <c r="X1678" s="172"/>
      <c r="Y1678" s="172"/>
      <c r="Z1678" s="172"/>
      <c r="AA1678" s="195"/>
      <c r="AB1678" s="172"/>
    </row>
    <row r="1679" spans="1:28" ht="12.75" customHeight="1" x14ac:dyDescent="0.3">
      <c r="A1679" s="667"/>
      <c r="B1679" s="668" t="s">
        <v>7376</v>
      </c>
      <c r="C1679" s="160" t="s">
        <v>7377</v>
      </c>
      <c r="D1679" s="160"/>
      <c r="E1679" s="439">
        <v>4.45</v>
      </c>
      <c r="F1679" s="161">
        <v>743.96044974599999</v>
      </c>
      <c r="G1679" s="161"/>
      <c r="H1679" s="654"/>
      <c r="I1679" s="654"/>
      <c r="J1679" s="191"/>
      <c r="K1679" s="191">
        <v>577590.44480503805</v>
      </c>
      <c r="L1679" s="191"/>
      <c r="M1679" s="191"/>
      <c r="N1679" s="191"/>
      <c r="O1679" s="191"/>
      <c r="P1679" s="191"/>
      <c r="Q1679" s="191"/>
      <c r="R1679" s="191"/>
      <c r="S1679" s="191"/>
      <c r="T1679" s="191"/>
      <c r="U1679" s="439"/>
      <c r="V1679" s="441"/>
      <c r="W1679" s="178"/>
      <c r="X1679" s="172"/>
      <c r="Y1679" s="172"/>
      <c r="Z1679" s="172"/>
      <c r="AA1679" s="195"/>
      <c r="AB1679" s="172"/>
    </row>
    <row r="1680" spans="1:28" ht="12.75" customHeight="1" x14ac:dyDescent="0.3">
      <c r="A1680" s="667"/>
      <c r="B1680" s="668" t="s">
        <v>7378</v>
      </c>
      <c r="C1680" s="160" t="s">
        <v>7379</v>
      </c>
      <c r="D1680" s="160"/>
      <c r="E1680" s="439">
        <v>4.45</v>
      </c>
      <c r="F1680" s="161">
        <v>643.96683709399997</v>
      </c>
      <c r="G1680" s="161">
        <v>16.172999999999998</v>
      </c>
      <c r="H1680" s="654"/>
      <c r="I1680" s="654"/>
      <c r="J1680" s="191"/>
      <c r="K1680" s="191">
        <v>110415.488958545</v>
      </c>
      <c r="L1680" s="191"/>
      <c r="M1680" s="191"/>
      <c r="N1680" s="191"/>
      <c r="O1680" s="191"/>
      <c r="P1680" s="191"/>
      <c r="Q1680" s="191"/>
      <c r="R1680" s="191"/>
      <c r="S1680" s="191"/>
      <c r="T1680" s="191"/>
      <c r="U1680" s="439"/>
      <c r="V1680" s="441"/>
      <c r="W1680" s="178"/>
      <c r="X1680" s="172"/>
      <c r="Y1680" s="172"/>
      <c r="Z1680" s="172"/>
      <c r="AA1680" s="195"/>
      <c r="AB1680" s="172"/>
    </row>
    <row r="1681" spans="1:28" ht="12.75" customHeight="1" x14ac:dyDescent="0.3">
      <c r="A1681" s="667"/>
      <c r="B1681" s="668" t="s">
        <v>7380</v>
      </c>
      <c r="C1681" s="160" t="s">
        <v>7381</v>
      </c>
      <c r="D1681" s="160"/>
      <c r="E1681" s="439"/>
      <c r="F1681" s="161">
        <v>932.00755890899995</v>
      </c>
      <c r="G1681" s="161">
        <v>-16.094000000000001</v>
      </c>
      <c r="H1681" s="654"/>
      <c r="I1681" s="654"/>
      <c r="J1681" s="191"/>
      <c r="K1681" s="191">
        <v>17441747.6999055</v>
      </c>
      <c r="L1681" s="191"/>
      <c r="M1681" s="191"/>
      <c r="N1681" s="191"/>
      <c r="O1681" s="191"/>
      <c r="P1681" s="191"/>
      <c r="Q1681" s="191"/>
      <c r="R1681" s="191"/>
      <c r="S1681" s="191"/>
      <c r="T1681" s="191"/>
      <c r="U1681" s="439"/>
      <c r="V1681" s="441"/>
      <c r="W1681" s="178"/>
      <c r="X1681" s="172"/>
      <c r="Y1681" s="172"/>
      <c r="Z1681" s="172"/>
      <c r="AA1681" s="195"/>
      <c r="AB1681" s="172"/>
    </row>
    <row r="1682" spans="1:28" ht="12.75" customHeight="1" x14ac:dyDescent="0.3">
      <c r="A1682" s="667"/>
      <c r="B1682" s="668" t="s">
        <v>7382</v>
      </c>
      <c r="C1682" s="160" t="s">
        <v>7383</v>
      </c>
      <c r="D1682" s="160"/>
      <c r="E1682" s="439"/>
      <c r="F1682" s="161">
        <v>917.99190884400002</v>
      </c>
      <c r="G1682" s="161">
        <v>-56.256</v>
      </c>
      <c r="H1682" s="654"/>
      <c r="I1682" s="654"/>
      <c r="J1682" s="191"/>
      <c r="K1682" s="191">
        <v>3681713.5849670302</v>
      </c>
      <c r="L1682" s="191"/>
      <c r="M1682" s="191"/>
      <c r="N1682" s="191"/>
      <c r="O1682" s="191"/>
      <c r="P1682" s="191"/>
      <c r="Q1682" s="191"/>
      <c r="R1682" s="191"/>
      <c r="S1682" s="191"/>
      <c r="T1682" s="191"/>
      <c r="U1682" s="439"/>
      <c r="V1682" s="441"/>
      <c r="W1682" s="178"/>
      <c r="X1682" s="172"/>
      <c r="Y1682" s="172"/>
      <c r="Z1682" s="172"/>
      <c r="AA1682" s="195"/>
      <c r="AB1682" s="172"/>
    </row>
    <row r="1683" spans="1:28" ht="12.75" customHeight="1" x14ac:dyDescent="0.3">
      <c r="A1683" s="667"/>
      <c r="B1683" s="668" t="s">
        <v>7384</v>
      </c>
      <c r="C1683" s="160" t="s">
        <v>7385</v>
      </c>
      <c r="D1683" s="160"/>
      <c r="E1683" s="439"/>
      <c r="F1683" s="161">
        <v>768.00148986600004</v>
      </c>
      <c r="G1683" s="161"/>
      <c r="H1683" s="654"/>
      <c r="I1683" s="654"/>
      <c r="J1683" s="191"/>
      <c r="K1683" s="191">
        <v>242929.356634136</v>
      </c>
      <c r="L1683" s="191"/>
      <c r="M1683" s="191"/>
      <c r="N1683" s="191"/>
      <c r="O1683" s="191"/>
      <c r="P1683" s="191"/>
      <c r="Q1683" s="191"/>
      <c r="R1683" s="191"/>
      <c r="S1683" s="191"/>
      <c r="T1683" s="191"/>
      <c r="U1683" s="439"/>
      <c r="V1683" s="441"/>
      <c r="W1683" s="178"/>
      <c r="X1683" s="172"/>
      <c r="Y1683" s="172"/>
      <c r="Z1683" s="172"/>
      <c r="AA1683" s="195"/>
      <c r="AB1683" s="172"/>
    </row>
    <row r="1684" spans="1:28" ht="12.75" customHeight="1" x14ac:dyDescent="0.3">
      <c r="A1684" s="667"/>
      <c r="B1684" s="668" t="s">
        <v>7386</v>
      </c>
      <c r="C1684" s="160" t="s">
        <v>7387</v>
      </c>
      <c r="D1684" s="160"/>
      <c r="E1684" s="439">
        <v>7.17</v>
      </c>
      <c r="F1684" s="161">
        <v>1024.9960084229999</v>
      </c>
      <c r="G1684" s="161">
        <v>-1.458</v>
      </c>
      <c r="H1684" s="654"/>
      <c r="I1684" s="654"/>
      <c r="J1684" s="191"/>
      <c r="K1684" s="191">
        <v>22902347.500856601</v>
      </c>
      <c r="L1684" s="191"/>
      <c r="M1684" s="191"/>
      <c r="N1684" s="191"/>
      <c r="O1684" s="191"/>
      <c r="P1684" s="191"/>
      <c r="Q1684" s="191"/>
      <c r="R1684" s="191"/>
      <c r="S1684" s="191"/>
      <c r="T1684" s="191"/>
      <c r="U1684" s="439"/>
      <c r="V1684" s="441"/>
      <c r="W1684" s="178"/>
      <c r="X1684" s="172"/>
      <c r="Y1684" s="172"/>
      <c r="Z1684" s="172"/>
      <c r="AA1684" s="195"/>
      <c r="AB1684" s="172"/>
    </row>
    <row r="1685" spans="1:28" ht="12.75" customHeight="1" x14ac:dyDescent="0.3">
      <c r="A1685" s="667"/>
      <c r="B1685" s="668" t="s">
        <v>7388</v>
      </c>
      <c r="C1685" s="160" t="s">
        <v>7389</v>
      </c>
      <c r="D1685" s="160"/>
      <c r="E1685" s="439">
        <v>7.17</v>
      </c>
      <c r="F1685" s="161">
        <v>925.00239577100001</v>
      </c>
      <c r="G1685" s="161"/>
      <c r="H1685" s="654"/>
      <c r="I1685" s="654"/>
      <c r="J1685" s="191"/>
      <c r="K1685" s="191">
        <v>277044.79804146697</v>
      </c>
      <c r="L1685" s="191"/>
      <c r="M1685" s="191"/>
      <c r="N1685" s="191"/>
      <c r="O1685" s="191"/>
      <c r="P1685" s="191"/>
      <c r="Q1685" s="191"/>
      <c r="R1685" s="191"/>
      <c r="S1685" s="191"/>
      <c r="T1685" s="191"/>
      <c r="U1685" s="439"/>
      <c r="V1685" s="441"/>
      <c r="W1685" s="178"/>
      <c r="X1685" s="172"/>
      <c r="Y1685" s="172"/>
      <c r="Z1685" s="172"/>
      <c r="AA1685" s="195"/>
      <c r="AB1685" s="172"/>
    </row>
    <row r="1686" spans="1:28" ht="12.75" customHeight="1" x14ac:dyDescent="0.3">
      <c r="A1686" s="667"/>
      <c r="B1686" s="668" t="s">
        <v>7390</v>
      </c>
      <c r="C1686" s="160" t="s">
        <v>7391</v>
      </c>
      <c r="D1686" s="160"/>
      <c r="E1686" s="439">
        <v>8.2200000000000006</v>
      </c>
      <c r="F1686" s="161">
        <v>1039.011658488</v>
      </c>
      <c r="G1686" s="161">
        <v>-0.65500000000000003</v>
      </c>
      <c r="H1686" s="654"/>
      <c r="I1686" s="654"/>
      <c r="J1686" s="191"/>
      <c r="K1686" s="191">
        <v>24569708.276368301</v>
      </c>
      <c r="L1686" s="191"/>
      <c r="M1686" s="191"/>
      <c r="N1686" s="191"/>
      <c r="O1686" s="191"/>
      <c r="P1686" s="191"/>
      <c r="Q1686" s="191"/>
      <c r="R1686" s="191"/>
      <c r="S1686" s="191"/>
      <c r="T1686" s="191"/>
      <c r="U1686" s="439"/>
      <c r="V1686" s="441"/>
      <c r="W1686" s="178"/>
      <c r="X1686" s="172"/>
      <c r="Y1686" s="172"/>
      <c r="Z1686" s="172"/>
      <c r="AA1686" s="195"/>
      <c r="AB1686" s="172"/>
    </row>
    <row r="1687" spans="1:28" ht="12.75" customHeight="1" x14ac:dyDescent="0.3">
      <c r="A1687" s="667"/>
      <c r="B1687" s="668" t="s">
        <v>7392</v>
      </c>
      <c r="C1687" s="160" t="s">
        <v>7393</v>
      </c>
      <c r="D1687" s="160"/>
      <c r="E1687" s="439">
        <v>8.2200000000000006</v>
      </c>
      <c r="F1687" s="161">
        <v>939.01804583600006</v>
      </c>
      <c r="G1687" s="161">
        <v>2.9129999999999998</v>
      </c>
      <c r="H1687" s="654"/>
      <c r="I1687" s="654"/>
      <c r="J1687" s="191"/>
      <c r="K1687" s="191">
        <v>280698.44063271699</v>
      </c>
      <c r="L1687" s="191"/>
      <c r="M1687" s="191"/>
      <c r="N1687" s="191"/>
      <c r="O1687" s="191"/>
      <c r="P1687" s="191"/>
      <c r="Q1687" s="191"/>
      <c r="R1687" s="191"/>
      <c r="S1687" s="191"/>
      <c r="T1687" s="191"/>
      <c r="U1687" s="439"/>
      <c r="V1687" s="441"/>
      <c r="W1687" s="178"/>
      <c r="X1687" s="172"/>
      <c r="Y1687" s="172"/>
      <c r="Z1687" s="172"/>
      <c r="AA1687" s="195"/>
      <c r="AB1687" s="172"/>
    </row>
    <row r="1688" spans="1:28" ht="12.75" customHeight="1" x14ac:dyDescent="0.3">
      <c r="A1688" s="667"/>
      <c r="B1688" s="668" t="s">
        <v>7394</v>
      </c>
      <c r="C1688" s="160" t="s">
        <v>7395</v>
      </c>
      <c r="D1688" s="160"/>
      <c r="E1688" s="439"/>
      <c r="F1688" s="161">
        <v>558.00992807299997</v>
      </c>
      <c r="G1688" s="161">
        <v>-74.293000000000006</v>
      </c>
      <c r="H1688" s="654">
        <v>178.19818520000001</v>
      </c>
      <c r="I1688" s="654">
        <v>0.94982217916873701</v>
      </c>
      <c r="J1688" s="191"/>
      <c r="K1688" s="191">
        <v>115837.71977440501</v>
      </c>
      <c r="L1688" s="191"/>
      <c r="M1688" s="191"/>
      <c r="N1688" s="191"/>
      <c r="O1688" s="191"/>
      <c r="P1688" s="191"/>
      <c r="Q1688" s="191"/>
      <c r="R1688" s="191"/>
      <c r="S1688" s="191"/>
      <c r="T1688" s="191"/>
      <c r="U1688" s="439"/>
      <c r="V1688" s="441"/>
      <c r="W1688" s="178"/>
      <c r="X1688" s="172"/>
      <c r="Y1688" s="172"/>
      <c r="Z1688" s="172"/>
      <c r="AA1688" s="195"/>
      <c r="AB1688" s="172"/>
    </row>
    <row r="1689" spans="1:28" ht="12.75" customHeight="1" x14ac:dyDescent="0.3">
      <c r="A1689" s="667"/>
      <c r="B1689" s="668" t="s">
        <v>7396</v>
      </c>
      <c r="C1689" s="160" t="s">
        <v>7397</v>
      </c>
      <c r="D1689" s="160"/>
      <c r="E1689" s="439"/>
      <c r="F1689" s="161">
        <v>458.016315421</v>
      </c>
      <c r="G1689" s="161"/>
      <c r="H1689" s="654"/>
      <c r="I1689" s="654"/>
      <c r="J1689" s="191"/>
      <c r="K1689" s="191">
        <v>69074.8578739355</v>
      </c>
      <c r="L1689" s="191"/>
      <c r="M1689" s="191"/>
      <c r="N1689" s="191"/>
      <c r="O1689" s="191"/>
      <c r="P1689" s="191"/>
      <c r="Q1689" s="191"/>
      <c r="R1689" s="191"/>
      <c r="S1689" s="191"/>
      <c r="T1689" s="191"/>
      <c r="U1689" s="439"/>
      <c r="V1689" s="441"/>
      <c r="W1689" s="178"/>
      <c r="X1689" s="172"/>
      <c r="Y1689" s="172"/>
      <c r="Z1689" s="172"/>
      <c r="AA1689" s="195"/>
      <c r="AB1689" s="172"/>
    </row>
    <row r="1690" spans="1:28" ht="12.75" customHeight="1" x14ac:dyDescent="0.3">
      <c r="A1690" s="667"/>
      <c r="B1690" s="668" t="s">
        <v>7398</v>
      </c>
      <c r="C1690" s="160" t="s">
        <v>7399</v>
      </c>
      <c r="D1690" s="160"/>
      <c r="E1690" s="439"/>
      <c r="F1690" s="161">
        <v>358.02270276899998</v>
      </c>
      <c r="G1690" s="161"/>
      <c r="H1690" s="654"/>
      <c r="I1690" s="654"/>
      <c r="J1690" s="191"/>
      <c r="K1690" s="191">
        <v>4554.8072158541299</v>
      </c>
      <c r="L1690" s="191"/>
      <c r="M1690" s="191"/>
      <c r="N1690" s="191"/>
      <c r="O1690" s="191"/>
      <c r="P1690" s="191"/>
      <c r="Q1690" s="191"/>
      <c r="R1690" s="191"/>
      <c r="S1690" s="191"/>
      <c r="T1690" s="191"/>
      <c r="U1690" s="439"/>
      <c r="V1690" s="441"/>
      <c r="W1690" s="178"/>
      <c r="X1690" s="172"/>
      <c r="Y1690" s="172"/>
      <c r="Z1690" s="172"/>
      <c r="AA1690" s="195"/>
      <c r="AB1690" s="172"/>
    </row>
    <row r="1691" spans="1:28" ht="12.75" customHeight="1" x14ac:dyDescent="0.3">
      <c r="A1691" s="667"/>
      <c r="B1691" s="668" t="s">
        <v>7400</v>
      </c>
      <c r="C1691" s="160" t="s">
        <v>7401</v>
      </c>
      <c r="D1691" s="160"/>
      <c r="E1691" s="439"/>
      <c r="F1691" s="161">
        <v>258.02909011700001</v>
      </c>
      <c r="G1691" s="161"/>
      <c r="H1691" s="654"/>
      <c r="I1691" s="654"/>
      <c r="J1691" s="191"/>
      <c r="K1691" s="191">
        <v>326.08438311215599</v>
      </c>
      <c r="L1691" s="191"/>
      <c r="M1691" s="191"/>
      <c r="N1691" s="191"/>
      <c r="O1691" s="191"/>
      <c r="P1691" s="191"/>
      <c r="Q1691" s="191"/>
      <c r="R1691" s="191"/>
      <c r="S1691" s="191"/>
      <c r="T1691" s="191"/>
      <c r="U1691" s="439"/>
      <c r="V1691" s="441"/>
      <c r="W1691" s="178"/>
      <c r="X1691" s="172"/>
      <c r="Y1691" s="172"/>
      <c r="Z1691" s="172"/>
      <c r="AA1691" s="195"/>
      <c r="AB1691" s="172"/>
    </row>
    <row r="1692" spans="1:28" ht="12.75" customHeight="1" x14ac:dyDescent="0.3">
      <c r="A1692" s="667"/>
      <c r="B1692" s="668" t="s">
        <v>7402</v>
      </c>
      <c r="C1692" s="160" t="s">
        <v>7403</v>
      </c>
      <c r="D1692" s="160"/>
      <c r="E1692" s="439"/>
      <c r="F1692" s="161">
        <v>688.12929431800001</v>
      </c>
      <c r="G1692" s="161"/>
      <c r="H1692" s="654"/>
      <c r="I1692" s="654"/>
      <c r="J1692" s="191"/>
      <c r="K1692" s="191">
        <v>147136.357341447</v>
      </c>
      <c r="L1692" s="191"/>
      <c r="M1692" s="191"/>
      <c r="N1692" s="191"/>
      <c r="O1692" s="191"/>
      <c r="P1692" s="191"/>
      <c r="Q1692" s="191"/>
      <c r="R1692" s="191"/>
      <c r="S1692" s="191"/>
      <c r="T1692" s="191"/>
      <c r="U1692" s="439"/>
      <c r="V1692" s="441"/>
      <c r="W1692" s="178"/>
      <c r="X1692" s="172"/>
      <c r="Y1692" s="172"/>
      <c r="Z1692" s="172"/>
      <c r="AA1692" s="195"/>
      <c r="AB1692" s="172"/>
    </row>
    <row r="1693" spans="1:28" ht="12.75" customHeight="1" x14ac:dyDescent="0.3">
      <c r="A1693" s="667"/>
      <c r="B1693" s="668" t="s">
        <v>7404</v>
      </c>
      <c r="C1693" s="160" t="s">
        <v>7405</v>
      </c>
      <c r="D1693" s="160"/>
      <c r="E1693" s="439">
        <v>8.74</v>
      </c>
      <c r="F1693" s="161">
        <v>214.022861922</v>
      </c>
      <c r="G1693" s="161"/>
      <c r="H1693" s="654"/>
      <c r="I1693" s="654"/>
      <c r="J1693" s="191"/>
      <c r="K1693" s="191">
        <v>181.802562377426</v>
      </c>
      <c r="L1693" s="191"/>
      <c r="M1693" s="191"/>
      <c r="N1693" s="191"/>
      <c r="O1693" s="191"/>
      <c r="P1693" s="191"/>
      <c r="Q1693" s="191"/>
      <c r="R1693" s="191"/>
      <c r="S1693" s="191"/>
      <c r="T1693" s="191"/>
      <c r="U1693" s="439"/>
      <c r="V1693" s="441"/>
      <c r="W1693" s="178"/>
      <c r="X1693" s="172"/>
      <c r="Y1693" s="172"/>
      <c r="Z1693" s="172"/>
      <c r="AA1693" s="195"/>
      <c r="AB1693" s="172"/>
    </row>
    <row r="1694" spans="1:28" ht="12.75" customHeight="1" x14ac:dyDescent="0.3">
      <c r="A1694" s="667"/>
      <c r="B1694" s="668" t="s">
        <v>7406</v>
      </c>
      <c r="C1694" s="160" t="s">
        <v>7407</v>
      </c>
      <c r="D1694" s="160"/>
      <c r="E1694" s="439">
        <v>7.46</v>
      </c>
      <c r="F1694" s="161">
        <v>669.14043314800006</v>
      </c>
      <c r="G1694" s="161"/>
      <c r="H1694" s="654"/>
      <c r="I1694" s="654"/>
      <c r="J1694" s="191"/>
      <c r="K1694" s="191">
        <v>592324.91393460997</v>
      </c>
      <c r="L1694" s="191"/>
      <c r="M1694" s="191"/>
      <c r="N1694" s="191"/>
      <c r="O1694" s="191"/>
      <c r="P1694" s="191"/>
      <c r="Q1694" s="191"/>
      <c r="R1694" s="191"/>
      <c r="S1694" s="191"/>
      <c r="T1694" s="191"/>
      <c r="U1694" s="439"/>
      <c r="V1694" s="441"/>
      <c r="W1694" s="178"/>
      <c r="X1694" s="172"/>
      <c r="Y1694" s="172"/>
      <c r="Z1694" s="172"/>
      <c r="AA1694" s="195"/>
      <c r="AB1694" s="172"/>
    </row>
    <row r="1695" spans="1:28" ht="12.75" customHeight="1" x14ac:dyDescent="0.3">
      <c r="A1695" s="667"/>
      <c r="B1695" s="668" t="s">
        <v>7408</v>
      </c>
      <c r="C1695" s="160" t="s">
        <v>7409</v>
      </c>
      <c r="D1695" s="160"/>
      <c r="E1695" s="439"/>
      <c r="F1695" s="161">
        <v>513.07850113999996</v>
      </c>
      <c r="G1695" s="161"/>
      <c r="H1695" s="654"/>
      <c r="I1695" s="654"/>
      <c r="J1695" s="191"/>
      <c r="K1695" s="191">
        <v>63921.947781166898</v>
      </c>
      <c r="L1695" s="191"/>
      <c r="M1695" s="191"/>
      <c r="N1695" s="191"/>
      <c r="O1695" s="191"/>
      <c r="P1695" s="191"/>
      <c r="Q1695" s="191"/>
      <c r="R1695" s="191"/>
      <c r="S1695" s="191"/>
      <c r="T1695" s="191"/>
      <c r="U1695" s="439"/>
      <c r="V1695" s="441"/>
      <c r="W1695" s="178"/>
      <c r="X1695" s="172"/>
      <c r="Y1695" s="172"/>
      <c r="Z1695" s="172"/>
      <c r="AA1695" s="195"/>
      <c r="AB1695" s="172"/>
    </row>
    <row r="1696" spans="1:28" ht="12.75" customHeight="1" x14ac:dyDescent="0.3">
      <c r="A1696" s="667"/>
      <c r="B1696" s="668" t="s">
        <v>7410</v>
      </c>
      <c r="C1696" s="160" t="s">
        <v>7411</v>
      </c>
      <c r="D1696" s="160"/>
      <c r="E1696" s="439"/>
      <c r="F1696" s="161">
        <v>650.14372137999999</v>
      </c>
      <c r="G1696" s="161"/>
      <c r="H1696" s="654"/>
      <c r="I1696" s="654"/>
      <c r="J1696" s="191"/>
      <c r="K1696" s="191">
        <v>20885.746381397199</v>
      </c>
      <c r="L1696" s="191"/>
      <c r="M1696" s="191"/>
      <c r="N1696" s="191"/>
      <c r="O1696" s="191"/>
      <c r="P1696" s="191"/>
      <c r="Q1696" s="191"/>
      <c r="R1696" s="191"/>
      <c r="S1696" s="191"/>
      <c r="T1696" s="191"/>
      <c r="U1696" s="439"/>
      <c r="V1696" s="441"/>
      <c r="W1696" s="178"/>
      <c r="X1696" s="172"/>
      <c r="Y1696" s="172"/>
      <c r="Z1696" s="172"/>
      <c r="AA1696" s="195"/>
      <c r="AB1696" s="172"/>
    </row>
    <row r="1697" spans="1:28" ht="12.75" customHeight="1" x14ac:dyDescent="0.3">
      <c r="A1697" s="667"/>
      <c r="B1697" s="668" t="s">
        <v>7412</v>
      </c>
      <c r="C1697" s="160" t="s">
        <v>7413</v>
      </c>
      <c r="D1697" s="160"/>
      <c r="E1697" s="439">
        <v>6.04</v>
      </c>
      <c r="F1697" s="161">
        <v>770.07301969699995</v>
      </c>
      <c r="G1697" s="161"/>
      <c r="H1697" s="654"/>
      <c r="I1697" s="654"/>
      <c r="J1697" s="191"/>
      <c r="K1697" s="191">
        <v>231131.95886655501</v>
      </c>
      <c r="L1697" s="191"/>
      <c r="M1697" s="191"/>
      <c r="N1697" s="191"/>
      <c r="O1697" s="191"/>
      <c r="P1697" s="191"/>
      <c r="Q1697" s="191"/>
      <c r="R1697" s="191"/>
      <c r="S1697" s="191"/>
      <c r="T1697" s="191"/>
      <c r="U1697" s="439"/>
      <c r="V1697" s="441"/>
      <c r="W1697" s="178"/>
      <c r="X1697" s="172"/>
      <c r="Y1697" s="172"/>
      <c r="Z1697" s="172"/>
      <c r="AA1697" s="195"/>
      <c r="AB1697" s="172"/>
    </row>
    <row r="1698" spans="1:28" ht="12.75" customHeight="1" x14ac:dyDescent="0.3">
      <c r="A1698" s="667"/>
      <c r="B1698" s="668" t="s">
        <v>7414</v>
      </c>
      <c r="C1698" s="160" t="s">
        <v>7415</v>
      </c>
      <c r="D1698" s="160"/>
      <c r="E1698" s="439">
        <v>6.04</v>
      </c>
      <c r="F1698" s="161">
        <v>670.07940704500004</v>
      </c>
      <c r="G1698" s="161"/>
      <c r="H1698" s="654"/>
      <c r="I1698" s="654"/>
      <c r="J1698" s="191"/>
      <c r="K1698" s="191">
        <v>144973.95935500399</v>
      </c>
      <c r="L1698" s="191"/>
      <c r="M1698" s="191"/>
      <c r="N1698" s="191"/>
      <c r="O1698" s="191"/>
      <c r="P1698" s="191"/>
      <c r="Q1698" s="191"/>
      <c r="R1698" s="191"/>
      <c r="S1698" s="191"/>
      <c r="T1698" s="191"/>
      <c r="U1698" s="439"/>
      <c r="V1698" s="441"/>
      <c r="W1698" s="178"/>
      <c r="X1698" s="172"/>
      <c r="Y1698" s="172"/>
      <c r="Z1698" s="172"/>
      <c r="AA1698" s="195"/>
      <c r="AB1698" s="172"/>
    </row>
    <row r="1699" spans="1:28" ht="12.75" customHeight="1" x14ac:dyDescent="0.3">
      <c r="A1699" s="667"/>
      <c r="B1699" s="668" t="s">
        <v>7416</v>
      </c>
      <c r="C1699" s="160" t="s">
        <v>7417</v>
      </c>
      <c r="D1699" s="160"/>
      <c r="E1699" s="439">
        <v>4.62</v>
      </c>
      <c r="F1699" s="161">
        <v>900.12775300999999</v>
      </c>
      <c r="G1699" s="161"/>
      <c r="H1699" s="654"/>
      <c r="I1699" s="654"/>
      <c r="J1699" s="191"/>
      <c r="K1699" s="191">
        <v>82870.507790698204</v>
      </c>
      <c r="L1699" s="191"/>
      <c r="M1699" s="191"/>
      <c r="N1699" s="191"/>
      <c r="O1699" s="191"/>
      <c r="P1699" s="191"/>
      <c r="Q1699" s="191"/>
      <c r="R1699" s="191"/>
      <c r="S1699" s="191"/>
      <c r="T1699" s="191"/>
      <c r="U1699" s="439"/>
      <c r="V1699" s="441"/>
      <c r="W1699" s="178"/>
      <c r="X1699" s="172"/>
      <c r="Y1699" s="172"/>
      <c r="Z1699" s="172"/>
      <c r="AA1699" s="195"/>
      <c r="AB1699" s="172"/>
    </row>
    <row r="1700" spans="1:28" ht="12.75" customHeight="1" x14ac:dyDescent="0.3">
      <c r="A1700" s="667"/>
      <c r="B1700" s="668" t="s">
        <v>7418</v>
      </c>
      <c r="C1700" s="160" t="s">
        <v>7419</v>
      </c>
      <c r="D1700" s="160"/>
      <c r="E1700" s="439">
        <v>41.557000000000002</v>
      </c>
      <c r="F1700" s="161">
        <v>395.96411999999998</v>
      </c>
      <c r="G1700" s="161">
        <v>-42.551000000000002</v>
      </c>
      <c r="H1700" s="654">
        <v>437.42281589999999</v>
      </c>
      <c r="I1700" s="654"/>
      <c r="J1700" s="191"/>
      <c r="K1700" s="191">
        <v>120431.473485002</v>
      </c>
      <c r="L1700" s="191"/>
      <c r="M1700" s="191"/>
      <c r="N1700" s="191"/>
      <c r="O1700" s="191"/>
      <c r="P1700" s="191"/>
      <c r="Q1700" s="191"/>
      <c r="R1700" s="191"/>
      <c r="S1700" s="191"/>
      <c r="T1700" s="191"/>
      <c r="U1700" s="439"/>
      <c r="V1700" s="441"/>
      <c r="W1700" s="178"/>
      <c r="X1700" s="172"/>
      <c r="Y1700" s="172"/>
      <c r="Z1700" s="172"/>
      <c r="AA1700" s="195"/>
      <c r="AB1700" s="172"/>
    </row>
    <row r="1701" spans="1:28" ht="12.75" customHeight="1" x14ac:dyDescent="0.3">
      <c r="A1701" s="667"/>
      <c r="B1701" s="668" t="s">
        <v>7420</v>
      </c>
      <c r="C1701" s="160" t="s">
        <v>7421</v>
      </c>
      <c r="D1701" s="160"/>
      <c r="E1701" s="439"/>
      <c r="F1701" s="161">
        <v>626.07652526799995</v>
      </c>
      <c r="G1701" s="161">
        <v>-67.378</v>
      </c>
      <c r="H1701" s="654">
        <v>267.23994934000001</v>
      </c>
      <c r="I1701" s="654">
        <v>8.1026823900184496E-4</v>
      </c>
      <c r="J1701" s="191"/>
      <c r="K1701" s="191">
        <v>1570398963.6896801</v>
      </c>
      <c r="L1701" s="191"/>
      <c r="M1701" s="191"/>
      <c r="N1701" s="191"/>
      <c r="O1701" s="191"/>
      <c r="P1701" s="191"/>
      <c r="Q1701" s="191"/>
      <c r="R1701" s="191"/>
      <c r="S1701" s="191"/>
      <c r="T1701" s="191"/>
      <c r="U1701" s="439"/>
      <c r="V1701" s="441"/>
      <c r="W1701" s="178"/>
      <c r="X1701" s="172"/>
      <c r="Y1701" s="172"/>
      <c r="Z1701" s="172"/>
      <c r="AA1701" s="195"/>
      <c r="AB1701" s="172"/>
    </row>
    <row r="1702" spans="1:28" ht="12.75" customHeight="1" x14ac:dyDescent="0.3">
      <c r="A1702" s="667"/>
      <c r="B1702" s="668" t="s">
        <v>7422</v>
      </c>
      <c r="C1702" s="160" t="s">
        <v>7423</v>
      </c>
      <c r="D1702" s="160"/>
      <c r="E1702" s="439"/>
      <c r="F1702" s="161">
        <v>568.09547576900002</v>
      </c>
      <c r="G1702" s="161"/>
      <c r="H1702" s="654"/>
      <c r="I1702" s="654"/>
      <c r="J1702" s="191"/>
      <c r="K1702" s="191">
        <v>417215082.532929</v>
      </c>
      <c r="L1702" s="191"/>
      <c r="M1702" s="191"/>
      <c r="N1702" s="191"/>
      <c r="O1702" s="191"/>
      <c r="P1702" s="191"/>
      <c r="Q1702" s="191"/>
      <c r="R1702" s="191"/>
      <c r="S1702" s="191"/>
      <c r="T1702" s="191"/>
      <c r="U1702" s="439"/>
      <c r="V1702" s="441"/>
      <c r="W1702" s="178"/>
      <c r="X1702" s="172"/>
      <c r="Y1702" s="172"/>
      <c r="Z1702" s="172"/>
      <c r="AA1702" s="195"/>
      <c r="AB1702" s="172"/>
    </row>
    <row r="1703" spans="1:28" ht="12.75" customHeight="1" x14ac:dyDescent="0.3">
      <c r="A1703" s="667"/>
      <c r="B1703" s="668" t="s">
        <v>7424</v>
      </c>
      <c r="C1703" s="160" t="s">
        <v>7425</v>
      </c>
      <c r="D1703" s="160"/>
      <c r="E1703" s="439"/>
      <c r="F1703" s="161">
        <v>642.11426711700005</v>
      </c>
      <c r="G1703" s="161">
        <v>-50.134</v>
      </c>
      <c r="H1703" s="654">
        <v>16.065834288000001</v>
      </c>
      <c r="I1703" s="654">
        <v>5.6834561165353001E-5</v>
      </c>
      <c r="J1703" s="191"/>
      <c r="K1703" s="191">
        <v>2396183095.5142498</v>
      </c>
      <c r="L1703" s="191"/>
      <c r="M1703" s="191"/>
      <c r="N1703" s="191"/>
      <c r="O1703" s="191"/>
      <c r="P1703" s="191"/>
      <c r="Q1703" s="191"/>
      <c r="R1703" s="191"/>
      <c r="S1703" s="191"/>
      <c r="T1703" s="191"/>
      <c r="U1703" s="439"/>
      <c r="V1703" s="441"/>
      <c r="W1703" s="178"/>
      <c r="X1703" s="172"/>
      <c r="Y1703" s="172"/>
      <c r="Z1703" s="172"/>
      <c r="AA1703" s="195"/>
      <c r="AB1703" s="172"/>
    </row>
    <row r="1704" spans="1:28" ht="12.75" customHeight="1" x14ac:dyDescent="0.3">
      <c r="A1704" s="667"/>
      <c r="B1704" s="668" t="s">
        <v>7426</v>
      </c>
      <c r="C1704" s="160" t="s">
        <v>7427</v>
      </c>
      <c r="D1704" s="160"/>
      <c r="E1704" s="439"/>
      <c r="F1704" s="161">
        <v>826.063750572</v>
      </c>
      <c r="G1704" s="161">
        <v>-34.345999999999997</v>
      </c>
      <c r="H1704" s="654">
        <v>160.65834287999999</v>
      </c>
      <c r="I1704" s="654"/>
      <c r="J1704" s="191"/>
      <c r="K1704" s="191">
        <v>900678923.34214497</v>
      </c>
      <c r="L1704" s="191"/>
      <c r="M1704" s="191"/>
      <c r="N1704" s="191"/>
      <c r="O1704" s="191"/>
      <c r="P1704" s="191"/>
      <c r="Q1704" s="191"/>
      <c r="R1704" s="191"/>
      <c r="S1704" s="191"/>
      <c r="T1704" s="191"/>
      <c r="U1704" s="439"/>
      <c r="V1704" s="441"/>
      <c r="W1704" s="178"/>
      <c r="X1704" s="172"/>
      <c r="Y1704" s="172"/>
      <c r="Z1704" s="172"/>
      <c r="AA1704" s="195"/>
      <c r="AB1704" s="172"/>
    </row>
    <row r="1705" spans="1:28" ht="12.75" customHeight="1" x14ac:dyDescent="0.3">
      <c r="A1705" s="667"/>
      <c r="B1705" s="668" t="s">
        <v>7428</v>
      </c>
      <c r="C1705" s="160" t="s">
        <v>7429</v>
      </c>
      <c r="D1705" s="160"/>
      <c r="E1705" s="439"/>
      <c r="F1705" s="161">
        <v>920.02791950000005</v>
      </c>
      <c r="G1705" s="161">
        <v>-27.591000000000001</v>
      </c>
      <c r="H1705" s="654">
        <v>42.746632894000001</v>
      </c>
      <c r="I1705" s="654"/>
      <c r="J1705" s="191"/>
      <c r="K1705" s="191">
        <v>406321684.22686398</v>
      </c>
      <c r="L1705" s="191"/>
      <c r="M1705" s="191"/>
      <c r="N1705" s="191"/>
      <c r="O1705" s="191"/>
      <c r="P1705" s="191"/>
      <c r="Q1705" s="191"/>
      <c r="R1705" s="191"/>
      <c r="S1705" s="191"/>
      <c r="T1705" s="191"/>
      <c r="U1705" s="439"/>
      <c r="V1705" s="441"/>
      <c r="W1705" s="178"/>
      <c r="X1705" s="172"/>
      <c r="Y1705" s="172"/>
      <c r="Z1705" s="172"/>
      <c r="AA1705" s="195"/>
      <c r="AB1705" s="172"/>
    </row>
    <row r="1706" spans="1:28" ht="12.75" customHeight="1" x14ac:dyDescent="0.3">
      <c r="A1706" s="667"/>
      <c r="B1706" s="668" t="s">
        <v>7430</v>
      </c>
      <c r="C1706" s="160" t="s">
        <v>7431</v>
      </c>
      <c r="D1706" s="160"/>
      <c r="E1706" s="439">
        <v>3.73</v>
      </c>
      <c r="F1706" s="161">
        <v>1278.3205062540001</v>
      </c>
      <c r="G1706" s="161"/>
      <c r="H1706" s="654"/>
      <c r="I1706" s="654"/>
      <c r="J1706" s="191"/>
      <c r="K1706" s="191">
        <v>9084896.8355949502</v>
      </c>
      <c r="L1706" s="191"/>
      <c r="M1706" s="191"/>
      <c r="N1706" s="191"/>
      <c r="O1706" s="191"/>
      <c r="P1706" s="191"/>
      <c r="Q1706" s="191"/>
      <c r="R1706" s="191"/>
      <c r="S1706" s="191"/>
      <c r="T1706" s="191"/>
      <c r="U1706" s="439"/>
      <c r="V1706" s="441"/>
      <c r="W1706" s="178"/>
      <c r="X1706" s="172"/>
      <c r="Y1706" s="172"/>
      <c r="Z1706" s="172"/>
      <c r="AA1706" s="195"/>
      <c r="AB1706" s="172"/>
    </row>
    <row r="1707" spans="1:28" ht="12.75" customHeight="1" x14ac:dyDescent="0.3">
      <c r="A1707" s="667"/>
      <c r="B1707" s="668" t="s">
        <v>7432</v>
      </c>
      <c r="C1707" s="160" t="s">
        <v>7433</v>
      </c>
      <c r="D1707" s="160"/>
      <c r="E1707" s="439"/>
      <c r="F1707" s="161">
        <v>539.99688330000004</v>
      </c>
      <c r="G1707" s="161">
        <v>-80.447999999999993</v>
      </c>
      <c r="H1707" s="654">
        <v>92.661989727999995</v>
      </c>
      <c r="I1707" s="654"/>
      <c r="J1707" s="191"/>
      <c r="K1707" s="191">
        <v>1697461762.40871</v>
      </c>
      <c r="L1707" s="191"/>
      <c r="M1707" s="191"/>
      <c r="N1707" s="191"/>
      <c r="O1707" s="191"/>
      <c r="P1707" s="191"/>
      <c r="Q1707" s="191"/>
      <c r="R1707" s="191"/>
      <c r="S1707" s="191"/>
      <c r="T1707" s="191"/>
      <c r="U1707" s="439"/>
      <c r="V1707" s="441"/>
      <c r="W1707" s="178"/>
      <c r="X1707" s="172"/>
      <c r="Y1707" s="172"/>
      <c r="Z1707" s="172"/>
      <c r="AA1707" s="195"/>
      <c r="AB1707" s="172"/>
    </row>
    <row r="1708" spans="1:28" ht="12.75" customHeight="1" x14ac:dyDescent="0.3">
      <c r="A1708" s="667"/>
      <c r="B1708" s="668" t="s">
        <v>7434</v>
      </c>
      <c r="C1708" s="160" t="s">
        <v>7435</v>
      </c>
      <c r="D1708" s="160"/>
      <c r="E1708" s="439"/>
      <c r="F1708" s="161">
        <v>440.00327069999997</v>
      </c>
      <c r="G1708" s="161">
        <v>-76.881</v>
      </c>
      <c r="H1708" s="654">
        <v>168.22969925999999</v>
      </c>
      <c r="I1708" s="654">
        <v>2.8083780756679399E-2</v>
      </c>
      <c r="J1708" s="191"/>
      <c r="K1708" s="191">
        <v>648664304.955598</v>
      </c>
      <c r="L1708" s="191"/>
      <c r="M1708" s="191"/>
      <c r="N1708" s="191"/>
      <c r="O1708" s="191"/>
      <c r="P1708" s="191"/>
      <c r="Q1708" s="191"/>
      <c r="R1708" s="191"/>
      <c r="S1708" s="191"/>
      <c r="T1708" s="191"/>
      <c r="U1708" s="439"/>
      <c r="V1708" s="441"/>
      <c r="W1708" s="178"/>
      <c r="X1708" s="172"/>
      <c r="Y1708" s="172"/>
      <c r="Z1708" s="172"/>
      <c r="AA1708" s="195"/>
      <c r="AB1708" s="172"/>
    </row>
    <row r="1709" spans="1:28" ht="12.75" customHeight="1" x14ac:dyDescent="0.3">
      <c r="A1709" s="667"/>
      <c r="B1709" s="668" t="s">
        <v>7436</v>
      </c>
      <c r="C1709" s="160" t="s">
        <v>7437</v>
      </c>
      <c r="D1709" s="160"/>
      <c r="E1709" s="439"/>
      <c r="F1709" s="161">
        <v>340.009658</v>
      </c>
      <c r="G1709" s="161">
        <v>-65.313999999999993</v>
      </c>
      <c r="H1709" s="654">
        <v>304.72076320000002</v>
      </c>
      <c r="I1709" s="654">
        <v>0.37974318663387902</v>
      </c>
      <c r="J1709" s="191"/>
      <c r="K1709" s="191">
        <v>37033.094211429401</v>
      </c>
      <c r="L1709" s="191"/>
      <c r="M1709" s="191"/>
      <c r="N1709" s="191"/>
      <c r="O1709" s="191"/>
      <c r="P1709" s="191"/>
      <c r="Q1709" s="191"/>
      <c r="R1709" s="191"/>
      <c r="S1709" s="191"/>
      <c r="T1709" s="191"/>
      <c r="U1709" s="439"/>
      <c r="V1709" s="441"/>
      <c r="W1709" s="178"/>
      <c r="X1709" s="172"/>
      <c r="Y1709" s="172"/>
      <c r="Z1709" s="172"/>
      <c r="AA1709" s="195"/>
      <c r="AB1709" s="172"/>
    </row>
    <row r="1710" spans="1:28" ht="12.75" customHeight="1" x14ac:dyDescent="0.3">
      <c r="A1710" s="667"/>
      <c r="B1710" s="668" t="s">
        <v>7438</v>
      </c>
      <c r="C1710" s="160" t="s">
        <v>7439</v>
      </c>
      <c r="D1710" s="160"/>
      <c r="E1710" s="439">
        <v>9.1669999999999998</v>
      </c>
      <c r="F1710" s="161">
        <v>559.94226089999995</v>
      </c>
      <c r="G1710" s="161">
        <v>-75.224000000000004</v>
      </c>
      <c r="H1710" s="654">
        <v>54.815340300000003</v>
      </c>
      <c r="I1710" s="654"/>
      <c r="J1710" s="191"/>
      <c r="K1710" s="191">
        <v>1697500848.3601999</v>
      </c>
      <c r="L1710" s="191"/>
      <c r="M1710" s="191"/>
      <c r="N1710" s="191"/>
      <c r="O1710" s="191"/>
      <c r="P1710" s="191"/>
      <c r="Q1710" s="191"/>
      <c r="R1710" s="191"/>
      <c r="S1710" s="191"/>
      <c r="T1710" s="191"/>
      <c r="U1710" s="439"/>
      <c r="V1710" s="441"/>
      <c r="W1710" s="178"/>
      <c r="X1710" s="172"/>
      <c r="Y1710" s="172"/>
      <c r="Z1710" s="172"/>
      <c r="AA1710" s="195"/>
      <c r="AB1710" s="172"/>
    </row>
    <row r="1711" spans="1:28" ht="12.75" customHeight="1" x14ac:dyDescent="0.3">
      <c r="A1711" s="667"/>
      <c r="B1711" s="668" t="s">
        <v>7440</v>
      </c>
      <c r="C1711" s="160" t="s">
        <v>7441</v>
      </c>
      <c r="D1711" s="160"/>
      <c r="E1711" s="439"/>
      <c r="F1711" s="161">
        <v>886.06689185599998</v>
      </c>
      <c r="G1711" s="161"/>
      <c r="H1711" s="654"/>
      <c r="I1711" s="654"/>
      <c r="J1711" s="191"/>
      <c r="K1711" s="191">
        <v>382190598.80989897</v>
      </c>
      <c r="L1711" s="191"/>
      <c r="M1711" s="191"/>
      <c r="N1711" s="191"/>
      <c r="O1711" s="191"/>
      <c r="P1711" s="191"/>
      <c r="Q1711" s="191"/>
      <c r="R1711" s="191"/>
      <c r="S1711" s="191"/>
      <c r="T1711" s="191"/>
      <c r="U1711" s="439"/>
      <c r="V1711" s="441"/>
      <c r="W1711" s="178"/>
      <c r="X1711" s="172"/>
      <c r="Y1711" s="172"/>
      <c r="Z1711" s="172"/>
      <c r="AA1711" s="195"/>
      <c r="AB1711" s="172"/>
    </row>
    <row r="1712" spans="1:28" ht="12.75" customHeight="1" x14ac:dyDescent="0.3">
      <c r="A1712" s="667"/>
      <c r="B1712" s="668" t="s">
        <v>7442</v>
      </c>
      <c r="C1712" s="160" t="s">
        <v>7443</v>
      </c>
      <c r="D1712" s="160"/>
      <c r="E1712" s="439"/>
      <c r="F1712" s="161">
        <v>686.07966655200005</v>
      </c>
      <c r="G1712" s="161"/>
      <c r="H1712" s="654"/>
      <c r="I1712" s="654"/>
      <c r="J1712" s="191"/>
      <c r="K1712" s="191">
        <v>3284354296.0011001</v>
      </c>
      <c r="L1712" s="191"/>
      <c r="M1712" s="191"/>
      <c r="N1712" s="191"/>
      <c r="O1712" s="191"/>
      <c r="P1712" s="191"/>
      <c r="Q1712" s="191"/>
      <c r="R1712" s="191"/>
      <c r="S1712" s="191"/>
      <c r="T1712" s="191"/>
      <c r="U1712" s="439"/>
      <c r="V1712" s="441"/>
      <c r="W1712" s="178"/>
      <c r="X1712" s="172"/>
      <c r="Y1712" s="172"/>
      <c r="Z1712" s="172"/>
      <c r="AA1712" s="195"/>
      <c r="AB1712" s="172"/>
    </row>
    <row r="1713" spans="1:28" ht="12.75" customHeight="1" x14ac:dyDescent="0.3">
      <c r="A1713" s="667"/>
      <c r="B1713" s="668" t="s">
        <v>7444</v>
      </c>
      <c r="C1713" s="160" t="s">
        <v>7445</v>
      </c>
      <c r="D1713" s="160"/>
      <c r="E1713" s="439"/>
      <c r="F1713" s="161">
        <v>645.98355417200003</v>
      </c>
      <c r="G1713" s="161">
        <v>-50.131</v>
      </c>
      <c r="H1713" s="654">
        <v>308.24846331999998</v>
      </c>
      <c r="I1713" s="654"/>
      <c r="J1713" s="191"/>
      <c r="K1713" s="191">
        <v>261402.65843983699</v>
      </c>
      <c r="L1713" s="191"/>
      <c r="M1713" s="191"/>
      <c r="N1713" s="191"/>
      <c r="O1713" s="191"/>
      <c r="P1713" s="191"/>
      <c r="Q1713" s="191"/>
      <c r="R1713" s="191"/>
      <c r="S1713" s="191"/>
      <c r="T1713" s="191"/>
      <c r="U1713" s="439"/>
      <c r="V1713" s="441"/>
      <c r="W1713" s="178"/>
      <c r="X1713" s="172"/>
      <c r="Y1713" s="172"/>
      <c r="Z1713" s="172"/>
      <c r="AA1713" s="195"/>
      <c r="AB1713" s="172"/>
    </row>
    <row r="1714" spans="1:28" ht="12.75" customHeight="1" x14ac:dyDescent="0.3">
      <c r="A1714" s="667"/>
      <c r="B1714" s="668" t="s">
        <v>7446</v>
      </c>
      <c r="C1714" s="160" t="s">
        <v>7447</v>
      </c>
      <c r="D1714" s="160"/>
      <c r="E1714" s="439">
        <v>7.58</v>
      </c>
      <c r="F1714" s="161">
        <v>697.05794332400001</v>
      </c>
      <c r="G1714" s="161"/>
      <c r="H1714" s="654"/>
      <c r="I1714" s="654"/>
      <c r="J1714" s="191"/>
      <c r="K1714" s="191">
        <v>6.5336971472395202</v>
      </c>
      <c r="L1714" s="191"/>
      <c r="M1714" s="191"/>
      <c r="N1714" s="191"/>
      <c r="O1714" s="191"/>
      <c r="P1714" s="191"/>
      <c r="Q1714" s="191"/>
      <c r="R1714" s="191"/>
      <c r="S1714" s="191"/>
      <c r="T1714" s="191"/>
      <c r="U1714" s="439"/>
      <c r="V1714" s="441"/>
      <c r="W1714" s="178"/>
      <c r="X1714" s="172"/>
      <c r="Y1714" s="172"/>
      <c r="Z1714" s="172"/>
      <c r="AA1714" s="195"/>
      <c r="AB1714" s="172"/>
    </row>
    <row r="1715" spans="1:28" ht="12.75" customHeight="1" x14ac:dyDescent="0.3">
      <c r="A1715" s="667"/>
      <c r="B1715" s="668" t="s">
        <v>7448</v>
      </c>
      <c r="C1715" s="160" t="s">
        <v>7449</v>
      </c>
      <c r="D1715" s="160"/>
      <c r="E1715" s="439">
        <v>8.9</v>
      </c>
      <c r="F1715" s="161">
        <v>620.04556469099998</v>
      </c>
      <c r="G1715" s="161"/>
      <c r="H1715" s="654"/>
      <c r="I1715" s="654"/>
      <c r="J1715" s="191"/>
      <c r="K1715" s="191">
        <v>1974694.87940933</v>
      </c>
      <c r="L1715" s="191"/>
      <c r="M1715" s="191"/>
      <c r="N1715" s="191"/>
      <c r="O1715" s="191"/>
      <c r="P1715" s="191"/>
      <c r="Q1715" s="191"/>
      <c r="R1715" s="191"/>
      <c r="S1715" s="191"/>
      <c r="T1715" s="191"/>
      <c r="U1715" s="439"/>
      <c r="V1715" s="441"/>
      <c r="W1715" s="178"/>
      <c r="X1715" s="172"/>
      <c r="Y1715" s="172"/>
      <c r="Z1715" s="172"/>
      <c r="AA1715" s="195"/>
      <c r="AB1715" s="172"/>
    </row>
    <row r="1716" spans="1:28" ht="12.75" customHeight="1" x14ac:dyDescent="0.3">
      <c r="A1716" s="667"/>
      <c r="B1716" s="668" t="s">
        <v>7450</v>
      </c>
      <c r="C1716" s="160" t="s">
        <v>7451</v>
      </c>
      <c r="D1716" s="160"/>
      <c r="E1716" s="439"/>
      <c r="F1716" s="161">
        <v>600.02049275800005</v>
      </c>
      <c r="G1716" s="161"/>
      <c r="H1716" s="654"/>
      <c r="I1716" s="654"/>
      <c r="J1716" s="191"/>
      <c r="K1716" s="191">
        <v>146251.389195778</v>
      </c>
      <c r="L1716" s="191"/>
      <c r="M1716" s="191"/>
      <c r="N1716" s="191"/>
      <c r="O1716" s="191"/>
      <c r="P1716" s="191"/>
      <c r="Q1716" s="191"/>
      <c r="R1716" s="191"/>
      <c r="S1716" s="191"/>
      <c r="T1716" s="191"/>
      <c r="U1716" s="439"/>
      <c r="V1716" s="441"/>
      <c r="W1716" s="178"/>
      <c r="X1716" s="172"/>
      <c r="Y1716" s="172"/>
      <c r="Z1716" s="172"/>
      <c r="AA1716" s="195"/>
      <c r="AB1716" s="172"/>
    </row>
    <row r="1717" spans="1:28" ht="12.75" customHeight="1" x14ac:dyDescent="0.3">
      <c r="A1717" s="667"/>
      <c r="B1717" s="668" t="s">
        <v>7452</v>
      </c>
      <c r="C1717" s="160" t="s">
        <v>7453</v>
      </c>
      <c r="D1717" s="160"/>
      <c r="E1717" s="439">
        <v>8.4139999999999997</v>
      </c>
      <c r="F1717" s="161">
        <v>618.01107088799995</v>
      </c>
      <c r="G1717" s="161">
        <v>-5.5289999999999999</v>
      </c>
      <c r="H1717" s="654">
        <v>29.234848159999999</v>
      </c>
      <c r="I1717" s="654"/>
      <c r="J1717" s="191"/>
      <c r="K1717" s="191">
        <v>200152.03036676301</v>
      </c>
      <c r="L1717" s="191"/>
      <c r="M1717" s="191"/>
      <c r="N1717" s="191"/>
      <c r="O1717" s="191"/>
      <c r="P1717" s="191"/>
      <c r="Q1717" s="191"/>
      <c r="R1717" s="191"/>
      <c r="S1717" s="191"/>
      <c r="T1717" s="191"/>
      <c r="U1717" s="439"/>
      <c r="V1717" s="441"/>
      <c r="W1717" s="178"/>
      <c r="X1717" s="172"/>
      <c r="Y1717" s="172"/>
      <c r="Z1717" s="172"/>
      <c r="AA1717" s="195"/>
      <c r="AB1717" s="172"/>
    </row>
    <row r="1718" spans="1:28" ht="12.75" customHeight="1" x14ac:dyDescent="0.3">
      <c r="A1718" s="667"/>
      <c r="B1718" s="668" t="s">
        <v>7454</v>
      </c>
      <c r="C1718" s="160" t="s">
        <v>7455</v>
      </c>
      <c r="D1718" s="160"/>
      <c r="E1718" s="439"/>
      <c r="F1718" s="161">
        <v>568.01426456199999</v>
      </c>
      <c r="G1718" s="161">
        <v>-26.077999999999999</v>
      </c>
      <c r="H1718" s="654">
        <v>39.346121961999998</v>
      </c>
      <c r="I1718" s="654"/>
      <c r="J1718" s="191"/>
      <c r="K1718" s="191">
        <v>91554.564256997401</v>
      </c>
      <c r="L1718" s="191"/>
      <c r="M1718" s="191"/>
      <c r="N1718" s="191"/>
      <c r="O1718" s="191"/>
      <c r="P1718" s="191"/>
      <c r="Q1718" s="191"/>
      <c r="R1718" s="191"/>
      <c r="S1718" s="191"/>
      <c r="T1718" s="191"/>
      <c r="U1718" s="439"/>
      <c r="V1718" s="441"/>
      <c r="W1718" s="178"/>
      <c r="X1718" s="172"/>
      <c r="Y1718" s="172"/>
      <c r="Z1718" s="172"/>
      <c r="AA1718" s="195"/>
      <c r="AB1718" s="172"/>
    </row>
    <row r="1719" spans="1:28" ht="12.75" customHeight="1" x14ac:dyDescent="0.3">
      <c r="A1719" s="667"/>
      <c r="B1719" s="668" t="s">
        <v>7456</v>
      </c>
      <c r="C1719" s="160" t="s">
        <v>7457</v>
      </c>
      <c r="D1719" s="160"/>
      <c r="E1719" s="439">
        <v>7.1429999999999998</v>
      </c>
      <c r="F1719" s="161">
        <v>518.01745823600004</v>
      </c>
      <c r="G1719" s="161">
        <v>-24.295000000000002</v>
      </c>
      <c r="H1719" s="654">
        <v>52.954431823999997</v>
      </c>
      <c r="I1719" s="654">
        <v>6.8603124064026397E-2</v>
      </c>
      <c r="J1719" s="191"/>
      <c r="K1719" s="191">
        <v>65418.4123569238</v>
      </c>
      <c r="L1719" s="191"/>
      <c r="M1719" s="191"/>
      <c r="N1719" s="191"/>
      <c r="O1719" s="191"/>
      <c r="P1719" s="191"/>
      <c r="Q1719" s="191"/>
      <c r="R1719" s="191"/>
      <c r="S1719" s="191"/>
      <c r="T1719" s="191"/>
      <c r="U1719" s="439"/>
      <c r="V1719" s="441"/>
      <c r="W1719" s="178"/>
      <c r="X1719" s="172"/>
      <c r="Y1719" s="172"/>
      <c r="Z1719" s="172"/>
      <c r="AA1719" s="195"/>
      <c r="AB1719" s="172"/>
    </row>
    <row r="1720" spans="1:28" ht="12.75" customHeight="1" x14ac:dyDescent="0.3">
      <c r="A1720" s="667"/>
      <c r="B1720" s="668" t="s">
        <v>7458</v>
      </c>
      <c r="C1720" s="160" t="s">
        <v>7459</v>
      </c>
      <c r="D1720" s="160"/>
      <c r="E1720" s="439">
        <v>5.8920000000000003</v>
      </c>
      <c r="F1720" s="161">
        <v>418.02384558400001</v>
      </c>
      <c r="G1720" s="161">
        <v>-46.561</v>
      </c>
      <c r="H1720" s="654">
        <v>95.918379578</v>
      </c>
      <c r="I1720" s="654">
        <v>0.96872427951790596</v>
      </c>
      <c r="J1720" s="191"/>
      <c r="K1720" s="191">
        <v>12387.3953915287</v>
      </c>
      <c r="L1720" s="191"/>
      <c r="M1720" s="191"/>
      <c r="N1720" s="191"/>
      <c r="O1720" s="191"/>
      <c r="P1720" s="191"/>
      <c r="Q1720" s="191"/>
      <c r="R1720" s="191"/>
      <c r="S1720" s="191"/>
      <c r="T1720" s="191"/>
      <c r="U1720" s="439"/>
      <c r="V1720" s="441"/>
      <c r="W1720" s="178"/>
      <c r="X1720" s="172"/>
      <c r="Y1720" s="172"/>
      <c r="Z1720" s="172"/>
      <c r="AA1720" s="195"/>
      <c r="AB1720" s="172"/>
    </row>
    <row r="1721" spans="1:28" ht="12.75" customHeight="1" x14ac:dyDescent="0.3">
      <c r="A1721" s="667"/>
      <c r="B1721" s="668" t="s">
        <v>7460</v>
      </c>
      <c r="C1721" s="160" t="s">
        <v>7461</v>
      </c>
      <c r="D1721" s="160"/>
      <c r="E1721" s="439">
        <v>5.14</v>
      </c>
      <c r="F1721" s="161">
        <v>400.033267454</v>
      </c>
      <c r="G1721" s="161">
        <v>-8.9540000000000006</v>
      </c>
      <c r="H1721" s="654">
        <v>62.791595594</v>
      </c>
      <c r="I1721" s="654">
        <v>1.56709832258964</v>
      </c>
      <c r="J1721" s="191"/>
      <c r="K1721" s="191">
        <v>17859.940182834998</v>
      </c>
      <c r="L1721" s="191"/>
      <c r="M1721" s="191"/>
      <c r="N1721" s="191"/>
      <c r="O1721" s="191"/>
      <c r="P1721" s="191"/>
      <c r="Q1721" s="191"/>
      <c r="R1721" s="191"/>
      <c r="S1721" s="191"/>
      <c r="T1721" s="191"/>
      <c r="U1721" s="439"/>
      <c r="V1721" s="441"/>
      <c r="W1721" s="178"/>
      <c r="X1721" s="172"/>
      <c r="Y1721" s="172"/>
      <c r="Z1721" s="172"/>
      <c r="AA1721" s="195"/>
      <c r="AB1721" s="172"/>
    </row>
    <row r="1722" spans="1:28" ht="12.75" customHeight="1" x14ac:dyDescent="0.3">
      <c r="A1722" s="667"/>
      <c r="B1722" s="668" t="s">
        <v>7462</v>
      </c>
      <c r="C1722" s="160" t="s">
        <v>7463</v>
      </c>
      <c r="D1722" s="160"/>
      <c r="E1722" s="439"/>
      <c r="F1722" s="161">
        <v>368.027039258</v>
      </c>
      <c r="G1722" s="161"/>
      <c r="H1722" s="654"/>
      <c r="I1722" s="654"/>
      <c r="J1722" s="191"/>
      <c r="K1722" s="191">
        <v>4025.68695213821</v>
      </c>
      <c r="L1722" s="191"/>
      <c r="M1722" s="191"/>
      <c r="N1722" s="191"/>
      <c r="O1722" s="191"/>
      <c r="P1722" s="191"/>
      <c r="Q1722" s="191"/>
      <c r="R1722" s="191"/>
      <c r="S1722" s="191"/>
      <c r="T1722" s="191"/>
      <c r="U1722" s="439"/>
      <c r="V1722" s="441"/>
      <c r="W1722" s="178"/>
      <c r="X1722" s="172"/>
      <c r="Y1722" s="172"/>
      <c r="Z1722" s="172"/>
      <c r="AA1722" s="195"/>
      <c r="AB1722" s="172"/>
    </row>
    <row r="1723" spans="1:28" ht="12.75" customHeight="1" x14ac:dyDescent="0.3">
      <c r="A1723" s="667"/>
      <c r="B1723" s="668" t="s">
        <v>7464</v>
      </c>
      <c r="C1723" s="160" t="s">
        <v>7465</v>
      </c>
      <c r="D1723" s="160"/>
      <c r="E1723" s="439">
        <v>4.048</v>
      </c>
      <c r="F1723" s="161">
        <v>318.03023293199999</v>
      </c>
      <c r="G1723" s="161">
        <v>13.053000000000001</v>
      </c>
      <c r="H1723" s="654">
        <v>174.14119674</v>
      </c>
      <c r="I1723" s="654">
        <v>4.5443021953420502</v>
      </c>
      <c r="J1723" s="191"/>
      <c r="K1723" s="191">
        <v>809.52450545808199</v>
      </c>
      <c r="L1723" s="191"/>
      <c r="M1723" s="191"/>
      <c r="N1723" s="191"/>
      <c r="O1723" s="191"/>
      <c r="P1723" s="191"/>
      <c r="Q1723" s="191"/>
      <c r="R1723" s="191"/>
      <c r="S1723" s="191"/>
      <c r="T1723" s="191"/>
      <c r="U1723" s="439"/>
      <c r="V1723" s="441"/>
      <c r="W1723" s="178"/>
      <c r="X1723" s="172"/>
      <c r="Y1723" s="172"/>
      <c r="Z1723" s="172"/>
      <c r="AA1723" s="195"/>
      <c r="AB1723" s="172"/>
    </row>
    <row r="1724" spans="1:28" ht="12.75" customHeight="1" x14ac:dyDescent="0.3">
      <c r="A1724" s="667"/>
      <c r="B1724" s="668" t="s">
        <v>7466</v>
      </c>
      <c r="C1724" s="160" t="s">
        <v>7467</v>
      </c>
      <c r="D1724" s="160"/>
      <c r="E1724" s="439"/>
      <c r="F1724" s="161">
        <v>300.03965480199997</v>
      </c>
      <c r="G1724" s="161"/>
      <c r="H1724" s="654"/>
      <c r="I1724" s="654"/>
      <c r="J1724" s="191"/>
      <c r="K1724" s="191">
        <v>603.71226631145396</v>
      </c>
      <c r="L1724" s="191"/>
      <c r="M1724" s="191"/>
      <c r="N1724" s="191"/>
      <c r="O1724" s="191"/>
      <c r="P1724" s="191"/>
      <c r="Q1724" s="191"/>
      <c r="R1724" s="191"/>
      <c r="S1724" s="191"/>
      <c r="T1724" s="191"/>
      <c r="U1724" s="439"/>
      <c r="V1724" s="441"/>
      <c r="W1724" s="178"/>
      <c r="X1724" s="172"/>
      <c r="Y1724" s="172"/>
      <c r="Z1724" s="172"/>
      <c r="AA1724" s="195"/>
      <c r="AB1724" s="172"/>
    </row>
    <row r="1725" spans="1:28" ht="12.75" customHeight="1" x14ac:dyDescent="0.3">
      <c r="A1725" s="667"/>
      <c r="B1725" s="668" t="s">
        <v>7468</v>
      </c>
      <c r="C1725" s="160" t="s">
        <v>7469</v>
      </c>
      <c r="D1725" s="160"/>
      <c r="E1725" s="439"/>
      <c r="F1725" s="161">
        <v>268.03342660599998</v>
      </c>
      <c r="G1725" s="161">
        <v>3.5030000000000001</v>
      </c>
      <c r="H1725" s="654">
        <v>633.7261287</v>
      </c>
      <c r="I1725" s="654">
        <v>9.5320995537318307</v>
      </c>
      <c r="J1725" s="191"/>
      <c r="K1725" s="191">
        <v>252.12737370803899</v>
      </c>
      <c r="L1725" s="191"/>
      <c r="M1725" s="191"/>
      <c r="N1725" s="191"/>
      <c r="O1725" s="191"/>
      <c r="P1725" s="191"/>
      <c r="Q1725" s="191"/>
      <c r="R1725" s="191"/>
      <c r="S1725" s="191"/>
      <c r="T1725" s="191"/>
      <c r="U1725" s="439"/>
      <c r="V1725" s="441"/>
      <c r="W1725" s="178"/>
      <c r="X1725" s="172"/>
      <c r="Y1725" s="172"/>
      <c r="Z1725" s="172"/>
      <c r="AA1725" s="195"/>
      <c r="AB1725" s="172"/>
    </row>
    <row r="1726" spans="1:28" ht="12.75" customHeight="1" x14ac:dyDescent="0.3">
      <c r="A1726" s="667"/>
      <c r="B1726" s="668" t="s">
        <v>7470</v>
      </c>
      <c r="C1726" s="160" t="s">
        <v>7471</v>
      </c>
      <c r="D1726" s="160"/>
      <c r="E1726" s="439"/>
      <c r="F1726" s="161">
        <v>250.04284847599999</v>
      </c>
      <c r="G1726" s="161"/>
      <c r="H1726" s="654"/>
      <c r="I1726" s="654"/>
      <c r="J1726" s="191"/>
      <c r="K1726" s="191">
        <v>283.622055389396</v>
      </c>
      <c r="L1726" s="191"/>
      <c r="M1726" s="191"/>
      <c r="N1726" s="191"/>
      <c r="O1726" s="191"/>
      <c r="P1726" s="191"/>
      <c r="Q1726" s="191"/>
      <c r="R1726" s="191"/>
      <c r="S1726" s="191"/>
      <c r="T1726" s="191"/>
      <c r="U1726" s="439"/>
      <c r="V1726" s="441"/>
      <c r="W1726" s="178"/>
      <c r="X1726" s="172"/>
      <c r="Y1726" s="172"/>
      <c r="Z1726" s="172"/>
      <c r="AA1726" s="195"/>
      <c r="AB1726" s="172"/>
    </row>
    <row r="1727" spans="1:28" ht="12.75" customHeight="1" x14ac:dyDescent="0.3">
      <c r="A1727" s="667"/>
      <c r="B1727" s="668" t="s">
        <v>7472</v>
      </c>
      <c r="C1727" s="160" t="s">
        <v>7473</v>
      </c>
      <c r="D1727" s="160"/>
      <c r="E1727" s="439">
        <v>12</v>
      </c>
      <c r="F1727" s="161">
        <v>412.05325400700002</v>
      </c>
      <c r="G1727" s="161">
        <v>8.5129999999999999</v>
      </c>
      <c r="H1727" s="654">
        <v>8.6079882587999901</v>
      </c>
      <c r="I1727" s="654">
        <v>1.0255428617678599</v>
      </c>
      <c r="J1727" s="191"/>
      <c r="K1727" s="191">
        <v>12432.2575926064</v>
      </c>
      <c r="L1727" s="191"/>
      <c r="M1727" s="191"/>
      <c r="N1727" s="191"/>
      <c r="O1727" s="191"/>
      <c r="P1727" s="191"/>
      <c r="Q1727" s="191"/>
      <c r="R1727" s="191"/>
      <c r="S1727" s="191"/>
      <c r="T1727" s="191"/>
      <c r="U1727" s="439"/>
      <c r="V1727" s="441"/>
      <c r="W1727" s="178"/>
      <c r="X1727" s="172"/>
      <c r="Y1727" s="172"/>
      <c r="Z1727" s="172"/>
      <c r="AA1727" s="195"/>
      <c r="AB1727" s="172"/>
    </row>
    <row r="1728" spans="1:28" ht="12.75" customHeight="1" x14ac:dyDescent="0.3">
      <c r="A1728" s="667"/>
      <c r="B1728" s="668" t="s">
        <v>7474</v>
      </c>
      <c r="C1728" s="160" t="s">
        <v>7475</v>
      </c>
      <c r="D1728" s="160"/>
      <c r="E1728" s="439">
        <v>6.35</v>
      </c>
      <c r="F1728" s="161">
        <v>512.04686665899999</v>
      </c>
      <c r="G1728" s="161">
        <v>-33.767000000000003</v>
      </c>
      <c r="H1728" s="654">
        <v>4.7522760222000002</v>
      </c>
      <c r="I1728" s="654">
        <v>0.40207763338784602</v>
      </c>
      <c r="J1728" s="191"/>
      <c r="K1728" s="191">
        <v>14704.4911394848</v>
      </c>
      <c r="L1728" s="191"/>
      <c r="M1728" s="191"/>
      <c r="N1728" s="191"/>
      <c r="O1728" s="191"/>
      <c r="P1728" s="191"/>
      <c r="Q1728" s="191"/>
      <c r="R1728" s="191"/>
      <c r="S1728" s="191"/>
      <c r="T1728" s="191"/>
      <c r="U1728" s="439"/>
      <c r="V1728" s="441"/>
      <c r="W1728" s="178"/>
      <c r="X1728" s="172"/>
      <c r="Y1728" s="172"/>
      <c r="Z1728" s="172"/>
      <c r="AA1728" s="195"/>
      <c r="AB1728" s="172"/>
    </row>
    <row r="1729" spans="1:28" ht="12.75" customHeight="1" x14ac:dyDescent="0.3">
      <c r="A1729" s="667"/>
      <c r="B1729" s="668" t="s">
        <v>7476</v>
      </c>
      <c r="C1729" s="160" t="s">
        <v>7477</v>
      </c>
      <c r="D1729" s="160"/>
      <c r="E1729" s="439">
        <v>6.35</v>
      </c>
      <c r="F1729" s="161">
        <v>612.04047931100001</v>
      </c>
      <c r="G1729" s="161"/>
      <c r="H1729" s="654"/>
      <c r="I1729" s="654"/>
      <c r="J1729" s="191"/>
      <c r="K1729" s="191">
        <v>119481.31671611901</v>
      </c>
      <c r="L1729" s="191"/>
      <c r="M1729" s="191"/>
      <c r="N1729" s="191"/>
      <c r="O1729" s="191"/>
      <c r="P1729" s="191"/>
      <c r="Q1729" s="191"/>
      <c r="R1729" s="191"/>
      <c r="S1729" s="191"/>
      <c r="T1729" s="191"/>
      <c r="U1729" s="439"/>
      <c r="V1729" s="441"/>
      <c r="W1729" s="178"/>
      <c r="X1729" s="172"/>
      <c r="Y1729" s="172"/>
      <c r="Z1729" s="172"/>
      <c r="AA1729" s="195"/>
      <c r="AB1729" s="172"/>
    </row>
    <row r="1730" spans="1:28" ht="12.75" customHeight="1" x14ac:dyDescent="0.3">
      <c r="A1730" s="667"/>
      <c r="B1730" s="668" t="s">
        <v>7478</v>
      </c>
      <c r="C1730" s="160" t="s">
        <v>7479</v>
      </c>
      <c r="D1730" s="160"/>
      <c r="E1730" s="439">
        <v>6</v>
      </c>
      <c r="F1730" s="161">
        <v>562.04367298499994</v>
      </c>
      <c r="G1730" s="161">
        <v>-12.833</v>
      </c>
      <c r="H1730" s="654">
        <v>2.5229055348</v>
      </c>
      <c r="I1730" s="654">
        <v>6.19113587539896E-2</v>
      </c>
      <c r="J1730" s="191"/>
      <c r="K1730" s="191">
        <v>279556.76099416998</v>
      </c>
      <c r="L1730" s="191"/>
      <c r="M1730" s="191"/>
      <c r="N1730" s="191"/>
      <c r="O1730" s="191"/>
      <c r="P1730" s="191"/>
      <c r="Q1730" s="191"/>
      <c r="R1730" s="191"/>
      <c r="S1730" s="191"/>
      <c r="T1730" s="191"/>
      <c r="U1730" s="439"/>
      <c r="V1730" s="441"/>
      <c r="W1730" s="178"/>
      <c r="X1730" s="172"/>
      <c r="Y1730" s="172"/>
      <c r="Z1730" s="172"/>
      <c r="AA1730" s="195"/>
      <c r="AB1730" s="172"/>
    </row>
    <row r="1731" spans="1:28" ht="12.75" customHeight="1" x14ac:dyDescent="0.3">
      <c r="A1731" s="667"/>
      <c r="B1731" s="668" t="s">
        <v>7480</v>
      </c>
      <c r="C1731" s="160" t="s">
        <v>7481</v>
      </c>
      <c r="D1731" s="160"/>
      <c r="E1731" s="439">
        <v>14</v>
      </c>
      <c r="F1731" s="161">
        <v>462.05006033299998</v>
      </c>
      <c r="G1731" s="161">
        <v>-9.266</v>
      </c>
      <c r="H1731" s="654">
        <v>4.5698515296000002</v>
      </c>
      <c r="I1731" s="654">
        <v>0.31454935752283603</v>
      </c>
      <c r="J1731" s="191"/>
      <c r="K1731" s="191">
        <v>20223.6713944771</v>
      </c>
      <c r="L1731" s="191"/>
      <c r="M1731" s="191"/>
      <c r="N1731" s="191"/>
      <c r="O1731" s="191"/>
      <c r="P1731" s="191"/>
      <c r="Q1731" s="191"/>
      <c r="R1731" s="191"/>
      <c r="S1731" s="191"/>
      <c r="T1731" s="191"/>
      <c r="U1731" s="439"/>
      <c r="V1731" s="441"/>
      <c r="W1731" s="178"/>
      <c r="X1731" s="172"/>
      <c r="Y1731" s="172"/>
      <c r="Z1731" s="172"/>
      <c r="AA1731" s="195"/>
      <c r="AB1731" s="172"/>
    </row>
    <row r="1732" spans="1:28" ht="12.75" customHeight="1" x14ac:dyDescent="0.3">
      <c r="A1732" s="667"/>
      <c r="B1732" s="668" t="s">
        <v>7482</v>
      </c>
      <c r="C1732" s="160" t="s">
        <v>7483</v>
      </c>
      <c r="D1732" s="160"/>
      <c r="E1732" s="439">
        <v>6.26</v>
      </c>
      <c r="F1732" s="161">
        <v>362.05644768100001</v>
      </c>
      <c r="G1732" s="161">
        <v>24.515000000000001</v>
      </c>
      <c r="H1732" s="654">
        <v>8.2775496818000001</v>
      </c>
      <c r="I1732" s="654">
        <v>1.5197645242212801</v>
      </c>
      <c r="J1732" s="191"/>
      <c r="K1732" s="191">
        <v>1426.88837588206</v>
      </c>
      <c r="L1732" s="191"/>
      <c r="M1732" s="191"/>
      <c r="N1732" s="191"/>
      <c r="O1732" s="191"/>
      <c r="P1732" s="191"/>
      <c r="Q1732" s="191"/>
      <c r="R1732" s="191"/>
      <c r="S1732" s="191"/>
      <c r="T1732" s="191"/>
      <c r="U1732" s="439"/>
      <c r="V1732" s="441"/>
      <c r="W1732" s="178"/>
      <c r="X1732" s="172"/>
      <c r="Y1732" s="172"/>
      <c r="Z1732" s="172"/>
      <c r="AA1732" s="195"/>
      <c r="AB1732" s="172"/>
    </row>
    <row r="1733" spans="1:28" ht="12.75" customHeight="1" x14ac:dyDescent="0.3">
      <c r="A1733" s="667"/>
      <c r="B1733" s="668" t="s">
        <v>7484</v>
      </c>
      <c r="C1733" s="160" t="s">
        <v>7485</v>
      </c>
      <c r="D1733" s="160"/>
      <c r="E1733" s="439"/>
      <c r="F1733" s="161">
        <v>380.027039258</v>
      </c>
      <c r="G1733" s="161">
        <v>-1.885</v>
      </c>
      <c r="H1733" s="654">
        <v>62.936383286000002</v>
      </c>
      <c r="I1733" s="654">
        <v>0.630689074082184</v>
      </c>
      <c r="J1733" s="191"/>
      <c r="K1733" s="191">
        <v>21309.830729791</v>
      </c>
      <c r="L1733" s="191"/>
      <c r="M1733" s="191"/>
      <c r="N1733" s="191"/>
      <c r="O1733" s="191"/>
      <c r="P1733" s="191"/>
      <c r="Q1733" s="191"/>
      <c r="R1733" s="191"/>
      <c r="S1733" s="191"/>
      <c r="T1733" s="191"/>
      <c r="U1733" s="439"/>
      <c r="V1733" s="441"/>
      <c r="W1733" s="178"/>
      <c r="X1733" s="172"/>
      <c r="Y1733" s="172"/>
      <c r="Z1733" s="172"/>
      <c r="AA1733" s="195"/>
      <c r="AB1733" s="172"/>
    </row>
    <row r="1734" spans="1:28" ht="12.75" customHeight="1" x14ac:dyDescent="0.3">
      <c r="A1734" s="667"/>
      <c r="B1734" s="668" t="s">
        <v>7486</v>
      </c>
      <c r="C1734" s="160" t="s">
        <v>7487</v>
      </c>
      <c r="D1734" s="160"/>
      <c r="E1734" s="439"/>
      <c r="F1734" s="161">
        <v>382.04268932299999</v>
      </c>
      <c r="G1734" s="161">
        <v>-2.145</v>
      </c>
      <c r="H1734" s="654">
        <v>107.62218467</v>
      </c>
      <c r="I1734" s="654">
        <v>1.5671543933105101</v>
      </c>
      <c r="J1734" s="191"/>
      <c r="K1734" s="191">
        <v>5057.7807597545598</v>
      </c>
      <c r="L1734" s="191"/>
      <c r="M1734" s="191"/>
      <c r="N1734" s="191"/>
      <c r="O1734" s="191"/>
      <c r="P1734" s="191"/>
      <c r="Q1734" s="191"/>
      <c r="R1734" s="191"/>
      <c r="S1734" s="191"/>
      <c r="T1734" s="191"/>
      <c r="U1734" s="439"/>
      <c r="V1734" s="441"/>
      <c r="W1734" s="178"/>
      <c r="X1734" s="172"/>
      <c r="Y1734" s="172"/>
      <c r="Z1734" s="172"/>
      <c r="AA1734" s="195"/>
      <c r="AB1734" s="172"/>
    </row>
    <row r="1735" spans="1:28" ht="12.75" customHeight="1" x14ac:dyDescent="0.3">
      <c r="A1735" s="667"/>
      <c r="B1735" s="668" t="s">
        <v>7488</v>
      </c>
      <c r="C1735" s="160" t="s">
        <v>7489</v>
      </c>
      <c r="D1735" s="160"/>
      <c r="E1735" s="439"/>
      <c r="F1735" s="161">
        <v>378.06776125599998</v>
      </c>
      <c r="G1735" s="161"/>
      <c r="H1735" s="654"/>
      <c r="I1735" s="654"/>
      <c r="J1735" s="191"/>
      <c r="K1735" s="191">
        <v>20122.873636029599</v>
      </c>
      <c r="L1735" s="191"/>
      <c r="M1735" s="191"/>
      <c r="N1735" s="191"/>
      <c r="O1735" s="191"/>
      <c r="P1735" s="191"/>
      <c r="Q1735" s="191"/>
      <c r="R1735" s="191"/>
      <c r="S1735" s="191"/>
      <c r="T1735" s="191"/>
      <c r="U1735" s="439"/>
      <c r="V1735" s="441"/>
      <c r="W1735" s="178"/>
      <c r="X1735" s="172"/>
      <c r="Y1735" s="172"/>
      <c r="Z1735" s="172"/>
      <c r="AA1735" s="195"/>
      <c r="AB1735" s="172"/>
    </row>
    <row r="1736" spans="1:28" ht="12.75" customHeight="1" x14ac:dyDescent="0.3">
      <c r="A1736" s="667"/>
      <c r="B1736" s="668" t="s">
        <v>7490</v>
      </c>
      <c r="C1736" s="160" t="s">
        <v>7491</v>
      </c>
      <c r="D1736" s="160"/>
      <c r="E1736" s="439"/>
      <c r="F1736" s="161">
        <v>482.03630197500001</v>
      </c>
      <c r="G1736" s="161">
        <v>-52.424999999999997</v>
      </c>
      <c r="H1736" s="654">
        <v>59.415749232000003</v>
      </c>
      <c r="I1736" s="654">
        <v>0.319948221181792</v>
      </c>
      <c r="J1736" s="191"/>
      <c r="K1736" s="191">
        <v>53864.173456235199</v>
      </c>
      <c r="L1736" s="191"/>
      <c r="M1736" s="191"/>
      <c r="N1736" s="191"/>
      <c r="O1736" s="191"/>
      <c r="P1736" s="191"/>
      <c r="Q1736" s="191"/>
      <c r="R1736" s="191"/>
      <c r="S1736" s="191"/>
      <c r="T1736" s="191"/>
      <c r="U1736" s="439"/>
      <c r="V1736" s="441"/>
      <c r="W1736" s="178"/>
      <c r="X1736" s="172"/>
      <c r="Y1736" s="172"/>
      <c r="Z1736" s="172"/>
      <c r="AA1736" s="195"/>
      <c r="AB1736" s="172"/>
    </row>
    <row r="1737" spans="1:28" ht="12.75" customHeight="1" x14ac:dyDescent="0.3">
      <c r="A1737" s="667"/>
      <c r="B1737" s="668" t="s">
        <v>7492</v>
      </c>
      <c r="C1737" s="160" t="s">
        <v>7493</v>
      </c>
      <c r="D1737" s="160"/>
      <c r="E1737" s="439"/>
      <c r="F1737" s="161">
        <v>632.02672095299999</v>
      </c>
      <c r="G1737" s="161">
        <v>-4.7249999999999996</v>
      </c>
      <c r="H1737" s="654">
        <v>17.414119673999998</v>
      </c>
      <c r="I1737" s="654"/>
      <c r="J1737" s="191"/>
      <c r="K1737" s="191">
        <v>259579.26596152401</v>
      </c>
      <c r="L1737" s="191"/>
      <c r="M1737" s="191"/>
      <c r="N1737" s="191"/>
      <c r="O1737" s="191"/>
      <c r="P1737" s="191"/>
      <c r="Q1737" s="191"/>
      <c r="R1737" s="191"/>
      <c r="S1737" s="191"/>
      <c r="T1737" s="191"/>
      <c r="U1737" s="439"/>
      <c r="V1737" s="441"/>
      <c r="W1737" s="178"/>
      <c r="X1737" s="172"/>
      <c r="Y1737" s="172"/>
      <c r="Z1737" s="172"/>
      <c r="AA1737" s="195"/>
      <c r="AB1737" s="172"/>
    </row>
    <row r="1738" spans="1:28" ht="12.75" customHeight="1" x14ac:dyDescent="0.3">
      <c r="A1738" s="667"/>
      <c r="B1738" s="668" t="s">
        <v>7494</v>
      </c>
      <c r="C1738" s="160" t="s">
        <v>7495</v>
      </c>
      <c r="D1738" s="160"/>
      <c r="E1738" s="439"/>
      <c r="F1738" s="161">
        <v>532.03310830099997</v>
      </c>
      <c r="G1738" s="161">
        <v>-49.325000000000003</v>
      </c>
      <c r="H1738" s="654">
        <v>31.542918623999999</v>
      </c>
      <c r="I1738" s="654">
        <v>4.9652202645434101E-2</v>
      </c>
      <c r="J1738" s="191"/>
      <c r="K1738" s="191">
        <v>115864.395466116</v>
      </c>
      <c r="L1738" s="191"/>
      <c r="M1738" s="191"/>
      <c r="N1738" s="191"/>
      <c r="O1738" s="191"/>
      <c r="P1738" s="191"/>
      <c r="Q1738" s="191"/>
      <c r="R1738" s="191"/>
      <c r="S1738" s="191"/>
      <c r="T1738" s="191"/>
      <c r="U1738" s="439"/>
      <c r="V1738" s="441"/>
      <c r="W1738" s="178"/>
      <c r="X1738" s="172"/>
      <c r="Y1738" s="172"/>
      <c r="Z1738" s="172"/>
      <c r="AA1738" s="195"/>
      <c r="AB1738" s="172"/>
    </row>
    <row r="1739" spans="1:28" ht="12.75" customHeight="1" x14ac:dyDescent="0.3">
      <c r="A1739" s="667"/>
      <c r="B1739" s="668" t="s">
        <v>7496</v>
      </c>
      <c r="C1739" s="160" t="s">
        <v>7497</v>
      </c>
      <c r="D1739" s="160"/>
      <c r="E1739" s="439">
        <v>40.447000000000003</v>
      </c>
      <c r="F1739" s="161">
        <v>282.04907667100002</v>
      </c>
      <c r="G1739" s="161">
        <v>15.64</v>
      </c>
      <c r="H1739" s="654">
        <v>139.28415984</v>
      </c>
      <c r="I1739" s="654">
        <v>7.05221408854334</v>
      </c>
      <c r="J1739" s="191"/>
      <c r="K1739" s="191">
        <v>320.922376804843</v>
      </c>
      <c r="L1739" s="191"/>
      <c r="M1739" s="191"/>
      <c r="N1739" s="191"/>
      <c r="O1739" s="191"/>
      <c r="P1739" s="191"/>
      <c r="Q1739" s="191"/>
      <c r="R1739" s="191"/>
      <c r="S1739" s="191"/>
      <c r="T1739" s="191"/>
      <c r="U1739" s="439"/>
      <c r="V1739" s="441"/>
      <c r="W1739" s="178"/>
      <c r="X1739" s="172"/>
      <c r="Y1739" s="172"/>
      <c r="Z1739" s="172"/>
      <c r="AA1739" s="195"/>
      <c r="AB1739" s="172"/>
    </row>
    <row r="1740" spans="1:28" ht="12.75" customHeight="1" x14ac:dyDescent="0.3">
      <c r="A1740" s="667"/>
      <c r="B1740" s="668" t="s">
        <v>7498</v>
      </c>
      <c r="C1740" s="160" t="s">
        <v>7499</v>
      </c>
      <c r="D1740" s="160"/>
      <c r="E1740" s="439"/>
      <c r="F1740" s="161">
        <v>546.04875836500003</v>
      </c>
      <c r="G1740" s="161"/>
      <c r="H1740" s="654"/>
      <c r="I1740" s="654"/>
      <c r="J1740" s="191"/>
      <c r="K1740" s="191">
        <v>142981.549752819</v>
      </c>
      <c r="L1740" s="191"/>
      <c r="M1740" s="191"/>
      <c r="N1740" s="191"/>
      <c r="O1740" s="191"/>
      <c r="P1740" s="191"/>
      <c r="Q1740" s="191"/>
      <c r="R1740" s="191"/>
      <c r="S1740" s="191"/>
      <c r="T1740" s="191"/>
      <c r="U1740" s="439"/>
      <c r="V1740" s="441"/>
      <c r="W1740" s="178"/>
      <c r="X1740" s="172"/>
      <c r="Y1740" s="172"/>
      <c r="Z1740" s="172"/>
      <c r="AA1740" s="195"/>
      <c r="AB1740" s="172"/>
    </row>
    <row r="1741" spans="1:28" ht="12.75" customHeight="1" x14ac:dyDescent="0.3">
      <c r="A1741" s="667"/>
      <c r="B1741" s="668" t="s">
        <v>7500</v>
      </c>
      <c r="C1741" s="160" t="s">
        <v>7501</v>
      </c>
      <c r="D1741" s="160"/>
      <c r="E1741" s="439"/>
      <c r="F1741" s="161">
        <v>446.055145713</v>
      </c>
      <c r="G1741" s="161"/>
      <c r="H1741" s="654"/>
      <c r="I1741" s="654"/>
      <c r="J1741" s="191"/>
      <c r="K1741" s="191">
        <v>18514.841562383801</v>
      </c>
      <c r="L1741" s="191"/>
      <c r="M1741" s="191"/>
      <c r="N1741" s="191"/>
      <c r="O1741" s="191"/>
      <c r="P1741" s="191"/>
      <c r="Q1741" s="191"/>
      <c r="R1741" s="191"/>
      <c r="S1741" s="191"/>
      <c r="T1741" s="191"/>
      <c r="U1741" s="439"/>
      <c r="V1741" s="441"/>
      <c r="W1741" s="178"/>
      <c r="X1741" s="172"/>
      <c r="Y1741" s="172"/>
      <c r="Z1741" s="172"/>
      <c r="AA1741" s="195"/>
      <c r="AB1741" s="172"/>
    </row>
    <row r="1742" spans="1:28" ht="12.75" customHeight="1" x14ac:dyDescent="0.3">
      <c r="A1742" s="667"/>
      <c r="B1742" s="668" t="s">
        <v>7502</v>
      </c>
      <c r="C1742" s="160" t="s">
        <v>7503</v>
      </c>
      <c r="D1742" s="160"/>
      <c r="E1742" s="439"/>
      <c r="F1742" s="161">
        <v>346.06153306099998</v>
      </c>
      <c r="G1742" s="161"/>
      <c r="H1742" s="654"/>
      <c r="I1742" s="654"/>
      <c r="J1742" s="191"/>
      <c r="K1742" s="191">
        <v>5272.7842332392602</v>
      </c>
      <c r="L1742" s="191"/>
      <c r="M1742" s="191"/>
      <c r="N1742" s="191"/>
      <c r="O1742" s="191"/>
      <c r="P1742" s="191"/>
      <c r="Q1742" s="191"/>
      <c r="R1742" s="191"/>
      <c r="S1742" s="191"/>
      <c r="T1742" s="191"/>
      <c r="U1742" s="439"/>
      <c r="V1742" s="441"/>
      <c r="W1742" s="178"/>
      <c r="X1742" s="172"/>
      <c r="Y1742" s="172"/>
      <c r="Z1742" s="172"/>
      <c r="AA1742" s="195"/>
      <c r="AB1742" s="172"/>
    </row>
    <row r="1743" spans="1:28" ht="12.75" customHeight="1" x14ac:dyDescent="0.3">
      <c r="A1743" s="667"/>
      <c r="B1743" s="668" t="s">
        <v>7504</v>
      </c>
      <c r="C1743" s="160" t="s">
        <v>7505</v>
      </c>
      <c r="D1743" s="160"/>
      <c r="E1743" s="439"/>
      <c r="F1743" s="161">
        <v>498.01345852899999</v>
      </c>
      <c r="G1743" s="161">
        <v>-75.478999999999999</v>
      </c>
      <c r="H1743" s="654">
        <v>7.0291358060000002</v>
      </c>
      <c r="I1743" s="654">
        <v>0.41999218004855399</v>
      </c>
      <c r="J1743" s="191"/>
      <c r="K1743" s="191">
        <v>298744556.06053102</v>
      </c>
      <c r="L1743" s="191"/>
      <c r="M1743" s="191"/>
      <c r="N1743" s="191"/>
      <c r="O1743" s="191"/>
      <c r="P1743" s="191"/>
      <c r="Q1743" s="191"/>
      <c r="R1743" s="191"/>
      <c r="S1743" s="191"/>
      <c r="T1743" s="191"/>
      <c r="U1743" s="439"/>
      <c r="V1743" s="441"/>
      <c r="W1743" s="178"/>
      <c r="X1743" s="172"/>
      <c r="Y1743" s="172"/>
      <c r="Z1743" s="172"/>
      <c r="AA1743" s="195"/>
      <c r="AB1743" s="172"/>
    </row>
    <row r="1744" spans="1:28" ht="12.75" customHeight="1" x14ac:dyDescent="0.3">
      <c r="A1744" s="667"/>
      <c r="B1744" s="668" t="s">
        <v>7506</v>
      </c>
      <c r="C1744" s="160" t="s">
        <v>7507</v>
      </c>
      <c r="D1744" s="160"/>
      <c r="E1744" s="439"/>
      <c r="F1744" s="161">
        <v>598.00707118100001</v>
      </c>
      <c r="G1744" s="161">
        <v>-79.046999999999997</v>
      </c>
      <c r="H1744" s="654">
        <v>8.7882396027999992</v>
      </c>
      <c r="I1744" s="654"/>
      <c r="J1744" s="191"/>
      <c r="K1744" s="191">
        <v>327295474.21438003</v>
      </c>
      <c r="L1744" s="191"/>
      <c r="M1744" s="191"/>
      <c r="N1744" s="191"/>
      <c r="O1744" s="191"/>
      <c r="P1744" s="191"/>
      <c r="Q1744" s="191"/>
      <c r="R1744" s="191"/>
      <c r="S1744" s="191"/>
      <c r="T1744" s="191"/>
      <c r="U1744" s="439"/>
      <c r="V1744" s="441"/>
      <c r="W1744" s="178"/>
      <c r="X1744" s="172"/>
      <c r="Y1744" s="172"/>
      <c r="Z1744" s="172"/>
      <c r="AA1744" s="195"/>
      <c r="AB1744" s="172"/>
    </row>
    <row r="1745" spans="1:28" ht="12.75" customHeight="1" x14ac:dyDescent="0.3">
      <c r="A1745" s="667"/>
      <c r="B1745" s="668" t="s">
        <v>7508</v>
      </c>
      <c r="C1745" s="160" t="s">
        <v>7509</v>
      </c>
      <c r="D1745" s="160"/>
      <c r="E1745" s="439"/>
      <c r="F1745" s="161">
        <v>698.00068383300004</v>
      </c>
      <c r="G1745" s="161">
        <v>-42.447000000000003</v>
      </c>
      <c r="H1745" s="654">
        <v>8.5881899417999996</v>
      </c>
      <c r="I1745" s="654"/>
      <c r="J1745" s="191"/>
      <c r="K1745" s="191">
        <v>4485800.9647191605</v>
      </c>
      <c r="L1745" s="191"/>
      <c r="M1745" s="191"/>
      <c r="N1745" s="191"/>
      <c r="O1745" s="191"/>
      <c r="P1745" s="191"/>
      <c r="Q1745" s="191"/>
      <c r="R1745" s="191"/>
      <c r="S1745" s="191"/>
      <c r="T1745" s="191"/>
      <c r="U1745" s="439"/>
      <c r="V1745" s="441"/>
      <c r="W1745" s="178"/>
      <c r="X1745" s="172"/>
      <c r="Y1745" s="172"/>
      <c r="Z1745" s="172"/>
      <c r="AA1745" s="195"/>
      <c r="AB1745" s="172"/>
    </row>
    <row r="1746" spans="1:28" ht="12.75" customHeight="1" x14ac:dyDescent="0.3">
      <c r="A1746" s="667"/>
      <c r="B1746" s="668" t="s">
        <v>7510</v>
      </c>
      <c r="C1746" s="160" t="s">
        <v>7511</v>
      </c>
      <c r="D1746" s="160"/>
      <c r="E1746" s="439"/>
      <c r="F1746" s="161">
        <v>456.000665357</v>
      </c>
      <c r="G1746" s="161"/>
      <c r="H1746" s="654"/>
      <c r="I1746" s="654"/>
      <c r="J1746" s="191"/>
      <c r="K1746" s="191">
        <v>22988.9957506418</v>
      </c>
      <c r="L1746" s="191"/>
      <c r="M1746" s="191"/>
      <c r="N1746" s="191"/>
      <c r="O1746" s="191"/>
      <c r="P1746" s="191"/>
      <c r="Q1746" s="191"/>
      <c r="R1746" s="191"/>
      <c r="S1746" s="191"/>
      <c r="T1746" s="191"/>
      <c r="U1746" s="439"/>
      <c r="V1746" s="441"/>
      <c r="W1746" s="178"/>
      <c r="X1746" s="172"/>
      <c r="Y1746" s="172"/>
      <c r="Z1746" s="172"/>
      <c r="AA1746" s="195"/>
      <c r="AB1746" s="172"/>
    </row>
    <row r="1747" spans="1:28" ht="12.75" customHeight="1" x14ac:dyDescent="0.3">
      <c r="A1747" s="667"/>
      <c r="B1747" s="668" t="s">
        <v>7512</v>
      </c>
      <c r="C1747" s="160" t="s">
        <v>7513</v>
      </c>
      <c r="D1747" s="160"/>
      <c r="E1747" s="439">
        <v>9.18</v>
      </c>
      <c r="F1747" s="161">
        <v>253.03376095799999</v>
      </c>
      <c r="G1747" s="161"/>
      <c r="H1747" s="654"/>
      <c r="I1747" s="654"/>
      <c r="J1747" s="191"/>
      <c r="K1747" s="191">
        <v>2986.3451477030599</v>
      </c>
      <c r="L1747" s="191"/>
      <c r="M1747" s="191"/>
      <c r="N1747" s="191"/>
      <c r="O1747" s="191"/>
      <c r="P1747" s="191"/>
      <c r="Q1747" s="191"/>
      <c r="R1747" s="191"/>
      <c r="S1747" s="191"/>
      <c r="T1747" s="191"/>
      <c r="U1747" s="439"/>
      <c r="V1747" s="441"/>
      <c r="W1747" s="178"/>
      <c r="X1747" s="172"/>
      <c r="Y1747" s="172"/>
      <c r="Z1747" s="172"/>
      <c r="AA1747" s="195"/>
      <c r="AB1747" s="172"/>
    </row>
    <row r="1748" spans="1:28" ht="12.75" customHeight="1" x14ac:dyDescent="0.3">
      <c r="A1748" s="667"/>
      <c r="B1748" s="668" t="s">
        <v>7514</v>
      </c>
      <c r="C1748" s="160" t="s">
        <v>7515</v>
      </c>
      <c r="D1748" s="160"/>
      <c r="E1748" s="439"/>
      <c r="F1748" s="161">
        <v>376.01328089999998</v>
      </c>
      <c r="G1748" s="161">
        <v>-30.288</v>
      </c>
      <c r="H1748" s="654">
        <v>232.75621404</v>
      </c>
      <c r="I1748" s="654">
        <v>2.5130622020982898</v>
      </c>
      <c r="J1748" s="191"/>
      <c r="K1748" s="191">
        <v>17226.220420850299</v>
      </c>
      <c r="L1748" s="191"/>
      <c r="M1748" s="191"/>
      <c r="N1748" s="191"/>
      <c r="O1748" s="191"/>
      <c r="P1748" s="191"/>
      <c r="Q1748" s="191"/>
      <c r="R1748" s="191"/>
      <c r="S1748" s="191"/>
      <c r="T1748" s="191"/>
      <c r="U1748" s="439"/>
      <c r="V1748" s="441"/>
      <c r="W1748" s="178"/>
      <c r="X1748" s="172"/>
      <c r="Y1748" s="172"/>
      <c r="Z1748" s="172"/>
      <c r="AA1748" s="195"/>
      <c r="AB1748" s="172"/>
    </row>
    <row r="1749" spans="1:28" ht="12.75" customHeight="1" x14ac:dyDescent="0.3">
      <c r="A1749" s="667"/>
      <c r="B1749" s="668" t="s">
        <v>7516</v>
      </c>
      <c r="C1749" s="160" t="s">
        <v>7517</v>
      </c>
      <c r="D1749" s="160"/>
      <c r="E1749" s="439"/>
      <c r="F1749" s="161">
        <v>276.01966824800002</v>
      </c>
      <c r="G1749" s="161">
        <v>-70.403999999999996</v>
      </c>
      <c r="H1749" s="654">
        <v>943.84776611999996</v>
      </c>
      <c r="I1749" s="654">
        <v>43.7460812009572</v>
      </c>
      <c r="J1749" s="191"/>
      <c r="K1749" s="191">
        <v>1282.0353491189501</v>
      </c>
      <c r="L1749" s="191"/>
      <c r="M1749" s="191"/>
      <c r="N1749" s="191"/>
      <c r="O1749" s="191"/>
      <c r="P1749" s="191"/>
      <c r="Q1749" s="191"/>
      <c r="R1749" s="191"/>
      <c r="S1749" s="191"/>
      <c r="T1749" s="191"/>
      <c r="U1749" s="439"/>
      <c r="V1749" s="441"/>
      <c r="W1749" s="178"/>
      <c r="X1749" s="172"/>
      <c r="Y1749" s="172"/>
      <c r="Z1749" s="172"/>
      <c r="AA1749" s="195"/>
      <c r="AB1749" s="172"/>
    </row>
    <row r="1750" spans="1:28" ht="12.75" customHeight="1" x14ac:dyDescent="0.3">
      <c r="A1750" s="667"/>
      <c r="B1750" s="668" t="s">
        <v>7518</v>
      </c>
      <c r="C1750" s="160" t="s">
        <v>7519</v>
      </c>
      <c r="D1750" s="160"/>
      <c r="E1750" s="439"/>
      <c r="F1750" s="161">
        <v>226.022861922</v>
      </c>
      <c r="G1750" s="161">
        <v>-73.212999999999994</v>
      </c>
      <c r="H1750" s="654">
        <v>8089.1256991999999</v>
      </c>
      <c r="I1750" s="654">
        <v>88.951297309403103</v>
      </c>
      <c r="J1750" s="191"/>
      <c r="K1750" s="191">
        <v>16902.463236415198</v>
      </c>
      <c r="L1750" s="191"/>
      <c r="M1750" s="191"/>
      <c r="N1750" s="191"/>
      <c r="O1750" s="191"/>
      <c r="P1750" s="191"/>
      <c r="Q1750" s="191"/>
      <c r="R1750" s="191"/>
      <c r="S1750" s="191"/>
      <c r="T1750" s="191"/>
      <c r="U1750" s="439"/>
      <c r="V1750" s="441"/>
      <c r="W1750" s="178"/>
      <c r="X1750" s="172"/>
      <c r="Y1750" s="172"/>
      <c r="Z1750" s="172"/>
      <c r="AA1750" s="195"/>
      <c r="AB1750" s="172"/>
    </row>
    <row r="1751" spans="1:28" ht="12.75" customHeight="1" x14ac:dyDescent="0.3">
      <c r="A1751" s="667"/>
      <c r="B1751" s="668" t="s">
        <v>7520</v>
      </c>
      <c r="C1751" s="160" t="s">
        <v>7521</v>
      </c>
      <c r="D1751" s="160"/>
      <c r="E1751" s="439"/>
      <c r="F1751" s="161">
        <v>490.02254361600001</v>
      </c>
      <c r="G1751" s="161"/>
      <c r="H1751" s="654"/>
      <c r="I1751" s="654"/>
      <c r="J1751" s="191"/>
      <c r="K1751" s="191">
        <v>190783.14336669701</v>
      </c>
      <c r="L1751" s="191"/>
      <c r="M1751" s="191"/>
      <c r="N1751" s="191"/>
      <c r="O1751" s="191"/>
      <c r="P1751" s="191"/>
      <c r="Q1751" s="191"/>
      <c r="R1751" s="191"/>
      <c r="S1751" s="191"/>
      <c r="T1751" s="191"/>
      <c r="U1751" s="439"/>
      <c r="V1751" s="441"/>
      <c r="W1751" s="178"/>
      <c r="X1751" s="172"/>
      <c r="Y1751" s="172"/>
      <c r="Z1751" s="172"/>
      <c r="AA1751" s="195"/>
      <c r="AB1751" s="172"/>
    </row>
    <row r="1752" spans="1:28" ht="12.75" customHeight="1" x14ac:dyDescent="0.3">
      <c r="A1752" s="667"/>
      <c r="B1752" s="668" t="s">
        <v>7522</v>
      </c>
      <c r="C1752" s="160" t="s">
        <v>7523</v>
      </c>
      <c r="D1752" s="160"/>
      <c r="E1752" s="439">
        <v>38.094000000000001</v>
      </c>
      <c r="F1752" s="161">
        <v>290.03531831200002</v>
      </c>
      <c r="G1752" s="161">
        <v>-62.084000000000003</v>
      </c>
      <c r="H1752" s="654">
        <v>306.832583679999</v>
      </c>
      <c r="I1752" s="654">
        <v>8.4226836508441405</v>
      </c>
      <c r="J1752" s="191"/>
      <c r="K1752" s="191">
        <v>27895.875750188901</v>
      </c>
      <c r="L1752" s="191"/>
      <c r="M1752" s="191"/>
      <c r="N1752" s="191"/>
      <c r="O1752" s="191"/>
      <c r="P1752" s="191"/>
      <c r="Q1752" s="191"/>
      <c r="R1752" s="191"/>
      <c r="S1752" s="191"/>
      <c r="T1752" s="191"/>
      <c r="U1752" s="439"/>
      <c r="V1752" s="441"/>
      <c r="W1752" s="178"/>
      <c r="X1752" s="172"/>
      <c r="Y1752" s="172"/>
      <c r="Z1752" s="172"/>
      <c r="AA1752" s="195"/>
      <c r="AB1752" s="172"/>
    </row>
    <row r="1753" spans="1:28" ht="12.75" customHeight="1" x14ac:dyDescent="0.3">
      <c r="A1753" s="667"/>
      <c r="B1753" s="668" t="s">
        <v>7524</v>
      </c>
      <c r="C1753" s="160" t="s">
        <v>7525</v>
      </c>
      <c r="D1753" s="160"/>
      <c r="E1753" s="439">
        <v>11</v>
      </c>
      <c r="F1753" s="161">
        <v>357.07751747700001</v>
      </c>
      <c r="G1753" s="161">
        <v>-8.6760000000000002</v>
      </c>
      <c r="H1753" s="654">
        <v>0.88287961552000005</v>
      </c>
      <c r="I1753" s="654">
        <v>4.8613961539388599</v>
      </c>
      <c r="J1753" s="191"/>
      <c r="K1753" s="191">
        <v>5669.9600642825899</v>
      </c>
      <c r="L1753" s="191"/>
      <c r="M1753" s="191"/>
      <c r="N1753" s="191"/>
      <c r="O1753" s="191"/>
      <c r="P1753" s="191"/>
      <c r="Q1753" s="191"/>
      <c r="R1753" s="191"/>
      <c r="S1753" s="191"/>
      <c r="T1753" s="191"/>
      <c r="U1753" s="439"/>
      <c r="V1753" s="441"/>
      <c r="W1753" s="178"/>
      <c r="X1753" s="172"/>
      <c r="Y1753" s="172"/>
      <c r="Z1753" s="172"/>
      <c r="AA1753" s="195"/>
      <c r="AB1753" s="172"/>
    </row>
    <row r="1754" spans="1:28" ht="12.75" customHeight="1" x14ac:dyDescent="0.3">
      <c r="A1754" s="667"/>
      <c r="B1754" s="668" t="s">
        <v>7526</v>
      </c>
      <c r="C1754" s="160" t="s">
        <v>7527</v>
      </c>
      <c r="D1754" s="160"/>
      <c r="E1754" s="439"/>
      <c r="F1754" s="161">
        <v>767.96653000000003</v>
      </c>
      <c r="G1754" s="161"/>
      <c r="H1754" s="654"/>
      <c r="I1754" s="654"/>
      <c r="J1754" s="191"/>
      <c r="K1754" s="191">
        <v>3091291786.64569</v>
      </c>
      <c r="L1754" s="191"/>
      <c r="M1754" s="191"/>
      <c r="N1754" s="191"/>
      <c r="O1754" s="191"/>
      <c r="P1754" s="191"/>
      <c r="Q1754" s="191"/>
      <c r="R1754" s="191"/>
      <c r="S1754" s="191"/>
      <c r="T1754" s="191"/>
      <c r="U1754" s="439"/>
      <c r="V1754" s="441"/>
      <c r="W1754" s="178"/>
      <c r="X1754" s="172"/>
      <c r="Y1754" s="172"/>
      <c r="Z1754" s="172"/>
      <c r="AA1754" s="195"/>
      <c r="AB1754" s="172"/>
    </row>
    <row r="1755" spans="1:28" ht="12.75" customHeight="1" x14ac:dyDescent="0.3">
      <c r="A1755" s="667"/>
      <c r="B1755" s="668" t="s">
        <v>7528</v>
      </c>
      <c r="C1755" s="160" t="s">
        <v>7529</v>
      </c>
      <c r="D1755" s="160"/>
      <c r="E1755" s="439"/>
      <c r="F1755" s="161">
        <v>552.02738079300002</v>
      </c>
      <c r="G1755" s="161"/>
      <c r="H1755" s="654"/>
      <c r="I1755" s="654"/>
      <c r="J1755" s="191"/>
      <c r="K1755" s="191">
        <v>674978.59398652799</v>
      </c>
      <c r="L1755" s="191"/>
      <c r="M1755" s="191"/>
      <c r="N1755" s="191"/>
      <c r="O1755" s="191"/>
      <c r="P1755" s="191"/>
      <c r="Q1755" s="191"/>
      <c r="R1755" s="191"/>
      <c r="S1755" s="191"/>
      <c r="T1755" s="191"/>
      <c r="U1755" s="439"/>
      <c r="V1755" s="441"/>
      <c r="W1755" s="178"/>
      <c r="X1755" s="172"/>
      <c r="Y1755" s="172"/>
      <c r="Z1755" s="172"/>
      <c r="AA1755" s="195"/>
      <c r="AB1755" s="172"/>
    </row>
    <row r="1756" spans="1:28" ht="12.75" customHeight="1" x14ac:dyDescent="0.3">
      <c r="A1756" s="667"/>
      <c r="B1756" s="668" t="s">
        <v>7530</v>
      </c>
      <c r="C1756" s="160" t="s">
        <v>7531</v>
      </c>
      <c r="D1756" s="160"/>
      <c r="E1756" s="439"/>
      <c r="F1756" s="161">
        <v>268.03342660599998</v>
      </c>
      <c r="G1756" s="161"/>
      <c r="H1756" s="654"/>
      <c r="I1756" s="654"/>
      <c r="J1756" s="191"/>
      <c r="K1756" s="191">
        <v>276.15950780551901</v>
      </c>
      <c r="L1756" s="191"/>
      <c r="M1756" s="191"/>
      <c r="N1756" s="191"/>
      <c r="O1756" s="191"/>
      <c r="P1756" s="191"/>
      <c r="Q1756" s="191"/>
      <c r="R1756" s="191"/>
      <c r="S1756" s="191"/>
      <c r="T1756" s="191"/>
      <c r="U1756" s="439"/>
      <c r="V1756" s="441"/>
      <c r="W1756" s="178"/>
      <c r="X1756" s="172"/>
      <c r="Y1756" s="172"/>
      <c r="Z1756" s="172"/>
      <c r="AA1756" s="195"/>
      <c r="AB1756" s="172"/>
    </row>
    <row r="1757" spans="1:28" ht="12.75" customHeight="1" x14ac:dyDescent="0.3">
      <c r="A1757" s="667"/>
      <c r="B1757" s="668" t="s">
        <v>7532</v>
      </c>
      <c r="C1757" s="160" t="s">
        <v>7533</v>
      </c>
      <c r="D1757" s="160"/>
      <c r="E1757" s="439"/>
      <c r="F1757" s="161">
        <v>731.90851910000003</v>
      </c>
      <c r="G1757" s="161"/>
      <c r="H1757" s="654"/>
      <c r="I1757" s="654"/>
      <c r="J1757" s="191"/>
      <c r="K1757" s="191">
        <v>14886753594.923599</v>
      </c>
      <c r="L1757" s="191"/>
      <c r="M1757" s="191"/>
      <c r="N1757" s="191"/>
      <c r="O1757" s="191"/>
      <c r="P1757" s="191"/>
      <c r="Q1757" s="191"/>
      <c r="R1757" s="191"/>
      <c r="S1757" s="191"/>
      <c r="T1757" s="191"/>
      <c r="U1757" s="439"/>
      <c r="V1757" s="441"/>
      <c r="W1757" s="178"/>
      <c r="X1757" s="172"/>
      <c r="Y1757" s="172"/>
      <c r="Z1757" s="172"/>
      <c r="AA1757" s="195"/>
      <c r="AB1757" s="172"/>
    </row>
    <row r="1758" spans="1:28" ht="12.75" customHeight="1" x14ac:dyDescent="0.3">
      <c r="A1758" s="667"/>
      <c r="B1758" s="668" t="s">
        <v>7534</v>
      </c>
      <c r="C1758" s="160" t="s">
        <v>7535</v>
      </c>
      <c r="D1758" s="160"/>
      <c r="E1758" s="439"/>
      <c r="F1758" s="161">
        <v>663.98646380000002</v>
      </c>
      <c r="G1758" s="161"/>
      <c r="H1758" s="654"/>
      <c r="I1758" s="654"/>
      <c r="J1758" s="191"/>
      <c r="K1758" s="191">
        <v>3579810190.54317</v>
      </c>
      <c r="L1758" s="191"/>
      <c r="M1758" s="191"/>
      <c r="N1758" s="191"/>
      <c r="O1758" s="191"/>
      <c r="P1758" s="191"/>
      <c r="Q1758" s="191"/>
      <c r="R1758" s="191"/>
      <c r="S1758" s="191"/>
      <c r="T1758" s="191"/>
      <c r="U1758" s="439"/>
      <c r="V1758" s="441"/>
      <c r="W1758" s="178"/>
      <c r="X1758" s="172"/>
      <c r="Y1758" s="172"/>
      <c r="Z1758" s="172"/>
      <c r="AA1758" s="195"/>
      <c r="AB1758" s="172"/>
    </row>
    <row r="1759" spans="1:28" ht="12.75" customHeight="1" x14ac:dyDescent="0.3">
      <c r="A1759" s="667"/>
      <c r="B1759" s="668" t="s">
        <v>7536</v>
      </c>
      <c r="C1759" s="160" t="s">
        <v>7537</v>
      </c>
      <c r="D1759" s="160"/>
      <c r="E1759" s="439"/>
      <c r="F1759" s="161">
        <v>663.98646380000002</v>
      </c>
      <c r="G1759" s="161"/>
      <c r="H1759" s="654"/>
      <c r="I1759" s="654"/>
      <c r="J1759" s="191"/>
      <c r="K1759" s="191">
        <v>3653591599.0714598</v>
      </c>
      <c r="L1759" s="191"/>
      <c r="M1759" s="191"/>
      <c r="N1759" s="191"/>
      <c r="O1759" s="191"/>
      <c r="P1759" s="191"/>
      <c r="Q1759" s="191"/>
      <c r="R1759" s="191"/>
      <c r="S1759" s="191"/>
      <c r="T1759" s="191"/>
      <c r="U1759" s="439"/>
      <c r="V1759" s="441"/>
      <c r="W1759" s="178"/>
      <c r="X1759" s="172"/>
      <c r="Y1759" s="172"/>
      <c r="Z1759" s="172"/>
      <c r="AA1759" s="195"/>
      <c r="AB1759" s="172"/>
    </row>
    <row r="1760" spans="1:28" ht="12.75" customHeight="1" x14ac:dyDescent="0.3">
      <c r="A1760" s="667"/>
      <c r="B1760" s="668" t="s">
        <v>7538</v>
      </c>
      <c r="C1760" s="160" t="s">
        <v>7539</v>
      </c>
      <c r="D1760" s="160"/>
      <c r="E1760" s="439"/>
      <c r="F1760" s="161">
        <v>242.01777654200001</v>
      </c>
      <c r="G1760" s="161"/>
      <c r="H1760" s="654"/>
      <c r="I1760" s="654"/>
      <c r="J1760" s="191"/>
      <c r="K1760" s="191">
        <v>109.398155583831</v>
      </c>
      <c r="L1760" s="191"/>
      <c r="M1760" s="191"/>
      <c r="N1760" s="191"/>
      <c r="O1760" s="191"/>
      <c r="P1760" s="191"/>
      <c r="Q1760" s="191"/>
      <c r="R1760" s="191"/>
      <c r="S1760" s="191"/>
      <c r="T1760" s="191"/>
      <c r="U1760" s="439"/>
      <c r="V1760" s="441"/>
      <c r="W1760" s="178"/>
      <c r="X1760" s="172"/>
      <c r="Y1760" s="172"/>
      <c r="Z1760" s="172"/>
      <c r="AA1760" s="195"/>
      <c r="AB1760" s="172"/>
    </row>
    <row r="1761" spans="1:28" ht="12.75" customHeight="1" x14ac:dyDescent="0.3">
      <c r="A1761" s="667"/>
      <c r="B1761" s="668" t="s">
        <v>7540</v>
      </c>
      <c r="C1761" s="160" t="s">
        <v>7541</v>
      </c>
      <c r="D1761" s="160"/>
      <c r="E1761" s="439"/>
      <c r="F1761" s="161">
        <v>506.01745823599998</v>
      </c>
      <c r="G1761" s="161"/>
      <c r="H1761" s="654"/>
      <c r="I1761" s="654"/>
      <c r="J1761" s="191"/>
      <c r="K1761" s="191">
        <v>69058.954631130197</v>
      </c>
      <c r="L1761" s="191"/>
      <c r="M1761" s="191"/>
      <c r="N1761" s="191"/>
      <c r="O1761" s="191"/>
      <c r="P1761" s="191"/>
      <c r="Q1761" s="191"/>
      <c r="R1761" s="191"/>
      <c r="S1761" s="191"/>
      <c r="T1761" s="191"/>
      <c r="U1761" s="439"/>
      <c r="V1761" s="441"/>
      <c r="W1761" s="178"/>
      <c r="X1761" s="172"/>
      <c r="Y1761" s="172"/>
      <c r="Z1761" s="172"/>
      <c r="AA1761" s="195"/>
      <c r="AB1761" s="172"/>
    </row>
    <row r="1762" spans="1:28" ht="12.75" customHeight="1" x14ac:dyDescent="0.3">
      <c r="A1762" s="667"/>
      <c r="B1762" s="668" t="s">
        <v>7542</v>
      </c>
      <c r="C1762" s="160" t="s">
        <v>7543</v>
      </c>
      <c r="D1762" s="160"/>
      <c r="E1762" s="439"/>
      <c r="F1762" s="161">
        <v>406.02384558400001</v>
      </c>
      <c r="G1762" s="161"/>
      <c r="H1762" s="654"/>
      <c r="I1762" s="654"/>
      <c r="J1762" s="191"/>
      <c r="K1762" s="191">
        <v>18497.370691201701</v>
      </c>
      <c r="L1762" s="191"/>
      <c r="M1762" s="191"/>
      <c r="N1762" s="191"/>
      <c r="O1762" s="191"/>
      <c r="P1762" s="191"/>
      <c r="Q1762" s="191"/>
      <c r="R1762" s="191"/>
      <c r="S1762" s="191"/>
      <c r="T1762" s="191"/>
      <c r="U1762" s="439"/>
      <c r="V1762" s="441"/>
      <c r="W1762" s="178"/>
      <c r="X1762" s="172"/>
      <c r="Y1762" s="172"/>
      <c r="Z1762" s="172"/>
      <c r="AA1762" s="195"/>
      <c r="AB1762" s="172"/>
    </row>
    <row r="1763" spans="1:28" ht="12.75" customHeight="1" x14ac:dyDescent="0.3">
      <c r="A1763" s="667"/>
      <c r="B1763" s="668" t="s">
        <v>7544</v>
      </c>
      <c r="C1763" s="160" t="s">
        <v>7545</v>
      </c>
      <c r="D1763" s="160"/>
      <c r="E1763" s="439"/>
      <c r="F1763" s="161">
        <v>306.03023293199999</v>
      </c>
      <c r="G1763" s="161"/>
      <c r="H1763" s="654"/>
      <c r="I1763" s="654"/>
      <c r="J1763" s="191"/>
      <c r="K1763" s="191">
        <v>1250.14388240834</v>
      </c>
      <c r="L1763" s="191"/>
      <c r="M1763" s="191"/>
      <c r="N1763" s="191"/>
      <c r="O1763" s="191"/>
      <c r="P1763" s="191"/>
      <c r="Q1763" s="191"/>
      <c r="R1763" s="191"/>
      <c r="S1763" s="191"/>
      <c r="T1763" s="191"/>
      <c r="U1763" s="439"/>
      <c r="V1763" s="441"/>
      <c r="W1763" s="178"/>
      <c r="X1763" s="172"/>
      <c r="Y1763" s="172"/>
      <c r="Z1763" s="172"/>
      <c r="AA1763" s="195"/>
      <c r="AB1763" s="172"/>
    </row>
    <row r="1764" spans="1:28" ht="12.75" customHeight="1" x14ac:dyDescent="0.3">
      <c r="A1764" s="667"/>
      <c r="B1764" s="668" t="s">
        <v>7546</v>
      </c>
      <c r="C1764" s="160" t="s">
        <v>7547</v>
      </c>
      <c r="D1764" s="160"/>
      <c r="E1764" s="439"/>
      <c r="F1764" s="161">
        <v>256.03342660599998</v>
      </c>
      <c r="G1764" s="161"/>
      <c r="H1764" s="654"/>
      <c r="I1764" s="654"/>
      <c r="J1764" s="191"/>
      <c r="K1764" s="191">
        <v>155.89780482767199</v>
      </c>
      <c r="L1764" s="191"/>
      <c r="M1764" s="191"/>
      <c r="N1764" s="191"/>
      <c r="O1764" s="191"/>
      <c r="P1764" s="191"/>
      <c r="Q1764" s="191"/>
      <c r="R1764" s="191"/>
      <c r="S1764" s="191"/>
      <c r="T1764" s="191"/>
      <c r="U1764" s="439"/>
      <c r="V1764" s="441"/>
      <c r="W1764" s="178"/>
      <c r="X1764" s="172"/>
      <c r="Y1764" s="172"/>
      <c r="Z1764" s="172"/>
      <c r="AA1764" s="195"/>
      <c r="AB1764" s="172"/>
    </row>
    <row r="1765" spans="1:28" ht="12.75" customHeight="1" x14ac:dyDescent="0.3">
      <c r="A1765" s="667"/>
      <c r="B1765" s="668" t="s">
        <v>7548</v>
      </c>
      <c r="C1765" s="160" t="s">
        <v>7549</v>
      </c>
      <c r="D1765" s="160"/>
      <c r="E1765" s="439"/>
      <c r="F1765" s="161">
        <v>520.03310830099997</v>
      </c>
      <c r="G1765" s="161">
        <v>-72.629000000000005</v>
      </c>
      <c r="H1765" s="654">
        <v>14.753679163999999</v>
      </c>
      <c r="I1765" s="654">
        <v>7.5167665606259704E-2</v>
      </c>
      <c r="J1765" s="191"/>
      <c r="K1765" s="191">
        <v>101171.92187805699</v>
      </c>
      <c r="L1765" s="191"/>
      <c r="M1765" s="191"/>
      <c r="N1765" s="191"/>
      <c r="O1765" s="191"/>
      <c r="P1765" s="191"/>
      <c r="Q1765" s="191"/>
      <c r="R1765" s="191"/>
      <c r="S1765" s="191"/>
      <c r="T1765" s="191"/>
      <c r="U1765" s="439"/>
      <c r="V1765" s="441"/>
      <c r="W1765" s="178"/>
      <c r="X1765" s="172"/>
      <c r="Y1765" s="172"/>
      <c r="Z1765" s="172"/>
      <c r="AA1765" s="195"/>
      <c r="AB1765" s="172"/>
    </row>
    <row r="1766" spans="1:28" ht="12.75" customHeight="1" x14ac:dyDescent="0.3">
      <c r="A1766" s="667"/>
      <c r="B1766" s="668" t="s">
        <v>7550</v>
      </c>
      <c r="C1766" s="160" t="s">
        <v>7551</v>
      </c>
      <c r="D1766" s="160"/>
      <c r="E1766" s="439"/>
      <c r="F1766" s="161">
        <v>270.04907667100002</v>
      </c>
      <c r="G1766" s="161"/>
      <c r="H1766" s="654"/>
      <c r="I1766" s="654"/>
      <c r="J1766" s="191"/>
      <c r="K1766" s="191">
        <v>687.49572187852198</v>
      </c>
      <c r="L1766" s="191"/>
      <c r="M1766" s="191"/>
      <c r="N1766" s="191"/>
      <c r="O1766" s="191"/>
      <c r="P1766" s="191"/>
      <c r="Q1766" s="191"/>
      <c r="R1766" s="191"/>
      <c r="S1766" s="191"/>
      <c r="T1766" s="191"/>
      <c r="U1766" s="439"/>
      <c r="V1766" s="441"/>
      <c r="W1766" s="178"/>
      <c r="X1766" s="172"/>
      <c r="Y1766" s="172"/>
      <c r="Z1766" s="172"/>
      <c r="AA1766" s="195"/>
      <c r="AB1766" s="172"/>
    </row>
    <row r="1767" spans="1:28" ht="12.75" customHeight="1" x14ac:dyDescent="0.3">
      <c r="A1767" s="667"/>
      <c r="B1767" s="668" t="s">
        <v>7552</v>
      </c>
      <c r="C1767" s="160" t="s">
        <v>7553</v>
      </c>
      <c r="D1767" s="160"/>
      <c r="E1767" s="439"/>
      <c r="F1767" s="161">
        <v>272.01058316000001</v>
      </c>
      <c r="G1767" s="161"/>
      <c r="H1767" s="654"/>
      <c r="I1767" s="654"/>
      <c r="J1767" s="191"/>
      <c r="K1767" s="191">
        <v>32356.3854224889</v>
      </c>
      <c r="L1767" s="191"/>
      <c r="M1767" s="191"/>
      <c r="N1767" s="191"/>
      <c r="O1767" s="191"/>
      <c r="P1767" s="191"/>
      <c r="Q1767" s="191"/>
      <c r="R1767" s="191"/>
      <c r="S1767" s="191"/>
      <c r="T1767" s="191"/>
      <c r="U1767" s="439"/>
      <c r="V1767" s="441"/>
      <c r="W1767" s="178"/>
      <c r="X1767" s="172"/>
      <c r="Y1767" s="172"/>
      <c r="Z1767" s="172"/>
      <c r="AA1767" s="195"/>
      <c r="AB1767" s="172"/>
    </row>
    <row r="1768" spans="1:28" ht="12.75" customHeight="1" x14ac:dyDescent="0.3">
      <c r="A1768" s="667"/>
      <c r="B1768" s="668" t="s">
        <v>7554</v>
      </c>
      <c r="C1768" s="160" t="s">
        <v>7555</v>
      </c>
      <c r="D1768" s="160"/>
      <c r="E1768" s="439"/>
      <c r="F1768" s="161">
        <v>521.99461479000001</v>
      </c>
      <c r="G1768" s="161"/>
      <c r="H1768" s="654"/>
      <c r="I1768" s="654"/>
      <c r="J1768" s="191"/>
      <c r="K1768" s="191">
        <v>482258621.04002601</v>
      </c>
      <c r="L1768" s="191"/>
      <c r="M1768" s="191"/>
      <c r="N1768" s="191"/>
      <c r="O1768" s="191"/>
      <c r="P1768" s="191"/>
      <c r="Q1768" s="191"/>
      <c r="R1768" s="191"/>
      <c r="S1768" s="191"/>
      <c r="T1768" s="191"/>
      <c r="U1768" s="439"/>
      <c r="V1768" s="441"/>
      <c r="W1768" s="178"/>
      <c r="X1768" s="172"/>
      <c r="Y1768" s="172"/>
      <c r="Z1768" s="172"/>
      <c r="AA1768" s="195"/>
      <c r="AB1768" s="172"/>
    </row>
    <row r="1769" spans="1:28" ht="12.75" customHeight="1" x14ac:dyDescent="0.3">
      <c r="A1769" s="667"/>
      <c r="B1769" s="668" t="s">
        <v>7556</v>
      </c>
      <c r="C1769" s="160" t="s">
        <v>7557</v>
      </c>
      <c r="D1769" s="160"/>
      <c r="E1769" s="439"/>
      <c r="F1769" s="161">
        <v>422.00100213799999</v>
      </c>
      <c r="G1769" s="161"/>
      <c r="H1769" s="654"/>
      <c r="I1769" s="654"/>
      <c r="J1769" s="191"/>
      <c r="K1769" s="191">
        <v>3211367.4418219398</v>
      </c>
      <c r="L1769" s="191"/>
      <c r="M1769" s="191"/>
      <c r="N1769" s="191"/>
      <c r="O1769" s="191"/>
      <c r="P1769" s="191"/>
      <c r="Q1769" s="191"/>
      <c r="R1769" s="191"/>
      <c r="S1769" s="191"/>
      <c r="T1769" s="191"/>
      <c r="U1769" s="439"/>
      <c r="V1769" s="441"/>
      <c r="W1769" s="178"/>
      <c r="X1769" s="172"/>
      <c r="Y1769" s="172"/>
      <c r="Z1769" s="172"/>
      <c r="AA1769" s="195"/>
      <c r="AB1769" s="172"/>
    </row>
    <row r="1770" spans="1:28" ht="12.75" customHeight="1" x14ac:dyDescent="0.3">
      <c r="A1770" s="667"/>
      <c r="B1770" s="668" t="s">
        <v>7558</v>
      </c>
      <c r="C1770" s="160" t="s">
        <v>7559</v>
      </c>
      <c r="D1770" s="160"/>
      <c r="E1770" s="439"/>
      <c r="F1770" s="161">
        <v>397.87518799999998</v>
      </c>
      <c r="G1770" s="161">
        <v>0.36699999999999999</v>
      </c>
      <c r="H1770" s="654">
        <v>86.477182147999997</v>
      </c>
      <c r="I1770" s="654">
        <v>11.4748397844764</v>
      </c>
      <c r="J1770" s="191"/>
      <c r="K1770" s="191">
        <v>5698.7551803799497</v>
      </c>
      <c r="L1770" s="191"/>
      <c r="M1770" s="191"/>
      <c r="N1770" s="191"/>
      <c r="O1770" s="191"/>
      <c r="P1770" s="191"/>
      <c r="Q1770" s="191"/>
      <c r="R1770" s="191"/>
      <c r="S1770" s="191"/>
      <c r="T1770" s="191"/>
      <c r="U1770" s="439"/>
      <c r="V1770" s="441"/>
      <c r="W1770" s="178"/>
      <c r="X1770" s="172"/>
      <c r="Y1770" s="172"/>
      <c r="Z1770" s="172"/>
      <c r="AA1770" s="195"/>
      <c r="AB1770" s="172"/>
    </row>
    <row r="1771" spans="1:28" ht="12.75" customHeight="1" x14ac:dyDescent="0.3">
      <c r="A1771" s="667"/>
      <c r="B1771" s="668" t="s">
        <v>7560</v>
      </c>
      <c r="C1771" s="160" t="s">
        <v>7561</v>
      </c>
      <c r="D1771" s="160"/>
      <c r="E1771" s="439">
        <v>3.09</v>
      </c>
      <c r="F1771" s="161">
        <v>492.00180817199998</v>
      </c>
      <c r="G1771" s="161"/>
      <c r="H1771" s="654"/>
      <c r="I1771" s="654"/>
      <c r="J1771" s="191"/>
      <c r="K1771" s="191">
        <v>74827.287108791104</v>
      </c>
      <c r="L1771" s="191"/>
      <c r="M1771" s="191"/>
      <c r="N1771" s="191"/>
      <c r="O1771" s="191"/>
      <c r="P1771" s="191"/>
      <c r="Q1771" s="191"/>
      <c r="R1771" s="191"/>
      <c r="S1771" s="191"/>
      <c r="T1771" s="191"/>
      <c r="U1771" s="439"/>
      <c r="V1771" s="441"/>
      <c r="W1771" s="178"/>
      <c r="X1771" s="172"/>
      <c r="Y1771" s="172"/>
      <c r="Z1771" s="172"/>
      <c r="AA1771" s="195"/>
      <c r="AB1771" s="172"/>
    </row>
    <row r="1772" spans="1:28" ht="12.75" customHeight="1" x14ac:dyDescent="0.3">
      <c r="A1772" s="667"/>
      <c r="B1772" s="668" t="s">
        <v>7562</v>
      </c>
      <c r="C1772" s="160" t="s">
        <v>7563</v>
      </c>
      <c r="D1772" s="160"/>
      <c r="E1772" s="439"/>
      <c r="F1772" s="161">
        <v>407.01909455600003</v>
      </c>
      <c r="G1772" s="161"/>
      <c r="H1772" s="654"/>
      <c r="I1772" s="654"/>
      <c r="J1772" s="191"/>
      <c r="K1772" s="191">
        <v>16193.1000798366</v>
      </c>
      <c r="L1772" s="191"/>
      <c r="M1772" s="191"/>
      <c r="N1772" s="191"/>
      <c r="O1772" s="191"/>
      <c r="P1772" s="191"/>
      <c r="Q1772" s="191"/>
      <c r="R1772" s="191"/>
      <c r="S1772" s="191"/>
      <c r="T1772" s="191"/>
      <c r="U1772" s="439"/>
      <c r="V1772" s="441"/>
      <c r="W1772" s="178"/>
      <c r="X1772" s="172"/>
      <c r="Y1772" s="172"/>
      <c r="Z1772" s="172"/>
      <c r="AA1772" s="195"/>
      <c r="AB1772" s="172"/>
    </row>
    <row r="1773" spans="1:28" ht="12.75" customHeight="1" x14ac:dyDescent="0.3">
      <c r="A1773" s="667"/>
      <c r="B1773" s="668" t="s">
        <v>7564</v>
      </c>
      <c r="C1773" s="160" t="s">
        <v>7565</v>
      </c>
      <c r="D1773" s="160"/>
      <c r="E1773" s="439">
        <v>22</v>
      </c>
      <c r="F1773" s="161">
        <v>727.21826327700001</v>
      </c>
      <c r="G1773" s="161"/>
      <c r="H1773" s="654"/>
      <c r="I1773" s="654"/>
      <c r="J1773" s="191"/>
      <c r="K1773" s="191">
        <v>572084261.31806397</v>
      </c>
      <c r="L1773" s="191"/>
      <c r="M1773" s="191"/>
      <c r="N1773" s="191"/>
      <c r="O1773" s="191"/>
      <c r="P1773" s="191"/>
      <c r="Q1773" s="191"/>
      <c r="R1773" s="191"/>
      <c r="S1773" s="191"/>
      <c r="T1773" s="191"/>
      <c r="U1773" s="439"/>
      <c r="V1773" s="441"/>
      <c r="W1773" s="178"/>
      <c r="X1773" s="172"/>
      <c r="Y1773" s="172"/>
      <c r="Z1773" s="172"/>
      <c r="AA1773" s="195"/>
      <c r="AB1773" s="172"/>
    </row>
    <row r="1774" spans="1:28" ht="12.75" customHeight="1" x14ac:dyDescent="0.3">
      <c r="A1774" s="667"/>
      <c r="B1774" s="668" t="s">
        <v>7566</v>
      </c>
      <c r="C1774" s="160" t="s">
        <v>7567</v>
      </c>
      <c r="D1774" s="160"/>
      <c r="E1774" s="439"/>
      <c r="F1774" s="161">
        <v>330.066618441</v>
      </c>
      <c r="G1774" s="161"/>
      <c r="H1774" s="654"/>
      <c r="I1774" s="654"/>
      <c r="J1774" s="191"/>
      <c r="K1774" s="191"/>
      <c r="L1774" s="191"/>
      <c r="M1774" s="191"/>
      <c r="N1774" s="191"/>
      <c r="O1774" s="191"/>
      <c r="P1774" s="191"/>
      <c r="Q1774" s="191"/>
      <c r="R1774" s="191"/>
      <c r="S1774" s="191"/>
      <c r="T1774" s="191"/>
      <c r="U1774" s="439"/>
      <c r="V1774" s="441"/>
      <c r="W1774" s="178"/>
      <c r="X1774" s="172"/>
      <c r="Y1774" s="172"/>
      <c r="Z1774" s="172"/>
      <c r="AA1774" s="195"/>
      <c r="AB1774" s="172"/>
    </row>
    <row r="1775" spans="1:28" ht="12.75" customHeight="1" x14ac:dyDescent="0.3">
      <c r="A1775" s="667"/>
      <c r="B1775" s="668" t="s">
        <v>7568</v>
      </c>
      <c r="C1775" s="160" t="s">
        <v>7569</v>
      </c>
      <c r="D1775" s="160"/>
      <c r="E1775" s="439"/>
      <c r="F1775" s="161">
        <v>429.98399999999998</v>
      </c>
      <c r="G1775" s="161"/>
      <c r="H1775" s="654"/>
      <c r="I1775" s="654"/>
      <c r="J1775" s="191"/>
      <c r="K1775" s="191">
        <v>1697227.26559854</v>
      </c>
      <c r="L1775" s="191"/>
      <c r="M1775" s="191"/>
      <c r="N1775" s="191"/>
      <c r="O1775" s="191"/>
      <c r="P1775" s="191"/>
      <c r="Q1775" s="191"/>
      <c r="R1775" s="191"/>
      <c r="S1775" s="191"/>
      <c r="T1775" s="191"/>
      <c r="U1775" s="439"/>
      <c r="V1775" s="441"/>
      <c r="W1775" s="178"/>
      <c r="X1775" s="172"/>
      <c r="Y1775" s="172"/>
      <c r="Z1775" s="172"/>
      <c r="AA1775" s="195"/>
      <c r="AB1775" s="172"/>
    </row>
    <row r="1776" spans="1:28" ht="12.75" customHeight="1" x14ac:dyDescent="0.3">
      <c r="A1776" s="667"/>
      <c r="B1776" s="668" t="s">
        <v>7570</v>
      </c>
      <c r="C1776" s="160" t="s">
        <v>7571</v>
      </c>
      <c r="D1776" s="160"/>
      <c r="E1776" s="439"/>
      <c r="F1776" s="161">
        <v>296.06472673500002</v>
      </c>
      <c r="G1776" s="161"/>
      <c r="H1776" s="654"/>
      <c r="I1776" s="654"/>
      <c r="J1776" s="191"/>
      <c r="K1776" s="191"/>
      <c r="L1776" s="191"/>
      <c r="M1776" s="191"/>
      <c r="N1776" s="191"/>
      <c r="O1776" s="191"/>
      <c r="P1776" s="191"/>
      <c r="Q1776" s="191"/>
      <c r="R1776" s="191"/>
      <c r="S1776" s="191"/>
      <c r="T1776" s="191"/>
      <c r="U1776" s="439"/>
      <c r="V1776" s="441"/>
      <c r="W1776" s="178"/>
      <c r="X1776" s="172"/>
      <c r="Y1776" s="172"/>
      <c r="Z1776" s="172"/>
      <c r="AA1776" s="195"/>
      <c r="AB1776" s="172"/>
    </row>
    <row r="1777" spans="1:28" ht="12.75" customHeight="1" x14ac:dyDescent="0.3">
      <c r="A1777" s="667"/>
      <c r="B1777" s="668" t="s">
        <v>7572</v>
      </c>
      <c r="C1777" s="160" t="s">
        <v>7573</v>
      </c>
      <c r="D1777" s="160"/>
      <c r="E1777" s="439">
        <v>5.5</v>
      </c>
      <c r="F1777" s="161">
        <v>426.11782493599998</v>
      </c>
      <c r="G1777" s="161"/>
      <c r="H1777" s="654"/>
      <c r="I1777" s="654"/>
      <c r="J1777" s="191"/>
      <c r="K1777" s="191">
        <v>16402.498246449799</v>
      </c>
      <c r="L1777" s="191"/>
      <c r="M1777" s="191"/>
      <c r="N1777" s="191"/>
      <c r="O1777" s="191"/>
      <c r="P1777" s="191"/>
      <c r="Q1777" s="191"/>
      <c r="R1777" s="191"/>
      <c r="S1777" s="191"/>
      <c r="T1777" s="191"/>
      <c r="U1777" s="439"/>
      <c r="V1777" s="441"/>
      <c r="W1777" s="178"/>
      <c r="X1777" s="172"/>
      <c r="Y1777" s="172"/>
      <c r="Z1777" s="172"/>
      <c r="AA1777" s="195"/>
      <c r="AB1777" s="172"/>
    </row>
    <row r="1778" spans="1:28" ht="12.75" customHeight="1" x14ac:dyDescent="0.3">
      <c r="A1778" s="667"/>
      <c r="B1778" s="668" t="s">
        <v>7574</v>
      </c>
      <c r="C1778" s="160" t="s">
        <v>7575</v>
      </c>
      <c r="D1778" s="160"/>
      <c r="E1778" s="439"/>
      <c r="F1778" s="161">
        <v>284.08112569000002</v>
      </c>
      <c r="G1778" s="161"/>
      <c r="H1778" s="654"/>
      <c r="I1778" s="654"/>
      <c r="J1778" s="191"/>
      <c r="K1778" s="191"/>
      <c r="L1778" s="191"/>
      <c r="M1778" s="191"/>
      <c r="N1778" s="191"/>
      <c r="O1778" s="191"/>
      <c r="P1778" s="191"/>
      <c r="Q1778" s="191"/>
      <c r="R1778" s="191"/>
      <c r="S1778" s="191"/>
      <c r="T1778" s="191"/>
      <c r="U1778" s="439"/>
      <c r="V1778" s="441"/>
      <c r="W1778" s="178"/>
      <c r="X1778" s="172"/>
      <c r="Y1778" s="172"/>
      <c r="Z1778" s="172"/>
      <c r="AA1778" s="195"/>
      <c r="AB1778" s="172"/>
    </row>
    <row r="1779" spans="1:28" ht="12.6" customHeight="1" x14ac:dyDescent="0.3">
      <c r="A1779" s="667"/>
      <c r="B1779" s="668" t="s">
        <v>7576</v>
      </c>
      <c r="C1779" s="160" t="s">
        <v>7577</v>
      </c>
      <c r="D1779" s="160"/>
      <c r="E1779" s="439">
        <v>9.5500000000000007</v>
      </c>
      <c r="F1779" s="161">
        <v>503.00038000000001</v>
      </c>
      <c r="G1779" s="161"/>
      <c r="H1779" s="654"/>
      <c r="I1779" s="654"/>
      <c r="J1779" s="191"/>
      <c r="K1779" s="191">
        <v>49136.022729909098</v>
      </c>
      <c r="L1779" s="191"/>
      <c r="M1779" s="191"/>
      <c r="N1779" s="191"/>
      <c r="O1779" s="191"/>
      <c r="P1779" s="191"/>
      <c r="Q1779" s="191"/>
      <c r="R1779" s="191"/>
      <c r="S1779" s="191"/>
      <c r="T1779" s="191"/>
      <c r="U1779" s="439"/>
      <c r="V1779" s="441"/>
      <c r="W1779" s="178"/>
      <c r="X1779" s="172"/>
      <c r="Y1779" s="172"/>
      <c r="Z1779" s="172"/>
      <c r="AA1779" s="195"/>
      <c r="AB1779" s="172"/>
    </row>
    <row r="1780" spans="1:28" ht="12.6" customHeight="1" x14ac:dyDescent="0.3">
      <c r="A1780" s="667"/>
      <c r="B1780" s="668" t="s">
        <v>7578</v>
      </c>
      <c r="C1780" s="160" t="s">
        <v>7579</v>
      </c>
      <c r="D1780" s="160"/>
      <c r="E1780" s="439"/>
      <c r="F1780" s="161">
        <v>315.05055383799998</v>
      </c>
      <c r="G1780" s="161"/>
      <c r="H1780" s="654"/>
      <c r="I1780" s="654"/>
      <c r="J1780" s="191"/>
      <c r="K1780" s="191"/>
      <c r="L1780" s="191"/>
      <c r="M1780" s="191"/>
      <c r="N1780" s="191"/>
      <c r="O1780" s="191"/>
      <c r="P1780" s="191"/>
      <c r="Q1780" s="191"/>
      <c r="R1780" s="191"/>
      <c r="S1780" s="191"/>
      <c r="T1780" s="191"/>
      <c r="U1780" s="439"/>
      <c r="V1780" s="441"/>
      <c r="W1780" s="178"/>
      <c r="X1780" s="172"/>
      <c r="Y1780" s="172"/>
      <c r="Z1780" s="172"/>
      <c r="AA1780" s="195"/>
      <c r="AB1780" s="172"/>
    </row>
    <row r="1781" spans="1:28" ht="12.6" customHeight="1" x14ac:dyDescent="0.3">
      <c r="A1781" s="667"/>
      <c r="B1781" s="668" t="s">
        <v>7580</v>
      </c>
      <c r="C1781" s="160" t="s">
        <v>7581</v>
      </c>
      <c r="D1781" s="160"/>
      <c r="E1781" s="439">
        <v>9.58</v>
      </c>
      <c r="F1781" s="161">
        <v>678.08112112200001</v>
      </c>
      <c r="G1781" s="161">
        <v>29.957000000000001</v>
      </c>
      <c r="H1781" s="654">
        <v>4.7742074911999999E-3</v>
      </c>
      <c r="I1781" s="654"/>
      <c r="J1781" s="191"/>
      <c r="K1781" s="191">
        <v>3117525395.8798599</v>
      </c>
      <c r="L1781" s="191"/>
      <c r="M1781" s="191"/>
      <c r="N1781" s="191"/>
      <c r="O1781" s="191"/>
      <c r="P1781" s="191"/>
      <c r="Q1781" s="191"/>
      <c r="R1781" s="191"/>
      <c r="S1781" s="191"/>
      <c r="T1781" s="191"/>
      <c r="U1781" s="439"/>
      <c r="V1781" s="441"/>
      <c r="W1781" s="178"/>
      <c r="X1781" s="172"/>
      <c r="Y1781" s="172"/>
      <c r="Z1781" s="172"/>
      <c r="AA1781" s="195"/>
      <c r="AB1781" s="172"/>
    </row>
    <row r="1782" spans="1:28" ht="12.6" customHeight="1" x14ac:dyDescent="0.3">
      <c r="A1782" s="667"/>
      <c r="B1782" s="668" t="s">
        <v>7582</v>
      </c>
      <c r="C1782" s="160" t="s">
        <v>7583</v>
      </c>
      <c r="D1782" s="160"/>
      <c r="E1782" s="439">
        <v>8.98</v>
      </c>
      <c r="F1782" s="161">
        <v>428.02573729</v>
      </c>
      <c r="G1782" s="161">
        <v>-6.2350000000000003</v>
      </c>
      <c r="H1782" s="654">
        <v>132.404211352</v>
      </c>
      <c r="I1782" s="654">
        <v>0.976044209771878</v>
      </c>
      <c r="J1782" s="191"/>
      <c r="K1782" s="191">
        <v>27273.445088285502</v>
      </c>
      <c r="L1782" s="191"/>
      <c r="M1782" s="191"/>
      <c r="N1782" s="191"/>
      <c r="O1782" s="191"/>
      <c r="P1782" s="191"/>
      <c r="Q1782" s="191"/>
      <c r="R1782" s="191"/>
      <c r="S1782" s="191"/>
      <c r="T1782" s="191"/>
      <c r="U1782" s="439"/>
      <c r="V1782" s="441"/>
      <c r="W1782" s="178"/>
      <c r="X1782" s="172"/>
      <c r="Y1782" s="172"/>
      <c r="Z1782" s="172"/>
      <c r="AA1782" s="195"/>
      <c r="AB1782" s="172"/>
    </row>
    <row r="1783" spans="1:28" ht="12.6" customHeight="1" x14ac:dyDescent="0.3">
      <c r="A1783" s="667"/>
      <c r="B1783" s="668" t="s">
        <v>7584</v>
      </c>
      <c r="C1783" s="160" t="s">
        <v>7585</v>
      </c>
      <c r="D1783" s="160"/>
      <c r="E1783" s="439">
        <v>8.98</v>
      </c>
      <c r="F1783" s="161">
        <v>228.038511986</v>
      </c>
      <c r="G1783" s="161">
        <v>-39.338000000000001</v>
      </c>
      <c r="H1783" s="654">
        <v>6980.73992</v>
      </c>
      <c r="I1783" s="654">
        <v>76.033968897443998</v>
      </c>
      <c r="J1783" s="191"/>
      <c r="K1783" s="191">
        <v>1265.17324737578</v>
      </c>
      <c r="L1783" s="191"/>
      <c r="M1783" s="191"/>
      <c r="N1783" s="191"/>
      <c r="O1783" s="191"/>
      <c r="P1783" s="191"/>
      <c r="Q1783" s="191"/>
      <c r="R1783" s="191"/>
      <c r="S1783" s="191"/>
      <c r="T1783" s="191"/>
      <c r="U1783" s="439"/>
      <c r="V1783" s="441"/>
      <c r="W1783" s="178"/>
      <c r="X1783" s="172"/>
      <c r="Y1783" s="172"/>
      <c r="Z1783" s="172"/>
      <c r="AA1783" s="195"/>
      <c r="AB1783" s="172"/>
    </row>
    <row r="1784" spans="1:28" ht="12.6" customHeight="1" x14ac:dyDescent="0.3">
      <c r="A1784" s="667"/>
      <c r="B1784" s="668" t="s">
        <v>7586</v>
      </c>
      <c r="C1784" s="160" t="s">
        <v>7587</v>
      </c>
      <c r="D1784" s="160"/>
      <c r="E1784" s="439">
        <v>6.67</v>
      </c>
      <c r="F1784" s="161">
        <v>302.03531831200002</v>
      </c>
      <c r="G1784" s="161">
        <v>-45.045999999999999</v>
      </c>
      <c r="H1784" s="654">
        <v>56.741576555999998</v>
      </c>
      <c r="I1784" s="654">
        <v>6.3688073325223202</v>
      </c>
      <c r="J1784" s="191"/>
      <c r="K1784" s="191">
        <v>2790.6154863980701</v>
      </c>
      <c r="L1784" s="191"/>
      <c r="M1784" s="191"/>
      <c r="N1784" s="191"/>
      <c r="O1784" s="191"/>
      <c r="P1784" s="191"/>
      <c r="Q1784" s="191"/>
      <c r="R1784" s="191"/>
      <c r="S1784" s="191"/>
      <c r="T1784" s="191"/>
      <c r="U1784" s="439"/>
      <c r="V1784" s="441"/>
      <c r="W1784" s="178"/>
      <c r="X1784" s="172"/>
      <c r="Y1784" s="172"/>
      <c r="Z1784" s="172"/>
      <c r="AA1784" s="195"/>
      <c r="AB1784" s="172"/>
    </row>
    <row r="1785" spans="1:28" ht="12.6" customHeight="1" x14ac:dyDescent="0.3">
      <c r="A1785" s="667"/>
      <c r="B1785" s="668" t="s">
        <v>7588</v>
      </c>
      <c r="C1785" s="160" t="s">
        <v>7589</v>
      </c>
      <c r="D1785" s="160"/>
      <c r="E1785" s="439">
        <v>10.58</v>
      </c>
      <c r="F1785" s="161">
        <v>506.05384374499999</v>
      </c>
      <c r="G1785" s="161">
        <v>-16.763000000000002</v>
      </c>
      <c r="H1785" s="654">
        <v>14.089735603999999</v>
      </c>
      <c r="I1785" s="654">
        <v>8.1133082498417095E-2</v>
      </c>
      <c r="J1785" s="191"/>
      <c r="K1785" s="191">
        <v>167455.72505751101</v>
      </c>
      <c r="L1785" s="191"/>
      <c r="M1785" s="191"/>
      <c r="N1785" s="191"/>
      <c r="O1785" s="191"/>
      <c r="P1785" s="191"/>
      <c r="Q1785" s="191"/>
      <c r="R1785" s="191"/>
      <c r="S1785" s="191"/>
      <c r="T1785" s="191"/>
      <c r="U1785" s="439"/>
      <c r="V1785" s="441"/>
      <c r="W1785" s="178"/>
      <c r="X1785" s="172"/>
      <c r="Y1785" s="172"/>
      <c r="Z1785" s="172"/>
      <c r="AA1785" s="195"/>
      <c r="AB1785" s="172"/>
    </row>
    <row r="1786" spans="1:28" ht="12.6" customHeight="1" x14ac:dyDescent="0.3">
      <c r="A1786" s="667"/>
      <c r="B1786" s="668" t="s">
        <v>7590</v>
      </c>
      <c r="C1786" s="160" t="s">
        <v>7591</v>
      </c>
      <c r="D1786" s="160"/>
      <c r="E1786" s="439">
        <v>10.43</v>
      </c>
      <c r="F1786" s="161">
        <v>406.06023109300003</v>
      </c>
      <c r="G1786" s="161"/>
      <c r="H1786" s="654"/>
      <c r="I1786" s="654"/>
      <c r="J1786" s="191"/>
      <c r="K1786" s="191">
        <v>81528.602866247398</v>
      </c>
      <c r="L1786" s="191"/>
      <c r="M1786" s="191"/>
      <c r="N1786" s="191"/>
      <c r="O1786" s="191"/>
      <c r="P1786" s="191"/>
      <c r="Q1786" s="191"/>
      <c r="R1786" s="191"/>
      <c r="S1786" s="191"/>
      <c r="T1786" s="191"/>
      <c r="U1786" s="439"/>
      <c r="V1786" s="441"/>
      <c r="W1786" s="178"/>
      <c r="X1786" s="172"/>
      <c r="Y1786" s="172"/>
      <c r="Z1786" s="172"/>
      <c r="AA1786" s="195"/>
      <c r="AB1786" s="172"/>
    </row>
    <row r="1787" spans="1:28" ht="12.6" customHeight="1" x14ac:dyDescent="0.3">
      <c r="A1787" s="667"/>
      <c r="B1787" s="668" t="s">
        <v>7592</v>
      </c>
      <c r="C1787" s="160" t="s">
        <v>7593</v>
      </c>
      <c r="D1787" s="160"/>
      <c r="E1787" s="439">
        <v>10.75</v>
      </c>
      <c r="F1787" s="161">
        <v>306.066618441</v>
      </c>
      <c r="G1787" s="161"/>
      <c r="H1787" s="654"/>
      <c r="I1787" s="654"/>
      <c r="J1787" s="191"/>
      <c r="K1787" s="191">
        <v>71792.652604505405</v>
      </c>
      <c r="L1787" s="191"/>
      <c r="M1787" s="191"/>
      <c r="N1787" s="191"/>
      <c r="O1787" s="191"/>
      <c r="P1787" s="191"/>
      <c r="Q1787" s="191"/>
      <c r="R1787" s="191"/>
      <c r="S1787" s="191"/>
      <c r="T1787" s="191"/>
      <c r="U1787" s="439"/>
      <c r="V1787" s="441"/>
      <c r="W1787" s="178"/>
      <c r="X1787" s="172"/>
      <c r="Y1787" s="172"/>
      <c r="Z1787" s="172"/>
      <c r="AA1787" s="195"/>
      <c r="AB1787" s="172"/>
    </row>
    <row r="1788" spans="1:28" ht="12.6" customHeight="1" x14ac:dyDescent="0.3">
      <c r="A1788" s="667"/>
      <c r="B1788" s="668" t="s">
        <v>7594</v>
      </c>
      <c r="C1788" s="160" t="s">
        <v>7595</v>
      </c>
      <c r="D1788" s="160"/>
      <c r="E1788" s="439">
        <v>8.08</v>
      </c>
      <c r="F1788" s="161">
        <v>475.081694814</v>
      </c>
      <c r="G1788" s="161"/>
      <c r="H1788" s="654"/>
      <c r="I1788" s="654"/>
      <c r="J1788" s="191"/>
      <c r="K1788" s="191">
        <v>50650.064179724199</v>
      </c>
      <c r="L1788" s="191"/>
      <c r="M1788" s="191"/>
      <c r="N1788" s="191"/>
      <c r="O1788" s="191"/>
      <c r="P1788" s="191"/>
      <c r="Q1788" s="191"/>
      <c r="R1788" s="191"/>
      <c r="S1788" s="191"/>
      <c r="T1788" s="191"/>
      <c r="U1788" s="439"/>
      <c r="V1788" s="441"/>
      <c r="W1788" s="178"/>
      <c r="X1788" s="172"/>
      <c r="Y1788" s="172"/>
      <c r="Z1788" s="172"/>
      <c r="AA1788" s="195"/>
      <c r="AB1788" s="172"/>
    </row>
    <row r="1789" spans="1:28" ht="12.6" customHeight="1" x14ac:dyDescent="0.3">
      <c r="A1789" s="667"/>
      <c r="B1789" s="668" t="s">
        <v>7596</v>
      </c>
      <c r="C1789" s="160" t="s">
        <v>7597</v>
      </c>
      <c r="D1789" s="160"/>
      <c r="E1789" s="439"/>
      <c r="F1789" s="161">
        <v>662.09206857000004</v>
      </c>
      <c r="G1789" s="161"/>
      <c r="H1789" s="654"/>
      <c r="I1789" s="654"/>
      <c r="J1789" s="191"/>
      <c r="K1789" s="191">
        <v>117584479.213828</v>
      </c>
      <c r="L1789" s="191"/>
      <c r="M1789" s="191"/>
      <c r="N1789" s="191"/>
      <c r="O1789" s="191"/>
      <c r="P1789" s="191"/>
      <c r="Q1789" s="191"/>
      <c r="R1789" s="191"/>
      <c r="S1789" s="191"/>
      <c r="T1789" s="191"/>
      <c r="U1789" s="439"/>
      <c r="V1789" s="441"/>
      <c r="W1789" s="178"/>
      <c r="X1789" s="172"/>
      <c r="Y1789" s="172"/>
      <c r="Z1789" s="172"/>
      <c r="AA1789" s="195"/>
      <c r="AB1789" s="172"/>
    </row>
    <row r="1790" spans="1:28" ht="12.6" customHeight="1" x14ac:dyDescent="0.3">
      <c r="A1790" s="667"/>
      <c r="B1790" s="668" t="s">
        <v>7598</v>
      </c>
      <c r="C1790" s="160" t="s">
        <v>7599</v>
      </c>
      <c r="D1790" s="160"/>
      <c r="E1790" s="439">
        <v>49.866999999999997</v>
      </c>
      <c r="F1790" s="161">
        <v>562.09845591800001</v>
      </c>
      <c r="G1790" s="161">
        <v>-60.158000000000001</v>
      </c>
      <c r="H1790" s="654">
        <v>52.832575515999999</v>
      </c>
      <c r="I1790" s="654"/>
      <c r="J1790" s="191"/>
      <c r="K1790" s="191">
        <v>617262651.42256105</v>
      </c>
      <c r="L1790" s="191"/>
      <c r="M1790" s="191"/>
      <c r="N1790" s="191"/>
      <c r="O1790" s="191"/>
      <c r="P1790" s="191"/>
      <c r="Q1790" s="191"/>
      <c r="R1790" s="191"/>
      <c r="S1790" s="191"/>
      <c r="T1790" s="191"/>
      <c r="U1790" s="439"/>
      <c r="V1790" s="441"/>
      <c r="W1790" s="178"/>
      <c r="X1790" s="172"/>
      <c r="Y1790" s="172"/>
      <c r="Z1790" s="172"/>
      <c r="AA1790" s="195"/>
      <c r="AB1790" s="172"/>
    </row>
    <row r="1791" spans="1:28" ht="12.6" customHeight="1" x14ac:dyDescent="0.3">
      <c r="A1791" s="667"/>
      <c r="B1791" s="668" t="s">
        <v>7600</v>
      </c>
      <c r="C1791" s="160" t="s">
        <v>7601</v>
      </c>
      <c r="D1791" s="160"/>
      <c r="E1791" s="439">
        <v>46.783999999999999</v>
      </c>
      <c r="F1791" s="161">
        <v>462.10484326599999</v>
      </c>
      <c r="G1791" s="161">
        <v>-104.75700000000001</v>
      </c>
      <c r="H1791" s="654">
        <v>843.14432664000003</v>
      </c>
      <c r="I1791" s="654"/>
      <c r="J1791" s="191"/>
      <c r="K1791" s="191">
        <v>1696602099.1333499</v>
      </c>
      <c r="L1791" s="191"/>
      <c r="M1791" s="191"/>
      <c r="N1791" s="191"/>
      <c r="O1791" s="191"/>
      <c r="P1791" s="191"/>
      <c r="Q1791" s="191"/>
      <c r="R1791" s="191"/>
      <c r="S1791" s="191"/>
      <c r="T1791" s="191"/>
      <c r="U1791" s="439"/>
      <c r="V1791" s="441"/>
      <c r="W1791" s="178"/>
      <c r="X1791" s="172"/>
      <c r="Y1791" s="172"/>
      <c r="Z1791" s="172"/>
      <c r="AA1791" s="195"/>
      <c r="AB1791" s="172"/>
    </row>
    <row r="1792" spans="1:28" ht="12.6" customHeight="1" x14ac:dyDescent="0.3">
      <c r="A1792" s="667"/>
      <c r="B1792" s="668" t="s">
        <v>7602</v>
      </c>
      <c r="C1792" s="160" t="s">
        <v>7603</v>
      </c>
      <c r="D1792" s="160"/>
      <c r="E1792" s="439">
        <v>43.567999999999998</v>
      </c>
      <c r="F1792" s="161">
        <v>362.11123061400002</v>
      </c>
      <c r="G1792" s="161">
        <v>-101.19</v>
      </c>
      <c r="H1792" s="654">
        <v>2093.6353592</v>
      </c>
      <c r="I1792" s="654"/>
      <c r="J1792" s="191"/>
      <c r="K1792" s="191">
        <v>225314945.434872</v>
      </c>
      <c r="L1792" s="191"/>
      <c r="M1792" s="191"/>
      <c r="N1792" s="191"/>
      <c r="O1792" s="191"/>
      <c r="P1792" s="191"/>
      <c r="Q1792" s="191"/>
      <c r="R1792" s="191"/>
      <c r="S1792" s="191"/>
      <c r="T1792" s="191"/>
      <c r="U1792" s="439"/>
      <c r="V1792" s="441"/>
      <c r="W1792" s="178"/>
      <c r="X1792" s="172"/>
      <c r="Y1792" s="172"/>
      <c r="Z1792" s="172"/>
      <c r="AA1792" s="195"/>
      <c r="AB1792" s="172"/>
    </row>
    <row r="1793" spans="1:28" ht="12.6" customHeight="1" x14ac:dyDescent="0.3">
      <c r="A1793" s="667"/>
      <c r="B1793" s="668" t="s">
        <v>7604</v>
      </c>
      <c r="C1793" s="160" t="s">
        <v>7605</v>
      </c>
      <c r="D1793" s="160"/>
      <c r="E1793" s="439"/>
      <c r="F1793" s="161">
        <v>268.04982556200002</v>
      </c>
      <c r="G1793" s="161"/>
      <c r="H1793" s="654"/>
      <c r="I1793" s="654"/>
      <c r="J1793" s="191"/>
      <c r="K1793" s="191"/>
      <c r="L1793" s="191"/>
      <c r="M1793" s="191"/>
      <c r="N1793" s="191"/>
      <c r="O1793" s="191"/>
      <c r="P1793" s="191"/>
      <c r="Q1793" s="191"/>
      <c r="R1793" s="191"/>
      <c r="S1793" s="191"/>
      <c r="T1793" s="191"/>
      <c r="U1793" s="439"/>
      <c r="V1793" s="441"/>
      <c r="W1793" s="178"/>
      <c r="X1793" s="172"/>
      <c r="Y1793" s="172"/>
      <c r="Z1793" s="172"/>
      <c r="AA1793" s="195"/>
      <c r="AB1793" s="172"/>
    </row>
    <row r="1794" spans="1:28" ht="12.6" customHeight="1" x14ac:dyDescent="0.3">
      <c r="A1794" s="667"/>
      <c r="B1794" s="668" t="s">
        <v>7606</v>
      </c>
      <c r="C1794" s="160" t="s">
        <v>7607</v>
      </c>
      <c r="D1794" s="160"/>
      <c r="E1794" s="439"/>
      <c r="F1794" s="161">
        <v>288.05605375699997</v>
      </c>
      <c r="G1794" s="161">
        <v>-60.084000000000003</v>
      </c>
      <c r="H1794" s="654">
        <v>414.86073384000002</v>
      </c>
      <c r="I1794" s="654">
        <v>1.02441662453655</v>
      </c>
      <c r="J1794" s="191"/>
      <c r="K1794" s="191">
        <v>263699.92119051598</v>
      </c>
      <c r="L1794" s="191"/>
      <c r="M1794" s="191"/>
      <c r="N1794" s="191"/>
      <c r="O1794" s="191"/>
      <c r="P1794" s="191"/>
      <c r="Q1794" s="191"/>
      <c r="R1794" s="191"/>
      <c r="S1794" s="191"/>
      <c r="T1794" s="191"/>
      <c r="U1794" s="439"/>
      <c r="V1794" s="441"/>
      <c r="W1794" s="178"/>
      <c r="X1794" s="172"/>
      <c r="Y1794" s="172"/>
      <c r="Z1794" s="172"/>
      <c r="AA1794" s="195"/>
      <c r="AB1794" s="172"/>
    </row>
    <row r="1795" spans="1:28" ht="12.6" customHeight="1" x14ac:dyDescent="0.3">
      <c r="A1795" s="667"/>
      <c r="B1795" s="668" t="s">
        <v>7608</v>
      </c>
      <c r="C1795" s="160" t="s">
        <v>7609</v>
      </c>
      <c r="D1795" s="160"/>
      <c r="E1795" s="439"/>
      <c r="F1795" s="161">
        <v>434.055145713</v>
      </c>
      <c r="G1795" s="161">
        <v>-74.671000000000006</v>
      </c>
      <c r="H1795" s="654">
        <v>19.315291393999999</v>
      </c>
      <c r="I1795" s="654">
        <v>0.53277664805396396</v>
      </c>
      <c r="J1795" s="191"/>
      <c r="K1795" s="191">
        <v>30934.9914269853</v>
      </c>
      <c r="L1795" s="191"/>
      <c r="M1795" s="191"/>
      <c r="N1795" s="191"/>
      <c r="O1795" s="191"/>
      <c r="P1795" s="191"/>
      <c r="Q1795" s="191"/>
      <c r="R1795" s="191"/>
      <c r="S1795" s="191"/>
      <c r="T1795" s="191"/>
      <c r="U1795" s="439"/>
      <c r="V1795" s="441"/>
      <c r="W1795" s="178"/>
      <c r="X1795" s="172"/>
      <c r="Y1795" s="172"/>
      <c r="Z1795" s="172"/>
      <c r="AA1795" s="195"/>
      <c r="AB1795" s="172"/>
    </row>
    <row r="1796" spans="1:28" ht="12.6" customHeight="1" x14ac:dyDescent="0.3">
      <c r="A1796" s="667"/>
      <c r="B1796" s="668" t="s">
        <v>7610</v>
      </c>
      <c r="C1796" s="160" t="s">
        <v>7611</v>
      </c>
      <c r="D1796" s="160"/>
      <c r="E1796" s="439">
        <v>9.1300000000000008</v>
      </c>
      <c r="F1796" s="161">
        <v>414.06890407200001</v>
      </c>
      <c r="G1796" s="161"/>
      <c r="H1796" s="654"/>
      <c r="I1796" s="654"/>
      <c r="J1796" s="191"/>
      <c r="K1796" s="191">
        <v>5904.0496361060004</v>
      </c>
      <c r="L1796" s="191"/>
      <c r="M1796" s="191"/>
      <c r="N1796" s="191"/>
      <c r="O1796" s="191"/>
      <c r="P1796" s="191"/>
      <c r="Q1796" s="191"/>
      <c r="R1796" s="191"/>
      <c r="S1796" s="191"/>
      <c r="T1796" s="191"/>
      <c r="U1796" s="439"/>
      <c r="V1796" s="441"/>
      <c r="W1796" s="178"/>
      <c r="X1796" s="172"/>
      <c r="Y1796" s="172"/>
      <c r="Z1796" s="172"/>
      <c r="AA1796" s="195"/>
      <c r="AB1796" s="172"/>
    </row>
    <row r="1797" spans="1:28" ht="12.6" customHeight="1" x14ac:dyDescent="0.3">
      <c r="A1797" s="667"/>
      <c r="B1797" s="668" t="s">
        <v>7612</v>
      </c>
      <c r="C1797" s="160" t="s">
        <v>7613</v>
      </c>
      <c r="D1797" s="160"/>
      <c r="E1797" s="439"/>
      <c r="F1797" s="161">
        <v>448.10718128600001</v>
      </c>
      <c r="G1797" s="161"/>
      <c r="H1797" s="654"/>
      <c r="I1797" s="654"/>
      <c r="J1797" s="191"/>
      <c r="K1797" s="191">
        <v>99636.852536417806</v>
      </c>
      <c r="L1797" s="191"/>
      <c r="M1797" s="191"/>
      <c r="N1797" s="191"/>
      <c r="O1797" s="191"/>
      <c r="P1797" s="191"/>
      <c r="Q1797" s="191"/>
      <c r="R1797" s="191"/>
      <c r="S1797" s="191"/>
      <c r="T1797" s="191"/>
      <c r="U1797" s="439"/>
      <c r="V1797" s="441"/>
      <c r="W1797" s="178"/>
      <c r="X1797" s="172"/>
      <c r="Y1797" s="172"/>
      <c r="Z1797" s="172"/>
      <c r="AA1797" s="195"/>
      <c r="AB1797" s="172"/>
    </row>
    <row r="1798" spans="1:28" ht="12.6" customHeight="1" x14ac:dyDescent="0.3">
      <c r="A1798" s="667"/>
      <c r="B1798" s="668" t="s">
        <v>7614</v>
      </c>
      <c r="C1798" s="160" t="s">
        <v>7615</v>
      </c>
      <c r="D1798" s="160"/>
      <c r="E1798" s="439">
        <v>14</v>
      </c>
      <c r="F1798" s="161">
        <v>678.13039378999997</v>
      </c>
      <c r="G1798" s="161"/>
      <c r="H1798" s="654"/>
      <c r="I1798" s="654"/>
      <c r="J1798" s="191"/>
      <c r="K1798" s="191">
        <v>615715.37716318294</v>
      </c>
      <c r="L1798" s="191"/>
      <c r="M1798" s="191"/>
      <c r="N1798" s="191"/>
      <c r="O1798" s="191"/>
      <c r="P1798" s="191"/>
      <c r="Q1798" s="191"/>
      <c r="R1798" s="191"/>
      <c r="S1798" s="191"/>
      <c r="T1798" s="191"/>
      <c r="U1798" s="439"/>
      <c r="V1798" s="441"/>
      <c r="W1798" s="178"/>
      <c r="X1798" s="172"/>
      <c r="Y1798" s="172"/>
      <c r="Z1798" s="172"/>
      <c r="AA1798" s="195"/>
      <c r="AB1798" s="172"/>
    </row>
    <row r="1799" spans="1:28" ht="12.6" customHeight="1" x14ac:dyDescent="0.3">
      <c r="A1799" s="667"/>
      <c r="B1799" s="668" t="s">
        <v>7616</v>
      </c>
      <c r="C1799" s="160" t="s">
        <v>7617</v>
      </c>
      <c r="D1799" s="160"/>
      <c r="E1799" s="439"/>
      <c r="F1799" s="161">
        <v>652.13014997100004</v>
      </c>
      <c r="G1799" s="161">
        <v>-56.21</v>
      </c>
      <c r="H1799" s="654">
        <v>40.170051921999999</v>
      </c>
      <c r="I1799" s="654">
        <v>9.0852163973359802E-3</v>
      </c>
      <c r="J1799" s="191"/>
      <c r="K1799" s="191">
        <v>334202.73523988097</v>
      </c>
      <c r="L1799" s="191"/>
      <c r="M1799" s="191"/>
      <c r="N1799" s="191"/>
      <c r="O1799" s="191"/>
      <c r="P1799" s="191"/>
      <c r="Q1799" s="191"/>
      <c r="R1799" s="191"/>
      <c r="S1799" s="191"/>
      <c r="T1799" s="191"/>
      <c r="U1799" s="439"/>
      <c r="V1799" s="441"/>
      <c r="W1799" s="178"/>
      <c r="X1799" s="172"/>
      <c r="Y1799" s="172"/>
      <c r="Z1799" s="172"/>
      <c r="AA1799" s="195"/>
      <c r="AB1799" s="172"/>
    </row>
    <row r="1800" spans="1:28" ht="12.6" customHeight="1" x14ac:dyDescent="0.3">
      <c r="A1800" s="667"/>
      <c r="B1800" s="668" t="s">
        <v>7618</v>
      </c>
      <c r="C1800" s="160" t="s">
        <v>7619</v>
      </c>
      <c r="D1800" s="160"/>
      <c r="E1800" s="439"/>
      <c r="F1800" s="161">
        <v>612.07221020899999</v>
      </c>
      <c r="G1800" s="161"/>
      <c r="H1800" s="654"/>
      <c r="I1800" s="654"/>
      <c r="J1800" s="191"/>
      <c r="K1800" s="191">
        <v>421201.58811742702</v>
      </c>
      <c r="L1800" s="191"/>
      <c r="M1800" s="191"/>
      <c r="N1800" s="191"/>
      <c r="O1800" s="191"/>
      <c r="P1800" s="191"/>
      <c r="Q1800" s="191"/>
      <c r="R1800" s="191"/>
      <c r="S1800" s="191"/>
      <c r="T1800" s="191"/>
      <c r="U1800" s="439"/>
      <c r="V1800" s="441"/>
      <c r="W1800" s="178"/>
      <c r="X1800" s="172"/>
      <c r="Y1800" s="172"/>
      <c r="Z1800" s="172"/>
      <c r="AA1800" s="195"/>
      <c r="AB1800" s="172"/>
    </row>
    <row r="1801" spans="1:28" ht="12.6" customHeight="1" x14ac:dyDescent="0.3">
      <c r="A1801" s="667"/>
      <c r="B1801" s="668" t="s">
        <v>7620</v>
      </c>
      <c r="C1801" s="160" t="s">
        <v>7621</v>
      </c>
      <c r="D1801" s="160"/>
      <c r="E1801" s="439"/>
      <c r="F1801" s="161">
        <v>387.02926531600002</v>
      </c>
      <c r="G1801" s="161"/>
      <c r="H1801" s="654"/>
      <c r="I1801" s="654"/>
      <c r="J1801" s="191"/>
      <c r="K1801" s="191">
        <v>31183.869189986301</v>
      </c>
      <c r="L1801" s="191"/>
      <c r="M1801" s="191"/>
      <c r="N1801" s="191"/>
      <c r="O1801" s="191"/>
      <c r="P1801" s="191"/>
      <c r="Q1801" s="191"/>
      <c r="R1801" s="191"/>
      <c r="S1801" s="191"/>
      <c r="T1801" s="191"/>
      <c r="U1801" s="439"/>
      <c r="V1801" s="441"/>
      <c r="W1801" s="178"/>
      <c r="X1801" s="172"/>
      <c r="Y1801" s="172"/>
      <c r="Z1801" s="172"/>
      <c r="AA1801" s="195"/>
      <c r="AB1801" s="172"/>
    </row>
    <row r="1802" spans="1:28" ht="12.6" customHeight="1" x14ac:dyDescent="0.3">
      <c r="A1802" s="667"/>
      <c r="B1802" s="668" t="s">
        <v>7622</v>
      </c>
      <c r="C1802" s="160" t="s">
        <v>7623</v>
      </c>
      <c r="D1802" s="160"/>
      <c r="E1802" s="439"/>
      <c r="F1802" s="161">
        <v>270.04907667100002</v>
      </c>
      <c r="G1802" s="161"/>
      <c r="H1802" s="654"/>
      <c r="I1802" s="654"/>
      <c r="J1802" s="191"/>
      <c r="K1802" s="191">
        <v>748.58306851903103</v>
      </c>
      <c r="L1802" s="191"/>
      <c r="M1802" s="191"/>
      <c r="N1802" s="191"/>
      <c r="O1802" s="191"/>
      <c r="P1802" s="191"/>
      <c r="Q1802" s="191"/>
      <c r="R1802" s="191"/>
      <c r="S1802" s="191"/>
      <c r="T1802" s="191"/>
      <c r="U1802" s="439"/>
      <c r="V1802" s="441"/>
      <c r="W1802" s="178"/>
      <c r="X1802" s="172"/>
      <c r="Y1802" s="172"/>
      <c r="Z1802" s="172"/>
      <c r="AA1802" s="195"/>
      <c r="AB1802" s="172"/>
    </row>
    <row r="1803" spans="1:28" ht="12.6" customHeight="1" x14ac:dyDescent="0.3">
      <c r="A1803" s="667"/>
      <c r="B1803" s="668" t="s">
        <v>7624</v>
      </c>
      <c r="C1803" s="160" t="s">
        <v>7625</v>
      </c>
      <c r="D1803" s="160"/>
      <c r="E1803" s="439">
        <v>4.68</v>
      </c>
      <c r="F1803" s="161">
        <v>658.03042903699998</v>
      </c>
      <c r="G1803" s="161">
        <v>16.689</v>
      </c>
      <c r="H1803" s="654">
        <v>0.14890200892</v>
      </c>
      <c r="I1803" s="654">
        <v>9.5994137018346592E-3</v>
      </c>
      <c r="J1803" s="191"/>
      <c r="K1803" s="191">
        <v>2363360648.6854801</v>
      </c>
      <c r="L1803" s="191"/>
      <c r="M1803" s="191"/>
      <c r="N1803" s="191"/>
      <c r="O1803" s="191"/>
      <c r="P1803" s="191"/>
      <c r="Q1803" s="191"/>
      <c r="R1803" s="191"/>
      <c r="S1803" s="191"/>
      <c r="T1803" s="191"/>
      <c r="U1803" s="439"/>
      <c r="V1803" s="441"/>
      <c r="W1803" s="178"/>
      <c r="X1803" s="172"/>
      <c r="Y1803" s="172"/>
      <c r="Z1803" s="172"/>
      <c r="AA1803" s="195"/>
      <c r="AB1803" s="172"/>
    </row>
    <row r="1804" spans="1:28" ht="12.6" customHeight="1" x14ac:dyDescent="0.3">
      <c r="A1804" s="667" t="s">
        <v>4414</v>
      </c>
      <c r="B1804" s="668" t="s">
        <v>7626</v>
      </c>
      <c r="C1804" s="160" t="s">
        <v>7627</v>
      </c>
      <c r="D1804" s="160"/>
      <c r="E1804" s="439"/>
      <c r="F1804" s="161"/>
      <c r="G1804" s="161"/>
      <c r="H1804" s="654"/>
      <c r="I1804" s="654"/>
      <c r="J1804" s="191"/>
      <c r="K1804" s="191"/>
      <c r="L1804" s="191"/>
      <c r="M1804" s="191"/>
      <c r="N1804" s="191"/>
      <c r="O1804" s="191"/>
      <c r="P1804" s="191"/>
      <c r="Q1804" s="191"/>
      <c r="R1804" s="191"/>
      <c r="S1804" s="191"/>
      <c r="T1804" s="191"/>
      <c r="U1804" s="439"/>
      <c r="V1804" s="441"/>
      <c r="W1804" s="178"/>
      <c r="X1804" s="172"/>
      <c r="Y1804" s="172"/>
      <c r="Z1804" s="172"/>
      <c r="AA1804" s="195"/>
      <c r="AB1804" s="172"/>
    </row>
    <row r="1805" spans="1:28" ht="12.6" customHeight="1" x14ac:dyDescent="0.3">
      <c r="A1805" s="667"/>
      <c r="B1805" s="668" t="s">
        <v>7628</v>
      </c>
      <c r="C1805" s="160" t="s">
        <v>7629</v>
      </c>
      <c r="D1805" s="160"/>
      <c r="E1805" s="439">
        <v>9.57</v>
      </c>
      <c r="F1805" s="161">
        <v>478.02254361600001</v>
      </c>
      <c r="G1805" s="161"/>
      <c r="H1805" s="654"/>
      <c r="I1805" s="654"/>
      <c r="J1805" s="191"/>
      <c r="K1805" s="191">
        <v>133346.00226459201</v>
      </c>
      <c r="L1805" s="191"/>
      <c r="M1805" s="191"/>
      <c r="N1805" s="191"/>
      <c r="O1805" s="191"/>
      <c r="P1805" s="191"/>
      <c r="Q1805" s="191"/>
      <c r="R1805" s="191"/>
      <c r="S1805" s="191"/>
      <c r="T1805" s="191"/>
      <c r="U1805" s="439"/>
      <c r="V1805" s="441"/>
      <c r="W1805" s="178"/>
      <c r="X1805" s="172"/>
      <c r="Y1805" s="172"/>
      <c r="Z1805" s="172"/>
      <c r="AA1805" s="195"/>
      <c r="AB1805" s="172"/>
    </row>
    <row r="1806" spans="1:28" ht="12.6" customHeight="1" x14ac:dyDescent="0.3">
      <c r="A1806" s="667"/>
      <c r="B1806" s="668" t="s">
        <v>7630</v>
      </c>
      <c r="C1806" s="160" t="s">
        <v>7631</v>
      </c>
      <c r="D1806" s="160"/>
      <c r="E1806" s="439"/>
      <c r="F1806" s="161">
        <v>564.03933649600003</v>
      </c>
      <c r="G1806" s="161"/>
      <c r="H1806" s="654"/>
      <c r="I1806" s="654"/>
      <c r="J1806" s="191"/>
      <c r="K1806" s="191">
        <v>136323.27156539101</v>
      </c>
      <c r="L1806" s="191"/>
      <c r="M1806" s="191"/>
      <c r="N1806" s="191"/>
      <c r="O1806" s="191"/>
      <c r="P1806" s="191"/>
      <c r="Q1806" s="191"/>
      <c r="R1806" s="191"/>
      <c r="S1806" s="191"/>
      <c r="T1806" s="191"/>
      <c r="U1806" s="439"/>
      <c r="V1806" s="441"/>
      <c r="W1806" s="178"/>
      <c r="X1806" s="172"/>
      <c r="Y1806" s="172"/>
      <c r="Z1806" s="172"/>
      <c r="AA1806" s="195"/>
      <c r="AB1806" s="172"/>
    </row>
    <row r="1807" spans="1:28" ht="12.6" customHeight="1" x14ac:dyDescent="0.3">
      <c r="A1807" s="667" t="s">
        <v>4414</v>
      </c>
      <c r="B1807" s="668" t="s">
        <v>7632</v>
      </c>
      <c r="C1807" s="160" t="s">
        <v>7633</v>
      </c>
      <c r="D1807" s="160"/>
      <c r="E1807" s="439"/>
      <c r="F1807" s="161"/>
      <c r="G1807" s="161"/>
      <c r="H1807" s="654"/>
      <c r="I1807" s="654"/>
      <c r="J1807" s="191"/>
      <c r="K1807" s="191"/>
      <c r="L1807" s="191"/>
      <c r="M1807" s="191"/>
      <c r="N1807" s="191"/>
      <c r="O1807" s="191"/>
      <c r="P1807" s="191"/>
      <c r="Q1807" s="191"/>
      <c r="R1807" s="191"/>
      <c r="S1807" s="191"/>
      <c r="T1807" s="191"/>
      <c r="U1807" s="439"/>
      <c r="V1807" s="441"/>
      <c r="W1807" s="178"/>
      <c r="X1807" s="172"/>
      <c r="Y1807" s="172"/>
      <c r="Z1807" s="172"/>
      <c r="AA1807" s="195"/>
      <c r="AB1807" s="172"/>
    </row>
    <row r="1808" spans="1:28" ht="12.6" customHeight="1" x14ac:dyDescent="0.3">
      <c r="A1808" s="667"/>
      <c r="B1808" s="668" t="s">
        <v>7634</v>
      </c>
      <c r="C1808" s="160" t="s">
        <v>7635</v>
      </c>
      <c r="D1808" s="160"/>
      <c r="E1808" s="439"/>
      <c r="F1808" s="161">
        <v>364.01328089999998</v>
      </c>
      <c r="G1808" s="161"/>
      <c r="H1808" s="654"/>
      <c r="I1808" s="654"/>
      <c r="J1808" s="191"/>
      <c r="K1808" s="191">
        <v>6060.6611026023202</v>
      </c>
      <c r="L1808" s="191"/>
      <c r="M1808" s="191"/>
      <c r="N1808" s="191"/>
      <c r="O1808" s="191"/>
      <c r="P1808" s="191"/>
      <c r="Q1808" s="191"/>
      <c r="R1808" s="191"/>
      <c r="S1808" s="191"/>
      <c r="T1808" s="191"/>
      <c r="U1808" s="439"/>
      <c r="V1808" s="441"/>
      <c r="W1808" s="178"/>
      <c r="X1808" s="172"/>
      <c r="Y1808" s="172"/>
      <c r="Z1808" s="172"/>
      <c r="AA1808" s="195"/>
      <c r="AB1808" s="172"/>
    </row>
    <row r="1809" spans="1:28" ht="12.6" customHeight="1" x14ac:dyDescent="0.3">
      <c r="A1809" s="667"/>
      <c r="B1809" s="668" t="s">
        <v>7636</v>
      </c>
      <c r="C1809" s="160" t="s">
        <v>7637</v>
      </c>
      <c r="D1809" s="160"/>
      <c r="E1809" s="439"/>
      <c r="F1809" s="161">
        <v>264.01966824800002</v>
      </c>
      <c r="G1809" s="161"/>
      <c r="H1809" s="654"/>
      <c r="I1809" s="654"/>
      <c r="J1809" s="191"/>
      <c r="K1809" s="191">
        <v>835.75695617329598</v>
      </c>
      <c r="L1809" s="191"/>
      <c r="M1809" s="191"/>
      <c r="N1809" s="191"/>
      <c r="O1809" s="191"/>
      <c r="P1809" s="191"/>
      <c r="Q1809" s="191"/>
      <c r="R1809" s="191"/>
      <c r="S1809" s="191"/>
      <c r="T1809" s="191"/>
      <c r="U1809" s="439"/>
      <c r="V1809" s="441"/>
      <c r="W1809" s="178"/>
      <c r="X1809" s="172"/>
      <c r="Y1809" s="172"/>
      <c r="Z1809" s="172"/>
      <c r="AA1809" s="195"/>
      <c r="AB1809" s="172"/>
    </row>
    <row r="1810" spans="1:28" ht="12.6" customHeight="1" x14ac:dyDescent="0.3">
      <c r="A1810" s="667"/>
      <c r="B1810" s="668" t="s">
        <v>7638</v>
      </c>
      <c r="C1810" s="160" t="s">
        <v>7639</v>
      </c>
      <c r="D1810" s="160"/>
      <c r="E1810" s="439"/>
      <c r="F1810" s="161">
        <v>687.91789000000006</v>
      </c>
      <c r="G1810" s="161"/>
      <c r="H1810" s="654"/>
      <c r="I1810" s="654"/>
      <c r="J1810" s="191"/>
      <c r="K1810" s="191">
        <v>3373727.4907896002</v>
      </c>
      <c r="L1810" s="191"/>
      <c r="M1810" s="191"/>
      <c r="N1810" s="191"/>
      <c r="O1810" s="191"/>
      <c r="P1810" s="191"/>
      <c r="Q1810" s="191"/>
      <c r="R1810" s="191"/>
      <c r="S1810" s="191"/>
      <c r="T1810" s="191"/>
      <c r="U1810" s="439"/>
      <c r="V1810" s="441"/>
      <c r="W1810" s="178"/>
      <c r="X1810" s="172"/>
      <c r="Y1810" s="172"/>
      <c r="Z1810" s="172"/>
      <c r="AA1810" s="195"/>
      <c r="AB1810" s="172"/>
    </row>
    <row r="1811" spans="1:28" ht="12.6" customHeight="1" x14ac:dyDescent="0.3">
      <c r="A1811" s="667"/>
      <c r="B1811" s="668" t="s">
        <v>7640</v>
      </c>
      <c r="C1811" s="160" t="s">
        <v>7641</v>
      </c>
      <c r="D1811" s="160"/>
      <c r="E1811" s="439"/>
      <c r="F1811" s="161">
        <v>587.92426999999998</v>
      </c>
      <c r="G1811" s="161"/>
      <c r="H1811" s="654"/>
      <c r="I1811" s="654"/>
      <c r="J1811" s="191"/>
      <c r="K1811" s="191">
        <v>34308363.277494997</v>
      </c>
      <c r="L1811" s="191"/>
      <c r="M1811" s="191"/>
      <c r="N1811" s="191"/>
      <c r="O1811" s="191"/>
      <c r="P1811" s="191"/>
      <c r="Q1811" s="191"/>
      <c r="R1811" s="191"/>
      <c r="S1811" s="191"/>
      <c r="T1811" s="191"/>
      <c r="U1811" s="439"/>
      <c r="V1811" s="441"/>
      <c r="W1811" s="178"/>
      <c r="X1811" s="172"/>
      <c r="Y1811" s="172"/>
      <c r="Z1811" s="172"/>
      <c r="AA1811" s="195"/>
      <c r="AB1811" s="172"/>
    </row>
    <row r="1812" spans="1:28" ht="12.6" customHeight="1" x14ac:dyDescent="0.3">
      <c r="A1812" s="667"/>
      <c r="B1812" s="668" t="s">
        <v>7642</v>
      </c>
      <c r="C1812" s="160" t="s">
        <v>7643</v>
      </c>
      <c r="D1812" s="160"/>
      <c r="E1812" s="439"/>
      <c r="F1812" s="161">
        <v>537.92746999999997</v>
      </c>
      <c r="G1812" s="161"/>
      <c r="H1812" s="654"/>
      <c r="I1812" s="654"/>
      <c r="J1812" s="191"/>
      <c r="K1812" s="191">
        <v>4937191.8111761203</v>
      </c>
      <c r="L1812" s="191"/>
      <c r="M1812" s="191"/>
      <c r="N1812" s="191"/>
      <c r="O1812" s="191"/>
      <c r="P1812" s="191"/>
      <c r="Q1812" s="191"/>
      <c r="R1812" s="191"/>
      <c r="S1812" s="191"/>
      <c r="T1812" s="191"/>
      <c r="U1812" s="439"/>
      <c r="V1812" s="441"/>
      <c r="W1812" s="178"/>
      <c r="X1812" s="172"/>
      <c r="Y1812" s="172"/>
      <c r="Z1812" s="172"/>
      <c r="AA1812" s="195"/>
      <c r="AB1812" s="172"/>
    </row>
    <row r="1813" spans="1:28" ht="12.6" customHeight="1" x14ac:dyDescent="0.3">
      <c r="A1813" s="667"/>
      <c r="B1813" s="668" t="s">
        <v>7644</v>
      </c>
      <c r="C1813" s="160" t="s">
        <v>7645</v>
      </c>
      <c r="D1813" s="160"/>
      <c r="E1813" s="439"/>
      <c r="F1813" s="161">
        <v>487.93065999999999</v>
      </c>
      <c r="G1813" s="161"/>
      <c r="H1813" s="654"/>
      <c r="I1813" s="654"/>
      <c r="J1813" s="191"/>
      <c r="K1813" s="191">
        <v>1823181.89727507</v>
      </c>
      <c r="L1813" s="191"/>
      <c r="M1813" s="191"/>
      <c r="N1813" s="191"/>
      <c r="O1813" s="191"/>
      <c r="P1813" s="191"/>
      <c r="Q1813" s="191"/>
      <c r="R1813" s="191"/>
      <c r="S1813" s="191"/>
      <c r="T1813" s="191"/>
      <c r="U1813" s="439"/>
      <c r="V1813" s="441"/>
      <c r="W1813" s="178"/>
      <c r="X1813" s="172"/>
      <c r="Y1813" s="172"/>
      <c r="Z1813" s="172"/>
      <c r="AA1813" s="195"/>
      <c r="AB1813" s="172"/>
    </row>
    <row r="1814" spans="1:28" ht="12.6" customHeight="1" x14ac:dyDescent="0.3">
      <c r="A1814" s="667"/>
      <c r="B1814" s="668" t="s">
        <v>7646</v>
      </c>
      <c r="C1814" s="160" t="s">
        <v>7647</v>
      </c>
      <c r="D1814" s="160"/>
      <c r="E1814" s="439"/>
      <c r="F1814" s="161">
        <v>387.93705</v>
      </c>
      <c r="G1814" s="161">
        <v>-34.762999999999998</v>
      </c>
      <c r="H1814" s="654">
        <v>502.22930688000002</v>
      </c>
      <c r="I1814" s="654">
        <v>1.8355280314455</v>
      </c>
      <c r="J1814" s="191"/>
      <c r="K1814" s="191">
        <v>274391.08690619399</v>
      </c>
      <c r="L1814" s="191"/>
      <c r="M1814" s="191"/>
      <c r="N1814" s="191"/>
      <c r="O1814" s="191"/>
      <c r="P1814" s="191"/>
      <c r="Q1814" s="191"/>
      <c r="R1814" s="191"/>
      <c r="S1814" s="191"/>
      <c r="T1814" s="191"/>
      <c r="U1814" s="439"/>
      <c r="V1814" s="441"/>
      <c r="W1814" s="178"/>
      <c r="X1814" s="172"/>
      <c r="Y1814" s="172"/>
      <c r="Z1814" s="172"/>
      <c r="AA1814" s="195"/>
      <c r="AB1814" s="172"/>
    </row>
    <row r="1815" spans="1:28" ht="12.6" customHeight="1" x14ac:dyDescent="0.3">
      <c r="A1815" s="667"/>
      <c r="B1815" s="668" t="s">
        <v>7648</v>
      </c>
      <c r="C1815" s="160" t="s">
        <v>7649</v>
      </c>
      <c r="D1815" s="160"/>
      <c r="E1815" s="439">
        <v>8.3699999999999992</v>
      </c>
      <c r="F1815" s="161">
        <v>213.03884633800001</v>
      </c>
      <c r="G1815" s="161"/>
      <c r="H1815" s="654"/>
      <c r="I1815" s="654"/>
      <c r="J1815" s="191"/>
      <c r="K1815" s="191">
        <v>209.12694828602699</v>
      </c>
      <c r="L1815" s="191"/>
      <c r="M1815" s="191"/>
      <c r="N1815" s="191"/>
      <c r="O1815" s="191"/>
      <c r="P1815" s="191"/>
      <c r="Q1815" s="191"/>
      <c r="R1815" s="191"/>
      <c r="S1815" s="191"/>
      <c r="T1815" s="191"/>
      <c r="U1815" s="439"/>
      <c r="V1815" s="441"/>
      <c r="W1815" s="178"/>
      <c r="X1815" s="172"/>
      <c r="Y1815" s="172"/>
      <c r="Z1815" s="172"/>
      <c r="AA1815" s="195"/>
      <c r="AB1815" s="172"/>
    </row>
    <row r="1816" spans="1:28" ht="12.6" customHeight="1" x14ac:dyDescent="0.3">
      <c r="A1816" s="667"/>
      <c r="B1816" s="668" t="s">
        <v>7650</v>
      </c>
      <c r="C1816" s="160" t="s">
        <v>7651</v>
      </c>
      <c r="D1816" s="160"/>
      <c r="E1816" s="439">
        <v>8.92</v>
      </c>
      <c r="F1816" s="161">
        <v>364.01328089999998</v>
      </c>
      <c r="G1816" s="161"/>
      <c r="H1816" s="654"/>
      <c r="I1816" s="654"/>
      <c r="J1816" s="191"/>
      <c r="K1816" s="191">
        <v>8210.1293603633694</v>
      </c>
      <c r="L1816" s="191"/>
      <c r="M1816" s="191"/>
      <c r="N1816" s="191"/>
      <c r="O1816" s="191"/>
      <c r="P1816" s="191"/>
      <c r="Q1816" s="191"/>
      <c r="R1816" s="191"/>
      <c r="S1816" s="191"/>
      <c r="T1816" s="191"/>
      <c r="U1816" s="439"/>
      <c r="V1816" s="441"/>
      <c r="W1816" s="178"/>
      <c r="X1816" s="172"/>
      <c r="Y1816" s="172"/>
      <c r="Z1816" s="172"/>
      <c r="AA1816" s="195"/>
      <c r="AB1816" s="172"/>
    </row>
    <row r="1817" spans="1:28" ht="12.6" customHeight="1" x14ac:dyDescent="0.3">
      <c r="A1817" s="667"/>
      <c r="B1817" s="668" t="s">
        <v>7652</v>
      </c>
      <c r="C1817" s="160" t="s">
        <v>7653</v>
      </c>
      <c r="D1817" s="160"/>
      <c r="E1817" s="439">
        <v>9.06</v>
      </c>
      <c r="F1817" s="161">
        <v>314.01647457399997</v>
      </c>
      <c r="G1817" s="161"/>
      <c r="H1817" s="654"/>
      <c r="I1817" s="654"/>
      <c r="J1817" s="191"/>
      <c r="K1817" s="191">
        <v>1990.8566952211299</v>
      </c>
      <c r="L1817" s="191"/>
      <c r="M1817" s="191"/>
      <c r="N1817" s="191"/>
      <c r="O1817" s="191"/>
      <c r="P1817" s="191"/>
      <c r="Q1817" s="191"/>
      <c r="R1817" s="191"/>
      <c r="S1817" s="191"/>
      <c r="T1817" s="191"/>
      <c r="U1817" s="439"/>
      <c r="V1817" s="441"/>
      <c r="W1817" s="178"/>
      <c r="X1817" s="172"/>
      <c r="Y1817" s="172"/>
      <c r="Z1817" s="172"/>
      <c r="AA1817" s="195"/>
      <c r="AB1817" s="172"/>
    </row>
    <row r="1818" spans="1:28" ht="12.6" customHeight="1" x14ac:dyDescent="0.3">
      <c r="A1818" s="667"/>
      <c r="B1818" s="668" t="s">
        <v>7654</v>
      </c>
      <c r="C1818" s="160" t="s">
        <v>7655</v>
      </c>
      <c r="D1818" s="160"/>
      <c r="E1818" s="439">
        <v>8.74</v>
      </c>
      <c r="F1818" s="161">
        <v>214.022861922</v>
      </c>
      <c r="G1818" s="161"/>
      <c r="H1818" s="654"/>
      <c r="I1818" s="654"/>
      <c r="J1818" s="191"/>
      <c r="K1818" s="191">
        <v>181.802562377426</v>
      </c>
      <c r="L1818" s="191"/>
      <c r="M1818" s="191"/>
      <c r="N1818" s="191"/>
      <c r="O1818" s="191"/>
      <c r="P1818" s="191"/>
      <c r="Q1818" s="191"/>
      <c r="R1818" s="191"/>
      <c r="S1818" s="191"/>
      <c r="T1818" s="191"/>
      <c r="U1818" s="439"/>
      <c r="V1818" s="441"/>
      <c r="W1818" s="178"/>
      <c r="X1818" s="172"/>
      <c r="Y1818" s="172"/>
      <c r="Z1818" s="172"/>
      <c r="AA1818" s="195"/>
      <c r="AB1818" s="172"/>
    </row>
    <row r="1819" spans="1:28" ht="12.6" customHeight="1" x14ac:dyDescent="0.3">
      <c r="A1819" s="667"/>
      <c r="B1819" s="668" t="s">
        <v>7656</v>
      </c>
      <c r="C1819" s="160" t="s">
        <v>7657</v>
      </c>
      <c r="D1819" s="160"/>
      <c r="E1819" s="439">
        <v>9.4499999999999993</v>
      </c>
      <c r="F1819" s="161">
        <v>296.02589644300002</v>
      </c>
      <c r="G1819" s="161"/>
      <c r="H1819" s="654"/>
      <c r="I1819" s="654"/>
      <c r="J1819" s="191"/>
      <c r="K1819" s="191">
        <v>1405.0442435826001</v>
      </c>
      <c r="L1819" s="191"/>
      <c r="M1819" s="191"/>
      <c r="N1819" s="191"/>
      <c r="O1819" s="191"/>
      <c r="P1819" s="191"/>
      <c r="Q1819" s="191"/>
      <c r="R1819" s="191"/>
      <c r="S1819" s="191"/>
      <c r="T1819" s="191"/>
      <c r="U1819" s="439"/>
      <c r="V1819" s="441"/>
      <c r="W1819" s="178"/>
      <c r="X1819" s="172"/>
      <c r="Y1819" s="172"/>
      <c r="Z1819" s="172"/>
      <c r="AA1819" s="195"/>
      <c r="AB1819" s="172"/>
    </row>
    <row r="1820" spans="1:28" ht="12.6" customHeight="1" x14ac:dyDescent="0.3">
      <c r="A1820" s="667"/>
      <c r="B1820" s="668" t="s">
        <v>7658</v>
      </c>
      <c r="C1820" s="160" t="s">
        <v>7659</v>
      </c>
      <c r="D1820" s="160"/>
      <c r="E1820" s="439">
        <v>5.97</v>
      </c>
      <c r="F1820" s="161">
        <v>498.03121659499999</v>
      </c>
      <c r="G1820" s="161"/>
      <c r="H1820" s="654"/>
      <c r="I1820" s="654"/>
      <c r="J1820" s="191"/>
      <c r="K1820" s="191"/>
      <c r="L1820" s="191"/>
      <c r="M1820" s="191"/>
      <c r="N1820" s="191"/>
      <c r="O1820" s="191"/>
      <c r="P1820" s="191"/>
      <c r="Q1820" s="191"/>
      <c r="R1820" s="191"/>
      <c r="S1820" s="191"/>
      <c r="T1820" s="191"/>
      <c r="U1820" s="439"/>
      <c r="V1820" s="441"/>
      <c r="W1820" s="178"/>
      <c r="X1820" s="172"/>
      <c r="Y1820" s="172"/>
      <c r="Z1820" s="172"/>
      <c r="AA1820" s="195"/>
      <c r="AB1820" s="172"/>
    </row>
    <row r="1821" spans="1:28" ht="12.6" customHeight="1" x14ac:dyDescent="0.3">
      <c r="A1821" s="667"/>
      <c r="B1821" s="668" t="s">
        <v>7660</v>
      </c>
      <c r="C1821" s="160" t="s">
        <v>7661</v>
      </c>
      <c r="D1821" s="160"/>
      <c r="E1821" s="439">
        <v>10.130000000000001</v>
      </c>
      <c r="F1821" s="161">
        <v>492.038193681</v>
      </c>
      <c r="G1821" s="161"/>
      <c r="H1821" s="654"/>
      <c r="I1821" s="654"/>
      <c r="J1821" s="191"/>
      <c r="K1821" s="191">
        <v>137584.65526678701</v>
      </c>
      <c r="L1821" s="191"/>
      <c r="M1821" s="191"/>
      <c r="N1821" s="191"/>
      <c r="O1821" s="191"/>
      <c r="P1821" s="191"/>
      <c r="Q1821" s="191"/>
      <c r="R1821" s="191"/>
      <c r="S1821" s="191"/>
      <c r="T1821" s="191"/>
      <c r="U1821" s="439"/>
      <c r="V1821" s="441"/>
      <c r="W1821" s="178"/>
      <c r="X1821" s="172"/>
      <c r="Y1821" s="172"/>
      <c r="Z1821" s="172"/>
      <c r="AA1821" s="195"/>
      <c r="AB1821" s="172"/>
    </row>
    <row r="1822" spans="1:28" ht="12.6" customHeight="1" x14ac:dyDescent="0.3">
      <c r="A1822" s="667"/>
      <c r="B1822" s="668" t="s">
        <v>7662</v>
      </c>
      <c r="C1822" s="160" t="s">
        <v>7663</v>
      </c>
      <c r="D1822" s="160"/>
      <c r="E1822" s="439"/>
      <c r="F1822" s="161">
        <v>286.043991291</v>
      </c>
      <c r="G1822" s="161"/>
      <c r="H1822" s="654"/>
      <c r="I1822" s="654"/>
      <c r="J1822" s="191"/>
      <c r="K1822" s="191">
        <v>259.74069604072901</v>
      </c>
      <c r="L1822" s="191"/>
      <c r="M1822" s="191"/>
      <c r="N1822" s="191"/>
      <c r="O1822" s="191"/>
      <c r="P1822" s="191"/>
      <c r="Q1822" s="191"/>
      <c r="R1822" s="191"/>
      <c r="S1822" s="191"/>
      <c r="T1822" s="191"/>
      <c r="U1822" s="439"/>
      <c r="V1822" s="441"/>
      <c r="W1822" s="178"/>
      <c r="X1822" s="172"/>
      <c r="Y1822" s="172"/>
      <c r="Z1822" s="172"/>
      <c r="AA1822" s="195"/>
      <c r="AB1822" s="172"/>
    </row>
    <row r="1823" spans="1:28" ht="12.6" customHeight="1" x14ac:dyDescent="0.3">
      <c r="A1823" s="667"/>
      <c r="B1823" s="668" t="s">
        <v>7664</v>
      </c>
      <c r="C1823" s="160" t="s">
        <v>7665</v>
      </c>
      <c r="D1823" s="160"/>
      <c r="E1823" s="439"/>
      <c r="F1823" s="161">
        <v>650.13020236099999</v>
      </c>
      <c r="G1823" s="161"/>
      <c r="H1823" s="654"/>
      <c r="I1823" s="654"/>
      <c r="J1823" s="191"/>
      <c r="K1823" s="191">
        <v>4126197389.8524399</v>
      </c>
      <c r="L1823" s="191"/>
      <c r="M1823" s="191"/>
      <c r="N1823" s="191"/>
      <c r="O1823" s="191"/>
      <c r="P1823" s="191"/>
      <c r="Q1823" s="191"/>
      <c r="R1823" s="191"/>
      <c r="S1823" s="191"/>
      <c r="T1823" s="191"/>
      <c r="U1823" s="439"/>
      <c r="V1823" s="441"/>
      <c r="W1823" s="178"/>
      <c r="X1823" s="172"/>
      <c r="Y1823" s="172"/>
      <c r="Z1823" s="172"/>
      <c r="AA1823" s="195"/>
      <c r="AB1823" s="172"/>
    </row>
    <row r="1824" spans="1:28" ht="12.6" customHeight="1" x14ac:dyDescent="0.3">
      <c r="A1824" s="667"/>
      <c r="B1824" s="668" t="s">
        <v>7666</v>
      </c>
      <c r="C1824" s="160" t="s">
        <v>7667</v>
      </c>
      <c r="D1824" s="160"/>
      <c r="E1824" s="439">
        <v>-0.1</v>
      </c>
      <c r="F1824" s="161">
        <v>629.098759309</v>
      </c>
      <c r="G1824" s="161"/>
      <c r="H1824" s="654"/>
      <c r="I1824" s="654"/>
      <c r="J1824" s="191"/>
      <c r="K1824" s="191">
        <v>3.4912423734308602</v>
      </c>
      <c r="L1824" s="191"/>
      <c r="M1824" s="191"/>
      <c r="N1824" s="191"/>
      <c r="O1824" s="191"/>
      <c r="P1824" s="191"/>
      <c r="Q1824" s="191"/>
      <c r="R1824" s="191"/>
      <c r="S1824" s="191"/>
      <c r="T1824" s="191"/>
      <c r="U1824" s="439"/>
      <c r="V1824" s="441"/>
      <c r="W1824" s="178"/>
      <c r="X1824" s="172"/>
      <c r="Y1824" s="172"/>
      <c r="Z1824" s="172"/>
      <c r="AA1824" s="195"/>
      <c r="AB1824" s="172"/>
    </row>
    <row r="1825" spans="1:28" ht="12.6" customHeight="1" x14ac:dyDescent="0.3">
      <c r="A1825" s="667"/>
      <c r="B1825" s="668" t="s">
        <v>7668</v>
      </c>
      <c r="C1825" s="160" t="s">
        <v>7669</v>
      </c>
      <c r="D1825" s="160"/>
      <c r="E1825" s="439"/>
      <c r="F1825" s="161">
        <v>758.23147098799996</v>
      </c>
      <c r="G1825" s="161"/>
      <c r="H1825" s="654"/>
      <c r="I1825" s="654"/>
      <c r="J1825" s="191"/>
      <c r="K1825" s="191">
        <v>1388001706.2788999</v>
      </c>
      <c r="L1825" s="191"/>
      <c r="M1825" s="191"/>
      <c r="N1825" s="191"/>
      <c r="O1825" s="191"/>
      <c r="P1825" s="191"/>
      <c r="Q1825" s="191"/>
      <c r="R1825" s="191"/>
      <c r="S1825" s="191"/>
      <c r="T1825" s="191"/>
      <c r="U1825" s="439"/>
      <c r="V1825" s="441"/>
      <c r="W1825" s="178"/>
      <c r="X1825" s="172"/>
      <c r="Y1825" s="172"/>
      <c r="Z1825" s="172"/>
      <c r="AA1825" s="195"/>
      <c r="AB1825" s="172"/>
    </row>
    <row r="1826" spans="1:28" ht="12.6" customHeight="1" x14ac:dyDescent="0.3">
      <c r="A1826" s="667"/>
      <c r="B1826" s="668" t="s">
        <v>7670</v>
      </c>
      <c r="C1826" s="160" t="s">
        <v>7671</v>
      </c>
      <c r="D1826" s="160"/>
      <c r="E1826" s="439"/>
      <c r="F1826" s="161">
        <v>460.01197893199998</v>
      </c>
      <c r="G1826" s="161">
        <v>-68.635000000000005</v>
      </c>
      <c r="H1826" s="654">
        <v>175.75305972000001</v>
      </c>
      <c r="I1826" s="654">
        <v>0.25690288987415399</v>
      </c>
      <c r="J1826" s="191"/>
      <c r="K1826" s="191">
        <v>103140.68229029101</v>
      </c>
      <c r="L1826" s="191"/>
      <c r="M1826" s="191"/>
      <c r="N1826" s="191"/>
      <c r="O1826" s="191"/>
      <c r="P1826" s="191"/>
      <c r="Q1826" s="191"/>
      <c r="R1826" s="191"/>
      <c r="S1826" s="191"/>
      <c r="T1826" s="191"/>
      <c r="U1826" s="439"/>
      <c r="V1826" s="441"/>
      <c r="W1826" s="178"/>
      <c r="X1826" s="172"/>
      <c r="Y1826" s="172"/>
      <c r="Z1826" s="172"/>
      <c r="AA1826" s="195"/>
      <c r="AB1826" s="172"/>
    </row>
    <row r="1827" spans="1:28" ht="12.6" customHeight="1" x14ac:dyDescent="0.3">
      <c r="A1827" s="667"/>
      <c r="B1827" s="668" t="s">
        <v>7672</v>
      </c>
      <c r="C1827" s="160" t="s">
        <v>7673</v>
      </c>
      <c r="D1827" s="160"/>
      <c r="E1827" s="439"/>
      <c r="F1827" s="161">
        <v>410.01517260600002</v>
      </c>
      <c r="G1827" s="161"/>
      <c r="H1827" s="654"/>
      <c r="I1827" s="654"/>
      <c r="J1827" s="191"/>
      <c r="K1827" s="191">
        <v>75165.750832864898</v>
      </c>
      <c r="L1827" s="191"/>
      <c r="M1827" s="191"/>
      <c r="N1827" s="191"/>
      <c r="O1827" s="191"/>
      <c r="P1827" s="191"/>
      <c r="Q1827" s="191"/>
      <c r="R1827" s="191"/>
      <c r="S1827" s="191"/>
      <c r="T1827" s="191"/>
      <c r="U1827" s="439"/>
      <c r="V1827" s="441"/>
      <c r="W1827" s="178"/>
      <c r="X1827" s="172"/>
      <c r="Y1827" s="172"/>
      <c r="Z1827" s="172"/>
      <c r="AA1827" s="195"/>
      <c r="AB1827" s="172"/>
    </row>
    <row r="1828" spans="1:28" ht="12.6" customHeight="1" x14ac:dyDescent="0.3">
      <c r="A1828" s="667"/>
      <c r="B1828" s="668" t="s">
        <v>7674</v>
      </c>
      <c r="C1828" s="160" t="s">
        <v>7675</v>
      </c>
      <c r="D1828" s="160"/>
      <c r="E1828" s="439"/>
      <c r="F1828" s="161">
        <v>360.01836628000001</v>
      </c>
      <c r="G1828" s="161"/>
      <c r="H1828" s="654"/>
      <c r="I1828" s="654"/>
      <c r="J1828" s="191"/>
      <c r="K1828" s="191">
        <v>15861.7098028324</v>
      </c>
      <c r="L1828" s="191"/>
      <c r="M1828" s="191"/>
      <c r="N1828" s="191"/>
      <c r="O1828" s="191"/>
      <c r="P1828" s="191"/>
      <c r="Q1828" s="191"/>
      <c r="R1828" s="191"/>
      <c r="S1828" s="191"/>
      <c r="T1828" s="191"/>
      <c r="U1828" s="439"/>
      <c r="V1828" s="441"/>
      <c r="W1828" s="178"/>
      <c r="X1828" s="172"/>
      <c r="Y1828" s="172"/>
      <c r="Z1828" s="172"/>
      <c r="AA1828" s="195"/>
      <c r="AB1828" s="172"/>
    </row>
    <row r="1829" spans="1:28" ht="12.6" customHeight="1" x14ac:dyDescent="0.3">
      <c r="A1829" s="667"/>
      <c r="B1829" s="668" t="s">
        <v>7676</v>
      </c>
      <c r="C1829" s="160" t="s">
        <v>7677</v>
      </c>
      <c r="D1829" s="160"/>
      <c r="E1829" s="439"/>
      <c r="F1829" s="161">
        <v>360.01836628000001</v>
      </c>
      <c r="G1829" s="161">
        <v>-66.733999999999995</v>
      </c>
      <c r="H1829" s="654">
        <v>2162.2295282</v>
      </c>
      <c r="I1829" s="654">
        <v>1.77551697771772</v>
      </c>
      <c r="J1829" s="191"/>
      <c r="K1829" s="191">
        <v>15861.7098028324</v>
      </c>
      <c r="L1829" s="191"/>
      <c r="M1829" s="191"/>
      <c r="N1829" s="191"/>
      <c r="O1829" s="191"/>
      <c r="P1829" s="191"/>
      <c r="Q1829" s="191"/>
      <c r="R1829" s="191"/>
      <c r="S1829" s="191"/>
      <c r="T1829" s="191"/>
      <c r="U1829" s="439"/>
      <c r="V1829" s="441"/>
      <c r="W1829" s="178"/>
      <c r="X1829" s="172"/>
      <c r="Y1829" s="172"/>
      <c r="Z1829" s="172"/>
      <c r="AA1829" s="195"/>
      <c r="AB1829" s="172"/>
    </row>
    <row r="1830" spans="1:28" ht="12.6" customHeight="1" x14ac:dyDescent="0.3">
      <c r="A1830" s="667"/>
      <c r="B1830" s="668" t="s">
        <v>7678</v>
      </c>
      <c r="C1830" s="160" t="s">
        <v>7679</v>
      </c>
      <c r="D1830" s="160"/>
      <c r="E1830" s="439"/>
      <c r="F1830" s="161">
        <v>828.09783503599999</v>
      </c>
      <c r="G1830" s="161"/>
      <c r="H1830" s="654"/>
      <c r="I1830" s="654"/>
      <c r="J1830" s="191"/>
      <c r="K1830" s="191">
        <v>2451940.9111854299</v>
      </c>
      <c r="L1830" s="191"/>
      <c r="M1830" s="191"/>
      <c r="N1830" s="191"/>
      <c r="O1830" s="191"/>
      <c r="P1830" s="191"/>
      <c r="Q1830" s="191"/>
      <c r="R1830" s="191"/>
      <c r="S1830" s="191"/>
      <c r="T1830" s="191"/>
      <c r="U1830" s="439"/>
      <c r="V1830" s="441"/>
      <c r="W1830" s="178"/>
      <c r="X1830" s="172"/>
      <c r="Y1830" s="172"/>
      <c r="Z1830" s="172"/>
      <c r="AA1830" s="195"/>
      <c r="AB1830" s="172"/>
    </row>
    <row r="1831" spans="1:28" ht="12.6" customHeight="1" x14ac:dyDescent="0.3">
      <c r="A1831" s="667"/>
      <c r="B1831" s="668" t="s">
        <v>7680</v>
      </c>
      <c r="C1831" s="160" t="s">
        <v>7681</v>
      </c>
      <c r="D1831" s="160"/>
      <c r="E1831" s="439"/>
      <c r="F1831" s="161">
        <v>348.09602686400001</v>
      </c>
      <c r="G1831" s="161"/>
      <c r="H1831" s="654"/>
      <c r="I1831" s="654"/>
      <c r="J1831" s="191"/>
      <c r="K1831" s="191">
        <v>140497.95403938601</v>
      </c>
      <c r="L1831" s="191"/>
      <c r="M1831" s="191"/>
      <c r="N1831" s="191"/>
      <c r="O1831" s="191"/>
      <c r="P1831" s="191"/>
      <c r="Q1831" s="191"/>
      <c r="R1831" s="191"/>
      <c r="S1831" s="191"/>
      <c r="T1831" s="191"/>
      <c r="U1831" s="439"/>
      <c r="V1831" s="441"/>
      <c r="W1831" s="178"/>
      <c r="X1831" s="172"/>
      <c r="Y1831" s="172"/>
      <c r="Z1831" s="172"/>
      <c r="AA1831" s="195"/>
      <c r="AB1831" s="172"/>
    </row>
    <row r="1832" spans="1:28" ht="12.6" customHeight="1" x14ac:dyDescent="0.3">
      <c r="A1832" s="667"/>
      <c r="B1832" s="668" t="s">
        <v>7682</v>
      </c>
      <c r="C1832" s="160" t="s">
        <v>7683</v>
      </c>
      <c r="D1832" s="160"/>
      <c r="E1832" s="439"/>
      <c r="F1832" s="161">
        <v>534.04875836500003</v>
      </c>
      <c r="G1832" s="161"/>
      <c r="H1832" s="654"/>
      <c r="I1832" s="654"/>
      <c r="J1832" s="191"/>
      <c r="K1832" s="191">
        <v>193905.44297225599</v>
      </c>
      <c r="L1832" s="191"/>
      <c r="M1832" s="191"/>
      <c r="N1832" s="191"/>
      <c r="O1832" s="191"/>
      <c r="P1832" s="191"/>
      <c r="Q1832" s="191"/>
      <c r="R1832" s="191"/>
      <c r="S1832" s="191"/>
      <c r="T1832" s="191"/>
      <c r="U1832" s="439"/>
      <c r="V1832" s="441"/>
      <c r="W1832" s="178"/>
      <c r="X1832" s="172"/>
      <c r="Y1832" s="172"/>
      <c r="Z1832" s="172"/>
      <c r="AA1832" s="195"/>
      <c r="AB1832" s="172"/>
    </row>
    <row r="1833" spans="1:28" ht="12.6" customHeight="1" x14ac:dyDescent="0.3">
      <c r="A1833" s="667"/>
      <c r="B1833" s="668" t="s">
        <v>7684</v>
      </c>
      <c r="C1833" s="160" t="s">
        <v>7685</v>
      </c>
      <c r="D1833" s="160"/>
      <c r="E1833" s="439"/>
      <c r="F1833" s="161">
        <v>284.06472673500002</v>
      </c>
      <c r="G1833" s="161">
        <v>8.5739999999999998</v>
      </c>
      <c r="H1833" s="654">
        <v>21.033012041999999</v>
      </c>
      <c r="I1833" s="654">
        <v>19.517178366836202</v>
      </c>
      <c r="J1833" s="191"/>
      <c r="K1833" s="191">
        <v>1152.3913771994801</v>
      </c>
      <c r="L1833" s="191"/>
      <c r="M1833" s="191"/>
      <c r="N1833" s="191"/>
      <c r="O1833" s="191"/>
      <c r="P1833" s="191"/>
      <c r="Q1833" s="191"/>
      <c r="R1833" s="191"/>
      <c r="S1833" s="191"/>
      <c r="T1833" s="191"/>
      <c r="U1833" s="439"/>
      <c r="V1833" s="441"/>
      <c r="W1833" s="178"/>
      <c r="X1833" s="172"/>
      <c r="Y1833" s="172"/>
      <c r="Z1833" s="172"/>
      <c r="AA1833" s="195"/>
      <c r="AB1833" s="172"/>
    </row>
    <row r="1834" spans="1:28" ht="12.6" customHeight="1" x14ac:dyDescent="0.3">
      <c r="A1834" s="667"/>
      <c r="B1834" s="668" t="s">
        <v>7686</v>
      </c>
      <c r="C1834" s="160" t="s">
        <v>7687</v>
      </c>
      <c r="D1834" s="160"/>
      <c r="E1834" s="439"/>
      <c r="F1834" s="161">
        <v>348.07718312600002</v>
      </c>
      <c r="G1834" s="161"/>
      <c r="H1834" s="654"/>
      <c r="I1834" s="654"/>
      <c r="J1834" s="191"/>
      <c r="K1834" s="191">
        <v>2935.3507279475398</v>
      </c>
      <c r="L1834" s="191"/>
      <c r="M1834" s="191"/>
      <c r="N1834" s="191"/>
      <c r="O1834" s="191"/>
      <c r="P1834" s="191"/>
      <c r="Q1834" s="191"/>
      <c r="R1834" s="191"/>
      <c r="S1834" s="191"/>
      <c r="T1834" s="191"/>
      <c r="U1834" s="439"/>
      <c r="V1834" s="441"/>
      <c r="W1834" s="178"/>
      <c r="X1834" s="172"/>
      <c r="Y1834" s="172"/>
      <c r="Z1834" s="172"/>
      <c r="AA1834" s="195"/>
      <c r="AB1834" s="172"/>
    </row>
    <row r="1835" spans="1:28" ht="12.6" customHeight="1" x14ac:dyDescent="0.3">
      <c r="A1835" s="667"/>
      <c r="B1835" s="668" t="s">
        <v>7688</v>
      </c>
      <c r="C1835" s="160" t="s">
        <v>7689</v>
      </c>
      <c r="D1835" s="160"/>
      <c r="E1835" s="439"/>
      <c r="F1835" s="161">
        <v>306.07233753899999</v>
      </c>
      <c r="G1835" s="161"/>
      <c r="H1835" s="654"/>
      <c r="I1835" s="654"/>
      <c r="J1835" s="191"/>
      <c r="K1835" s="191">
        <v>10647.557645326</v>
      </c>
      <c r="L1835" s="191"/>
      <c r="M1835" s="191"/>
      <c r="N1835" s="191"/>
      <c r="O1835" s="191"/>
      <c r="P1835" s="191"/>
      <c r="Q1835" s="191"/>
      <c r="R1835" s="191"/>
      <c r="S1835" s="191"/>
      <c r="T1835" s="191"/>
      <c r="U1835" s="439"/>
      <c r="V1835" s="441"/>
      <c r="W1835" s="178"/>
      <c r="X1835" s="172"/>
      <c r="Y1835" s="172"/>
      <c r="Z1835" s="172"/>
      <c r="AA1835" s="195"/>
      <c r="AB1835" s="172"/>
    </row>
    <row r="1836" spans="1:28" ht="12.6" customHeight="1" x14ac:dyDescent="0.3">
      <c r="A1836" s="667"/>
      <c r="B1836" s="668" t="s">
        <v>7690</v>
      </c>
      <c r="C1836" s="160" t="s">
        <v>7691</v>
      </c>
      <c r="D1836" s="160"/>
      <c r="E1836" s="439"/>
      <c r="F1836" s="161">
        <v>554.00328776900005</v>
      </c>
      <c r="G1836" s="161">
        <v>-54.795999999999999</v>
      </c>
      <c r="H1836" s="654">
        <v>2.5935928592000002</v>
      </c>
      <c r="I1836" s="654">
        <v>6.3461630617226705E-2</v>
      </c>
      <c r="J1836" s="191"/>
      <c r="K1836" s="191">
        <v>169277797.609853</v>
      </c>
      <c r="L1836" s="191"/>
      <c r="M1836" s="191"/>
      <c r="N1836" s="191"/>
      <c r="O1836" s="191"/>
      <c r="P1836" s="191"/>
      <c r="Q1836" s="191"/>
      <c r="R1836" s="191"/>
      <c r="S1836" s="191"/>
      <c r="T1836" s="191"/>
      <c r="U1836" s="439"/>
      <c r="V1836" s="441"/>
      <c r="W1836" s="178"/>
      <c r="X1836" s="172"/>
      <c r="Y1836" s="172"/>
      <c r="Z1836" s="172"/>
      <c r="AA1836" s="195"/>
      <c r="AB1836" s="172"/>
    </row>
    <row r="1837" spans="1:28" ht="12.6" customHeight="1" x14ac:dyDescent="0.3">
      <c r="A1837" s="667"/>
      <c r="B1837" s="668" t="s">
        <v>7692</v>
      </c>
      <c r="C1837" s="160" t="s">
        <v>7693</v>
      </c>
      <c r="D1837" s="160"/>
      <c r="E1837" s="439"/>
      <c r="F1837" s="161">
        <v>486.01590331199998</v>
      </c>
      <c r="G1837" s="161">
        <v>-13.571999999999999</v>
      </c>
      <c r="H1837" s="654">
        <v>2.437259482</v>
      </c>
      <c r="I1837" s="654">
        <v>0.35698548520530998</v>
      </c>
      <c r="J1837" s="191"/>
      <c r="K1837" s="191">
        <v>1010206.13113281</v>
      </c>
      <c r="L1837" s="191"/>
      <c r="M1837" s="191"/>
      <c r="N1837" s="191"/>
      <c r="O1837" s="191"/>
      <c r="P1837" s="191"/>
      <c r="Q1837" s="191"/>
      <c r="R1837" s="191"/>
      <c r="S1837" s="191"/>
      <c r="T1837" s="191"/>
      <c r="U1837" s="439"/>
      <c r="V1837" s="441"/>
      <c r="W1837" s="178"/>
      <c r="X1837" s="172"/>
      <c r="Y1837" s="172"/>
      <c r="Z1837" s="172"/>
      <c r="AA1837" s="195"/>
      <c r="AB1837" s="172"/>
    </row>
    <row r="1838" spans="1:28" ht="12.6" customHeight="1" x14ac:dyDescent="0.3">
      <c r="A1838" s="667"/>
      <c r="B1838" s="668" t="s">
        <v>7694</v>
      </c>
      <c r="C1838" s="160" t="s">
        <v>7695</v>
      </c>
      <c r="D1838" s="160"/>
      <c r="E1838" s="439"/>
      <c r="F1838" s="161">
        <v>454.00967511699997</v>
      </c>
      <c r="G1838" s="161">
        <v>-23.562000000000001</v>
      </c>
      <c r="H1838" s="654">
        <v>2.9641613581999899</v>
      </c>
      <c r="I1838" s="654">
        <v>0.63396549004312497</v>
      </c>
      <c r="J1838" s="191"/>
      <c r="K1838" s="191">
        <v>2165309.5932037299</v>
      </c>
      <c r="L1838" s="191"/>
      <c r="M1838" s="191"/>
      <c r="N1838" s="191"/>
      <c r="O1838" s="191"/>
      <c r="P1838" s="191"/>
      <c r="Q1838" s="191"/>
      <c r="R1838" s="191"/>
      <c r="S1838" s="191"/>
      <c r="T1838" s="191"/>
      <c r="U1838" s="439"/>
      <c r="V1838" s="441"/>
      <c r="W1838" s="178"/>
      <c r="X1838" s="172"/>
      <c r="Y1838" s="172"/>
      <c r="Z1838" s="172"/>
      <c r="AA1838" s="195"/>
      <c r="AB1838" s="172"/>
    </row>
    <row r="1839" spans="1:28" ht="12.6" customHeight="1" x14ac:dyDescent="0.3">
      <c r="A1839" s="667"/>
      <c r="B1839" s="668" t="s">
        <v>7696</v>
      </c>
      <c r="C1839" s="160" t="s">
        <v>7697</v>
      </c>
      <c r="D1839" s="160"/>
      <c r="E1839" s="439"/>
      <c r="F1839" s="161">
        <v>404.01286879100002</v>
      </c>
      <c r="G1839" s="161">
        <v>-11.321999999999999</v>
      </c>
      <c r="H1839" s="654">
        <v>0.42845157851999999</v>
      </c>
      <c r="I1839" s="654">
        <v>1.0529181379996599</v>
      </c>
      <c r="J1839" s="191"/>
      <c r="K1839" s="191">
        <v>211831.235874234</v>
      </c>
      <c r="L1839" s="191"/>
      <c r="M1839" s="191"/>
      <c r="N1839" s="191"/>
      <c r="O1839" s="191"/>
      <c r="P1839" s="191"/>
      <c r="Q1839" s="191"/>
      <c r="R1839" s="191"/>
      <c r="S1839" s="191"/>
      <c r="T1839" s="191"/>
      <c r="U1839" s="439"/>
      <c r="V1839" s="441"/>
      <c r="W1839" s="178"/>
      <c r="X1839" s="172"/>
      <c r="Y1839" s="172"/>
      <c r="Z1839" s="172"/>
      <c r="AA1839" s="195"/>
      <c r="AB1839" s="172"/>
    </row>
    <row r="1840" spans="1:28" ht="12.6" customHeight="1" x14ac:dyDescent="0.3">
      <c r="A1840" s="667"/>
      <c r="B1840" s="668" t="s">
        <v>7698</v>
      </c>
      <c r="C1840" s="160" t="s">
        <v>7699</v>
      </c>
      <c r="D1840" s="160"/>
      <c r="E1840" s="439"/>
      <c r="F1840" s="161">
        <v>354.016062465</v>
      </c>
      <c r="G1840" s="161">
        <v>-8.1120000000000001</v>
      </c>
      <c r="H1840" s="654">
        <v>5.98275808899999E-3</v>
      </c>
      <c r="I1840" s="654">
        <v>2.3175165906783701</v>
      </c>
      <c r="J1840" s="191"/>
      <c r="K1840" s="191">
        <v>119833.984521727</v>
      </c>
      <c r="L1840" s="191"/>
      <c r="M1840" s="191"/>
      <c r="N1840" s="191"/>
      <c r="O1840" s="191"/>
      <c r="P1840" s="191"/>
      <c r="Q1840" s="191"/>
      <c r="R1840" s="191"/>
      <c r="S1840" s="191"/>
      <c r="T1840" s="191"/>
      <c r="U1840" s="439"/>
      <c r="V1840" s="441"/>
      <c r="W1840" s="178"/>
      <c r="X1840" s="172"/>
      <c r="Y1840" s="172"/>
      <c r="Z1840" s="172"/>
      <c r="AA1840" s="195"/>
      <c r="AB1840" s="172"/>
    </row>
    <row r="1841" spans="1:28" ht="12.6" customHeight="1" x14ac:dyDescent="0.3">
      <c r="A1841" s="667"/>
      <c r="B1841" s="668" t="s">
        <v>7700</v>
      </c>
      <c r="C1841" s="160" t="s">
        <v>7701</v>
      </c>
      <c r="D1841" s="160"/>
      <c r="E1841" s="439"/>
      <c r="F1841" s="161">
        <v>558.05343163600003</v>
      </c>
      <c r="G1841" s="161"/>
      <c r="H1841" s="654"/>
      <c r="I1841" s="654"/>
      <c r="J1841" s="191"/>
      <c r="K1841" s="191">
        <v>6350822.8691906203</v>
      </c>
      <c r="L1841" s="191"/>
      <c r="M1841" s="191"/>
      <c r="N1841" s="191"/>
      <c r="O1841" s="191"/>
      <c r="P1841" s="191"/>
      <c r="Q1841" s="191"/>
      <c r="R1841" s="191"/>
      <c r="S1841" s="191"/>
      <c r="T1841" s="191"/>
      <c r="U1841" s="439"/>
      <c r="V1841" s="441"/>
      <c r="W1841" s="178"/>
      <c r="X1841" s="172"/>
      <c r="Y1841" s="172"/>
      <c r="Z1841" s="172"/>
      <c r="AA1841" s="195"/>
      <c r="AB1841" s="172"/>
    </row>
    <row r="1842" spans="1:28" ht="12.6" customHeight="1" x14ac:dyDescent="0.3">
      <c r="A1842" s="667"/>
      <c r="B1842" s="668" t="s">
        <v>7702</v>
      </c>
      <c r="C1842" s="160" t="s">
        <v>7703</v>
      </c>
      <c r="D1842" s="160"/>
      <c r="E1842" s="439">
        <v>1.86</v>
      </c>
      <c r="F1842" s="161">
        <v>404.06701236599997</v>
      </c>
      <c r="G1842" s="161">
        <v>77.525999999999996</v>
      </c>
      <c r="H1842" s="654">
        <v>1.717520665E-2</v>
      </c>
      <c r="I1842" s="654">
        <v>1.04822256213962</v>
      </c>
      <c r="J1842" s="191"/>
      <c r="K1842" s="191">
        <v>102089.24687895201</v>
      </c>
      <c r="L1842" s="191"/>
      <c r="M1842" s="191"/>
      <c r="N1842" s="191"/>
      <c r="O1842" s="191"/>
      <c r="P1842" s="191"/>
      <c r="Q1842" s="191"/>
      <c r="R1842" s="191"/>
      <c r="S1842" s="191"/>
      <c r="T1842" s="191"/>
      <c r="U1842" s="439"/>
      <c r="V1842" s="441"/>
      <c r="W1842" s="178"/>
      <c r="X1842" s="172"/>
      <c r="Y1842" s="172"/>
      <c r="Z1842" s="172"/>
      <c r="AA1842" s="195"/>
      <c r="AB1842" s="172"/>
    </row>
    <row r="1843" spans="1:28" ht="12.6" customHeight="1" x14ac:dyDescent="0.3">
      <c r="A1843" s="667"/>
      <c r="B1843" s="668" t="s">
        <v>7704</v>
      </c>
      <c r="C1843" s="160" t="s">
        <v>7447</v>
      </c>
      <c r="D1843" s="160"/>
      <c r="E1843" s="439">
        <v>7.58</v>
      </c>
      <c r="F1843" s="161">
        <v>697.05794332400001</v>
      </c>
      <c r="G1843" s="161"/>
      <c r="H1843" s="654"/>
      <c r="I1843" s="654"/>
      <c r="J1843" s="191"/>
      <c r="K1843" s="191">
        <v>6.5336971472395202</v>
      </c>
      <c r="L1843" s="191"/>
      <c r="M1843" s="191"/>
      <c r="N1843" s="191"/>
      <c r="O1843" s="191"/>
      <c r="P1843" s="191"/>
      <c r="Q1843" s="191"/>
      <c r="R1843" s="191"/>
      <c r="S1843" s="191"/>
      <c r="T1843" s="191"/>
      <c r="U1843" s="439"/>
      <c r="V1843" s="441"/>
      <c r="W1843" s="178"/>
      <c r="X1843" s="172"/>
      <c r="Y1843" s="172"/>
      <c r="Z1843" s="172"/>
      <c r="AA1843" s="195"/>
      <c r="AB1843" s="172"/>
    </row>
    <row r="1844" spans="1:28" ht="12.6" customHeight="1" x14ac:dyDescent="0.3">
      <c r="A1844" s="667"/>
      <c r="B1844" s="668" t="s">
        <v>7705</v>
      </c>
      <c r="C1844" s="160" t="s">
        <v>7706</v>
      </c>
      <c r="D1844" s="160"/>
      <c r="E1844" s="439"/>
      <c r="F1844" s="161">
        <v>504.00648144299998</v>
      </c>
      <c r="G1844" s="161"/>
      <c r="H1844" s="654"/>
      <c r="I1844" s="654"/>
      <c r="J1844" s="191"/>
      <c r="K1844" s="191">
        <v>112276793.19662599</v>
      </c>
      <c r="L1844" s="191"/>
      <c r="M1844" s="191"/>
      <c r="N1844" s="191"/>
      <c r="O1844" s="191"/>
      <c r="P1844" s="191"/>
      <c r="Q1844" s="191"/>
      <c r="R1844" s="191"/>
      <c r="S1844" s="191"/>
      <c r="T1844" s="191"/>
      <c r="U1844" s="439"/>
      <c r="V1844" s="441"/>
      <c r="W1844" s="178"/>
      <c r="X1844" s="172"/>
      <c r="Y1844" s="172"/>
      <c r="Z1844" s="172"/>
      <c r="AA1844" s="195"/>
      <c r="AB1844" s="172"/>
    </row>
    <row r="1845" spans="1:28" ht="12.6" customHeight="1" x14ac:dyDescent="0.3">
      <c r="A1845" s="667"/>
      <c r="B1845" s="668" t="s">
        <v>7707</v>
      </c>
      <c r="C1845" s="160" t="s">
        <v>7708</v>
      </c>
      <c r="D1845" s="160"/>
      <c r="E1845" s="439"/>
      <c r="F1845" s="161">
        <v>618.01574415899995</v>
      </c>
      <c r="G1845" s="161"/>
      <c r="H1845" s="654"/>
      <c r="I1845" s="654"/>
      <c r="J1845" s="191"/>
      <c r="K1845" s="191">
        <v>350477385.15999103</v>
      </c>
      <c r="L1845" s="191"/>
      <c r="M1845" s="191"/>
      <c r="N1845" s="191"/>
      <c r="O1845" s="191"/>
      <c r="P1845" s="191"/>
      <c r="Q1845" s="191"/>
      <c r="R1845" s="191"/>
      <c r="S1845" s="191"/>
      <c r="T1845" s="191"/>
      <c r="U1845" s="439"/>
      <c r="V1845" s="441"/>
      <c r="W1845" s="178"/>
      <c r="X1845" s="172"/>
      <c r="Y1845" s="172"/>
      <c r="Z1845" s="172"/>
      <c r="AA1845" s="195"/>
      <c r="AB1845" s="172"/>
    </row>
    <row r="1846" spans="1:28" ht="12.6" customHeight="1" x14ac:dyDescent="0.3">
      <c r="A1846" s="667"/>
      <c r="B1846" s="668" t="s">
        <v>7709</v>
      </c>
      <c r="C1846" s="160" t="s">
        <v>7710</v>
      </c>
      <c r="D1846" s="160"/>
      <c r="E1846" s="439"/>
      <c r="F1846" s="161">
        <v>418.02851885500002</v>
      </c>
      <c r="G1846" s="161"/>
      <c r="H1846" s="654"/>
      <c r="I1846" s="654"/>
      <c r="J1846" s="191"/>
      <c r="K1846" s="191">
        <v>191584.33682469101</v>
      </c>
      <c r="L1846" s="191"/>
      <c r="M1846" s="191"/>
      <c r="N1846" s="191"/>
      <c r="O1846" s="191"/>
      <c r="P1846" s="191"/>
      <c r="Q1846" s="191"/>
      <c r="R1846" s="191"/>
      <c r="S1846" s="191"/>
      <c r="T1846" s="191"/>
      <c r="U1846" s="439"/>
      <c r="V1846" s="441"/>
      <c r="W1846" s="178"/>
      <c r="X1846" s="172"/>
      <c r="Y1846" s="172"/>
      <c r="Z1846" s="172"/>
      <c r="AA1846" s="195"/>
      <c r="AB1846" s="172"/>
    </row>
    <row r="1847" spans="1:28" ht="12.6" customHeight="1" x14ac:dyDescent="0.3">
      <c r="A1847" s="667"/>
      <c r="B1847" s="668" t="s">
        <v>7711</v>
      </c>
      <c r="C1847" s="160" t="s">
        <v>7712</v>
      </c>
      <c r="D1847" s="160"/>
      <c r="E1847" s="439"/>
      <c r="F1847" s="161">
        <v>254.05416205099999</v>
      </c>
      <c r="G1847" s="161">
        <v>-72.087999999999994</v>
      </c>
      <c r="H1847" s="654">
        <v>294.374976</v>
      </c>
      <c r="I1847" s="654">
        <v>13.119763414972899</v>
      </c>
      <c r="J1847" s="191"/>
      <c r="K1847" s="191">
        <v>66493.623497433</v>
      </c>
      <c r="L1847" s="191"/>
      <c r="M1847" s="191"/>
      <c r="N1847" s="191"/>
      <c r="O1847" s="191"/>
      <c r="P1847" s="191"/>
      <c r="Q1847" s="191"/>
      <c r="R1847" s="191"/>
      <c r="S1847" s="191"/>
      <c r="T1847" s="191"/>
      <c r="U1847" s="439"/>
      <c r="V1847" s="441"/>
      <c r="W1847" s="178"/>
      <c r="X1847" s="172"/>
      <c r="Y1847" s="172"/>
      <c r="Z1847" s="172"/>
      <c r="AA1847" s="195"/>
      <c r="AB1847" s="172"/>
    </row>
    <row r="1848" spans="1:28" ht="12.6" customHeight="1" x14ac:dyDescent="0.3">
      <c r="A1848" s="667"/>
      <c r="B1848" s="668" t="s">
        <v>7713</v>
      </c>
      <c r="C1848" s="160" t="s">
        <v>7714</v>
      </c>
      <c r="D1848" s="160"/>
      <c r="E1848" s="439">
        <v>3.5</v>
      </c>
      <c r="F1848" s="161">
        <v>406.02384558400001</v>
      </c>
      <c r="G1848" s="161"/>
      <c r="H1848" s="654"/>
      <c r="I1848" s="654"/>
      <c r="J1848" s="191"/>
      <c r="K1848" s="191">
        <v>48948.569019516399</v>
      </c>
      <c r="L1848" s="191"/>
      <c r="M1848" s="191"/>
      <c r="N1848" s="191"/>
      <c r="O1848" s="191"/>
      <c r="P1848" s="191"/>
      <c r="Q1848" s="191"/>
      <c r="R1848" s="191"/>
      <c r="S1848" s="191"/>
      <c r="T1848" s="191"/>
      <c r="U1848" s="439"/>
      <c r="V1848" s="441"/>
      <c r="W1848" s="178"/>
      <c r="X1848" s="172"/>
      <c r="Y1848" s="172"/>
      <c r="Z1848" s="172"/>
      <c r="AA1848" s="195"/>
      <c r="AB1848" s="172"/>
    </row>
    <row r="1849" spans="1:28" ht="12.6" customHeight="1" x14ac:dyDescent="0.3">
      <c r="A1849" s="667"/>
      <c r="B1849" s="668" t="s">
        <v>7715</v>
      </c>
      <c r="C1849" s="160" t="s">
        <v>7716</v>
      </c>
      <c r="D1849" s="160"/>
      <c r="E1849" s="439">
        <v>13</v>
      </c>
      <c r="F1849" s="161">
        <v>242.05416205099999</v>
      </c>
      <c r="G1849" s="161"/>
      <c r="H1849" s="654"/>
      <c r="I1849" s="654"/>
      <c r="J1849" s="191"/>
      <c r="K1849" s="191">
        <v>3632.4529689936999</v>
      </c>
      <c r="L1849" s="191"/>
      <c r="M1849" s="191"/>
      <c r="N1849" s="191"/>
      <c r="O1849" s="191"/>
      <c r="P1849" s="191"/>
      <c r="Q1849" s="191"/>
      <c r="R1849" s="191"/>
      <c r="S1849" s="191"/>
      <c r="T1849" s="191"/>
      <c r="U1849" s="439"/>
      <c r="V1849" s="441"/>
      <c r="W1849" s="178"/>
      <c r="X1849" s="172"/>
      <c r="Y1849" s="172"/>
      <c r="Z1849" s="172"/>
      <c r="AA1849" s="195"/>
      <c r="AB1849" s="172"/>
    </row>
    <row r="1850" spans="1:28" ht="12.6" customHeight="1" x14ac:dyDescent="0.3">
      <c r="A1850" s="667"/>
      <c r="B1850" s="668" t="s">
        <v>7717</v>
      </c>
      <c r="C1850" s="160" t="s">
        <v>7718</v>
      </c>
      <c r="D1850" s="160"/>
      <c r="E1850" s="439">
        <v>8</v>
      </c>
      <c r="F1850" s="161">
        <v>316.050968377</v>
      </c>
      <c r="G1850" s="161"/>
      <c r="H1850" s="654"/>
      <c r="I1850" s="654"/>
      <c r="J1850" s="191"/>
      <c r="K1850" s="191">
        <v>4798.9917131745096</v>
      </c>
      <c r="L1850" s="191"/>
      <c r="M1850" s="191"/>
      <c r="N1850" s="191"/>
      <c r="O1850" s="191"/>
      <c r="P1850" s="191"/>
      <c r="Q1850" s="191"/>
      <c r="R1850" s="191"/>
      <c r="S1850" s="191"/>
      <c r="T1850" s="191"/>
      <c r="U1850" s="439"/>
      <c r="V1850" s="441"/>
      <c r="W1850" s="178"/>
      <c r="X1850" s="172"/>
      <c r="Y1850" s="172"/>
      <c r="Z1850" s="172"/>
      <c r="AA1850" s="195"/>
      <c r="AB1850" s="172"/>
    </row>
    <row r="1851" spans="1:28" ht="12.6" customHeight="1" x14ac:dyDescent="0.3">
      <c r="A1851" s="667"/>
      <c r="B1851" s="668" t="s">
        <v>7719</v>
      </c>
      <c r="C1851" s="160" t="s">
        <v>7720</v>
      </c>
      <c r="D1851" s="160"/>
      <c r="E1851" s="439"/>
      <c r="F1851" s="161">
        <v>633.16923442799998</v>
      </c>
      <c r="G1851" s="161"/>
      <c r="H1851" s="654">
        <v>7.7072914911999997E-3</v>
      </c>
      <c r="I1851" s="654"/>
      <c r="J1851" s="191"/>
      <c r="K1851" s="191">
        <v>1024707.70081564</v>
      </c>
      <c r="L1851" s="191"/>
      <c r="M1851" s="191"/>
      <c r="N1851" s="191"/>
      <c r="O1851" s="191"/>
      <c r="P1851" s="191"/>
      <c r="Q1851" s="191"/>
      <c r="R1851" s="191"/>
      <c r="S1851" s="191"/>
      <c r="T1851" s="191"/>
      <c r="U1851" s="439"/>
      <c r="V1851" s="441"/>
      <c r="W1851" s="178"/>
      <c r="X1851" s="172"/>
      <c r="Y1851" s="172"/>
      <c r="Z1851" s="172"/>
      <c r="AA1851" s="195"/>
      <c r="AB1851" s="172"/>
    </row>
    <row r="1852" spans="1:28" ht="12.6" customHeight="1" x14ac:dyDescent="0.3">
      <c r="A1852" s="667"/>
      <c r="B1852" s="668" t="s">
        <v>7721</v>
      </c>
      <c r="C1852" s="160" t="s">
        <v>7722</v>
      </c>
      <c r="D1852" s="160"/>
      <c r="E1852" s="439">
        <v>8.4600000000000009</v>
      </c>
      <c r="F1852" s="161">
        <v>585.07719917199995</v>
      </c>
      <c r="G1852" s="161"/>
      <c r="H1852" s="654"/>
      <c r="I1852" s="654"/>
      <c r="J1852" s="191"/>
      <c r="K1852" s="191">
        <v>170419.77987174</v>
      </c>
      <c r="L1852" s="191"/>
      <c r="M1852" s="191"/>
      <c r="N1852" s="191"/>
      <c r="O1852" s="191"/>
      <c r="P1852" s="191"/>
      <c r="Q1852" s="191"/>
      <c r="R1852" s="191"/>
      <c r="S1852" s="191"/>
      <c r="T1852" s="191"/>
      <c r="U1852" s="439"/>
      <c r="V1852" s="441"/>
      <c r="W1852" s="178"/>
      <c r="X1852" s="172"/>
      <c r="Y1852" s="172"/>
      <c r="Z1852" s="172"/>
      <c r="AA1852" s="195"/>
      <c r="AB1852" s="172"/>
    </row>
    <row r="1853" spans="1:28" ht="12.6" customHeight="1" x14ac:dyDescent="0.3">
      <c r="A1853" s="667"/>
      <c r="B1853" s="668" t="s">
        <v>7723</v>
      </c>
      <c r="C1853" s="160" t="s">
        <v>7724</v>
      </c>
      <c r="D1853" s="160"/>
      <c r="E1853" s="439">
        <v>5.65</v>
      </c>
      <c r="F1853" s="161">
        <v>570.057270969</v>
      </c>
      <c r="G1853" s="161"/>
      <c r="H1853" s="654"/>
      <c r="I1853" s="654"/>
      <c r="J1853" s="191"/>
      <c r="K1853" s="191">
        <v>794437.98280636803</v>
      </c>
      <c r="L1853" s="191"/>
      <c r="M1853" s="191"/>
      <c r="N1853" s="191"/>
      <c r="O1853" s="191"/>
      <c r="P1853" s="191"/>
      <c r="Q1853" s="191"/>
      <c r="R1853" s="191"/>
      <c r="S1853" s="191"/>
      <c r="T1853" s="191"/>
      <c r="U1853" s="439"/>
      <c r="V1853" s="441"/>
      <c r="W1853" s="178"/>
      <c r="X1853" s="172"/>
      <c r="Y1853" s="172"/>
      <c r="Z1853" s="172"/>
      <c r="AA1853" s="195"/>
      <c r="AB1853" s="172"/>
    </row>
    <row r="1854" spans="1:28" ht="12.6" customHeight="1" x14ac:dyDescent="0.3">
      <c r="A1854" s="667"/>
      <c r="B1854" s="668" t="s">
        <v>7725</v>
      </c>
      <c r="C1854" s="160" t="s">
        <v>7726</v>
      </c>
      <c r="D1854" s="160"/>
      <c r="E1854" s="439"/>
      <c r="F1854" s="161">
        <v>370.02270276899998</v>
      </c>
      <c r="G1854" s="161">
        <v>-19.738</v>
      </c>
      <c r="H1854" s="654">
        <v>138.64421424</v>
      </c>
      <c r="I1854" s="654">
        <v>0.86343317600335001</v>
      </c>
      <c r="J1854" s="191"/>
      <c r="K1854" s="191">
        <v>9649.1709351262998</v>
      </c>
      <c r="L1854" s="191"/>
      <c r="M1854" s="191"/>
      <c r="N1854" s="191"/>
      <c r="O1854" s="191"/>
      <c r="P1854" s="191"/>
      <c r="Q1854" s="191"/>
      <c r="R1854" s="191"/>
      <c r="S1854" s="191"/>
      <c r="T1854" s="191"/>
      <c r="U1854" s="439"/>
      <c r="V1854" s="441"/>
      <c r="W1854" s="178"/>
      <c r="X1854" s="172"/>
      <c r="Y1854" s="172"/>
      <c r="Z1854" s="172"/>
      <c r="AA1854" s="195"/>
      <c r="AB1854" s="172"/>
    </row>
    <row r="1855" spans="1:28" ht="12.6" customHeight="1" x14ac:dyDescent="0.3">
      <c r="A1855" s="667"/>
      <c r="B1855" s="668" t="s">
        <v>7727</v>
      </c>
      <c r="C1855" s="160" t="s">
        <v>7728</v>
      </c>
      <c r="D1855" s="160"/>
      <c r="E1855" s="439"/>
      <c r="F1855" s="161">
        <v>271.04432564299998</v>
      </c>
      <c r="G1855" s="161">
        <v>-76.346000000000004</v>
      </c>
      <c r="H1855" s="654">
        <v>297.10007768000003</v>
      </c>
      <c r="I1855" s="654">
        <v>14.4557425416809</v>
      </c>
      <c r="J1855" s="191"/>
      <c r="K1855" s="191">
        <v>447.92984510138001</v>
      </c>
      <c r="L1855" s="191"/>
      <c r="M1855" s="191"/>
      <c r="N1855" s="191"/>
      <c r="O1855" s="191"/>
      <c r="P1855" s="191"/>
      <c r="Q1855" s="191"/>
      <c r="R1855" s="191"/>
      <c r="S1855" s="191"/>
      <c r="T1855" s="191"/>
      <c r="U1855" s="439"/>
      <c r="V1855" s="441"/>
      <c r="W1855" s="178"/>
      <c r="X1855" s="172"/>
      <c r="Y1855" s="172"/>
      <c r="Z1855" s="172"/>
      <c r="AA1855" s="195"/>
      <c r="AB1855" s="172"/>
    </row>
    <row r="1856" spans="1:28" ht="12.6" customHeight="1" x14ac:dyDescent="0.3">
      <c r="A1856" s="667"/>
      <c r="B1856" s="668" t="s">
        <v>7729</v>
      </c>
      <c r="C1856" s="160" t="s">
        <v>7730</v>
      </c>
      <c r="D1856" s="160"/>
      <c r="E1856" s="439"/>
      <c r="F1856" s="161">
        <v>601.93992000000003</v>
      </c>
      <c r="G1856" s="161"/>
      <c r="H1856" s="654"/>
      <c r="I1856" s="654"/>
      <c r="J1856" s="191"/>
      <c r="K1856" s="191">
        <v>37852973.4375595</v>
      </c>
      <c r="L1856" s="191"/>
      <c r="M1856" s="191"/>
      <c r="N1856" s="191"/>
      <c r="O1856" s="191"/>
      <c r="P1856" s="191"/>
      <c r="Q1856" s="191"/>
      <c r="R1856" s="191"/>
      <c r="S1856" s="191"/>
      <c r="T1856" s="191"/>
      <c r="U1856" s="439"/>
      <c r="V1856" s="441"/>
      <c r="W1856" s="178"/>
      <c r="X1856" s="172"/>
      <c r="Y1856" s="172"/>
      <c r="Z1856" s="172"/>
      <c r="AA1856" s="195"/>
      <c r="AB1856" s="172"/>
    </row>
    <row r="1857" spans="1:28" ht="12.6" customHeight="1" x14ac:dyDescent="0.3">
      <c r="A1857" s="667"/>
      <c r="B1857" s="668" t="s">
        <v>7731</v>
      </c>
      <c r="C1857" s="160" t="s">
        <v>7732</v>
      </c>
      <c r="D1857" s="160"/>
      <c r="E1857" s="439">
        <v>6</v>
      </c>
      <c r="F1857" s="161">
        <v>241.070146467</v>
      </c>
      <c r="G1857" s="161"/>
      <c r="H1857" s="654"/>
      <c r="I1857" s="654"/>
      <c r="J1857" s="191"/>
      <c r="K1857" s="191">
        <v>938.96628813935001</v>
      </c>
      <c r="L1857" s="191"/>
      <c r="M1857" s="191"/>
      <c r="N1857" s="191"/>
      <c r="O1857" s="191"/>
      <c r="P1857" s="191"/>
      <c r="Q1857" s="191"/>
      <c r="R1857" s="191"/>
      <c r="S1857" s="191"/>
      <c r="T1857" s="191"/>
      <c r="U1857" s="439"/>
      <c r="V1857" s="441"/>
      <c r="W1857" s="178"/>
      <c r="X1857" s="172"/>
      <c r="Y1857" s="172"/>
      <c r="Z1857" s="172"/>
      <c r="AA1857" s="195"/>
      <c r="AB1857" s="172"/>
    </row>
    <row r="1858" spans="1:28" ht="12.6" customHeight="1" x14ac:dyDescent="0.3">
      <c r="A1858" s="667"/>
      <c r="B1858" s="668" t="s">
        <v>7733</v>
      </c>
      <c r="C1858" s="160" t="s">
        <v>7734</v>
      </c>
      <c r="D1858" s="160"/>
      <c r="E1858" s="439"/>
      <c r="F1858" s="161">
        <v>224.043597366</v>
      </c>
      <c r="G1858" s="161"/>
      <c r="H1858" s="654"/>
      <c r="I1858" s="654"/>
      <c r="J1858" s="191"/>
      <c r="K1858" s="191">
        <v>89573.594010492103</v>
      </c>
      <c r="L1858" s="191"/>
      <c r="M1858" s="191"/>
      <c r="N1858" s="191"/>
      <c r="O1858" s="191"/>
      <c r="P1858" s="191"/>
      <c r="Q1858" s="191"/>
      <c r="R1858" s="191"/>
      <c r="S1858" s="191"/>
      <c r="T1858" s="191"/>
      <c r="U1858" s="439"/>
      <c r="V1858" s="441"/>
      <c r="W1858" s="178"/>
      <c r="X1858" s="172"/>
      <c r="Y1858" s="172"/>
      <c r="Z1858" s="172"/>
      <c r="AA1858" s="195"/>
      <c r="AB1858" s="172"/>
    </row>
    <row r="1859" spans="1:28" ht="12.6" customHeight="1" x14ac:dyDescent="0.3">
      <c r="A1859" s="667"/>
      <c r="B1859" s="668" t="s">
        <v>7735</v>
      </c>
      <c r="C1859" s="160" t="s">
        <v>7736</v>
      </c>
      <c r="D1859" s="160"/>
      <c r="E1859" s="439"/>
      <c r="F1859" s="161">
        <v>270.04907667100002</v>
      </c>
      <c r="G1859" s="161"/>
      <c r="H1859" s="654"/>
      <c r="I1859" s="654"/>
      <c r="J1859" s="191"/>
      <c r="K1859" s="191">
        <v>391.30914716410302</v>
      </c>
      <c r="L1859" s="191"/>
      <c r="M1859" s="191"/>
      <c r="N1859" s="191"/>
      <c r="O1859" s="191"/>
      <c r="P1859" s="191"/>
      <c r="Q1859" s="191"/>
      <c r="R1859" s="191"/>
      <c r="S1859" s="191"/>
      <c r="T1859" s="191"/>
      <c r="U1859" s="439"/>
      <c r="V1859" s="441"/>
      <c r="W1859" s="178"/>
      <c r="X1859" s="172"/>
      <c r="Y1859" s="172"/>
      <c r="Z1859" s="172"/>
      <c r="AA1859" s="195"/>
      <c r="AB1859" s="172"/>
    </row>
    <row r="1860" spans="1:28" ht="12.6" customHeight="1" x14ac:dyDescent="0.3">
      <c r="A1860" s="667"/>
      <c r="B1860" s="668" t="s">
        <v>7737</v>
      </c>
      <c r="C1860" s="160" t="s">
        <v>7738</v>
      </c>
      <c r="D1860" s="160"/>
      <c r="E1860" s="439">
        <v>2.66</v>
      </c>
      <c r="F1860" s="161"/>
      <c r="G1860" s="161"/>
      <c r="H1860" s="654"/>
      <c r="I1860" s="654"/>
      <c r="J1860" s="191"/>
      <c r="K1860" s="191"/>
      <c r="L1860" s="191"/>
      <c r="M1860" s="191"/>
      <c r="N1860" s="191"/>
      <c r="O1860" s="191"/>
      <c r="P1860" s="191"/>
      <c r="Q1860" s="191"/>
      <c r="R1860" s="191"/>
      <c r="S1860" s="191"/>
      <c r="T1860" s="191"/>
      <c r="U1860" s="439"/>
      <c r="V1860" s="441"/>
      <c r="W1860" s="178"/>
      <c r="X1860" s="172"/>
      <c r="Y1860" s="172"/>
      <c r="Z1860" s="172"/>
      <c r="AA1860" s="195"/>
      <c r="AB1860" s="172"/>
    </row>
    <row r="1861" spans="1:28" ht="12.6" customHeight="1" x14ac:dyDescent="0.3">
      <c r="A1861" s="667"/>
      <c r="B1861" s="668" t="s">
        <v>7739</v>
      </c>
      <c r="C1861" s="160" t="s">
        <v>7740</v>
      </c>
      <c r="D1861" s="160"/>
      <c r="E1861" s="439"/>
      <c r="F1861" s="161">
        <v>565.95876999999996</v>
      </c>
      <c r="G1861" s="161"/>
      <c r="H1861" s="654"/>
      <c r="I1861" s="654"/>
      <c r="J1861" s="191"/>
      <c r="K1861" s="191">
        <v>26425912.947569199</v>
      </c>
      <c r="L1861" s="191"/>
      <c r="M1861" s="191"/>
      <c r="N1861" s="191"/>
      <c r="O1861" s="191"/>
      <c r="P1861" s="191"/>
      <c r="Q1861" s="191"/>
      <c r="R1861" s="191"/>
      <c r="S1861" s="191"/>
      <c r="T1861" s="191"/>
      <c r="U1861" s="439"/>
      <c r="V1861" s="441"/>
      <c r="W1861" s="178"/>
      <c r="X1861" s="172"/>
      <c r="Y1861" s="172"/>
      <c r="Z1861" s="172"/>
      <c r="AA1861" s="195"/>
      <c r="AB1861" s="172"/>
    </row>
    <row r="1862" spans="1:28" ht="12.6" customHeight="1" x14ac:dyDescent="0.3">
      <c r="A1862" s="667"/>
      <c r="B1862" s="668" t="s">
        <v>7741</v>
      </c>
      <c r="C1862" s="160" t="s">
        <v>7742</v>
      </c>
      <c r="D1862" s="160"/>
      <c r="E1862" s="439"/>
      <c r="F1862" s="161">
        <v>242.05416205099999</v>
      </c>
      <c r="G1862" s="161">
        <v>-39.323</v>
      </c>
      <c r="H1862" s="654">
        <v>106.881314316</v>
      </c>
      <c r="I1862" s="654">
        <v>28.178251166843001</v>
      </c>
      <c r="J1862" s="191"/>
      <c r="K1862" s="191">
        <v>5444.02360984604</v>
      </c>
      <c r="L1862" s="191"/>
      <c r="M1862" s="191"/>
      <c r="N1862" s="191"/>
      <c r="O1862" s="191"/>
      <c r="P1862" s="191"/>
      <c r="Q1862" s="191"/>
      <c r="R1862" s="191"/>
      <c r="S1862" s="191"/>
      <c r="T1862" s="191"/>
      <c r="U1862" s="439"/>
      <c r="V1862" s="441"/>
      <c r="W1862" s="178"/>
      <c r="X1862" s="172"/>
      <c r="Y1862" s="172"/>
      <c r="Z1862" s="172"/>
      <c r="AA1862" s="195"/>
      <c r="AB1862" s="172"/>
    </row>
    <row r="1863" spans="1:28" ht="12.6" customHeight="1" x14ac:dyDescent="0.3">
      <c r="A1863" s="667"/>
      <c r="B1863" s="668" t="s">
        <v>7743</v>
      </c>
      <c r="C1863" s="160" t="s">
        <v>7744</v>
      </c>
      <c r="D1863" s="160"/>
      <c r="E1863" s="439">
        <v>5</v>
      </c>
      <c r="F1863" s="161">
        <v>335.986334</v>
      </c>
      <c r="G1863" s="161"/>
      <c r="H1863" s="654"/>
      <c r="I1863" s="654"/>
      <c r="J1863" s="191"/>
      <c r="K1863" s="191">
        <v>217055.10268658301</v>
      </c>
      <c r="L1863" s="191"/>
      <c r="M1863" s="191"/>
      <c r="N1863" s="191"/>
      <c r="O1863" s="191"/>
      <c r="P1863" s="191"/>
      <c r="Q1863" s="191"/>
      <c r="R1863" s="191"/>
      <c r="S1863" s="191"/>
      <c r="T1863" s="191"/>
      <c r="U1863" s="439"/>
      <c r="V1863" s="441"/>
      <c r="W1863" s="178"/>
      <c r="X1863" s="172"/>
      <c r="Y1863" s="172"/>
      <c r="Z1863" s="172"/>
      <c r="AA1863" s="195"/>
      <c r="AB1863" s="172"/>
    </row>
    <row r="1864" spans="1:28" ht="12.6" customHeight="1" x14ac:dyDescent="0.3">
      <c r="A1864" s="667"/>
      <c r="B1864" s="668" t="s">
        <v>7745</v>
      </c>
      <c r="C1864" s="160" t="s">
        <v>7746</v>
      </c>
      <c r="D1864" s="160"/>
      <c r="E1864" s="439"/>
      <c r="F1864" s="161">
        <v>238.05924743099999</v>
      </c>
      <c r="G1864" s="161"/>
      <c r="H1864" s="654"/>
      <c r="I1864" s="654"/>
      <c r="J1864" s="191"/>
      <c r="K1864" s="191">
        <v>138573.44057685399</v>
      </c>
      <c r="L1864" s="191"/>
      <c r="M1864" s="191"/>
      <c r="N1864" s="191"/>
      <c r="O1864" s="191"/>
      <c r="P1864" s="191"/>
      <c r="Q1864" s="191"/>
      <c r="R1864" s="191"/>
      <c r="S1864" s="191"/>
      <c r="T1864" s="191"/>
      <c r="U1864" s="439"/>
      <c r="V1864" s="441"/>
      <c r="W1864" s="178"/>
      <c r="X1864" s="172"/>
      <c r="Y1864" s="172"/>
      <c r="Z1864" s="172"/>
      <c r="AA1864" s="195"/>
      <c r="AB1864" s="172"/>
    </row>
    <row r="1865" spans="1:28" ht="12.6" customHeight="1" x14ac:dyDescent="0.3">
      <c r="A1865" s="667"/>
      <c r="B1865" s="668" t="s">
        <v>7747</v>
      </c>
      <c r="C1865" s="160" t="s">
        <v>7748</v>
      </c>
      <c r="D1865" s="160"/>
      <c r="E1865" s="439">
        <v>3.4</v>
      </c>
      <c r="F1865" s="161">
        <v>342.08660499500002</v>
      </c>
      <c r="G1865" s="161"/>
      <c r="H1865" s="654"/>
      <c r="I1865" s="654"/>
      <c r="J1865" s="191"/>
      <c r="K1865" s="191"/>
      <c r="L1865" s="191"/>
      <c r="M1865" s="191"/>
      <c r="N1865" s="191"/>
      <c r="O1865" s="191"/>
      <c r="P1865" s="191"/>
      <c r="Q1865" s="191"/>
      <c r="R1865" s="191"/>
      <c r="S1865" s="191"/>
      <c r="T1865" s="191"/>
      <c r="U1865" s="439"/>
      <c r="V1865" s="441"/>
      <c r="W1865" s="178"/>
      <c r="X1865" s="172"/>
      <c r="Y1865" s="172"/>
      <c r="Z1865" s="172"/>
      <c r="AA1865" s="195"/>
      <c r="AB1865" s="172"/>
    </row>
    <row r="1866" spans="1:28" ht="12.6" customHeight="1" x14ac:dyDescent="0.3">
      <c r="A1866" s="667"/>
      <c r="B1866" s="668" t="s">
        <v>7749</v>
      </c>
      <c r="C1866" s="160" t="s">
        <v>7750</v>
      </c>
      <c r="D1866" s="160"/>
      <c r="E1866" s="439"/>
      <c r="F1866" s="161">
        <v>427.96834999999999</v>
      </c>
      <c r="G1866" s="161"/>
      <c r="H1866" s="654"/>
      <c r="I1866" s="654"/>
      <c r="J1866" s="191"/>
      <c r="K1866" s="191">
        <v>5955112.9072920699</v>
      </c>
      <c r="L1866" s="191"/>
      <c r="M1866" s="191"/>
      <c r="N1866" s="191"/>
      <c r="O1866" s="191"/>
      <c r="P1866" s="191"/>
      <c r="Q1866" s="191"/>
      <c r="R1866" s="191"/>
      <c r="S1866" s="191"/>
      <c r="T1866" s="191"/>
      <c r="U1866" s="439"/>
      <c r="V1866" s="441"/>
      <c r="W1866" s="178"/>
      <c r="X1866" s="172"/>
      <c r="Y1866" s="172"/>
      <c r="Z1866" s="172"/>
      <c r="AA1866" s="195"/>
      <c r="AB1866" s="172"/>
    </row>
    <row r="1867" spans="1:28" ht="12.6" customHeight="1" x14ac:dyDescent="0.3">
      <c r="A1867" s="667"/>
      <c r="B1867" s="668" t="s">
        <v>7751</v>
      </c>
      <c r="C1867" s="160" t="s">
        <v>7752</v>
      </c>
      <c r="D1867" s="160"/>
      <c r="E1867" s="439"/>
      <c r="F1867" s="161">
        <v>529.97761000000003</v>
      </c>
      <c r="G1867" s="161"/>
      <c r="H1867" s="654"/>
      <c r="I1867" s="654"/>
      <c r="J1867" s="191"/>
      <c r="K1867" s="191">
        <v>37613175.467930101</v>
      </c>
      <c r="L1867" s="191"/>
      <c r="M1867" s="191"/>
      <c r="N1867" s="191"/>
      <c r="O1867" s="191"/>
      <c r="P1867" s="191"/>
      <c r="Q1867" s="191"/>
      <c r="R1867" s="191"/>
      <c r="S1867" s="191"/>
      <c r="T1867" s="191"/>
      <c r="U1867" s="439"/>
      <c r="V1867" s="441"/>
      <c r="W1867" s="178"/>
      <c r="X1867" s="172"/>
      <c r="Y1867" s="172"/>
      <c r="Z1867" s="172"/>
      <c r="AA1867" s="195"/>
      <c r="AB1867" s="172"/>
    </row>
    <row r="1868" spans="1:28" ht="12.6" customHeight="1" x14ac:dyDescent="0.3">
      <c r="A1868" s="667"/>
      <c r="B1868" s="668" t="s">
        <v>7753</v>
      </c>
      <c r="C1868" s="160" t="s">
        <v>7754</v>
      </c>
      <c r="D1868" s="160"/>
      <c r="E1868" s="439"/>
      <c r="F1868" s="161">
        <v>379.98719</v>
      </c>
      <c r="G1868" s="161"/>
      <c r="H1868" s="654"/>
      <c r="I1868" s="654"/>
      <c r="J1868" s="191"/>
      <c r="K1868" s="191">
        <v>207907.425205031</v>
      </c>
      <c r="L1868" s="191"/>
      <c r="M1868" s="191"/>
      <c r="N1868" s="191"/>
      <c r="O1868" s="191"/>
      <c r="P1868" s="191"/>
      <c r="Q1868" s="191"/>
      <c r="R1868" s="191"/>
      <c r="S1868" s="191"/>
      <c r="T1868" s="191"/>
      <c r="U1868" s="439"/>
      <c r="V1868" s="441"/>
      <c r="W1868" s="178"/>
      <c r="X1868" s="172"/>
      <c r="Y1868" s="172"/>
      <c r="Z1868" s="172"/>
      <c r="AA1868" s="195"/>
      <c r="AB1868" s="172"/>
    </row>
    <row r="1869" spans="1:28" ht="12.6" customHeight="1" x14ac:dyDescent="0.3">
      <c r="A1869" s="667"/>
      <c r="B1869" s="668" t="s">
        <v>7755</v>
      </c>
      <c r="C1869" s="160" t="s">
        <v>7756</v>
      </c>
      <c r="D1869" s="160"/>
      <c r="E1869" s="439"/>
      <c r="F1869" s="161">
        <v>729.96483999999998</v>
      </c>
      <c r="G1869" s="161"/>
      <c r="H1869" s="654"/>
      <c r="I1869" s="654"/>
      <c r="J1869" s="191"/>
      <c r="K1869" s="191">
        <v>33215439.2466457</v>
      </c>
      <c r="L1869" s="191"/>
      <c r="M1869" s="191"/>
      <c r="N1869" s="191"/>
      <c r="O1869" s="191"/>
      <c r="P1869" s="191"/>
      <c r="Q1869" s="191"/>
      <c r="R1869" s="191"/>
      <c r="S1869" s="191"/>
      <c r="T1869" s="191"/>
      <c r="U1869" s="439"/>
      <c r="V1869" s="441"/>
      <c r="W1869" s="178"/>
      <c r="X1869" s="172"/>
      <c r="Y1869" s="172"/>
      <c r="Z1869" s="172"/>
      <c r="AA1869" s="195"/>
      <c r="AB1869" s="172"/>
    </row>
    <row r="1870" spans="1:28" ht="12.6" customHeight="1" x14ac:dyDescent="0.3">
      <c r="A1870" s="667"/>
      <c r="B1870" s="668" t="s">
        <v>7757</v>
      </c>
      <c r="C1870" s="160" t="s">
        <v>7758</v>
      </c>
      <c r="D1870" s="160"/>
      <c r="E1870" s="439"/>
      <c r="F1870" s="161">
        <v>629.97122000000002</v>
      </c>
      <c r="G1870" s="161"/>
      <c r="H1870" s="654"/>
      <c r="I1870" s="654"/>
      <c r="J1870" s="191"/>
      <c r="K1870" s="191">
        <v>537440016.709252</v>
      </c>
      <c r="L1870" s="191"/>
      <c r="M1870" s="191"/>
      <c r="N1870" s="191"/>
      <c r="O1870" s="191"/>
      <c r="P1870" s="191"/>
      <c r="Q1870" s="191"/>
      <c r="R1870" s="191"/>
      <c r="S1870" s="191"/>
      <c r="T1870" s="191"/>
      <c r="U1870" s="439"/>
      <c r="V1870" s="441"/>
      <c r="W1870" s="178"/>
      <c r="X1870" s="172"/>
      <c r="Y1870" s="172"/>
      <c r="Z1870" s="172"/>
      <c r="AA1870" s="195"/>
      <c r="AB1870" s="172"/>
    </row>
    <row r="1871" spans="1:28" ht="12.6" customHeight="1" x14ac:dyDescent="0.3">
      <c r="A1871" s="667"/>
      <c r="B1871" s="668" t="s">
        <v>7759</v>
      </c>
      <c r="C1871" s="160" t="s">
        <v>7760</v>
      </c>
      <c r="D1871" s="160"/>
      <c r="E1871" s="439"/>
      <c r="F1871" s="161">
        <v>529.97761000000003</v>
      </c>
      <c r="G1871" s="161">
        <v>-12.446999999999999</v>
      </c>
      <c r="H1871" s="654">
        <v>21.522970392000001</v>
      </c>
      <c r="I1871" s="654">
        <v>4.9918061108290002E-2</v>
      </c>
      <c r="J1871" s="191"/>
      <c r="K1871" s="191">
        <v>35214376.236537799</v>
      </c>
      <c r="L1871" s="191"/>
      <c r="M1871" s="191"/>
      <c r="N1871" s="191"/>
      <c r="O1871" s="191"/>
      <c r="P1871" s="191"/>
      <c r="Q1871" s="191"/>
      <c r="R1871" s="191"/>
      <c r="S1871" s="191"/>
      <c r="T1871" s="191"/>
      <c r="U1871" s="439"/>
      <c r="V1871" s="441"/>
      <c r="W1871" s="178"/>
      <c r="X1871" s="172"/>
      <c r="Y1871" s="172"/>
      <c r="Z1871" s="172"/>
      <c r="AA1871" s="195"/>
      <c r="AB1871" s="172"/>
    </row>
    <row r="1872" spans="1:28" ht="12.6" customHeight="1" x14ac:dyDescent="0.3">
      <c r="A1872" s="667"/>
      <c r="B1872" s="668" t="s">
        <v>7761</v>
      </c>
      <c r="C1872" s="160" t="s">
        <v>7762</v>
      </c>
      <c r="D1872" s="160"/>
      <c r="E1872" s="439"/>
      <c r="F1872" s="161">
        <v>429.98399999999998</v>
      </c>
      <c r="G1872" s="161">
        <v>-18.355</v>
      </c>
      <c r="H1872" s="654">
        <v>38.985352630000001</v>
      </c>
      <c r="I1872" s="654">
        <v>0.70868242943999904</v>
      </c>
      <c r="J1872" s="191"/>
      <c r="K1872" s="191">
        <v>1707575.8342299401</v>
      </c>
      <c r="L1872" s="191"/>
      <c r="M1872" s="191"/>
      <c r="N1872" s="191"/>
      <c r="O1872" s="191"/>
      <c r="P1872" s="191"/>
      <c r="Q1872" s="191"/>
      <c r="R1872" s="191"/>
      <c r="S1872" s="191"/>
      <c r="T1872" s="191"/>
      <c r="U1872" s="439"/>
      <c r="V1872" s="441"/>
      <c r="W1872" s="178"/>
      <c r="X1872" s="172"/>
      <c r="Y1872" s="172"/>
      <c r="Z1872" s="172"/>
      <c r="AA1872" s="195"/>
      <c r="AB1872" s="172"/>
    </row>
    <row r="1873" spans="1:28" ht="12.6" customHeight="1" x14ac:dyDescent="0.3">
      <c r="A1873" s="667"/>
      <c r="B1873" s="668" t="s">
        <v>7763</v>
      </c>
      <c r="C1873" s="160" t="s">
        <v>7764</v>
      </c>
      <c r="D1873" s="160"/>
      <c r="E1873" s="439"/>
      <c r="F1873" s="161">
        <v>379.98719</v>
      </c>
      <c r="G1873" s="161">
        <v>-33.68</v>
      </c>
      <c r="H1873" s="654">
        <v>180.26067653999999</v>
      </c>
      <c r="I1873" s="654">
        <v>1.5551393736659</v>
      </c>
      <c r="J1873" s="191"/>
      <c r="K1873" s="191">
        <v>253256.14974137099</v>
      </c>
      <c r="L1873" s="191"/>
      <c r="M1873" s="191"/>
      <c r="N1873" s="191"/>
      <c r="O1873" s="191"/>
      <c r="P1873" s="191"/>
      <c r="Q1873" s="191"/>
      <c r="R1873" s="191"/>
      <c r="S1873" s="191"/>
      <c r="T1873" s="191"/>
      <c r="U1873" s="439"/>
      <c r="V1873" s="441"/>
      <c r="W1873" s="178"/>
      <c r="X1873" s="172"/>
      <c r="Y1873" s="172"/>
      <c r="Z1873" s="172"/>
      <c r="AA1873" s="195"/>
      <c r="AB1873" s="172"/>
    </row>
    <row r="1874" spans="1:28" ht="12.6" customHeight="1" x14ac:dyDescent="0.3">
      <c r="A1874" s="667"/>
      <c r="B1874" s="668" t="s">
        <v>7765</v>
      </c>
      <c r="C1874" s="160" t="s">
        <v>7766</v>
      </c>
      <c r="D1874" s="160"/>
      <c r="E1874" s="439"/>
      <c r="F1874" s="161">
        <v>502.05892912500002</v>
      </c>
      <c r="G1874" s="161"/>
      <c r="H1874" s="654"/>
      <c r="I1874" s="654"/>
      <c r="J1874" s="191"/>
      <c r="K1874" s="191">
        <v>216187.21160128899</v>
      </c>
      <c r="L1874" s="191"/>
      <c r="M1874" s="191"/>
      <c r="N1874" s="191"/>
      <c r="O1874" s="191"/>
      <c r="P1874" s="191"/>
      <c r="Q1874" s="191"/>
      <c r="R1874" s="191"/>
      <c r="S1874" s="191"/>
      <c r="T1874" s="191"/>
      <c r="U1874" s="439"/>
      <c r="V1874" s="441"/>
      <c r="W1874" s="178"/>
      <c r="X1874" s="172"/>
      <c r="Y1874" s="172"/>
      <c r="Z1874" s="172"/>
      <c r="AA1874" s="195"/>
      <c r="AB1874" s="172"/>
    </row>
    <row r="1875" spans="1:28" ht="12.6" customHeight="1" x14ac:dyDescent="0.3">
      <c r="A1875" s="667"/>
      <c r="B1875" s="668" t="s">
        <v>7767</v>
      </c>
      <c r="C1875" s="160" t="s">
        <v>7768</v>
      </c>
      <c r="D1875" s="160"/>
      <c r="E1875" s="439"/>
      <c r="F1875" s="161">
        <v>452.06212279900001</v>
      </c>
      <c r="G1875" s="161"/>
      <c r="H1875" s="654"/>
      <c r="I1875" s="654"/>
      <c r="J1875" s="191"/>
      <c r="K1875" s="191">
        <v>113467.111684891</v>
      </c>
      <c r="L1875" s="191"/>
      <c r="M1875" s="191"/>
      <c r="N1875" s="191"/>
      <c r="O1875" s="191"/>
      <c r="P1875" s="191"/>
      <c r="Q1875" s="191"/>
      <c r="R1875" s="191"/>
      <c r="S1875" s="191"/>
      <c r="T1875" s="191"/>
      <c r="U1875" s="439"/>
      <c r="V1875" s="441"/>
      <c r="W1875" s="178"/>
      <c r="X1875" s="172"/>
      <c r="Y1875" s="172"/>
      <c r="Z1875" s="172"/>
      <c r="AA1875" s="195"/>
      <c r="AB1875" s="172"/>
    </row>
    <row r="1876" spans="1:28" ht="12.6" customHeight="1" x14ac:dyDescent="0.3">
      <c r="A1876" s="667"/>
      <c r="B1876" s="668" t="s">
        <v>7769</v>
      </c>
      <c r="C1876" s="160" t="s">
        <v>7770</v>
      </c>
      <c r="D1876" s="160"/>
      <c r="E1876" s="439"/>
      <c r="F1876" s="161">
        <v>302.07170382100003</v>
      </c>
      <c r="G1876" s="161"/>
      <c r="H1876" s="654"/>
      <c r="I1876" s="654"/>
      <c r="J1876" s="191"/>
      <c r="K1876" s="191">
        <v>328866.77540195599</v>
      </c>
      <c r="L1876" s="191"/>
      <c r="M1876" s="191"/>
      <c r="N1876" s="191"/>
      <c r="O1876" s="191"/>
      <c r="P1876" s="191"/>
      <c r="Q1876" s="191"/>
      <c r="R1876" s="191"/>
      <c r="S1876" s="191"/>
      <c r="T1876" s="191"/>
      <c r="U1876" s="439"/>
      <c r="V1876" s="441"/>
      <c r="W1876" s="178"/>
      <c r="X1876" s="172"/>
      <c r="Y1876" s="172"/>
      <c r="Z1876" s="172"/>
      <c r="AA1876" s="195"/>
      <c r="AB1876" s="172"/>
    </row>
    <row r="1877" spans="1:28" ht="12.6" customHeight="1" x14ac:dyDescent="0.3">
      <c r="A1877" s="667"/>
      <c r="B1877" s="668" t="s">
        <v>7771</v>
      </c>
      <c r="C1877" s="160" t="s">
        <v>7772</v>
      </c>
      <c r="D1877" s="160"/>
      <c r="E1877" s="439"/>
      <c r="F1877" s="161">
        <v>252.07489749499999</v>
      </c>
      <c r="G1877" s="161"/>
      <c r="H1877" s="654"/>
      <c r="I1877" s="654"/>
      <c r="J1877" s="191"/>
      <c r="K1877" s="191"/>
      <c r="L1877" s="191"/>
      <c r="M1877" s="191"/>
      <c r="N1877" s="191"/>
      <c r="O1877" s="191"/>
      <c r="P1877" s="191"/>
      <c r="Q1877" s="191"/>
      <c r="R1877" s="191"/>
      <c r="S1877" s="191"/>
      <c r="T1877" s="191"/>
      <c r="U1877" s="439"/>
      <c r="V1877" s="441"/>
      <c r="W1877" s="178"/>
      <c r="X1877" s="172"/>
      <c r="Y1877" s="172"/>
      <c r="Z1877" s="172"/>
      <c r="AA1877" s="195"/>
      <c r="AB1877" s="172"/>
    </row>
    <row r="1878" spans="1:28" ht="12.6" customHeight="1" x14ac:dyDescent="0.3">
      <c r="A1878" s="667"/>
      <c r="B1878" s="668" t="s">
        <v>7773</v>
      </c>
      <c r="C1878" s="160" t="s">
        <v>7774</v>
      </c>
      <c r="D1878" s="160"/>
      <c r="E1878" s="439"/>
      <c r="F1878" s="161">
        <v>394.00283999999999</v>
      </c>
      <c r="G1878" s="161">
        <v>-37.761000000000003</v>
      </c>
      <c r="H1878" s="654">
        <v>149.93392119999999</v>
      </c>
      <c r="I1878" s="654">
        <v>0.62445116108760002</v>
      </c>
      <c r="J1878" s="191"/>
      <c r="K1878" s="191">
        <v>819351.02246187301</v>
      </c>
      <c r="L1878" s="191"/>
      <c r="M1878" s="191"/>
      <c r="N1878" s="191"/>
      <c r="O1878" s="191"/>
      <c r="P1878" s="191"/>
      <c r="Q1878" s="191"/>
      <c r="R1878" s="191"/>
      <c r="S1878" s="191"/>
      <c r="T1878" s="191"/>
      <c r="U1878" s="439"/>
      <c r="V1878" s="441"/>
      <c r="W1878" s="178"/>
      <c r="X1878" s="172"/>
      <c r="Y1878" s="172"/>
      <c r="Z1878" s="172"/>
      <c r="AA1878" s="195"/>
      <c r="AB1878" s="172"/>
    </row>
    <row r="1879" spans="1:28" ht="12.6" customHeight="1" x14ac:dyDescent="0.3">
      <c r="A1879" s="667"/>
      <c r="B1879" s="668" t="s">
        <v>7775</v>
      </c>
      <c r="C1879" s="160" t="s">
        <v>7776</v>
      </c>
      <c r="D1879" s="160"/>
      <c r="E1879" s="439"/>
      <c r="F1879" s="161">
        <v>743.98049000000003</v>
      </c>
      <c r="G1879" s="161"/>
      <c r="H1879" s="654"/>
      <c r="I1879" s="654"/>
      <c r="J1879" s="191"/>
      <c r="K1879" s="191">
        <v>5497307.1133312797</v>
      </c>
      <c r="L1879" s="191"/>
      <c r="M1879" s="191"/>
      <c r="N1879" s="191"/>
      <c r="O1879" s="191"/>
      <c r="P1879" s="191"/>
      <c r="Q1879" s="191"/>
      <c r="R1879" s="191"/>
      <c r="S1879" s="191"/>
      <c r="T1879" s="191"/>
      <c r="U1879" s="439"/>
      <c r="V1879" s="441"/>
      <c r="W1879" s="178"/>
      <c r="X1879" s="172"/>
      <c r="Y1879" s="172"/>
      <c r="Z1879" s="172"/>
      <c r="AA1879" s="195"/>
      <c r="AB1879" s="172"/>
    </row>
    <row r="1880" spans="1:28" ht="12.6" customHeight="1" x14ac:dyDescent="0.3">
      <c r="A1880" s="667"/>
      <c r="B1880" s="668" t="s">
        <v>7777</v>
      </c>
      <c r="C1880" s="160" t="s">
        <v>7778</v>
      </c>
      <c r="D1880" s="160"/>
      <c r="E1880" s="439"/>
      <c r="F1880" s="161">
        <v>593.99006999999995</v>
      </c>
      <c r="G1880" s="161"/>
      <c r="H1880" s="654"/>
      <c r="I1880" s="654"/>
      <c r="J1880" s="191"/>
      <c r="K1880" s="191">
        <v>560170198.12550402</v>
      </c>
      <c r="L1880" s="191"/>
      <c r="M1880" s="191"/>
      <c r="N1880" s="191"/>
      <c r="O1880" s="191"/>
      <c r="P1880" s="191"/>
      <c r="Q1880" s="191"/>
      <c r="R1880" s="191"/>
      <c r="S1880" s="191"/>
      <c r="T1880" s="191"/>
      <c r="U1880" s="439"/>
      <c r="V1880" s="441"/>
      <c r="W1880" s="178"/>
      <c r="X1880" s="172"/>
      <c r="Y1880" s="172"/>
      <c r="Z1880" s="172"/>
      <c r="AA1880" s="195"/>
      <c r="AB1880" s="172"/>
    </row>
    <row r="1881" spans="1:28" ht="12.6" customHeight="1" x14ac:dyDescent="0.3">
      <c r="A1881" s="667"/>
      <c r="B1881" s="668" t="s">
        <v>7779</v>
      </c>
      <c r="C1881" s="160" t="s">
        <v>7780</v>
      </c>
      <c r="D1881" s="160"/>
      <c r="E1881" s="439"/>
      <c r="F1881" s="161">
        <v>443.99964999999997</v>
      </c>
      <c r="G1881" s="161"/>
      <c r="H1881" s="654"/>
      <c r="I1881" s="654"/>
      <c r="J1881" s="191"/>
      <c r="K1881" s="191">
        <v>6161692.2020027796</v>
      </c>
      <c r="L1881" s="191"/>
      <c r="M1881" s="191"/>
      <c r="N1881" s="191"/>
      <c r="O1881" s="191"/>
      <c r="P1881" s="191"/>
      <c r="Q1881" s="191"/>
      <c r="R1881" s="191"/>
      <c r="S1881" s="191"/>
      <c r="T1881" s="191"/>
      <c r="U1881" s="439"/>
      <c r="V1881" s="441"/>
      <c r="W1881" s="178"/>
      <c r="X1881" s="172"/>
      <c r="Y1881" s="172"/>
      <c r="Z1881" s="172"/>
      <c r="AA1881" s="195"/>
      <c r="AB1881" s="172"/>
    </row>
    <row r="1882" spans="1:28" ht="12.6" customHeight="1" x14ac:dyDescent="0.3">
      <c r="A1882" s="667"/>
      <c r="B1882" s="668" t="s">
        <v>7781</v>
      </c>
      <c r="C1882" s="160" t="s">
        <v>7782</v>
      </c>
      <c r="D1882" s="160"/>
      <c r="E1882" s="439"/>
      <c r="F1882" s="161">
        <v>394.00283999999999</v>
      </c>
      <c r="G1882" s="161"/>
      <c r="H1882" s="654"/>
      <c r="I1882" s="654"/>
      <c r="J1882" s="191"/>
      <c r="K1882" s="191">
        <v>1540635.85174787</v>
      </c>
      <c r="L1882" s="191"/>
      <c r="M1882" s="191"/>
      <c r="N1882" s="191"/>
      <c r="O1882" s="191"/>
      <c r="P1882" s="191"/>
      <c r="Q1882" s="191"/>
      <c r="R1882" s="191"/>
      <c r="S1882" s="191"/>
      <c r="T1882" s="191"/>
      <c r="U1882" s="439"/>
      <c r="V1882" s="441"/>
      <c r="W1882" s="178"/>
      <c r="X1882" s="172"/>
      <c r="Y1882" s="172"/>
      <c r="Z1882" s="172"/>
      <c r="AA1882" s="195"/>
      <c r="AB1882" s="172"/>
    </row>
    <row r="1883" spans="1:28" ht="12.6" customHeight="1" x14ac:dyDescent="0.3">
      <c r="A1883" s="667"/>
      <c r="B1883" s="668" t="s">
        <v>7783</v>
      </c>
      <c r="C1883" s="160" t="s">
        <v>7784</v>
      </c>
      <c r="D1883" s="160"/>
      <c r="E1883" s="439">
        <v>10.210000000000001</v>
      </c>
      <c r="F1883" s="161">
        <v>348.11356863399999</v>
      </c>
      <c r="G1883" s="161"/>
      <c r="H1883" s="654"/>
      <c r="I1883" s="654"/>
      <c r="J1883" s="191"/>
      <c r="K1883" s="191">
        <v>1031810.6352675901</v>
      </c>
      <c r="L1883" s="191"/>
      <c r="M1883" s="191"/>
      <c r="N1883" s="191"/>
      <c r="O1883" s="191"/>
      <c r="P1883" s="191"/>
      <c r="Q1883" s="191"/>
      <c r="R1883" s="191"/>
      <c r="S1883" s="191"/>
      <c r="T1883" s="191"/>
      <c r="U1883" s="439"/>
      <c r="V1883" s="441"/>
      <c r="W1883" s="178"/>
      <c r="X1883" s="172"/>
      <c r="Y1883" s="172"/>
      <c r="Z1883" s="172"/>
      <c r="AA1883" s="195"/>
      <c r="AB1883" s="172"/>
    </row>
    <row r="1884" spans="1:28" ht="12.6" customHeight="1" x14ac:dyDescent="0.3">
      <c r="A1884" s="667"/>
      <c r="B1884" s="668" t="s">
        <v>7785</v>
      </c>
      <c r="C1884" s="160" t="s">
        <v>7786</v>
      </c>
      <c r="D1884" s="160"/>
      <c r="E1884" s="439"/>
      <c r="F1884" s="161">
        <v>330.10300395000002</v>
      </c>
      <c r="G1884" s="161"/>
      <c r="H1884" s="654"/>
      <c r="I1884" s="654"/>
      <c r="J1884" s="191"/>
      <c r="K1884" s="191">
        <v>29553573.394828402</v>
      </c>
      <c r="L1884" s="191"/>
      <c r="M1884" s="191"/>
      <c r="N1884" s="191"/>
      <c r="O1884" s="191"/>
      <c r="P1884" s="191"/>
      <c r="Q1884" s="191"/>
      <c r="R1884" s="191"/>
      <c r="S1884" s="191"/>
      <c r="T1884" s="191"/>
      <c r="U1884" s="439"/>
      <c r="V1884" s="441"/>
      <c r="W1884" s="178"/>
      <c r="X1884" s="172"/>
      <c r="Y1884" s="172"/>
      <c r="Z1884" s="172"/>
      <c r="AA1884" s="195"/>
      <c r="AB1884" s="172"/>
    </row>
    <row r="1885" spans="1:28" ht="12.6" customHeight="1" x14ac:dyDescent="0.3">
      <c r="A1885" s="667"/>
      <c r="B1885" s="668" t="s">
        <v>7787</v>
      </c>
      <c r="C1885" s="160" t="s">
        <v>7788</v>
      </c>
      <c r="D1885" s="160"/>
      <c r="E1885" s="439"/>
      <c r="F1885" s="161">
        <v>384.07473834199999</v>
      </c>
      <c r="G1885" s="161"/>
      <c r="H1885" s="654"/>
      <c r="I1885" s="654"/>
      <c r="J1885" s="191"/>
      <c r="K1885" s="191"/>
      <c r="L1885" s="191"/>
      <c r="M1885" s="191"/>
      <c r="N1885" s="191"/>
      <c r="O1885" s="191"/>
      <c r="P1885" s="191"/>
      <c r="Q1885" s="191"/>
      <c r="R1885" s="191"/>
      <c r="S1885" s="191"/>
      <c r="T1885" s="191"/>
      <c r="U1885" s="439"/>
      <c r="V1885" s="441"/>
      <c r="W1885" s="178"/>
      <c r="X1885" s="172"/>
      <c r="Y1885" s="172"/>
      <c r="Z1885" s="172"/>
      <c r="AA1885" s="195"/>
      <c r="AB1885" s="172"/>
    </row>
    <row r="1886" spans="1:28" ht="12.6" customHeight="1" x14ac:dyDescent="0.3">
      <c r="A1886" s="667"/>
      <c r="B1886" s="668" t="s">
        <v>7789</v>
      </c>
      <c r="C1886" s="160" t="s">
        <v>7790</v>
      </c>
      <c r="D1886" s="160"/>
      <c r="E1886" s="439"/>
      <c r="F1886" s="161">
        <v>284.08112569000002</v>
      </c>
      <c r="G1886" s="161"/>
      <c r="H1886" s="654"/>
      <c r="I1886" s="654"/>
      <c r="J1886" s="191"/>
      <c r="K1886" s="191"/>
      <c r="L1886" s="191"/>
      <c r="M1886" s="191"/>
      <c r="N1886" s="191"/>
      <c r="O1886" s="191"/>
      <c r="P1886" s="191"/>
      <c r="Q1886" s="191"/>
      <c r="R1886" s="191"/>
      <c r="S1886" s="191"/>
      <c r="T1886" s="191"/>
      <c r="U1886" s="439"/>
      <c r="V1886" s="441"/>
      <c r="W1886" s="178"/>
      <c r="X1886" s="172"/>
      <c r="Y1886" s="172"/>
      <c r="Z1886" s="172"/>
      <c r="AA1886" s="195"/>
      <c r="AB1886" s="172"/>
    </row>
    <row r="1887" spans="1:28" ht="12.6" customHeight="1" x14ac:dyDescent="0.3">
      <c r="A1887" s="667"/>
      <c r="B1887" s="668" t="s">
        <v>7791</v>
      </c>
      <c r="C1887" s="160" t="s">
        <v>7792</v>
      </c>
      <c r="D1887" s="160"/>
      <c r="E1887" s="439"/>
      <c r="F1887" s="161">
        <v>516.07457919000001</v>
      </c>
      <c r="G1887" s="161"/>
      <c r="H1887" s="654"/>
      <c r="I1887" s="654"/>
      <c r="J1887" s="191"/>
      <c r="K1887" s="191">
        <v>2604713.7341959099</v>
      </c>
      <c r="L1887" s="191"/>
      <c r="M1887" s="191"/>
      <c r="N1887" s="191"/>
      <c r="O1887" s="191"/>
      <c r="P1887" s="191"/>
      <c r="Q1887" s="191"/>
      <c r="R1887" s="191"/>
      <c r="S1887" s="191"/>
      <c r="T1887" s="191"/>
      <c r="U1887" s="439"/>
      <c r="V1887" s="441"/>
      <c r="W1887" s="178"/>
      <c r="X1887" s="172"/>
      <c r="Y1887" s="172"/>
      <c r="Z1887" s="172"/>
      <c r="AA1887" s="195"/>
      <c r="AB1887" s="172"/>
    </row>
    <row r="1888" spans="1:28" ht="12.6" customHeight="1" x14ac:dyDescent="0.3">
      <c r="A1888" s="667"/>
      <c r="B1888" s="668" t="s">
        <v>7793</v>
      </c>
      <c r="C1888" s="160" t="s">
        <v>7794</v>
      </c>
      <c r="D1888" s="160"/>
      <c r="E1888" s="439"/>
      <c r="F1888" s="161">
        <v>466.077772864</v>
      </c>
      <c r="G1888" s="161"/>
      <c r="H1888" s="654"/>
      <c r="I1888" s="654"/>
      <c r="J1888" s="191"/>
      <c r="K1888" s="191">
        <v>4605321.9885828197</v>
      </c>
      <c r="L1888" s="191"/>
      <c r="M1888" s="191"/>
      <c r="N1888" s="191"/>
      <c r="O1888" s="191"/>
      <c r="P1888" s="191"/>
      <c r="Q1888" s="191"/>
      <c r="R1888" s="191"/>
      <c r="S1888" s="191"/>
      <c r="T1888" s="191"/>
      <c r="U1888" s="439"/>
      <c r="V1888" s="441"/>
      <c r="W1888" s="178"/>
      <c r="X1888" s="172"/>
      <c r="Y1888" s="172"/>
      <c r="Z1888" s="172"/>
      <c r="AA1888" s="195"/>
      <c r="AB1888" s="172"/>
    </row>
    <row r="1889" spans="1:28" ht="12.6" customHeight="1" x14ac:dyDescent="0.3">
      <c r="A1889" s="667"/>
      <c r="B1889" s="668" t="s">
        <v>7795</v>
      </c>
      <c r="C1889" s="160" t="s">
        <v>7796</v>
      </c>
      <c r="D1889" s="160"/>
      <c r="E1889" s="439"/>
      <c r="F1889" s="161">
        <v>416.08096653799998</v>
      </c>
      <c r="G1889" s="161"/>
      <c r="H1889" s="654"/>
      <c r="I1889" s="654"/>
      <c r="J1889" s="191"/>
      <c r="K1889" s="191">
        <v>101430834.835623</v>
      </c>
      <c r="L1889" s="191"/>
      <c r="M1889" s="191"/>
      <c r="N1889" s="191"/>
      <c r="O1889" s="191"/>
      <c r="P1889" s="191"/>
      <c r="Q1889" s="191"/>
      <c r="R1889" s="191"/>
      <c r="S1889" s="191"/>
      <c r="T1889" s="191"/>
      <c r="U1889" s="439"/>
      <c r="V1889" s="441"/>
      <c r="W1889" s="178"/>
      <c r="X1889" s="172"/>
      <c r="Y1889" s="172"/>
      <c r="Z1889" s="172"/>
      <c r="AA1889" s="195"/>
      <c r="AB1889" s="172"/>
    </row>
    <row r="1890" spans="1:28" ht="12.6" customHeight="1" x14ac:dyDescent="0.3">
      <c r="A1890" s="667"/>
      <c r="B1890" s="668" t="s">
        <v>7797</v>
      </c>
      <c r="C1890" s="160" t="s">
        <v>7798</v>
      </c>
      <c r="D1890" s="160"/>
      <c r="E1890" s="439"/>
      <c r="F1890" s="161">
        <v>316.08735388600002</v>
      </c>
      <c r="G1890" s="161"/>
      <c r="H1890" s="654"/>
      <c r="I1890" s="654"/>
      <c r="J1890" s="191"/>
      <c r="K1890" s="191">
        <v>1491763.5798096501</v>
      </c>
      <c r="L1890" s="191"/>
      <c r="M1890" s="191"/>
      <c r="N1890" s="191"/>
      <c r="O1890" s="191"/>
      <c r="P1890" s="191"/>
      <c r="Q1890" s="191"/>
      <c r="R1890" s="191"/>
      <c r="S1890" s="191"/>
      <c r="T1890" s="191"/>
      <c r="U1890" s="439"/>
      <c r="V1890" s="441"/>
      <c r="W1890" s="178"/>
      <c r="X1890" s="172"/>
      <c r="Y1890" s="172"/>
      <c r="Z1890" s="172"/>
      <c r="AA1890" s="195"/>
      <c r="AB1890" s="172"/>
    </row>
    <row r="1891" spans="1:28" ht="12.6" customHeight="1" x14ac:dyDescent="0.3">
      <c r="A1891" s="667"/>
      <c r="B1891" s="668" t="s">
        <v>7799</v>
      </c>
      <c r="C1891" s="160" t="s">
        <v>7800</v>
      </c>
      <c r="D1891" s="160"/>
      <c r="E1891" s="439"/>
      <c r="F1891" s="161">
        <v>266.09054756</v>
      </c>
      <c r="G1891" s="161"/>
      <c r="H1891" s="654"/>
      <c r="I1891" s="654"/>
      <c r="J1891" s="191"/>
      <c r="K1891" s="191">
        <v>354250.11507808202</v>
      </c>
      <c r="L1891" s="191"/>
      <c r="M1891" s="191"/>
      <c r="N1891" s="191"/>
      <c r="O1891" s="191"/>
      <c r="P1891" s="191"/>
      <c r="Q1891" s="191"/>
      <c r="R1891" s="191"/>
      <c r="S1891" s="191"/>
      <c r="T1891" s="191"/>
      <c r="U1891" s="439"/>
      <c r="V1891" s="441"/>
      <c r="W1891" s="178"/>
      <c r="X1891" s="172"/>
      <c r="Y1891" s="172"/>
      <c r="Z1891" s="172"/>
      <c r="AA1891" s="195"/>
      <c r="AB1891" s="172"/>
    </row>
    <row r="1892" spans="1:28" ht="12.6" customHeight="1" x14ac:dyDescent="0.3">
      <c r="A1892" s="667"/>
      <c r="B1892" s="668" t="s">
        <v>7801</v>
      </c>
      <c r="C1892" s="160" t="s">
        <v>7802</v>
      </c>
      <c r="D1892" s="160"/>
      <c r="E1892" s="439"/>
      <c r="F1892" s="161">
        <v>455.99964999999997</v>
      </c>
      <c r="G1892" s="161"/>
      <c r="H1892" s="654"/>
      <c r="I1892" s="654"/>
      <c r="J1892" s="191"/>
      <c r="K1892" s="191">
        <v>50452187.375683203</v>
      </c>
      <c r="L1892" s="191"/>
      <c r="M1892" s="191"/>
      <c r="N1892" s="191"/>
      <c r="O1892" s="191"/>
      <c r="P1892" s="191"/>
      <c r="Q1892" s="191"/>
      <c r="R1892" s="191"/>
      <c r="S1892" s="191"/>
      <c r="T1892" s="191"/>
      <c r="U1892" s="439"/>
      <c r="V1892" s="441"/>
      <c r="W1892" s="178"/>
      <c r="X1892" s="172"/>
      <c r="Y1892" s="172"/>
      <c r="Z1892" s="172"/>
      <c r="AA1892" s="195"/>
      <c r="AB1892" s="172"/>
    </row>
    <row r="1893" spans="1:28" ht="12.6" customHeight="1" x14ac:dyDescent="0.3">
      <c r="A1893" s="667"/>
      <c r="B1893" s="668" t="s">
        <v>7803</v>
      </c>
      <c r="C1893" s="160" t="s">
        <v>7804</v>
      </c>
      <c r="D1893" s="160"/>
      <c r="E1893" s="439"/>
      <c r="F1893" s="161">
        <v>857.98974999999996</v>
      </c>
      <c r="G1893" s="161"/>
      <c r="H1893" s="654"/>
      <c r="I1893" s="654"/>
      <c r="J1893" s="191"/>
      <c r="K1893" s="191">
        <v>3972555.7434295798</v>
      </c>
      <c r="L1893" s="191"/>
      <c r="M1893" s="191"/>
      <c r="N1893" s="191"/>
      <c r="O1893" s="191"/>
      <c r="P1893" s="191"/>
      <c r="Q1893" s="191"/>
      <c r="R1893" s="191"/>
      <c r="S1893" s="191"/>
      <c r="T1893" s="191"/>
      <c r="U1893" s="439"/>
      <c r="V1893" s="441"/>
      <c r="W1893" s="178"/>
      <c r="X1893" s="172"/>
      <c r="Y1893" s="172"/>
      <c r="Z1893" s="172"/>
      <c r="AA1893" s="195"/>
      <c r="AB1893" s="172"/>
    </row>
    <row r="1894" spans="1:28" ht="12.6" customHeight="1" x14ac:dyDescent="0.3">
      <c r="A1894" s="667"/>
      <c r="B1894" s="668" t="s">
        <v>7805</v>
      </c>
      <c r="C1894" s="160" t="s">
        <v>7806</v>
      </c>
      <c r="D1894" s="160"/>
      <c r="E1894" s="439"/>
      <c r="F1894" s="161">
        <v>757.99613999999997</v>
      </c>
      <c r="G1894" s="161"/>
      <c r="H1894" s="654"/>
      <c r="I1894" s="654"/>
      <c r="J1894" s="191"/>
      <c r="K1894" s="191">
        <v>5269264.5085490895</v>
      </c>
      <c r="L1894" s="191"/>
      <c r="M1894" s="191"/>
      <c r="N1894" s="191"/>
      <c r="O1894" s="191"/>
      <c r="P1894" s="191"/>
      <c r="Q1894" s="191"/>
      <c r="R1894" s="191"/>
      <c r="S1894" s="191"/>
      <c r="T1894" s="191"/>
      <c r="U1894" s="439"/>
      <c r="V1894" s="441"/>
      <c r="W1894" s="178"/>
      <c r="X1894" s="172"/>
      <c r="Y1894" s="172"/>
      <c r="Z1894" s="172"/>
      <c r="AA1894" s="195"/>
      <c r="AB1894" s="172"/>
    </row>
    <row r="1895" spans="1:28" ht="12.6" customHeight="1" x14ac:dyDescent="0.3">
      <c r="A1895" s="667"/>
      <c r="B1895" s="668" t="s">
        <v>7807</v>
      </c>
      <c r="C1895" s="160" t="s">
        <v>7808</v>
      </c>
      <c r="D1895" s="160"/>
      <c r="E1895" s="439"/>
      <c r="F1895" s="161">
        <v>658.00252</v>
      </c>
      <c r="G1895" s="161"/>
      <c r="H1895" s="654"/>
      <c r="I1895" s="654"/>
      <c r="J1895" s="191"/>
      <c r="K1895" s="191">
        <v>384414711.75957698</v>
      </c>
      <c r="L1895" s="191"/>
      <c r="M1895" s="191"/>
      <c r="N1895" s="191"/>
      <c r="O1895" s="191"/>
      <c r="P1895" s="191"/>
      <c r="Q1895" s="191"/>
      <c r="R1895" s="191"/>
      <c r="S1895" s="191"/>
      <c r="T1895" s="191"/>
      <c r="U1895" s="439"/>
      <c r="V1895" s="441"/>
      <c r="W1895" s="178"/>
      <c r="X1895" s="172"/>
      <c r="Y1895" s="172"/>
      <c r="Z1895" s="172"/>
      <c r="AA1895" s="195"/>
      <c r="AB1895" s="172"/>
    </row>
    <row r="1896" spans="1:28" ht="12.6" customHeight="1" x14ac:dyDescent="0.3">
      <c r="A1896" s="667"/>
      <c r="B1896" s="668" t="s">
        <v>7809</v>
      </c>
      <c r="C1896" s="160" t="s">
        <v>7810</v>
      </c>
      <c r="D1896" s="160"/>
      <c r="E1896" s="439"/>
      <c r="F1896" s="161">
        <v>608.00572</v>
      </c>
      <c r="G1896" s="161"/>
      <c r="H1896" s="654"/>
      <c r="I1896" s="654"/>
      <c r="J1896" s="191"/>
      <c r="K1896" s="191">
        <v>593280398.71943498</v>
      </c>
      <c r="L1896" s="191"/>
      <c r="M1896" s="191"/>
      <c r="N1896" s="191"/>
      <c r="O1896" s="191"/>
      <c r="P1896" s="191"/>
      <c r="Q1896" s="191"/>
      <c r="R1896" s="191"/>
      <c r="S1896" s="191"/>
      <c r="T1896" s="191"/>
      <c r="U1896" s="439"/>
      <c r="V1896" s="441"/>
      <c r="W1896" s="178"/>
      <c r="X1896" s="172"/>
      <c r="Y1896" s="172"/>
      <c r="Z1896" s="172"/>
      <c r="AA1896" s="195"/>
      <c r="AB1896" s="172"/>
    </row>
    <row r="1897" spans="1:28" ht="12.6" customHeight="1" x14ac:dyDescent="0.3">
      <c r="A1897" s="667"/>
      <c r="B1897" s="668" t="s">
        <v>7811</v>
      </c>
      <c r="C1897" s="160" t="s">
        <v>7812</v>
      </c>
      <c r="D1897" s="160"/>
      <c r="E1897" s="439">
        <v>52.088000000000001</v>
      </c>
      <c r="F1897" s="161">
        <v>558.00891000000001</v>
      </c>
      <c r="G1897" s="161">
        <v>-0.26600000000000001</v>
      </c>
      <c r="H1897" s="654">
        <v>7.6015404807999998</v>
      </c>
      <c r="I1897" s="654">
        <v>2.6039987993168999E-2</v>
      </c>
      <c r="J1897" s="191"/>
      <c r="K1897" s="191">
        <v>243809149.78681499</v>
      </c>
      <c r="L1897" s="191"/>
      <c r="M1897" s="191"/>
      <c r="N1897" s="191"/>
      <c r="O1897" s="191"/>
      <c r="P1897" s="191"/>
      <c r="Q1897" s="191"/>
      <c r="R1897" s="191"/>
      <c r="S1897" s="191"/>
      <c r="T1897" s="191"/>
      <c r="U1897" s="439"/>
      <c r="V1897" s="441"/>
      <c r="W1897" s="178"/>
      <c r="X1897" s="172"/>
      <c r="Y1897" s="172"/>
      <c r="Z1897" s="172"/>
      <c r="AA1897" s="195"/>
      <c r="AB1897" s="172"/>
    </row>
    <row r="1898" spans="1:28" ht="12.6" customHeight="1" x14ac:dyDescent="0.3">
      <c r="A1898" s="667"/>
      <c r="B1898" s="668" t="s">
        <v>7813</v>
      </c>
      <c r="C1898" s="160" t="s">
        <v>7814</v>
      </c>
      <c r="D1898" s="160"/>
      <c r="E1898" s="439"/>
      <c r="F1898" s="161">
        <v>458.01530000000002</v>
      </c>
      <c r="G1898" s="161">
        <v>-2.6269999999999998</v>
      </c>
      <c r="H1898" s="654">
        <v>13.800693508</v>
      </c>
      <c r="I1898" s="654">
        <v>0.13209298656589999</v>
      </c>
      <c r="J1898" s="191"/>
      <c r="K1898" s="191">
        <v>14964768.4022526</v>
      </c>
      <c r="L1898" s="191"/>
      <c r="M1898" s="191"/>
      <c r="N1898" s="191"/>
      <c r="O1898" s="191"/>
      <c r="P1898" s="191"/>
      <c r="Q1898" s="191"/>
      <c r="R1898" s="191"/>
      <c r="S1898" s="191"/>
      <c r="T1898" s="191"/>
      <c r="U1898" s="439"/>
      <c r="V1898" s="441"/>
      <c r="W1898" s="178"/>
      <c r="X1898" s="172"/>
      <c r="Y1898" s="172"/>
      <c r="Z1898" s="172"/>
      <c r="AA1898" s="195"/>
      <c r="AB1898" s="172"/>
    </row>
    <row r="1899" spans="1:28" ht="12.6" customHeight="1" x14ac:dyDescent="0.3">
      <c r="A1899" s="667"/>
      <c r="B1899" s="668" t="s">
        <v>7815</v>
      </c>
      <c r="C1899" s="160" t="s">
        <v>7816</v>
      </c>
      <c r="D1899" s="160"/>
      <c r="E1899" s="439"/>
      <c r="F1899" s="161">
        <v>408.01848999999999</v>
      </c>
      <c r="G1899" s="161"/>
      <c r="H1899" s="654"/>
      <c r="I1899" s="654"/>
      <c r="J1899" s="191"/>
      <c r="K1899" s="191">
        <v>2476851.6757935402</v>
      </c>
      <c r="L1899" s="191"/>
      <c r="M1899" s="191"/>
      <c r="N1899" s="191"/>
      <c r="O1899" s="191"/>
      <c r="P1899" s="191"/>
      <c r="Q1899" s="191"/>
      <c r="R1899" s="191"/>
      <c r="S1899" s="191"/>
      <c r="T1899" s="191"/>
      <c r="U1899" s="439"/>
      <c r="V1899" s="441"/>
      <c r="W1899" s="178"/>
      <c r="X1899" s="172"/>
      <c r="Y1899" s="172"/>
      <c r="Z1899" s="172"/>
      <c r="AA1899" s="195"/>
      <c r="AB1899" s="172"/>
    </row>
    <row r="1900" spans="1:28" ht="12.6" customHeight="1" x14ac:dyDescent="0.3">
      <c r="A1900" s="667"/>
      <c r="B1900" s="668" t="s">
        <v>7817</v>
      </c>
      <c r="C1900" s="160" t="s">
        <v>7818</v>
      </c>
      <c r="D1900" s="160"/>
      <c r="E1900" s="439"/>
      <c r="F1900" s="161">
        <v>530.09022925399995</v>
      </c>
      <c r="G1900" s="161"/>
      <c r="H1900" s="654"/>
      <c r="I1900" s="654"/>
      <c r="J1900" s="191"/>
      <c r="K1900" s="191">
        <v>2971734.4576648599</v>
      </c>
      <c r="L1900" s="191"/>
      <c r="M1900" s="191"/>
      <c r="N1900" s="191"/>
      <c r="O1900" s="191"/>
      <c r="P1900" s="191"/>
      <c r="Q1900" s="191"/>
      <c r="R1900" s="191"/>
      <c r="S1900" s="191"/>
      <c r="T1900" s="191"/>
      <c r="U1900" s="439"/>
      <c r="V1900" s="441"/>
      <c r="W1900" s="178"/>
      <c r="X1900" s="172"/>
      <c r="Y1900" s="172"/>
      <c r="Z1900" s="172"/>
      <c r="AA1900" s="195"/>
      <c r="AB1900" s="172"/>
    </row>
    <row r="1901" spans="1:28" ht="12.6" customHeight="1" x14ac:dyDescent="0.3">
      <c r="A1901" s="667"/>
      <c r="B1901" s="668" t="s">
        <v>7819</v>
      </c>
      <c r="C1901" s="160" t="s">
        <v>7820</v>
      </c>
      <c r="D1901" s="160"/>
      <c r="E1901" s="439"/>
      <c r="F1901" s="161">
        <v>430.09661660199998</v>
      </c>
      <c r="G1901" s="161"/>
      <c r="H1901" s="654"/>
      <c r="I1901" s="654"/>
      <c r="J1901" s="191"/>
      <c r="K1901" s="191">
        <v>567858328.82507098</v>
      </c>
      <c r="L1901" s="191"/>
      <c r="M1901" s="191"/>
      <c r="N1901" s="191"/>
      <c r="O1901" s="191"/>
      <c r="P1901" s="191"/>
      <c r="Q1901" s="191"/>
      <c r="R1901" s="191"/>
      <c r="S1901" s="191"/>
      <c r="T1901" s="191"/>
      <c r="U1901" s="439"/>
      <c r="V1901" s="441"/>
      <c r="W1901" s="178"/>
      <c r="X1901" s="172"/>
      <c r="Y1901" s="172"/>
      <c r="Z1901" s="172"/>
      <c r="AA1901" s="195"/>
      <c r="AB1901" s="172"/>
    </row>
    <row r="1902" spans="1:28" ht="12.6" customHeight="1" x14ac:dyDescent="0.3">
      <c r="A1902" s="667"/>
      <c r="B1902" s="668" t="s">
        <v>7821</v>
      </c>
      <c r="C1902" s="160" t="s">
        <v>7822</v>
      </c>
      <c r="D1902" s="160"/>
      <c r="E1902" s="439"/>
      <c r="F1902" s="161">
        <v>330.10300395000002</v>
      </c>
      <c r="G1902" s="161"/>
      <c r="H1902" s="654"/>
      <c r="I1902" s="654"/>
      <c r="J1902" s="191"/>
      <c r="K1902" s="191">
        <v>33643409.364322998</v>
      </c>
      <c r="L1902" s="191"/>
      <c r="M1902" s="191"/>
      <c r="N1902" s="191"/>
      <c r="O1902" s="191"/>
      <c r="P1902" s="191"/>
      <c r="Q1902" s="191"/>
      <c r="R1902" s="191"/>
      <c r="S1902" s="191"/>
      <c r="T1902" s="191"/>
      <c r="U1902" s="439"/>
      <c r="V1902" s="441"/>
      <c r="W1902" s="178"/>
      <c r="X1902" s="172"/>
      <c r="Y1902" s="172"/>
      <c r="Z1902" s="172"/>
      <c r="AA1902" s="195"/>
      <c r="AB1902" s="172"/>
    </row>
    <row r="1903" spans="1:28" ht="12.6" customHeight="1" x14ac:dyDescent="0.3">
      <c r="A1903" s="667"/>
      <c r="B1903" s="668" t="s">
        <v>7823</v>
      </c>
      <c r="C1903" s="160" t="s">
        <v>7824</v>
      </c>
      <c r="D1903" s="160"/>
      <c r="E1903" s="439"/>
      <c r="F1903" s="161">
        <v>772.01179000000002</v>
      </c>
      <c r="G1903" s="161"/>
      <c r="H1903" s="654"/>
      <c r="I1903" s="654"/>
      <c r="J1903" s="191"/>
      <c r="K1903" s="191">
        <v>5034194.6061812202</v>
      </c>
      <c r="L1903" s="191"/>
      <c r="M1903" s="191"/>
      <c r="N1903" s="191"/>
      <c r="O1903" s="191"/>
      <c r="P1903" s="191"/>
      <c r="Q1903" s="191"/>
      <c r="R1903" s="191"/>
      <c r="S1903" s="191"/>
      <c r="T1903" s="191"/>
      <c r="U1903" s="439"/>
      <c r="V1903" s="441"/>
      <c r="W1903" s="178"/>
      <c r="X1903" s="172"/>
      <c r="Y1903" s="172"/>
      <c r="Z1903" s="172"/>
      <c r="AA1903" s="195"/>
      <c r="AB1903" s="172"/>
    </row>
    <row r="1904" spans="1:28" ht="12.6" customHeight="1" x14ac:dyDescent="0.3">
      <c r="A1904" s="667"/>
      <c r="B1904" s="668" t="s">
        <v>7825</v>
      </c>
      <c r="C1904" s="160" t="s">
        <v>7826</v>
      </c>
      <c r="D1904" s="160"/>
      <c r="E1904" s="439">
        <v>9.6300000000000008</v>
      </c>
      <c r="F1904" s="161">
        <v>348.11356863399999</v>
      </c>
      <c r="G1904" s="161"/>
      <c r="H1904" s="654"/>
      <c r="I1904" s="654"/>
      <c r="J1904" s="191"/>
      <c r="K1904" s="191">
        <v>1732806.2271533001</v>
      </c>
      <c r="L1904" s="191"/>
      <c r="M1904" s="191"/>
      <c r="N1904" s="191"/>
      <c r="O1904" s="191"/>
      <c r="P1904" s="191"/>
      <c r="Q1904" s="191"/>
      <c r="R1904" s="191"/>
      <c r="S1904" s="191"/>
      <c r="T1904" s="191"/>
      <c r="U1904" s="439"/>
      <c r="V1904" s="441"/>
      <c r="W1904" s="178"/>
      <c r="X1904" s="172"/>
      <c r="Y1904" s="172"/>
      <c r="Z1904" s="172"/>
      <c r="AA1904" s="195"/>
      <c r="AB1904" s="172"/>
    </row>
    <row r="1905" spans="1:28" ht="12.6" customHeight="1" x14ac:dyDescent="0.3">
      <c r="A1905" s="667"/>
      <c r="B1905" s="668" t="s">
        <v>7827</v>
      </c>
      <c r="C1905" s="160" t="s">
        <v>7828</v>
      </c>
      <c r="D1905" s="160"/>
      <c r="E1905" s="439"/>
      <c r="F1905" s="161">
        <v>444.11226666599998</v>
      </c>
      <c r="G1905" s="161"/>
      <c r="H1905" s="654"/>
      <c r="I1905" s="654"/>
      <c r="J1905" s="191"/>
      <c r="K1905" s="191">
        <v>568447027.72179306</v>
      </c>
      <c r="L1905" s="191"/>
      <c r="M1905" s="191"/>
      <c r="N1905" s="191"/>
      <c r="O1905" s="191"/>
      <c r="P1905" s="191"/>
      <c r="Q1905" s="191"/>
      <c r="R1905" s="191"/>
      <c r="S1905" s="191"/>
      <c r="T1905" s="191"/>
      <c r="U1905" s="439"/>
      <c r="V1905" s="441"/>
      <c r="W1905" s="178"/>
      <c r="X1905" s="172"/>
      <c r="Y1905" s="172"/>
      <c r="Z1905" s="172"/>
      <c r="AA1905" s="195"/>
      <c r="AB1905" s="172"/>
    </row>
    <row r="1906" spans="1:28" ht="12.6" customHeight="1" x14ac:dyDescent="0.3">
      <c r="A1906" s="667"/>
      <c r="B1906" s="668" t="s">
        <v>7829</v>
      </c>
      <c r="C1906" s="160" t="s">
        <v>7830</v>
      </c>
      <c r="D1906" s="160"/>
      <c r="E1906" s="439"/>
      <c r="F1906" s="161">
        <v>786.02743999999996</v>
      </c>
      <c r="G1906" s="161"/>
      <c r="H1906" s="654"/>
      <c r="I1906" s="654"/>
      <c r="J1906" s="191"/>
      <c r="K1906" s="191">
        <v>4814486.7963716602</v>
      </c>
      <c r="L1906" s="191"/>
      <c r="M1906" s="191"/>
      <c r="N1906" s="191"/>
      <c r="O1906" s="191"/>
      <c r="P1906" s="191"/>
      <c r="Q1906" s="191"/>
      <c r="R1906" s="191"/>
      <c r="S1906" s="191"/>
      <c r="T1906" s="191"/>
      <c r="U1906" s="439"/>
      <c r="V1906" s="441"/>
      <c r="W1906" s="178"/>
      <c r="X1906" s="172"/>
      <c r="Y1906" s="172"/>
      <c r="Z1906" s="172"/>
      <c r="AA1906" s="195"/>
      <c r="AB1906" s="172"/>
    </row>
    <row r="1907" spans="1:28" ht="12.6" customHeight="1" x14ac:dyDescent="0.3">
      <c r="A1907" s="667"/>
      <c r="B1907" s="668" t="s">
        <v>7831</v>
      </c>
      <c r="C1907" s="160" t="s">
        <v>7832</v>
      </c>
      <c r="D1907" s="160"/>
      <c r="E1907" s="439"/>
      <c r="F1907" s="161">
        <v>686.03381999999999</v>
      </c>
      <c r="G1907" s="161"/>
      <c r="H1907" s="654"/>
      <c r="I1907" s="654"/>
      <c r="J1907" s="191"/>
      <c r="K1907" s="191">
        <v>390678939.36171299</v>
      </c>
      <c r="L1907" s="191"/>
      <c r="M1907" s="191"/>
      <c r="N1907" s="191"/>
      <c r="O1907" s="191"/>
      <c r="P1907" s="191"/>
      <c r="Q1907" s="191"/>
      <c r="R1907" s="191"/>
      <c r="S1907" s="191"/>
      <c r="T1907" s="191"/>
      <c r="U1907" s="439"/>
      <c r="V1907" s="441"/>
      <c r="W1907" s="178"/>
      <c r="X1907" s="172"/>
      <c r="Y1907" s="172"/>
      <c r="Z1907" s="172"/>
      <c r="AA1907" s="195"/>
      <c r="AB1907" s="172"/>
    </row>
    <row r="1908" spans="1:28" ht="12.6" customHeight="1" x14ac:dyDescent="0.3">
      <c r="A1908" s="667"/>
      <c r="B1908" s="668" t="s">
        <v>7833</v>
      </c>
      <c r="C1908" s="160" t="s">
        <v>7834</v>
      </c>
      <c r="D1908" s="160"/>
      <c r="E1908" s="439"/>
      <c r="F1908" s="161">
        <v>586.04021</v>
      </c>
      <c r="G1908" s="161"/>
      <c r="H1908" s="654"/>
      <c r="I1908" s="654"/>
      <c r="J1908" s="191"/>
      <c r="K1908" s="191">
        <v>653536728.83590901</v>
      </c>
      <c r="L1908" s="191"/>
      <c r="M1908" s="191"/>
      <c r="N1908" s="191"/>
      <c r="O1908" s="191"/>
      <c r="P1908" s="191"/>
      <c r="Q1908" s="191"/>
      <c r="R1908" s="191"/>
      <c r="S1908" s="191"/>
      <c r="T1908" s="191"/>
      <c r="U1908" s="439"/>
      <c r="V1908" s="441"/>
      <c r="W1908" s="178"/>
      <c r="X1908" s="172"/>
      <c r="Y1908" s="172"/>
      <c r="Z1908" s="172"/>
      <c r="AA1908" s="195"/>
      <c r="AB1908" s="172"/>
    </row>
    <row r="1909" spans="1:28" ht="12.6" customHeight="1" x14ac:dyDescent="0.3">
      <c r="A1909" s="667"/>
      <c r="B1909" s="668" t="s">
        <v>7835</v>
      </c>
      <c r="C1909" s="160" t="s">
        <v>7836</v>
      </c>
      <c r="D1909" s="160"/>
      <c r="E1909" s="439"/>
      <c r="F1909" s="161">
        <v>558.12152938300005</v>
      </c>
      <c r="G1909" s="161"/>
      <c r="H1909" s="654"/>
      <c r="I1909" s="654"/>
      <c r="J1909" s="191"/>
      <c r="K1909" s="191">
        <v>4454920.9280847097</v>
      </c>
      <c r="L1909" s="191"/>
      <c r="M1909" s="191"/>
      <c r="N1909" s="191"/>
      <c r="O1909" s="191"/>
      <c r="P1909" s="191"/>
      <c r="Q1909" s="191"/>
      <c r="R1909" s="191"/>
      <c r="S1909" s="191"/>
      <c r="T1909" s="191"/>
      <c r="U1909" s="439"/>
      <c r="V1909" s="441"/>
      <c r="W1909" s="178"/>
      <c r="X1909" s="172"/>
      <c r="Y1909" s="172"/>
      <c r="Z1909" s="172"/>
      <c r="AA1909" s="195"/>
      <c r="AB1909" s="172"/>
    </row>
    <row r="1910" spans="1:28" ht="12.6" customHeight="1" x14ac:dyDescent="0.3">
      <c r="A1910" s="667"/>
      <c r="B1910" s="668" t="s">
        <v>7837</v>
      </c>
      <c r="C1910" s="160" t="s">
        <v>7838</v>
      </c>
      <c r="D1910" s="160"/>
      <c r="E1910" s="439"/>
      <c r="F1910" s="161">
        <v>508.12472305699998</v>
      </c>
      <c r="G1910" s="161"/>
      <c r="H1910" s="654"/>
      <c r="I1910" s="654"/>
      <c r="J1910" s="191"/>
      <c r="K1910" s="191">
        <v>31232014.6714921</v>
      </c>
      <c r="L1910" s="191"/>
      <c r="M1910" s="191"/>
      <c r="N1910" s="191"/>
      <c r="O1910" s="191"/>
      <c r="P1910" s="191"/>
      <c r="Q1910" s="191"/>
      <c r="R1910" s="191"/>
      <c r="S1910" s="191"/>
      <c r="T1910" s="191"/>
      <c r="U1910" s="439"/>
      <c r="V1910" s="441"/>
      <c r="W1910" s="178"/>
      <c r="X1910" s="172"/>
      <c r="Y1910" s="172"/>
      <c r="Z1910" s="172"/>
      <c r="AA1910" s="195"/>
      <c r="AB1910" s="172"/>
    </row>
    <row r="1911" spans="1:28" ht="12.6" customHeight="1" x14ac:dyDescent="0.3">
      <c r="A1911" s="667"/>
      <c r="B1911" s="668" t="s">
        <v>7839</v>
      </c>
      <c r="C1911" s="160" t="s">
        <v>7840</v>
      </c>
      <c r="D1911" s="160"/>
      <c r="E1911" s="439"/>
      <c r="F1911" s="161">
        <v>458.12791673100003</v>
      </c>
      <c r="G1911" s="161">
        <v>-69.11</v>
      </c>
      <c r="H1911" s="654">
        <v>13.832557466000001</v>
      </c>
      <c r="I1911" s="654">
        <v>5.1640178773918299E-2</v>
      </c>
      <c r="J1911" s="191"/>
      <c r="K1911" s="191">
        <v>869340674.97016704</v>
      </c>
      <c r="L1911" s="191"/>
      <c r="M1911" s="191"/>
      <c r="N1911" s="191"/>
      <c r="O1911" s="191"/>
      <c r="P1911" s="191"/>
      <c r="Q1911" s="191"/>
      <c r="R1911" s="191"/>
      <c r="S1911" s="191"/>
      <c r="T1911" s="191"/>
      <c r="U1911" s="439"/>
      <c r="V1911" s="441"/>
      <c r="W1911" s="178"/>
      <c r="X1911" s="172"/>
      <c r="Y1911" s="172"/>
      <c r="Z1911" s="172"/>
      <c r="AA1911" s="195"/>
      <c r="AB1911" s="172"/>
    </row>
    <row r="1912" spans="1:28" ht="12.6" customHeight="1" x14ac:dyDescent="0.3">
      <c r="A1912" s="667"/>
      <c r="B1912" s="668" t="s">
        <v>7841</v>
      </c>
      <c r="C1912" s="160" t="s">
        <v>7842</v>
      </c>
      <c r="D1912" s="160"/>
      <c r="E1912" s="439"/>
      <c r="F1912" s="161">
        <v>458.12791673100003</v>
      </c>
      <c r="G1912" s="161"/>
      <c r="H1912" s="654"/>
      <c r="I1912" s="654"/>
      <c r="J1912" s="191"/>
      <c r="K1912" s="191">
        <v>869340674.97016704</v>
      </c>
      <c r="L1912" s="191"/>
      <c r="M1912" s="191"/>
      <c r="N1912" s="191"/>
      <c r="O1912" s="191"/>
      <c r="P1912" s="191"/>
      <c r="Q1912" s="191"/>
      <c r="R1912" s="191"/>
      <c r="S1912" s="191"/>
      <c r="T1912" s="191"/>
      <c r="U1912" s="439"/>
      <c r="V1912" s="441"/>
      <c r="W1912" s="178"/>
      <c r="X1912" s="172"/>
      <c r="Y1912" s="172"/>
      <c r="Z1912" s="172"/>
      <c r="AA1912" s="195"/>
      <c r="AB1912" s="172"/>
    </row>
    <row r="1913" spans="1:28" ht="12.6" customHeight="1" x14ac:dyDescent="0.3">
      <c r="A1913" s="667"/>
      <c r="B1913" s="668" t="s">
        <v>7843</v>
      </c>
      <c r="C1913" s="160" t="s">
        <v>7844</v>
      </c>
      <c r="D1913" s="160"/>
      <c r="E1913" s="439"/>
      <c r="F1913" s="160">
        <v>358.134304079</v>
      </c>
      <c r="G1913" s="161"/>
      <c r="H1913" s="654"/>
      <c r="I1913" s="654"/>
      <c r="J1913" s="191"/>
      <c r="K1913" s="191">
        <v>427907600.01099199</v>
      </c>
      <c r="L1913" s="191"/>
      <c r="M1913" s="191"/>
      <c r="N1913" s="191"/>
      <c r="O1913" s="191"/>
      <c r="P1913" s="191"/>
      <c r="Q1913" s="191"/>
      <c r="R1913" s="191"/>
      <c r="S1913" s="191"/>
      <c r="T1913" s="191"/>
      <c r="U1913" s="439"/>
      <c r="V1913" s="441"/>
      <c r="W1913" s="178"/>
      <c r="X1913" s="172"/>
      <c r="Y1913" s="172"/>
      <c r="Z1913" s="172"/>
      <c r="AA1913" s="195"/>
      <c r="AB1913" s="172"/>
    </row>
    <row r="1914" spans="1:28" ht="12.6" customHeight="1" x14ac:dyDescent="0.3">
      <c r="A1914" s="667"/>
      <c r="B1914" s="668" t="s">
        <v>7845</v>
      </c>
      <c r="C1914" s="160" t="s">
        <v>7846</v>
      </c>
      <c r="D1914" s="160"/>
      <c r="E1914" s="439"/>
      <c r="F1914" s="161">
        <v>800.04309000000001</v>
      </c>
      <c r="G1914" s="161"/>
      <c r="H1914" s="654"/>
      <c r="I1914" s="654"/>
      <c r="J1914" s="191"/>
      <c r="K1914" s="191">
        <v>4623916.6823830698</v>
      </c>
      <c r="L1914" s="191"/>
      <c r="M1914" s="191"/>
      <c r="N1914" s="191"/>
      <c r="O1914" s="191"/>
      <c r="P1914" s="191"/>
      <c r="Q1914" s="191"/>
      <c r="R1914" s="191"/>
      <c r="S1914" s="191"/>
      <c r="T1914" s="191"/>
      <c r="U1914" s="439"/>
      <c r="V1914" s="441"/>
      <c r="W1914" s="178"/>
      <c r="X1914" s="172"/>
      <c r="Y1914" s="172"/>
      <c r="Z1914" s="172"/>
      <c r="AA1914" s="195"/>
      <c r="AB1914" s="172"/>
    </row>
    <row r="1915" spans="1:28" ht="12.6" customHeight="1" x14ac:dyDescent="0.3">
      <c r="A1915" s="667"/>
      <c r="B1915" s="668" t="s">
        <v>7847</v>
      </c>
      <c r="C1915" s="160" t="s">
        <v>7848</v>
      </c>
      <c r="D1915" s="160"/>
      <c r="E1915" s="439"/>
      <c r="F1915" s="161">
        <v>600.05586000000005</v>
      </c>
      <c r="G1915" s="161"/>
      <c r="H1915" s="654"/>
      <c r="I1915" s="654"/>
      <c r="J1915" s="191"/>
      <c r="K1915" s="191">
        <v>1110017945.44976</v>
      </c>
      <c r="L1915" s="191"/>
      <c r="M1915" s="191"/>
      <c r="N1915" s="191"/>
      <c r="O1915" s="191"/>
      <c r="P1915" s="191"/>
      <c r="Q1915" s="191"/>
      <c r="R1915" s="191"/>
      <c r="S1915" s="191"/>
      <c r="T1915" s="191"/>
      <c r="U1915" s="439"/>
      <c r="V1915" s="441"/>
      <c r="W1915" s="178"/>
      <c r="X1915" s="172"/>
      <c r="Y1915" s="172"/>
      <c r="Z1915" s="172"/>
      <c r="AA1915" s="195"/>
      <c r="AB1915" s="172"/>
    </row>
    <row r="1916" spans="1:28" ht="12.6" customHeight="1" x14ac:dyDescent="0.3">
      <c r="A1916" s="667"/>
      <c r="B1916" s="668" t="s">
        <v>7849</v>
      </c>
      <c r="C1916" s="160" t="s">
        <v>7850</v>
      </c>
      <c r="D1916" s="160"/>
      <c r="E1916" s="439"/>
      <c r="F1916" s="161">
        <v>814.05873999999994</v>
      </c>
      <c r="G1916" s="161"/>
      <c r="H1916" s="654"/>
      <c r="I1916" s="654"/>
      <c r="J1916" s="191"/>
      <c r="K1916" s="191">
        <v>4468893.4491976602</v>
      </c>
      <c r="L1916" s="191"/>
      <c r="M1916" s="191"/>
      <c r="N1916" s="191"/>
      <c r="O1916" s="191"/>
      <c r="P1916" s="191"/>
      <c r="Q1916" s="191"/>
      <c r="R1916" s="191"/>
      <c r="S1916" s="191"/>
      <c r="T1916" s="191"/>
      <c r="U1916" s="439"/>
      <c r="V1916" s="441"/>
      <c r="W1916" s="178"/>
      <c r="X1916" s="172"/>
      <c r="Y1916" s="172"/>
      <c r="Z1916" s="172"/>
      <c r="AA1916" s="195"/>
      <c r="AB1916" s="172"/>
    </row>
    <row r="1917" spans="1:28" ht="12.6" customHeight="1" x14ac:dyDescent="0.3">
      <c r="A1917" s="667"/>
      <c r="B1917" s="668" t="s">
        <v>7851</v>
      </c>
      <c r="C1917" s="160" t="s">
        <v>7852</v>
      </c>
      <c r="D1917" s="160"/>
      <c r="E1917" s="439"/>
      <c r="F1917" s="161">
        <v>714.06511999999998</v>
      </c>
      <c r="G1917" s="161"/>
      <c r="H1917" s="654"/>
      <c r="I1917" s="654"/>
      <c r="J1917" s="191"/>
      <c r="K1917" s="191">
        <v>60001208.816348203</v>
      </c>
      <c r="L1917" s="191"/>
      <c r="M1917" s="191"/>
      <c r="N1917" s="191"/>
      <c r="O1917" s="191"/>
      <c r="P1917" s="191"/>
      <c r="Q1917" s="191"/>
      <c r="R1917" s="191"/>
      <c r="S1917" s="191"/>
      <c r="T1917" s="191"/>
      <c r="U1917" s="439"/>
      <c r="V1917" s="441"/>
      <c r="W1917" s="178"/>
      <c r="X1917" s="172"/>
      <c r="Y1917" s="172"/>
      <c r="Z1917" s="172"/>
      <c r="AA1917" s="195"/>
      <c r="AB1917" s="172"/>
    </row>
    <row r="1918" spans="1:28" ht="12.6" customHeight="1" x14ac:dyDescent="0.3">
      <c r="A1918" s="667"/>
      <c r="B1918" s="668" t="s">
        <v>7853</v>
      </c>
      <c r="C1918" s="160" t="s">
        <v>7854</v>
      </c>
      <c r="D1918" s="160"/>
      <c r="E1918" s="439"/>
      <c r="F1918" s="161">
        <v>664.06831999999997</v>
      </c>
      <c r="G1918" s="161"/>
      <c r="H1918" s="654"/>
      <c r="I1918" s="654"/>
      <c r="J1918" s="191"/>
      <c r="K1918" s="191">
        <v>422804888.49229997</v>
      </c>
      <c r="L1918" s="191"/>
      <c r="M1918" s="191"/>
      <c r="N1918" s="191"/>
      <c r="O1918" s="191"/>
      <c r="P1918" s="191"/>
      <c r="Q1918" s="191"/>
      <c r="R1918" s="191"/>
      <c r="S1918" s="191"/>
      <c r="T1918" s="191"/>
      <c r="U1918" s="439"/>
      <c r="V1918" s="441"/>
      <c r="W1918" s="178"/>
      <c r="X1918" s="172"/>
      <c r="Y1918" s="172"/>
      <c r="Z1918" s="172"/>
      <c r="AA1918" s="195"/>
      <c r="AB1918" s="172"/>
    </row>
    <row r="1919" spans="1:28" ht="12.6" customHeight="1" x14ac:dyDescent="0.3">
      <c r="A1919" s="667"/>
      <c r="B1919" s="668" t="s">
        <v>7855</v>
      </c>
      <c r="C1919" s="160" t="s">
        <v>7856</v>
      </c>
      <c r="D1919" s="160"/>
      <c r="E1919" s="439"/>
      <c r="F1919" s="161">
        <v>614.07150999999999</v>
      </c>
      <c r="G1919" s="161"/>
      <c r="H1919" s="654"/>
      <c r="I1919" s="654"/>
      <c r="J1919" s="191"/>
      <c r="K1919" s="191">
        <v>473140364.37655199</v>
      </c>
      <c r="L1919" s="191"/>
      <c r="M1919" s="191"/>
      <c r="N1919" s="191"/>
      <c r="O1919" s="191"/>
      <c r="P1919" s="191"/>
      <c r="Q1919" s="191"/>
      <c r="R1919" s="191"/>
      <c r="S1919" s="191"/>
      <c r="T1919" s="191"/>
      <c r="U1919" s="439"/>
      <c r="V1919" s="441"/>
      <c r="W1919" s="178"/>
      <c r="X1919" s="172"/>
      <c r="Y1919" s="172"/>
      <c r="Z1919" s="172"/>
      <c r="AA1919" s="195"/>
      <c r="AB1919" s="172"/>
    </row>
    <row r="1920" spans="1:28" ht="12.6" customHeight="1" x14ac:dyDescent="0.3">
      <c r="A1920" s="667"/>
      <c r="B1920" s="668" t="s">
        <v>7857</v>
      </c>
      <c r="C1920" s="160" t="s">
        <v>7858</v>
      </c>
      <c r="D1920" s="160"/>
      <c r="E1920" s="439"/>
      <c r="F1920" s="161">
        <v>514.0779</v>
      </c>
      <c r="G1920" s="161"/>
      <c r="H1920" s="654"/>
      <c r="I1920" s="654"/>
      <c r="J1920" s="191"/>
      <c r="K1920" s="191">
        <v>1556395620.1996801</v>
      </c>
      <c r="L1920" s="191"/>
      <c r="M1920" s="191"/>
      <c r="N1920" s="191"/>
      <c r="O1920" s="191"/>
      <c r="P1920" s="191"/>
      <c r="Q1920" s="191"/>
      <c r="R1920" s="191"/>
      <c r="S1920" s="191"/>
      <c r="T1920" s="191"/>
      <c r="U1920" s="439"/>
      <c r="V1920" s="441"/>
      <c r="W1920" s="178"/>
      <c r="X1920" s="172"/>
      <c r="Y1920" s="172"/>
      <c r="Z1920" s="172"/>
      <c r="AA1920" s="195"/>
      <c r="AB1920" s="172"/>
    </row>
    <row r="1921" spans="1:28" ht="12.6" customHeight="1" x14ac:dyDescent="0.3">
      <c r="A1921" s="667"/>
      <c r="B1921" s="668" t="s">
        <v>7859</v>
      </c>
      <c r="C1921" s="160" t="s">
        <v>7860</v>
      </c>
      <c r="D1921" s="160"/>
      <c r="E1921" s="439"/>
      <c r="F1921" s="161">
        <v>586.15282951200004</v>
      </c>
      <c r="G1921" s="161"/>
      <c r="H1921" s="654"/>
      <c r="I1921" s="654"/>
      <c r="J1921" s="191"/>
      <c r="K1921" s="191">
        <v>3916156.1479904102</v>
      </c>
      <c r="L1921" s="191"/>
      <c r="M1921" s="191"/>
      <c r="N1921" s="191"/>
      <c r="O1921" s="191"/>
      <c r="P1921" s="191"/>
      <c r="Q1921" s="191"/>
      <c r="R1921" s="191"/>
      <c r="S1921" s="191"/>
      <c r="T1921" s="191"/>
      <c r="U1921" s="439"/>
      <c r="V1921" s="441"/>
      <c r="W1921" s="178"/>
      <c r="X1921" s="172"/>
      <c r="Y1921" s="172"/>
      <c r="Z1921" s="172"/>
      <c r="AA1921" s="195"/>
      <c r="AB1921" s="172"/>
    </row>
    <row r="1922" spans="1:28" ht="12.6" customHeight="1" x14ac:dyDescent="0.3">
      <c r="A1922" s="667"/>
      <c r="B1922" s="668" t="s">
        <v>7861</v>
      </c>
      <c r="C1922" s="160" t="s">
        <v>7862</v>
      </c>
      <c r="D1922" s="160"/>
      <c r="E1922" s="439"/>
      <c r="F1922" s="161">
        <v>486.15921686000002</v>
      </c>
      <c r="G1922" s="161"/>
      <c r="H1922" s="654"/>
      <c r="I1922" s="654"/>
      <c r="J1922" s="191"/>
      <c r="K1922" s="191">
        <v>41273376.578510903</v>
      </c>
      <c r="L1922" s="191"/>
      <c r="M1922" s="191"/>
      <c r="N1922" s="191"/>
      <c r="O1922" s="191"/>
      <c r="P1922" s="191"/>
      <c r="Q1922" s="191"/>
      <c r="R1922" s="191"/>
      <c r="S1922" s="191"/>
      <c r="T1922" s="191"/>
      <c r="U1922" s="439"/>
      <c r="V1922" s="441"/>
      <c r="W1922" s="178"/>
      <c r="X1922" s="172"/>
      <c r="Y1922" s="172"/>
      <c r="Z1922" s="172"/>
      <c r="AA1922" s="195"/>
      <c r="AB1922" s="172"/>
    </row>
    <row r="1923" spans="1:28" ht="12.6" customHeight="1" x14ac:dyDescent="0.3">
      <c r="A1923" s="667"/>
      <c r="B1923" s="668" t="s">
        <v>7863</v>
      </c>
      <c r="C1923" s="160" t="s">
        <v>7864</v>
      </c>
      <c r="D1923" s="160"/>
      <c r="E1923" s="439"/>
      <c r="F1923" s="161">
        <v>386.16560420799999</v>
      </c>
      <c r="G1923" s="161"/>
      <c r="H1923" s="654"/>
      <c r="I1923" s="654"/>
      <c r="J1923" s="191"/>
      <c r="K1923" s="191">
        <v>1696367721.0818501</v>
      </c>
      <c r="L1923" s="191"/>
      <c r="M1923" s="191"/>
      <c r="N1923" s="191"/>
      <c r="O1923" s="191"/>
      <c r="P1923" s="191"/>
      <c r="Q1923" s="191"/>
      <c r="R1923" s="191"/>
      <c r="S1923" s="191"/>
      <c r="T1923" s="191"/>
      <c r="U1923" s="439"/>
      <c r="V1923" s="441"/>
      <c r="W1923" s="178"/>
      <c r="X1923" s="172"/>
      <c r="Y1923" s="172"/>
      <c r="Z1923" s="172"/>
      <c r="AA1923" s="195"/>
      <c r="AB1923" s="172"/>
    </row>
    <row r="1924" spans="1:28" ht="12.6" customHeight="1" x14ac:dyDescent="0.3">
      <c r="A1924" s="667"/>
      <c r="B1924" s="668" t="s">
        <v>7865</v>
      </c>
      <c r="C1924" s="160" t="s">
        <v>7866</v>
      </c>
      <c r="D1924" s="160"/>
      <c r="E1924" s="439">
        <v>5.89</v>
      </c>
      <c r="F1924" s="161">
        <v>744.41954044600004</v>
      </c>
      <c r="G1924" s="161"/>
      <c r="H1924" s="654"/>
      <c r="I1924" s="654"/>
      <c r="J1924" s="191"/>
      <c r="K1924" s="191">
        <v>15896444569.08</v>
      </c>
      <c r="L1924" s="191"/>
      <c r="M1924" s="191"/>
      <c r="N1924" s="191"/>
      <c r="O1924" s="191"/>
      <c r="P1924" s="191"/>
      <c r="Q1924" s="191"/>
      <c r="R1924" s="191"/>
      <c r="S1924" s="191"/>
      <c r="T1924" s="191"/>
      <c r="U1924" s="439"/>
      <c r="V1924" s="441"/>
      <c r="W1924" s="178"/>
      <c r="X1924" s="172"/>
      <c r="Y1924" s="172"/>
      <c r="Z1924" s="172"/>
      <c r="AA1924" s="195"/>
      <c r="AB1924" s="172"/>
    </row>
    <row r="1925" spans="1:28" ht="12.6" customHeight="1" x14ac:dyDescent="0.3">
      <c r="A1925" s="667"/>
      <c r="B1925" s="668" t="s">
        <v>7867</v>
      </c>
      <c r="C1925" s="160" t="s">
        <v>7868</v>
      </c>
      <c r="D1925" s="160"/>
      <c r="E1925" s="439"/>
      <c r="F1925" s="161">
        <v>842.09004000000004</v>
      </c>
      <c r="G1925" s="161"/>
      <c r="H1925" s="654"/>
      <c r="I1925" s="654"/>
      <c r="J1925" s="191"/>
      <c r="K1925" s="191">
        <v>10575477.8508578</v>
      </c>
      <c r="L1925" s="191"/>
      <c r="M1925" s="191"/>
      <c r="N1925" s="191"/>
      <c r="O1925" s="191"/>
      <c r="P1925" s="191"/>
      <c r="Q1925" s="191"/>
      <c r="R1925" s="191"/>
      <c r="S1925" s="191"/>
      <c r="T1925" s="191"/>
      <c r="U1925" s="439"/>
      <c r="V1925" s="441"/>
      <c r="W1925" s="178"/>
      <c r="X1925" s="172"/>
      <c r="Y1925" s="172"/>
      <c r="Z1925" s="172"/>
      <c r="AA1925" s="195"/>
      <c r="AB1925" s="172"/>
    </row>
    <row r="1926" spans="1:28" ht="12.6" customHeight="1" x14ac:dyDescent="0.3">
      <c r="A1926" s="667"/>
      <c r="B1926" s="668" t="s">
        <v>7869</v>
      </c>
      <c r="C1926" s="160" t="s">
        <v>7870</v>
      </c>
      <c r="D1926" s="160"/>
      <c r="E1926" s="439"/>
      <c r="F1926" s="161">
        <v>742.09641999999997</v>
      </c>
      <c r="G1926" s="161"/>
      <c r="H1926" s="654"/>
      <c r="I1926" s="654"/>
      <c r="J1926" s="191"/>
      <c r="K1926" s="191">
        <v>50336150.564706601</v>
      </c>
      <c r="L1926" s="191"/>
      <c r="M1926" s="191"/>
      <c r="N1926" s="191"/>
      <c r="O1926" s="191"/>
      <c r="P1926" s="191"/>
      <c r="Q1926" s="191"/>
      <c r="R1926" s="191"/>
      <c r="S1926" s="191"/>
      <c r="T1926" s="191"/>
      <c r="U1926" s="439"/>
      <c r="V1926" s="441"/>
      <c r="W1926" s="178"/>
      <c r="X1926" s="172"/>
      <c r="Y1926" s="172"/>
      <c r="Z1926" s="172"/>
      <c r="AA1926" s="195"/>
      <c r="AB1926" s="172"/>
    </row>
    <row r="1927" spans="1:28" ht="12.6" customHeight="1" x14ac:dyDescent="0.3">
      <c r="A1927" s="667"/>
      <c r="B1927" s="668" t="s">
        <v>7871</v>
      </c>
      <c r="C1927" s="160" t="s">
        <v>7872</v>
      </c>
      <c r="D1927" s="160"/>
      <c r="E1927" s="439"/>
      <c r="F1927" s="161">
        <v>614.18412964000004</v>
      </c>
      <c r="G1927" s="161"/>
      <c r="H1927" s="654"/>
      <c r="I1927" s="654"/>
      <c r="J1927" s="191"/>
      <c r="K1927" s="191">
        <v>8332781.6147468798</v>
      </c>
      <c r="L1927" s="191"/>
      <c r="M1927" s="191"/>
      <c r="N1927" s="191"/>
      <c r="O1927" s="191"/>
      <c r="P1927" s="191"/>
      <c r="Q1927" s="191"/>
      <c r="R1927" s="191"/>
      <c r="S1927" s="191"/>
      <c r="T1927" s="191"/>
      <c r="U1927" s="439"/>
      <c r="V1927" s="441"/>
      <c r="W1927" s="178"/>
      <c r="X1927" s="172"/>
      <c r="Y1927" s="172"/>
      <c r="Z1927" s="172"/>
      <c r="AA1927" s="195"/>
      <c r="AB1927" s="172"/>
    </row>
    <row r="1928" spans="1:28" ht="12.6" customHeight="1" x14ac:dyDescent="0.3">
      <c r="A1928" s="667"/>
      <c r="B1928" s="668" t="s">
        <v>7873</v>
      </c>
      <c r="C1928" s="160" t="s">
        <v>7874</v>
      </c>
      <c r="D1928" s="160"/>
      <c r="E1928" s="439"/>
      <c r="F1928" s="161">
        <v>514.19051698800001</v>
      </c>
      <c r="G1928" s="161"/>
      <c r="H1928" s="654"/>
      <c r="I1928" s="654"/>
      <c r="J1928" s="191"/>
      <c r="K1928" s="191">
        <v>16210260.7222078</v>
      </c>
      <c r="L1928" s="191"/>
      <c r="M1928" s="191"/>
      <c r="N1928" s="191"/>
      <c r="O1928" s="191"/>
      <c r="P1928" s="191"/>
      <c r="Q1928" s="191"/>
      <c r="R1928" s="191"/>
      <c r="S1928" s="191"/>
      <c r="T1928" s="191"/>
      <c r="U1928" s="439"/>
      <c r="V1928" s="441"/>
      <c r="W1928" s="178"/>
      <c r="X1928" s="172"/>
      <c r="Y1928" s="172"/>
      <c r="Z1928" s="172"/>
      <c r="AA1928" s="195"/>
      <c r="AB1928" s="172"/>
    </row>
    <row r="1929" spans="1:28" ht="12.6" customHeight="1" x14ac:dyDescent="0.3">
      <c r="A1929" s="667"/>
      <c r="B1929" s="668" t="s">
        <v>7875</v>
      </c>
      <c r="C1929" s="160" t="s">
        <v>7876</v>
      </c>
      <c r="D1929" s="160"/>
      <c r="E1929" s="439"/>
      <c r="F1929" s="161">
        <v>414.19690433599999</v>
      </c>
      <c r="G1929" s="161"/>
      <c r="H1929" s="654"/>
      <c r="I1929" s="654"/>
      <c r="J1929" s="191"/>
      <c r="K1929" s="191">
        <v>2704830157.8088102</v>
      </c>
      <c r="L1929" s="191"/>
      <c r="M1929" s="191"/>
      <c r="N1929" s="191"/>
      <c r="O1929" s="191"/>
      <c r="P1929" s="191"/>
      <c r="Q1929" s="191"/>
      <c r="R1929" s="191"/>
      <c r="S1929" s="191"/>
      <c r="T1929" s="191"/>
      <c r="U1929" s="439"/>
      <c r="V1929" s="441"/>
      <c r="W1929" s="178"/>
      <c r="X1929" s="172"/>
      <c r="Y1929" s="172"/>
      <c r="Z1929" s="172"/>
      <c r="AA1929" s="195"/>
      <c r="AB1929" s="172"/>
    </row>
    <row r="1930" spans="1:28" ht="12.6" customHeight="1" x14ac:dyDescent="0.3">
      <c r="A1930" s="667"/>
      <c r="B1930" s="668" t="s">
        <v>7877</v>
      </c>
      <c r="C1930" s="160" t="s">
        <v>7878</v>
      </c>
      <c r="D1930" s="160"/>
      <c r="E1930" s="439"/>
      <c r="F1930" s="161">
        <v>870.12134000000003</v>
      </c>
      <c r="G1930" s="161"/>
      <c r="H1930" s="654"/>
      <c r="I1930" s="654"/>
      <c r="J1930" s="191"/>
      <c r="K1930" s="191">
        <v>442649522.42993802</v>
      </c>
      <c r="L1930" s="191"/>
      <c r="M1930" s="191"/>
      <c r="N1930" s="191"/>
      <c r="O1930" s="191"/>
      <c r="P1930" s="191"/>
      <c r="Q1930" s="191"/>
      <c r="R1930" s="191"/>
      <c r="S1930" s="191"/>
      <c r="T1930" s="191"/>
      <c r="U1930" s="439"/>
      <c r="V1930" s="441"/>
      <c r="W1930" s="178"/>
      <c r="X1930" s="172"/>
      <c r="Y1930" s="172"/>
      <c r="Z1930" s="172"/>
      <c r="AA1930" s="195"/>
      <c r="AB1930" s="172"/>
    </row>
    <row r="1931" spans="1:28" ht="12.6" customHeight="1" x14ac:dyDescent="0.3">
      <c r="A1931" s="667"/>
      <c r="B1931" s="668" t="s">
        <v>7879</v>
      </c>
      <c r="C1931" s="160" t="s">
        <v>7880</v>
      </c>
      <c r="D1931" s="160"/>
      <c r="E1931" s="439"/>
      <c r="F1931" s="161">
        <v>770.12771999999995</v>
      </c>
      <c r="G1931" s="161"/>
      <c r="H1931" s="654"/>
      <c r="I1931" s="654"/>
      <c r="J1931" s="191"/>
      <c r="K1931" s="191">
        <v>12367730.125533501</v>
      </c>
      <c r="L1931" s="191"/>
      <c r="M1931" s="191"/>
      <c r="N1931" s="191"/>
      <c r="O1931" s="191"/>
      <c r="P1931" s="191"/>
      <c r="Q1931" s="191"/>
      <c r="R1931" s="191"/>
      <c r="S1931" s="191"/>
      <c r="T1931" s="191"/>
      <c r="U1931" s="439"/>
      <c r="V1931" s="441"/>
      <c r="W1931" s="178"/>
      <c r="X1931" s="172"/>
      <c r="Y1931" s="172"/>
      <c r="Z1931" s="172"/>
      <c r="AA1931" s="195"/>
      <c r="AB1931" s="172"/>
    </row>
    <row r="1932" spans="1:28" ht="12.6" customHeight="1" x14ac:dyDescent="0.3">
      <c r="A1932" s="667"/>
      <c r="B1932" s="668" t="s">
        <v>7881</v>
      </c>
      <c r="C1932" s="160" t="s">
        <v>7882</v>
      </c>
      <c r="D1932" s="160"/>
      <c r="E1932" s="439"/>
      <c r="F1932" s="161">
        <v>720.13091999999995</v>
      </c>
      <c r="G1932" s="161"/>
      <c r="H1932" s="654"/>
      <c r="I1932" s="654"/>
      <c r="J1932" s="191"/>
      <c r="K1932" s="191">
        <v>52450544.372679003</v>
      </c>
      <c r="L1932" s="191"/>
      <c r="M1932" s="191"/>
      <c r="N1932" s="191"/>
      <c r="O1932" s="191"/>
      <c r="P1932" s="191"/>
      <c r="Q1932" s="191"/>
      <c r="R1932" s="191"/>
      <c r="S1932" s="191"/>
      <c r="T1932" s="191"/>
      <c r="U1932" s="439"/>
      <c r="V1932" s="441"/>
      <c r="W1932" s="178"/>
      <c r="X1932" s="172"/>
      <c r="Y1932" s="172"/>
      <c r="Z1932" s="172"/>
      <c r="AA1932" s="195"/>
      <c r="AB1932" s="172"/>
    </row>
    <row r="1933" spans="1:28" ht="12.6" customHeight="1" x14ac:dyDescent="0.3">
      <c r="A1933" s="667"/>
      <c r="B1933" s="668" t="s">
        <v>7883</v>
      </c>
      <c r="C1933" s="160" t="s">
        <v>7884</v>
      </c>
      <c r="D1933" s="160"/>
      <c r="E1933" s="439"/>
      <c r="F1933" s="161">
        <v>842.20265507299996</v>
      </c>
      <c r="G1933" s="161"/>
      <c r="H1933" s="654"/>
      <c r="I1933" s="654"/>
      <c r="J1933" s="191"/>
      <c r="K1933" s="191">
        <v>34213696.613536701</v>
      </c>
      <c r="L1933" s="191"/>
      <c r="M1933" s="191"/>
      <c r="N1933" s="191"/>
      <c r="O1933" s="191"/>
      <c r="P1933" s="191"/>
      <c r="Q1933" s="191"/>
      <c r="R1933" s="191"/>
      <c r="S1933" s="191"/>
      <c r="T1933" s="191"/>
      <c r="U1933" s="439"/>
      <c r="V1933" s="441"/>
      <c r="W1933" s="178"/>
      <c r="X1933" s="172"/>
      <c r="Y1933" s="172"/>
      <c r="Z1933" s="172"/>
      <c r="AA1933" s="195"/>
      <c r="AB1933" s="172"/>
    </row>
    <row r="1934" spans="1:28" ht="12.6" customHeight="1" x14ac:dyDescent="0.3">
      <c r="A1934" s="667"/>
      <c r="B1934" s="668" t="s">
        <v>7885</v>
      </c>
      <c r="C1934" s="160" t="s">
        <v>7886</v>
      </c>
      <c r="D1934" s="160"/>
      <c r="E1934" s="439"/>
      <c r="F1934" s="161">
        <v>742.20904242100005</v>
      </c>
      <c r="G1934" s="161"/>
      <c r="H1934" s="654"/>
      <c r="I1934" s="654"/>
      <c r="J1934" s="191"/>
      <c r="K1934" s="191">
        <v>26760855.931993298</v>
      </c>
      <c r="L1934" s="191"/>
      <c r="M1934" s="191"/>
      <c r="N1934" s="191"/>
      <c r="O1934" s="191"/>
      <c r="P1934" s="191"/>
      <c r="Q1934" s="191"/>
      <c r="R1934" s="191"/>
      <c r="S1934" s="191"/>
      <c r="T1934" s="191"/>
      <c r="U1934" s="439"/>
      <c r="V1934" s="441"/>
      <c r="W1934" s="178"/>
      <c r="X1934" s="172"/>
      <c r="Y1934" s="172"/>
      <c r="Z1934" s="172"/>
      <c r="AA1934" s="195"/>
      <c r="AB1934" s="172"/>
    </row>
    <row r="1935" spans="1:28" ht="12.6" customHeight="1" x14ac:dyDescent="0.3">
      <c r="A1935" s="667"/>
      <c r="B1935" s="668" t="s">
        <v>7887</v>
      </c>
      <c r="C1935" s="160" t="s">
        <v>7888</v>
      </c>
      <c r="D1935" s="160"/>
      <c r="E1935" s="439"/>
      <c r="F1935" s="161">
        <v>642.21542976900002</v>
      </c>
      <c r="G1935" s="161"/>
      <c r="H1935" s="654"/>
      <c r="I1935" s="654"/>
      <c r="J1935" s="191"/>
      <c r="K1935" s="191">
        <v>8263042.7567521902</v>
      </c>
      <c r="L1935" s="191"/>
      <c r="M1935" s="191"/>
      <c r="N1935" s="191"/>
      <c r="O1935" s="191"/>
      <c r="P1935" s="191"/>
      <c r="Q1935" s="191"/>
      <c r="R1935" s="191"/>
      <c r="S1935" s="191"/>
      <c r="T1935" s="191"/>
      <c r="U1935" s="439"/>
      <c r="V1935" s="441"/>
      <c r="W1935" s="178"/>
      <c r="X1935" s="172"/>
      <c r="Y1935" s="172"/>
      <c r="Z1935" s="172"/>
      <c r="AA1935" s="195"/>
      <c r="AB1935" s="172"/>
    </row>
    <row r="1936" spans="1:28" ht="12.6" customHeight="1" x14ac:dyDescent="0.3">
      <c r="A1936" s="667"/>
      <c r="B1936" s="668" t="s">
        <v>7889</v>
      </c>
      <c r="C1936" s="160" t="s">
        <v>7890</v>
      </c>
      <c r="D1936" s="160"/>
      <c r="E1936" s="439"/>
      <c r="F1936" s="161">
        <v>542.221817117</v>
      </c>
      <c r="G1936" s="161"/>
      <c r="H1936" s="654"/>
      <c r="I1936" s="654"/>
      <c r="J1936" s="191"/>
      <c r="K1936" s="191">
        <v>12373711.8993535</v>
      </c>
      <c r="L1936" s="191"/>
      <c r="M1936" s="191"/>
      <c r="N1936" s="191"/>
      <c r="O1936" s="191"/>
      <c r="P1936" s="191"/>
      <c r="Q1936" s="191"/>
      <c r="R1936" s="191"/>
      <c r="S1936" s="191"/>
      <c r="T1936" s="191"/>
      <c r="U1936" s="439"/>
      <c r="V1936" s="441"/>
      <c r="W1936" s="178"/>
      <c r="X1936" s="172"/>
      <c r="Y1936" s="172"/>
      <c r="Z1936" s="172"/>
      <c r="AA1936" s="195"/>
      <c r="AB1936" s="172"/>
    </row>
    <row r="1937" spans="1:28" ht="12.6" customHeight="1" x14ac:dyDescent="0.3">
      <c r="A1937" s="667"/>
      <c r="B1937" s="668" t="s">
        <v>7891</v>
      </c>
      <c r="C1937" s="160" t="s">
        <v>7892</v>
      </c>
      <c r="D1937" s="160"/>
      <c r="E1937" s="439"/>
      <c r="F1937" s="161">
        <v>638.22410274799995</v>
      </c>
      <c r="G1937" s="161">
        <v>-13.037000000000001</v>
      </c>
      <c r="H1937" s="654">
        <v>6.7437600649999999E-2</v>
      </c>
      <c r="I1937" s="654">
        <v>1.74170081191723E-3</v>
      </c>
      <c r="J1937" s="191"/>
      <c r="K1937" s="191">
        <v>7797223.8045390602</v>
      </c>
      <c r="L1937" s="191"/>
      <c r="M1937" s="191"/>
      <c r="N1937" s="191"/>
      <c r="O1937" s="191"/>
      <c r="P1937" s="191"/>
      <c r="Q1937" s="191"/>
      <c r="R1937" s="191"/>
      <c r="S1937" s="191"/>
      <c r="T1937" s="191"/>
      <c r="U1937" s="439"/>
      <c r="V1937" s="441"/>
      <c r="W1937" s="178"/>
      <c r="X1937" s="172"/>
      <c r="Y1937" s="172"/>
      <c r="Z1937" s="172"/>
      <c r="AA1937" s="195"/>
      <c r="AB1937" s="172"/>
    </row>
    <row r="1938" spans="1:28" ht="12.6" customHeight="1" x14ac:dyDescent="0.3">
      <c r="A1938" s="667"/>
      <c r="B1938" s="668" t="s">
        <v>7893</v>
      </c>
      <c r="C1938" s="160" t="s">
        <v>7894</v>
      </c>
      <c r="D1938" s="160"/>
      <c r="E1938" s="439"/>
      <c r="F1938" s="161">
        <v>898.15264000000002</v>
      </c>
      <c r="G1938" s="161"/>
      <c r="H1938" s="654"/>
      <c r="I1938" s="654"/>
      <c r="J1938" s="191"/>
      <c r="K1938" s="191">
        <v>488573604.23523498</v>
      </c>
      <c r="L1938" s="191"/>
      <c r="M1938" s="191"/>
      <c r="N1938" s="191"/>
      <c r="O1938" s="191"/>
      <c r="P1938" s="191"/>
      <c r="Q1938" s="191"/>
      <c r="R1938" s="191"/>
      <c r="S1938" s="191"/>
      <c r="T1938" s="191"/>
      <c r="U1938" s="439"/>
      <c r="V1938" s="441"/>
      <c r="W1938" s="178"/>
      <c r="X1938" s="172"/>
      <c r="Y1938" s="172"/>
      <c r="Z1938" s="172"/>
      <c r="AA1938" s="195"/>
      <c r="AB1938" s="172"/>
    </row>
    <row r="1939" spans="1:28" ht="12.6" customHeight="1" x14ac:dyDescent="0.3">
      <c r="A1939" s="667"/>
      <c r="B1939" s="668" t="s">
        <v>7895</v>
      </c>
      <c r="C1939" s="160" t="s">
        <v>7896</v>
      </c>
      <c r="D1939" s="160"/>
      <c r="E1939" s="439"/>
      <c r="F1939" s="161">
        <v>798.15902000000006</v>
      </c>
      <c r="G1939" s="161"/>
      <c r="H1939" s="654"/>
      <c r="I1939" s="654"/>
      <c r="J1939" s="191"/>
      <c r="K1939" s="191">
        <v>234406688.73230401</v>
      </c>
      <c r="L1939" s="191"/>
      <c r="M1939" s="191"/>
      <c r="N1939" s="191"/>
      <c r="O1939" s="191"/>
      <c r="P1939" s="191"/>
      <c r="Q1939" s="191"/>
      <c r="R1939" s="191"/>
      <c r="S1939" s="191"/>
      <c r="T1939" s="191"/>
      <c r="U1939" s="439"/>
      <c r="V1939" s="441"/>
      <c r="W1939" s="178"/>
      <c r="X1939" s="172"/>
      <c r="Y1939" s="172"/>
      <c r="Z1939" s="172"/>
      <c r="AA1939" s="195"/>
      <c r="AB1939" s="172"/>
    </row>
    <row r="1940" spans="1:28" ht="12.6" customHeight="1" x14ac:dyDescent="0.3">
      <c r="A1940" s="667"/>
      <c r="B1940" s="668" t="s">
        <v>7897</v>
      </c>
      <c r="C1940" s="160" t="s">
        <v>7898</v>
      </c>
      <c r="D1940" s="160"/>
      <c r="E1940" s="439"/>
      <c r="F1940" s="161">
        <v>748.16222000000005</v>
      </c>
      <c r="G1940" s="161"/>
      <c r="H1940" s="654"/>
      <c r="I1940" s="654"/>
      <c r="J1940" s="191"/>
      <c r="K1940" s="191">
        <v>12861451.9630739</v>
      </c>
      <c r="L1940" s="191"/>
      <c r="M1940" s="191"/>
      <c r="N1940" s="191"/>
      <c r="O1940" s="191"/>
      <c r="P1940" s="191"/>
      <c r="Q1940" s="191"/>
      <c r="R1940" s="191"/>
      <c r="S1940" s="191"/>
      <c r="T1940" s="191"/>
      <c r="U1940" s="439"/>
      <c r="V1940" s="441"/>
      <c r="W1940" s="178"/>
      <c r="X1940" s="172"/>
      <c r="Y1940" s="172"/>
      <c r="Z1940" s="172"/>
      <c r="AA1940" s="195"/>
      <c r="AB1940" s="172"/>
    </row>
    <row r="1941" spans="1:28" ht="12.6" customHeight="1" x14ac:dyDescent="0.3">
      <c r="A1941" s="667"/>
      <c r="B1941" s="668" t="s">
        <v>7899</v>
      </c>
      <c r="C1941" s="160" t="s">
        <v>7900</v>
      </c>
      <c r="D1941" s="160"/>
      <c r="E1941" s="439"/>
      <c r="F1941" s="161">
        <v>670.24672989800001</v>
      </c>
      <c r="G1941" s="161"/>
      <c r="H1941" s="654"/>
      <c r="I1941" s="654"/>
      <c r="J1941" s="191"/>
      <c r="K1941" s="191">
        <v>19683394.644420501</v>
      </c>
      <c r="L1941" s="191"/>
      <c r="M1941" s="191"/>
      <c r="N1941" s="191"/>
      <c r="O1941" s="191"/>
      <c r="P1941" s="191"/>
      <c r="Q1941" s="191"/>
      <c r="R1941" s="191"/>
      <c r="S1941" s="191"/>
      <c r="T1941" s="191"/>
      <c r="U1941" s="439"/>
      <c r="V1941" s="441"/>
      <c r="W1941" s="178"/>
      <c r="X1941" s="172"/>
      <c r="Y1941" s="172"/>
      <c r="Z1941" s="172"/>
      <c r="AA1941" s="195"/>
      <c r="AB1941" s="172"/>
    </row>
    <row r="1942" spans="1:28" ht="12.6" customHeight="1" x14ac:dyDescent="0.3">
      <c r="A1942" s="667"/>
      <c r="B1942" s="668" t="s">
        <v>7901</v>
      </c>
      <c r="C1942" s="160" t="s">
        <v>7902</v>
      </c>
      <c r="D1942" s="160"/>
      <c r="E1942" s="439"/>
      <c r="F1942" s="161">
        <v>926.18394000000001</v>
      </c>
      <c r="G1942" s="161"/>
      <c r="H1942" s="654"/>
      <c r="I1942" s="654"/>
      <c r="J1942" s="191"/>
      <c r="K1942" s="191">
        <v>532856171.36671197</v>
      </c>
      <c r="L1942" s="191"/>
      <c r="M1942" s="191"/>
      <c r="N1942" s="191"/>
      <c r="O1942" s="191"/>
      <c r="P1942" s="191"/>
      <c r="Q1942" s="191"/>
      <c r="R1942" s="191"/>
      <c r="S1942" s="191"/>
      <c r="T1942" s="191"/>
      <c r="U1942" s="439"/>
      <c r="V1942" s="441"/>
      <c r="W1942" s="178"/>
      <c r="X1942" s="172"/>
      <c r="Y1942" s="172"/>
      <c r="Z1942" s="172"/>
      <c r="AA1942" s="195"/>
      <c r="AB1942" s="172"/>
    </row>
    <row r="1943" spans="1:28" ht="12.6" customHeight="1" x14ac:dyDescent="0.3">
      <c r="A1943" s="667"/>
      <c r="B1943" s="668" t="s">
        <v>7903</v>
      </c>
      <c r="C1943" s="160" t="s">
        <v>7904</v>
      </c>
      <c r="D1943" s="160"/>
      <c r="E1943" s="439"/>
      <c r="F1943" s="161">
        <v>826.19033000000002</v>
      </c>
      <c r="G1943" s="161"/>
      <c r="H1943" s="654"/>
      <c r="I1943" s="654"/>
      <c r="J1943" s="191"/>
      <c r="K1943" s="191">
        <v>487382577.08460599</v>
      </c>
      <c r="L1943" s="191"/>
      <c r="M1943" s="191"/>
      <c r="N1943" s="191"/>
      <c r="O1943" s="191"/>
      <c r="P1943" s="191"/>
      <c r="Q1943" s="191"/>
      <c r="R1943" s="191"/>
      <c r="S1943" s="191"/>
      <c r="T1943" s="191"/>
      <c r="U1943" s="439"/>
      <c r="V1943" s="441"/>
      <c r="W1943" s="178"/>
      <c r="X1943" s="172"/>
      <c r="Y1943" s="172"/>
      <c r="Z1943" s="172"/>
      <c r="AA1943" s="195"/>
      <c r="AB1943" s="172"/>
    </row>
    <row r="1944" spans="1:28" ht="12.6" customHeight="1" x14ac:dyDescent="0.3">
      <c r="A1944" s="667"/>
      <c r="B1944" s="668" t="s">
        <v>7905</v>
      </c>
      <c r="C1944" s="160" t="s">
        <v>7906</v>
      </c>
      <c r="D1944" s="160"/>
      <c r="E1944" s="439"/>
      <c r="F1944" s="161">
        <v>788.08760713300001</v>
      </c>
      <c r="G1944" s="161"/>
      <c r="H1944" s="654"/>
      <c r="I1944" s="654"/>
      <c r="J1944" s="191"/>
      <c r="K1944" s="191">
        <v>4027634015.0651398</v>
      </c>
      <c r="L1944" s="191"/>
      <c r="M1944" s="191"/>
      <c r="N1944" s="191"/>
      <c r="O1944" s="191"/>
      <c r="P1944" s="191"/>
      <c r="Q1944" s="191"/>
      <c r="R1944" s="191"/>
      <c r="S1944" s="191"/>
      <c r="T1944" s="191"/>
      <c r="U1944" s="439"/>
      <c r="V1944" s="441"/>
      <c r="W1944" s="178"/>
      <c r="X1944" s="172"/>
      <c r="Y1944" s="172"/>
      <c r="Z1944" s="172"/>
      <c r="AA1944" s="195"/>
      <c r="AB1944" s="172"/>
    </row>
    <row r="1945" spans="1:28" ht="12.6" customHeight="1" x14ac:dyDescent="0.3">
      <c r="A1945" s="667"/>
      <c r="B1945" s="668" t="s">
        <v>7907</v>
      </c>
      <c r="C1945" s="160" t="s">
        <v>7908</v>
      </c>
      <c r="D1945" s="160"/>
      <c r="E1945" s="439"/>
      <c r="F1945" s="161">
        <v>362.09283319000002</v>
      </c>
      <c r="G1945" s="161">
        <v>-42.682000000000002</v>
      </c>
      <c r="H1945" s="654">
        <v>13.960546586</v>
      </c>
      <c r="I1945" s="654">
        <v>0.73759758492135696</v>
      </c>
      <c r="J1945" s="191"/>
      <c r="K1945" s="191">
        <v>60820.501943863303</v>
      </c>
      <c r="L1945" s="191"/>
      <c r="M1945" s="191"/>
      <c r="N1945" s="191"/>
      <c r="O1945" s="191"/>
      <c r="P1945" s="191"/>
      <c r="Q1945" s="191"/>
      <c r="R1945" s="191"/>
      <c r="S1945" s="191"/>
      <c r="T1945" s="191"/>
      <c r="U1945" s="439"/>
      <c r="V1945" s="441"/>
      <c r="W1945" s="178"/>
      <c r="X1945" s="172"/>
      <c r="Y1945" s="172"/>
      <c r="Z1945" s="172"/>
      <c r="AA1945" s="195"/>
      <c r="AB1945" s="172"/>
    </row>
    <row r="1946" spans="1:28" ht="12.6" customHeight="1" x14ac:dyDescent="0.3">
      <c r="A1946" s="667"/>
      <c r="B1946" s="668" t="s">
        <v>7909</v>
      </c>
      <c r="C1946" s="160" t="s">
        <v>7910</v>
      </c>
      <c r="D1946" s="160"/>
      <c r="E1946" s="439"/>
      <c r="F1946" s="161">
        <v>434.09153122200001</v>
      </c>
      <c r="G1946" s="161">
        <v>-86.409000000000006</v>
      </c>
      <c r="H1946" s="654">
        <v>21.47350793</v>
      </c>
      <c r="I1946" s="654">
        <v>0.34640287145749898</v>
      </c>
      <c r="J1946" s="191"/>
      <c r="K1946" s="191">
        <v>110270.6666135</v>
      </c>
      <c r="L1946" s="191"/>
      <c r="M1946" s="191"/>
      <c r="N1946" s="191"/>
      <c r="O1946" s="191"/>
      <c r="P1946" s="191"/>
      <c r="Q1946" s="191"/>
      <c r="R1946" s="191"/>
      <c r="S1946" s="191"/>
      <c r="T1946" s="191"/>
      <c r="U1946" s="439"/>
      <c r="V1946" s="441"/>
      <c r="W1946" s="178"/>
      <c r="X1946" s="172"/>
      <c r="Y1946" s="172"/>
      <c r="Z1946" s="172"/>
      <c r="AA1946" s="195"/>
      <c r="AB1946" s="172"/>
    </row>
    <row r="1947" spans="1:28" ht="12.6" customHeight="1" x14ac:dyDescent="0.3">
      <c r="A1947" s="667"/>
      <c r="B1947" s="668" t="s">
        <v>7911</v>
      </c>
      <c r="C1947" s="160" t="s">
        <v>7912</v>
      </c>
      <c r="D1947" s="160"/>
      <c r="E1947" s="439"/>
      <c r="F1947" s="161">
        <v>334.09791856999999</v>
      </c>
      <c r="G1947" s="161"/>
      <c r="H1947" s="654"/>
      <c r="I1947" s="654"/>
      <c r="J1947" s="191"/>
      <c r="K1947" s="191">
        <v>17984.981689509001</v>
      </c>
      <c r="L1947" s="191"/>
      <c r="M1947" s="191"/>
      <c r="N1947" s="191"/>
      <c r="O1947" s="191"/>
      <c r="P1947" s="191"/>
      <c r="Q1947" s="191"/>
      <c r="R1947" s="191"/>
      <c r="S1947" s="191"/>
      <c r="T1947" s="191"/>
      <c r="U1947" s="439"/>
      <c r="V1947" s="441"/>
      <c r="W1947" s="178"/>
      <c r="X1947" s="172"/>
      <c r="Y1947" s="172"/>
      <c r="Z1947" s="172"/>
      <c r="AA1947" s="195"/>
      <c r="AB1947" s="172"/>
    </row>
    <row r="1948" spans="1:28" ht="12.6" customHeight="1" x14ac:dyDescent="0.3">
      <c r="A1948" s="667"/>
      <c r="B1948" s="668" t="s">
        <v>7913</v>
      </c>
      <c r="C1948" s="160" t="s">
        <v>7914</v>
      </c>
      <c r="D1948" s="160"/>
      <c r="E1948" s="439">
        <v>5</v>
      </c>
      <c r="F1948" s="161">
        <v>341.12257596500001</v>
      </c>
      <c r="G1948" s="161"/>
      <c r="H1948" s="654"/>
      <c r="I1948" s="654"/>
      <c r="J1948" s="191"/>
      <c r="K1948" s="191">
        <v>3225.2991342226001</v>
      </c>
      <c r="L1948" s="191"/>
      <c r="M1948" s="191"/>
      <c r="N1948" s="191"/>
      <c r="O1948" s="191"/>
      <c r="P1948" s="191"/>
      <c r="Q1948" s="191"/>
      <c r="R1948" s="191"/>
      <c r="S1948" s="191"/>
      <c r="T1948" s="191"/>
      <c r="U1948" s="439"/>
      <c r="V1948" s="441"/>
      <c r="W1948" s="178"/>
      <c r="X1948" s="172"/>
      <c r="Y1948" s="172"/>
      <c r="Z1948" s="172"/>
      <c r="AA1948" s="195"/>
      <c r="AB1948" s="172"/>
    </row>
    <row r="1949" spans="1:28" ht="12.6" customHeight="1" x14ac:dyDescent="0.3">
      <c r="A1949" s="667"/>
      <c r="B1949" s="668" t="s">
        <v>7915</v>
      </c>
      <c r="C1949" s="160" t="s">
        <v>7916</v>
      </c>
      <c r="D1949" s="160"/>
      <c r="E1949" s="439"/>
      <c r="F1949" s="161">
        <v>638.13248799200005</v>
      </c>
      <c r="G1949" s="161"/>
      <c r="H1949" s="654"/>
      <c r="I1949" s="654"/>
      <c r="J1949" s="191"/>
      <c r="K1949" s="191">
        <v>162753.37378069499</v>
      </c>
      <c r="L1949" s="191"/>
      <c r="M1949" s="191"/>
      <c r="N1949" s="191"/>
      <c r="O1949" s="191"/>
      <c r="P1949" s="191"/>
      <c r="Q1949" s="191"/>
      <c r="R1949" s="191"/>
      <c r="S1949" s="191"/>
      <c r="T1949" s="191"/>
      <c r="U1949" s="439"/>
      <c r="V1949" s="441"/>
      <c r="W1949" s="178"/>
      <c r="X1949" s="172"/>
      <c r="Y1949" s="172"/>
      <c r="Z1949" s="172"/>
      <c r="AA1949" s="195"/>
      <c r="AB1949" s="172"/>
    </row>
    <row r="1950" spans="1:28" ht="12.6" customHeight="1" x14ac:dyDescent="0.3">
      <c r="A1950" s="667"/>
      <c r="B1950" s="668" t="s">
        <v>7917</v>
      </c>
      <c r="C1950" s="160" t="s">
        <v>7918</v>
      </c>
      <c r="D1950" s="160"/>
      <c r="E1950" s="439"/>
      <c r="F1950" s="161">
        <v>436.140214152</v>
      </c>
      <c r="G1950" s="161">
        <v>-1.4999999999999999E-2</v>
      </c>
      <c r="H1950" s="654">
        <v>3.4033106939999999E-4</v>
      </c>
      <c r="I1950" s="654">
        <v>0.29828152614112202</v>
      </c>
      <c r="J1950" s="191"/>
      <c r="K1950" s="191">
        <v>129223053.77759901</v>
      </c>
      <c r="L1950" s="191"/>
      <c r="M1950" s="191"/>
      <c r="N1950" s="191"/>
      <c r="O1950" s="191"/>
      <c r="P1950" s="191"/>
      <c r="Q1950" s="191"/>
      <c r="R1950" s="191"/>
      <c r="S1950" s="191"/>
      <c r="T1950" s="191"/>
      <c r="U1950" s="439"/>
      <c r="V1950" s="441"/>
      <c r="W1950" s="178"/>
      <c r="X1950" s="172"/>
      <c r="Y1950" s="172"/>
      <c r="Z1950" s="172"/>
      <c r="AA1950" s="195"/>
      <c r="AB1950" s="172"/>
    </row>
    <row r="1951" spans="1:28" ht="12.6" customHeight="1" x14ac:dyDescent="0.3">
      <c r="A1951" s="667"/>
      <c r="B1951" s="668" t="s">
        <v>7919</v>
      </c>
      <c r="C1951" s="160" t="s">
        <v>7920</v>
      </c>
      <c r="D1951" s="160"/>
      <c r="E1951" s="439"/>
      <c r="F1951" s="161">
        <v>316.05319686399997</v>
      </c>
      <c r="G1951" s="161">
        <v>-31.901</v>
      </c>
      <c r="H1951" s="654">
        <v>58.063330864000001</v>
      </c>
      <c r="I1951" s="654">
        <v>1.32666173862435</v>
      </c>
      <c r="J1951" s="191"/>
      <c r="K1951" s="191">
        <v>11869980.3497758</v>
      </c>
      <c r="L1951" s="191"/>
      <c r="M1951" s="191"/>
      <c r="N1951" s="191"/>
      <c r="O1951" s="191"/>
      <c r="P1951" s="191"/>
      <c r="Q1951" s="191"/>
      <c r="R1951" s="191"/>
      <c r="S1951" s="191"/>
      <c r="T1951" s="191"/>
      <c r="U1951" s="439"/>
      <c r="V1951" s="441"/>
      <c r="W1951" s="178"/>
      <c r="X1951" s="172"/>
      <c r="Y1951" s="172"/>
      <c r="Z1951" s="172"/>
      <c r="AA1951" s="195"/>
      <c r="AB1951" s="172"/>
    </row>
    <row r="1952" spans="1:28" ht="12.6" customHeight="1" x14ac:dyDescent="0.3">
      <c r="A1952" s="667"/>
      <c r="B1952" s="668" t="s">
        <v>7921</v>
      </c>
      <c r="C1952" s="160" t="s">
        <v>7922</v>
      </c>
      <c r="D1952" s="160"/>
      <c r="E1952" s="439"/>
      <c r="F1952" s="161">
        <v>652.13014997100004</v>
      </c>
      <c r="G1952" s="161">
        <v>-36.973999999999997</v>
      </c>
      <c r="H1952" s="654">
        <v>16.214488318000001</v>
      </c>
      <c r="I1952" s="654">
        <v>8.6364204281259398E-3</v>
      </c>
      <c r="J1952" s="191"/>
      <c r="K1952" s="191">
        <v>328669.95095348899</v>
      </c>
      <c r="L1952" s="191"/>
      <c r="M1952" s="191"/>
      <c r="N1952" s="191"/>
      <c r="O1952" s="191"/>
      <c r="P1952" s="191"/>
      <c r="Q1952" s="191"/>
      <c r="R1952" s="191"/>
      <c r="S1952" s="191"/>
      <c r="T1952" s="191"/>
      <c r="U1952" s="439"/>
      <c r="V1952" s="441"/>
      <c r="W1952" s="178"/>
      <c r="X1952" s="172"/>
      <c r="Y1952" s="172"/>
      <c r="Z1952" s="172"/>
      <c r="AA1952" s="195"/>
      <c r="AB1952" s="172"/>
    </row>
    <row r="1953" spans="1:28" ht="12.6" customHeight="1" x14ac:dyDescent="0.3">
      <c r="A1953" s="667"/>
      <c r="B1953" s="668" t="s">
        <v>7923</v>
      </c>
      <c r="C1953" s="160" t="s">
        <v>7924</v>
      </c>
      <c r="D1953" s="160"/>
      <c r="E1953" s="439"/>
      <c r="F1953" s="161">
        <v>406.06023109300003</v>
      </c>
      <c r="G1953" s="161">
        <v>-89.25</v>
      </c>
      <c r="H1953" s="654">
        <v>70.778516647999993</v>
      </c>
      <c r="I1953" s="654">
        <v>1.54379633199016</v>
      </c>
      <c r="J1953" s="191"/>
      <c r="K1953" s="191">
        <v>27517.564936141302</v>
      </c>
      <c r="L1953" s="191"/>
      <c r="M1953" s="191"/>
      <c r="N1953" s="191"/>
      <c r="O1953" s="191"/>
      <c r="P1953" s="191"/>
      <c r="Q1953" s="191"/>
      <c r="R1953" s="191"/>
      <c r="S1953" s="191"/>
      <c r="T1953" s="191"/>
      <c r="U1953" s="439"/>
      <c r="V1953" s="441"/>
      <c r="W1953" s="178"/>
      <c r="X1953" s="172"/>
      <c r="Y1953" s="172"/>
      <c r="Z1953" s="172"/>
      <c r="AA1953" s="195"/>
      <c r="AB1953" s="172"/>
    </row>
    <row r="1954" spans="1:28" ht="12.6" customHeight="1" x14ac:dyDescent="0.3">
      <c r="A1954" s="667"/>
      <c r="B1954" s="668" t="s">
        <v>7925</v>
      </c>
      <c r="C1954" s="160" t="s">
        <v>7926</v>
      </c>
      <c r="D1954" s="160"/>
      <c r="E1954" s="439"/>
      <c r="F1954" s="161">
        <v>306.066618441</v>
      </c>
      <c r="G1954" s="161"/>
      <c r="H1954" s="654"/>
      <c r="I1954" s="654"/>
      <c r="J1954" s="191"/>
      <c r="K1954" s="191">
        <v>6372.6490209269105</v>
      </c>
      <c r="L1954" s="191"/>
      <c r="M1954" s="191"/>
      <c r="N1954" s="191"/>
      <c r="O1954" s="191"/>
      <c r="P1954" s="191"/>
      <c r="Q1954" s="191"/>
      <c r="R1954" s="191"/>
      <c r="S1954" s="191"/>
      <c r="T1954" s="191"/>
      <c r="U1954" s="439"/>
      <c r="V1954" s="441"/>
      <c r="W1954" s="178"/>
      <c r="X1954" s="172"/>
      <c r="Y1954" s="172"/>
      <c r="Z1954" s="172"/>
      <c r="AA1954" s="195"/>
      <c r="AB1954" s="172"/>
    </row>
    <row r="1955" spans="1:28" ht="12.6" customHeight="1" x14ac:dyDescent="0.3">
      <c r="A1955" s="667"/>
      <c r="B1955" s="668" t="s">
        <v>7927</v>
      </c>
      <c r="C1955" s="160" t="s">
        <v>7928</v>
      </c>
      <c r="D1955" s="160"/>
      <c r="E1955" s="439">
        <v>7.64</v>
      </c>
      <c r="F1955" s="161">
        <v>227.054496403</v>
      </c>
      <c r="G1955" s="161"/>
      <c r="H1955" s="654"/>
      <c r="I1955" s="654"/>
      <c r="J1955" s="191"/>
      <c r="K1955" s="191">
        <v>82.080501263307696</v>
      </c>
      <c r="L1955" s="191"/>
      <c r="M1955" s="191"/>
      <c r="N1955" s="191"/>
      <c r="O1955" s="191"/>
      <c r="P1955" s="191"/>
      <c r="Q1955" s="191"/>
      <c r="R1955" s="191"/>
      <c r="S1955" s="191"/>
      <c r="T1955" s="191"/>
      <c r="U1955" s="439"/>
      <c r="V1955" s="441"/>
      <c r="W1955" s="178"/>
      <c r="X1955" s="172"/>
      <c r="Y1955" s="172"/>
      <c r="Z1955" s="172"/>
      <c r="AA1955" s="195"/>
      <c r="AB1955" s="172"/>
    </row>
    <row r="1956" spans="1:28" ht="12.6" customHeight="1" x14ac:dyDescent="0.3">
      <c r="A1956" s="667"/>
      <c r="B1956" s="668" t="s">
        <v>7929</v>
      </c>
      <c r="C1956" s="160" t="s">
        <v>7930</v>
      </c>
      <c r="D1956" s="160"/>
      <c r="E1956" s="439"/>
      <c r="F1956" s="161">
        <v>580.07263509300003</v>
      </c>
      <c r="G1956" s="161"/>
      <c r="H1956" s="654"/>
      <c r="I1956" s="654"/>
      <c r="J1956" s="191"/>
      <c r="K1956" s="191">
        <v>3479605.43081713</v>
      </c>
      <c r="L1956" s="191"/>
      <c r="M1956" s="191"/>
      <c r="N1956" s="191"/>
      <c r="O1956" s="191"/>
      <c r="P1956" s="191"/>
      <c r="Q1956" s="191"/>
      <c r="R1956" s="191"/>
      <c r="S1956" s="191"/>
      <c r="T1956" s="191"/>
      <c r="U1956" s="439"/>
      <c r="V1956" s="441"/>
      <c r="W1956" s="178"/>
      <c r="X1956" s="172"/>
      <c r="Y1956" s="172"/>
      <c r="Z1956" s="172"/>
      <c r="AA1956" s="195"/>
      <c r="AB1956" s="172"/>
    </row>
    <row r="1957" spans="1:28" ht="12.6" customHeight="1" x14ac:dyDescent="0.3">
      <c r="A1957" s="667"/>
      <c r="B1957" s="668" t="s">
        <v>7931</v>
      </c>
      <c r="C1957" s="160" t="s">
        <v>7932</v>
      </c>
      <c r="D1957" s="160"/>
      <c r="E1957" s="439"/>
      <c r="F1957" s="161">
        <v>810.07042508200004</v>
      </c>
      <c r="G1957" s="161">
        <v>-46.518999999999998</v>
      </c>
      <c r="H1957" s="654">
        <v>77.250633137999998</v>
      </c>
      <c r="I1957" s="654"/>
      <c r="J1957" s="191"/>
      <c r="K1957" s="191">
        <v>282201.943255299</v>
      </c>
      <c r="L1957" s="191"/>
      <c r="M1957" s="191"/>
      <c r="N1957" s="191"/>
      <c r="O1957" s="191"/>
      <c r="P1957" s="191"/>
      <c r="Q1957" s="191"/>
      <c r="R1957" s="191"/>
      <c r="S1957" s="191"/>
      <c r="T1957" s="191"/>
      <c r="U1957" s="439"/>
      <c r="V1957" s="441"/>
      <c r="W1957" s="178"/>
      <c r="X1957" s="172"/>
      <c r="Y1957" s="172"/>
      <c r="Z1957" s="172"/>
      <c r="AA1957" s="195"/>
      <c r="AB1957" s="172"/>
    </row>
    <row r="1958" spans="1:28" ht="12.6" customHeight="1" x14ac:dyDescent="0.3">
      <c r="A1958" s="667"/>
      <c r="B1958" s="668" t="s">
        <v>7933</v>
      </c>
      <c r="C1958" s="160" t="s">
        <v>7934</v>
      </c>
      <c r="D1958" s="160"/>
      <c r="E1958" s="439"/>
      <c r="F1958" s="161">
        <v>710.07681243000002</v>
      </c>
      <c r="G1958" s="161">
        <v>-42.951999999999998</v>
      </c>
      <c r="H1958" s="654">
        <v>59.689992586000002</v>
      </c>
      <c r="I1958" s="654"/>
      <c r="J1958" s="191"/>
      <c r="K1958" s="191">
        <v>301023.22206633701</v>
      </c>
      <c r="L1958" s="191"/>
      <c r="M1958" s="191"/>
      <c r="N1958" s="191"/>
      <c r="O1958" s="191"/>
      <c r="P1958" s="191"/>
      <c r="Q1958" s="191"/>
      <c r="R1958" s="191"/>
      <c r="S1958" s="191"/>
      <c r="T1958" s="191"/>
      <c r="U1958" s="439"/>
      <c r="V1958" s="441"/>
      <c r="W1958" s="178"/>
      <c r="X1958" s="172"/>
      <c r="Y1958" s="172"/>
      <c r="Z1958" s="172"/>
      <c r="AA1958" s="195"/>
      <c r="AB1958" s="172"/>
    </row>
    <row r="1959" spans="1:28" ht="12.6" customHeight="1" x14ac:dyDescent="0.3">
      <c r="A1959" s="667"/>
      <c r="B1959" s="668" t="s">
        <v>7935</v>
      </c>
      <c r="C1959" s="160" t="s">
        <v>7936</v>
      </c>
      <c r="D1959" s="160"/>
      <c r="E1959" s="439"/>
      <c r="F1959" s="161">
        <v>610.08319977799999</v>
      </c>
      <c r="G1959" s="161">
        <v>-39.384999999999998</v>
      </c>
      <c r="H1959" s="654">
        <v>49.306208615999999</v>
      </c>
      <c r="I1959" s="654">
        <v>2.3194692164039798E-2</v>
      </c>
      <c r="J1959" s="191"/>
      <c r="K1959" s="191">
        <v>622099.71158913698</v>
      </c>
      <c r="L1959" s="191"/>
      <c r="M1959" s="191"/>
      <c r="N1959" s="191"/>
      <c r="O1959" s="191"/>
      <c r="P1959" s="191"/>
      <c r="Q1959" s="191"/>
      <c r="R1959" s="191"/>
      <c r="S1959" s="191"/>
      <c r="T1959" s="191"/>
      <c r="U1959" s="439"/>
      <c r="V1959" s="441"/>
      <c r="W1959" s="178"/>
      <c r="X1959" s="172"/>
      <c r="Y1959" s="172"/>
      <c r="Z1959" s="172"/>
      <c r="AA1959" s="195"/>
      <c r="AB1959" s="172"/>
    </row>
    <row r="1960" spans="1:28" ht="12.6" customHeight="1" x14ac:dyDescent="0.3">
      <c r="A1960" s="667"/>
      <c r="B1960" s="668" t="s">
        <v>7937</v>
      </c>
      <c r="C1960" s="160" t="s">
        <v>7938</v>
      </c>
      <c r="D1960" s="160"/>
      <c r="E1960" s="439">
        <v>49.328000000000003</v>
      </c>
      <c r="F1960" s="161">
        <v>524.10523719000003</v>
      </c>
      <c r="G1960" s="161">
        <v>-98.948999999999998</v>
      </c>
      <c r="H1960" s="654">
        <v>35.801489947999997</v>
      </c>
      <c r="I1960" s="654">
        <v>0.12894928024251601</v>
      </c>
      <c r="J1960" s="191"/>
      <c r="K1960" s="191">
        <v>337411.59278808098</v>
      </c>
      <c r="L1960" s="191"/>
      <c r="M1960" s="191"/>
      <c r="N1960" s="191"/>
      <c r="O1960" s="191"/>
      <c r="P1960" s="191"/>
      <c r="Q1960" s="191"/>
      <c r="R1960" s="191"/>
      <c r="S1960" s="191"/>
      <c r="T1960" s="191"/>
      <c r="U1960" s="439"/>
      <c r="V1960" s="441"/>
      <c r="W1960" s="178"/>
      <c r="X1960" s="172"/>
      <c r="Y1960" s="172"/>
      <c r="Z1960" s="172"/>
      <c r="AA1960" s="195"/>
      <c r="AB1960" s="172"/>
    </row>
    <row r="1961" spans="1:28" ht="12.6" customHeight="1" x14ac:dyDescent="0.3">
      <c r="A1961" s="667"/>
      <c r="B1961" s="668" t="s">
        <v>7939</v>
      </c>
      <c r="C1961" s="160" t="s">
        <v>7940</v>
      </c>
      <c r="D1961" s="160"/>
      <c r="E1961" s="439"/>
      <c r="F1961" s="161">
        <v>410.095974474</v>
      </c>
      <c r="G1961" s="161">
        <v>-86.417000000000002</v>
      </c>
      <c r="H1961" s="654">
        <v>94.820472907999999</v>
      </c>
      <c r="I1961" s="654">
        <v>0.594134744938697</v>
      </c>
      <c r="J1961" s="191"/>
      <c r="K1961" s="191">
        <v>344080.45195584401</v>
      </c>
      <c r="L1961" s="191"/>
      <c r="M1961" s="191"/>
      <c r="N1961" s="191"/>
      <c r="O1961" s="191"/>
      <c r="P1961" s="191"/>
      <c r="Q1961" s="191"/>
      <c r="R1961" s="191"/>
      <c r="S1961" s="191"/>
      <c r="T1961" s="191"/>
      <c r="U1961" s="439"/>
      <c r="V1961" s="441"/>
      <c r="W1961" s="178"/>
      <c r="X1961" s="172"/>
      <c r="Y1961" s="172"/>
      <c r="Z1961" s="172"/>
      <c r="AA1961" s="195"/>
      <c r="AB1961" s="172"/>
    </row>
    <row r="1962" spans="1:28" ht="12.6" customHeight="1" x14ac:dyDescent="0.3">
      <c r="A1962" s="667"/>
      <c r="B1962" s="668" t="s">
        <v>7941</v>
      </c>
      <c r="C1962" s="160" t="s">
        <v>7942</v>
      </c>
      <c r="D1962" s="160"/>
      <c r="E1962" s="439"/>
      <c r="F1962" s="161">
        <v>318.03023293199999</v>
      </c>
      <c r="G1962" s="161"/>
      <c r="H1962" s="654"/>
      <c r="I1962" s="654"/>
      <c r="J1962" s="191"/>
      <c r="K1962" s="191">
        <v>3630.9477551743798</v>
      </c>
      <c r="L1962" s="191"/>
      <c r="M1962" s="191"/>
      <c r="N1962" s="191"/>
      <c r="O1962" s="191"/>
      <c r="P1962" s="191"/>
      <c r="Q1962" s="191"/>
      <c r="R1962" s="191"/>
      <c r="S1962" s="191"/>
      <c r="T1962" s="191"/>
      <c r="U1962" s="439"/>
      <c r="V1962" s="441"/>
      <c r="W1962" s="178"/>
      <c r="X1962" s="172"/>
      <c r="Y1962" s="172"/>
      <c r="Z1962" s="172"/>
      <c r="AA1962" s="195"/>
      <c r="AB1962" s="172"/>
    </row>
    <row r="1963" spans="1:28" ht="12.6" customHeight="1" x14ac:dyDescent="0.3">
      <c r="A1963" s="667"/>
      <c r="B1963" s="668" t="s">
        <v>7943</v>
      </c>
      <c r="C1963" s="160" t="s">
        <v>7944</v>
      </c>
      <c r="D1963" s="160"/>
      <c r="E1963" s="439"/>
      <c r="F1963" s="161">
        <v>298.043991291</v>
      </c>
      <c r="G1963" s="161">
        <v>-6.4</v>
      </c>
      <c r="H1963" s="654">
        <v>25.229055347999999</v>
      </c>
      <c r="I1963" s="654">
        <v>18.935658703090201</v>
      </c>
      <c r="J1963" s="191"/>
      <c r="K1963" s="191">
        <v>1969.83568162857</v>
      </c>
      <c r="L1963" s="191"/>
      <c r="M1963" s="191"/>
      <c r="N1963" s="191"/>
      <c r="O1963" s="191"/>
      <c r="P1963" s="191"/>
      <c r="Q1963" s="191"/>
      <c r="R1963" s="191"/>
      <c r="S1963" s="191"/>
      <c r="T1963" s="191"/>
      <c r="U1963" s="439"/>
      <c r="V1963" s="441"/>
      <c r="W1963" s="178"/>
      <c r="X1963" s="172"/>
      <c r="Y1963" s="172"/>
      <c r="Z1963" s="172"/>
      <c r="AA1963" s="195"/>
      <c r="AB1963" s="172"/>
    </row>
    <row r="1964" spans="1:28" ht="12.6" customHeight="1" x14ac:dyDescent="0.3">
      <c r="A1964" s="667"/>
      <c r="B1964" s="668" t="s">
        <v>7945</v>
      </c>
      <c r="C1964" s="160" t="s">
        <v>7946</v>
      </c>
      <c r="D1964" s="160"/>
      <c r="E1964" s="439">
        <v>17</v>
      </c>
      <c r="F1964" s="161">
        <v>513.13503235500002</v>
      </c>
      <c r="G1964" s="161"/>
      <c r="H1964" s="654"/>
      <c r="I1964" s="654"/>
      <c r="J1964" s="191"/>
      <c r="K1964" s="191">
        <v>2510383.0851746001</v>
      </c>
      <c r="L1964" s="191"/>
      <c r="M1964" s="191"/>
      <c r="N1964" s="191"/>
      <c r="O1964" s="191"/>
      <c r="P1964" s="191"/>
      <c r="Q1964" s="191"/>
      <c r="R1964" s="191"/>
      <c r="S1964" s="191"/>
      <c r="T1964" s="191"/>
      <c r="U1964" s="439"/>
      <c r="V1964" s="441"/>
      <c r="W1964" s="178"/>
      <c r="X1964" s="172"/>
      <c r="Y1964" s="172"/>
      <c r="Z1964" s="172"/>
      <c r="AA1964" s="195"/>
      <c r="AB1964" s="172"/>
    </row>
    <row r="1965" spans="1:28" ht="12.6" customHeight="1" x14ac:dyDescent="0.3">
      <c r="A1965" s="667"/>
      <c r="B1965" s="668" t="s">
        <v>7947</v>
      </c>
      <c r="C1965" s="160" t="s">
        <v>7948</v>
      </c>
      <c r="D1965" s="160"/>
      <c r="E1965" s="439"/>
      <c r="F1965" s="161">
        <v>545.93614000000002</v>
      </c>
      <c r="G1965" s="161"/>
      <c r="H1965" s="654"/>
      <c r="I1965" s="654"/>
      <c r="J1965" s="191"/>
      <c r="K1965" s="191">
        <v>113817.751040353</v>
      </c>
      <c r="L1965" s="191"/>
      <c r="M1965" s="191"/>
      <c r="N1965" s="191"/>
      <c r="O1965" s="191"/>
      <c r="P1965" s="191"/>
      <c r="Q1965" s="191"/>
      <c r="R1965" s="191"/>
      <c r="S1965" s="191"/>
      <c r="T1965" s="191"/>
      <c r="U1965" s="439"/>
      <c r="V1965" s="441"/>
      <c r="W1965" s="178"/>
      <c r="X1965" s="172"/>
      <c r="Y1965" s="172"/>
      <c r="Z1965" s="172"/>
      <c r="AA1965" s="195"/>
      <c r="AB1965" s="172"/>
    </row>
    <row r="1966" spans="1:28" ht="12.6" customHeight="1" x14ac:dyDescent="0.3">
      <c r="A1966" s="667"/>
      <c r="B1966" s="668" t="s">
        <v>7949</v>
      </c>
      <c r="C1966" s="160" t="s">
        <v>7950</v>
      </c>
      <c r="D1966" s="160"/>
      <c r="E1966" s="439">
        <v>1</v>
      </c>
      <c r="F1966" s="161">
        <v>285.05997570699998</v>
      </c>
      <c r="G1966" s="161"/>
      <c r="H1966" s="654"/>
      <c r="I1966" s="654"/>
      <c r="J1966" s="191"/>
      <c r="K1966" s="191">
        <v>293.62971257566898</v>
      </c>
      <c r="L1966" s="191"/>
      <c r="M1966" s="191"/>
      <c r="N1966" s="191"/>
      <c r="O1966" s="191"/>
      <c r="P1966" s="191"/>
      <c r="Q1966" s="191"/>
      <c r="R1966" s="191"/>
      <c r="S1966" s="191"/>
      <c r="T1966" s="191"/>
      <c r="U1966" s="439"/>
      <c r="V1966" s="441"/>
      <c r="W1966" s="178"/>
      <c r="X1966" s="172"/>
      <c r="Y1966" s="172"/>
      <c r="Z1966" s="172"/>
      <c r="AA1966" s="195"/>
      <c r="AB1966" s="172"/>
    </row>
    <row r="1967" spans="1:28" ht="12.6" customHeight="1" x14ac:dyDescent="0.3">
      <c r="A1967" s="667"/>
      <c r="B1967" s="668" t="s">
        <v>7951</v>
      </c>
      <c r="C1967" s="160" t="s">
        <v>7952</v>
      </c>
      <c r="D1967" s="160"/>
      <c r="E1967" s="439">
        <v>2.34</v>
      </c>
      <c r="F1967" s="161">
        <v>538.00728747599999</v>
      </c>
      <c r="G1967" s="161"/>
      <c r="H1967" s="654"/>
      <c r="I1967" s="654"/>
      <c r="J1967" s="191"/>
      <c r="K1967" s="191">
        <v>58072.430112218899</v>
      </c>
      <c r="L1967" s="191"/>
      <c r="M1967" s="191"/>
      <c r="N1967" s="191"/>
      <c r="O1967" s="191"/>
      <c r="P1967" s="191"/>
      <c r="Q1967" s="191"/>
      <c r="R1967" s="191"/>
      <c r="S1967" s="191"/>
      <c r="T1967" s="191"/>
      <c r="U1967" s="439"/>
      <c r="V1967" s="441"/>
      <c r="W1967" s="178"/>
      <c r="X1967" s="172"/>
      <c r="Y1967" s="172"/>
      <c r="Z1967" s="172"/>
      <c r="AA1967" s="195"/>
      <c r="AB1967" s="172"/>
    </row>
    <row r="1968" spans="1:28" ht="12.6" customHeight="1" x14ac:dyDescent="0.3">
      <c r="A1968" s="667"/>
      <c r="B1968" s="668" t="s">
        <v>7953</v>
      </c>
      <c r="C1968" s="160" t="s">
        <v>7954</v>
      </c>
      <c r="D1968" s="160"/>
      <c r="E1968" s="439">
        <v>10</v>
      </c>
      <c r="F1968" s="161">
        <v>283.04432564299998</v>
      </c>
      <c r="G1968" s="161">
        <v>24.172000000000001</v>
      </c>
      <c r="H1968" s="654">
        <v>17.697028958000001</v>
      </c>
      <c r="I1968" s="654">
        <v>25.992894470071299</v>
      </c>
      <c r="J1968" s="191"/>
      <c r="K1968" s="191">
        <v>323.37764949721702</v>
      </c>
      <c r="L1968" s="191"/>
      <c r="M1968" s="191"/>
      <c r="N1968" s="191"/>
      <c r="O1968" s="191"/>
      <c r="P1968" s="191"/>
      <c r="Q1968" s="191"/>
      <c r="R1968" s="191"/>
      <c r="S1968" s="191"/>
      <c r="T1968" s="191"/>
      <c r="U1968" s="439"/>
      <c r="V1968" s="441"/>
      <c r="W1968" s="178"/>
      <c r="X1968" s="172"/>
      <c r="Y1968" s="172"/>
      <c r="Z1968" s="172"/>
      <c r="AA1968" s="195"/>
      <c r="AB1968" s="172"/>
    </row>
    <row r="1969" spans="1:28" ht="12.6" customHeight="1" x14ac:dyDescent="0.3">
      <c r="A1969" s="667"/>
      <c r="B1969" s="668" t="s">
        <v>7955</v>
      </c>
      <c r="C1969" s="160" t="s">
        <v>7956</v>
      </c>
      <c r="D1969" s="160"/>
      <c r="E1969" s="439"/>
      <c r="F1969" s="161">
        <v>268.03342660599998</v>
      </c>
      <c r="G1969" s="161"/>
      <c r="H1969" s="654"/>
      <c r="I1969" s="654"/>
      <c r="J1969" s="191"/>
      <c r="K1969" s="191">
        <v>236.67914950952101</v>
      </c>
      <c r="L1969" s="191"/>
      <c r="M1969" s="191"/>
      <c r="N1969" s="191"/>
      <c r="O1969" s="191"/>
      <c r="P1969" s="191"/>
      <c r="Q1969" s="191"/>
      <c r="R1969" s="191"/>
      <c r="S1969" s="191"/>
      <c r="T1969" s="191"/>
      <c r="U1969" s="439"/>
      <c r="V1969" s="441"/>
      <c r="W1969" s="178"/>
      <c r="X1969" s="172"/>
      <c r="Y1969" s="172"/>
      <c r="Z1969" s="172"/>
      <c r="AA1969" s="195"/>
      <c r="AB1969" s="172"/>
    </row>
    <row r="1970" spans="1:28" ht="12.6" customHeight="1" x14ac:dyDescent="0.3">
      <c r="A1970" s="667"/>
      <c r="B1970" s="668" t="s">
        <v>7957</v>
      </c>
      <c r="C1970" s="160" t="s">
        <v>7958</v>
      </c>
      <c r="D1970" s="160"/>
      <c r="E1970" s="439">
        <v>4.0599999999999996</v>
      </c>
      <c r="F1970" s="161">
        <v>774.09215991799999</v>
      </c>
      <c r="G1970" s="161"/>
      <c r="H1970" s="654"/>
      <c r="I1970" s="654"/>
      <c r="J1970" s="191"/>
      <c r="K1970" s="191">
        <v>260261.542857119</v>
      </c>
      <c r="L1970" s="191"/>
      <c r="M1970" s="191"/>
      <c r="N1970" s="191"/>
      <c r="O1970" s="191"/>
      <c r="P1970" s="191"/>
      <c r="Q1970" s="191"/>
      <c r="R1970" s="191"/>
      <c r="S1970" s="191"/>
      <c r="T1970" s="191"/>
      <c r="U1970" s="439"/>
      <c r="V1970" s="441"/>
      <c r="W1970" s="178"/>
      <c r="X1970" s="172"/>
      <c r="Y1970" s="172"/>
      <c r="Z1970" s="172"/>
      <c r="AA1970" s="195"/>
      <c r="AB1970" s="172"/>
    </row>
    <row r="1971" spans="1:28" ht="12.6" customHeight="1" x14ac:dyDescent="0.3">
      <c r="A1971" s="667"/>
      <c r="B1971" s="668" t="s">
        <v>7959</v>
      </c>
      <c r="C1971" s="160" t="s">
        <v>7960</v>
      </c>
      <c r="D1971" s="160"/>
      <c r="E1971" s="439">
        <v>19</v>
      </c>
      <c r="F1971" s="161">
        <v>376.072097746</v>
      </c>
      <c r="G1971" s="161"/>
      <c r="H1971" s="654"/>
      <c r="I1971" s="654"/>
      <c r="J1971" s="191"/>
      <c r="K1971" s="191">
        <v>10781.520177213401</v>
      </c>
      <c r="L1971" s="191"/>
      <c r="M1971" s="191"/>
      <c r="N1971" s="191"/>
      <c r="O1971" s="191"/>
      <c r="P1971" s="191"/>
      <c r="Q1971" s="191"/>
      <c r="R1971" s="191"/>
      <c r="S1971" s="191"/>
      <c r="T1971" s="191"/>
      <c r="U1971" s="439"/>
      <c r="V1971" s="441"/>
      <c r="W1971" s="178"/>
      <c r="X1971" s="172"/>
      <c r="Y1971" s="172"/>
      <c r="Z1971" s="172"/>
      <c r="AA1971" s="195"/>
      <c r="AB1971" s="172"/>
    </row>
    <row r="1972" spans="1:28" ht="12.6" customHeight="1" x14ac:dyDescent="0.3">
      <c r="A1972" s="667"/>
      <c r="B1972" s="668" t="s">
        <v>7961</v>
      </c>
      <c r="C1972" s="160" t="s">
        <v>7962</v>
      </c>
      <c r="D1972" s="160"/>
      <c r="E1972" s="439"/>
      <c r="F1972" s="161">
        <v>406.02384558400001</v>
      </c>
      <c r="G1972" s="161"/>
      <c r="H1972" s="654"/>
      <c r="I1972" s="654"/>
      <c r="J1972" s="191"/>
      <c r="K1972" s="191">
        <v>14938.9474647771</v>
      </c>
      <c r="L1972" s="191"/>
      <c r="M1972" s="191"/>
      <c r="N1972" s="191"/>
      <c r="O1972" s="191"/>
      <c r="P1972" s="191"/>
      <c r="Q1972" s="191"/>
      <c r="R1972" s="191"/>
      <c r="S1972" s="191"/>
      <c r="T1972" s="191"/>
      <c r="U1972" s="439"/>
      <c r="V1972" s="441"/>
      <c r="W1972" s="178"/>
      <c r="X1972" s="172"/>
      <c r="Y1972" s="172"/>
      <c r="Z1972" s="172"/>
      <c r="AA1972" s="195"/>
      <c r="AB1972" s="172"/>
    </row>
    <row r="1973" spans="1:28" ht="12.6" customHeight="1" x14ac:dyDescent="0.3">
      <c r="A1973" s="667"/>
      <c r="B1973" s="668" t="s">
        <v>7963</v>
      </c>
      <c r="C1973" s="160" t="s">
        <v>7964</v>
      </c>
      <c r="D1973" s="160"/>
      <c r="E1973" s="439">
        <v>7.08</v>
      </c>
      <c r="F1973" s="161">
        <v>329.04980494699998</v>
      </c>
      <c r="G1973" s="161"/>
      <c r="H1973" s="654"/>
      <c r="I1973" s="654"/>
      <c r="J1973" s="191"/>
      <c r="K1973" s="191">
        <v>547.810055726737</v>
      </c>
      <c r="L1973" s="191"/>
      <c r="M1973" s="191"/>
      <c r="N1973" s="191"/>
      <c r="O1973" s="191"/>
      <c r="P1973" s="191"/>
      <c r="Q1973" s="191"/>
      <c r="R1973" s="191"/>
      <c r="S1973" s="191"/>
      <c r="T1973" s="191"/>
      <c r="U1973" s="439"/>
      <c r="V1973" s="441"/>
      <c r="W1973" s="178"/>
      <c r="X1973" s="172"/>
      <c r="Y1973" s="172"/>
      <c r="Z1973" s="172"/>
      <c r="AA1973" s="195"/>
      <c r="AB1973" s="172"/>
    </row>
    <row r="1974" spans="1:28" ht="12.6" customHeight="1" x14ac:dyDescent="0.3">
      <c r="A1974" s="667"/>
      <c r="B1974" s="668" t="s">
        <v>7965</v>
      </c>
      <c r="C1974" s="160" t="s">
        <v>7966</v>
      </c>
      <c r="D1974" s="160"/>
      <c r="E1974" s="439"/>
      <c r="F1974" s="161">
        <v>406.02384558400001</v>
      </c>
      <c r="G1974" s="161">
        <v>-61.866</v>
      </c>
      <c r="H1974" s="654">
        <v>52.832575515999999</v>
      </c>
      <c r="I1974" s="654">
        <v>1.457308907047</v>
      </c>
      <c r="J1974" s="191"/>
      <c r="K1974" s="191">
        <v>18361.155134490898</v>
      </c>
      <c r="L1974" s="191"/>
      <c r="M1974" s="191"/>
      <c r="N1974" s="191"/>
      <c r="O1974" s="191"/>
      <c r="P1974" s="191"/>
      <c r="Q1974" s="191"/>
      <c r="R1974" s="191"/>
      <c r="S1974" s="191"/>
      <c r="T1974" s="191"/>
      <c r="U1974" s="439"/>
      <c r="V1974" s="441"/>
      <c r="W1974" s="178"/>
      <c r="X1974" s="172"/>
      <c r="Y1974" s="172"/>
      <c r="Z1974" s="172"/>
      <c r="AA1974" s="195"/>
      <c r="AB1974" s="172"/>
    </row>
    <row r="1975" spans="1:28" ht="12.6" customHeight="1" x14ac:dyDescent="0.3">
      <c r="A1975" s="667"/>
      <c r="B1975" s="668" t="s">
        <v>7967</v>
      </c>
      <c r="C1975" s="160" t="s">
        <v>7968</v>
      </c>
      <c r="D1975" s="160"/>
      <c r="E1975" s="439">
        <v>37.633000000000003</v>
      </c>
      <c r="F1975" s="161">
        <v>306.03023293199999</v>
      </c>
      <c r="G1975" s="161">
        <v>-68.632000000000005</v>
      </c>
      <c r="H1975" s="654">
        <v>217.22153460000001</v>
      </c>
      <c r="I1975" s="654">
        <v>6.6798137032766398</v>
      </c>
      <c r="J1975" s="191"/>
      <c r="K1975" s="191">
        <v>1229.2493858989001</v>
      </c>
      <c r="L1975" s="191"/>
      <c r="M1975" s="191"/>
      <c r="N1975" s="191"/>
      <c r="O1975" s="191"/>
      <c r="P1975" s="191"/>
      <c r="Q1975" s="191"/>
      <c r="R1975" s="191"/>
      <c r="S1975" s="191"/>
      <c r="T1975" s="191"/>
      <c r="U1975" s="439"/>
      <c r="V1975" s="441"/>
      <c r="W1975" s="178"/>
      <c r="X1975" s="172"/>
      <c r="Y1975" s="172"/>
      <c r="Z1975" s="172"/>
      <c r="AA1975" s="195"/>
      <c r="AB1975" s="172"/>
    </row>
    <row r="1976" spans="1:28" ht="12.6" customHeight="1" x14ac:dyDescent="0.3">
      <c r="A1976" s="667"/>
      <c r="B1976" s="668" t="s">
        <v>7969</v>
      </c>
      <c r="C1976" s="160" t="s">
        <v>7970</v>
      </c>
      <c r="D1976" s="160"/>
      <c r="E1976" s="439"/>
      <c r="F1976" s="161">
        <v>256.03342660599998</v>
      </c>
      <c r="G1976" s="161"/>
      <c r="H1976" s="654"/>
      <c r="I1976" s="654"/>
      <c r="J1976" s="191"/>
      <c r="K1976" s="191">
        <v>251.66916025073499</v>
      </c>
      <c r="L1976" s="191"/>
      <c r="M1976" s="191"/>
      <c r="N1976" s="191"/>
      <c r="O1976" s="191"/>
      <c r="P1976" s="191"/>
      <c r="Q1976" s="191"/>
      <c r="R1976" s="191"/>
      <c r="S1976" s="191"/>
      <c r="T1976" s="191"/>
      <c r="U1976" s="439"/>
      <c r="V1976" s="441"/>
      <c r="W1976" s="178"/>
      <c r="X1976" s="172"/>
      <c r="Y1976" s="172"/>
      <c r="Z1976" s="172"/>
      <c r="AA1976" s="195"/>
      <c r="AB1976" s="172"/>
    </row>
    <row r="1977" spans="1:28" ht="12.6" customHeight="1" x14ac:dyDescent="0.3">
      <c r="A1977" s="667"/>
      <c r="B1977" s="668" t="s">
        <v>7971</v>
      </c>
      <c r="C1977" s="160" t="s">
        <v>7972</v>
      </c>
      <c r="D1977" s="160"/>
      <c r="E1977" s="439">
        <v>8.0299999999999994</v>
      </c>
      <c r="F1977" s="161">
        <v>286.043991291</v>
      </c>
      <c r="G1977" s="161"/>
      <c r="H1977" s="654"/>
      <c r="I1977" s="654"/>
      <c r="J1977" s="191"/>
      <c r="K1977" s="191">
        <v>258.83917087426101</v>
      </c>
      <c r="L1977" s="191"/>
      <c r="M1977" s="191"/>
      <c r="N1977" s="191"/>
      <c r="O1977" s="191"/>
      <c r="P1977" s="191"/>
      <c r="Q1977" s="191"/>
      <c r="R1977" s="191"/>
      <c r="S1977" s="191"/>
      <c r="T1977" s="191"/>
      <c r="U1977" s="439"/>
      <c r="V1977" s="441"/>
      <c r="W1977" s="178"/>
      <c r="X1977" s="172"/>
      <c r="Y1977" s="172"/>
      <c r="Z1977" s="172"/>
      <c r="AA1977" s="195"/>
      <c r="AB1977" s="172"/>
    </row>
    <row r="1978" spans="1:28" ht="12.6" customHeight="1" x14ac:dyDescent="0.3">
      <c r="A1978" s="667"/>
      <c r="B1978" s="668" t="s">
        <v>7973</v>
      </c>
      <c r="C1978" s="160" t="s">
        <v>7974</v>
      </c>
      <c r="D1978" s="160"/>
      <c r="E1978" s="439">
        <v>6</v>
      </c>
      <c r="F1978" s="161">
        <v>302.02114784499997</v>
      </c>
      <c r="G1978" s="161"/>
      <c r="H1978" s="654"/>
      <c r="I1978" s="654"/>
      <c r="J1978" s="191"/>
      <c r="K1978" s="191">
        <v>1421.41207341064</v>
      </c>
      <c r="L1978" s="191"/>
      <c r="M1978" s="191"/>
      <c r="N1978" s="191"/>
      <c r="O1978" s="191"/>
      <c r="P1978" s="191"/>
      <c r="Q1978" s="191"/>
      <c r="R1978" s="191"/>
      <c r="S1978" s="191"/>
      <c r="T1978" s="191"/>
      <c r="U1978" s="439"/>
      <c r="V1978" s="441"/>
      <c r="W1978" s="178"/>
      <c r="X1978" s="172"/>
      <c r="Y1978" s="172"/>
      <c r="Z1978" s="172"/>
      <c r="AA1978" s="195"/>
      <c r="AB1978" s="172"/>
    </row>
    <row r="1979" spans="1:28" ht="12.6" customHeight="1" x14ac:dyDescent="0.3">
      <c r="A1979" s="667"/>
      <c r="B1979" s="668" t="s">
        <v>7975</v>
      </c>
      <c r="C1979" s="160" t="s">
        <v>7976</v>
      </c>
      <c r="D1979" s="160"/>
      <c r="E1979" s="439"/>
      <c r="F1979" s="161">
        <v>676.07536703799997</v>
      </c>
      <c r="G1979" s="161">
        <v>10.505000000000001</v>
      </c>
      <c r="H1979" s="654">
        <v>5.2832575515999999E-2</v>
      </c>
      <c r="I1979" s="654">
        <v>5.63631188067606E-2</v>
      </c>
      <c r="J1979" s="191"/>
      <c r="K1979" s="191">
        <v>376131.754679301</v>
      </c>
      <c r="L1979" s="191"/>
      <c r="M1979" s="191"/>
      <c r="N1979" s="191"/>
      <c r="O1979" s="191"/>
      <c r="P1979" s="191"/>
      <c r="Q1979" s="191"/>
      <c r="R1979" s="191"/>
      <c r="S1979" s="191"/>
      <c r="T1979" s="191"/>
      <c r="U1979" s="439"/>
      <c r="V1979" s="441"/>
      <c r="W1979" s="178"/>
      <c r="X1979" s="172"/>
      <c r="Y1979" s="172"/>
      <c r="Z1979" s="172"/>
      <c r="AA1979" s="195"/>
      <c r="AB1979" s="172"/>
    </row>
    <row r="1980" spans="1:28" ht="12.6" customHeight="1" x14ac:dyDescent="0.3">
      <c r="A1980" s="667"/>
      <c r="B1980" s="668" t="s">
        <v>7977</v>
      </c>
      <c r="C1980" s="160" t="s">
        <v>7978</v>
      </c>
      <c r="D1980" s="160"/>
      <c r="E1980" s="439"/>
      <c r="F1980" s="161">
        <v>420.039495649</v>
      </c>
      <c r="G1980" s="161">
        <v>-69.061999999999998</v>
      </c>
      <c r="H1980" s="654">
        <v>24.316599579999998</v>
      </c>
      <c r="I1980" s="654">
        <v>1.4200065209657899</v>
      </c>
      <c r="J1980" s="191"/>
      <c r="K1980" s="191">
        <v>24818.1839964418</v>
      </c>
      <c r="L1980" s="191"/>
      <c r="M1980" s="191"/>
      <c r="N1980" s="191"/>
      <c r="O1980" s="191"/>
      <c r="P1980" s="191"/>
      <c r="Q1980" s="191"/>
      <c r="R1980" s="191"/>
      <c r="S1980" s="191"/>
      <c r="T1980" s="191"/>
      <c r="U1980" s="439"/>
      <c r="V1980" s="441"/>
      <c r="W1980" s="178"/>
      <c r="X1980" s="172"/>
      <c r="Y1980" s="172"/>
      <c r="Z1980" s="172"/>
      <c r="AA1980" s="195"/>
      <c r="AB1980" s="172"/>
    </row>
    <row r="1981" spans="1:28" ht="12.6" customHeight="1" x14ac:dyDescent="0.3">
      <c r="A1981" s="667"/>
      <c r="B1981" s="668" t="s">
        <v>7979</v>
      </c>
      <c r="C1981" s="160" t="s">
        <v>7980</v>
      </c>
      <c r="D1981" s="160"/>
      <c r="E1981" s="439"/>
      <c r="F1981" s="161">
        <v>320.04588299699998</v>
      </c>
      <c r="G1981" s="161"/>
      <c r="H1981" s="654"/>
      <c r="I1981" s="654"/>
      <c r="J1981" s="191"/>
      <c r="K1981" s="191">
        <v>1661.5751943702501</v>
      </c>
      <c r="L1981" s="191"/>
      <c r="M1981" s="191"/>
      <c r="N1981" s="191"/>
      <c r="O1981" s="191"/>
      <c r="P1981" s="191"/>
      <c r="Q1981" s="191"/>
      <c r="R1981" s="191"/>
      <c r="S1981" s="191"/>
      <c r="T1981" s="191"/>
      <c r="U1981" s="439"/>
      <c r="V1981" s="441"/>
      <c r="W1981" s="178"/>
      <c r="X1981" s="172"/>
      <c r="Y1981" s="172"/>
      <c r="Z1981" s="172"/>
      <c r="AA1981" s="195"/>
      <c r="AB1981" s="172"/>
    </row>
    <row r="1982" spans="1:28" ht="12.6" customHeight="1" x14ac:dyDescent="0.3">
      <c r="A1982" s="667"/>
      <c r="B1982" s="668" t="s">
        <v>7981</v>
      </c>
      <c r="C1982" s="160" t="s">
        <v>7982</v>
      </c>
      <c r="D1982" s="160"/>
      <c r="E1982" s="439"/>
      <c r="F1982" s="161">
        <v>270.04907667100002</v>
      </c>
      <c r="G1982" s="161"/>
      <c r="H1982" s="654"/>
      <c r="I1982" s="654"/>
      <c r="J1982" s="191"/>
      <c r="K1982" s="191">
        <v>683.97464077289999</v>
      </c>
      <c r="L1982" s="191"/>
      <c r="M1982" s="191"/>
      <c r="N1982" s="191"/>
      <c r="O1982" s="191"/>
      <c r="P1982" s="191"/>
      <c r="Q1982" s="191"/>
      <c r="R1982" s="191"/>
      <c r="S1982" s="191"/>
      <c r="T1982" s="191"/>
      <c r="U1982" s="439"/>
      <c r="V1982" s="441"/>
      <c r="W1982" s="178"/>
      <c r="X1982" s="172"/>
      <c r="Y1982" s="172"/>
      <c r="Z1982" s="172"/>
      <c r="AA1982" s="195"/>
      <c r="AB1982" s="172"/>
    </row>
    <row r="1983" spans="1:28" ht="12.6" customHeight="1" x14ac:dyDescent="0.3">
      <c r="A1983" s="667"/>
      <c r="B1983" s="668" t="s">
        <v>7983</v>
      </c>
      <c r="C1983" s="160" t="s">
        <v>7984</v>
      </c>
      <c r="D1983" s="160"/>
      <c r="E1983" s="439">
        <v>4</v>
      </c>
      <c r="F1983" s="161">
        <v>421.09356146599998</v>
      </c>
      <c r="G1983" s="161"/>
      <c r="H1983" s="654"/>
      <c r="I1983" s="654"/>
      <c r="J1983" s="191"/>
      <c r="K1983" s="191">
        <v>1243.0540131386799</v>
      </c>
      <c r="L1983" s="191"/>
      <c r="M1983" s="191"/>
      <c r="N1983" s="191"/>
      <c r="O1983" s="191"/>
      <c r="P1983" s="191"/>
      <c r="Q1983" s="191"/>
      <c r="R1983" s="191"/>
      <c r="S1983" s="191"/>
      <c r="T1983" s="191"/>
      <c r="U1983" s="439"/>
      <c r="V1983" s="441"/>
      <c r="W1983" s="178"/>
      <c r="X1983" s="172"/>
      <c r="Y1983" s="172"/>
      <c r="Z1983" s="172"/>
      <c r="AA1983" s="195"/>
      <c r="AB1983" s="172"/>
    </row>
    <row r="1984" spans="1:28" ht="12.6" customHeight="1" x14ac:dyDescent="0.3">
      <c r="A1984" s="667"/>
      <c r="B1984" s="668" t="s">
        <v>7985</v>
      </c>
      <c r="C1984" s="160" t="s">
        <v>7986</v>
      </c>
      <c r="D1984" s="160"/>
      <c r="E1984" s="439">
        <v>4.33</v>
      </c>
      <c r="F1984" s="161">
        <v>299.03924026300001</v>
      </c>
      <c r="G1984" s="161"/>
      <c r="H1984" s="654"/>
      <c r="I1984" s="654"/>
      <c r="J1984" s="191"/>
      <c r="K1984" s="191">
        <v>150.09976074843999</v>
      </c>
      <c r="L1984" s="191"/>
      <c r="M1984" s="191"/>
      <c r="N1984" s="191"/>
      <c r="O1984" s="191"/>
      <c r="P1984" s="191"/>
      <c r="Q1984" s="191"/>
      <c r="R1984" s="191"/>
      <c r="S1984" s="191"/>
      <c r="T1984" s="191"/>
      <c r="U1984" s="439"/>
      <c r="V1984" s="441"/>
      <c r="W1984" s="178"/>
      <c r="X1984" s="172"/>
      <c r="Y1984" s="172"/>
      <c r="Z1984" s="172"/>
      <c r="AA1984" s="195"/>
      <c r="AB1984" s="172"/>
    </row>
    <row r="1985" spans="1:28" ht="12.6" customHeight="1" x14ac:dyDescent="0.3">
      <c r="A1985" s="667"/>
      <c r="B1985" s="668" t="s">
        <v>7987</v>
      </c>
      <c r="C1985" s="160" t="s">
        <v>7988</v>
      </c>
      <c r="D1985" s="160"/>
      <c r="E1985" s="439"/>
      <c r="F1985" s="161">
        <v>536.06440842999996</v>
      </c>
      <c r="G1985" s="161"/>
      <c r="H1985" s="654"/>
      <c r="I1985" s="654"/>
      <c r="J1985" s="191"/>
      <c r="K1985" s="191">
        <v>127156.920037526</v>
      </c>
      <c r="L1985" s="191"/>
      <c r="M1985" s="191"/>
      <c r="N1985" s="191"/>
      <c r="O1985" s="191"/>
      <c r="P1985" s="191"/>
      <c r="Q1985" s="191"/>
      <c r="R1985" s="191"/>
      <c r="S1985" s="191"/>
      <c r="T1985" s="191"/>
      <c r="U1985" s="439"/>
      <c r="V1985" s="441"/>
      <c r="W1985" s="178"/>
      <c r="X1985" s="172"/>
      <c r="Y1985" s="172"/>
      <c r="Z1985" s="172"/>
      <c r="AA1985" s="195"/>
      <c r="AB1985" s="172"/>
    </row>
    <row r="1986" spans="1:28" ht="12.6" customHeight="1" x14ac:dyDescent="0.3">
      <c r="A1986" s="667"/>
      <c r="B1986" s="668" t="s">
        <v>7989</v>
      </c>
      <c r="C1986" s="160" t="s">
        <v>7990</v>
      </c>
      <c r="D1986" s="160"/>
      <c r="E1986" s="439">
        <v>1</v>
      </c>
      <c r="F1986" s="161">
        <v>337.07128928200001</v>
      </c>
      <c r="G1986" s="161"/>
      <c r="H1986" s="654"/>
      <c r="I1986" s="654"/>
      <c r="J1986" s="191"/>
      <c r="K1986" s="191">
        <v>37154.378411046499</v>
      </c>
      <c r="L1986" s="191"/>
      <c r="M1986" s="191"/>
      <c r="N1986" s="191"/>
      <c r="O1986" s="191"/>
      <c r="P1986" s="191"/>
      <c r="Q1986" s="191"/>
      <c r="R1986" s="191"/>
      <c r="S1986" s="191"/>
      <c r="T1986" s="191"/>
      <c r="U1986" s="439"/>
      <c r="V1986" s="441"/>
      <c r="W1986" s="178"/>
      <c r="X1986" s="172"/>
      <c r="Y1986" s="172"/>
      <c r="Z1986" s="172"/>
      <c r="AA1986" s="195"/>
      <c r="AB1986" s="172"/>
    </row>
    <row r="1987" spans="1:28" ht="12.6" customHeight="1" x14ac:dyDescent="0.3">
      <c r="A1987" s="667"/>
      <c r="B1987" s="668" t="s">
        <v>7991</v>
      </c>
      <c r="C1987" s="160" t="s">
        <v>7992</v>
      </c>
      <c r="D1987" s="160"/>
      <c r="E1987" s="439"/>
      <c r="F1987" s="161">
        <v>380.08540978899998</v>
      </c>
      <c r="G1987" s="161"/>
      <c r="H1987" s="654"/>
      <c r="I1987" s="654"/>
      <c r="J1987" s="191"/>
      <c r="K1987" s="191">
        <v>3466410.5675516399</v>
      </c>
      <c r="L1987" s="191"/>
      <c r="M1987" s="191"/>
      <c r="N1987" s="191"/>
      <c r="O1987" s="191"/>
      <c r="P1987" s="191"/>
      <c r="Q1987" s="191"/>
      <c r="R1987" s="191"/>
      <c r="S1987" s="191"/>
      <c r="T1987" s="191"/>
      <c r="U1987" s="439"/>
      <c r="V1987" s="441"/>
      <c r="W1987" s="178"/>
      <c r="X1987" s="172"/>
      <c r="Y1987" s="172"/>
      <c r="Z1987" s="172"/>
      <c r="AA1987" s="195"/>
      <c r="AB1987" s="172"/>
    </row>
    <row r="1988" spans="1:28" ht="12.6" customHeight="1" x14ac:dyDescent="0.3">
      <c r="A1988" s="667"/>
      <c r="B1988" s="668" t="s">
        <v>7993</v>
      </c>
      <c r="C1988" s="160" t="s">
        <v>7994</v>
      </c>
      <c r="D1988" s="160"/>
      <c r="E1988" s="439">
        <v>8.65</v>
      </c>
      <c r="F1988" s="161">
        <v>308.04588299699998</v>
      </c>
      <c r="G1988" s="161">
        <v>-32.192</v>
      </c>
      <c r="H1988" s="654">
        <v>103.252822764</v>
      </c>
      <c r="I1988" s="654">
        <v>16.353663054897901</v>
      </c>
      <c r="J1988" s="191"/>
      <c r="K1988" s="191">
        <v>672.32614475821595</v>
      </c>
      <c r="L1988" s="191"/>
      <c r="M1988" s="191"/>
      <c r="N1988" s="191"/>
      <c r="O1988" s="191"/>
      <c r="P1988" s="191"/>
      <c r="Q1988" s="191"/>
      <c r="R1988" s="191"/>
      <c r="S1988" s="191"/>
      <c r="T1988" s="191"/>
      <c r="U1988" s="439"/>
      <c r="V1988" s="441"/>
      <c r="W1988" s="178"/>
      <c r="X1988" s="172"/>
      <c r="Y1988" s="172"/>
      <c r="Z1988" s="172"/>
      <c r="AA1988" s="195"/>
      <c r="AB1988" s="172"/>
    </row>
    <row r="1989" spans="1:28" ht="12.6" customHeight="1" x14ac:dyDescent="0.3">
      <c r="A1989" s="667"/>
      <c r="B1989" s="668" t="s">
        <v>7995</v>
      </c>
      <c r="C1989" s="160" t="s">
        <v>7996</v>
      </c>
      <c r="D1989" s="160"/>
      <c r="E1989" s="439"/>
      <c r="F1989" s="161">
        <v>684.03452273200003</v>
      </c>
      <c r="G1989" s="161"/>
      <c r="H1989" s="654"/>
      <c r="I1989" s="654"/>
      <c r="J1989" s="191"/>
      <c r="K1989" s="191">
        <v>317811.78679587197</v>
      </c>
      <c r="L1989" s="191"/>
      <c r="M1989" s="191"/>
      <c r="N1989" s="191"/>
      <c r="O1989" s="191"/>
      <c r="P1989" s="191"/>
      <c r="Q1989" s="191"/>
      <c r="R1989" s="191"/>
      <c r="S1989" s="191"/>
      <c r="T1989" s="191"/>
      <c r="U1989" s="439"/>
      <c r="V1989" s="441"/>
      <c r="W1989" s="178"/>
      <c r="X1989" s="172"/>
      <c r="Y1989" s="172"/>
      <c r="Z1989" s="172"/>
      <c r="AA1989" s="195"/>
      <c r="AB1989" s="172"/>
    </row>
    <row r="1990" spans="1:28" ht="12.6" customHeight="1" x14ac:dyDescent="0.3">
      <c r="A1990" s="667"/>
      <c r="B1990" s="668" t="s">
        <v>7997</v>
      </c>
      <c r="C1990" s="160" t="s">
        <v>7998</v>
      </c>
      <c r="D1990" s="160"/>
      <c r="E1990" s="439"/>
      <c r="F1990" s="161">
        <v>584.04091008</v>
      </c>
      <c r="G1990" s="161">
        <v>-67.81</v>
      </c>
      <c r="H1990" s="654">
        <v>5.4063270898000004</v>
      </c>
      <c r="I1990" s="654">
        <v>0.124578262283704</v>
      </c>
      <c r="J1990" s="191"/>
      <c r="K1990" s="191">
        <v>1160459.53154983</v>
      </c>
      <c r="L1990" s="191"/>
      <c r="M1990" s="191"/>
      <c r="N1990" s="191"/>
      <c r="O1990" s="191"/>
      <c r="P1990" s="191"/>
      <c r="Q1990" s="191"/>
      <c r="R1990" s="191"/>
      <c r="S1990" s="191"/>
      <c r="T1990" s="191"/>
      <c r="U1990" s="439"/>
      <c r="V1990" s="441"/>
      <c r="W1990" s="178"/>
      <c r="X1990" s="172"/>
      <c r="Y1990" s="172"/>
      <c r="Z1990" s="172"/>
      <c r="AA1990" s="195"/>
      <c r="AB1990" s="172"/>
    </row>
    <row r="1991" spans="1:28" ht="12.6" customHeight="1" x14ac:dyDescent="0.3">
      <c r="A1991" s="667"/>
      <c r="B1991" s="668" t="s">
        <v>7999</v>
      </c>
      <c r="C1991" s="160" t="s">
        <v>8000</v>
      </c>
      <c r="D1991" s="160"/>
      <c r="E1991" s="439"/>
      <c r="F1991" s="161">
        <v>484.04729742799998</v>
      </c>
      <c r="G1991" s="161">
        <v>-64.242999999999995</v>
      </c>
      <c r="H1991" s="654">
        <v>8.9722639593999993</v>
      </c>
      <c r="I1991" s="654">
        <v>0.63810019030743503</v>
      </c>
      <c r="J1991" s="191"/>
      <c r="K1991" s="191">
        <v>30403.249255426199</v>
      </c>
      <c r="L1991" s="191"/>
      <c r="M1991" s="191"/>
      <c r="N1991" s="191"/>
      <c r="O1991" s="191"/>
      <c r="P1991" s="191"/>
      <c r="Q1991" s="191"/>
      <c r="R1991" s="191"/>
      <c r="S1991" s="191"/>
      <c r="T1991" s="191"/>
      <c r="U1991" s="439"/>
      <c r="V1991" s="441"/>
      <c r="W1991" s="178"/>
      <c r="X1991" s="172"/>
      <c r="Y1991" s="172"/>
      <c r="Z1991" s="172"/>
      <c r="AA1991" s="195"/>
      <c r="AB1991" s="172"/>
    </row>
    <row r="1992" spans="1:28" ht="12.6" customHeight="1" x14ac:dyDescent="0.3">
      <c r="A1992" s="667"/>
      <c r="B1992" s="668" t="s">
        <v>8001</v>
      </c>
      <c r="C1992" s="160" t="s">
        <v>8002</v>
      </c>
      <c r="D1992" s="160"/>
      <c r="E1992" s="439"/>
      <c r="F1992" s="161">
        <v>384.05368477600001</v>
      </c>
      <c r="G1992" s="161"/>
      <c r="H1992" s="654"/>
      <c r="I1992" s="654"/>
      <c r="J1992" s="191"/>
      <c r="K1992" s="191">
        <v>4866.2005110344098</v>
      </c>
      <c r="L1992" s="191"/>
      <c r="M1992" s="191"/>
      <c r="N1992" s="191"/>
      <c r="O1992" s="191"/>
      <c r="P1992" s="191"/>
      <c r="Q1992" s="191"/>
      <c r="R1992" s="191"/>
      <c r="S1992" s="191"/>
      <c r="T1992" s="191"/>
      <c r="U1992" s="439"/>
      <c r="V1992" s="441"/>
      <c r="W1992" s="178"/>
      <c r="X1992" s="172"/>
      <c r="Y1992" s="172"/>
      <c r="Z1992" s="172"/>
      <c r="AA1992" s="195"/>
      <c r="AB1992" s="172"/>
    </row>
    <row r="1993" spans="1:28" ht="12.6" customHeight="1" x14ac:dyDescent="0.3">
      <c r="A1993" s="667"/>
      <c r="B1993" s="668" t="s">
        <v>8003</v>
      </c>
      <c r="C1993" s="160" t="s">
        <v>8004</v>
      </c>
      <c r="D1993" s="160"/>
      <c r="E1993" s="439"/>
      <c r="F1993" s="161">
        <v>445.97426000000002</v>
      </c>
      <c r="G1993" s="161"/>
      <c r="H1993" s="654"/>
      <c r="I1993" s="654"/>
      <c r="J1993" s="191"/>
      <c r="K1993" s="191"/>
      <c r="L1993" s="191"/>
      <c r="M1993" s="191"/>
      <c r="N1993" s="191"/>
      <c r="O1993" s="191"/>
      <c r="P1993" s="191"/>
      <c r="Q1993" s="191"/>
      <c r="R1993" s="191"/>
      <c r="S1993" s="191"/>
      <c r="T1993" s="191"/>
      <c r="U1993" s="439"/>
      <c r="V1993" s="441"/>
      <c r="W1993" s="178"/>
      <c r="X1993" s="172"/>
      <c r="Y1993" s="172"/>
      <c r="Z1993" s="172"/>
      <c r="AA1993" s="195"/>
      <c r="AB1993" s="172"/>
    </row>
    <row r="1994" spans="1:28" ht="12.6" customHeight="1" x14ac:dyDescent="0.3">
      <c r="A1994" s="667"/>
      <c r="B1994" s="668" t="s">
        <v>8005</v>
      </c>
      <c r="C1994" s="160" t="s">
        <v>8006</v>
      </c>
      <c r="D1994" s="160"/>
      <c r="E1994" s="439"/>
      <c r="F1994" s="161">
        <v>445.97426000000002</v>
      </c>
      <c r="G1994" s="161"/>
      <c r="H1994" s="654"/>
      <c r="I1994" s="654"/>
      <c r="J1994" s="191"/>
      <c r="K1994" s="191"/>
      <c r="L1994" s="191"/>
      <c r="M1994" s="191"/>
      <c r="N1994" s="191"/>
      <c r="O1994" s="191"/>
      <c r="P1994" s="191"/>
      <c r="Q1994" s="191"/>
      <c r="R1994" s="191"/>
      <c r="S1994" s="191"/>
      <c r="T1994" s="191"/>
      <c r="U1994" s="439"/>
      <c r="V1994" s="441"/>
      <c r="W1994" s="178"/>
      <c r="X1994" s="172"/>
      <c r="Y1994" s="172"/>
      <c r="Z1994" s="172"/>
      <c r="AA1994" s="195"/>
      <c r="AB1994" s="172"/>
    </row>
    <row r="1995" spans="1:28" ht="12.6" customHeight="1" x14ac:dyDescent="0.3">
      <c r="A1995" s="667"/>
      <c r="B1995" s="668" t="s">
        <v>8007</v>
      </c>
      <c r="C1995" s="160" t="s">
        <v>8008</v>
      </c>
      <c r="D1995" s="160"/>
      <c r="E1995" s="439">
        <v>5.23</v>
      </c>
      <c r="F1995" s="161">
        <v>456.01599729899999</v>
      </c>
      <c r="G1995" s="161"/>
      <c r="H1995" s="654"/>
      <c r="I1995" s="654"/>
      <c r="J1995" s="191"/>
      <c r="K1995" s="191">
        <v>7295.9189367048502</v>
      </c>
      <c r="L1995" s="191"/>
      <c r="M1995" s="191"/>
      <c r="N1995" s="191"/>
      <c r="O1995" s="191"/>
      <c r="P1995" s="191"/>
      <c r="Q1995" s="191"/>
      <c r="R1995" s="191"/>
      <c r="S1995" s="191"/>
      <c r="T1995" s="191"/>
      <c r="U1995" s="439"/>
      <c r="V1995" s="441"/>
      <c r="W1995" s="178"/>
      <c r="X1995" s="172"/>
      <c r="Y1995" s="172"/>
      <c r="Z1995" s="172"/>
      <c r="AA1995" s="195"/>
      <c r="AB1995" s="172"/>
    </row>
    <row r="1996" spans="1:28" ht="12.6" customHeight="1" x14ac:dyDescent="0.3">
      <c r="A1996" s="667"/>
      <c r="B1996" s="668" t="s">
        <v>8009</v>
      </c>
      <c r="C1996" s="160" t="s">
        <v>8010</v>
      </c>
      <c r="D1996" s="160"/>
      <c r="E1996" s="439"/>
      <c r="F1996" s="161">
        <v>384.04416892</v>
      </c>
      <c r="G1996" s="161"/>
      <c r="H1996" s="654"/>
      <c r="I1996" s="654"/>
      <c r="J1996" s="191"/>
      <c r="K1996" s="191">
        <v>66646.907130256906</v>
      </c>
      <c r="L1996" s="191"/>
      <c r="M1996" s="191"/>
      <c r="N1996" s="191"/>
      <c r="O1996" s="191"/>
      <c r="P1996" s="191"/>
      <c r="Q1996" s="191"/>
      <c r="R1996" s="191"/>
      <c r="S1996" s="191"/>
      <c r="T1996" s="191"/>
      <c r="U1996" s="439"/>
      <c r="V1996" s="441"/>
      <c r="W1996" s="178"/>
      <c r="X1996" s="172"/>
      <c r="Y1996" s="172"/>
      <c r="Z1996" s="172"/>
      <c r="AA1996" s="195"/>
      <c r="AB1996" s="172"/>
    </row>
    <row r="1997" spans="1:28" ht="12.6" customHeight="1" x14ac:dyDescent="0.3">
      <c r="A1997" s="667"/>
      <c r="B1997" s="668" t="s">
        <v>8011</v>
      </c>
      <c r="C1997" s="160" t="s">
        <v>8012</v>
      </c>
      <c r="D1997" s="160"/>
      <c r="E1997" s="439"/>
      <c r="F1997" s="161">
        <v>328.03679790899997</v>
      </c>
      <c r="G1997" s="161"/>
      <c r="H1997" s="654"/>
      <c r="I1997" s="654"/>
      <c r="J1997" s="191"/>
      <c r="K1997" s="191">
        <v>10354.043852073</v>
      </c>
      <c r="L1997" s="191"/>
      <c r="M1997" s="191"/>
      <c r="N1997" s="191"/>
      <c r="O1997" s="191"/>
      <c r="P1997" s="191"/>
      <c r="Q1997" s="191"/>
      <c r="R1997" s="191"/>
      <c r="S1997" s="191"/>
      <c r="T1997" s="191"/>
      <c r="U1997" s="439"/>
      <c r="V1997" s="441"/>
      <c r="W1997" s="178"/>
      <c r="X1997" s="172"/>
      <c r="Y1997" s="172"/>
      <c r="Z1997" s="172"/>
      <c r="AA1997" s="195"/>
      <c r="AB1997" s="172"/>
    </row>
    <row r="1998" spans="1:28" ht="12.6" customHeight="1" x14ac:dyDescent="0.3">
      <c r="A1998" s="667"/>
      <c r="B1998" s="668" t="s">
        <v>8013</v>
      </c>
      <c r="C1998" s="160" t="s">
        <v>8014</v>
      </c>
      <c r="D1998" s="160"/>
      <c r="E1998" s="439"/>
      <c r="F1998" s="161">
        <v>304.01903984299997</v>
      </c>
      <c r="G1998" s="161"/>
      <c r="H1998" s="654"/>
      <c r="I1998" s="654"/>
      <c r="J1998" s="191"/>
      <c r="K1998" s="191">
        <v>27364.656440170402</v>
      </c>
      <c r="L1998" s="191"/>
      <c r="M1998" s="191"/>
      <c r="N1998" s="191"/>
      <c r="O1998" s="191"/>
      <c r="P1998" s="191"/>
      <c r="Q1998" s="191"/>
      <c r="R1998" s="191"/>
      <c r="S1998" s="191"/>
      <c r="T1998" s="191"/>
      <c r="U1998" s="439"/>
      <c r="V1998" s="441"/>
      <c r="W1998" s="178"/>
      <c r="X1998" s="172"/>
      <c r="Y1998" s="172"/>
      <c r="Z1998" s="172"/>
      <c r="AA1998" s="195"/>
      <c r="AB1998" s="172"/>
    </row>
    <row r="1999" spans="1:28" ht="12.6" customHeight="1" x14ac:dyDescent="0.3">
      <c r="A1999" s="667"/>
      <c r="B1999" s="668" t="s">
        <v>8015</v>
      </c>
      <c r="C1999" s="160" t="s">
        <v>8016</v>
      </c>
      <c r="D1999" s="160"/>
      <c r="E1999" s="439"/>
      <c r="F1999" s="161">
        <v>277.0468242</v>
      </c>
      <c r="G1999" s="161">
        <v>-58.74</v>
      </c>
      <c r="H1999" s="654">
        <v>184.46031954</v>
      </c>
      <c r="I1999" s="654">
        <v>46.617837967661401</v>
      </c>
      <c r="J1999" s="191"/>
      <c r="K1999" s="191">
        <v>1.8187751006241599</v>
      </c>
      <c r="L1999" s="191"/>
      <c r="M1999" s="191"/>
      <c r="N1999" s="191"/>
      <c r="O1999" s="191"/>
      <c r="P1999" s="191"/>
      <c r="Q1999" s="191"/>
      <c r="R1999" s="191"/>
      <c r="S1999" s="191"/>
      <c r="T1999" s="191"/>
      <c r="U1999" s="439"/>
      <c r="V1999" s="441"/>
      <c r="W1999" s="178"/>
      <c r="X1999" s="172"/>
      <c r="Y1999" s="172"/>
      <c r="Z1999" s="172"/>
      <c r="AA1999" s="195"/>
      <c r="AB1999" s="172"/>
    </row>
    <row r="2000" spans="1:28" ht="12.6" customHeight="1" x14ac:dyDescent="0.3">
      <c r="A2000" s="667"/>
      <c r="B2000" s="668" t="s">
        <v>8017</v>
      </c>
      <c r="C2000" s="160" t="s">
        <v>8018</v>
      </c>
      <c r="D2000" s="160"/>
      <c r="E2000" s="439"/>
      <c r="F2000" s="161">
        <v>277.0468242</v>
      </c>
      <c r="G2000" s="161">
        <v>-57.406999999999996</v>
      </c>
      <c r="H2000" s="654">
        <v>214.7350793</v>
      </c>
      <c r="I2000" s="654">
        <v>11.234498063451699</v>
      </c>
      <c r="J2000" s="191"/>
      <c r="K2000" s="191">
        <v>1.9077918975786601</v>
      </c>
      <c r="L2000" s="191"/>
      <c r="M2000" s="191"/>
      <c r="N2000" s="191"/>
      <c r="O2000" s="191"/>
      <c r="P2000" s="191"/>
      <c r="Q2000" s="191"/>
      <c r="R2000" s="191"/>
      <c r="S2000" s="191"/>
      <c r="T2000" s="191"/>
      <c r="U2000" s="439"/>
      <c r="V2000" s="441"/>
      <c r="W2000" s="178"/>
      <c r="X2000" s="172"/>
      <c r="Y2000" s="172"/>
      <c r="Z2000" s="172"/>
      <c r="AA2000" s="195"/>
      <c r="AB2000" s="172"/>
    </row>
    <row r="2001" spans="1:28" ht="12.6" customHeight="1" x14ac:dyDescent="0.3">
      <c r="A2001" s="667"/>
      <c r="B2001" s="668" t="s">
        <v>8019</v>
      </c>
      <c r="C2001" s="160" t="s">
        <v>8020</v>
      </c>
      <c r="D2001" s="160"/>
      <c r="E2001" s="439">
        <v>4.63</v>
      </c>
      <c r="F2001" s="161">
        <v>247.99512300000001</v>
      </c>
      <c r="G2001" s="161">
        <v>107.173</v>
      </c>
      <c r="H2001" s="654"/>
      <c r="I2001" s="654"/>
      <c r="J2001" s="191"/>
      <c r="K2001" s="191">
        <v>1.32296391930581</v>
      </c>
      <c r="L2001" s="191"/>
      <c r="M2001" s="191"/>
      <c r="N2001" s="191"/>
      <c r="O2001" s="191"/>
      <c r="P2001" s="191"/>
      <c r="Q2001" s="191"/>
      <c r="R2001" s="191"/>
      <c r="S2001" s="191"/>
      <c r="T2001" s="191"/>
      <c r="U2001" s="439"/>
      <c r="V2001" s="441"/>
      <c r="W2001" s="178"/>
      <c r="X2001" s="172"/>
      <c r="Y2001" s="172"/>
      <c r="Z2001" s="172"/>
      <c r="AA2001" s="195"/>
      <c r="AB2001" s="172"/>
    </row>
    <row r="2002" spans="1:28" ht="12.6" customHeight="1" x14ac:dyDescent="0.3">
      <c r="A2002" s="667"/>
      <c r="B2002" s="668" t="s">
        <v>8021</v>
      </c>
      <c r="C2002" s="160" t="s">
        <v>8022</v>
      </c>
      <c r="D2002" s="160"/>
      <c r="E2002" s="439">
        <v>8.56</v>
      </c>
      <c r="F2002" s="161">
        <v>434.98709930000001</v>
      </c>
      <c r="G2002" s="161">
        <v>-16.856000000000002</v>
      </c>
      <c r="H2002" s="654">
        <v>275.36059236</v>
      </c>
      <c r="I2002" s="654">
        <v>1.4108371578696199</v>
      </c>
      <c r="J2002" s="191"/>
      <c r="K2002" s="191">
        <v>2.4043738725323101</v>
      </c>
      <c r="L2002" s="191"/>
      <c r="M2002" s="191"/>
      <c r="N2002" s="191"/>
      <c r="O2002" s="191"/>
      <c r="P2002" s="191"/>
      <c r="Q2002" s="191"/>
      <c r="R2002" s="191"/>
      <c r="S2002" s="191"/>
      <c r="T2002" s="191"/>
      <c r="U2002" s="439"/>
      <c r="V2002" s="441"/>
      <c r="W2002" s="178"/>
      <c r="X2002" s="172"/>
      <c r="Y2002" s="172"/>
      <c r="Z2002" s="172"/>
      <c r="AA2002" s="195"/>
      <c r="AB2002" s="172"/>
    </row>
    <row r="2003" spans="1:28" ht="12.6" customHeight="1" x14ac:dyDescent="0.3">
      <c r="A2003" s="667"/>
      <c r="B2003" s="668" t="s">
        <v>8023</v>
      </c>
      <c r="C2003" s="160" t="s">
        <v>8024</v>
      </c>
      <c r="D2003" s="160"/>
      <c r="E2003" s="439">
        <v>8.26</v>
      </c>
      <c r="F2003" s="161">
        <v>234.99987400000001</v>
      </c>
      <c r="G2003" s="161"/>
      <c r="H2003" s="654"/>
      <c r="I2003" s="654"/>
      <c r="J2003" s="191"/>
      <c r="K2003" s="191">
        <v>1.36252035807233</v>
      </c>
      <c r="L2003" s="191"/>
      <c r="M2003" s="191"/>
      <c r="N2003" s="191"/>
      <c r="O2003" s="191"/>
      <c r="P2003" s="191"/>
      <c r="Q2003" s="191"/>
      <c r="R2003" s="191"/>
      <c r="S2003" s="191"/>
      <c r="T2003" s="191"/>
      <c r="U2003" s="439"/>
      <c r="V2003" s="441"/>
      <c r="W2003" s="178"/>
      <c r="X2003" s="172"/>
      <c r="Y2003" s="172"/>
      <c r="Z2003" s="172"/>
      <c r="AA2003" s="195"/>
      <c r="AB2003" s="172"/>
    </row>
    <row r="2004" spans="1:28" ht="12.6" customHeight="1" x14ac:dyDescent="0.3">
      <c r="A2004" s="667"/>
      <c r="B2004" s="668" t="s">
        <v>8025</v>
      </c>
      <c r="C2004" s="160" t="s">
        <v>8026</v>
      </c>
      <c r="D2004" s="160"/>
      <c r="E2004" s="439">
        <v>9.8699999999999992</v>
      </c>
      <c r="F2004" s="161">
        <v>529.01012040000001</v>
      </c>
      <c r="G2004" s="161"/>
      <c r="H2004" s="654"/>
      <c r="I2004" s="654"/>
      <c r="J2004" s="191"/>
      <c r="K2004" s="191">
        <v>8.1381370631316692</v>
      </c>
      <c r="L2004" s="191"/>
      <c r="M2004" s="191"/>
      <c r="N2004" s="191"/>
      <c r="O2004" s="191"/>
      <c r="P2004" s="191"/>
      <c r="Q2004" s="191"/>
      <c r="R2004" s="191"/>
      <c r="S2004" s="191"/>
      <c r="T2004" s="191"/>
      <c r="U2004" s="439"/>
      <c r="V2004" s="441"/>
      <c r="W2004" s="178"/>
      <c r="X2004" s="172"/>
      <c r="Y2004" s="172"/>
      <c r="Z2004" s="172"/>
      <c r="AA2004" s="195"/>
      <c r="AB2004" s="172"/>
    </row>
    <row r="2005" spans="1:28" ht="12.6" customHeight="1" x14ac:dyDescent="0.3">
      <c r="A2005" s="667"/>
      <c r="B2005" s="668" t="s">
        <v>8027</v>
      </c>
      <c r="C2005" s="160" t="s">
        <v>8028</v>
      </c>
      <c r="D2005" s="160"/>
      <c r="E2005" s="439"/>
      <c r="F2005" s="161">
        <v>451.9848733</v>
      </c>
      <c r="G2005" s="161"/>
      <c r="H2005" s="654"/>
      <c r="I2005" s="654"/>
      <c r="J2005" s="191"/>
      <c r="K2005" s="191">
        <v>17542.8439424965</v>
      </c>
      <c r="L2005" s="191"/>
      <c r="M2005" s="191"/>
      <c r="N2005" s="191"/>
      <c r="O2005" s="191"/>
      <c r="P2005" s="191"/>
      <c r="Q2005" s="191"/>
      <c r="R2005" s="191"/>
      <c r="S2005" s="191"/>
      <c r="T2005" s="191"/>
      <c r="U2005" s="439"/>
      <c r="V2005" s="441"/>
      <c r="W2005" s="178"/>
      <c r="X2005" s="172"/>
      <c r="Y2005" s="172"/>
      <c r="Z2005" s="172"/>
      <c r="AA2005" s="195"/>
      <c r="AB2005" s="172"/>
    </row>
    <row r="2006" spans="1:28" ht="12.6" customHeight="1" x14ac:dyDescent="0.3">
      <c r="A2006" s="667"/>
      <c r="B2006" s="668" t="s">
        <v>8029</v>
      </c>
      <c r="C2006" s="160" t="s">
        <v>8030</v>
      </c>
      <c r="D2006" s="160"/>
      <c r="E2006" s="439">
        <v>7.51</v>
      </c>
      <c r="F2006" s="161">
        <v>549.07805482499998</v>
      </c>
      <c r="G2006" s="161"/>
      <c r="H2006" s="654"/>
      <c r="I2006" s="654"/>
      <c r="J2006" s="191"/>
      <c r="K2006" s="191">
        <v>1912229.4393340801</v>
      </c>
      <c r="L2006" s="191"/>
      <c r="M2006" s="191"/>
      <c r="N2006" s="191"/>
      <c r="O2006" s="191"/>
      <c r="P2006" s="191"/>
      <c r="Q2006" s="191"/>
      <c r="R2006" s="191"/>
      <c r="S2006" s="191"/>
      <c r="T2006" s="191"/>
      <c r="U2006" s="439"/>
      <c r="V2006" s="441"/>
      <c r="W2006" s="178"/>
      <c r="X2006" s="172"/>
      <c r="Y2006" s="172"/>
      <c r="Z2006" s="172"/>
      <c r="AA2006" s="195"/>
      <c r="AB2006" s="172"/>
    </row>
    <row r="2007" spans="1:28" ht="12.6" customHeight="1" x14ac:dyDescent="0.3">
      <c r="A2007" s="667"/>
      <c r="B2007" s="668" t="s">
        <v>8031</v>
      </c>
      <c r="C2007" s="160" t="s">
        <v>8032</v>
      </c>
      <c r="D2007" s="160"/>
      <c r="E2007" s="439">
        <v>9</v>
      </c>
      <c r="F2007" s="161">
        <v>349.09082952099999</v>
      </c>
      <c r="G2007" s="161"/>
      <c r="H2007" s="654"/>
      <c r="I2007" s="654"/>
      <c r="J2007" s="191"/>
      <c r="K2007" s="191">
        <v>11408800.8702245</v>
      </c>
      <c r="L2007" s="191"/>
      <c r="M2007" s="191"/>
      <c r="N2007" s="191"/>
      <c r="O2007" s="191"/>
      <c r="P2007" s="191"/>
      <c r="Q2007" s="191"/>
      <c r="R2007" s="191"/>
      <c r="S2007" s="191"/>
      <c r="T2007" s="191"/>
      <c r="U2007" s="439"/>
      <c r="V2007" s="441"/>
      <c r="W2007" s="178"/>
      <c r="X2007" s="172"/>
      <c r="Y2007" s="172"/>
      <c r="Z2007" s="172"/>
      <c r="AA2007" s="195"/>
      <c r="AB2007" s="172"/>
    </row>
    <row r="2008" spans="1:28" ht="12.6" customHeight="1" x14ac:dyDescent="0.3">
      <c r="A2008" s="667"/>
      <c r="B2008" s="668" t="s">
        <v>8033</v>
      </c>
      <c r="C2008" s="160" t="s">
        <v>8034</v>
      </c>
      <c r="D2008" s="160"/>
      <c r="E2008" s="439">
        <v>7.07</v>
      </c>
      <c r="F2008" s="161">
        <v>578.10460392599998</v>
      </c>
      <c r="G2008" s="161"/>
      <c r="H2008" s="654"/>
      <c r="I2008" s="654"/>
      <c r="J2008" s="191"/>
      <c r="K2008" s="191">
        <v>208703.628629432</v>
      </c>
      <c r="L2008" s="191"/>
      <c r="M2008" s="191"/>
      <c r="N2008" s="191"/>
      <c r="O2008" s="191"/>
      <c r="P2008" s="191"/>
      <c r="Q2008" s="191"/>
      <c r="R2008" s="191"/>
      <c r="S2008" s="191"/>
      <c r="T2008" s="191"/>
      <c r="U2008" s="439"/>
      <c r="V2008" s="441"/>
      <c r="W2008" s="178"/>
      <c r="X2008" s="172"/>
      <c r="Y2008" s="172"/>
      <c r="Z2008" s="172"/>
      <c r="AA2008" s="195"/>
      <c r="AB2008" s="172"/>
    </row>
    <row r="2009" spans="1:28" ht="12.6" customHeight="1" x14ac:dyDescent="0.3">
      <c r="A2009" s="667"/>
      <c r="B2009" s="668" t="s">
        <v>8035</v>
      </c>
      <c r="C2009" s="160" t="s">
        <v>8036</v>
      </c>
      <c r="D2009" s="160"/>
      <c r="E2009" s="439">
        <v>24</v>
      </c>
      <c r="F2009" s="161">
        <v>478.11099127400001</v>
      </c>
      <c r="G2009" s="161"/>
      <c r="H2009" s="654"/>
      <c r="I2009" s="654"/>
      <c r="J2009" s="191"/>
      <c r="K2009" s="191">
        <v>53117.790289491903</v>
      </c>
      <c r="L2009" s="191"/>
      <c r="M2009" s="191"/>
      <c r="N2009" s="191"/>
      <c r="O2009" s="191"/>
      <c r="P2009" s="191"/>
      <c r="Q2009" s="191"/>
      <c r="R2009" s="191"/>
      <c r="S2009" s="191"/>
      <c r="T2009" s="191"/>
      <c r="U2009" s="439"/>
      <c r="V2009" s="441"/>
      <c r="W2009" s="178"/>
      <c r="X2009" s="172"/>
      <c r="Y2009" s="172"/>
      <c r="Z2009" s="172"/>
      <c r="AA2009" s="195"/>
      <c r="AB2009" s="172"/>
    </row>
    <row r="2010" spans="1:28" ht="12.6" customHeight="1" x14ac:dyDescent="0.3">
      <c r="A2010" s="667"/>
      <c r="B2010" s="668" t="s">
        <v>8037</v>
      </c>
      <c r="C2010" s="160" t="s">
        <v>8038</v>
      </c>
      <c r="D2010" s="160"/>
      <c r="E2010" s="439">
        <v>2</v>
      </c>
      <c r="F2010" s="161">
        <v>607.13115302599999</v>
      </c>
      <c r="G2010" s="161"/>
      <c r="H2010" s="654"/>
      <c r="I2010" s="654"/>
      <c r="J2010" s="191"/>
      <c r="K2010" s="191">
        <v>19160.1983206845</v>
      </c>
      <c r="L2010" s="191"/>
      <c r="M2010" s="191"/>
      <c r="N2010" s="191"/>
      <c r="O2010" s="191"/>
      <c r="P2010" s="191"/>
      <c r="Q2010" s="191"/>
      <c r="R2010" s="191"/>
      <c r="S2010" s="191"/>
      <c r="T2010" s="191"/>
      <c r="U2010" s="439"/>
      <c r="V2010" s="441"/>
      <c r="W2010" s="178"/>
      <c r="X2010" s="172"/>
      <c r="Y2010" s="172"/>
      <c r="Z2010" s="172"/>
      <c r="AA2010" s="195"/>
      <c r="AB2010" s="172"/>
    </row>
    <row r="2011" spans="1:28" ht="12.6" customHeight="1" x14ac:dyDescent="0.3">
      <c r="A2011" s="667"/>
      <c r="B2011" s="668" t="s">
        <v>8039</v>
      </c>
      <c r="C2011" s="160" t="s">
        <v>8040</v>
      </c>
      <c r="D2011" s="160"/>
      <c r="E2011" s="439"/>
      <c r="F2011" s="161">
        <v>407.143927722</v>
      </c>
      <c r="G2011" s="161">
        <v>-71.147000000000006</v>
      </c>
      <c r="H2011" s="654">
        <v>27.095829991999999</v>
      </c>
      <c r="I2011" s="654">
        <v>2.9974220959642999</v>
      </c>
      <c r="J2011" s="191"/>
      <c r="K2011" s="191">
        <v>540.29381998577003</v>
      </c>
      <c r="L2011" s="191"/>
      <c r="M2011" s="191"/>
      <c r="N2011" s="191"/>
      <c r="O2011" s="191"/>
      <c r="P2011" s="191"/>
      <c r="Q2011" s="191"/>
      <c r="R2011" s="191"/>
      <c r="S2011" s="191"/>
      <c r="T2011" s="191"/>
      <c r="U2011" s="439"/>
      <c r="V2011" s="441"/>
      <c r="W2011" s="178"/>
      <c r="X2011" s="172"/>
      <c r="Y2011" s="172"/>
      <c r="Z2011" s="172"/>
      <c r="AA2011" s="195"/>
      <c r="AB2011" s="172"/>
    </row>
    <row r="2012" spans="1:28" ht="12.6" customHeight="1" x14ac:dyDescent="0.3">
      <c r="A2012" s="667"/>
      <c r="B2012" s="668" t="s">
        <v>8041</v>
      </c>
      <c r="C2012" s="160" t="s">
        <v>8042</v>
      </c>
      <c r="D2012" s="160"/>
      <c r="E2012" s="439">
        <v>6</v>
      </c>
      <c r="F2012" s="161">
        <v>321.07751747700001</v>
      </c>
      <c r="G2012" s="161"/>
      <c r="H2012" s="654"/>
      <c r="I2012" s="654"/>
      <c r="J2012" s="191"/>
      <c r="K2012" s="191">
        <v>263.79101564720003</v>
      </c>
      <c r="L2012" s="191"/>
      <c r="M2012" s="191"/>
      <c r="N2012" s="191"/>
      <c r="O2012" s="191"/>
      <c r="P2012" s="191"/>
      <c r="Q2012" s="191"/>
      <c r="R2012" s="191"/>
      <c r="S2012" s="191"/>
      <c r="T2012" s="191"/>
      <c r="U2012" s="439"/>
      <c r="V2012" s="441"/>
      <c r="W2012" s="178"/>
      <c r="X2012" s="172"/>
      <c r="Y2012" s="172"/>
      <c r="Z2012" s="172"/>
      <c r="AA2012" s="195"/>
      <c r="AB2012" s="172"/>
    </row>
    <row r="2013" spans="1:28" ht="12.6" customHeight="1" x14ac:dyDescent="0.3">
      <c r="A2013" s="667" t="s">
        <v>4414</v>
      </c>
      <c r="B2013" s="668" t="s">
        <v>8043</v>
      </c>
      <c r="C2013" s="160" t="s">
        <v>8044</v>
      </c>
      <c r="D2013" s="160"/>
      <c r="E2013" s="439"/>
      <c r="F2013" s="161"/>
      <c r="G2013" s="161"/>
      <c r="H2013" s="654"/>
      <c r="I2013" s="654"/>
      <c r="J2013" s="191"/>
      <c r="K2013" s="191"/>
      <c r="L2013" s="191"/>
      <c r="M2013" s="191"/>
      <c r="N2013" s="191"/>
      <c r="O2013" s="191"/>
      <c r="P2013" s="191"/>
      <c r="Q2013" s="191"/>
      <c r="R2013" s="191"/>
      <c r="S2013" s="191"/>
      <c r="T2013" s="191"/>
      <c r="U2013" s="439"/>
      <c r="V2013" s="441"/>
      <c r="W2013" s="178"/>
      <c r="X2013" s="172"/>
      <c r="Y2013" s="172"/>
      <c r="Z2013" s="172"/>
      <c r="AA2013" s="195"/>
      <c r="AB2013" s="172"/>
    </row>
    <row r="2014" spans="1:28" ht="12.6" customHeight="1" x14ac:dyDescent="0.3">
      <c r="A2014" s="667"/>
      <c r="B2014" s="668" t="s">
        <v>8045</v>
      </c>
      <c r="C2014" s="160" t="s">
        <v>8046</v>
      </c>
      <c r="D2014" s="160"/>
      <c r="E2014" s="439">
        <v>7.05</v>
      </c>
      <c r="F2014" s="161">
        <v>528.07522970800005</v>
      </c>
      <c r="G2014" s="161"/>
      <c r="H2014" s="654"/>
      <c r="I2014" s="654"/>
      <c r="J2014" s="191"/>
      <c r="K2014" s="191">
        <v>582170.23873842496</v>
      </c>
      <c r="L2014" s="191"/>
      <c r="M2014" s="191"/>
      <c r="N2014" s="191"/>
      <c r="O2014" s="191"/>
      <c r="P2014" s="191"/>
      <c r="Q2014" s="191"/>
      <c r="R2014" s="191"/>
      <c r="S2014" s="191"/>
      <c r="T2014" s="191"/>
      <c r="U2014" s="439"/>
      <c r="V2014" s="441"/>
      <c r="W2014" s="178"/>
      <c r="X2014" s="172"/>
      <c r="Y2014" s="172"/>
      <c r="Z2014" s="172"/>
      <c r="AA2014" s="195"/>
      <c r="AB2014" s="172"/>
    </row>
    <row r="2015" spans="1:28" ht="12.6" customHeight="1" x14ac:dyDescent="0.3">
      <c r="A2015" s="667"/>
      <c r="B2015" s="668" t="s">
        <v>8047</v>
      </c>
      <c r="C2015" s="160" t="s">
        <v>8048</v>
      </c>
      <c r="D2015" s="160"/>
      <c r="E2015" s="439">
        <v>7.58</v>
      </c>
      <c r="F2015" s="161">
        <v>578.12259201100005</v>
      </c>
      <c r="G2015" s="161"/>
      <c r="H2015" s="654"/>
      <c r="I2015" s="654"/>
      <c r="J2015" s="191"/>
      <c r="K2015" s="191">
        <v>44856.976765240099</v>
      </c>
      <c r="L2015" s="191"/>
      <c r="M2015" s="191"/>
      <c r="N2015" s="191"/>
      <c r="O2015" s="191"/>
      <c r="P2015" s="191"/>
      <c r="Q2015" s="191"/>
      <c r="R2015" s="191"/>
      <c r="S2015" s="191"/>
      <c r="T2015" s="191"/>
      <c r="U2015" s="439"/>
      <c r="V2015" s="441"/>
      <c r="W2015" s="178"/>
      <c r="X2015" s="172"/>
      <c r="Y2015" s="172"/>
      <c r="Z2015" s="172"/>
      <c r="AA2015" s="195"/>
      <c r="AB2015" s="172"/>
    </row>
    <row r="2016" spans="1:28" ht="12.6" customHeight="1" x14ac:dyDescent="0.3">
      <c r="A2016" s="667"/>
      <c r="B2016" s="668" t="s">
        <v>8049</v>
      </c>
      <c r="C2016" s="160" t="s">
        <v>8050</v>
      </c>
      <c r="D2016" s="160"/>
      <c r="E2016" s="439">
        <v>6.49</v>
      </c>
      <c r="F2016" s="161">
        <v>512.08031508800002</v>
      </c>
      <c r="G2016" s="161"/>
      <c r="H2016" s="654"/>
      <c r="I2016" s="654"/>
      <c r="J2016" s="191"/>
      <c r="K2016" s="191">
        <v>98016.682686628294</v>
      </c>
      <c r="L2016" s="191"/>
      <c r="M2016" s="191"/>
      <c r="N2016" s="191"/>
      <c r="O2016" s="191"/>
      <c r="P2016" s="191"/>
      <c r="Q2016" s="191"/>
      <c r="R2016" s="191"/>
      <c r="S2016" s="191"/>
      <c r="T2016" s="191"/>
      <c r="U2016" s="439"/>
      <c r="V2016" s="441"/>
      <c r="W2016" s="178"/>
      <c r="X2016" s="172"/>
      <c r="Y2016" s="172"/>
      <c r="Z2016" s="172"/>
      <c r="AA2016" s="195"/>
      <c r="AB2016" s="172"/>
    </row>
    <row r="2017" spans="1:28" ht="12.6" customHeight="1" x14ac:dyDescent="0.3">
      <c r="A2017" s="667"/>
      <c r="B2017" s="668" t="s">
        <v>8051</v>
      </c>
      <c r="C2017" s="160" t="s">
        <v>8052</v>
      </c>
      <c r="D2017" s="160"/>
      <c r="E2017" s="439">
        <v>3.42</v>
      </c>
      <c r="F2017" s="161">
        <v>625.05794332400001</v>
      </c>
      <c r="G2017" s="161"/>
      <c r="H2017" s="654"/>
      <c r="I2017" s="654"/>
      <c r="J2017" s="191"/>
      <c r="K2017" s="191">
        <v>720327.50798124203</v>
      </c>
      <c r="L2017" s="191"/>
      <c r="M2017" s="191"/>
      <c r="N2017" s="191"/>
      <c r="O2017" s="191"/>
      <c r="P2017" s="191"/>
      <c r="Q2017" s="191"/>
      <c r="R2017" s="191"/>
      <c r="S2017" s="191"/>
      <c r="T2017" s="191"/>
      <c r="U2017" s="439"/>
      <c r="V2017" s="441"/>
      <c r="W2017" s="178"/>
      <c r="X2017" s="172"/>
      <c r="Y2017" s="172"/>
      <c r="Z2017" s="172"/>
      <c r="AA2017" s="195"/>
      <c r="AB2017" s="172"/>
    </row>
    <row r="2018" spans="1:28" ht="12.6" customHeight="1" x14ac:dyDescent="0.3">
      <c r="A2018" s="667"/>
      <c r="B2018" s="668" t="s">
        <v>8053</v>
      </c>
      <c r="C2018" s="160" t="s">
        <v>8054</v>
      </c>
      <c r="D2018" s="160"/>
      <c r="E2018" s="439">
        <v>4.49</v>
      </c>
      <c r="F2018" s="161">
        <v>336.052031005</v>
      </c>
      <c r="G2018" s="161"/>
      <c r="H2018" s="654"/>
      <c r="I2018" s="654"/>
      <c r="J2018" s="191"/>
      <c r="K2018" s="191">
        <v>151.26902232694599</v>
      </c>
      <c r="L2018" s="191"/>
      <c r="M2018" s="191"/>
      <c r="N2018" s="191"/>
      <c r="O2018" s="191"/>
      <c r="P2018" s="191"/>
      <c r="Q2018" s="191"/>
      <c r="R2018" s="191"/>
      <c r="S2018" s="191"/>
      <c r="T2018" s="191"/>
      <c r="U2018" s="439"/>
      <c r="V2018" s="441"/>
      <c r="W2018" s="178"/>
      <c r="X2018" s="172"/>
      <c r="Y2018" s="172"/>
      <c r="Z2018" s="172"/>
      <c r="AA2018" s="195"/>
      <c r="AB2018" s="172"/>
    </row>
    <row r="2019" spans="1:28" ht="12.6" customHeight="1" x14ac:dyDescent="0.3">
      <c r="A2019" s="667"/>
      <c r="B2019" s="668" t="s">
        <v>8055</v>
      </c>
      <c r="C2019" s="160" t="s">
        <v>8056</v>
      </c>
      <c r="D2019" s="160"/>
      <c r="E2019" s="439">
        <v>8.1</v>
      </c>
      <c r="F2019" s="161">
        <v>213.03884633800001</v>
      </c>
      <c r="G2019" s="161">
        <v>7.8879999999999999</v>
      </c>
      <c r="H2019" s="654">
        <v>17494.512839999999</v>
      </c>
      <c r="I2019" s="654">
        <v>100.567756918855</v>
      </c>
      <c r="J2019" s="191"/>
      <c r="K2019" s="191">
        <v>100.932260520418</v>
      </c>
      <c r="L2019" s="191"/>
      <c r="M2019" s="191"/>
      <c r="N2019" s="191"/>
      <c r="O2019" s="191"/>
      <c r="P2019" s="191"/>
      <c r="Q2019" s="191"/>
      <c r="R2019" s="191"/>
      <c r="S2019" s="191"/>
      <c r="T2019" s="191"/>
      <c r="U2019" s="439"/>
      <c r="V2019" s="441"/>
      <c r="W2019" s="178"/>
      <c r="X2019" s="172"/>
      <c r="Y2019" s="172"/>
      <c r="Z2019" s="172"/>
      <c r="AA2019" s="195"/>
      <c r="AB2019" s="172"/>
    </row>
    <row r="2020" spans="1:28" ht="12.6" customHeight="1" x14ac:dyDescent="0.3">
      <c r="A2020" s="667"/>
      <c r="B2020" s="668" t="s">
        <v>8057</v>
      </c>
      <c r="C2020" s="160" t="s">
        <v>8058</v>
      </c>
      <c r="D2020" s="160"/>
      <c r="E2020" s="439"/>
      <c r="F2020" s="161">
        <v>333.11390298600003</v>
      </c>
      <c r="G2020" s="161">
        <v>-46.106000000000002</v>
      </c>
      <c r="H2020" s="654">
        <v>15.378026090000001</v>
      </c>
      <c r="I2020" s="654">
        <v>2.3366441281904402</v>
      </c>
      <c r="J2020" s="191"/>
      <c r="K2020" s="191">
        <v>5096.2414987930197</v>
      </c>
      <c r="L2020" s="191"/>
      <c r="M2020" s="191"/>
      <c r="N2020" s="191"/>
      <c r="O2020" s="191"/>
      <c r="P2020" s="191"/>
      <c r="Q2020" s="191"/>
      <c r="R2020" s="191"/>
      <c r="S2020" s="191"/>
      <c r="T2020" s="191"/>
      <c r="U2020" s="439"/>
      <c r="V2020" s="441"/>
      <c r="W2020" s="178"/>
      <c r="X2020" s="172"/>
      <c r="Y2020" s="172"/>
      <c r="Z2020" s="172"/>
      <c r="AA2020" s="195"/>
      <c r="AB2020" s="172"/>
    </row>
    <row r="2021" spans="1:28" ht="12.6" customHeight="1" x14ac:dyDescent="0.3">
      <c r="A2021" s="667"/>
      <c r="B2021" s="668" t="s">
        <v>8059</v>
      </c>
      <c r="C2021" s="160" t="s">
        <v>8060</v>
      </c>
      <c r="D2021" s="160"/>
      <c r="E2021" s="439">
        <v>12</v>
      </c>
      <c r="F2021" s="161">
        <v>347.07899707399997</v>
      </c>
      <c r="G2021" s="161"/>
      <c r="H2021" s="654"/>
      <c r="I2021" s="654"/>
      <c r="J2021" s="191"/>
      <c r="K2021" s="191">
        <v>1450.60777208323</v>
      </c>
      <c r="L2021" s="191"/>
      <c r="M2021" s="191"/>
      <c r="N2021" s="191"/>
      <c r="O2021" s="191"/>
      <c r="P2021" s="191"/>
      <c r="Q2021" s="191"/>
      <c r="R2021" s="191"/>
      <c r="S2021" s="191"/>
      <c r="T2021" s="191"/>
      <c r="U2021" s="439"/>
      <c r="V2021" s="441"/>
      <c r="W2021" s="178"/>
      <c r="X2021" s="172"/>
      <c r="Y2021" s="172"/>
      <c r="Z2021" s="172"/>
      <c r="AA2021" s="195"/>
      <c r="AB2021" s="172"/>
    </row>
    <row r="2022" spans="1:28" ht="12.6" customHeight="1" x14ac:dyDescent="0.3">
      <c r="A2022" s="667"/>
      <c r="B2022" s="668" t="s">
        <v>8061</v>
      </c>
      <c r="C2022" s="160" t="s">
        <v>8062</v>
      </c>
      <c r="D2022" s="160"/>
      <c r="E2022" s="439">
        <v>40.122999999999998</v>
      </c>
      <c r="F2022" s="161">
        <v>368.04902428100002</v>
      </c>
      <c r="G2022" s="161">
        <v>-74.826999999999998</v>
      </c>
      <c r="H2022" s="654">
        <v>190.06517642</v>
      </c>
      <c r="I2022" s="654">
        <v>4.3242079862774698</v>
      </c>
      <c r="J2022" s="191"/>
      <c r="K2022" s="191">
        <v>4552.5004773009796</v>
      </c>
      <c r="L2022" s="191"/>
      <c r="M2022" s="191"/>
      <c r="N2022" s="191"/>
      <c r="O2022" s="191"/>
      <c r="P2022" s="191"/>
      <c r="Q2022" s="191"/>
      <c r="R2022" s="191"/>
      <c r="S2022" s="191"/>
      <c r="T2022" s="191"/>
      <c r="U2022" s="439"/>
      <c r="V2022" s="441"/>
      <c r="W2022" s="178"/>
      <c r="X2022" s="172"/>
      <c r="Y2022" s="172"/>
      <c r="Z2022" s="172"/>
      <c r="AA2022" s="195"/>
      <c r="AB2022" s="172"/>
    </row>
    <row r="2023" spans="1:28" ht="12.6" customHeight="1" x14ac:dyDescent="0.3">
      <c r="A2023" s="667"/>
      <c r="B2023" s="668" t="s">
        <v>8063</v>
      </c>
      <c r="C2023" s="160" t="s">
        <v>8064</v>
      </c>
      <c r="D2023" s="160"/>
      <c r="E2023" s="439"/>
      <c r="F2023" s="161">
        <v>668.02986223699997</v>
      </c>
      <c r="G2023" s="161"/>
      <c r="H2023" s="654"/>
      <c r="I2023" s="654"/>
      <c r="J2023" s="191"/>
      <c r="K2023" s="191">
        <v>275975.16393801902</v>
      </c>
      <c r="L2023" s="191"/>
      <c r="M2023" s="191"/>
      <c r="N2023" s="191"/>
      <c r="O2023" s="191"/>
      <c r="P2023" s="191"/>
      <c r="Q2023" s="191"/>
      <c r="R2023" s="191"/>
      <c r="S2023" s="191"/>
      <c r="T2023" s="191"/>
      <c r="U2023" s="439"/>
      <c r="V2023" s="441"/>
      <c r="W2023" s="178"/>
      <c r="X2023" s="172"/>
      <c r="Y2023" s="172"/>
      <c r="Z2023" s="172"/>
      <c r="AA2023" s="195"/>
      <c r="AB2023" s="172"/>
    </row>
    <row r="2024" spans="1:28" ht="12.6" customHeight="1" x14ac:dyDescent="0.3">
      <c r="A2024" s="667"/>
      <c r="B2024" s="668" t="s">
        <v>8065</v>
      </c>
      <c r="C2024" s="160" t="s">
        <v>8066</v>
      </c>
      <c r="D2024" s="160"/>
      <c r="E2024" s="439"/>
      <c r="F2024" s="161">
        <v>568.03624958499995</v>
      </c>
      <c r="G2024" s="161">
        <v>-89.962000000000003</v>
      </c>
      <c r="H2024" s="654">
        <v>136.11376268000001</v>
      </c>
      <c r="I2024" s="654">
        <v>6.1855171326059298E-2</v>
      </c>
      <c r="J2024" s="191"/>
      <c r="K2024" s="191">
        <v>160280.245881371</v>
      </c>
      <c r="L2024" s="191"/>
      <c r="M2024" s="191"/>
      <c r="N2024" s="191"/>
      <c r="O2024" s="191"/>
      <c r="P2024" s="191"/>
      <c r="Q2024" s="191"/>
      <c r="R2024" s="191"/>
      <c r="S2024" s="191"/>
      <c r="T2024" s="191"/>
      <c r="U2024" s="439"/>
      <c r="V2024" s="441"/>
      <c r="W2024" s="178"/>
      <c r="X2024" s="172"/>
      <c r="Y2024" s="172"/>
      <c r="Z2024" s="172"/>
      <c r="AA2024" s="195"/>
      <c r="AB2024" s="172"/>
    </row>
    <row r="2025" spans="1:28" ht="12.6" customHeight="1" x14ac:dyDescent="0.3">
      <c r="A2025" s="667"/>
      <c r="B2025" s="668" t="s">
        <v>8067</v>
      </c>
      <c r="C2025" s="160" t="s">
        <v>8068</v>
      </c>
      <c r="D2025" s="160"/>
      <c r="E2025" s="439"/>
      <c r="F2025" s="161">
        <v>598.10762958299995</v>
      </c>
      <c r="G2025" s="161"/>
      <c r="H2025" s="654"/>
      <c r="I2025" s="654"/>
      <c r="J2025" s="191"/>
      <c r="K2025" s="191">
        <v>1220000.47566076</v>
      </c>
      <c r="L2025" s="191"/>
      <c r="M2025" s="191"/>
      <c r="N2025" s="191"/>
      <c r="O2025" s="191"/>
      <c r="P2025" s="191"/>
      <c r="Q2025" s="191"/>
      <c r="R2025" s="191"/>
      <c r="S2025" s="191"/>
      <c r="T2025" s="191"/>
      <c r="U2025" s="439"/>
      <c r="V2025" s="441"/>
      <c r="W2025" s="178"/>
      <c r="X2025" s="172"/>
      <c r="Y2025" s="172"/>
      <c r="Z2025" s="172"/>
      <c r="AA2025" s="195"/>
      <c r="AB2025" s="172"/>
    </row>
    <row r="2026" spans="1:28" ht="12.6" customHeight="1" x14ac:dyDescent="0.3">
      <c r="A2026" s="667"/>
      <c r="B2026" s="668" t="s">
        <v>8069</v>
      </c>
      <c r="C2026" s="160" t="s">
        <v>8070</v>
      </c>
      <c r="D2026" s="160"/>
      <c r="E2026" s="439"/>
      <c r="F2026" s="161">
        <v>318.052217955</v>
      </c>
      <c r="G2026" s="161">
        <v>-49.274000000000001</v>
      </c>
      <c r="H2026" s="654">
        <v>173.74123073999999</v>
      </c>
      <c r="I2026" s="654">
        <v>21.602233864390701</v>
      </c>
      <c r="J2026" s="191"/>
      <c r="K2026" s="191">
        <v>2514.4905049128502</v>
      </c>
      <c r="L2026" s="191"/>
      <c r="M2026" s="191"/>
      <c r="N2026" s="191"/>
      <c r="O2026" s="191"/>
      <c r="P2026" s="191"/>
      <c r="Q2026" s="191"/>
      <c r="R2026" s="191"/>
      <c r="S2026" s="191"/>
      <c r="T2026" s="191"/>
      <c r="U2026" s="439"/>
      <c r="V2026" s="441"/>
      <c r="W2026" s="178"/>
      <c r="X2026" s="172"/>
      <c r="Y2026" s="172"/>
      <c r="Z2026" s="172"/>
      <c r="AA2026" s="195"/>
      <c r="AB2026" s="172"/>
    </row>
    <row r="2027" spans="1:28" ht="12.6" customHeight="1" x14ac:dyDescent="0.3">
      <c r="A2027" s="667"/>
      <c r="B2027" s="668" t="s">
        <v>8071</v>
      </c>
      <c r="C2027" s="160" t="s">
        <v>8072</v>
      </c>
      <c r="D2027" s="160"/>
      <c r="E2027" s="439">
        <v>7</v>
      </c>
      <c r="F2027" s="161">
        <v>569.09031540199999</v>
      </c>
      <c r="G2027" s="161"/>
      <c r="H2027" s="654"/>
      <c r="I2027" s="654"/>
      <c r="J2027" s="191"/>
      <c r="K2027" s="191">
        <v>134539.55906240901</v>
      </c>
      <c r="L2027" s="191"/>
      <c r="M2027" s="191"/>
      <c r="N2027" s="191"/>
      <c r="O2027" s="191"/>
      <c r="P2027" s="191"/>
      <c r="Q2027" s="191"/>
      <c r="R2027" s="191"/>
      <c r="S2027" s="191"/>
      <c r="T2027" s="191"/>
      <c r="U2027" s="439"/>
      <c r="V2027" s="441"/>
      <c r="W2027" s="178"/>
      <c r="X2027" s="172"/>
      <c r="Y2027" s="172"/>
      <c r="Z2027" s="172"/>
      <c r="AA2027" s="195"/>
      <c r="AB2027" s="172"/>
    </row>
    <row r="2028" spans="1:28" ht="12.6" customHeight="1" x14ac:dyDescent="0.3">
      <c r="A2028" s="667"/>
      <c r="B2028" s="668" t="s">
        <v>8073</v>
      </c>
      <c r="C2028" s="160" t="s">
        <v>8074</v>
      </c>
      <c r="D2028" s="160"/>
      <c r="E2028" s="439"/>
      <c r="F2028" s="161">
        <v>268.03342660599998</v>
      </c>
      <c r="G2028" s="161">
        <v>-36.627000000000002</v>
      </c>
      <c r="H2028" s="654">
        <v>158.45319699999999</v>
      </c>
      <c r="I2028" s="654">
        <v>10.670598336583399</v>
      </c>
      <c r="J2028" s="191"/>
      <c r="K2028" s="191">
        <v>242.72806848713199</v>
      </c>
      <c r="L2028" s="191"/>
      <c r="M2028" s="191"/>
      <c r="N2028" s="191"/>
      <c r="O2028" s="191"/>
      <c r="P2028" s="191"/>
      <c r="Q2028" s="191"/>
      <c r="R2028" s="191"/>
      <c r="S2028" s="191"/>
      <c r="T2028" s="191"/>
      <c r="U2028" s="439"/>
      <c r="V2028" s="441"/>
      <c r="W2028" s="178"/>
      <c r="X2028" s="172"/>
      <c r="Y2028" s="172"/>
      <c r="Z2028" s="172"/>
      <c r="AA2028" s="195"/>
      <c r="AB2028" s="172"/>
    </row>
    <row r="2029" spans="1:28" ht="12.6" customHeight="1" x14ac:dyDescent="0.3">
      <c r="A2029" s="667"/>
      <c r="B2029" s="668" t="s">
        <v>8075</v>
      </c>
      <c r="C2029" s="160" t="s">
        <v>8076</v>
      </c>
      <c r="D2029" s="160"/>
      <c r="E2029" s="439"/>
      <c r="F2029" s="161">
        <v>467.04598286800001</v>
      </c>
      <c r="G2029" s="161"/>
      <c r="H2029" s="654"/>
      <c r="I2029" s="654"/>
      <c r="J2029" s="191"/>
      <c r="K2029" s="191">
        <v>46452.597120537299</v>
      </c>
      <c r="L2029" s="191"/>
      <c r="M2029" s="191"/>
      <c r="N2029" s="191"/>
      <c r="O2029" s="191"/>
      <c r="P2029" s="191"/>
      <c r="Q2029" s="191"/>
      <c r="R2029" s="191"/>
      <c r="S2029" s="191"/>
      <c r="T2029" s="191"/>
      <c r="U2029" s="439"/>
      <c r="V2029" s="441"/>
      <c r="W2029" s="178"/>
      <c r="X2029" s="172"/>
      <c r="Y2029" s="172"/>
      <c r="Z2029" s="172"/>
      <c r="AA2029" s="195"/>
      <c r="AB2029" s="172"/>
    </row>
    <row r="2030" spans="1:28" ht="12.6" customHeight="1" x14ac:dyDescent="0.3">
      <c r="A2030" s="667"/>
      <c r="B2030" s="668" t="s">
        <v>8077</v>
      </c>
      <c r="C2030" s="160" t="s">
        <v>8078</v>
      </c>
      <c r="D2030" s="160"/>
      <c r="E2030" s="439"/>
      <c r="F2030" s="161">
        <v>268.03342660599998</v>
      </c>
      <c r="G2030" s="161"/>
      <c r="H2030" s="654"/>
      <c r="I2030" s="654"/>
      <c r="J2030" s="191"/>
      <c r="K2030" s="191"/>
      <c r="L2030" s="191"/>
      <c r="M2030" s="191"/>
      <c r="N2030" s="191"/>
      <c r="O2030" s="191"/>
      <c r="P2030" s="191"/>
      <c r="Q2030" s="191"/>
      <c r="R2030" s="191"/>
      <c r="S2030" s="191"/>
      <c r="T2030" s="191"/>
      <c r="U2030" s="439"/>
      <c r="V2030" s="441"/>
      <c r="W2030" s="178"/>
      <c r="X2030" s="172"/>
      <c r="Y2030" s="172"/>
      <c r="Z2030" s="172"/>
      <c r="AA2030" s="195"/>
      <c r="AB2030" s="172"/>
    </row>
    <row r="2031" spans="1:28" ht="12.6" customHeight="1" x14ac:dyDescent="0.3">
      <c r="A2031" s="667"/>
      <c r="B2031" s="668" t="s">
        <v>8079</v>
      </c>
      <c r="C2031" s="160" t="s">
        <v>8080</v>
      </c>
      <c r="D2031" s="160"/>
      <c r="E2031" s="439"/>
      <c r="F2031" s="161">
        <v>270.04907667100002</v>
      </c>
      <c r="G2031" s="161"/>
      <c r="H2031" s="654"/>
      <c r="I2031" s="654"/>
      <c r="J2031" s="191"/>
      <c r="K2031" s="191"/>
      <c r="L2031" s="191"/>
      <c r="M2031" s="191"/>
      <c r="N2031" s="191"/>
      <c r="O2031" s="191"/>
      <c r="P2031" s="191"/>
      <c r="Q2031" s="191"/>
      <c r="R2031" s="191"/>
      <c r="S2031" s="191"/>
      <c r="T2031" s="191"/>
      <c r="U2031" s="439"/>
      <c r="V2031" s="441"/>
      <c r="W2031" s="178"/>
      <c r="X2031" s="172"/>
      <c r="Y2031" s="172"/>
      <c r="Z2031" s="172"/>
      <c r="AA2031" s="195"/>
      <c r="AB2031" s="172"/>
    </row>
    <row r="2032" spans="1:28" ht="12.6" customHeight="1" x14ac:dyDescent="0.3">
      <c r="A2032" s="667"/>
      <c r="B2032" s="668" t="s">
        <v>8081</v>
      </c>
      <c r="C2032" s="160" t="s">
        <v>8082</v>
      </c>
      <c r="D2032" s="160"/>
      <c r="E2032" s="439"/>
      <c r="F2032" s="161">
        <v>350.03646112799998</v>
      </c>
      <c r="G2032" s="161"/>
      <c r="H2032" s="654"/>
      <c r="I2032" s="654"/>
      <c r="J2032" s="191"/>
      <c r="K2032" s="191">
        <v>6469.6382833730604</v>
      </c>
      <c r="L2032" s="191"/>
      <c r="M2032" s="191"/>
      <c r="N2032" s="191"/>
      <c r="O2032" s="191"/>
      <c r="P2032" s="191"/>
      <c r="Q2032" s="191"/>
      <c r="R2032" s="191"/>
      <c r="S2032" s="191"/>
      <c r="T2032" s="191"/>
      <c r="U2032" s="439"/>
      <c r="V2032" s="441"/>
      <c r="W2032" s="178"/>
      <c r="X2032" s="172"/>
      <c r="Y2032" s="172"/>
      <c r="Z2032" s="172"/>
      <c r="AA2032" s="195"/>
      <c r="AB2032" s="172"/>
    </row>
    <row r="2033" spans="1:28" ht="12.6" customHeight="1" x14ac:dyDescent="0.3">
      <c r="A2033" s="667"/>
      <c r="B2033" s="668" t="s">
        <v>8083</v>
      </c>
      <c r="C2033" s="160" t="s">
        <v>8084</v>
      </c>
      <c r="D2033" s="160"/>
      <c r="E2033" s="439"/>
      <c r="F2033" s="161">
        <v>325.97561050000002</v>
      </c>
      <c r="G2033" s="161">
        <v>-29.169</v>
      </c>
      <c r="H2033" s="654">
        <v>269.09312513999998</v>
      </c>
      <c r="I2033" s="654">
        <v>6.9212445523802</v>
      </c>
      <c r="J2033" s="191"/>
      <c r="K2033" s="191">
        <v>1328.8623593443499</v>
      </c>
      <c r="L2033" s="191"/>
      <c r="M2033" s="191"/>
      <c r="N2033" s="191"/>
      <c r="O2033" s="191"/>
      <c r="P2033" s="191"/>
      <c r="Q2033" s="191"/>
      <c r="R2033" s="191"/>
      <c r="S2033" s="191"/>
      <c r="T2033" s="191"/>
      <c r="U2033" s="439"/>
      <c r="V2033" s="441"/>
      <c r="W2033" s="178"/>
      <c r="X2033" s="172"/>
      <c r="Y2033" s="172"/>
      <c r="Z2033" s="172"/>
      <c r="AA2033" s="195"/>
      <c r="AB2033" s="172"/>
    </row>
    <row r="2034" spans="1:28" ht="12.6" customHeight="1" x14ac:dyDescent="0.3">
      <c r="A2034" s="667"/>
      <c r="B2034" s="668" t="s">
        <v>8085</v>
      </c>
      <c r="C2034" s="160" t="s">
        <v>8086</v>
      </c>
      <c r="D2034" s="160"/>
      <c r="E2034" s="439"/>
      <c r="F2034" s="161">
        <v>254.01777654200001</v>
      </c>
      <c r="G2034" s="161">
        <v>-71.915999999999997</v>
      </c>
      <c r="H2034" s="654">
        <v>627.91595594</v>
      </c>
      <c r="I2034" s="654">
        <v>30.822262987829699</v>
      </c>
      <c r="J2034" s="191"/>
      <c r="K2034" s="191">
        <v>89.032793490144101</v>
      </c>
      <c r="L2034" s="191"/>
      <c r="M2034" s="191"/>
      <c r="N2034" s="191"/>
      <c r="O2034" s="191"/>
      <c r="P2034" s="191"/>
      <c r="Q2034" s="191"/>
      <c r="R2034" s="191"/>
      <c r="S2034" s="191"/>
      <c r="T2034" s="191"/>
      <c r="U2034" s="439"/>
      <c r="V2034" s="441"/>
      <c r="W2034" s="178"/>
      <c r="X2034" s="172"/>
      <c r="Y2034" s="172"/>
      <c r="Z2034" s="172"/>
      <c r="AA2034" s="195"/>
      <c r="AB2034" s="172"/>
    </row>
    <row r="2035" spans="1:28" ht="12.6" customHeight="1" x14ac:dyDescent="0.3">
      <c r="A2035" s="667"/>
      <c r="B2035" s="668" t="s">
        <v>8087</v>
      </c>
      <c r="C2035" s="160" t="s">
        <v>8088</v>
      </c>
      <c r="D2035" s="160"/>
      <c r="E2035" s="439">
        <v>2.8</v>
      </c>
      <c r="F2035" s="161">
        <v>288.02325584599998</v>
      </c>
      <c r="G2035" s="161">
        <v>19.710999999999999</v>
      </c>
      <c r="H2035" s="654">
        <v>13.864421424</v>
      </c>
      <c r="I2035" s="654">
        <v>433.93871749014198</v>
      </c>
      <c r="J2035" s="191"/>
      <c r="K2035" s="191">
        <v>25.228416952051202</v>
      </c>
      <c r="L2035" s="191"/>
      <c r="M2035" s="191"/>
      <c r="N2035" s="191"/>
      <c r="O2035" s="191"/>
      <c r="P2035" s="191"/>
      <c r="Q2035" s="191"/>
      <c r="R2035" s="191"/>
      <c r="S2035" s="191"/>
      <c r="T2035" s="191"/>
      <c r="U2035" s="439"/>
      <c r="V2035" s="441"/>
      <c r="W2035" s="178"/>
      <c r="X2035" s="172"/>
      <c r="Y2035" s="172"/>
      <c r="Z2035" s="172"/>
      <c r="AA2035" s="195"/>
      <c r="AB2035" s="172"/>
    </row>
    <row r="2036" spans="1:28" ht="12.6" customHeight="1" x14ac:dyDescent="0.3">
      <c r="A2036" s="667"/>
      <c r="B2036" s="668" t="s">
        <v>8089</v>
      </c>
      <c r="C2036" s="160" t="s">
        <v>8090</v>
      </c>
      <c r="D2036" s="160"/>
      <c r="E2036" s="439"/>
      <c r="F2036" s="161">
        <v>506.01745823599998</v>
      </c>
      <c r="G2036" s="161"/>
      <c r="H2036" s="654"/>
      <c r="I2036" s="654"/>
      <c r="J2036" s="191"/>
      <c r="K2036" s="191">
        <v>67925.055196248897</v>
      </c>
      <c r="L2036" s="191"/>
      <c r="M2036" s="191"/>
      <c r="N2036" s="191"/>
      <c r="O2036" s="191"/>
      <c r="P2036" s="191"/>
      <c r="Q2036" s="191"/>
      <c r="R2036" s="191"/>
      <c r="S2036" s="191"/>
      <c r="T2036" s="191"/>
      <c r="U2036" s="439"/>
      <c r="V2036" s="441"/>
      <c r="W2036" s="178"/>
      <c r="X2036" s="172"/>
      <c r="Y2036" s="172"/>
      <c r="Z2036" s="172"/>
      <c r="AA2036" s="195"/>
      <c r="AB2036" s="172"/>
    </row>
    <row r="2037" spans="1:28" ht="12.6" customHeight="1" x14ac:dyDescent="0.3">
      <c r="A2037" s="667"/>
      <c r="B2037" s="668" t="s">
        <v>8091</v>
      </c>
      <c r="C2037" s="160" t="s">
        <v>8092</v>
      </c>
      <c r="D2037" s="160"/>
      <c r="E2037" s="439">
        <v>40.792000000000002</v>
      </c>
      <c r="F2037" s="161">
        <v>406.02384558400001</v>
      </c>
      <c r="G2037" s="161">
        <v>-61.866</v>
      </c>
      <c r="H2037" s="654">
        <v>41.200497660000003</v>
      </c>
      <c r="I2037" s="654">
        <v>3.3078925109266701</v>
      </c>
      <c r="J2037" s="191"/>
      <c r="K2037" s="191">
        <v>18523.796446862601</v>
      </c>
      <c r="L2037" s="191"/>
      <c r="M2037" s="191"/>
      <c r="N2037" s="191"/>
      <c r="O2037" s="191"/>
      <c r="P2037" s="191"/>
      <c r="Q2037" s="191"/>
      <c r="R2037" s="191"/>
      <c r="S2037" s="191"/>
      <c r="T2037" s="191"/>
      <c r="U2037" s="439"/>
      <c r="V2037" s="441"/>
      <c r="W2037" s="178"/>
      <c r="X2037" s="172"/>
      <c r="Y2037" s="172"/>
      <c r="Z2037" s="172"/>
      <c r="AA2037" s="195"/>
      <c r="AB2037" s="172"/>
    </row>
    <row r="2038" spans="1:28" ht="12.6" customHeight="1" x14ac:dyDescent="0.3">
      <c r="A2038" s="667"/>
      <c r="B2038" s="668" t="s">
        <v>8093</v>
      </c>
      <c r="C2038" s="160" t="s">
        <v>8094</v>
      </c>
      <c r="D2038" s="160"/>
      <c r="E2038" s="439"/>
      <c r="F2038" s="161">
        <v>306.03023293199999</v>
      </c>
      <c r="G2038" s="161">
        <v>-68.632000000000005</v>
      </c>
      <c r="H2038" s="654">
        <v>324.26576840000001</v>
      </c>
      <c r="I2038" s="654">
        <v>7.7404226815490702</v>
      </c>
      <c r="J2038" s="191"/>
      <c r="K2038" s="191">
        <v>1238.62545227897</v>
      </c>
      <c r="L2038" s="191"/>
      <c r="M2038" s="191"/>
      <c r="N2038" s="191"/>
      <c r="O2038" s="191"/>
      <c r="P2038" s="191"/>
      <c r="Q2038" s="191"/>
      <c r="R2038" s="191"/>
      <c r="S2038" s="191"/>
      <c r="T2038" s="191"/>
      <c r="U2038" s="439"/>
      <c r="V2038" s="441"/>
      <c r="W2038" s="178"/>
      <c r="X2038" s="172"/>
      <c r="Y2038" s="172"/>
      <c r="Z2038" s="172"/>
      <c r="AA2038" s="195"/>
      <c r="AB2038" s="172"/>
    </row>
    <row r="2039" spans="1:28" ht="12.6" customHeight="1" x14ac:dyDescent="0.3">
      <c r="A2039" s="667"/>
      <c r="B2039" s="668" t="s">
        <v>8095</v>
      </c>
      <c r="C2039" s="160" t="s">
        <v>8096</v>
      </c>
      <c r="D2039" s="160"/>
      <c r="E2039" s="439"/>
      <c r="F2039" s="161">
        <v>256.03342660599998</v>
      </c>
      <c r="G2039" s="161"/>
      <c r="H2039" s="654"/>
      <c r="I2039" s="654"/>
      <c r="J2039" s="191"/>
      <c r="K2039" s="191">
        <v>154.39740615425401</v>
      </c>
      <c r="L2039" s="191"/>
      <c r="M2039" s="191"/>
      <c r="N2039" s="191"/>
      <c r="O2039" s="191"/>
      <c r="P2039" s="191"/>
      <c r="Q2039" s="191"/>
      <c r="R2039" s="191"/>
      <c r="S2039" s="191"/>
      <c r="T2039" s="191"/>
      <c r="U2039" s="439"/>
      <c r="V2039" s="441"/>
      <c r="W2039" s="178"/>
      <c r="X2039" s="172"/>
      <c r="Y2039" s="172"/>
      <c r="Z2039" s="172"/>
      <c r="AA2039" s="195"/>
      <c r="AB2039" s="172"/>
    </row>
    <row r="2040" spans="1:28" ht="12.6" customHeight="1" x14ac:dyDescent="0.3">
      <c r="A2040" s="667"/>
      <c r="B2040" s="668" t="s">
        <v>8097</v>
      </c>
      <c r="C2040" s="160" t="s">
        <v>8098</v>
      </c>
      <c r="D2040" s="160"/>
      <c r="E2040" s="439"/>
      <c r="F2040" s="161">
        <v>258.01269116200001</v>
      </c>
      <c r="G2040" s="161"/>
      <c r="H2040" s="654"/>
      <c r="I2040" s="654"/>
      <c r="J2040" s="191"/>
      <c r="K2040" s="191">
        <v>65.499803936411993</v>
      </c>
      <c r="L2040" s="191"/>
      <c r="M2040" s="191"/>
      <c r="N2040" s="191"/>
      <c r="O2040" s="191"/>
      <c r="P2040" s="191"/>
      <c r="Q2040" s="191"/>
      <c r="R2040" s="191"/>
      <c r="S2040" s="191"/>
      <c r="T2040" s="191"/>
      <c r="U2040" s="439"/>
      <c r="V2040" s="441"/>
      <c r="W2040" s="178"/>
      <c r="X2040" s="172"/>
      <c r="Y2040" s="172"/>
      <c r="Z2040" s="172"/>
      <c r="AA2040" s="195"/>
      <c r="AB2040" s="172"/>
    </row>
    <row r="2041" spans="1:28" ht="12.6" customHeight="1" x14ac:dyDescent="0.3">
      <c r="A2041" s="667"/>
      <c r="B2041" s="668" t="s">
        <v>8099</v>
      </c>
      <c r="C2041" s="160" t="s">
        <v>8100</v>
      </c>
      <c r="D2041" s="160"/>
      <c r="E2041" s="439"/>
      <c r="F2041" s="161">
        <v>408.039495649</v>
      </c>
      <c r="G2041" s="161">
        <v>-85.534000000000006</v>
      </c>
      <c r="H2041" s="654">
        <v>129.39033422</v>
      </c>
      <c r="I2041" s="654">
        <v>7.15652310628868</v>
      </c>
      <c r="J2041" s="191"/>
      <c r="K2041" s="191">
        <v>12543.5365609284</v>
      </c>
      <c r="L2041" s="191"/>
      <c r="M2041" s="191"/>
      <c r="N2041" s="191"/>
      <c r="O2041" s="191"/>
      <c r="P2041" s="191"/>
      <c r="Q2041" s="191"/>
      <c r="R2041" s="191"/>
      <c r="S2041" s="191"/>
      <c r="T2041" s="191"/>
      <c r="U2041" s="439"/>
      <c r="V2041" s="441"/>
      <c r="W2041" s="178"/>
      <c r="X2041" s="172"/>
      <c r="Y2041" s="172"/>
      <c r="Z2041" s="172"/>
      <c r="AA2041" s="195"/>
      <c r="AB2041" s="172"/>
    </row>
    <row r="2042" spans="1:28" ht="12.6" customHeight="1" x14ac:dyDescent="0.3">
      <c r="A2042" s="667"/>
      <c r="B2042" s="668" t="s">
        <v>8101</v>
      </c>
      <c r="C2042" s="160" t="s">
        <v>8102</v>
      </c>
      <c r="D2042" s="160"/>
      <c r="E2042" s="439"/>
      <c r="F2042" s="161">
        <v>312.00082450999997</v>
      </c>
      <c r="G2042" s="161"/>
      <c r="H2042" s="654"/>
      <c r="I2042" s="654"/>
      <c r="J2042" s="191"/>
      <c r="K2042" s="191">
        <v>2173.4016878748198</v>
      </c>
      <c r="L2042" s="191"/>
      <c r="M2042" s="191"/>
      <c r="N2042" s="191"/>
      <c r="O2042" s="191"/>
      <c r="P2042" s="191"/>
      <c r="Q2042" s="191"/>
      <c r="R2042" s="191"/>
      <c r="S2042" s="191"/>
      <c r="T2042" s="191"/>
      <c r="U2042" s="439"/>
      <c r="V2042" s="441"/>
      <c r="W2042" s="178"/>
      <c r="X2042" s="172"/>
      <c r="Y2042" s="172"/>
      <c r="Z2042" s="172"/>
      <c r="AA2042" s="195"/>
      <c r="AB2042" s="172"/>
    </row>
    <row r="2043" spans="1:28" ht="12.6" customHeight="1" x14ac:dyDescent="0.3">
      <c r="A2043" s="667"/>
      <c r="B2043" s="668" t="s">
        <v>8103</v>
      </c>
      <c r="C2043" s="160" t="s">
        <v>8104</v>
      </c>
      <c r="D2043" s="160"/>
      <c r="E2043" s="439">
        <v>5.39</v>
      </c>
      <c r="F2043" s="161">
        <v>230.01777654200001</v>
      </c>
      <c r="G2043" s="161"/>
      <c r="H2043" s="654"/>
      <c r="I2043" s="654"/>
      <c r="J2043" s="191"/>
      <c r="K2043" s="191">
        <v>83.053894142164097</v>
      </c>
      <c r="L2043" s="191"/>
      <c r="M2043" s="191"/>
      <c r="N2043" s="191"/>
      <c r="O2043" s="191"/>
      <c r="P2043" s="191"/>
      <c r="Q2043" s="191"/>
      <c r="R2043" s="191"/>
      <c r="S2043" s="191"/>
      <c r="T2043" s="191"/>
      <c r="U2043" s="439"/>
      <c r="V2043" s="441"/>
      <c r="W2043" s="178"/>
      <c r="X2043" s="172"/>
      <c r="Y2043" s="172"/>
      <c r="Z2043" s="172"/>
      <c r="AA2043" s="195"/>
      <c r="AB2043" s="172"/>
    </row>
    <row r="2044" spans="1:28" ht="12.6" customHeight="1" x14ac:dyDescent="0.3">
      <c r="A2044" s="667"/>
      <c r="B2044" s="668" t="s">
        <v>8105</v>
      </c>
      <c r="C2044" s="160" t="s">
        <v>8106</v>
      </c>
      <c r="D2044" s="160"/>
      <c r="E2044" s="439"/>
      <c r="F2044" s="161">
        <v>351.02608880000003</v>
      </c>
      <c r="G2044" s="161">
        <v>5.306</v>
      </c>
      <c r="H2044" s="654">
        <v>0.20040163108</v>
      </c>
      <c r="I2044" s="654">
        <v>0.79129705041651199</v>
      </c>
      <c r="J2044" s="191"/>
      <c r="K2044" s="191">
        <v>12494.244488308999</v>
      </c>
      <c r="L2044" s="191"/>
      <c r="M2044" s="191"/>
      <c r="N2044" s="191"/>
      <c r="O2044" s="191"/>
      <c r="P2044" s="191"/>
      <c r="Q2044" s="191"/>
      <c r="R2044" s="191"/>
      <c r="S2044" s="191"/>
      <c r="T2044" s="191"/>
      <c r="U2044" s="439"/>
      <c r="V2044" s="441"/>
      <c r="W2044" s="178"/>
      <c r="X2044" s="172"/>
      <c r="Y2044" s="172"/>
      <c r="Z2044" s="172"/>
      <c r="AA2044" s="195"/>
      <c r="AB2044" s="172"/>
    </row>
    <row r="2045" spans="1:28" ht="12.6" customHeight="1" x14ac:dyDescent="0.3">
      <c r="A2045" s="667"/>
      <c r="B2045" s="668" t="s">
        <v>8107</v>
      </c>
      <c r="C2045" s="160" t="s">
        <v>8108</v>
      </c>
      <c r="D2045" s="160"/>
      <c r="E2045" s="439"/>
      <c r="F2045" s="161">
        <v>428.93660199999999</v>
      </c>
      <c r="G2045" s="161">
        <v>8.3179999999999996</v>
      </c>
      <c r="H2045" s="654">
        <v>3.8185820596000002E-2</v>
      </c>
      <c r="I2045" s="654">
        <v>0.61857805247623998</v>
      </c>
      <c r="J2045" s="191"/>
      <c r="K2045" s="191">
        <v>41952.708068715503</v>
      </c>
      <c r="L2045" s="191"/>
      <c r="M2045" s="191"/>
      <c r="N2045" s="191"/>
      <c r="O2045" s="191"/>
      <c r="P2045" s="191"/>
      <c r="Q2045" s="191"/>
      <c r="R2045" s="191"/>
      <c r="S2045" s="191"/>
      <c r="T2045" s="191"/>
      <c r="U2045" s="439"/>
      <c r="V2045" s="441"/>
      <c r="W2045" s="178"/>
      <c r="X2045" s="172"/>
      <c r="Y2045" s="172"/>
      <c r="Z2045" s="172"/>
      <c r="AA2045" s="195"/>
      <c r="AB2045" s="172"/>
    </row>
    <row r="2046" spans="1:28" ht="12.6" customHeight="1" x14ac:dyDescent="0.3">
      <c r="A2046" s="667"/>
      <c r="B2046" s="668" t="s">
        <v>8109</v>
      </c>
      <c r="C2046" s="160" t="s">
        <v>8110</v>
      </c>
      <c r="D2046" s="160"/>
      <c r="E2046" s="439"/>
      <c r="F2046" s="161">
        <v>784.10368640000002</v>
      </c>
      <c r="G2046" s="161">
        <v>36.673999999999999</v>
      </c>
      <c r="H2046" s="654">
        <v>6.6054384899999895E-5</v>
      </c>
      <c r="I2046" s="654">
        <v>1.9380847637486001E-4</v>
      </c>
      <c r="J2046" s="191"/>
      <c r="K2046" s="191">
        <v>2556701345.5304499</v>
      </c>
      <c r="L2046" s="191"/>
      <c r="M2046" s="191"/>
      <c r="N2046" s="191"/>
      <c r="O2046" s="191"/>
      <c r="P2046" s="191"/>
      <c r="Q2046" s="191"/>
      <c r="R2046" s="191"/>
      <c r="S2046" s="191"/>
      <c r="T2046" s="191"/>
      <c r="U2046" s="439"/>
      <c r="V2046" s="441"/>
      <c r="W2046" s="178"/>
      <c r="X2046" s="172"/>
      <c r="Y2046" s="172"/>
      <c r="Z2046" s="172"/>
      <c r="AA2046" s="195"/>
      <c r="AB2046" s="172"/>
    </row>
    <row r="2047" spans="1:28" ht="12.6" customHeight="1" x14ac:dyDescent="0.3">
      <c r="A2047" s="667"/>
      <c r="B2047" s="668" t="s">
        <v>8111</v>
      </c>
      <c r="C2047" s="160" t="s">
        <v>8112</v>
      </c>
      <c r="D2047" s="160"/>
      <c r="E2047" s="439">
        <v>75.198999999999998</v>
      </c>
      <c r="F2047" s="161">
        <v>754.09312169999998</v>
      </c>
      <c r="G2047" s="161"/>
      <c r="H2047" s="654"/>
      <c r="I2047" s="654"/>
      <c r="J2047" s="191"/>
      <c r="K2047" s="191">
        <v>2692836591.09903</v>
      </c>
      <c r="L2047" s="191"/>
      <c r="M2047" s="191"/>
      <c r="N2047" s="191"/>
      <c r="O2047" s="191"/>
      <c r="P2047" s="191"/>
      <c r="Q2047" s="191"/>
      <c r="R2047" s="191"/>
      <c r="S2047" s="191"/>
      <c r="T2047" s="191"/>
      <c r="U2047" s="439"/>
      <c r="V2047" s="441"/>
      <c r="W2047" s="178"/>
      <c r="X2047" s="172"/>
      <c r="Y2047" s="172"/>
      <c r="Z2047" s="172"/>
      <c r="AA2047" s="195"/>
      <c r="AB2047" s="172"/>
    </row>
    <row r="2048" spans="1:28" ht="12.6" customHeight="1" x14ac:dyDescent="0.3">
      <c r="A2048" s="667"/>
      <c r="B2048" s="668" t="s">
        <v>8113</v>
      </c>
      <c r="C2048" s="160" t="s">
        <v>8114</v>
      </c>
      <c r="D2048" s="160"/>
      <c r="E2048" s="439">
        <v>8.36</v>
      </c>
      <c r="F2048" s="161">
        <v>766.13757337200002</v>
      </c>
      <c r="G2048" s="161">
        <v>46.911999999999999</v>
      </c>
      <c r="H2048" s="654">
        <v>2.7033435296E-5</v>
      </c>
      <c r="I2048" s="654">
        <v>5.22765545677077E-4</v>
      </c>
      <c r="J2048" s="191"/>
      <c r="K2048" s="191">
        <v>12548736499.304701</v>
      </c>
      <c r="L2048" s="191"/>
      <c r="M2048" s="191"/>
      <c r="N2048" s="191"/>
      <c r="O2048" s="191"/>
      <c r="P2048" s="191"/>
      <c r="Q2048" s="191"/>
      <c r="R2048" s="191"/>
      <c r="S2048" s="191"/>
      <c r="T2048" s="191"/>
      <c r="U2048" s="439"/>
      <c r="V2048" s="441"/>
      <c r="W2048" s="178"/>
      <c r="X2048" s="172"/>
      <c r="Y2048" s="172"/>
      <c r="Z2048" s="172"/>
      <c r="AA2048" s="195"/>
      <c r="AB2048" s="172"/>
    </row>
    <row r="2049" spans="1:28" ht="12.6" customHeight="1" x14ac:dyDescent="0.3">
      <c r="A2049" s="667"/>
      <c r="B2049" s="668" t="s">
        <v>8115</v>
      </c>
      <c r="C2049" s="160" t="s">
        <v>8116</v>
      </c>
      <c r="D2049" s="160"/>
      <c r="E2049" s="439">
        <v>11</v>
      </c>
      <c r="F2049" s="161">
        <v>1190.3251304190001</v>
      </c>
      <c r="G2049" s="161"/>
      <c r="H2049" s="654"/>
      <c r="I2049" s="654"/>
      <c r="J2049" s="191"/>
      <c r="K2049" s="191">
        <v>920576.74534557504</v>
      </c>
      <c r="L2049" s="191"/>
      <c r="M2049" s="191"/>
      <c r="N2049" s="191"/>
      <c r="O2049" s="191"/>
      <c r="P2049" s="191"/>
      <c r="Q2049" s="191"/>
      <c r="R2049" s="191"/>
      <c r="S2049" s="191"/>
      <c r="T2049" s="191"/>
      <c r="U2049" s="439"/>
      <c r="V2049" s="441"/>
      <c r="W2049" s="178"/>
      <c r="X2049" s="172"/>
      <c r="Y2049" s="172"/>
      <c r="Z2049" s="172"/>
      <c r="AA2049" s="195"/>
      <c r="AB2049" s="172"/>
    </row>
    <row r="2050" spans="1:28" ht="12.6" customHeight="1" x14ac:dyDescent="0.3">
      <c r="A2050" s="667"/>
      <c r="B2050" s="668" t="s">
        <v>8117</v>
      </c>
      <c r="C2050" s="160" t="s">
        <v>8118</v>
      </c>
      <c r="D2050" s="160"/>
      <c r="E2050" s="439">
        <v>16</v>
      </c>
      <c r="F2050" s="161">
        <v>1279.3516795200001</v>
      </c>
      <c r="G2050" s="161"/>
      <c r="H2050" s="654"/>
      <c r="I2050" s="654"/>
      <c r="J2050" s="191"/>
      <c r="K2050" s="191">
        <v>174381.335746583</v>
      </c>
      <c r="L2050" s="191"/>
      <c r="M2050" s="191"/>
      <c r="N2050" s="191"/>
      <c r="O2050" s="191"/>
      <c r="P2050" s="191"/>
      <c r="Q2050" s="191"/>
      <c r="R2050" s="191"/>
      <c r="S2050" s="191"/>
      <c r="T2050" s="191"/>
      <c r="U2050" s="439"/>
      <c r="V2050" s="441"/>
      <c r="W2050" s="178"/>
      <c r="X2050" s="172"/>
      <c r="Y2050" s="172"/>
      <c r="Z2050" s="172"/>
      <c r="AA2050" s="195"/>
      <c r="AB2050" s="172"/>
    </row>
    <row r="2051" spans="1:28" ht="12.6" customHeight="1" x14ac:dyDescent="0.3">
      <c r="A2051" s="667"/>
      <c r="B2051" s="668" t="s">
        <v>8119</v>
      </c>
      <c r="C2051" s="160" t="s">
        <v>8120</v>
      </c>
      <c r="D2051" s="160"/>
      <c r="E2051" s="439">
        <v>74</v>
      </c>
      <c r="F2051" s="161">
        <v>1285.373477592</v>
      </c>
      <c r="G2051" s="161"/>
      <c r="H2051" s="654"/>
      <c r="I2051" s="654"/>
      <c r="J2051" s="191"/>
      <c r="K2051" s="191">
        <v>27504.895546636501</v>
      </c>
      <c r="L2051" s="191"/>
      <c r="M2051" s="191"/>
      <c r="N2051" s="191"/>
      <c r="O2051" s="191"/>
      <c r="P2051" s="191"/>
      <c r="Q2051" s="191"/>
      <c r="R2051" s="191"/>
      <c r="S2051" s="191"/>
      <c r="T2051" s="191"/>
      <c r="U2051" s="439"/>
      <c r="V2051" s="441"/>
      <c r="W2051" s="178"/>
      <c r="X2051" s="172"/>
      <c r="Y2051" s="172"/>
      <c r="Z2051" s="172"/>
      <c r="AA2051" s="195"/>
      <c r="AB2051" s="172"/>
    </row>
    <row r="2052" spans="1:28" ht="12.6" customHeight="1" x14ac:dyDescent="0.3">
      <c r="A2052" s="667"/>
      <c r="B2052" s="668" t="s">
        <v>8121</v>
      </c>
      <c r="C2052" s="160" t="s">
        <v>8122</v>
      </c>
      <c r="D2052" s="160"/>
      <c r="E2052" s="439">
        <v>72</v>
      </c>
      <c r="F2052" s="161">
        <v>1255.362912908</v>
      </c>
      <c r="G2052" s="161"/>
      <c r="H2052" s="654"/>
      <c r="I2052" s="654"/>
      <c r="J2052" s="191"/>
      <c r="K2052" s="191">
        <v>26891.188685665798</v>
      </c>
      <c r="L2052" s="191"/>
      <c r="M2052" s="191"/>
      <c r="N2052" s="191"/>
      <c r="O2052" s="191"/>
      <c r="P2052" s="191"/>
      <c r="Q2052" s="191"/>
      <c r="R2052" s="191"/>
      <c r="S2052" s="191"/>
      <c r="T2052" s="191"/>
      <c r="U2052" s="439"/>
      <c r="V2052" s="441"/>
      <c r="W2052" s="178"/>
      <c r="X2052" s="172"/>
      <c r="Y2052" s="172"/>
      <c r="Z2052" s="172"/>
      <c r="AA2052" s="195"/>
      <c r="AB2052" s="172"/>
    </row>
    <row r="2053" spans="1:28" ht="12.6" customHeight="1" x14ac:dyDescent="0.3">
      <c r="A2053" s="667"/>
      <c r="B2053" s="668" t="s">
        <v>8123</v>
      </c>
      <c r="C2053" s="160" t="s">
        <v>8124</v>
      </c>
      <c r="D2053" s="160"/>
      <c r="E2053" s="439">
        <v>6.57</v>
      </c>
      <c r="F2053" s="161">
        <v>657.04440126099996</v>
      </c>
      <c r="G2053" s="161"/>
      <c r="H2053" s="654"/>
      <c r="I2053" s="654"/>
      <c r="J2053" s="191"/>
      <c r="K2053" s="191">
        <v>734108.07292878698</v>
      </c>
      <c r="L2053" s="191"/>
      <c r="M2053" s="191"/>
      <c r="N2053" s="191"/>
      <c r="O2053" s="191"/>
      <c r="P2053" s="191"/>
      <c r="Q2053" s="191"/>
      <c r="R2053" s="191"/>
      <c r="S2053" s="191"/>
      <c r="T2053" s="191"/>
      <c r="U2053" s="439"/>
      <c r="V2053" s="441"/>
      <c r="W2053" s="178"/>
      <c r="X2053" s="172"/>
      <c r="Y2053" s="172"/>
      <c r="Z2053" s="172"/>
      <c r="AA2053" s="195"/>
      <c r="AB2053" s="172"/>
    </row>
    <row r="2054" spans="1:28" ht="12.6" customHeight="1" x14ac:dyDescent="0.3">
      <c r="A2054" s="667"/>
      <c r="B2054" s="668" t="s">
        <v>8125</v>
      </c>
      <c r="C2054" s="160" t="s">
        <v>8126</v>
      </c>
      <c r="D2054" s="160"/>
      <c r="E2054" s="439">
        <v>6.43</v>
      </c>
      <c r="F2054" s="161">
        <v>659.06005132600001</v>
      </c>
      <c r="G2054" s="161"/>
      <c r="H2054" s="654"/>
      <c r="I2054" s="654"/>
      <c r="J2054" s="191"/>
      <c r="K2054" s="191">
        <v>610168.80432104005</v>
      </c>
      <c r="L2054" s="191"/>
      <c r="M2054" s="191"/>
      <c r="N2054" s="191"/>
      <c r="O2054" s="191"/>
      <c r="P2054" s="191"/>
      <c r="Q2054" s="191"/>
      <c r="R2054" s="191"/>
      <c r="S2054" s="191"/>
      <c r="T2054" s="191"/>
      <c r="U2054" s="439"/>
      <c r="V2054" s="441"/>
      <c r="W2054" s="178"/>
      <c r="X2054" s="172"/>
      <c r="Y2054" s="172"/>
      <c r="Z2054" s="172"/>
      <c r="AA2054" s="195"/>
      <c r="AB2054" s="172"/>
    </row>
    <row r="2055" spans="1:28" ht="12.6" customHeight="1" x14ac:dyDescent="0.3">
      <c r="A2055" s="667"/>
      <c r="B2055" s="668" t="s">
        <v>8127</v>
      </c>
      <c r="C2055" s="160" t="s">
        <v>8128</v>
      </c>
      <c r="D2055" s="160"/>
      <c r="E2055" s="439"/>
      <c r="F2055" s="161">
        <v>258.02909011700001</v>
      </c>
      <c r="G2055" s="161"/>
      <c r="H2055" s="654"/>
      <c r="I2055" s="654"/>
      <c r="J2055" s="191"/>
      <c r="K2055" s="191"/>
      <c r="L2055" s="191"/>
      <c r="M2055" s="191"/>
      <c r="N2055" s="191"/>
      <c r="O2055" s="191"/>
      <c r="P2055" s="191"/>
      <c r="Q2055" s="191"/>
      <c r="R2055" s="191"/>
      <c r="S2055" s="191"/>
      <c r="T2055" s="191"/>
      <c r="U2055" s="439"/>
      <c r="V2055" s="441"/>
      <c r="W2055" s="178"/>
      <c r="X2055" s="172"/>
      <c r="Y2055" s="172"/>
      <c r="Z2055" s="172"/>
      <c r="AA2055" s="195"/>
      <c r="AB2055" s="172"/>
    </row>
    <row r="2056" spans="1:28" ht="12.6" customHeight="1" x14ac:dyDescent="0.3">
      <c r="A2056" s="667"/>
      <c r="B2056" s="668" t="s">
        <v>8129</v>
      </c>
      <c r="C2056" s="160" t="s">
        <v>8130</v>
      </c>
      <c r="D2056" s="160"/>
      <c r="E2056" s="439">
        <v>7.1</v>
      </c>
      <c r="F2056" s="161">
        <v>1004.262653692</v>
      </c>
      <c r="G2056" s="161"/>
      <c r="H2056" s="654"/>
      <c r="I2056" s="654"/>
      <c r="J2056" s="191"/>
      <c r="K2056" s="191">
        <v>20577.376317719099</v>
      </c>
      <c r="L2056" s="191"/>
      <c r="M2056" s="191"/>
      <c r="N2056" s="191"/>
      <c r="O2056" s="191"/>
      <c r="P2056" s="191"/>
      <c r="Q2056" s="191"/>
      <c r="R2056" s="191"/>
      <c r="S2056" s="191"/>
      <c r="T2056" s="191"/>
      <c r="U2056" s="439"/>
      <c r="V2056" s="441"/>
      <c r="W2056" s="178"/>
      <c r="X2056" s="172"/>
      <c r="Y2056" s="172"/>
      <c r="Z2056" s="172"/>
      <c r="AA2056" s="195"/>
      <c r="AB2056" s="172"/>
    </row>
    <row r="2057" spans="1:28" ht="12.6" customHeight="1" x14ac:dyDescent="0.3">
      <c r="A2057" s="667"/>
      <c r="B2057" s="668" t="s">
        <v>8131</v>
      </c>
      <c r="C2057" s="160" t="s">
        <v>8132</v>
      </c>
      <c r="D2057" s="160"/>
      <c r="E2057" s="439">
        <v>7.62</v>
      </c>
      <c r="F2057" s="161">
        <v>954.265847366</v>
      </c>
      <c r="G2057" s="161"/>
      <c r="H2057" s="654"/>
      <c r="I2057" s="654"/>
      <c r="J2057" s="191"/>
      <c r="K2057" s="191">
        <v>330422.79460705601</v>
      </c>
      <c r="L2057" s="191"/>
      <c r="M2057" s="191"/>
      <c r="N2057" s="191"/>
      <c r="O2057" s="191"/>
      <c r="P2057" s="191"/>
      <c r="Q2057" s="191"/>
      <c r="R2057" s="191"/>
      <c r="S2057" s="191"/>
      <c r="T2057" s="191"/>
      <c r="U2057" s="439"/>
      <c r="V2057" s="441"/>
      <c r="W2057" s="178"/>
      <c r="X2057" s="172"/>
      <c r="Y2057" s="172"/>
      <c r="Z2057" s="172"/>
      <c r="AA2057" s="195"/>
      <c r="AB2057" s="172"/>
    </row>
    <row r="2058" spans="1:28" ht="12.6" customHeight="1" x14ac:dyDescent="0.3">
      <c r="A2058" s="667"/>
      <c r="B2058" s="668" t="s">
        <v>8133</v>
      </c>
      <c r="C2058" s="160" t="s">
        <v>8134</v>
      </c>
      <c r="D2058" s="160"/>
      <c r="E2058" s="439"/>
      <c r="F2058" s="161">
        <v>1154.2530726699999</v>
      </c>
      <c r="G2058" s="161"/>
      <c r="H2058" s="654"/>
      <c r="I2058" s="654"/>
      <c r="J2058" s="191"/>
      <c r="K2058" s="191">
        <v>253594.59911488701</v>
      </c>
      <c r="L2058" s="191"/>
      <c r="M2058" s="191"/>
      <c r="N2058" s="191"/>
      <c r="O2058" s="191"/>
      <c r="P2058" s="191"/>
      <c r="Q2058" s="191"/>
      <c r="R2058" s="191"/>
      <c r="S2058" s="191"/>
      <c r="T2058" s="191"/>
      <c r="U2058" s="439"/>
      <c r="V2058" s="441"/>
      <c r="W2058" s="178"/>
      <c r="X2058" s="172"/>
      <c r="Y2058" s="172"/>
      <c r="Z2058" s="172"/>
      <c r="AA2058" s="195"/>
      <c r="AB2058" s="172"/>
    </row>
    <row r="2059" spans="1:28" ht="12.6" customHeight="1" x14ac:dyDescent="0.3">
      <c r="A2059" s="667"/>
      <c r="B2059" s="668" t="s">
        <v>8135</v>
      </c>
      <c r="C2059" s="160" t="s">
        <v>8136</v>
      </c>
      <c r="D2059" s="160"/>
      <c r="E2059" s="439">
        <v>40</v>
      </c>
      <c r="F2059" s="161">
        <v>1104.2562663440001</v>
      </c>
      <c r="G2059" s="161"/>
      <c r="H2059" s="654"/>
      <c r="I2059" s="654"/>
      <c r="J2059" s="191"/>
      <c r="K2059" s="191">
        <v>15350.764177630301</v>
      </c>
      <c r="L2059" s="191"/>
      <c r="M2059" s="191"/>
      <c r="N2059" s="191"/>
      <c r="O2059" s="191"/>
      <c r="P2059" s="191"/>
      <c r="Q2059" s="191"/>
      <c r="R2059" s="191"/>
      <c r="S2059" s="191"/>
      <c r="T2059" s="191"/>
      <c r="U2059" s="439"/>
      <c r="V2059" s="441"/>
      <c r="W2059" s="178"/>
      <c r="X2059" s="172"/>
      <c r="Y2059" s="172"/>
      <c r="Z2059" s="172"/>
      <c r="AA2059" s="195"/>
      <c r="AB2059" s="172"/>
    </row>
    <row r="2060" spans="1:28" ht="12.6" customHeight="1" x14ac:dyDescent="0.3">
      <c r="A2060" s="667"/>
      <c r="B2060" s="668" t="s">
        <v>8137</v>
      </c>
      <c r="C2060" s="160" t="s">
        <v>8138</v>
      </c>
      <c r="D2060" s="160"/>
      <c r="E2060" s="439">
        <v>7.1</v>
      </c>
      <c r="F2060" s="161">
        <v>904.26904104000005</v>
      </c>
      <c r="G2060" s="161"/>
      <c r="H2060" s="654"/>
      <c r="I2060" s="654"/>
      <c r="J2060" s="191"/>
      <c r="K2060" s="191">
        <v>20854.5104769317</v>
      </c>
      <c r="L2060" s="191"/>
      <c r="M2060" s="191"/>
      <c r="N2060" s="191"/>
      <c r="O2060" s="191"/>
      <c r="P2060" s="191"/>
      <c r="Q2060" s="191"/>
      <c r="R2060" s="191"/>
      <c r="S2060" s="191"/>
      <c r="T2060" s="191"/>
      <c r="U2060" s="439"/>
      <c r="V2060" s="441"/>
      <c r="W2060" s="178"/>
      <c r="X2060" s="172"/>
      <c r="Y2060" s="172"/>
      <c r="Z2060" s="172"/>
      <c r="AA2060" s="195"/>
      <c r="AB2060" s="172"/>
    </row>
    <row r="2061" spans="1:28" ht="12.6" customHeight="1" x14ac:dyDescent="0.3">
      <c r="A2061" s="667"/>
      <c r="B2061" s="668" t="s">
        <v>8139</v>
      </c>
      <c r="C2061" s="160" t="s">
        <v>8140</v>
      </c>
      <c r="D2061" s="160"/>
      <c r="E2061" s="439"/>
      <c r="F2061" s="161">
        <v>656.00322260300004</v>
      </c>
      <c r="G2061" s="161"/>
      <c r="H2061" s="654"/>
      <c r="I2061" s="654"/>
      <c r="J2061" s="191"/>
      <c r="K2061" s="191">
        <v>352070.79423832602</v>
      </c>
      <c r="L2061" s="191"/>
      <c r="M2061" s="191"/>
      <c r="N2061" s="191"/>
      <c r="O2061" s="191"/>
      <c r="P2061" s="191"/>
      <c r="Q2061" s="191"/>
      <c r="R2061" s="191"/>
      <c r="S2061" s="191"/>
      <c r="T2061" s="191"/>
      <c r="U2061" s="439"/>
      <c r="V2061" s="441"/>
      <c r="W2061" s="178"/>
      <c r="X2061" s="172"/>
      <c r="Y2061" s="172"/>
      <c r="Z2061" s="172"/>
      <c r="AA2061" s="195"/>
      <c r="AB2061" s="172"/>
    </row>
    <row r="2062" spans="1:28" ht="12.6" customHeight="1" x14ac:dyDescent="0.3">
      <c r="A2062" s="667"/>
      <c r="B2062" s="668" t="s">
        <v>8141</v>
      </c>
      <c r="C2062" s="160" t="s">
        <v>8142</v>
      </c>
      <c r="D2062" s="160"/>
      <c r="E2062" s="439"/>
      <c r="F2062" s="161">
        <v>556.00960995100002</v>
      </c>
      <c r="G2062" s="161"/>
      <c r="H2062" s="654"/>
      <c r="I2062" s="654"/>
      <c r="J2062" s="191"/>
      <c r="K2062" s="191">
        <v>327997.09705763101</v>
      </c>
      <c r="L2062" s="191"/>
      <c r="M2062" s="191"/>
      <c r="N2062" s="191"/>
      <c r="O2062" s="191"/>
      <c r="P2062" s="191"/>
      <c r="Q2062" s="191"/>
      <c r="R2062" s="191"/>
      <c r="S2062" s="191"/>
      <c r="T2062" s="191"/>
      <c r="U2062" s="439"/>
      <c r="V2062" s="441"/>
      <c r="W2062" s="178"/>
      <c r="X2062" s="172"/>
      <c r="Y2062" s="172"/>
      <c r="Z2062" s="172"/>
      <c r="AA2062" s="195"/>
      <c r="AB2062" s="172"/>
    </row>
    <row r="2063" spans="1:28" ht="12.6" customHeight="1" x14ac:dyDescent="0.3">
      <c r="A2063" s="667"/>
      <c r="B2063" s="668" t="s">
        <v>8143</v>
      </c>
      <c r="C2063" s="160" t="s">
        <v>8144</v>
      </c>
      <c r="D2063" s="160"/>
      <c r="E2063" s="439"/>
      <c r="F2063" s="161">
        <v>456.01599729899999</v>
      </c>
      <c r="G2063" s="161"/>
      <c r="H2063" s="654"/>
      <c r="I2063" s="654"/>
      <c r="J2063" s="191"/>
      <c r="K2063" s="191">
        <v>22204.4489646004</v>
      </c>
      <c r="L2063" s="191"/>
      <c r="M2063" s="191"/>
      <c r="N2063" s="191"/>
      <c r="O2063" s="191"/>
      <c r="P2063" s="191"/>
      <c r="Q2063" s="191"/>
      <c r="R2063" s="191"/>
      <c r="S2063" s="191"/>
      <c r="T2063" s="191"/>
      <c r="U2063" s="439"/>
      <c r="V2063" s="441"/>
      <c r="W2063" s="178"/>
      <c r="X2063" s="172"/>
      <c r="Y2063" s="172"/>
      <c r="Z2063" s="172"/>
      <c r="AA2063" s="195"/>
      <c r="AB2063" s="172"/>
    </row>
    <row r="2064" spans="1:28" ht="12.6" customHeight="1" x14ac:dyDescent="0.3">
      <c r="A2064" s="667"/>
      <c r="B2064" s="668" t="s">
        <v>8145</v>
      </c>
      <c r="C2064" s="160" t="s">
        <v>8146</v>
      </c>
      <c r="D2064" s="160"/>
      <c r="E2064" s="439"/>
      <c r="F2064" s="161">
        <v>333.00009184800001</v>
      </c>
      <c r="G2064" s="161">
        <v>-57.557000000000002</v>
      </c>
      <c r="H2064" s="654">
        <v>3.7230701788</v>
      </c>
      <c r="I2064" s="654">
        <v>325.42001075726398</v>
      </c>
      <c r="J2064" s="191"/>
      <c r="K2064" s="191">
        <v>169.21934122549101</v>
      </c>
      <c r="L2064" s="191"/>
      <c r="M2064" s="191"/>
      <c r="N2064" s="191"/>
      <c r="O2064" s="191"/>
      <c r="P2064" s="191"/>
      <c r="Q2064" s="191"/>
      <c r="R2064" s="191"/>
      <c r="S2064" s="191"/>
      <c r="T2064" s="191"/>
      <c r="U2064" s="439"/>
      <c r="V2064" s="441"/>
      <c r="W2064" s="178"/>
      <c r="X2064" s="172"/>
      <c r="Y2064" s="172"/>
      <c r="Z2064" s="172"/>
      <c r="AA2064" s="195"/>
      <c r="AB2064" s="172"/>
    </row>
    <row r="2065" spans="1:28" ht="12.6" customHeight="1" x14ac:dyDescent="0.3">
      <c r="A2065" s="667"/>
      <c r="B2065" s="668" t="s">
        <v>8147</v>
      </c>
      <c r="C2065" s="160" t="s">
        <v>8148</v>
      </c>
      <c r="D2065" s="160"/>
      <c r="E2065" s="439"/>
      <c r="F2065" s="161">
        <v>377.97837498799998</v>
      </c>
      <c r="G2065" s="161"/>
      <c r="H2065" s="654"/>
      <c r="I2065" s="654"/>
      <c r="J2065" s="191"/>
      <c r="K2065" s="191">
        <v>952.24784829575901</v>
      </c>
      <c r="L2065" s="191"/>
      <c r="M2065" s="191"/>
      <c r="N2065" s="191"/>
      <c r="O2065" s="191"/>
      <c r="P2065" s="191"/>
      <c r="Q2065" s="191"/>
      <c r="R2065" s="191"/>
      <c r="S2065" s="191"/>
      <c r="T2065" s="191"/>
      <c r="U2065" s="439"/>
      <c r="V2065" s="441"/>
      <c r="W2065" s="178"/>
      <c r="X2065" s="172"/>
      <c r="Y2065" s="172"/>
      <c r="Z2065" s="172"/>
      <c r="AA2065" s="195"/>
      <c r="AB2065" s="172"/>
    </row>
    <row r="2066" spans="1:28" ht="12.6" customHeight="1" x14ac:dyDescent="0.3">
      <c r="A2066" s="667"/>
      <c r="B2066" s="668" t="s">
        <v>8149</v>
      </c>
      <c r="C2066" s="160" t="s">
        <v>8150</v>
      </c>
      <c r="D2066" s="160"/>
      <c r="E2066" s="439"/>
      <c r="F2066" s="161">
        <v>277.98476233600002</v>
      </c>
      <c r="G2066" s="161"/>
      <c r="H2066" s="654"/>
      <c r="I2066" s="654"/>
      <c r="J2066" s="191"/>
      <c r="K2066" s="191">
        <v>424.39474726644198</v>
      </c>
      <c r="L2066" s="191"/>
      <c r="M2066" s="191"/>
      <c r="N2066" s="191"/>
      <c r="O2066" s="191"/>
      <c r="P2066" s="191"/>
      <c r="Q2066" s="191"/>
      <c r="R2066" s="191"/>
      <c r="S2066" s="191"/>
      <c r="T2066" s="191"/>
      <c r="U2066" s="439"/>
      <c r="V2066" s="441"/>
      <c r="W2066" s="178"/>
      <c r="X2066" s="172"/>
      <c r="Y2066" s="172"/>
      <c r="Z2066" s="172"/>
      <c r="AA2066" s="195"/>
      <c r="AB2066" s="172"/>
    </row>
    <row r="2067" spans="1:28" ht="12.6" customHeight="1" x14ac:dyDescent="0.3">
      <c r="A2067" s="667"/>
      <c r="B2067" s="668" t="s">
        <v>8151</v>
      </c>
      <c r="C2067" s="160" t="s">
        <v>8152</v>
      </c>
      <c r="D2067" s="160"/>
      <c r="E2067" s="439"/>
      <c r="F2067" s="161">
        <v>441.990831378</v>
      </c>
      <c r="G2067" s="161"/>
      <c r="H2067" s="654"/>
      <c r="I2067" s="654"/>
      <c r="J2067" s="191"/>
      <c r="K2067" s="191">
        <v>16818.218868850101</v>
      </c>
      <c r="L2067" s="191"/>
      <c r="M2067" s="191"/>
      <c r="N2067" s="191"/>
      <c r="O2067" s="191"/>
      <c r="P2067" s="191"/>
      <c r="Q2067" s="191"/>
      <c r="R2067" s="191"/>
      <c r="S2067" s="191"/>
      <c r="T2067" s="191"/>
      <c r="U2067" s="439"/>
      <c r="V2067" s="441"/>
      <c r="W2067" s="178"/>
      <c r="X2067" s="172"/>
      <c r="Y2067" s="172"/>
      <c r="Z2067" s="172"/>
      <c r="AA2067" s="195"/>
      <c r="AB2067" s="172"/>
    </row>
    <row r="2068" spans="1:28" ht="12.6" customHeight="1" x14ac:dyDescent="0.3">
      <c r="A2068" s="667"/>
      <c r="B2068" s="668" t="s">
        <v>8153</v>
      </c>
      <c r="C2068" s="160" t="s">
        <v>8154</v>
      </c>
      <c r="D2068" s="160"/>
      <c r="E2068" s="439"/>
      <c r="F2068" s="161">
        <v>310.00738948600002</v>
      </c>
      <c r="G2068" s="161">
        <v>61.545999999999999</v>
      </c>
      <c r="H2068" s="654">
        <v>129.39033422</v>
      </c>
      <c r="I2068" s="654">
        <v>26.144008181217501</v>
      </c>
      <c r="J2068" s="191"/>
      <c r="K2068" s="191">
        <v>3825.3396324530599</v>
      </c>
      <c r="L2068" s="191"/>
      <c r="M2068" s="191"/>
      <c r="N2068" s="191"/>
      <c r="O2068" s="191"/>
      <c r="P2068" s="191"/>
      <c r="Q2068" s="191"/>
      <c r="R2068" s="191"/>
      <c r="S2068" s="191"/>
      <c r="T2068" s="191"/>
      <c r="U2068" s="439"/>
      <c r="V2068" s="441"/>
      <c r="W2068" s="178"/>
      <c r="X2068" s="172"/>
      <c r="Y2068" s="172"/>
      <c r="Z2068" s="172"/>
      <c r="AA2068" s="195"/>
      <c r="AB2068" s="172"/>
    </row>
    <row r="2069" spans="1:28" ht="12.6" customHeight="1" x14ac:dyDescent="0.3">
      <c r="A2069" s="667"/>
      <c r="B2069" s="668" t="s">
        <v>8155</v>
      </c>
      <c r="C2069" s="160" t="s">
        <v>8156</v>
      </c>
      <c r="D2069" s="160"/>
      <c r="E2069" s="439"/>
      <c r="F2069" s="161">
        <v>609.92574999999999</v>
      </c>
      <c r="G2069" s="161"/>
      <c r="H2069" s="654"/>
      <c r="I2069" s="654"/>
      <c r="J2069" s="191"/>
      <c r="K2069" s="191">
        <v>4.8359744758546803</v>
      </c>
      <c r="L2069" s="191"/>
      <c r="M2069" s="191"/>
      <c r="N2069" s="191"/>
      <c r="O2069" s="191"/>
      <c r="P2069" s="191"/>
      <c r="Q2069" s="191"/>
      <c r="R2069" s="191"/>
      <c r="S2069" s="191"/>
      <c r="T2069" s="191"/>
      <c r="U2069" s="439"/>
      <c r="V2069" s="441"/>
      <c r="W2069" s="178"/>
      <c r="X2069" s="172"/>
      <c r="Y2069" s="172"/>
      <c r="Z2069" s="172"/>
      <c r="AA2069" s="195"/>
      <c r="AB2069" s="172"/>
    </row>
    <row r="2070" spans="1:28" ht="12.6" customHeight="1" x14ac:dyDescent="0.3">
      <c r="A2070" s="667"/>
      <c r="B2070" s="668" t="s">
        <v>8157</v>
      </c>
      <c r="C2070" s="160" t="s">
        <v>8158</v>
      </c>
      <c r="D2070" s="160"/>
      <c r="E2070" s="439"/>
      <c r="F2070" s="161">
        <v>507.88051999999999</v>
      </c>
      <c r="G2070" s="161"/>
      <c r="H2070" s="654"/>
      <c r="I2070" s="654"/>
      <c r="J2070" s="191"/>
      <c r="K2070" s="191">
        <v>45161.670727465797</v>
      </c>
      <c r="L2070" s="191"/>
      <c r="M2070" s="191"/>
      <c r="N2070" s="191"/>
      <c r="O2070" s="191"/>
      <c r="P2070" s="191"/>
      <c r="Q2070" s="191"/>
      <c r="R2070" s="191"/>
      <c r="S2070" s="191"/>
      <c r="T2070" s="191"/>
      <c r="U2070" s="439"/>
      <c r="V2070" s="441"/>
      <c r="W2070" s="178"/>
      <c r="X2070" s="172"/>
      <c r="Y2070" s="172"/>
      <c r="Z2070" s="172"/>
      <c r="AA2070" s="195"/>
      <c r="AB2070" s="172"/>
    </row>
    <row r="2071" spans="1:28" ht="12.6" customHeight="1" x14ac:dyDescent="0.3">
      <c r="A2071" s="667"/>
      <c r="B2071" s="668" t="s">
        <v>8159</v>
      </c>
      <c r="C2071" s="160" t="s">
        <v>8160</v>
      </c>
      <c r="D2071" s="160"/>
      <c r="E2071" s="439">
        <v>6.53</v>
      </c>
      <c r="F2071" s="161">
        <v>574.02782042499996</v>
      </c>
      <c r="G2071" s="161"/>
      <c r="H2071" s="654"/>
      <c r="I2071" s="654"/>
      <c r="J2071" s="191"/>
      <c r="K2071" s="191">
        <v>5.19504124617443</v>
      </c>
      <c r="L2071" s="191"/>
      <c r="M2071" s="191"/>
      <c r="N2071" s="191"/>
      <c r="O2071" s="191"/>
      <c r="P2071" s="191"/>
      <c r="Q2071" s="191"/>
      <c r="R2071" s="191"/>
      <c r="S2071" s="191"/>
      <c r="T2071" s="191"/>
      <c r="U2071" s="439"/>
      <c r="V2071" s="441"/>
      <c r="W2071" s="178"/>
      <c r="X2071" s="172"/>
      <c r="Y2071" s="172"/>
      <c r="Z2071" s="172"/>
      <c r="AA2071" s="195"/>
      <c r="AB2071" s="172"/>
    </row>
    <row r="2072" spans="1:28" ht="12.6" customHeight="1" x14ac:dyDescent="0.3">
      <c r="A2072" s="667"/>
      <c r="B2072" s="668" t="s">
        <v>8161</v>
      </c>
      <c r="C2072" s="160" t="s">
        <v>8162</v>
      </c>
      <c r="D2072" s="160"/>
      <c r="E2072" s="439">
        <v>6.36</v>
      </c>
      <c r="F2072" s="161">
        <v>616.074770618</v>
      </c>
      <c r="G2072" s="161"/>
      <c r="H2072" s="654"/>
      <c r="I2072" s="654"/>
      <c r="J2072" s="191"/>
      <c r="K2072" s="191">
        <v>5.2293775728209502</v>
      </c>
      <c r="L2072" s="191"/>
      <c r="M2072" s="191"/>
      <c r="N2072" s="191"/>
      <c r="O2072" s="191"/>
      <c r="P2072" s="191"/>
      <c r="Q2072" s="191"/>
      <c r="R2072" s="191"/>
      <c r="S2072" s="191"/>
      <c r="T2072" s="191"/>
      <c r="U2072" s="439"/>
      <c r="V2072" s="441"/>
      <c r="W2072" s="178"/>
      <c r="X2072" s="172"/>
      <c r="Y2072" s="172"/>
      <c r="Z2072" s="172"/>
      <c r="AA2072" s="195"/>
      <c r="AB2072" s="172"/>
    </row>
    <row r="2073" spans="1:28" ht="12.6" customHeight="1" x14ac:dyDescent="0.3">
      <c r="A2073" s="667"/>
      <c r="B2073" s="668" t="s">
        <v>8163</v>
      </c>
      <c r="C2073" s="160" t="s">
        <v>8164</v>
      </c>
      <c r="D2073" s="160"/>
      <c r="E2073" s="439"/>
      <c r="F2073" s="161">
        <v>536.00803636700005</v>
      </c>
      <c r="G2073" s="161">
        <v>-58.417000000000002</v>
      </c>
      <c r="H2073" s="654">
        <v>40.077659775999997</v>
      </c>
      <c r="I2073" s="654">
        <v>6.0002883623067403E-2</v>
      </c>
      <c r="J2073" s="191"/>
      <c r="K2073" s="191">
        <v>81566.156821823999</v>
      </c>
      <c r="L2073" s="191"/>
      <c r="M2073" s="191"/>
      <c r="N2073" s="191"/>
      <c r="O2073" s="191"/>
      <c r="P2073" s="191"/>
      <c r="Q2073" s="191"/>
      <c r="R2073" s="191"/>
      <c r="S2073" s="191"/>
      <c r="T2073" s="191"/>
      <c r="U2073" s="439"/>
      <c r="V2073" s="441"/>
      <c r="W2073" s="178"/>
      <c r="X2073" s="172"/>
      <c r="Y2073" s="172"/>
      <c r="Z2073" s="172"/>
      <c r="AA2073" s="195"/>
      <c r="AB2073" s="172"/>
    </row>
    <row r="2074" spans="1:28" ht="12.6" customHeight="1" x14ac:dyDescent="0.3">
      <c r="A2074" s="667"/>
      <c r="B2074" s="668" t="s">
        <v>8165</v>
      </c>
      <c r="C2074" s="160" t="s">
        <v>8166</v>
      </c>
      <c r="D2074" s="160"/>
      <c r="E2074" s="439"/>
      <c r="F2074" s="161">
        <v>340.012138085</v>
      </c>
      <c r="G2074" s="161">
        <v>-52.805</v>
      </c>
      <c r="H2074" s="654">
        <v>2142.4045467999999</v>
      </c>
      <c r="I2074" s="654">
        <v>1.1389216583364199</v>
      </c>
      <c r="J2074" s="191"/>
      <c r="K2074" s="191">
        <v>7598.01243515851</v>
      </c>
      <c r="L2074" s="191"/>
      <c r="M2074" s="191"/>
      <c r="N2074" s="191"/>
      <c r="O2074" s="191"/>
      <c r="P2074" s="191"/>
      <c r="Q2074" s="191"/>
      <c r="R2074" s="191"/>
      <c r="S2074" s="191"/>
      <c r="T2074" s="191"/>
      <c r="U2074" s="439"/>
      <c r="V2074" s="441"/>
      <c r="W2074" s="178"/>
      <c r="X2074" s="172"/>
      <c r="Y2074" s="172"/>
      <c r="Z2074" s="172"/>
      <c r="AA2074" s="195"/>
      <c r="AB2074" s="172"/>
    </row>
    <row r="2075" spans="1:28" ht="12.6" customHeight="1" x14ac:dyDescent="0.3">
      <c r="A2075" s="667"/>
      <c r="B2075" s="668" t="s">
        <v>8167</v>
      </c>
      <c r="C2075" s="160" t="s">
        <v>7176</v>
      </c>
      <c r="D2075" s="160"/>
      <c r="E2075" s="439"/>
      <c r="F2075" s="161">
        <v>541.97862794399998</v>
      </c>
      <c r="G2075" s="161"/>
      <c r="H2075" s="654"/>
      <c r="I2075" s="654"/>
      <c r="J2075" s="191"/>
      <c r="K2075" s="191">
        <v>114059.115653184</v>
      </c>
      <c r="L2075" s="191"/>
      <c r="M2075" s="191"/>
      <c r="N2075" s="191"/>
      <c r="O2075" s="191"/>
      <c r="P2075" s="191"/>
      <c r="Q2075" s="191"/>
      <c r="R2075" s="191"/>
      <c r="S2075" s="191"/>
      <c r="T2075" s="191"/>
      <c r="U2075" s="439"/>
      <c r="V2075" s="441"/>
      <c r="W2075" s="178"/>
      <c r="X2075" s="172"/>
      <c r="Y2075" s="172"/>
      <c r="Z2075" s="172"/>
      <c r="AA2075" s="195"/>
      <c r="AB2075" s="172"/>
    </row>
    <row r="2076" spans="1:28" ht="12.6" customHeight="1" x14ac:dyDescent="0.3">
      <c r="A2076" s="667"/>
      <c r="B2076" s="668" t="s">
        <v>8168</v>
      </c>
      <c r="C2076" s="160" t="s">
        <v>8169</v>
      </c>
      <c r="D2076" s="160"/>
      <c r="E2076" s="439"/>
      <c r="F2076" s="161">
        <v>341.99140263999999</v>
      </c>
      <c r="G2076" s="161"/>
      <c r="H2076" s="654"/>
      <c r="I2076" s="654"/>
      <c r="J2076" s="191"/>
      <c r="K2076" s="191">
        <v>3279.3668332401398</v>
      </c>
      <c r="L2076" s="191"/>
      <c r="M2076" s="191"/>
      <c r="N2076" s="191"/>
      <c r="O2076" s="191"/>
      <c r="P2076" s="191"/>
      <c r="Q2076" s="191"/>
      <c r="R2076" s="191"/>
      <c r="S2076" s="191"/>
      <c r="T2076" s="191"/>
      <c r="U2076" s="439"/>
      <c r="V2076" s="441"/>
      <c r="W2076" s="178"/>
      <c r="X2076" s="172"/>
      <c r="Y2076" s="172"/>
      <c r="Z2076" s="172"/>
      <c r="AA2076" s="195"/>
      <c r="AB2076" s="172"/>
    </row>
    <row r="2077" spans="1:28" ht="12.6" customHeight="1" x14ac:dyDescent="0.3">
      <c r="A2077" s="667"/>
      <c r="B2077" s="668" t="s">
        <v>8170</v>
      </c>
      <c r="C2077" s="160" t="s">
        <v>8171</v>
      </c>
      <c r="D2077" s="160"/>
      <c r="E2077" s="439"/>
      <c r="F2077" s="161">
        <v>645.98355417200003</v>
      </c>
      <c r="G2077" s="161"/>
      <c r="H2077" s="654"/>
      <c r="I2077" s="654"/>
      <c r="J2077" s="191"/>
      <c r="K2077" s="191">
        <v>248914.387506559</v>
      </c>
      <c r="L2077" s="191"/>
      <c r="M2077" s="191"/>
      <c r="N2077" s="191"/>
      <c r="O2077" s="191"/>
      <c r="P2077" s="191"/>
      <c r="Q2077" s="191"/>
      <c r="R2077" s="191"/>
      <c r="S2077" s="191"/>
      <c r="T2077" s="191"/>
      <c r="U2077" s="439"/>
      <c r="V2077" s="441"/>
      <c r="W2077" s="178"/>
      <c r="X2077" s="172"/>
      <c r="Y2077" s="172"/>
      <c r="Z2077" s="172"/>
      <c r="AA2077" s="195"/>
      <c r="AB2077" s="172"/>
    </row>
    <row r="2078" spans="1:28" ht="12.6" customHeight="1" x14ac:dyDescent="0.3">
      <c r="A2078" s="667"/>
      <c r="B2078" s="668" t="s">
        <v>8172</v>
      </c>
      <c r="C2078" s="160" t="s">
        <v>8173</v>
      </c>
      <c r="D2078" s="160"/>
      <c r="E2078" s="439"/>
      <c r="F2078" s="161">
        <v>695.86774000000003</v>
      </c>
      <c r="G2078" s="161">
        <v>-33.335999999999999</v>
      </c>
      <c r="H2078" s="654">
        <v>355.55110891999999</v>
      </c>
      <c r="I2078" s="654"/>
      <c r="J2078" s="191"/>
      <c r="K2078" s="191">
        <v>511693.61758562102</v>
      </c>
      <c r="L2078" s="191"/>
      <c r="M2078" s="191"/>
      <c r="N2078" s="191"/>
      <c r="O2078" s="191"/>
      <c r="P2078" s="191"/>
      <c r="Q2078" s="191"/>
      <c r="R2078" s="191"/>
      <c r="S2078" s="191"/>
      <c r="T2078" s="191"/>
      <c r="U2078" s="439"/>
      <c r="V2078" s="441"/>
      <c r="W2078" s="178"/>
      <c r="X2078" s="172"/>
      <c r="Y2078" s="172"/>
      <c r="Z2078" s="172"/>
      <c r="AA2078" s="195"/>
      <c r="AB2078" s="172"/>
    </row>
    <row r="2079" spans="1:28" ht="12.6" customHeight="1" x14ac:dyDescent="0.3">
      <c r="A2079" s="667"/>
      <c r="B2079" s="668" t="s">
        <v>8174</v>
      </c>
      <c r="C2079" s="160" t="s">
        <v>8175</v>
      </c>
      <c r="D2079" s="160"/>
      <c r="E2079" s="439"/>
      <c r="F2079" s="161">
        <v>745.86455000000001</v>
      </c>
      <c r="G2079" s="161">
        <v>-28.263999999999999</v>
      </c>
      <c r="H2079" s="654">
        <v>54.941729555999999</v>
      </c>
      <c r="I2079" s="654"/>
      <c r="J2079" s="191"/>
      <c r="K2079" s="191">
        <v>502041.94102117</v>
      </c>
      <c r="L2079" s="191"/>
      <c r="M2079" s="191"/>
      <c r="N2079" s="191"/>
      <c r="O2079" s="191"/>
      <c r="P2079" s="191"/>
      <c r="Q2079" s="191"/>
      <c r="R2079" s="191"/>
      <c r="S2079" s="191"/>
      <c r="T2079" s="191"/>
      <c r="U2079" s="439"/>
      <c r="V2079" s="441"/>
      <c r="W2079" s="178"/>
      <c r="X2079" s="172"/>
      <c r="Y2079" s="172"/>
      <c r="Z2079" s="172"/>
      <c r="AA2079" s="195"/>
      <c r="AB2079" s="172"/>
    </row>
    <row r="2080" spans="1:28" ht="12.6" customHeight="1" x14ac:dyDescent="0.3">
      <c r="A2080" s="667"/>
      <c r="B2080" s="668" t="s">
        <v>8176</v>
      </c>
      <c r="C2080" s="160" t="s">
        <v>8177</v>
      </c>
      <c r="D2080" s="160"/>
      <c r="E2080" s="439"/>
      <c r="F2080" s="161">
        <v>645.87094000000002</v>
      </c>
      <c r="G2080" s="161">
        <v>-24.364000000000001</v>
      </c>
      <c r="H2080" s="654">
        <v>99.518073577999999</v>
      </c>
      <c r="I2080" s="654"/>
      <c r="J2080" s="191"/>
      <c r="K2080" s="191">
        <v>196349.59056436099</v>
      </c>
      <c r="L2080" s="191"/>
      <c r="M2080" s="191"/>
      <c r="N2080" s="191"/>
      <c r="O2080" s="191"/>
      <c r="P2080" s="191"/>
      <c r="Q2080" s="191"/>
      <c r="R2080" s="191"/>
      <c r="S2080" s="191"/>
      <c r="T2080" s="191"/>
      <c r="U2080" s="439"/>
      <c r="V2080" s="441"/>
      <c r="W2080" s="178"/>
      <c r="X2080" s="172"/>
      <c r="Y2080" s="172"/>
      <c r="Z2080" s="172"/>
      <c r="AA2080" s="195"/>
      <c r="AB2080" s="172"/>
    </row>
    <row r="2081" spans="1:28" ht="12.6" customHeight="1" x14ac:dyDescent="0.3">
      <c r="A2081" s="667"/>
      <c r="B2081" s="668" t="s">
        <v>8178</v>
      </c>
      <c r="C2081" s="160" t="s">
        <v>8179</v>
      </c>
      <c r="D2081" s="160"/>
      <c r="E2081" s="439"/>
      <c r="F2081" s="161">
        <v>545.87732000000005</v>
      </c>
      <c r="G2081" s="161">
        <v>-27.277000000000001</v>
      </c>
      <c r="H2081" s="654">
        <v>617.87680934000002</v>
      </c>
      <c r="I2081" s="654"/>
      <c r="J2081" s="191"/>
      <c r="K2081" s="191">
        <v>477771.23633101501</v>
      </c>
      <c r="L2081" s="191"/>
      <c r="M2081" s="191"/>
      <c r="N2081" s="191"/>
      <c r="O2081" s="191"/>
      <c r="P2081" s="191"/>
      <c r="Q2081" s="191"/>
      <c r="R2081" s="191"/>
      <c r="S2081" s="191"/>
      <c r="T2081" s="191"/>
      <c r="U2081" s="439"/>
      <c r="V2081" s="441"/>
      <c r="W2081" s="178"/>
      <c r="X2081" s="172"/>
      <c r="Y2081" s="172"/>
      <c r="Z2081" s="172"/>
      <c r="AA2081" s="195"/>
      <c r="AB2081" s="172"/>
    </row>
    <row r="2082" spans="1:28" ht="12.6" customHeight="1" x14ac:dyDescent="0.3">
      <c r="A2082" s="667"/>
      <c r="B2082" s="668" t="s">
        <v>8180</v>
      </c>
      <c r="C2082" s="160" t="s">
        <v>8181</v>
      </c>
      <c r="D2082" s="160"/>
      <c r="E2082" s="439"/>
      <c r="F2082" s="161">
        <v>445.88371000000001</v>
      </c>
      <c r="G2082" s="161">
        <v>-41.488</v>
      </c>
      <c r="H2082" s="654">
        <v>884.91544246000001</v>
      </c>
      <c r="I2082" s="654">
        <v>0.96210111641539997</v>
      </c>
      <c r="J2082" s="191"/>
      <c r="K2082" s="191">
        <v>49350.323057823603</v>
      </c>
      <c r="L2082" s="191"/>
      <c r="M2082" s="191"/>
      <c r="N2082" s="191"/>
      <c r="O2082" s="191"/>
      <c r="P2082" s="191"/>
      <c r="Q2082" s="191"/>
      <c r="R2082" s="191"/>
      <c r="S2082" s="191"/>
      <c r="T2082" s="191"/>
      <c r="U2082" s="439"/>
      <c r="V2082" s="441"/>
      <c r="W2082" s="178"/>
      <c r="X2082" s="172"/>
      <c r="Y2082" s="172"/>
      <c r="Z2082" s="172"/>
      <c r="AA2082" s="195"/>
      <c r="AB2082" s="172"/>
    </row>
    <row r="2083" spans="1:28" ht="12.6" customHeight="1" x14ac:dyDescent="0.3">
      <c r="A2083" s="667"/>
      <c r="B2083" s="668" t="s">
        <v>8182</v>
      </c>
      <c r="C2083" s="160" t="s">
        <v>8183</v>
      </c>
      <c r="D2083" s="160"/>
      <c r="E2083" s="439"/>
      <c r="F2083" s="161">
        <v>595.87413000000004</v>
      </c>
      <c r="G2083" s="161">
        <v>-23.05</v>
      </c>
      <c r="H2083" s="654">
        <v>644.02391997999996</v>
      </c>
      <c r="I2083" s="654">
        <v>8.494841184693E-2</v>
      </c>
      <c r="J2083" s="191"/>
      <c r="K2083" s="191">
        <v>1926238.2386888501</v>
      </c>
      <c r="L2083" s="191"/>
      <c r="M2083" s="191"/>
      <c r="N2083" s="191"/>
      <c r="O2083" s="191"/>
      <c r="P2083" s="191"/>
      <c r="Q2083" s="191"/>
      <c r="R2083" s="191"/>
      <c r="S2083" s="191"/>
      <c r="T2083" s="191"/>
      <c r="U2083" s="439"/>
      <c r="V2083" s="441"/>
      <c r="W2083" s="178"/>
      <c r="X2083" s="172"/>
      <c r="Y2083" s="172"/>
      <c r="Z2083" s="172"/>
      <c r="AA2083" s="195"/>
      <c r="AB2083" s="172"/>
    </row>
    <row r="2084" spans="1:28" ht="12.6" customHeight="1" x14ac:dyDescent="0.3">
      <c r="A2084" s="667"/>
      <c r="B2084" s="668" t="s">
        <v>8184</v>
      </c>
      <c r="C2084" s="160" t="s">
        <v>8185</v>
      </c>
      <c r="D2084" s="160"/>
      <c r="E2084" s="439">
        <v>4.2789999999999999</v>
      </c>
      <c r="F2084" s="161">
        <v>345.89010000000002</v>
      </c>
      <c r="G2084" s="161">
        <v>-45.456000000000003</v>
      </c>
      <c r="H2084" s="654">
        <v>41773.648937999998</v>
      </c>
      <c r="I2084" s="654">
        <v>1.6328191827630001</v>
      </c>
      <c r="J2084" s="191"/>
      <c r="K2084" s="191">
        <v>695.15235759199095</v>
      </c>
      <c r="L2084" s="191"/>
      <c r="M2084" s="191"/>
      <c r="N2084" s="191"/>
      <c r="O2084" s="191"/>
      <c r="P2084" s="191"/>
      <c r="Q2084" s="191"/>
      <c r="R2084" s="191"/>
      <c r="S2084" s="191"/>
      <c r="T2084" s="191"/>
      <c r="U2084" s="439"/>
      <c r="V2084" s="441"/>
      <c r="W2084" s="178"/>
      <c r="X2084" s="172"/>
      <c r="Y2084" s="172"/>
      <c r="Z2084" s="172"/>
      <c r="AA2084" s="195"/>
      <c r="AB2084" s="172"/>
    </row>
    <row r="2085" spans="1:28" ht="12.6" customHeight="1" x14ac:dyDescent="0.3">
      <c r="A2085" s="667"/>
      <c r="B2085" s="668" t="s">
        <v>8186</v>
      </c>
      <c r="C2085" s="160" t="s">
        <v>8187</v>
      </c>
      <c r="D2085" s="160"/>
      <c r="E2085" s="439"/>
      <c r="F2085" s="161">
        <v>345.89010000000002</v>
      </c>
      <c r="G2085" s="161">
        <v>-47.054000000000002</v>
      </c>
      <c r="H2085" s="654">
        <v>15881.849928</v>
      </c>
      <c r="I2085" s="654">
        <v>1.614127281759</v>
      </c>
      <c r="J2085" s="191"/>
      <c r="K2085" s="191">
        <v>512.27127026453797</v>
      </c>
      <c r="L2085" s="191"/>
      <c r="M2085" s="191"/>
      <c r="N2085" s="191"/>
      <c r="O2085" s="191"/>
      <c r="P2085" s="191"/>
      <c r="Q2085" s="191"/>
      <c r="R2085" s="191"/>
      <c r="S2085" s="191"/>
      <c r="T2085" s="191"/>
      <c r="U2085" s="439"/>
      <c r="V2085" s="441"/>
      <c r="W2085" s="178"/>
      <c r="X2085" s="172"/>
      <c r="Y2085" s="172"/>
      <c r="Z2085" s="172"/>
      <c r="AA2085" s="195"/>
      <c r="AB2085" s="172"/>
    </row>
    <row r="2086" spans="1:28" ht="12.6" customHeight="1" x14ac:dyDescent="0.3">
      <c r="A2086" s="667"/>
      <c r="B2086" s="668" t="s">
        <v>8188</v>
      </c>
      <c r="C2086" s="160" t="s">
        <v>8189</v>
      </c>
      <c r="D2086" s="160"/>
      <c r="E2086" s="439">
        <v>5.2119999999999997</v>
      </c>
      <c r="F2086" s="161">
        <v>453.79617000000002</v>
      </c>
      <c r="G2086" s="161">
        <v>-16.952999999999999</v>
      </c>
      <c r="H2086" s="654">
        <v>2398.2894614000002</v>
      </c>
      <c r="I2086" s="654">
        <v>0.55190236399229997</v>
      </c>
      <c r="J2086" s="191"/>
      <c r="K2086" s="191">
        <v>2353.4230352347499</v>
      </c>
      <c r="L2086" s="191"/>
      <c r="M2086" s="191"/>
      <c r="N2086" s="191"/>
      <c r="O2086" s="191"/>
      <c r="P2086" s="191"/>
      <c r="Q2086" s="191"/>
      <c r="R2086" s="191"/>
      <c r="S2086" s="191"/>
      <c r="T2086" s="191"/>
      <c r="U2086" s="439"/>
      <c r="V2086" s="441"/>
      <c r="W2086" s="178"/>
      <c r="X2086" s="172"/>
      <c r="Y2086" s="172"/>
      <c r="Z2086" s="172"/>
      <c r="AA2086" s="195"/>
      <c r="AB2086" s="172"/>
    </row>
    <row r="2087" spans="1:28" ht="12.6" customHeight="1" x14ac:dyDescent="0.3">
      <c r="A2087" s="667"/>
      <c r="B2087" s="668" t="s">
        <v>8190</v>
      </c>
      <c r="C2087" s="160" t="s">
        <v>8191</v>
      </c>
      <c r="D2087" s="160"/>
      <c r="E2087" s="439">
        <v>0.56999999999999995</v>
      </c>
      <c r="F2087" s="161">
        <v>557.97354256400001</v>
      </c>
      <c r="G2087" s="161"/>
      <c r="H2087" s="654"/>
      <c r="I2087" s="654"/>
      <c r="J2087" s="191"/>
      <c r="K2087" s="191">
        <v>88760.553137042996</v>
      </c>
      <c r="L2087" s="191"/>
      <c r="M2087" s="191"/>
      <c r="N2087" s="191"/>
      <c r="O2087" s="191"/>
      <c r="P2087" s="191"/>
      <c r="Q2087" s="191"/>
      <c r="R2087" s="191"/>
      <c r="S2087" s="191"/>
      <c r="T2087" s="191"/>
      <c r="U2087" s="439"/>
      <c r="V2087" s="441"/>
      <c r="W2087" s="178"/>
      <c r="X2087" s="172"/>
      <c r="Y2087" s="172"/>
      <c r="Z2087" s="172"/>
      <c r="AA2087" s="195"/>
      <c r="AB2087" s="172"/>
    </row>
    <row r="2088" spans="1:28" ht="12.6" customHeight="1" x14ac:dyDescent="0.3">
      <c r="A2088" s="667"/>
      <c r="B2088" s="668" t="s">
        <v>8192</v>
      </c>
      <c r="C2088" s="160" t="s">
        <v>8193</v>
      </c>
      <c r="D2088" s="160"/>
      <c r="E2088" s="439">
        <v>0.45</v>
      </c>
      <c r="F2088" s="161">
        <v>457.97992991199999</v>
      </c>
      <c r="G2088" s="161">
        <v>-11.291</v>
      </c>
      <c r="H2088" s="654">
        <v>10.4208208216</v>
      </c>
      <c r="I2088" s="654">
        <v>0.62495025275931604</v>
      </c>
      <c r="J2088" s="191"/>
      <c r="K2088" s="191">
        <v>25581.735248184301</v>
      </c>
      <c r="L2088" s="191"/>
      <c r="M2088" s="191"/>
      <c r="N2088" s="191"/>
      <c r="O2088" s="191"/>
      <c r="P2088" s="191"/>
      <c r="Q2088" s="191"/>
      <c r="R2088" s="191"/>
      <c r="S2088" s="191"/>
      <c r="T2088" s="191"/>
      <c r="U2088" s="439"/>
      <c r="V2088" s="441"/>
      <c r="W2088" s="178"/>
      <c r="X2088" s="172"/>
      <c r="Y2088" s="172"/>
      <c r="Z2088" s="172"/>
      <c r="AA2088" s="195"/>
      <c r="AB2088" s="172"/>
    </row>
    <row r="2089" spans="1:28" ht="12.6" customHeight="1" x14ac:dyDescent="0.3">
      <c r="A2089" s="667"/>
      <c r="B2089" s="668" t="s">
        <v>8194</v>
      </c>
      <c r="C2089" s="160" t="s">
        <v>8195</v>
      </c>
      <c r="D2089" s="160"/>
      <c r="E2089" s="439">
        <v>0.28999999999999998</v>
      </c>
      <c r="F2089" s="161">
        <v>357.98631726000002</v>
      </c>
      <c r="G2089" s="161"/>
      <c r="H2089" s="654"/>
      <c r="I2089" s="654"/>
      <c r="J2089" s="191"/>
      <c r="K2089" s="191">
        <v>2564.0116846071701</v>
      </c>
      <c r="L2089" s="191"/>
      <c r="M2089" s="191"/>
      <c r="N2089" s="191"/>
      <c r="O2089" s="191"/>
      <c r="P2089" s="191"/>
      <c r="Q2089" s="191"/>
      <c r="R2089" s="191"/>
      <c r="S2089" s="191"/>
      <c r="T2089" s="191"/>
      <c r="U2089" s="439"/>
      <c r="V2089" s="441"/>
      <c r="W2089" s="178"/>
      <c r="X2089" s="172"/>
      <c r="Y2089" s="172"/>
      <c r="Z2089" s="172"/>
      <c r="AA2089" s="195"/>
      <c r="AB2089" s="172"/>
    </row>
    <row r="2090" spans="1:28" ht="12.6" customHeight="1" x14ac:dyDescent="0.3">
      <c r="A2090" s="667"/>
      <c r="B2090" s="668" t="s">
        <v>8196</v>
      </c>
      <c r="C2090" s="160" t="s">
        <v>7888</v>
      </c>
      <c r="D2090" s="160"/>
      <c r="E2090" s="439"/>
      <c r="F2090" s="161">
        <v>642.21542976900002</v>
      </c>
      <c r="G2090" s="161"/>
      <c r="H2090" s="654"/>
      <c r="I2090" s="654"/>
      <c r="J2090" s="191"/>
      <c r="K2090" s="191">
        <v>8263042.7567521902</v>
      </c>
      <c r="L2090" s="191"/>
      <c r="M2090" s="191"/>
      <c r="N2090" s="191"/>
      <c r="O2090" s="191"/>
      <c r="P2090" s="191"/>
      <c r="Q2090" s="191"/>
      <c r="R2090" s="191"/>
      <c r="S2090" s="191"/>
      <c r="T2090" s="191"/>
      <c r="U2090" s="439"/>
      <c r="V2090" s="441"/>
      <c r="W2090" s="178"/>
      <c r="X2090" s="172"/>
      <c r="Y2090" s="172"/>
      <c r="Z2090" s="172"/>
      <c r="AA2090" s="195"/>
      <c r="AB2090" s="172"/>
    </row>
    <row r="2091" spans="1:28" ht="12.6" customHeight="1" x14ac:dyDescent="0.3">
      <c r="A2091" s="667"/>
      <c r="B2091" s="668" t="s">
        <v>8197</v>
      </c>
      <c r="C2091" s="160" t="s">
        <v>8198</v>
      </c>
      <c r="D2091" s="160"/>
      <c r="E2091" s="439"/>
      <c r="F2091" s="161">
        <v>404.98568642599997</v>
      </c>
      <c r="G2091" s="161"/>
      <c r="H2091" s="654"/>
      <c r="I2091" s="654"/>
      <c r="J2091" s="191"/>
      <c r="K2091" s="191">
        <v>19083.586598089001</v>
      </c>
      <c r="L2091" s="191"/>
      <c r="M2091" s="191"/>
      <c r="N2091" s="191"/>
      <c r="O2091" s="191"/>
      <c r="P2091" s="191"/>
      <c r="Q2091" s="191"/>
      <c r="R2091" s="191"/>
      <c r="S2091" s="191"/>
      <c r="T2091" s="191"/>
      <c r="U2091" s="439"/>
      <c r="V2091" s="441"/>
      <c r="W2091" s="178"/>
      <c r="X2091" s="172"/>
      <c r="Y2091" s="172"/>
      <c r="Z2091" s="172"/>
      <c r="AA2091" s="195"/>
      <c r="AB2091" s="172"/>
    </row>
    <row r="2092" spans="1:28" ht="12.6" customHeight="1" x14ac:dyDescent="0.3">
      <c r="A2092" s="667"/>
      <c r="B2092" s="668" t="s">
        <v>8199</v>
      </c>
      <c r="C2092" s="160" t="s">
        <v>8200</v>
      </c>
      <c r="D2092" s="160"/>
      <c r="E2092" s="439">
        <v>2.61</v>
      </c>
      <c r="F2092" s="161">
        <v>365.99254545600002</v>
      </c>
      <c r="G2092" s="161">
        <v>-7.5810000000000004</v>
      </c>
      <c r="H2092" s="654">
        <v>112.43510886999999</v>
      </c>
      <c r="I2092" s="654">
        <v>5.9768412635691996</v>
      </c>
      <c r="J2092" s="191"/>
      <c r="K2092" s="191">
        <v>928.83805419579505</v>
      </c>
      <c r="L2092" s="191"/>
      <c r="M2092" s="191"/>
      <c r="N2092" s="191"/>
      <c r="O2092" s="191"/>
      <c r="P2092" s="191"/>
      <c r="Q2092" s="191"/>
      <c r="R2092" s="191"/>
      <c r="S2092" s="191"/>
      <c r="T2092" s="191"/>
      <c r="U2092" s="439"/>
      <c r="V2092" s="441"/>
      <c r="W2092" s="178"/>
      <c r="X2092" s="172"/>
      <c r="Y2092" s="172"/>
      <c r="Z2092" s="172"/>
      <c r="AA2092" s="195"/>
      <c r="AB2092" s="172"/>
    </row>
    <row r="2093" spans="1:28" ht="12.6" customHeight="1" x14ac:dyDescent="0.3">
      <c r="A2093" s="667"/>
      <c r="B2093" s="668" t="s">
        <v>8201</v>
      </c>
      <c r="C2093" s="160" t="s">
        <v>8202</v>
      </c>
      <c r="D2093" s="160"/>
      <c r="E2093" s="439"/>
      <c r="F2093" s="161">
        <v>236.027198411</v>
      </c>
      <c r="G2093" s="161"/>
      <c r="H2093" s="654"/>
      <c r="I2093" s="654"/>
      <c r="J2093" s="191"/>
      <c r="K2093" s="191">
        <v>52.208353855987802</v>
      </c>
      <c r="L2093" s="191"/>
      <c r="M2093" s="191"/>
      <c r="N2093" s="191"/>
      <c r="O2093" s="191"/>
      <c r="P2093" s="191"/>
      <c r="Q2093" s="191"/>
      <c r="R2093" s="191"/>
      <c r="S2093" s="191"/>
      <c r="T2093" s="191"/>
      <c r="U2093" s="439"/>
      <c r="V2093" s="441"/>
      <c r="W2093" s="178"/>
      <c r="X2093" s="172"/>
      <c r="Y2093" s="172"/>
      <c r="Z2093" s="172"/>
      <c r="AA2093" s="195"/>
      <c r="AB2093" s="172"/>
    </row>
    <row r="2094" spans="1:28" ht="12.6" customHeight="1" x14ac:dyDescent="0.3">
      <c r="A2094" s="667"/>
      <c r="B2094" s="668" t="s">
        <v>8203</v>
      </c>
      <c r="C2094" s="160" t="s">
        <v>8204</v>
      </c>
      <c r="D2094" s="160"/>
      <c r="E2094" s="439"/>
      <c r="F2094" s="161">
        <v>349.99763083599998</v>
      </c>
      <c r="G2094" s="161"/>
      <c r="H2094" s="654"/>
      <c r="I2094" s="654"/>
      <c r="J2094" s="191"/>
      <c r="K2094" s="191">
        <v>5887.8942334818603</v>
      </c>
      <c r="L2094" s="191"/>
      <c r="M2094" s="191"/>
      <c r="N2094" s="191"/>
      <c r="O2094" s="191"/>
      <c r="P2094" s="191"/>
      <c r="Q2094" s="191"/>
      <c r="R2094" s="191"/>
      <c r="S2094" s="191"/>
      <c r="T2094" s="191"/>
      <c r="U2094" s="439"/>
      <c r="V2094" s="441"/>
      <c r="W2094" s="178"/>
      <c r="X2094" s="172"/>
      <c r="Y2094" s="172"/>
      <c r="Z2094" s="172"/>
      <c r="AA2094" s="195"/>
      <c r="AB2094" s="172"/>
    </row>
    <row r="2095" spans="1:28" ht="12.6" customHeight="1" x14ac:dyDescent="0.3">
      <c r="A2095" s="667"/>
      <c r="B2095" s="668" t="s">
        <v>8205</v>
      </c>
      <c r="C2095" s="160" t="s">
        <v>8169</v>
      </c>
      <c r="D2095" s="160"/>
      <c r="E2095" s="439"/>
      <c r="F2095" s="161">
        <v>341.99140263999999</v>
      </c>
      <c r="G2095" s="161"/>
      <c r="H2095" s="654"/>
      <c r="I2095" s="654"/>
      <c r="J2095" s="191"/>
      <c r="K2095" s="191">
        <v>3279.3668332401398</v>
      </c>
      <c r="L2095" s="191"/>
      <c r="M2095" s="191"/>
      <c r="N2095" s="191"/>
      <c r="O2095" s="191"/>
      <c r="P2095" s="191"/>
      <c r="Q2095" s="191"/>
      <c r="R2095" s="191"/>
      <c r="S2095" s="191"/>
      <c r="T2095" s="191"/>
      <c r="U2095" s="439"/>
      <c r="V2095" s="441"/>
      <c r="W2095" s="178"/>
      <c r="X2095" s="172"/>
      <c r="Y2095" s="172"/>
      <c r="Z2095" s="172"/>
      <c r="AA2095" s="195"/>
      <c r="AB2095" s="172"/>
    </row>
    <row r="2096" spans="1:28" ht="12.6" customHeight="1" x14ac:dyDescent="0.3">
      <c r="A2096" s="667"/>
      <c r="B2096" s="668" t="s">
        <v>8206</v>
      </c>
      <c r="C2096" s="160" t="s">
        <v>8207</v>
      </c>
      <c r="D2096" s="160"/>
      <c r="E2096" s="439">
        <v>3.13</v>
      </c>
      <c r="F2096" s="161">
        <v>292.01458286799999</v>
      </c>
      <c r="G2096" s="161">
        <v>4.3860000000000001</v>
      </c>
      <c r="H2096" s="654">
        <v>44.045589139999997</v>
      </c>
      <c r="I2096" s="654">
        <v>7.6454674057333998</v>
      </c>
      <c r="J2096" s="191"/>
      <c r="K2096" s="191">
        <v>2305.2073731928199</v>
      </c>
      <c r="L2096" s="191"/>
      <c r="M2096" s="191"/>
      <c r="N2096" s="191"/>
      <c r="O2096" s="191"/>
      <c r="P2096" s="191"/>
      <c r="Q2096" s="191"/>
      <c r="R2096" s="191"/>
      <c r="S2096" s="191"/>
      <c r="T2096" s="191"/>
      <c r="U2096" s="439"/>
      <c r="V2096" s="441"/>
      <c r="W2096" s="178"/>
      <c r="X2096" s="172"/>
      <c r="Y2096" s="172"/>
      <c r="Z2096" s="172"/>
      <c r="AA2096" s="195"/>
      <c r="AB2096" s="172"/>
    </row>
    <row r="2097" spans="1:28" ht="12.6" customHeight="1" x14ac:dyDescent="0.3">
      <c r="A2097" s="667"/>
      <c r="B2097" s="668" t="s">
        <v>8208</v>
      </c>
      <c r="C2097" s="160" t="s">
        <v>8209</v>
      </c>
      <c r="D2097" s="160"/>
      <c r="E2097" s="439"/>
      <c r="F2097" s="161">
        <v>461.99124348800001</v>
      </c>
      <c r="G2097" s="161"/>
      <c r="H2097" s="654"/>
      <c r="I2097" s="654"/>
      <c r="J2097" s="191"/>
      <c r="K2097" s="191">
        <v>84892.632273728494</v>
      </c>
      <c r="L2097" s="191"/>
      <c r="M2097" s="191"/>
      <c r="N2097" s="191"/>
      <c r="O2097" s="191"/>
      <c r="P2097" s="191"/>
      <c r="Q2097" s="191"/>
      <c r="R2097" s="191"/>
      <c r="S2097" s="191"/>
      <c r="T2097" s="191"/>
      <c r="U2097" s="439"/>
      <c r="V2097" s="441"/>
      <c r="W2097" s="178"/>
      <c r="X2097" s="172"/>
      <c r="Y2097" s="172"/>
      <c r="Z2097" s="172"/>
      <c r="AA2097" s="195"/>
      <c r="AB2097" s="172"/>
    </row>
    <row r="2098" spans="1:28" ht="12.6" customHeight="1" x14ac:dyDescent="0.3">
      <c r="A2098" s="667"/>
      <c r="B2098" s="668" t="s">
        <v>8210</v>
      </c>
      <c r="C2098" s="160" t="s">
        <v>8211</v>
      </c>
      <c r="D2098" s="160"/>
      <c r="E2098" s="439"/>
      <c r="F2098" s="161">
        <v>262.00401818400002</v>
      </c>
      <c r="G2098" s="161"/>
      <c r="H2098" s="654"/>
      <c r="I2098" s="654"/>
      <c r="J2098" s="191"/>
      <c r="K2098" s="191">
        <v>268.91188685665799</v>
      </c>
      <c r="L2098" s="191"/>
      <c r="M2098" s="191"/>
      <c r="N2098" s="191"/>
      <c r="O2098" s="191"/>
      <c r="P2098" s="191"/>
      <c r="Q2098" s="191"/>
      <c r="R2098" s="191"/>
      <c r="S2098" s="191"/>
      <c r="T2098" s="191"/>
      <c r="U2098" s="439"/>
      <c r="V2098" s="441"/>
      <c r="W2098" s="178"/>
      <c r="X2098" s="172"/>
      <c r="Y2098" s="172"/>
      <c r="Z2098" s="172"/>
      <c r="AA2098" s="195"/>
      <c r="AB2098" s="172"/>
    </row>
    <row r="2099" spans="1:28" ht="12.6" customHeight="1" x14ac:dyDescent="0.3">
      <c r="A2099" s="667"/>
      <c r="B2099" s="668" t="s">
        <v>8212</v>
      </c>
      <c r="C2099" s="160" t="s">
        <v>8213</v>
      </c>
      <c r="D2099" s="160"/>
      <c r="E2099" s="439"/>
      <c r="F2099" s="161">
        <v>454.02140080100003</v>
      </c>
      <c r="G2099" s="161">
        <v>-68.533000000000001</v>
      </c>
      <c r="H2099" s="654">
        <v>441.47047182</v>
      </c>
      <c r="I2099" s="654"/>
      <c r="J2099" s="191"/>
      <c r="K2099" s="191">
        <v>84670.085826908893</v>
      </c>
      <c r="L2099" s="191"/>
      <c r="M2099" s="191"/>
      <c r="N2099" s="191"/>
      <c r="O2099" s="191"/>
      <c r="P2099" s="191"/>
      <c r="Q2099" s="191"/>
      <c r="R2099" s="191"/>
      <c r="S2099" s="191"/>
      <c r="T2099" s="191"/>
      <c r="U2099" s="439"/>
      <c r="V2099" s="441"/>
      <c r="W2099" s="178"/>
      <c r="X2099" s="172"/>
      <c r="Y2099" s="172"/>
      <c r="Z2099" s="172"/>
      <c r="AA2099" s="195"/>
      <c r="AB2099" s="172"/>
    </row>
    <row r="2100" spans="1:28" ht="12.6" customHeight="1" x14ac:dyDescent="0.3">
      <c r="A2100" s="667"/>
      <c r="B2100" s="668" t="s">
        <v>8214</v>
      </c>
      <c r="C2100" s="160" t="s">
        <v>8215</v>
      </c>
      <c r="D2100" s="160"/>
      <c r="E2100" s="439">
        <v>5.3250000000000002</v>
      </c>
      <c r="F2100" s="161">
        <v>354.027788149</v>
      </c>
      <c r="G2100" s="161">
        <v>-40.798999999999999</v>
      </c>
      <c r="H2100" s="654">
        <v>560.92165093999995</v>
      </c>
      <c r="I2100" s="654">
        <v>0.46562442752932698</v>
      </c>
      <c r="J2100" s="191"/>
      <c r="K2100" s="191">
        <v>14272.1696690141</v>
      </c>
      <c r="L2100" s="191"/>
      <c r="M2100" s="191"/>
      <c r="N2100" s="191"/>
      <c r="O2100" s="191"/>
      <c r="P2100" s="191"/>
      <c r="Q2100" s="191"/>
      <c r="R2100" s="191"/>
      <c r="S2100" s="191"/>
      <c r="T2100" s="191"/>
      <c r="U2100" s="439"/>
      <c r="V2100" s="441"/>
      <c r="W2100" s="178"/>
      <c r="X2100" s="172"/>
      <c r="Y2100" s="172"/>
      <c r="Z2100" s="172"/>
      <c r="AA2100" s="195"/>
      <c r="AB2100" s="172"/>
    </row>
    <row r="2101" spans="1:28" ht="12.6" customHeight="1" x14ac:dyDescent="0.3">
      <c r="A2101" s="667"/>
      <c r="B2101" s="668" t="s">
        <v>8216</v>
      </c>
      <c r="C2101" s="160" t="s">
        <v>8217</v>
      </c>
      <c r="D2101" s="160"/>
      <c r="E2101" s="439"/>
      <c r="F2101" s="161">
        <v>254.03417549700001</v>
      </c>
      <c r="G2101" s="161"/>
      <c r="H2101" s="654"/>
      <c r="I2101" s="654"/>
      <c r="J2101" s="191"/>
      <c r="K2101" s="191">
        <v>2706.8238847469001</v>
      </c>
      <c r="L2101" s="191"/>
      <c r="M2101" s="191"/>
      <c r="N2101" s="191"/>
      <c r="O2101" s="191"/>
      <c r="P2101" s="191"/>
      <c r="Q2101" s="191"/>
      <c r="R2101" s="191"/>
      <c r="S2101" s="191"/>
      <c r="T2101" s="191"/>
      <c r="U2101" s="439"/>
      <c r="V2101" s="441"/>
      <c r="W2101" s="178"/>
      <c r="X2101" s="172"/>
      <c r="Y2101" s="172"/>
      <c r="Z2101" s="172"/>
      <c r="AA2101" s="195"/>
      <c r="AB2101" s="172"/>
    </row>
    <row r="2102" spans="1:28" ht="12.6" customHeight="1" x14ac:dyDescent="0.3">
      <c r="A2102" s="667"/>
      <c r="B2102" s="668" t="s">
        <v>8218</v>
      </c>
      <c r="C2102" s="160" t="s">
        <v>8219</v>
      </c>
      <c r="D2102" s="160"/>
      <c r="E2102" s="439"/>
      <c r="F2102" s="161">
        <v>609.85238000000004</v>
      </c>
      <c r="G2102" s="161"/>
      <c r="H2102" s="654"/>
      <c r="I2102" s="654"/>
      <c r="J2102" s="191"/>
      <c r="K2102" s="191">
        <v>68383.291357559501</v>
      </c>
      <c r="L2102" s="191"/>
      <c r="M2102" s="191"/>
      <c r="N2102" s="191"/>
      <c r="O2102" s="191"/>
      <c r="P2102" s="191"/>
      <c r="Q2102" s="191"/>
      <c r="R2102" s="191"/>
      <c r="S2102" s="191"/>
      <c r="T2102" s="191"/>
      <c r="U2102" s="439"/>
      <c r="V2102" s="441"/>
      <c r="W2102" s="178"/>
      <c r="X2102" s="172"/>
      <c r="Y2102" s="172"/>
      <c r="Z2102" s="172"/>
      <c r="AA2102" s="195"/>
      <c r="AB2102" s="172"/>
    </row>
    <row r="2103" spans="1:28" ht="12.6" customHeight="1" x14ac:dyDescent="0.3">
      <c r="A2103" s="667"/>
      <c r="B2103" s="668" t="s">
        <v>8220</v>
      </c>
      <c r="C2103" s="160" t="s">
        <v>8221</v>
      </c>
      <c r="D2103" s="160"/>
      <c r="E2103" s="439">
        <v>1.23</v>
      </c>
      <c r="F2103" s="161">
        <v>427.975181314</v>
      </c>
      <c r="G2103" s="161">
        <v>18.666</v>
      </c>
      <c r="H2103" s="654"/>
      <c r="I2103" s="654">
        <v>6.1719156847654499</v>
      </c>
      <c r="J2103" s="191"/>
      <c r="K2103" s="191">
        <v>5332.1210472698003</v>
      </c>
      <c r="L2103" s="191"/>
      <c r="M2103" s="191"/>
      <c r="N2103" s="191"/>
      <c r="O2103" s="191"/>
      <c r="P2103" s="191"/>
      <c r="Q2103" s="191"/>
      <c r="R2103" s="191"/>
      <c r="S2103" s="191"/>
      <c r="T2103" s="191"/>
      <c r="U2103" s="439"/>
      <c r="V2103" s="441"/>
      <c r="W2103" s="178"/>
      <c r="X2103" s="172"/>
      <c r="Y2103" s="172"/>
      <c r="Z2103" s="172"/>
      <c r="AA2103" s="195"/>
      <c r="AB2103" s="172"/>
    </row>
    <row r="2104" spans="1:28" ht="12.6" customHeight="1" x14ac:dyDescent="0.3">
      <c r="A2104" s="667"/>
      <c r="B2104" s="668" t="s">
        <v>8222</v>
      </c>
      <c r="C2104" s="160" t="s">
        <v>8223</v>
      </c>
      <c r="D2104" s="160"/>
      <c r="E2104" s="439"/>
      <c r="F2104" s="161">
        <v>561.84776999999997</v>
      </c>
      <c r="G2104" s="161">
        <v>-23.143000000000001</v>
      </c>
      <c r="H2104" s="654">
        <v>58.870995540000003</v>
      </c>
      <c r="I2104" s="654"/>
      <c r="J2104" s="191"/>
      <c r="K2104" s="191">
        <v>690557.74421968299</v>
      </c>
      <c r="L2104" s="191"/>
      <c r="M2104" s="191"/>
      <c r="N2104" s="191"/>
      <c r="O2104" s="191"/>
      <c r="P2104" s="191"/>
      <c r="Q2104" s="191"/>
      <c r="R2104" s="191"/>
      <c r="S2104" s="191"/>
      <c r="T2104" s="191"/>
      <c r="U2104" s="439"/>
      <c r="V2104" s="441"/>
      <c r="W2104" s="178"/>
      <c r="X2104" s="172"/>
      <c r="Y2104" s="172"/>
      <c r="Z2104" s="172"/>
      <c r="AA2104" s="195"/>
      <c r="AB2104" s="172"/>
    </row>
    <row r="2105" spans="1:28" ht="12.6" customHeight="1" x14ac:dyDescent="0.3">
      <c r="A2105" s="667"/>
      <c r="B2105" s="668" t="s">
        <v>8224</v>
      </c>
      <c r="C2105" s="160" t="s">
        <v>8225</v>
      </c>
      <c r="D2105" s="160"/>
      <c r="E2105" s="439"/>
      <c r="F2105" s="161">
        <v>461.85415999999998</v>
      </c>
      <c r="G2105" s="161">
        <v>-25.242000000000001</v>
      </c>
      <c r="H2105" s="654">
        <v>952.58035712000003</v>
      </c>
      <c r="I2105" s="654">
        <v>3.6433827265759899</v>
      </c>
      <c r="J2105" s="191"/>
      <c r="K2105" s="191">
        <v>25449.543698909602</v>
      </c>
      <c r="L2105" s="191"/>
      <c r="M2105" s="191"/>
      <c r="N2105" s="191"/>
      <c r="O2105" s="191"/>
      <c r="P2105" s="191"/>
      <c r="Q2105" s="191"/>
      <c r="R2105" s="191"/>
      <c r="S2105" s="191"/>
      <c r="T2105" s="191"/>
      <c r="U2105" s="439"/>
      <c r="V2105" s="441"/>
      <c r="W2105" s="178"/>
      <c r="X2105" s="172"/>
      <c r="Y2105" s="172"/>
      <c r="Z2105" s="172"/>
      <c r="AA2105" s="195"/>
      <c r="AB2105" s="172"/>
    </row>
    <row r="2106" spans="1:28" ht="12.6" customHeight="1" x14ac:dyDescent="0.3">
      <c r="A2106" s="667"/>
      <c r="B2106" s="668" t="s">
        <v>8226</v>
      </c>
      <c r="C2106" s="160" t="s">
        <v>8227</v>
      </c>
      <c r="D2106" s="160"/>
      <c r="E2106" s="439"/>
      <c r="F2106" s="161">
        <v>320.04832778000002</v>
      </c>
      <c r="G2106" s="161">
        <v>-74.536000000000001</v>
      </c>
      <c r="H2106" s="654">
        <v>24.093551873999999</v>
      </c>
      <c r="I2106" s="654"/>
      <c r="J2106" s="191"/>
      <c r="K2106" s="191">
        <v>2905.1596260542601</v>
      </c>
      <c r="L2106" s="191"/>
      <c r="M2106" s="191"/>
      <c r="N2106" s="191"/>
      <c r="O2106" s="191"/>
      <c r="P2106" s="191"/>
      <c r="Q2106" s="191"/>
      <c r="R2106" s="191"/>
      <c r="S2106" s="191"/>
      <c r="T2106" s="191"/>
      <c r="U2106" s="439"/>
      <c r="V2106" s="441"/>
      <c r="W2106" s="178"/>
      <c r="X2106" s="172"/>
      <c r="Y2106" s="172"/>
      <c r="Z2106" s="172"/>
      <c r="AA2106" s="195"/>
      <c r="AB2106" s="172"/>
    </row>
    <row r="2107" spans="1:28" ht="12.6" customHeight="1" x14ac:dyDescent="0.3">
      <c r="A2107" s="667"/>
      <c r="B2107" s="668" t="s">
        <v>8228</v>
      </c>
      <c r="C2107" s="160" t="s">
        <v>8229</v>
      </c>
      <c r="D2107" s="160"/>
      <c r="E2107" s="439"/>
      <c r="F2107" s="161">
        <v>324.07962790900001</v>
      </c>
      <c r="G2107" s="161"/>
      <c r="H2107" s="654"/>
      <c r="I2107" s="654"/>
      <c r="J2107" s="191"/>
      <c r="K2107" s="191">
        <v>64.866430495559698</v>
      </c>
      <c r="L2107" s="191"/>
      <c r="M2107" s="191"/>
      <c r="N2107" s="191"/>
      <c r="O2107" s="191"/>
      <c r="P2107" s="191"/>
      <c r="Q2107" s="191"/>
      <c r="R2107" s="191"/>
      <c r="S2107" s="191"/>
      <c r="T2107" s="191"/>
      <c r="U2107" s="439"/>
      <c r="V2107" s="441"/>
      <c r="W2107" s="178"/>
      <c r="X2107" s="172"/>
      <c r="Y2107" s="172"/>
      <c r="Z2107" s="172"/>
      <c r="AA2107" s="195"/>
      <c r="AB2107" s="172"/>
    </row>
    <row r="2108" spans="1:28" ht="12.6" customHeight="1" x14ac:dyDescent="0.3">
      <c r="A2108" s="667"/>
      <c r="B2108" s="668" t="s">
        <v>8230</v>
      </c>
      <c r="C2108" s="160" t="s">
        <v>8231</v>
      </c>
      <c r="D2108" s="160"/>
      <c r="E2108" s="439"/>
      <c r="F2108" s="161">
        <v>295.98951093400001</v>
      </c>
      <c r="G2108" s="161"/>
      <c r="H2108" s="654"/>
      <c r="I2108" s="654"/>
      <c r="J2108" s="191"/>
      <c r="K2108" s="191">
        <v>369.54727143658602</v>
      </c>
      <c r="L2108" s="191"/>
      <c r="M2108" s="191"/>
      <c r="N2108" s="191"/>
      <c r="O2108" s="191"/>
      <c r="P2108" s="191"/>
      <c r="Q2108" s="191"/>
      <c r="R2108" s="191"/>
      <c r="S2108" s="191"/>
      <c r="T2108" s="191"/>
      <c r="U2108" s="439"/>
      <c r="V2108" s="441"/>
      <c r="W2108" s="178"/>
      <c r="X2108" s="172"/>
      <c r="Y2108" s="172"/>
      <c r="Z2108" s="172"/>
      <c r="AA2108" s="195"/>
      <c r="AB2108" s="172"/>
    </row>
    <row r="2109" spans="1:28" ht="12.6" customHeight="1" x14ac:dyDescent="0.3">
      <c r="A2109" s="667"/>
      <c r="B2109" s="668" t="s">
        <v>8232</v>
      </c>
      <c r="C2109" s="160" t="s">
        <v>8233</v>
      </c>
      <c r="D2109" s="160"/>
      <c r="E2109" s="439"/>
      <c r="F2109" s="161">
        <v>342.04663188799998</v>
      </c>
      <c r="G2109" s="161"/>
      <c r="H2109" s="654"/>
      <c r="I2109" s="654"/>
      <c r="J2109" s="191"/>
      <c r="K2109" s="191">
        <v>23043052.006345801</v>
      </c>
      <c r="L2109" s="191"/>
      <c r="M2109" s="191"/>
      <c r="N2109" s="191"/>
      <c r="O2109" s="191"/>
      <c r="P2109" s="191"/>
      <c r="Q2109" s="191"/>
      <c r="R2109" s="191"/>
      <c r="S2109" s="191"/>
      <c r="T2109" s="191"/>
      <c r="U2109" s="439"/>
      <c r="V2109" s="441"/>
      <c r="W2109" s="178"/>
      <c r="X2109" s="172"/>
      <c r="Y2109" s="172"/>
      <c r="Z2109" s="172"/>
      <c r="AA2109" s="195"/>
      <c r="AB2109" s="172"/>
    </row>
    <row r="2110" spans="1:28" ht="12.6" customHeight="1" x14ac:dyDescent="0.3">
      <c r="A2110" s="667"/>
      <c r="B2110" s="668" t="s">
        <v>8234</v>
      </c>
      <c r="C2110" s="160" t="s">
        <v>8235</v>
      </c>
      <c r="D2110" s="160"/>
      <c r="E2110" s="439"/>
      <c r="F2110" s="161">
        <v>723.89904000000001</v>
      </c>
      <c r="G2110" s="161"/>
      <c r="H2110" s="654"/>
      <c r="I2110" s="654"/>
      <c r="J2110" s="191"/>
      <c r="K2110" s="191">
        <v>3167451.6918752799</v>
      </c>
      <c r="L2110" s="191"/>
      <c r="M2110" s="191"/>
      <c r="N2110" s="191"/>
      <c r="O2110" s="191"/>
      <c r="P2110" s="191"/>
      <c r="Q2110" s="191"/>
      <c r="R2110" s="191"/>
      <c r="S2110" s="191"/>
      <c r="T2110" s="191"/>
      <c r="U2110" s="439"/>
      <c r="V2110" s="441"/>
      <c r="W2110" s="178"/>
      <c r="X2110" s="172"/>
      <c r="Y2110" s="172"/>
      <c r="Z2110" s="172"/>
      <c r="AA2110" s="195"/>
      <c r="AB2110" s="172"/>
    </row>
    <row r="2111" spans="1:28" ht="12.6" customHeight="1" x14ac:dyDescent="0.3">
      <c r="A2111" s="667"/>
      <c r="B2111" s="668" t="s">
        <v>8236</v>
      </c>
      <c r="C2111" s="160" t="s">
        <v>8237</v>
      </c>
      <c r="D2111" s="160"/>
      <c r="E2111" s="439"/>
      <c r="F2111" s="161">
        <v>623.90543000000002</v>
      </c>
      <c r="G2111" s="161">
        <v>-26.963000000000001</v>
      </c>
      <c r="H2111" s="654">
        <v>66.206638623999893</v>
      </c>
      <c r="I2111" s="654">
        <v>4.4067563550673997E-2</v>
      </c>
      <c r="J2111" s="191"/>
      <c r="K2111" s="191">
        <v>6969634.4434793303</v>
      </c>
      <c r="L2111" s="191"/>
      <c r="M2111" s="191"/>
      <c r="N2111" s="191"/>
      <c r="O2111" s="191"/>
      <c r="P2111" s="191"/>
      <c r="Q2111" s="191"/>
      <c r="R2111" s="191"/>
      <c r="S2111" s="191"/>
      <c r="T2111" s="191"/>
      <c r="U2111" s="439"/>
      <c r="V2111" s="441"/>
      <c r="W2111" s="178"/>
      <c r="X2111" s="172"/>
      <c r="Y2111" s="172"/>
      <c r="Z2111" s="172"/>
      <c r="AA2111" s="195"/>
      <c r="AB2111" s="172"/>
    </row>
    <row r="2112" spans="1:28" ht="12.6" customHeight="1" x14ac:dyDescent="0.3">
      <c r="A2112" s="667"/>
      <c r="B2112" s="668" t="s">
        <v>8238</v>
      </c>
      <c r="C2112" s="160" t="s">
        <v>8239</v>
      </c>
      <c r="D2112" s="160"/>
      <c r="E2112" s="439"/>
      <c r="F2112" s="161">
        <v>426.010087226</v>
      </c>
      <c r="G2112" s="161">
        <v>-68.685000000000002</v>
      </c>
      <c r="H2112" s="654">
        <v>107.870296912</v>
      </c>
      <c r="I2112" s="654">
        <v>0.91289275581572304</v>
      </c>
      <c r="J2112" s="191"/>
      <c r="K2112" s="191">
        <v>19628.178552851299</v>
      </c>
      <c r="L2112" s="191"/>
      <c r="M2112" s="191"/>
      <c r="N2112" s="191"/>
      <c r="O2112" s="191"/>
      <c r="P2112" s="191"/>
      <c r="Q2112" s="191"/>
      <c r="R2112" s="191"/>
      <c r="S2112" s="191"/>
      <c r="T2112" s="191"/>
      <c r="U2112" s="439"/>
      <c r="V2112" s="441"/>
      <c r="W2112" s="178"/>
      <c r="X2112" s="172"/>
      <c r="Y2112" s="172"/>
      <c r="Z2112" s="172"/>
      <c r="AA2112" s="195"/>
      <c r="AB2112" s="172"/>
    </row>
    <row r="2113" spans="1:28" ht="12.6" customHeight="1" x14ac:dyDescent="0.3">
      <c r="A2113" s="667"/>
      <c r="B2113" s="668" t="s">
        <v>8240</v>
      </c>
      <c r="C2113" s="160" t="s">
        <v>8241</v>
      </c>
      <c r="D2113" s="160"/>
      <c r="E2113" s="439"/>
      <c r="F2113" s="161">
        <v>523.91182000000003</v>
      </c>
      <c r="G2113" s="161">
        <v>-28.876000000000001</v>
      </c>
      <c r="H2113" s="654">
        <v>412.00497660000002</v>
      </c>
      <c r="I2113" s="654">
        <v>0.22816988455184001</v>
      </c>
      <c r="J2113" s="191"/>
      <c r="K2113" s="191">
        <v>2347523.7784508602</v>
      </c>
      <c r="L2113" s="191"/>
      <c r="M2113" s="191"/>
      <c r="N2113" s="191"/>
      <c r="O2113" s="191"/>
      <c r="P2113" s="191"/>
      <c r="Q2113" s="191"/>
      <c r="R2113" s="191"/>
      <c r="S2113" s="191"/>
      <c r="T2113" s="191"/>
      <c r="U2113" s="439"/>
      <c r="V2113" s="441"/>
      <c r="W2113" s="178"/>
      <c r="X2113" s="172"/>
      <c r="Y2113" s="172"/>
      <c r="Z2113" s="172"/>
      <c r="AA2113" s="195"/>
      <c r="AB2113" s="172"/>
    </row>
    <row r="2114" spans="1:28" ht="12.6" customHeight="1" x14ac:dyDescent="0.3">
      <c r="A2114" s="667"/>
      <c r="B2114" s="668" t="s">
        <v>8242</v>
      </c>
      <c r="C2114" s="160" t="s">
        <v>8243</v>
      </c>
      <c r="D2114" s="160"/>
      <c r="E2114" s="439"/>
      <c r="F2114" s="161">
        <v>468.02065191000003</v>
      </c>
      <c r="G2114" s="161">
        <v>-84.254000000000005</v>
      </c>
      <c r="H2114" s="654">
        <v>72.427176500000002</v>
      </c>
      <c r="I2114" s="654">
        <v>1.1383198295754999</v>
      </c>
      <c r="J2114" s="191"/>
      <c r="K2114" s="191">
        <v>25987.230588467501</v>
      </c>
      <c r="L2114" s="191"/>
      <c r="M2114" s="191"/>
      <c r="N2114" s="191"/>
      <c r="O2114" s="191"/>
      <c r="P2114" s="191"/>
      <c r="Q2114" s="191"/>
      <c r="R2114" s="191"/>
      <c r="S2114" s="191"/>
      <c r="T2114" s="191"/>
      <c r="U2114" s="439"/>
      <c r="V2114" s="441"/>
      <c r="W2114" s="178"/>
      <c r="X2114" s="172"/>
      <c r="Y2114" s="172"/>
      <c r="Z2114" s="172"/>
      <c r="AA2114" s="195"/>
      <c r="AB2114" s="172"/>
    </row>
    <row r="2115" spans="1:28" ht="12.6" customHeight="1" x14ac:dyDescent="0.3">
      <c r="A2115" s="667"/>
      <c r="B2115" s="668" t="s">
        <v>8244</v>
      </c>
      <c r="C2115" s="160" t="s">
        <v>8245</v>
      </c>
      <c r="D2115" s="160"/>
      <c r="E2115" s="439"/>
      <c r="F2115" s="161">
        <v>296.00590989</v>
      </c>
      <c r="G2115" s="161">
        <v>-109.88</v>
      </c>
      <c r="H2115" s="654">
        <v>6605.4384899999995</v>
      </c>
      <c r="I2115" s="654">
        <v>18.3358196828171</v>
      </c>
      <c r="J2115" s="191"/>
      <c r="K2115" s="191">
        <v>5999.84457221917</v>
      </c>
      <c r="L2115" s="191"/>
      <c r="M2115" s="191"/>
      <c r="N2115" s="191"/>
      <c r="O2115" s="191"/>
      <c r="P2115" s="191"/>
      <c r="Q2115" s="191"/>
      <c r="R2115" s="191"/>
      <c r="S2115" s="191"/>
      <c r="T2115" s="191"/>
      <c r="U2115" s="439"/>
      <c r="V2115" s="441"/>
      <c r="W2115" s="178"/>
      <c r="X2115" s="172"/>
      <c r="Y2115" s="172"/>
      <c r="Z2115" s="172"/>
      <c r="AA2115" s="195"/>
      <c r="AB2115" s="172"/>
    </row>
    <row r="2116" spans="1:28" ht="12.6" customHeight="1" x14ac:dyDescent="0.3">
      <c r="A2116" s="667"/>
      <c r="B2116" s="668" t="s">
        <v>8246</v>
      </c>
      <c r="C2116" s="160" t="s">
        <v>8247</v>
      </c>
      <c r="D2116" s="160"/>
      <c r="E2116" s="439"/>
      <c r="F2116" s="161">
        <v>326.01647457399997</v>
      </c>
      <c r="G2116" s="161"/>
      <c r="H2116" s="654"/>
      <c r="I2116" s="654"/>
      <c r="J2116" s="191"/>
      <c r="K2116" s="191">
        <v>20452.669474948601</v>
      </c>
      <c r="L2116" s="191"/>
      <c r="M2116" s="191"/>
      <c r="N2116" s="191"/>
      <c r="O2116" s="191"/>
      <c r="P2116" s="191"/>
      <c r="Q2116" s="191"/>
      <c r="R2116" s="191"/>
      <c r="S2116" s="191"/>
      <c r="T2116" s="191"/>
      <c r="U2116" s="439"/>
      <c r="V2116" s="441"/>
      <c r="W2116" s="178"/>
      <c r="X2116" s="172"/>
      <c r="Y2116" s="172"/>
      <c r="Z2116" s="172"/>
      <c r="AA2116" s="195"/>
      <c r="AB2116" s="172"/>
    </row>
    <row r="2117" spans="1:28" ht="12.6" customHeight="1" x14ac:dyDescent="0.3">
      <c r="A2117" s="667"/>
      <c r="B2117" s="668" t="s">
        <v>8248</v>
      </c>
      <c r="C2117" s="160" t="s">
        <v>8249</v>
      </c>
      <c r="D2117" s="160"/>
      <c r="E2117" s="439"/>
      <c r="F2117" s="161">
        <v>368.027039258</v>
      </c>
      <c r="G2117" s="161">
        <v>-61.27</v>
      </c>
      <c r="H2117" s="654">
        <v>131.19031454200001</v>
      </c>
      <c r="I2117" s="654">
        <v>5.5192279023443698</v>
      </c>
      <c r="J2117" s="191"/>
      <c r="K2117" s="191">
        <v>6416.6743625603704</v>
      </c>
      <c r="L2117" s="191"/>
      <c r="M2117" s="191"/>
      <c r="N2117" s="191"/>
      <c r="O2117" s="191"/>
      <c r="P2117" s="191"/>
      <c r="Q2117" s="191"/>
      <c r="R2117" s="191"/>
      <c r="S2117" s="191"/>
      <c r="T2117" s="191"/>
      <c r="U2117" s="439"/>
      <c r="V2117" s="441"/>
      <c r="W2117" s="178"/>
      <c r="X2117" s="172"/>
      <c r="Y2117" s="172"/>
      <c r="Z2117" s="172"/>
      <c r="AA2117" s="195"/>
      <c r="AB2117" s="172"/>
    </row>
    <row r="2118" spans="1:28" ht="12.6" customHeight="1" x14ac:dyDescent="0.3">
      <c r="A2118" s="667"/>
      <c r="B2118" s="668" t="s">
        <v>8250</v>
      </c>
      <c r="C2118" s="160" t="s">
        <v>8251</v>
      </c>
      <c r="D2118" s="160"/>
      <c r="E2118" s="439"/>
      <c r="F2118" s="161">
        <v>395.88690000000003</v>
      </c>
      <c r="G2118" s="161">
        <v>-62.097000000000001</v>
      </c>
      <c r="H2118" s="654">
        <v>21722.153460000001</v>
      </c>
      <c r="I2118" s="654">
        <v>8.2522228418099992</v>
      </c>
      <c r="J2118" s="191"/>
      <c r="K2118" s="191">
        <v>8205.0267258777603</v>
      </c>
      <c r="L2118" s="191"/>
      <c r="M2118" s="191"/>
      <c r="N2118" s="191"/>
      <c r="O2118" s="191"/>
      <c r="P2118" s="191"/>
      <c r="Q2118" s="191"/>
      <c r="R2118" s="191"/>
      <c r="S2118" s="191"/>
      <c r="T2118" s="191"/>
      <c r="U2118" s="439"/>
      <c r="V2118" s="441"/>
      <c r="W2118" s="178"/>
      <c r="X2118" s="172"/>
      <c r="Y2118" s="172"/>
      <c r="Z2118" s="172"/>
      <c r="AA2118" s="195"/>
      <c r="AB2118" s="172"/>
    </row>
    <row r="2119" spans="1:28" ht="12.6" customHeight="1" x14ac:dyDescent="0.3">
      <c r="A2119" s="667"/>
      <c r="B2119" s="668" t="s">
        <v>8252</v>
      </c>
      <c r="C2119" s="160" t="s">
        <v>8253</v>
      </c>
      <c r="D2119" s="160"/>
      <c r="E2119" s="439"/>
      <c r="F2119" s="161">
        <v>345.89010000000002</v>
      </c>
      <c r="G2119" s="161"/>
      <c r="H2119" s="654"/>
      <c r="I2119" s="654"/>
      <c r="J2119" s="191"/>
      <c r="K2119" s="191">
        <v>304.69827812793602</v>
      </c>
      <c r="L2119" s="191"/>
      <c r="M2119" s="191"/>
      <c r="N2119" s="191"/>
      <c r="O2119" s="191"/>
      <c r="P2119" s="191"/>
      <c r="Q2119" s="191"/>
      <c r="R2119" s="191"/>
      <c r="S2119" s="191"/>
      <c r="T2119" s="191"/>
      <c r="U2119" s="439"/>
      <c r="V2119" s="441"/>
      <c r="W2119" s="178"/>
      <c r="X2119" s="172"/>
      <c r="Y2119" s="172"/>
      <c r="Z2119" s="172"/>
      <c r="AA2119" s="195"/>
      <c r="AB2119" s="172"/>
    </row>
    <row r="2120" spans="1:28" ht="12.6" customHeight="1" x14ac:dyDescent="0.3">
      <c r="A2120" s="667"/>
      <c r="B2120" s="668" t="s">
        <v>8254</v>
      </c>
      <c r="C2120" s="160" t="s">
        <v>8255</v>
      </c>
      <c r="D2120" s="160"/>
      <c r="E2120" s="439"/>
      <c r="F2120" s="161">
        <v>193.99664717300001</v>
      </c>
      <c r="G2120" s="161">
        <v>-74.22</v>
      </c>
      <c r="H2120" s="654">
        <v>127615.01846799999</v>
      </c>
      <c r="I2120" s="654">
        <v>86.256923229178099</v>
      </c>
      <c r="J2120" s="191"/>
      <c r="K2120" s="191">
        <v>98.607511748811604</v>
      </c>
      <c r="L2120" s="191"/>
      <c r="M2120" s="191"/>
      <c r="N2120" s="191"/>
      <c r="O2120" s="191"/>
      <c r="P2120" s="191"/>
      <c r="Q2120" s="191"/>
      <c r="R2120" s="191"/>
      <c r="S2120" s="191"/>
      <c r="T2120" s="191"/>
      <c r="U2120" s="439"/>
      <c r="V2120" s="441"/>
      <c r="W2120" s="178"/>
      <c r="X2120" s="172"/>
      <c r="Y2120" s="172"/>
      <c r="Z2120" s="172"/>
      <c r="AA2120" s="195"/>
      <c r="AB2120" s="172"/>
    </row>
    <row r="2121" spans="1:28" ht="12.6" customHeight="1" x14ac:dyDescent="0.3">
      <c r="A2121" s="667"/>
      <c r="B2121" s="668" t="s">
        <v>8256</v>
      </c>
      <c r="C2121" s="160" t="s">
        <v>8257</v>
      </c>
      <c r="D2121" s="160"/>
      <c r="E2121" s="439"/>
      <c r="F2121" s="161">
        <v>196.012297238</v>
      </c>
      <c r="G2121" s="161">
        <v>-79.183000000000007</v>
      </c>
      <c r="H2121" s="654">
        <v>103015.376282</v>
      </c>
      <c r="I2121" s="654">
        <v>39.380634625789298</v>
      </c>
      <c r="J2121" s="191"/>
      <c r="K2121" s="191">
        <v>106.878413863015</v>
      </c>
      <c r="L2121" s="191"/>
      <c r="M2121" s="191"/>
      <c r="N2121" s="191"/>
      <c r="O2121" s="191"/>
      <c r="P2121" s="191"/>
      <c r="Q2121" s="191"/>
      <c r="R2121" s="191"/>
      <c r="S2121" s="191"/>
      <c r="T2121" s="191"/>
      <c r="U2121" s="439"/>
      <c r="V2121" s="441"/>
      <c r="W2121" s="178"/>
      <c r="X2121" s="172"/>
      <c r="Y2121" s="172"/>
      <c r="Z2121" s="172"/>
      <c r="AA2121" s="195"/>
      <c r="AB2121" s="172"/>
    </row>
    <row r="2122" spans="1:28" ht="12.6" customHeight="1" x14ac:dyDescent="0.3">
      <c r="A2122" s="667"/>
      <c r="B2122" s="668" t="s">
        <v>8258</v>
      </c>
      <c r="C2122" s="160" t="s">
        <v>8259</v>
      </c>
      <c r="D2122" s="160"/>
      <c r="E2122" s="439"/>
      <c r="F2122" s="161">
        <v>321.90893999999997</v>
      </c>
      <c r="G2122" s="161"/>
      <c r="H2122" s="654"/>
      <c r="I2122" s="654"/>
      <c r="J2122" s="191"/>
      <c r="K2122" s="191">
        <v>497.90902696937201</v>
      </c>
      <c r="L2122" s="191"/>
      <c r="M2122" s="191"/>
      <c r="N2122" s="191"/>
      <c r="O2122" s="191"/>
      <c r="P2122" s="191"/>
      <c r="Q2122" s="191"/>
      <c r="R2122" s="191"/>
      <c r="S2122" s="191"/>
      <c r="T2122" s="191"/>
      <c r="U2122" s="439"/>
      <c r="V2122" s="441"/>
      <c r="W2122" s="178"/>
      <c r="X2122" s="172"/>
      <c r="Y2122" s="172"/>
      <c r="Z2122" s="172"/>
      <c r="AA2122" s="195"/>
      <c r="AB2122" s="172"/>
    </row>
    <row r="2123" spans="1:28" ht="12.6" customHeight="1" x14ac:dyDescent="0.3">
      <c r="A2123" s="667"/>
      <c r="B2123" s="668" t="s">
        <v>8260</v>
      </c>
      <c r="C2123" s="160" t="s">
        <v>8261</v>
      </c>
      <c r="D2123" s="160"/>
      <c r="E2123" s="439"/>
      <c r="F2123" s="161">
        <v>321.90893999999997</v>
      </c>
      <c r="G2123" s="161"/>
      <c r="H2123" s="654"/>
      <c r="I2123" s="654"/>
      <c r="J2123" s="191"/>
      <c r="K2123" s="191"/>
      <c r="L2123" s="191"/>
      <c r="M2123" s="191"/>
      <c r="N2123" s="191"/>
      <c r="O2123" s="191"/>
      <c r="P2123" s="191"/>
      <c r="Q2123" s="191"/>
      <c r="R2123" s="191"/>
      <c r="S2123" s="191"/>
      <c r="T2123" s="191"/>
      <c r="U2123" s="439"/>
      <c r="V2123" s="441"/>
      <c r="W2123" s="178"/>
      <c r="X2123" s="172"/>
      <c r="Y2123" s="172"/>
      <c r="Z2123" s="172"/>
      <c r="AA2123" s="195"/>
      <c r="AB2123" s="172"/>
    </row>
    <row r="2124" spans="1:28" ht="12.6" customHeight="1" x14ac:dyDescent="0.3">
      <c r="A2124" s="667"/>
      <c r="B2124" s="668" t="s">
        <v>8262</v>
      </c>
      <c r="C2124" s="160" t="s">
        <v>8263</v>
      </c>
      <c r="D2124" s="160"/>
      <c r="E2124" s="439"/>
      <c r="F2124" s="161">
        <v>212.00721185800001</v>
      </c>
      <c r="G2124" s="161"/>
      <c r="H2124" s="654"/>
      <c r="I2124" s="654"/>
      <c r="J2124" s="191"/>
      <c r="K2124" s="191">
        <v>1186.45152802896</v>
      </c>
      <c r="L2124" s="191"/>
      <c r="M2124" s="191"/>
      <c r="N2124" s="191"/>
      <c r="O2124" s="191"/>
      <c r="P2124" s="191"/>
      <c r="Q2124" s="191"/>
      <c r="R2124" s="191"/>
      <c r="S2124" s="191"/>
      <c r="T2124" s="191"/>
      <c r="U2124" s="439"/>
      <c r="V2124" s="441"/>
      <c r="W2124" s="178"/>
      <c r="X2124" s="172"/>
      <c r="Y2124" s="172"/>
      <c r="Z2124" s="172"/>
      <c r="AA2124" s="195"/>
      <c r="AB2124" s="172"/>
    </row>
    <row r="2125" spans="1:28" ht="12.6" customHeight="1" x14ac:dyDescent="0.3">
      <c r="A2125" s="667"/>
      <c r="B2125" s="668" t="s">
        <v>8264</v>
      </c>
      <c r="C2125" s="160" t="s">
        <v>8265</v>
      </c>
      <c r="D2125" s="160"/>
      <c r="E2125" s="439"/>
      <c r="F2125" s="161">
        <v>226.022861922</v>
      </c>
      <c r="G2125" s="161"/>
      <c r="H2125" s="654"/>
      <c r="I2125" s="654"/>
      <c r="J2125" s="191"/>
      <c r="K2125" s="191">
        <v>14904.2456521602</v>
      </c>
      <c r="L2125" s="191"/>
      <c r="M2125" s="191"/>
      <c r="N2125" s="191"/>
      <c r="O2125" s="191"/>
      <c r="P2125" s="191"/>
      <c r="Q2125" s="191"/>
      <c r="R2125" s="191"/>
      <c r="S2125" s="191"/>
      <c r="T2125" s="191"/>
      <c r="U2125" s="439"/>
      <c r="V2125" s="441"/>
      <c r="W2125" s="178"/>
      <c r="X2125" s="172"/>
      <c r="Y2125" s="172"/>
      <c r="Z2125" s="172"/>
      <c r="AA2125" s="195"/>
      <c r="AB2125" s="172"/>
    </row>
    <row r="2126" spans="1:28" ht="12.6" customHeight="1" x14ac:dyDescent="0.3">
      <c r="A2126" s="667"/>
      <c r="B2126" s="668" t="s">
        <v>8266</v>
      </c>
      <c r="C2126" s="160" t="s">
        <v>8267</v>
      </c>
      <c r="D2126" s="160"/>
      <c r="E2126" s="439"/>
      <c r="F2126" s="161">
        <v>275.93846000000002</v>
      </c>
      <c r="G2126" s="161"/>
      <c r="H2126" s="654"/>
      <c r="I2126" s="654"/>
      <c r="J2126" s="191"/>
      <c r="K2126" s="191">
        <v>25140.852495887299</v>
      </c>
      <c r="L2126" s="191"/>
      <c r="M2126" s="191"/>
      <c r="N2126" s="191"/>
      <c r="O2126" s="191"/>
      <c r="P2126" s="191"/>
      <c r="Q2126" s="191"/>
      <c r="R2126" s="191"/>
      <c r="S2126" s="191"/>
      <c r="T2126" s="191"/>
      <c r="U2126" s="439"/>
      <c r="V2126" s="441"/>
      <c r="W2126" s="178"/>
      <c r="X2126" s="172"/>
      <c r="Y2126" s="172"/>
      <c r="Z2126" s="172"/>
      <c r="AA2126" s="195"/>
      <c r="AB2126" s="172"/>
    </row>
    <row r="2127" spans="1:28" ht="12.6" customHeight="1" x14ac:dyDescent="0.3">
      <c r="A2127" s="667"/>
      <c r="B2127" s="668" t="s">
        <v>8268</v>
      </c>
      <c r="C2127" s="160" t="s">
        <v>8269</v>
      </c>
      <c r="D2127" s="160"/>
      <c r="E2127" s="439"/>
      <c r="F2127" s="161">
        <v>547.97969543199997</v>
      </c>
      <c r="G2127" s="161"/>
      <c r="H2127" s="654"/>
      <c r="I2127" s="654"/>
      <c r="J2127" s="191"/>
      <c r="K2127" s="191">
        <v>1512794.7198173499</v>
      </c>
      <c r="L2127" s="191"/>
      <c r="M2127" s="191"/>
      <c r="N2127" s="191"/>
      <c r="O2127" s="191"/>
      <c r="P2127" s="191"/>
      <c r="Q2127" s="191"/>
      <c r="R2127" s="191"/>
      <c r="S2127" s="191"/>
      <c r="T2127" s="191"/>
      <c r="U2127" s="439"/>
      <c r="V2127" s="441"/>
      <c r="W2127" s="178"/>
      <c r="X2127" s="172"/>
      <c r="Y2127" s="172"/>
      <c r="Z2127" s="172"/>
      <c r="AA2127" s="195"/>
      <c r="AB2127" s="172"/>
    </row>
    <row r="2128" spans="1:28" ht="12.6" customHeight="1" x14ac:dyDescent="0.3">
      <c r="A2128" s="667"/>
      <c r="B2128" s="668" t="s">
        <v>8270</v>
      </c>
      <c r="C2128" s="160" t="s">
        <v>8271</v>
      </c>
      <c r="D2128" s="160"/>
      <c r="E2128" s="439"/>
      <c r="F2128" s="161">
        <v>351.95589000000001</v>
      </c>
      <c r="G2128" s="161"/>
      <c r="H2128" s="654"/>
      <c r="I2128" s="654"/>
      <c r="J2128" s="191"/>
      <c r="K2128" s="191">
        <v>72709.306103047405</v>
      </c>
      <c r="L2128" s="191"/>
      <c r="M2128" s="191"/>
      <c r="N2128" s="191"/>
      <c r="O2128" s="191"/>
      <c r="P2128" s="191"/>
      <c r="Q2128" s="191"/>
      <c r="R2128" s="191"/>
      <c r="S2128" s="191"/>
      <c r="T2128" s="191"/>
      <c r="U2128" s="439"/>
      <c r="V2128" s="441"/>
      <c r="W2128" s="178"/>
      <c r="X2128" s="172"/>
      <c r="Y2128" s="172"/>
      <c r="Z2128" s="172"/>
      <c r="AA2128" s="195"/>
      <c r="AB2128" s="172"/>
    </row>
    <row r="2129" spans="1:28" ht="12.6" customHeight="1" x14ac:dyDescent="0.3">
      <c r="A2129" s="667"/>
      <c r="B2129" s="668" t="s">
        <v>8272</v>
      </c>
      <c r="C2129" s="160" t="s">
        <v>8273</v>
      </c>
      <c r="D2129" s="160"/>
      <c r="E2129" s="439"/>
      <c r="F2129" s="161">
        <v>323.92459000000002</v>
      </c>
      <c r="G2129" s="161">
        <v>-51.451000000000001</v>
      </c>
      <c r="H2129" s="654">
        <v>13705.768244000001</v>
      </c>
      <c r="I2129" s="654">
        <v>18.257620805841999</v>
      </c>
      <c r="J2129" s="191"/>
      <c r="K2129" s="191">
        <v>6814.1234920136803</v>
      </c>
      <c r="L2129" s="191"/>
      <c r="M2129" s="191"/>
      <c r="N2129" s="191"/>
      <c r="O2129" s="191"/>
      <c r="P2129" s="191"/>
      <c r="Q2129" s="191"/>
      <c r="R2129" s="191"/>
      <c r="S2129" s="191"/>
      <c r="T2129" s="191"/>
      <c r="U2129" s="439"/>
      <c r="V2129" s="441"/>
      <c r="W2129" s="178"/>
      <c r="X2129" s="172"/>
      <c r="Y2129" s="172"/>
      <c r="Z2129" s="172"/>
      <c r="AA2129" s="195"/>
      <c r="AB2129" s="172"/>
    </row>
    <row r="2130" spans="1:28" ht="12.6" customHeight="1" x14ac:dyDescent="0.3">
      <c r="A2130" s="667"/>
      <c r="B2130" s="668" t="s">
        <v>8274</v>
      </c>
      <c r="C2130" s="160" t="s">
        <v>8275</v>
      </c>
      <c r="D2130" s="160"/>
      <c r="E2130" s="439"/>
      <c r="F2130" s="161">
        <v>240.038511986</v>
      </c>
      <c r="G2130" s="161">
        <v>-92.356999999999999</v>
      </c>
      <c r="H2130" s="654">
        <v>3934.6121962000002</v>
      </c>
      <c r="I2130" s="654">
        <v>56.922012616823999</v>
      </c>
      <c r="J2130" s="191"/>
      <c r="K2130" s="191">
        <v>211.42678214218799</v>
      </c>
      <c r="L2130" s="191"/>
      <c r="M2130" s="191"/>
      <c r="N2130" s="191"/>
      <c r="O2130" s="191"/>
      <c r="P2130" s="191"/>
      <c r="Q2130" s="191"/>
      <c r="R2130" s="191"/>
      <c r="S2130" s="191"/>
      <c r="T2130" s="191"/>
      <c r="U2130" s="439"/>
      <c r="V2130" s="441"/>
      <c r="W2130" s="178"/>
      <c r="X2130" s="172"/>
      <c r="Y2130" s="172"/>
      <c r="Z2130" s="172"/>
      <c r="AA2130" s="195"/>
      <c r="AB2130" s="172"/>
    </row>
    <row r="2131" spans="1:28" ht="12.6" customHeight="1" x14ac:dyDescent="0.3">
      <c r="A2131" s="667"/>
      <c r="B2131" s="668" t="s">
        <v>8276</v>
      </c>
      <c r="C2131" s="160" t="s">
        <v>8277</v>
      </c>
      <c r="D2131" s="160"/>
      <c r="E2131" s="439">
        <v>4.83</v>
      </c>
      <c r="F2131" s="161">
        <v>245.97947289999999</v>
      </c>
      <c r="G2131" s="161"/>
      <c r="H2131" s="654"/>
      <c r="I2131" s="654"/>
      <c r="J2131" s="191"/>
      <c r="K2131" s="191">
        <v>98.1680128616877</v>
      </c>
      <c r="L2131" s="191"/>
      <c r="M2131" s="191"/>
      <c r="N2131" s="191"/>
      <c r="O2131" s="191"/>
      <c r="P2131" s="191"/>
      <c r="Q2131" s="191"/>
      <c r="R2131" s="191"/>
      <c r="S2131" s="191"/>
      <c r="T2131" s="191"/>
      <c r="U2131" s="439"/>
      <c r="V2131" s="441"/>
      <c r="W2131" s="178"/>
      <c r="X2131" s="172"/>
      <c r="Y2131" s="172"/>
      <c r="Z2131" s="172"/>
      <c r="AA2131" s="195"/>
      <c r="AB2131" s="172"/>
    </row>
    <row r="2132" spans="1:28" ht="12.6" customHeight="1" x14ac:dyDescent="0.3">
      <c r="A2132" s="667"/>
      <c r="B2132" s="668" t="s">
        <v>8278</v>
      </c>
      <c r="C2132" s="160" t="s">
        <v>8279</v>
      </c>
      <c r="D2132" s="160"/>
      <c r="E2132" s="439">
        <v>7</v>
      </c>
      <c r="F2132" s="161">
        <v>367.02254482500001</v>
      </c>
      <c r="G2132" s="161"/>
      <c r="H2132" s="654"/>
      <c r="I2132" s="654"/>
      <c r="J2132" s="191"/>
      <c r="K2132" s="191">
        <v>1894.0873344153399</v>
      </c>
      <c r="L2132" s="191"/>
      <c r="M2132" s="191"/>
      <c r="N2132" s="191"/>
      <c r="O2132" s="191"/>
      <c r="P2132" s="191"/>
      <c r="Q2132" s="191"/>
      <c r="R2132" s="191"/>
      <c r="S2132" s="191"/>
      <c r="T2132" s="191"/>
      <c r="U2132" s="439"/>
      <c r="V2132" s="441"/>
      <c r="W2132" s="178"/>
      <c r="X2132" s="172"/>
      <c r="Y2132" s="172"/>
      <c r="Z2132" s="172"/>
      <c r="AA2132" s="195"/>
      <c r="AB2132" s="172"/>
    </row>
    <row r="2133" spans="1:28" ht="12.6" customHeight="1" x14ac:dyDescent="0.3">
      <c r="A2133" s="667"/>
      <c r="B2133" s="668" t="s">
        <v>8280</v>
      </c>
      <c r="C2133" s="160" t="s">
        <v>8281</v>
      </c>
      <c r="D2133" s="160"/>
      <c r="E2133" s="439">
        <v>3</v>
      </c>
      <c r="F2133" s="161">
        <v>299.02148219700001</v>
      </c>
      <c r="G2133" s="161"/>
      <c r="H2133" s="654"/>
      <c r="I2133" s="654"/>
      <c r="J2133" s="191"/>
      <c r="K2133" s="191">
        <v>1341.99222592454</v>
      </c>
      <c r="L2133" s="191"/>
      <c r="M2133" s="191"/>
      <c r="N2133" s="191"/>
      <c r="O2133" s="191"/>
      <c r="P2133" s="191"/>
      <c r="Q2133" s="191"/>
      <c r="R2133" s="191"/>
      <c r="S2133" s="191"/>
      <c r="T2133" s="191"/>
      <c r="U2133" s="439"/>
      <c r="V2133" s="441"/>
      <c r="W2133" s="178"/>
      <c r="X2133" s="172"/>
      <c r="Y2133" s="172"/>
      <c r="Z2133" s="172"/>
      <c r="AA2133" s="195"/>
      <c r="AB2133" s="172"/>
    </row>
    <row r="2134" spans="1:28" ht="12.6" customHeight="1" x14ac:dyDescent="0.3">
      <c r="A2134" s="667"/>
      <c r="B2134" s="668" t="s">
        <v>8282</v>
      </c>
      <c r="C2134" s="160" t="s">
        <v>8283</v>
      </c>
      <c r="D2134" s="160"/>
      <c r="E2134" s="439">
        <v>9</v>
      </c>
      <c r="F2134" s="161">
        <v>305.01091751199999</v>
      </c>
      <c r="G2134" s="161">
        <v>73.430999999999997</v>
      </c>
      <c r="H2134" s="654"/>
      <c r="I2134" s="654">
        <v>2.5428180672232101</v>
      </c>
      <c r="J2134" s="191"/>
      <c r="K2134" s="191">
        <v>57143.916168960699</v>
      </c>
      <c r="L2134" s="191"/>
      <c r="M2134" s="191"/>
      <c r="N2134" s="191"/>
      <c r="O2134" s="191"/>
      <c r="P2134" s="191"/>
      <c r="Q2134" s="191"/>
      <c r="R2134" s="191"/>
      <c r="S2134" s="191"/>
      <c r="T2134" s="191"/>
      <c r="U2134" s="439"/>
      <c r="V2134" s="441"/>
      <c r="W2134" s="178"/>
      <c r="X2134" s="172"/>
      <c r="Y2134" s="172"/>
      <c r="Z2134" s="172"/>
      <c r="AA2134" s="195"/>
      <c r="AB2134" s="172"/>
    </row>
    <row r="2135" spans="1:28" ht="12.6" customHeight="1" x14ac:dyDescent="0.3">
      <c r="A2135" s="667"/>
      <c r="B2135" s="668" t="s">
        <v>8284</v>
      </c>
      <c r="C2135" s="160" t="s">
        <v>8285</v>
      </c>
      <c r="D2135" s="160"/>
      <c r="E2135" s="439"/>
      <c r="F2135" s="161">
        <v>273.92281000000003</v>
      </c>
      <c r="G2135" s="161">
        <v>-73.603999999999999</v>
      </c>
      <c r="H2135" s="654">
        <v>20225.614010000001</v>
      </c>
      <c r="I2135" s="654">
        <v>30.035088270879999</v>
      </c>
      <c r="J2135" s="191"/>
      <c r="K2135" s="191">
        <v>57247.957964807298</v>
      </c>
      <c r="L2135" s="191"/>
      <c r="M2135" s="191"/>
      <c r="N2135" s="191"/>
      <c r="O2135" s="191"/>
      <c r="P2135" s="191"/>
      <c r="Q2135" s="191"/>
      <c r="R2135" s="191"/>
      <c r="S2135" s="191"/>
      <c r="T2135" s="191"/>
      <c r="U2135" s="439"/>
      <c r="V2135" s="441"/>
      <c r="W2135" s="178"/>
      <c r="X2135" s="172"/>
      <c r="Y2135" s="172"/>
      <c r="Z2135" s="172"/>
      <c r="AA2135" s="195"/>
      <c r="AB2135" s="172"/>
    </row>
    <row r="2136" spans="1:28" ht="12.6" customHeight="1" x14ac:dyDescent="0.3">
      <c r="A2136" s="667"/>
      <c r="B2136" s="668" t="s">
        <v>8286</v>
      </c>
      <c r="C2136" s="160" t="s">
        <v>8287</v>
      </c>
      <c r="D2136" s="160"/>
      <c r="E2136" s="439"/>
      <c r="F2136" s="161">
        <v>353.848973</v>
      </c>
      <c r="G2136" s="161"/>
      <c r="H2136" s="654"/>
      <c r="I2136" s="654"/>
      <c r="J2136" s="191"/>
      <c r="K2136" s="191">
        <v>26472.197848276399</v>
      </c>
      <c r="L2136" s="191"/>
      <c r="M2136" s="191"/>
      <c r="N2136" s="191"/>
      <c r="O2136" s="191"/>
      <c r="P2136" s="191"/>
      <c r="Q2136" s="191"/>
      <c r="R2136" s="191"/>
      <c r="S2136" s="191"/>
      <c r="T2136" s="191"/>
      <c r="U2136" s="439"/>
      <c r="V2136" s="441"/>
      <c r="W2136" s="178"/>
      <c r="X2136" s="172"/>
      <c r="Y2136" s="172"/>
      <c r="Z2136" s="172"/>
      <c r="AA2136" s="195"/>
      <c r="AB2136" s="172"/>
    </row>
    <row r="2137" spans="1:28" ht="12.6" customHeight="1" x14ac:dyDescent="0.3">
      <c r="A2137" s="667"/>
      <c r="B2137" s="668" t="s">
        <v>8288</v>
      </c>
      <c r="C2137" s="160" t="s">
        <v>8289</v>
      </c>
      <c r="D2137" s="160"/>
      <c r="E2137" s="439"/>
      <c r="F2137" s="161">
        <v>346.00271621600001</v>
      </c>
      <c r="G2137" s="161">
        <v>-120.364</v>
      </c>
      <c r="H2137" s="654">
        <v>1999.4033695999999</v>
      </c>
      <c r="I2137" s="654">
        <v>3.8554736665232601</v>
      </c>
      <c r="J2137" s="191"/>
      <c r="K2137" s="191">
        <v>11729.243436119301</v>
      </c>
      <c r="L2137" s="191"/>
      <c r="M2137" s="191"/>
      <c r="N2137" s="191"/>
      <c r="O2137" s="191"/>
      <c r="P2137" s="191"/>
      <c r="Q2137" s="191"/>
      <c r="R2137" s="191"/>
      <c r="S2137" s="191"/>
      <c r="T2137" s="191"/>
      <c r="U2137" s="439"/>
      <c r="V2137" s="441"/>
      <c r="W2137" s="178"/>
      <c r="X2137" s="172"/>
      <c r="Y2137" s="172"/>
      <c r="Z2137" s="172"/>
      <c r="AA2137" s="195"/>
      <c r="AB2137" s="172"/>
    </row>
    <row r="2138" spans="1:28" ht="12.6" customHeight="1" x14ac:dyDescent="0.3">
      <c r="A2138" s="667"/>
      <c r="B2138" s="668" t="s">
        <v>8290</v>
      </c>
      <c r="C2138" s="160" t="s">
        <v>8291</v>
      </c>
      <c r="D2138" s="160"/>
      <c r="E2138" s="439"/>
      <c r="F2138" s="161">
        <v>423.913229</v>
      </c>
      <c r="G2138" s="161">
        <v>-98.376000000000005</v>
      </c>
      <c r="H2138" s="654">
        <v>886.95526905999998</v>
      </c>
      <c r="I2138" s="654">
        <v>1.2950210015366801</v>
      </c>
      <c r="J2138" s="191"/>
      <c r="K2138" s="191">
        <v>1766769.9338181501</v>
      </c>
      <c r="L2138" s="191"/>
      <c r="M2138" s="191"/>
      <c r="N2138" s="191"/>
      <c r="O2138" s="191"/>
      <c r="P2138" s="191"/>
      <c r="Q2138" s="191"/>
      <c r="R2138" s="191"/>
      <c r="S2138" s="191"/>
      <c r="T2138" s="191"/>
      <c r="U2138" s="439"/>
      <c r="V2138" s="441"/>
      <c r="W2138" s="178"/>
      <c r="X2138" s="172"/>
      <c r="Y2138" s="172"/>
      <c r="Z2138" s="172"/>
      <c r="AA2138" s="195"/>
      <c r="AB2138" s="172"/>
    </row>
    <row r="2139" spans="1:28" ht="12.6" customHeight="1" x14ac:dyDescent="0.3">
      <c r="A2139" s="667"/>
      <c r="B2139" s="668" t="s">
        <v>8292</v>
      </c>
      <c r="C2139" s="160" t="s">
        <v>8293</v>
      </c>
      <c r="D2139" s="160"/>
      <c r="E2139" s="439"/>
      <c r="F2139" s="161">
        <v>372.01836628000001</v>
      </c>
      <c r="G2139" s="161"/>
      <c r="H2139" s="654"/>
      <c r="I2139" s="654"/>
      <c r="J2139" s="191"/>
      <c r="K2139" s="191">
        <v>9629.8605909732996</v>
      </c>
      <c r="L2139" s="191"/>
      <c r="M2139" s="191"/>
      <c r="N2139" s="191"/>
      <c r="O2139" s="191"/>
      <c r="P2139" s="191"/>
      <c r="Q2139" s="191"/>
      <c r="R2139" s="191"/>
      <c r="S2139" s="191"/>
      <c r="T2139" s="191"/>
      <c r="U2139" s="439"/>
      <c r="V2139" s="441"/>
      <c r="W2139" s="178"/>
      <c r="X2139" s="172"/>
      <c r="Y2139" s="172"/>
      <c r="Z2139" s="172"/>
      <c r="AA2139" s="195"/>
      <c r="AB2139" s="172"/>
    </row>
    <row r="2140" spans="1:28" ht="12.6" customHeight="1" x14ac:dyDescent="0.3">
      <c r="A2140" s="667"/>
      <c r="B2140" s="668" t="s">
        <v>8294</v>
      </c>
      <c r="C2140" s="160" t="s">
        <v>8295</v>
      </c>
      <c r="D2140" s="160"/>
      <c r="E2140" s="439"/>
      <c r="F2140" s="161">
        <v>471.89936</v>
      </c>
      <c r="G2140" s="161"/>
      <c r="H2140" s="654"/>
      <c r="I2140" s="654"/>
      <c r="J2140" s="191"/>
      <c r="K2140" s="191"/>
      <c r="L2140" s="191"/>
      <c r="M2140" s="191"/>
      <c r="N2140" s="191"/>
      <c r="O2140" s="191"/>
      <c r="P2140" s="191"/>
      <c r="Q2140" s="191"/>
      <c r="R2140" s="191"/>
      <c r="S2140" s="191"/>
      <c r="T2140" s="191"/>
      <c r="U2140" s="439"/>
      <c r="V2140" s="441"/>
      <c r="W2140" s="178"/>
      <c r="X2140" s="172"/>
      <c r="Y2140" s="172"/>
      <c r="Z2140" s="172"/>
      <c r="AA2140" s="195"/>
      <c r="AB2140" s="172"/>
    </row>
    <row r="2141" spans="1:28" ht="12.6" customHeight="1" x14ac:dyDescent="0.3">
      <c r="A2141" s="667"/>
      <c r="B2141" s="668" t="s">
        <v>8296</v>
      </c>
      <c r="C2141" s="160" t="s">
        <v>8297</v>
      </c>
      <c r="D2141" s="160"/>
      <c r="E2141" s="439">
        <v>9.01</v>
      </c>
      <c r="F2141" s="161">
        <v>406.102843576</v>
      </c>
      <c r="G2141" s="161"/>
      <c r="H2141" s="654"/>
      <c r="I2141" s="654"/>
      <c r="J2141" s="191"/>
      <c r="K2141" s="191">
        <v>37234.883554287298</v>
      </c>
      <c r="L2141" s="191"/>
      <c r="M2141" s="191"/>
      <c r="N2141" s="191"/>
      <c r="O2141" s="191"/>
      <c r="P2141" s="191"/>
      <c r="Q2141" s="191"/>
      <c r="R2141" s="191"/>
      <c r="S2141" s="191"/>
      <c r="T2141" s="191"/>
      <c r="U2141" s="439"/>
      <c r="V2141" s="441"/>
      <c r="W2141" s="178"/>
      <c r="X2141" s="172"/>
      <c r="Y2141" s="172"/>
      <c r="Z2141" s="172"/>
      <c r="AA2141" s="195"/>
      <c r="AB2141" s="172"/>
    </row>
    <row r="2142" spans="1:28" ht="12.6" customHeight="1" x14ac:dyDescent="0.3">
      <c r="A2142" s="667"/>
      <c r="B2142" s="668" t="s">
        <v>8298</v>
      </c>
      <c r="C2142" s="160" t="s">
        <v>8299</v>
      </c>
      <c r="D2142" s="160"/>
      <c r="E2142" s="439">
        <v>14</v>
      </c>
      <c r="F2142" s="161">
        <v>314.06539543899999</v>
      </c>
      <c r="G2142" s="161"/>
      <c r="H2142" s="654"/>
      <c r="I2142" s="654"/>
      <c r="J2142" s="191"/>
      <c r="K2142" s="191">
        <v>5041.96701318536</v>
      </c>
      <c r="L2142" s="191"/>
      <c r="M2142" s="191"/>
      <c r="N2142" s="191"/>
      <c r="O2142" s="191"/>
      <c r="P2142" s="191"/>
      <c r="Q2142" s="191"/>
      <c r="R2142" s="191"/>
      <c r="S2142" s="191"/>
      <c r="T2142" s="191"/>
      <c r="U2142" s="439"/>
      <c r="V2142" s="441"/>
      <c r="W2142" s="178"/>
      <c r="X2142" s="172"/>
      <c r="Y2142" s="172"/>
      <c r="Z2142" s="172"/>
      <c r="AA2142" s="195"/>
      <c r="AB2142" s="172"/>
    </row>
    <row r="2143" spans="1:28" ht="12.6" customHeight="1" x14ac:dyDescent="0.3">
      <c r="A2143" s="667"/>
      <c r="B2143" s="668" t="s">
        <v>8300</v>
      </c>
      <c r="C2143" s="160" t="s">
        <v>8301</v>
      </c>
      <c r="D2143" s="160"/>
      <c r="E2143" s="439"/>
      <c r="F2143" s="161">
        <v>692.00543243100003</v>
      </c>
      <c r="G2143" s="161"/>
      <c r="H2143" s="654"/>
      <c r="I2143" s="654"/>
      <c r="J2143" s="191"/>
      <c r="K2143" s="191">
        <v>3248179.3422318902</v>
      </c>
      <c r="L2143" s="191"/>
      <c r="M2143" s="191"/>
      <c r="N2143" s="191"/>
      <c r="O2143" s="191"/>
      <c r="P2143" s="191"/>
      <c r="Q2143" s="191"/>
      <c r="R2143" s="191"/>
      <c r="S2143" s="191"/>
      <c r="T2143" s="191"/>
      <c r="U2143" s="439"/>
      <c r="V2143" s="441"/>
      <c r="W2143" s="178"/>
      <c r="X2143" s="172"/>
      <c r="Y2143" s="172"/>
      <c r="Z2143" s="172"/>
      <c r="AA2143" s="195"/>
      <c r="AB2143" s="172"/>
    </row>
    <row r="2144" spans="1:28" ht="12.6" customHeight="1" x14ac:dyDescent="0.3">
      <c r="A2144" s="667"/>
      <c r="B2144" s="668" t="s">
        <v>8302</v>
      </c>
      <c r="C2144" s="160" t="s">
        <v>8303</v>
      </c>
      <c r="D2144" s="160"/>
      <c r="E2144" s="439"/>
      <c r="F2144" s="161">
        <v>926.06526978299996</v>
      </c>
      <c r="G2144" s="161">
        <v>-5.14</v>
      </c>
      <c r="H2144" s="654"/>
      <c r="I2144" s="654"/>
      <c r="J2144" s="191"/>
      <c r="K2144" s="191">
        <v>1363452460.51583</v>
      </c>
      <c r="L2144" s="191"/>
      <c r="M2144" s="191"/>
      <c r="N2144" s="191"/>
      <c r="O2144" s="191"/>
      <c r="P2144" s="191"/>
      <c r="Q2144" s="191"/>
      <c r="R2144" s="191"/>
      <c r="S2144" s="191"/>
      <c r="T2144" s="191"/>
      <c r="U2144" s="439"/>
      <c r="V2144" s="441"/>
      <c r="W2144" s="178"/>
      <c r="X2144" s="172"/>
      <c r="Y2144" s="172"/>
      <c r="Z2144" s="172"/>
      <c r="AA2144" s="195"/>
      <c r="AB2144" s="172"/>
    </row>
    <row r="2145" spans="1:28" ht="12.6" customHeight="1" x14ac:dyDescent="0.3">
      <c r="A2145" s="667"/>
      <c r="B2145" s="668" t="s">
        <v>8304</v>
      </c>
      <c r="C2145" s="160" t="s">
        <v>8305</v>
      </c>
      <c r="D2145" s="160"/>
      <c r="E2145" s="439"/>
      <c r="F2145" s="161">
        <v>487.94452899999999</v>
      </c>
      <c r="G2145" s="161"/>
      <c r="H2145" s="654"/>
      <c r="I2145" s="654"/>
      <c r="J2145" s="191"/>
      <c r="K2145" s="191">
        <v>326512641.20195597</v>
      </c>
      <c r="L2145" s="191"/>
      <c r="M2145" s="191"/>
      <c r="N2145" s="191"/>
      <c r="O2145" s="191"/>
      <c r="P2145" s="191"/>
      <c r="Q2145" s="191"/>
      <c r="R2145" s="191"/>
      <c r="S2145" s="191"/>
      <c r="T2145" s="191"/>
      <c r="U2145" s="439"/>
      <c r="V2145" s="441"/>
      <c r="W2145" s="178"/>
      <c r="X2145" s="172"/>
      <c r="Y2145" s="172"/>
      <c r="Z2145" s="172"/>
      <c r="AA2145" s="195"/>
      <c r="AB2145" s="172"/>
    </row>
    <row r="2146" spans="1:28" ht="12.6" customHeight="1" x14ac:dyDescent="0.3">
      <c r="A2146" s="667"/>
      <c r="B2146" s="668" t="s">
        <v>8306</v>
      </c>
      <c r="C2146" s="160" t="s">
        <v>8307</v>
      </c>
      <c r="D2146" s="160"/>
      <c r="E2146" s="439"/>
      <c r="F2146" s="161">
        <v>376.01328089999998</v>
      </c>
      <c r="G2146" s="161"/>
      <c r="H2146" s="654"/>
      <c r="I2146" s="654"/>
      <c r="J2146" s="191"/>
      <c r="K2146" s="191">
        <v>1091465.46808057</v>
      </c>
      <c r="L2146" s="191"/>
      <c r="M2146" s="191"/>
      <c r="N2146" s="191"/>
      <c r="O2146" s="191"/>
      <c r="P2146" s="191"/>
      <c r="Q2146" s="191"/>
      <c r="R2146" s="191"/>
      <c r="S2146" s="191"/>
      <c r="T2146" s="191"/>
      <c r="U2146" s="439"/>
      <c r="V2146" s="441"/>
      <c r="W2146" s="178"/>
      <c r="X2146" s="172"/>
      <c r="Y2146" s="172"/>
      <c r="Z2146" s="172"/>
      <c r="AA2146" s="195"/>
      <c r="AB2146" s="172"/>
    </row>
    <row r="2147" spans="1:28" ht="12.6" customHeight="1" x14ac:dyDescent="0.3">
      <c r="A2147" s="667"/>
      <c r="B2147" s="668" t="s">
        <v>8308</v>
      </c>
      <c r="C2147" s="160" t="s">
        <v>8309</v>
      </c>
      <c r="D2147" s="160"/>
      <c r="E2147" s="439"/>
      <c r="F2147" s="161">
        <v>425.92887899999999</v>
      </c>
      <c r="G2147" s="161">
        <v>-98.516999999999996</v>
      </c>
      <c r="H2147" s="654">
        <v>584.658299819999</v>
      </c>
      <c r="I2147" s="654">
        <v>1.68786244312362</v>
      </c>
      <c r="J2147" s="191"/>
      <c r="K2147" s="191">
        <v>2466948.0270775701</v>
      </c>
      <c r="L2147" s="191"/>
      <c r="M2147" s="191"/>
      <c r="N2147" s="191"/>
      <c r="O2147" s="191"/>
      <c r="P2147" s="191"/>
      <c r="Q2147" s="191"/>
      <c r="R2147" s="191"/>
      <c r="S2147" s="191"/>
      <c r="T2147" s="191"/>
      <c r="U2147" s="439"/>
      <c r="V2147" s="441"/>
      <c r="W2147" s="178"/>
      <c r="X2147" s="172"/>
      <c r="Y2147" s="172"/>
      <c r="Z2147" s="172"/>
      <c r="AA2147" s="195"/>
      <c r="AB2147" s="172"/>
    </row>
    <row r="2148" spans="1:28" ht="12.6" customHeight="1" x14ac:dyDescent="0.3">
      <c r="A2148" s="667"/>
      <c r="B2148" s="668" t="s">
        <v>8310</v>
      </c>
      <c r="C2148" s="160" t="s">
        <v>8311</v>
      </c>
      <c r="D2148" s="160"/>
      <c r="E2148" s="439"/>
      <c r="F2148" s="161">
        <v>473.91501</v>
      </c>
      <c r="G2148" s="161">
        <v>-59.497</v>
      </c>
      <c r="H2148" s="654">
        <v>776.07136165999998</v>
      </c>
      <c r="I2148" s="654">
        <v>0.51963833016479999</v>
      </c>
      <c r="J2148" s="191"/>
      <c r="K2148" s="191">
        <v>2406910.8241615398</v>
      </c>
      <c r="L2148" s="191"/>
      <c r="M2148" s="191"/>
      <c r="N2148" s="191"/>
      <c r="O2148" s="191"/>
      <c r="P2148" s="191"/>
      <c r="Q2148" s="191"/>
      <c r="R2148" s="191"/>
      <c r="S2148" s="191"/>
      <c r="T2148" s="191"/>
      <c r="U2148" s="439"/>
      <c r="V2148" s="441"/>
      <c r="W2148" s="178"/>
      <c r="X2148" s="172"/>
      <c r="Y2148" s="172"/>
      <c r="Z2148" s="172"/>
      <c r="AA2148" s="195"/>
      <c r="AB2148" s="172"/>
    </row>
    <row r="2149" spans="1:28" ht="12.6" customHeight="1" x14ac:dyDescent="0.3">
      <c r="A2149" s="667"/>
      <c r="B2149" s="668" t="s">
        <v>8312</v>
      </c>
      <c r="C2149" s="160" t="s">
        <v>8313</v>
      </c>
      <c r="D2149" s="160"/>
      <c r="E2149" s="439"/>
      <c r="F2149" s="161">
        <v>265.9500026</v>
      </c>
      <c r="G2149" s="161"/>
      <c r="H2149" s="654"/>
      <c r="I2149" s="654"/>
      <c r="J2149" s="191"/>
      <c r="K2149" s="191">
        <v>33549.032474273299</v>
      </c>
      <c r="L2149" s="191"/>
      <c r="M2149" s="191"/>
      <c r="N2149" s="191"/>
      <c r="O2149" s="191"/>
      <c r="P2149" s="191"/>
      <c r="Q2149" s="191"/>
      <c r="R2149" s="191"/>
      <c r="S2149" s="191"/>
      <c r="T2149" s="191"/>
      <c r="U2149" s="439"/>
      <c r="V2149" s="441"/>
      <c r="W2149" s="178"/>
      <c r="X2149" s="172"/>
      <c r="Y2149" s="172"/>
      <c r="Z2149" s="172"/>
      <c r="AA2149" s="195"/>
      <c r="AB2149" s="172"/>
    </row>
    <row r="2150" spans="1:28" ht="12.6" customHeight="1" x14ac:dyDescent="0.3">
      <c r="A2150" s="667"/>
      <c r="B2150" s="668" t="s">
        <v>8314</v>
      </c>
      <c r="C2150" s="160" t="s">
        <v>8315</v>
      </c>
      <c r="D2150" s="160"/>
      <c r="E2150" s="439"/>
      <c r="F2150" s="161">
        <v>481.75629300000003</v>
      </c>
      <c r="G2150" s="161">
        <v>-34.130000000000003</v>
      </c>
      <c r="H2150" s="654">
        <v>82.016627994000004</v>
      </c>
      <c r="I2150" s="654">
        <v>3.1248351135376198</v>
      </c>
      <c r="J2150" s="191"/>
      <c r="K2150" s="191">
        <v>34996.934121904298</v>
      </c>
      <c r="L2150" s="191"/>
      <c r="M2150" s="191"/>
      <c r="N2150" s="191"/>
      <c r="O2150" s="191"/>
      <c r="P2150" s="191"/>
      <c r="Q2150" s="191"/>
      <c r="R2150" s="191"/>
      <c r="S2150" s="191"/>
      <c r="T2150" s="191"/>
      <c r="U2150" s="439"/>
      <c r="V2150" s="441"/>
      <c r="W2150" s="178"/>
      <c r="X2150" s="172"/>
      <c r="Y2150" s="172"/>
      <c r="Z2150" s="172"/>
      <c r="AA2150" s="195"/>
      <c r="AB2150" s="172"/>
    </row>
    <row r="2151" spans="1:28" ht="12.6" customHeight="1" x14ac:dyDescent="0.3">
      <c r="A2151" s="667"/>
      <c r="B2151" s="668" t="s">
        <v>8316</v>
      </c>
      <c r="C2151" s="160" t="s">
        <v>8317</v>
      </c>
      <c r="D2151" s="160"/>
      <c r="E2151" s="439"/>
      <c r="F2151" s="161">
        <v>323.91961700000002</v>
      </c>
      <c r="G2151" s="161"/>
      <c r="H2151" s="654"/>
      <c r="I2151" s="654"/>
      <c r="J2151" s="191"/>
      <c r="K2151" s="191">
        <v>137800.24826179899</v>
      </c>
      <c r="L2151" s="191"/>
      <c r="M2151" s="191"/>
      <c r="N2151" s="191"/>
      <c r="O2151" s="191"/>
      <c r="P2151" s="191"/>
      <c r="Q2151" s="191"/>
      <c r="R2151" s="191"/>
      <c r="S2151" s="191"/>
      <c r="T2151" s="191"/>
      <c r="U2151" s="439"/>
      <c r="V2151" s="441"/>
      <c r="W2151" s="178"/>
      <c r="X2151" s="172"/>
      <c r="Y2151" s="172"/>
      <c r="Z2151" s="172"/>
      <c r="AA2151" s="195"/>
      <c r="AB2151" s="172"/>
    </row>
    <row r="2152" spans="1:28" ht="12.6" customHeight="1" x14ac:dyDescent="0.3">
      <c r="A2152" s="667"/>
      <c r="B2152" s="668" t="s">
        <v>8318</v>
      </c>
      <c r="C2152" s="160" t="s">
        <v>8319</v>
      </c>
      <c r="D2152" s="160"/>
      <c r="E2152" s="439"/>
      <c r="F2152" s="161">
        <v>403.84577999999999</v>
      </c>
      <c r="G2152" s="161">
        <v>-58.743000000000002</v>
      </c>
      <c r="H2152" s="654">
        <v>648.48754054000005</v>
      </c>
      <c r="I2152" s="654">
        <v>4.8776897154179997</v>
      </c>
      <c r="J2152" s="191"/>
      <c r="K2152" s="191">
        <v>27286.007866369</v>
      </c>
      <c r="L2152" s="191"/>
      <c r="M2152" s="191"/>
      <c r="N2152" s="191"/>
      <c r="O2152" s="191"/>
      <c r="P2152" s="191"/>
      <c r="Q2152" s="191"/>
      <c r="R2152" s="191"/>
      <c r="S2152" s="191"/>
      <c r="T2152" s="191"/>
      <c r="U2152" s="439"/>
      <c r="V2152" s="441"/>
      <c r="W2152" s="178"/>
      <c r="X2152" s="172"/>
      <c r="Y2152" s="172"/>
      <c r="Z2152" s="172"/>
      <c r="AA2152" s="195"/>
      <c r="AB2152" s="172"/>
    </row>
    <row r="2153" spans="1:28" ht="12.6" customHeight="1" x14ac:dyDescent="0.3">
      <c r="A2153" s="667"/>
      <c r="B2153" s="668" t="s">
        <v>8320</v>
      </c>
      <c r="C2153" s="160" t="s">
        <v>8321</v>
      </c>
      <c r="D2153" s="160"/>
      <c r="E2153" s="439"/>
      <c r="F2153" s="161">
        <v>279.97013120000003</v>
      </c>
      <c r="G2153" s="161"/>
      <c r="H2153" s="654"/>
      <c r="I2153" s="654"/>
      <c r="J2153" s="191"/>
      <c r="K2153" s="191">
        <v>1598.1958551186599</v>
      </c>
      <c r="L2153" s="191"/>
      <c r="M2153" s="191"/>
      <c r="N2153" s="191"/>
      <c r="O2153" s="191"/>
      <c r="P2153" s="191"/>
      <c r="Q2153" s="191"/>
      <c r="R2153" s="191"/>
      <c r="S2153" s="191"/>
      <c r="T2153" s="191"/>
      <c r="U2153" s="439"/>
      <c r="V2153" s="441"/>
      <c r="W2153" s="178"/>
      <c r="X2153" s="172"/>
      <c r="Y2153" s="172"/>
      <c r="Z2153" s="172"/>
      <c r="AA2153" s="195"/>
      <c r="AB2153" s="172"/>
    </row>
    <row r="2154" spans="1:28" ht="12.6" customHeight="1" x14ac:dyDescent="0.3">
      <c r="A2154" s="667"/>
      <c r="B2154" s="668" t="s">
        <v>8322</v>
      </c>
      <c r="C2154" s="160" t="s">
        <v>8323</v>
      </c>
      <c r="D2154" s="160"/>
      <c r="E2154" s="439"/>
      <c r="F2154" s="161">
        <v>315.94680899999997</v>
      </c>
      <c r="G2154" s="161"/>
      <c r="H2154" s="654"/>
      <c r="I2154" s="654"/>
      <c r="J2154" s="191"/>
      <c r="K2154" s="191">
        <v>144810.482305137</v>
      </c>
      <c r="L2154" s="191"/>
      <c r="M2154" s="191"/>
      <c r="N2154" s="191"/>
      <c r="O2154" s="191"/>
      <c r="P2154" s="191"/>
      <c r="Q2154" s="191"/>
      <c r="R2154" s="191"/>
      <c r="S2154" s="191"/>
      <c r="T2154" s="191"/>
      <c r="U2154" s="439"/>
      <c r="V2154" s="441"/>
      <c r="W2154" s="178"/>
      <c r="X2154" s="172"/>
      <c r="Y2154" s="172"/>
      <c r="Z2154" s="172"/>
      <c r="AA2154" s="195"/>
      <c r="AB2154" s="172"/>
    </row>
    <row r="2155" spans="1:28" ht="12.6" customHeight="1" x14ac:dyDescent="0.3">
      <c r="A2155" s="667"/>
      <c r="B2155" s="668" t="s">
        <v>8324</v>
      </c>
      <c r="C2155" s="160" t="s">
        <v>7890</v>
      </c>
      <c r="D2155" s="160"/>
      <c r="E2155" s="439"/>
      <c r="F2155" s="161">
        <v>542.221817117</v>
      </c>
      <c r="G2155" s="161"/>
      <c r="H2155" s="654"/>
      <c r="I2155" s="654"/>
      <c r="J2155" s="191"/>
      <c r="K2155" s="191">
        <v>12373711.8993535</v>
      </c>
      <c r="L2155" s="191"/>
      <c r="M2155" s="191"/>
      <c r="N2155" s="191"/>
      <c r="O2155" s="191"/>
      <c r="P2155" s="191"/>
      <c r="Q2155" s="191"/>
      <c r="R2155" s="191"/>
      <c r="S2155" s="191"/>
      <c r="T2155" s="191"/>
      <c r="U2155" s="439"/>
      <c r="V2155" s="441"/>
      <c r="W2155" s="178"/>
      <c r="X2155" s="172"/>
      <c r="Y2155" s="172"/>
      <c r="Z2155" s="172"/>
      <c r="AA2155" s="195"/>
      <c r="AB2155" s="172"/>
    </row>
    <row r="2156" spans="1:28" ht="12.6" customHeight="1" x14ac:dyDescent="0.3">
      <c r="A2156" s="667"/>
      <c r="B2156" s="668" t="s">
        <v>8325</v>
      </c>
      <c r="C2156" s="160" t="s">
        <v>8326</v>
      </c>
      <c r="D2156" s="160"/>
      <c r="E2156" s="439">
        <v>6.28</v>
      </c>
      <c r="F2156" s="161">
        <v>465.05106338899998</v>
      </c>
      <c r="G2156" s="161"/>
      <c r="H2156" s="654"/>
      <c r="I2156" s="654"/>
      <c r="J2156" s="191"/>
      <c r="K2156" s="191">
        <v>345326.57399640599</v>
      </c>
      <c r="L2156" s="191"/>
      <c r="M2156" s="191"/>
      <c r="N2156" s="191"/>
      <c r="O2156" s="191"/>
      <c r="P2156" s="191"/>
      <c r="Q2156" s="191"/>
      <c r="R2156" s="191"/>
      <c r="S2156" s="191"/>
      <c r="T2156" s="191"/>
      <c r="U2156" s="439"/>
      <c r="V2156" s="441"/>
      <c r="W2156" s="178"/>
      <c r="X2156" s="172"/>
      <c r="Y2156" s="172"/>
      <c r="Z2156" s="172"/>
      <c r="AA2156" s="195"/>
      <c r="AB2156" s="172"/>
    </row>
    <row r="2157" spans="1:28" ht="12.6" customHeight="1" x14ac:dyDescent="0.3">
      <c r="A2157" s="667"/>
      <c r="B2157" s="668" t="s">
        <v>8327</v>
      </c>
      <c r="C2157" s="160" t="s">
        <v>8328</v>
      </c>
      <c r="D2157" s="160"/>
      <c r="E2157" s="439">
        <v>3.96</v>
      </c>
      <c r="F2157" s="161">
        <v>481.04597800900001</v>
      </c>
      <c r="G2157" s="161"/>
      <c r="H2157" s="654"/>
      <c r="I2157" s="654"/>
      <c r="J2157" s="191"/>
      <c r="K2157" s="191">
        <v>167166.78882472799</v>
      </c>
      <c r="L2157" s="191"/>
      <c r="M2157" s="191"/>
      <c r="N2157" s="191"/>
      <c r="O2157" s="191"/>
      <c r="P2157" s="191"/>
      <c r="Q2157" s="191"/>
      <c r="R2157" s="191"/>
      <c r="S2157" s="191"/>
      <c r="T2157" s="191"/>
      <c r="U2157" s="439"/>
      <c r="V2157" s="441"/>
      <c r="W2157" s="178"/>
      <c r="X2157" s="172"/>
      <c r="Y2157" s="172"/>
      <c r="Z2157" s="172"/>
      <c r="AA2157" s="195"/>
      <c r="AB2157" s="172"/>
    </row>
    <row r="2158" spans="1:28" ht="12.6" customHeight="1" x14ac:dyDescent="0.3">
      <c r="A2158" s="667"/>
      <c r="B2158" s="668" t="s">
        <v>8329</v>
      </c>
      <c r="C2158" s="160" t="s">
        <v>8330</v>
      </c>
      <c r="D2158" s="160"/>
      <c r="E2158" s="439"/>
      <c r="F2158" s="161">
        <v>581.74990500000001</v>
      </c>
      <c r="G2158" s="161">
        <v>-16.23</v>
      </c>
      <c r="H2158" s="654">
        <v>16.707113108000001</v>
      </c>
      <c r="I2158" s="654">
        <v>0.28492888672099498</v>
      </c>
      <c r="J2158" s="191"/>
      <c r="K2158" s="191">
        <v>1470787.7363533101</v>
      </c>
      <c r="L2158" s="191"/>
      <c r="M2158" s="191"/>
      <c r="N2158" s="191"/>
      <c r="O2158" s="191"/>
      <c r="P2158" s="191"/>
      <c r="Q2158" s="191"/>
      <c r="R2158" s="191"/>
      <c r="S2158" s="191"/>
      <c r="T2158" s="191"/>
      <c r="U2158" s="439"/>
      <c r="V2158" s="441"/>
      <c r="W2158" s="178"/>
      <c r="X2158" s="172"/>
      <c r="Y2158" s="172"/>
      <c r="Z2158" s="172"/>
      <c r="AA2158" s="195"/>
      <c r="AB2158" s="172"/>
    </row>
    <row r="2159" spans="1:28" ht="12.6" customHeight="1" x14ac:dyDescent="0.3">
      <c r="A2159" s="667"/>
      <c r="B2159" s="668" t="s">
        <v>8331</v>
      </c>
      <c r="C2159" s="160" t="s">
        <v>8332</v>
      </c>
      <c r="D2159" s="160"/>
      <c r="E2159" s="439"/>
      <c r="F2159" s="161">
        <v>423.913229</v>
      </c>
      <c r="G2159" s="161">
        <v>-42.356000000000002</v>
      </c>
      <c r="H2159" s="654">
        <v>554.50086341999997</v>
      </c>
      <c r="I2159" s="654">
        <v>0.78936458458861003</v>
      </c>
      <c r="J2159" s="191"/>
      <c r="K2159" s="191">
        <v>19766.9653052867</v>
      </c>
      <c r="L2159" s="191"/>
      <c r="M2159" s="191"/>
      <c r="N2159" s="191"/>
      <c r="O2159" s="191"/>
      <c r="P2159" s="191"/>
      <c r="Q2159" s="191"/>
      <c r="R2159" s="191"/>
      <c r="S2159" s="191"/>
      <c r="T2159" s="191"/>
      <c r="U2159" s="439"/>
      <c r="V2159" s="441"/>
      <c r="W2159" s="178"/>
      <c r="X2159" s="172"/>
      <c r="Y2159" s="172"/>
      <c r="Z2159" s="172"/>
      <c r="AA2159" s="195"/>
      <c r="AB2159" s="172"/>
    </row>
    <row r="2160" spans="1:28" ht="12.6" customHeight="1" x14ac:dyDescent="0.3">
      <c r="A2160" s="667"/>
      <c r="B2160" s="668" t="s">
        <v>8333</v>
      </c>
      <c r="C2160" s="160" t="s">
        <v>8334</v>
      </c>
      <c r="D2160" s="160"/>
      <c r="E2160" s="439"/>
      <c r="F2160" s="161">
        <v>501.82374199999998</v>
      </c>
      <c r="G2160" s="161">
        <v>-20.367999999999999</v>
      </c>
      <c r="H2160" s="654">
        <v>125.864100642</v>
      </c>
      <c r="I2160" s="654">
        <v>0.59504753855133996</v>
      </c>
      <c r="J2160" s="191"/>
      <c r="K2160" s="191">
        <v>4377941.9633559603</v>
      </c>
      <c r="L2160" s="191"/>
      <c r="M2160" s="191"/>
      <c r="N2160" s="191"/>
      <c r="O2160" s="191"/>
      <c r="P2160" s="191"/>
      <c r="Q2160" s="191"/>
      <c r="R2160" s="191"/>
      <c r="S2160" s="191"/>
      <c r="T2160" s="191"/>
      <c r="U2160" s="439"/>
      <c r="V2160" s="441"/>
      <c r="W2160" s="178"/>
      <c r="X2160" s="172"/>
      <c r="Y2160" s="172"/>
      <c r="Z2160" s="172"/>
      <c r="AA2160" s="195"/>
      <c r="AB2160" s="172"/>
    </row>
    <row r="2161" spans="1:28" ht="12.6" customHeight="1" x14ac:dyDescent="0.3">
      <c r="A2161" s="667"/>
      <c r="B2161" s="668" t="s">
        <v>8335</v>
      </c>
      <c r="C2161" s="160" t="s">
        <v>8336</v>
      </c>
      <c r="D2161" s="160"/>
      <c r="E2161" s="439"/>
      <c r="F2161" s="161">
        <v>503.83939199999998</v>
      </c>
      <c r="G2161" s="161"/>
      <c r="H2161" s="654"/>
      <c r="I2161" s="654"/>
      <c r="J2161" s="191"/>
      <c r="K2161" s="191">
        <v>2137125.3705370901</v>
      </c>
      <c r="L2161" s="191"/>
      <c r="M2161" s="191"/>
      <c r="N2161" s="191"/>
      <c r="O2161" s="191"/>
      <c r="P2161" s="191"/>
      <c r="Q2161" s="191"/>
      <c r="R2161" s="191"/>
      <c r="S2161" s="191"/>
      <c r="T2161" s="191"/>
      <c r="U2161" s="439"/>
      <c r="V2161" s="441"/>
      <c r="W2161" s="178"/>
      <c r="X2161" s="172"/>
      <c r="Y2161" s="172"/>
      <c r="Z2161" s="172"/>
      <c r="AA2161" s="195"/>
      <c r="AB2161" s="172"/>
    </row>
    <row r="2162" spans="1:28" ht="12.6" customHeight="1" x14ac:dyDescent="0.3">
      <c r="A2162" s="667"/>
      <c r="B2162" s="668" t="s">
        <v>8337</v>
      </c>
      <c r="C2162" s="160" t="s">
        <v>8338</v>
      </c>
      <c r="D2162" s="160"/>
      <c r="E2162" s="439"/>
      <c r="F2162" s="161">
        <v>415.94042159999998</v>
      </c>
      <c r="G2162" s="161"/>
      <c r="H2162" s="654"/>
      <c r="I2162" s="654"/>
      <c r="J2162" s="191"/>
      <c r="K2162" s="191">
        <v>191588.74826786001</v>
      </c>
      <c r="L2162" s="191"/>
      <c r="M2162" s="191"/>
      <c r="N2162" s="191"/>
      <c r="O2162" s="191"/>
      <c r="P2162" s="191"/>
      <c r="Q2162" s="191"/>
      <c r="R2162" s="191"/>
      <c r="S2162" s="191"/>
      <c r="T2162" s="191"/>
      <c r="U2162" s="439"/>
      <c r="V2162" s="441"/>
      <c r="W2162" s="178"/>
      <c r="X2162" s="172"/>
      <c r="Y2162" s="172"/>
      <c r="Z2162" s="172"/>
      <c r="AA2162" s="195"/>
      <c r="AB2162" s="172"/>
    </row>
    <row r="2163" spans="1:28" ht="12.6" customHeight="1" x14ac:dyDescent="0.3">
      <c r="A2163" s="667"/>
      <c r="B2163" s="668" t="s">
        <v>8339</v>
      </c>
      <c r="C2163" s="160" t="s">
        <v>8340</v>
      </c>
      <c r="D2163" s="160"/>
      <c r="E2163" s="439"/>
      <c r="F2163" s="161">
        <v>767.875897409</v>
      </c>
      <c r="G2163" s="161">
        <v>-93.162999999999997</v>
      </c>
      <c r="H2163" s="654">
        <v>613.62383753999995</v>
      </c>
      <c r="I2163" s="654"/>
      <c r="J2163" s="191"/>
      <c r="K2163" s="191">
        <v>253034.652001468</v>
      </c>
      <c r="L2163" s="191"/>
      <c r="M2163" s="191"/>
      <c r="N2163" s="191"/>
      <c r="O2163" s="191"/>
      <c r="P2163" s="191"/>
      <c r="Q2163" s="191"/>
      <c r="R2163" s="191"/>
      <c r="S2163" s="191"/>
      <c r="T2163" s="191"/>
      <c r="U2163" s="439"/>
      <c r="V2163" s="441"/>
      <c r="W2163" s="178"/>
      <c r="X2163" s="172"/>
      <c r="Y2163" s="172"/>
      <c r="Z2163" s="172"/>
      <c r="AA2163" s="195"/>
      <c r="AB2163" s="172"/>
    </row>
    <row r="2164" spans="1:28" ht="12.6" customHeight="1" x14ac:dyDescent="0.3">
      <c r="A2164" s="667"/>
      <c r="B2164" s="668" t="s">
        <v>8341</v>
      </c>
      <c r="C2164" s="160" t="s">
        <v>8342</v>
      </c>
      <c r="D2164" s="160"/>
      <c r="E2164" s="439"/>
      <c r="F2164" s="161">
        <v>681.74351799999999</v>
      </c>
      <c r="G2164" s="161"/>
      <c r="H2164" s="654"/>
      <c r="I2164" s="654"/>
      <c r="J2164" s="191"/>
      <c r="K2164" s="191">
        <v>59710402.676830702</v>
      </c>
      <c r="L2164" s="191"/>
      <c r="M2164" s="191"/>
      <c r="N2164" s="191"/>
      <c r="O2164" s="191"/>
      <c r="P2164" s="191"/>
      <c r="Q2164" s="191"/>
      <c r="R2164" s="191"/>
      <c r="S2164" s="191"/>
      <c r="T2164" s="191"/>
      <c r="U2164" s="439"/>
      <c r="V2164" s="441"/>
      <c r="W2164" s="178"/>
      <c r="X2164" s="172"/>
      <c r="Y2164" s="172"/>
      <c r="Z2164" s="172"/>
      <c r="AA2164" s="195"/>
      <c r="AB2164" s="172"/>
    </row>
    <row r="2165" spans="1:28" ht="12.6" customHeight="1" x14ac:dyDescent="0.3">
      <c r="A2165" s="667"/>
      <c r="B2165" s="668" t="s">
        <v>8343</v>
      </c>
      <c r="C2165" s="160" t="s">
        <v>8344</v>
      </c>
      <c r="D2165" s="160"/>
      <c r="E2165" s="439"/>
      <c r="F2165" s="161">
        <v>523.90684199999998</v>
      </c>
      <c r="G2165" s="161"/>
      <c r="H2165" s="654"/>
      <c r="I2165" s="654"/>
      <c r="J2165" s="191"/>
      <c r="K2165" s="191">
        <v>125273.727505944</v>
      </c>
      <c r="L2165" s="191"/>
      <c r="M2165" s="191"/>
      <c r="N2165" s="191"/>
      <c r="O2165" s="191"/>
      <c r="P2165" s="191"/>
      <c r="Q2165" s="191"/>
      <c r="R2165" s="191"/>
      <c r="S2165" s="191"/>
      <c r="T2165" s="191"/>
      <c r="U2165" s="439"/>
      <c r="V2165" s="441"/>
      <c r="W2165" s="178"/>
      <c r="X2165" s="172"/>
      <c r="Y2165" s="172"/>
      <c r="Z2165" s="172"/>
      <c r="AA2165" s="195"/>
      <c r="AB2165" s="172"/>
    </row>
    <row r="2166" spans="1:28" ht="12.6" customHeight="1" x14ac:dyDescent="0.3">
      <c r="A2166" s="667"/>
      <c r="B2166" s="668" t="s">
        <v>8345</v>
      </c>
      <c r="C2166" s="160" t="s">
        <v>8346</v>
      </c>
      <c r="D2166" s="160"/>
      <c r="E2166" s="439"/>
      <c r="F2166" s="161">
        <v>603.83300499999996</v>
      </c>
      <c r="G2166" s="161"/>
      <c r="H2166" s="654"/>
      <c r="I2166" s="654"/>
      <c r="J2166" s="191"/>
      <c r="K2166" s="191">
        <v>35684531.557100102</v>
      </c>
      <c r="L2166" s="191"/>
      <c r="M2166" s="191"/>
      <c r="N2166" s="191"/>
      <c r="O2166" s="191"/>
      <c r="P2166" s="191"/>
      <c r="Q2166" s="191"/>
      <c r="R2166" s="191"/>
      <c r="S2166" s="191"/>
      <c r="T2166" s="191"/>
      <c r="U2166" s="439"/>
      <c r="V2166" s="441"/>
      <c r="W2166" s="178"/>
      <c r="X2166" s="172"/>
      <c r="Y2166" s="172"/>
      <c r="Z2166" s="172"/>
      <c r="AA2166" s="195"/>
      <c r="AB2166" s="172"/>
    </row>
    <row r="2167" spans="1:28" ht="12.6" customHeight="1" x14ac:dyDescent="0.3">
      <c r="A2167" s="667"/>
      <c r="B2167" s="668" t="s">
        <v>8347</v>
      </c>
      <c r="C2167" s="160" t="s">
        <v>8348</v>
      </c>
      <c r="D2167" s="160"/>
      <c r="E2167" s="439"/>
      <c r="F2167" s="161">
        <v>479.9573565</v>
      </c>
      <c r="G2167" s="161"/>
      <c r="H2167" s="654"/>
      <c r="I2167" s="654"/>
      <c r="J2167" s="191"/>
      <c r="K2167" s="191">
        <v>85719.573197715494</v>
      </c>
      <c r="L2167" s="191"/>
      <c r="M2167" s="191"/>
      <c r="N2167" s="191"/>
      <c r="O2167" s="191"/>
      <c r="P2167" s="191"/>
      <c r="Q2167" s="191"/>
      <c r="R2167" s="191"/>
      <c r="S2167" s="191"/>
      <c r="T2167" s="191"/>
      <c r="U2167" s="439"/>
      <c r="V2167" s="441"/>
      <c r="W2167" s="178"/>
      <c r="X2167" s="172"/>
      <c r="Y2167" s="172"/>
      <c r="Z2167" s="172"/>
      <c r="AA2167" s="195"/>
      <c r="AB2167" s="172"/>
    </row>
    <row r="2168" spans="1:28" ht="12.6" customHeight="1" x14ac:dyDescent="0.3">
      <c r="A2168" s="667"/>
      <c r="B2168" s="668" t="s">
        <v>8349</v>
      </c>
      <c r="C2168" s="160" t="s">
        <v>8350</v>
      </c>
      <c r="D2168" s="160"/>
      <c r="E2168" s="439"/>
      <c r="F2168" s="161">
        <v>703.82661800000005</v>
      </c>
      <c r="G2168" s="161"/>
      <c r="H2168" s="654"/>
      <c r="I2168" s="654"/>
      <c r="J2168" s="191"/>
      <c r="K2168" s="191">
        <v>3445878.8144433498</v>
      </c>
      <c r="L2168" s="191"/>
      <c r="M2168" s="191"/>
      <c r="N2168" s="191"/>
      <c r="O2168" s="191"/>
      <c r="P2168" s="191"/>
      <c r="Q2168" s="191"/>
      <c r="R2168" s="191"/>
      <c r="S2168" s="191"/>
      <c r="T2168" s="191"/>
      <c r="U2168" s="439"/>
      <c r="V2168" s="441"/>
      <c r="W2168" s="178"/>
      <c r="X2168" s="172"/>
      <c r="Y2168" s="172"/>
      <c r="Z2168" s="172"/>
      <c r="AA2168" s="195"/>
      <c r="AB2168" s="172"/>
    </row>
    <row r="2169" spans="1:28" ht="12.6" customHeight="1" x14ac:dyDescent="0.3">
      <c r="A2169" s="667"/>
      <c r="B2169" s="668" t="s">
        <v>8351</v>
      </c>
      <c r="C2169" s="160" t="s">
        <v>8352</v>
      </c>
      <c r="D2169" s="160"/>
      <c r="E2169" s="439"/>
      <c r="F2169" s="161">
        <v>875.98134416000005</v>
      </c>
      <c r="G2169" s="161"/>
      <c r="H2169" s="654"/>
      <c r="I2169" s="654"/>
      <c r="J2169" s="191"/>
      <c r="K2169" s="191">
        <v>3682646.2235433399</v>
      </c>
      <c r="L2169" s="191"/>
      <c r="M2169" s="191"/>
      <c r="N2169" s="191"/>
      <c r="O2169" s="191"/>
      <c r="P2169" s="191"/>
      <c r="Q2169" s="191"/>
      <c r="R2169" s="191"/>
      <c r="S2169" s="191"/>
      <c r="T2169" s="191"/>
      <c r="U2169" s="439"/>
      <c r="V2169" s="441"/>
      <c r="W2169" s="178"/>
      <c r="X2169" s="172"/>
      <c r="Y2169" s="172"/>
      <c r="Z2169" s="172"/>
      <c r="AA2169" s="195"/>
      <c r="AB2169" s="172"/>
    </row>
    <row r="2170" spans="1:28" ht="12.6" customHeight="1" x14ac:dyDescent="0.3">
      <c r="A2170" s="667"/>
      <c r="B2170" s="668" t="s">
        <v>8353</v>
      </c>
      <c r="C2170" s="160" t="s">
        <v>8354</v>
      </c>
      <c r="D2170" s="160"/>
      <c r="E2170" s="439"/>
      <c r="F2170" s="161">
        <v>895.85496999999998</v>
      </c>
      <c r="G2170" s="161"/>
      <c r="H2170" s="654"/>
      <c r="I2170" s="654"/>
      <c r="J2170" s="191"/>
      <c r="K2170" s="191">
        <v>330293.47939603397</v>
      </c>
      <c r="L2170" s="191"/>
      <c r="M2170" s="191"/>
      <c r="N2170" s="191"/>
      <c r="O2170" s="191"/>
      <c r="P2170" s="191"/>
      <c r="Q2170" s="191"/>
      <c r="R2170" s="191"/>
      <c r="S2170" s="191"/>
      <c r="T2170" s="191"/>
      <c r="U2170" s="439"/>
      <c r="V2170" s="441"/>
      <c r="W2170" s="178"/>
      <c r="X2170" s="172"/>
      <c r="Y2170" s="172"/>
      <c r="Z2170" s="172"/>
      <c r="AA2170" s="195"/>
      <c r="AB2170" s="172"/>
    </row>
    <row r="2171" spans="1:28" ht="12.6" customHeight="1" x14ac:dyDescent="0.3">
      <c r="A2171" s="667"/>
      <c r="B2171" s="668" t="s">
        <v>8355</v>
      </c>
      <c r="C2171" s="160" t="s">
        <v>8356</v>
      </c>
      <c r="D2171" s="160"/>
      <c r="E2171" s="439"/>
      <c r="F2171" s="161">
        <v>745.97716682400005</v>
      </c>
      <c r="G2171" s="161"/>
      <c r="H2171" s="654"/>
      <c r="I2171" s="654"/>
      <c r="J2171" s="191"/>
      <c r="K2171" s="191">
        <v>260621.35595929201</v>
      </c>
      <c r="L2171" s="191"/>
      <c r="M2171" s="191"/>
      <c r="N2171" s="191"/>
      <c r="O2171" s="191"/>
      <c r="P2171" s="191"/>
      <c r="Q2171" s="191"/>
      <c r="R2171" s="191"/>
      <c r="S2171" s="191"/>
      <c r="T2171" s="191"/>
      <c r="U2171" s="439"/>
      <c r="V2171" s="441"/>
      <c r="W2171" s="178"/>
      <c r="X2171" s="172"/>
      <c r="Y2171" s="172"/>
      <c r="Z2171" s="172"/>
      <c r="AA2171" s="195"/>
      <c r="AB2171" s="172"/>
    </row>
    <row r="2172" spans="1:28" ht="12.6" customHeight="1" x14ac:dyDescent="0.3">
      <c r="A2172" s="667"/>
      <c r="B2172" s="668" t="s">
        <v>8357</v>
      </c>
      <c r="C2172" s="160" t="s">
        <v>8358</v>
      </c>
      <c r="D2172" s="160"/>
      <c r="E2172" s="439"/>
      <c r="F2172" s="161">
        <v>775.98773150800002</v>
      </c>
      <c r="G2172" s="161"/>
      <c r="H2172" s="654"/>
      <c r="I2172" s="654"/>
      <c r="J2172" s="191"/>
      <c r="K2172" s="191">
        <v>315900.27211170999</v>
      </c>
      <c r="L2172" s="191"/>
      <c r="M2172" s="191"/>
      <c r="N2172" s="191"/>
      <c r="O2172" s="191"/>
      <c r="P2172" s="191"/>
      <c r="Q2172" s="191"/>
      <c r="R2172" s="191"/>
      <c r="S2172" s="191"/>
      <c r="T2172" s="191"/>
      <c r="U2172" s="439"/>
      <c r="V2172" s="441"/>
      <c r="W2172" s="178"/>
      <c r="X2172" s="172"/>
      <c r="Y2172" s="172"/>
      <c r="Z2172" s="172"/>
      <c r="AA2172" s="195"/>
      <c r="AB2172" s="172"/>
    </row>
    <row r="2173" spans="1:28" ht="12.6" customHeight="1" x14ac:dyDescent="0.3">
      <c r="A2173" s="667"/>
      <c r="B2173" s="668" t="s">
        <v>8359</v>
      </c>
      <c r="C2173" s="160" t="s">
        <v>8360</v>
      </c>
      <c r="D2173" s="160"/>
      <c r="E2173" s="439"/>
      <c r="F2173" s="161">
        <v>695.98036049799998</v>
      </c>
      <c r="G2173" s="161"/>
      <c r="H2173" s="654"/>
      <c r="I2173" s="654"/>
      <c r="J2173" s="191"/>
      <c r="K2173" s="191">
        <v>247246.413193513</v>
      </c>
      <c r="L2173" s="191"/>
      <c r="M2173" s="191"/>
      <c r="N2173" s="191"/>
      <c r="O2173" s="191"/>
      <c r="P2173" s="191"/>
      <c r="Q2173" s="191"/>
      <c r="R2173" s="191"/>
      <c r="S2173" s="191"/>
      <c r="T2173" s="191"/>
      <c r="U2173" s="439"/>
      <c r="V2173" s="441"/>
      <c r="W2173" s="178"/>
      <c r="X2173" s="172"/>
      <c r="Y2173" s="172"/>
      <c r="Z2173" s="172"/>
      <c r="AA2173" s="195"/>
      <c r="AB2173" s="172"/>
    </row>
    <row r="2174" spans="1:28" ht="12.6" customHeight="1" x14ac:dyDescent="0.3">
      <c r="A2174" s="667"/>
      <c r="B2174" s="668" t="s">
        <v>8361</v>
      </c>
      <c r="C2174" s="160" t="s">
        <v>8362</v>
      </c>
      <c r="D2174" s="160"/>
      <c r="E2174" s="439"/>
      <c r="F2174" s="161">
        <v>823.89265999999998</v>
      </c>
      <c r="G2174" s="161"/>
      <c r="H2174" s="654"/>
      <c r="I2174" s="654"/>
      <c r="J2174" s="191"/>
      <c r="K2174" s="191">
        <v>348361.37815637997</v>
      </c>
      <c r="L2174" s="191"/>
      <c r="M2174" s="191"/>
      <c r="N2174" s="191"/>
      <c r="O2174" s="191"/>
      <c r="P2174" s="191"/>
      <c r="Q2174" s="191"/>
      <c r="R2174" s="191"/>
      <c r="S2174" s="191"/>
      <c r="T2174" s="191"/>
      <c r="U2174" s="439"/>
      <c r="V2174" s="441"/>
      <c r="W2174" s="178"/>
      <c r="X2174" s="172"/>
      <c r="Y2174" s="172"/>
      <c r="Z2174" s="172"/>
      <c r="AA2174" s="195"/>
      <c r="AB2174" s="172"/>
    </row>
    <row r="2175" spans="1:28" ht="12.6" customHeight="1" x14ac:dyDescent="0.3">
      <c r="A2175" s="667"/>
      <c r="B2175" s="668" t="s">
        <v>8363</v>
      </c>
      <c r="C2175" s="160" t="s">
        <v>8364</v>
      </c>
      <c r="D2175" s="160"/>
      <c r="E2175" s="439"/>
      <c r="F2175" s="161">
        <v>795.86135999999999</v>
      </c>
      <c r="G2175" s="161"/>
      <c r="H2175" s="654"/>
      <c r="I2175" s="654"/>
      <c r="J2175" s="191"/>
      <c r="K2175" s="191">
        <v>373800.60504017398</v>
      </c>
      <c r="L2175" s="191"/>
      <c r="M2175" s="191"/>
      <c r="N2175" s="191"/>
      <c r="O2175" s="191"/>
      <c r="P2175" s="191"/>
      <c r="Q2175" s="191"/>
      <c r="R2175" s="191"/>
      <c r="S2175" s="191"/>
      <c r="T2175" s="191"/>
      <c r="U2175" s="439"/>
      <c r="V2175" s="441"/>
      <c r="W2175" s="178"/>
      <c r="X2175" s="172"/>
      <c r="Y2175" s="172"/>
      <c r="Z2175" s="172"/>
      <c r="AA2175" s="195"/>
      <c r="AB2175" s="172"/>
    </row>
    <row r="2176" spans="1:28" ht="12.6" customHeight="1" x14ac:dyDescent="0.3">
      <c r="A2176" s="667"/>
      <c r="B2176" s="668" t="s">
        <v>8365</v>
      </c>
      <c r="C2176" s="160" t="s">
        <v>8366</v>
      </c>
      <c r="D2176" s="160"/>
      <c r="E2176" s="439"/>
      <c r="F2176" s="161">
        <v>779.87486379999996</v>
      </c>
      <c r="G2176" s="161">
        <v>-28.966999999999999</v>
      </c>
      <c r="H2176" s="654">
        <v>9.8605617809999995</v>
      </c>
      <c r="I2176" s="654"/>
      <c r="J2176" s="191"/>
      <c r="K2176" s="191">
        <v>832760275.13012302</v>
      </c>
      <c r="L2176" s="191"/>
      <c r="M2176" s="191"/>
      <c r="N2176" s="191"/>
      <c r="O2176" s="191"/>
      <c r="P2176" s="191"/>
      <c r="Q2176" s="191"/>
      <c r="R2176" s="191"/>
      <c r="S2176" s="191"/>
      <c r="T2176" s="191"/>
      <c r="U2176" s="439"/>
      <c r="V2176" s="441"/>
      <c r="W2176" s="178"/>
      <c r="X2176" s="172"/>
      <c r="Y2176" s="172"/>
      <c r="Z2176" s="172"/>
      <c r="AA2176" s="195"/>
      <c r="AB2176" s="172"/>
    </row>
    <row r="2177" spans="1:28" ht="12.6" customHeight="1" x14ac:dyDescent="0.3">
      <c r="A2177" s="667"/>
      <c r="B2177" s="668" t="s">
        <v>8367</v>
      </c>
      <c r="C2177" s="160" t="s">
        <v>8368</v>
      </c>
      <c r="D2177" s="160"/>
      <c r="E2177" s="439"/>
      <c r="F2177" s="161">
        <v>675.994118856</v>
      </c>
      <c r="G2177" s="161"/>
      <c r="H2177" s="654"/>
      <c r="I2177" s="654"/>
      <c r="J2177" s="191"/>
      <c r="K2177" s="191">
        <v>415164.29862284602</v>
      </c>
      <c r="L2177" s="191"/>
      <c r="M2177" s="191"/>
      <c r="N2177" s="191"/>
      <c r="O2177" s="191"/>
      <c r="P2177" s="191"/>
      <c r="Q2177" s="191"/>
      <c r="R2177" s="191"/>
      <c r="S2177" s="191"/>
      <c r="T2177" s="191"/>
      <c r="U2177" s="439"/>
      <c r="V2177" s="441"/>
      <c r="W2177" s="178"/>
      <c r="X2177" s="172"/>
      <c r="Y2177" s="172"/>
      <c r="Z2177" s="172"/>
      <c r="AA2177" s="195"/>
      <c r="AB2177" s="172"/>
    </row>
    <row r="2178" spans="1:28" ht="12.6" customHeight="1" x14ac:dyDescent="0.3">
      <c r="A2178" s="667"/>
      <c r="B2178" s="668" t="s">
        <v>8369</v>
      </c>
      <c r="C2178" s="160" t="s">
        <v>8370</v>
      </c>
      <c r="D2178" s="160"/>
      <c r="E2178" s="439"/>
      <c r="F2178" s="161">
        <v>595.98674784599996</v>
      </c>
      <c r="G2178" s="161"/>
      <c r="H2178" s="654"/>
      <c r="I2178" s="654"/>
      <c r="J2178" s="191"/>
      <c r="K2178" s="191">
        <v>273205.853518166</v>
      </c>
      <c r="L2178" s="191"/>
      <c r="M2178" s="191"/>
      <c r="N2178" s="191"/>
      <c r="O2178" s="191"/>
      <c r="P2178" s="191"/>
      <c r="Q2178" s="191"/>
      <c r="R2178" s="191"/>
      <c r="S2178" s="191"/>
      <c r="T2178" s="191"/>
      <c r="U2178" s="439"/>
      <c r="V2178" s="441"/>
      <c r="W2178" s="178"/>
      <c r="X2178" s="172"/>
      <c r="Y2178" s="172"/>
      <c r="Z2178" s="172"/>
      <c r="AA2178" s="195"/>
      <c r="AB2178" s="172"/>
    </row>
    <row r="2179" spans="1:28" ht="12.6" customHeight="1" x14ac:dyDescent="0.3">
      <c r="A2179" s="667"/>
      <c r="B2179" s="668" t="s">
        <v>8371</v>
      </c>
      <c r="C2179" s="160" t="s">
        <v>8372</v>
      </c>
      <c r="D2179" s="160"/>
      <c r="E2179" s="439"/>
      <c r="F2179" s="161">
        <v>723.89904000000001</v>
      </c>
      <c r="G2179" s="161"/>
      <c r="H2179" s="654"/>
      <c r="I2179" s="654"/>
      <c r="J2179" s="191"/>
      <c r="K2179" s="191">
        <v>2980986.4365307</v>
      </c>
      <c r="L2179" s="191"/>
      <c r="M2179" s="191"/>
      <c r="N2179" s="191"/>
      <c r="O2179" s="191"/>
      <c r="P2179" s="191"/>
      <c r="Q2179" s="191"/>
      <c r="R2179" s="191"/>
      <c r="S2179" s="191"/>
      <c r="T2179" s="191"/>
      <c r="U2179" s="439"/>
      <c r="V2179" s="441"/>
      <c r="W2179" s="178"/>
      <c r="X2179" s="172"/>
      <c r="Y2179" s="172"/>
      <c r="Z2179" s="172"/>
      <c r="AA2179" s="195"/>
      <c r="AB2179" s="172"/>
    </row>
    <row r="2180" spans="1:28" ht="12.6" customHeight="1" x14ac:dyDescent="0.3">
      <c r="A2180" s="667"/>
      <c r="B2180" s="668" t="s">
        <v>8373</v>
      </c>
      <c r="C2180" s="160" t="s">
        <v>8374</v>
      </c>
      <c r="D2180" s="160"/>
      <c r="E2180" s="439"/>
      <c r="F2180" s="161">
        <v>695.86774000000003</v>
      </c>
      <c r="G2180" s="161"/>
      <c r="H2180" s="654"/>
      <c r="I2180" s="654"/>
      <c r="J2180" s="191"/>
      <c r="K2180" s="191">
        <v>510328.70824123599</v>
      </c>
      <c r="L2180" s="191"/>
      <c r="M2180" s="191"/>
      <c r="N2180" s="191"/>
      <c r="O2180" s="191"/>
      <c r="P2180" s="191"/>
      <c r="Q2180" s="191"/>
      <c r="R2180" s="191"/>
      <c r="S2180" s="191"/>
      <c r="T2180" s="191"/>
      <c r="U2180" s="439"/>
      <c r="V2180" s="441"/>
      <c r="W2180" s="178"/>
      <c r="X2180" s="172"/>
      <c r="Y2180" s="172"/>
      <c r="Z2180" s="172"/>
      <c r="AA2180" s="195"/>
      <c r="AB2180" s="172"/>
    </row>
    <row r="2181" spans="1:28" ht="12.6" customHeight="1" x14ac:dyDescent="0.3">
      <c r="A2181" s="667"/>
      <c r="B2181" s="668" t="s">
        <v>8375</v>
      </c>
      <c r="C2181" s="160" t="s">
        <v>8376</v>
      </c>
      <c r="D2181" s="160"/>
      <c r="E2181" s="439"/>
      <c r="F2181" s="161">
        <v>679.88125119999995</v>
      </c>
      <c r="G2181" s="161">
        <v>-25.399000000000001</v>
      </c>
      <c r="H2181" s="654">
        <v>17.860881696</v>
      </c>
      <c r="I2181" s="654"/>
      <c r="J2181" s="191"/>
      <c r="K2181" s="191">
        <v>1697579022.9632001</v>
      </c>
      <c r="L2181" s="191"/>
      <c r="M2181" s="191"/>
      <c r="N2181" s="191"/>
      <c r="O2181" s="191"/>
      <c r="P2181" s="191"/>
      <c r="Q2181" s="191"/>
      <c r="R2181" s="191"/>
      <c r="S2181" s="191"/>
      <c r="T2181" s="191"/>
      <c r="U2181" s="439"/>
      <c r="V2181" s="441"/>
      <c r="W2181" s="178"/>
      <c r="X2181" s="172"/>
      <c r="Y2181" s="172"/>
      <c r="Z2181" s="172"/>
      <c r="AA2181" s="195"/>
      <c r="AB2181" s="172"/>
    </row>
    <row r="2182" spans="1:28" ht="12.6" customHeight="1" x14ac:dyDescent="0.3">
      <c r="A2182" s="667"/>
      <c r="B2182" s="668" t="s">
        <v>8377</v>
      </c>
      <c r="C2182" s="160" t="s">
        <v>8378</v>
      </c>
      <c r="D2182" s="160"/>
      <c r="E2182" s="439"/>
      <c r="F2182" s="161">
        <v>576.00050620399998</v>
      </c>
      <c r="G2182" s="161"/>
      <c r="H2182" s="654"/>
      <c r="I2182" s="654"/>
      <c r="J2182" s="191"/>
      <c r="K2182" s="191">
        <v>256064.869461011</v>
      </c>
      <c r="L2182" s="191"/>
      <c r="M2182" s="191"/>
      <c r="N2182" s="191"/>
      <c r="O2182" s="191"/>
      <c r="P2182" s="191"/>
      <c r="Q2182" s="191"/>
      <c r="R2182" s="191"/>
      <c r="S2182" s="191"/>
      <c r="T2182" s="191"/>
      <c r="U2182" s="439"/>
      <c r="V2182" s="441"/>
      <c r="W2182" s="178"/>
      <c r="X2182" s="172"/>
      <c r="Y2182" s="172"/>
      <c r="Z2182" s="172"/>
      <c r="AA2182" s="195"/>
      <c r="AB2182" s="172"/>
    </row>
    <row r="2183" spans="1:28" ht="12.6" customHeight="1" x14ac:dyDescent="0.3">
      <c r="A2183" s="667"/>
      <c r="B2183" s="668" t="s">
        <v>8379</v>
      </c>
      <c r="C2183" s="160" t="s">
        <v>8380</v>
      </c>
      <c r="D2183" s="160"/>
      <c r="E2183" s="439"/>
      <c r="F2183" s="161">
        <v>625.91610500000002</v>
      </c>
      <c r="G2183" s="161"/>
      <c r="H2183" s="654"/>
      <c r="I2183" s="654"/>
      <c r="J2183" s="191"/>
      <c r="K2183" s="191">
        <v>2472634.9296057899</v>
      </c>
      <c r="L2183" s="191"/>
      <c r="M2183" s="191"/>
      <c r="N2183" s="191"/>
      <c r="O2183" s="191"/>
      <c r="P2183" s="191"/>
      <c r="Q2183" s="191"/>
      <c r="R2183" s="191"/>
      <c r="S2183" s="191"/>
      <c r="T2183" s="191"/>
      <c r="U2183" s="439"/>
      <c r="V2183" s="441"/>
      <c r="W2183" s="178"/>
      <c r="X2183" s="172"/>
      <c r="Y2183" s="172"/>
      <c r="Z2183" s="172"/>
      <c r="AA2183" s="195"/>
      <c r="AB2183" s="172"/>
    </row>
    <row r="2184" spans="1:28" ht="12.6" customHeight="1" x14ac:dyDescent="0.3">
      <c r="A2184" s="667"/>
      <c r="B2184" s="668" t="s">
        <v>8381</v>
      </c>
      <c r="C2184" s="160" t="s">
        <v>8382</v>
      </c>
      <c r="D2184" s="160"/>
      <c r="E2184" s="439"/>
      <c r="F2184" s="161">
        <v>573.00084055599996</v>
      </c>
      <c r="G2184" s="161"/>
      <c r="H2184" s="654"/>
      <c r="I2184" s="654"/>
      <c r="J2184" s="191"/>
      <c r="K2184" s="191">
        <v>226740.969884875</v>
      </c>
      <c r="L2184" s="191"/>
      <c r="M2184" s="191"/>
      <c r="N2184" s="191"/>
      <c r="O2184" s="191"/>
      <c r="P2184" s="191"/>
      <c r="Q2184" s="191"/>
      <c r="R2184" s="191"/>
      <c r="S2184" s="191"/>
      <c r="T2184" s="191"/>
      <c r="U2184" s="439"/>
      <c r="V2184" s="441"/>
      <c r="W2184" s="178"/>
      <c r="X2184" s="172"/>
      <c r="Y2184" s="172"/>
      <c r="Z2184" s="172"/>
      <c r="AA2184" s="195"/>
      <c r="AB2184" s="172"/>
    </row>
    <row r="2185" spans="1:28" ht="12.6" customHeight="1" x14ac:dyDescent="0.3">
      <c r="A2185" s="667"/>
      <c r="B2185" s="668" t="s">
        <v>8383</v>
      </c>
      <c r="C2185" s="160" t="s">
        <v>8384</v>
      </c>
      <c r="D2185" s="160"/>
      <c r="E2185" s="439"/>
      <c r="F2185" s="161">
        <v>687.91789000000006</v>
      </c>
      <c r="G2185" s="161"/>
      <c r="H2185" s="654"/>
      <c r="I2185" s="654"/>
      <c r="J2185" s="191"/>
      <c r="K2185" s="191">
        <v>3267683.6115548201</v>
      </c>
      <c r="L2185" s="191"/>
      <c r="M2185" s="191"/>
      <c r="N2185" s="191"/>
      <c r="O2185" s="191"/>
      <c r="P2185" s="191"/>
      <c r="Q2185" s="191"/>
      <c r="R2185" s="191"/>
      <c r="S2185" s="191"/>
      <c r="T2185" s="191"/>
      <c r="U2185" s="439"/>
      <c r="V2185" s="441"/>
      <c r="W2185" s="178"/>
      <c r="X2185" s="172"/>
      <c r="Y2185" s="172"/>
      <c r="Z2185" s="172"/>
      <c r="AA2185" s="195"/>
      <c r="AB2185" s="172"/>
    </row>
    <row r="2186" spans="1:28" ht="12.6" customHeight="1" x14ac:dyDescent="0.3">
      <c r="A2186" s="667"/>
      <c r="B2186" s="668" t="s">
        <v>8385</v>
      </c>
      <c r="C2186" s="160" t="s">
        <v>8386</v>
      </c>
      <c r="D2186" s="160"/>
      <c r="E2186" s="439">
        <v>6.19</v>
      </c>
      <c r="F2186" s="161">
        <v>589.00698856400004</v>
      </c>
      <c r="G2186" s="161"/>
      <c r="H2186" s="654"/>
      <c r="I2186" s="654"/>
      <c r="J2186" s="191"/>
      <c r="K2186" s="191">
        <v>706463.94149496895</v>
      </c>
      <c r="L2186" s="191"/>
      <c r="M2186" s="191"/>
      <c r="N2186" s="191"/>
      <c r="O2186" s="191"/>
      <c r="P2186" s="191"/>
      <c r="Q2186" s="191"/>
      <c r="R2186" s="191"/>
      <c r="S2186" s="191"/>
      <c r="T2186" s="191"/>
      <c r="U2186" s="439"/>
      <c r="V2186" s="441"/>
      <c r="W2186" s="178"/>
      <c r="X2186" s="172"/>
      <c r="Y2186" s="172"/>
      <c r="Z2186" s="172"/>
      <c r="AA2186" s="195"/>
      <c r="AB2186" s="172"/>
    </row>
    <row r="2187" spans="1:28" ht="12.6" customHeight="1" x14ac:dyDescent="0.3">
      <c r="A2187" s="667"/>
      <c r="B2187" s="668" t="s">
        <v>8387</v>
      </c>
      <c r="C2187" s="160" t="s">
        <v>8388</v>
      </c>
      <c r="D2187" s="160"/>
      <c r="E2187" s="439"/>
      <c r="F2187" s="439">
        <v>618.01107088799995</v>
      </c>
      <c r="G2187" s="161">
        <v>-36.554000000000002</v>
      </c>
      <c r="H2187" s="654">
        <v>21.17886631</v>
      </c>
      <c r="I2187" s="654"/>
      <c r="J2187" s="191"/>
      <c r="K2187" s="191">
        <v>222300.275025571</v>
      </c>
      <c r="L2187" s="191"/>
      <c r="M2187" s="191"/>
      <c r="N2187" s="191"/>
      <c r="O2187" s="191"/>
      <c r="P2187" s="191"/>
      <c r="Q2187" s="191"/>
      <c r="R2187" s="191"/>
      <c r="S2187" s="191"/>
      <c r="T2187" s="191"/>
      <c r="U2187" s="439"/>
      <c r="V2187" s="441"/>
      <c r="W2187" s="178"/>
      <c r="X2187" s="172"/>
      <c r="Y2187" s="172"/>
      <c r="Z2187" s="172"/>
      <c r="AA2187" s="195"/>
      <c r="AB2187" s="172"/>
    </row>
    <row r="2188" spans="1:28" ht="12.6" customHeight="1" x14ac:dyDescent="0.3">
      <c r="A2188" s="667"/>
      <c r="B2188" s="668" t="s">
        <v>8389</v>
      </c>
      <c r="C2188" s="160" t="s">
        <v>8390</v>
      </c>
      <c r="D2188" s="160"/>
      <c r="E2188" s="439">
        <v>8.5500000000000007</v>
      </c>
      <c r="F2188" s="161">
        <v>733.05327005300001</v>
      </c>
      <c r="G2188" s="161"/>
      <c r="H2188" s="654"/>
      <c r="I2188" s="654"/>
      <c r="J2188" s="191"/>
      <c r="K2188" s="191">
        <v>659705340.75750601</v>
      </c>
      <c r="L2188" s="191"/>
      <c r="M2188" s="191"/>
      <c r="N2188" s="191"/>
      <c r="O2188" s="191"/>
      <c r="P2188" s="191"/>
      <c r="Q2188" s="191"/>
      <c r="R2188" s="191"/>
      <c r="S2188" s="191"/>
      <c r="T2188" s="191"/>
      <c r="U2188" s="439"/>
      <c r="V2188" s="441"/>
      <c r="W2188" s="178"/>
      <c r="X2188" s="172"/>
      <c r="Y2188" s="172"/>
      <c r="Z2188" s="172"/>
      <c r="AA2188" s="195"/>
      <c r="AB2188" s="172"/>
    </row>
    <row r="2189" spans="1:28" ht="12.6" customHeight="1" x14ac:dyDescent="0.3">
      <c r="A2189" s="667"/>
      <c r="B2189" s="668" t="s">
        <v>8391</v>
      </c>
      <c r="C2189" s="160" t="s">
        <v>8392</v>
      </c>
      <c r="D2189" s="160"/>
      <c r="E2189" s="439">
        <v>7.97</v>
      </c>
      <c r="F2189" s="161">
        <v>683.03761998899995</v>
      </c>
      <c r="G2189" s="161"/>
      <c r="H2189" s="654"/>
      <c r="I2189" s="654"/>
      <c r="J2189" s="191"/>
      <c r="K2189" s="191">
        <v>300379.29938883398</v>
      </c>
      <c r="L2189" s="191"/>
      <c r="M2189" s="191"/>
      <c r="N2189" s="191"/>
      <c r="O2189" s="191"/>
      <c r="P2189" s="191"/>
      <c r="Q2189" s="191"/>
      <c r="R2189" s="191"/>
      <c r="S2189" s="191"/>
      <c r="T2189" s="191"/>
      <c r="U2189" s="439"/>
      <c r="V2189" s="441"/>
      <c r="W2189" s="178"/>
      <c r="X2189" s="172"/>
      <c r="Y2189" s="172"/>
      <c r="Z2189" s="172"/>
      <c r="AA2189" s="195"/>
      <c r="AB2189" s="172"/>
    </row>
    <row r="2190" spans="1:28" ht="12.6" customHeight="1" x14ac:dyDescent="0.3">
      <c r="A2190" s="667"/>
      <c r="B2190" s="668" t="s">
        <v>8393</v>
      </c>
      <c r="C2190" s="160" t="s">
        <v>8394</v>
      </c>
      <c r="D2190" s="160"/>
      <c r="E2190" s="439">
        <v>8.11</v>
      </c>
      <c r="F2190" s="161">
        <v>579.97766275799995</v>
      </c>
      <c r="G2190" s="161"/>
      <c r="H2190" s="654"/>
      <c r="I2190" s="654"/>
      <c r="J2190" s="191"/>
      <c r="K2190" s="191">
        <v>2493503.6024790602</v>
      </c>
      <c r="L2190" s="191"/>
      <c r="M2190" s="191"/>
      <c r="N2190" s="191"/>
      <c r="O2190" s="191"/>
      <c r="P2190" s="191"/>
      <c r="Q2190" s="191"/>
      <c r="R2190" s="191"/>
      <c r="S2190" s="191"/>
      <c r="T2190" s="191"/>
      <c r="U2190" s="439"/>
      <c r="V2190" s="441"/>
      <c r="W2190" s="178"/>
      <c r="X2190" s="172"/>
      <c r="Y2190" s="172"/>
      <c r="Z2190" s="172"/>
      <c r="AA2190" s="195"/>
      <c r="AB2190" s="172"/>
    </row>
    <row r="2191" spans="1:28" ht="12.6" customHeight="1" x14ac:dyDescent="0.3">
      <c r="A2191" s="667"/>
      <c r="B2191" s="668" t="s">
        <v>8395</v>
      </c>
      <c r="C2191" s="160" t="s">
        <v>8396</v>
      </c>
      <c r="D2191" s="160"/>
      <c r="E2191" s="439"/>
      <c r="F2191" s="161">
        <v>603.99542082400001</v>
      </c>
      <c r="G2191" s="161">
        <v>-56.691000000000003</v>
      </c>
      <c r="H2191" s="654">
        <v>35.637103922000001</v>
      </c>
      <c r="I2191" s="654"/>
      <c r="J2191" s="191"/>
      <c r="K2191" s="191">
        <v>94955.472680650404</v>
      </c>
      <c r="L2191" s="191"/>
      <c r="M2191" s="191"/>
      <c r="N2191" s="191"/>
      <c r="O2191" s="191"/>
      <c r="P2191" s="191"/>
      <c r="Q2191" s="191"/>
      <c r="R2191" s="191"/>
      <c r="S2191" s="191"/>
      <c r="T2191" s="191"/>
      <c r="U2191" s="439"/>
      <c r="V2191" s="441"/>
      <c r="W2191" s="178"/>
      <c r="X2191" s="172"/>
      <c r="Y2191" s="172"/>
      <c r="Z2191" s="172"/>
      <c r="AA2191" s="195"/>
      <c r="AB2191" s="172"/>
    </row>
    <row r="2192" spans="1:28" ht="12.6" customHeight="1" x14ac:dyDescent="0.3">
      <c r="A2192" s="667"/>
      <c r="B2192" s="668" t="s">
        <v>8397</v>
      </c>
      <c r="C2192" s="160" t="s">
        <v>8398</v>
      </c>
      <c r="D2192" s="160"/>
      <c r="E2192" s="439"/>
      <c r="F2192" s="161">
        <v>495.99313519399999</v>
      </c>
      <c r="G2192" s="161"/>
      <c r="H2192" s="654"/>
      <c r="I2192" s="654"/>
      <c r="J2192" s="191"/>
      <c r="K2192" s="191">
        <v>129631.33690798101</v>
      </c>
      <c r="L2192" s="191"/>
      <c r="M2192" s="191"/>
      <c r="N2192" s="191"/>
      <c r="O2192" s="191"/>
      <c r="P2192" s="191"/>
      <c r="Q2192" s="191"/>
      <c r="R2192" s="191"/>
      <c r="S2192" s="191"/>
      <c r="T2192" s="191"/>
      <c r="U2192" s="439"/>
      <c r="V2192" s="441"/>
      <c r="W2192" s="178"/>
      <c r="X2192" s="172"/>
      <c r="Y2192" s="172"/>
      <c r="Z2192" s="172"/>
      <c r="AA2192" s="195"/>
      <c r="AB2192" s="172"/>
    </row>
    <row r="2193" spans="1:28" ht="12.6" customHeight="1" x14ac:dyDescent="0.3">
      <c r="A2193" s="667"/>
      <c r="B2193" s="668" t="s">
        <v>8399</v>
      </c>
      <c r="C2193" s="160" t="s">
        <v>8400</v>
      </c>
      <c r="D2193" s="160"/>
      <c r="E2193" s="439"/>
      <c r="F2193" s="161">
        <v>553.99861449800005</v>
      </c>
      <c r="G2193" s="161">
        <v>-57.906999999999996</v>
      </c>
      <c r="H2193" s="654">
        <v>47.962456177999996</v>
      </c>
      <c r="I2193" s="654"/>
      <c r="J2193" s="191"/>
      <c r="K2193" s="191">
        <v>82761.813789643405</v>
      </c>
      <c r="L2193" s="191"/>
      <c r="M2193" s="191"/>
      <c r="N2193" s="191"/>
      <c r="O2193" s="191"/>
      <c r="P2193" s="191"/>
      <c r="Q2193" s="191"/>
      <c r="R2193" s="191"/>
      <c r="S2193" s="191"/>
      <c r="T2193" s="191"/>
      <c r="U2193" s="439"/>
      <c r="V2193" s="441"/>
      <c r="W2193" s="178"/>
      <c r="X2193" s="172"/>
      <c r="Y2193" s="172"/>
      <c r="Z2193" s="172"/>
      <c r="AA2193" s="195"/>
      <c r="AB2193" s="172"/>
    </row>
    <row r="2194" spans="1:28" ht="12.6" customHeight="1" x14ac:dyDescent="0.3">
      <c r="A2194" s="667"/>
      <c r="B2194" s="668" t="s">
        <v>8401</v>
      </c>
      <c r="C2194" s="160" t="s">
        <v>8402</v>
      </c>
      <c r="D2194" s="160"/>
      <c r="E2194" s="439"/>
      <c r="F2194" s="161">
        <v>443.98067880299999</v>
      </c>
      <c r="G2194" s="161">
        <v>-55.186999999999998</v>
      </c>
      <c r="H2194" s="654">
        <v>477.42074911999998</v>
      </c>
      <c r="I2194" s="654">
        <v>0.29947739931162998</v>
      </c>
      <c r="J2194" s="191"/>
      <c r="K2194" s="191">
        <v>37580.2789978336</v>
      </c>
      <c r="L2194" s="191"/>
      <c r="M2194" s="191"/>
      <c r="N2194" s="191"/>
      <c r="O2194" s="191"/>
      <c r="P2194" s="191"/>
      <c r="Q2194" s="191"/>
      <c r="R2194" s="191"/>
      <c r="S2194" s="191"/>
      <c r="T2194" s="191"/>
      <c r="U2194" s="439"/>
      <c r="V2194" s="441"/>
      <c r="W2194" s="178"/>
      <c r="X2194" s="172"/>
      <c r="Y2194" s="172"/>
      <c r="Z2194" s="172"/>
      <c r="AA2194" s="195"/>
      <c r="AB2194" s="172"/>
    </row>
    <row r="2195" spans="1:28" ht="12.6" customHeight="1" x14ac:dyDescent="0.3">
      <c r="A2195" s="667"/>
      <c r="B2195" s="668" t="s">
        <v>8403</v>
      </c>
      <c r="C2195" s="160" t="s">
        <v>8404</v>
      </c>
      <c r="D2195" s="160"/>
      <c r="E2195" s="439"/>
      <c r="F2195" s="161">
        <v>495.95227119999998</v>
      </c>
      <c r="G2195" s="161"/>
      <c r="H2195" s="654"/>
      <c r="I2195" s="654"/>
      <c r="J2195" s="191"/>
      <c r="K2195" s="191">
        <v>155485.53774894201</v>
      </c>
      <c r="L2195" s="191"/>
      <c r="M2195" s="191"/>
      <c r="N2195" s="191"/>
      <c r="O2195" s="191"/>
      <c r="P2195" s="191"/>
      <c r="Q2195" s="191"/>
      <c r="R2195" s="191"/>
      <c r="S2195" s="191"/>
      <c r="T2195" s="191"/>
      <c r="U2195" s="439"/>
      <c r="V2195" s="441"/>
      <c r="W2195" s="178"/>
      <c r="X2195" s="172"/>
      <c r="Y2195" s="172"/>
      <c r="Z2195" s="172"/>
      <c r="AA2195" s="195"/>
      <c r="AB2195" s="172"/>
    </row>
    <row r="2196" spans="1:28" ht="12.6" customHeight="1" x14ac:dyDescent="0.3">
      <c r="A2196" s="667"/>
      <c r="B2196" s="668" t="s">
        <v>8405</v>
      </c>
      <c r="C2196" s="160" t="s">
        <v>8406</v>
      </c>
      <c r="D2196" s="160"/>
      <c r="E2196" s="439">
        <v>4.26</v>
      </c>
      <c r="F2196" s="161">
        <v>746.95943999999997</v>
      </c>
      <c r="G2196" s="161"/>
      <c r="H2196" s="654"/>
      <c r="I2196" s="654"/>
      <c r="J2196" s="191"/>
      <c r="K2196" s="191">
        <v>788206.47824980598</v>
      </c>
      <c r="L2196" s="191"/>
      <c r="M2196" s="191"/>
      <c r="N2196" s="191"/>
      <c r="O2196" s="191"/>
      <c r="P2196" s="191"/>
      <c r="Q2196" s="191"/>
      <c r="R2196" s="191"/>
      <c r="S2196" s="191"/>
      <c r="T2196" s="191"/>
      <c r="U2196" s="439"/>
      <c r="V2196" s="441"/>
      <c r="W2196" s="178"/>
      <c r="X2196" s="172"/>
      <c r="Y2196" s="172"/>
      <c r="Z2196" s="172"/>
      <c r="AA2196" s="195"/>
      <c r="AB2196" s="172"/>
    </row>
    <row r="2197" spans="1:28" ht="12.6" customHeight="1" x14ac:dyDescent="0.3">
      <c r="A2197" s="667"/>
      <c r="B2197" s="668" t="s">
        <v>8407</v>
      </c>
      <c r="C2197" s="160" t="s">
        <v>8408</v>
      </c>
      <c r="D2197" s="160"/>
      <c r="E2197" s="439"/>
      <c r="F2197" s="161">
        <v>579.88763849999998</v>
      </c>
      <c r="G2197" s="161">
        <v>-69.998999999999995</v>
      </c>
      <c r="H2197" s="654">
        <v>32.426576840000003</v>
      </c>
      <c r="I2197" s="654"/>
      <c r="J2197" s="191"/>
      <c r="K2197" s="191">
        <v>3043546.9107389101</v>
      </c>
      <c r="L2197" s="191"/>
      <c r="M2197" s="191"/>
      <c r="N2197" s="191"/>
      <c r="O2197" s="191"/>
      <c r="P2197" s="191"/>
      <c r="Q2197" s="191"/>
      <c r="R2197" s="191"/>
      <c r="S2197" s="191"/>
      <c r="T2197" s="191"/>
      <c r="U2197" s="439"/>
      <c r="V2197" s="441"/>
      <c r="W2197" s="178"/>
      <c r="X2197" s="172"/>
      <c r="Y2197" s="172"/>
      <c r="Z2197" s="172"/>
      <c r="AA2197" s="195"/>
      <c r="AB2197" s="172"/>
    </row>
    <row r="2198" spans="1:28" ht="12.6" customHeight="1" x14ac:dyDescent="0.3">
      <c r="A2198" s="667"/>
      <c r="B2198" s="668" t="s">
        <v>8409</v>
      </c>
      <c r="C2198" s="160" t="s">
        <v>8410</v>
      </c>
      <c r="D2198" s="160"/>
      <c r="E2198" s="439"/>
      <c r="F2198" s="161">
        <v>460.01197893199998</v>
      </c>
      <c r="G2198" s="161">
        <v>-80.692999999999998</v>
      </c>
      <c r="H2198" s="654">
        <v>399.85400951999998</v>
      </c>
      <c r="I2198" s="654">
        <v>0.24590584350580499</v>
      </c>
      <c r="J2198" s="191"/>
      <c r="K2198" s="191">
        <v>105516.408365842</v>
      </c>
      <c r="L2198" s="191"/>
      <c r="M2198" s="191"/>
      <c r="N2198" s="191"/>
      <c r="O2198" s="191"/>
      <c r="P2198" s="191"/>
      <c r="Q2198" s="191"/>
      <c r="R2198" s="191"/>
      <c r="S2198" s="191"/>
      <c r="T2198" s="191"/>
      <c r="U2198" s="439"/>
      <c r="V2198" s="441"/>
      <c r="W2198" s="178"/>
      <c r="X2198" s="172"/>
      <c r="Y2198" s="172"/>
      <c r="Z2198" s="172"/>
      <c r="AA2198" s="195"/>
      <c r="AB2198" s="172"/>
    </row>
    <row r="2199" spans="1:28" ht="12.6" customHeight="1" x14ac:dyDescent="0.3">
      <c r="A2199" s="667"/>
      <c r="B2199" s="668" t="s">
        <v>8411</v>
      </c>
      <c r="C2199" s="160" t="s">
        <v>8412</v>
      </c>
      <c r="D2199" s="160"/>
      <c r="E2199" s="439"/>
      <c r="F2199" s="161">
        <v>643.95048999999995</v>
      </c>
      <c r="G2199" s="161">
        <v>-17.681999999999999</v>
      </c>
      <c r="H2199" s="654">
        <v>6.2647207867999999</v>
      </c>
      <c r="I2199" s="654"/>
      <c r="J2199" s="191"/>
      <c r="K2199" s="191">
        <v>40618136.992172197</v>
      </c>
      <c r="L2199" s="191"/>
      <c r="M2199" s="191"/>
      <c r="N2199" s="191"/>
      <c r="O2199" s="191"/>
      <c r="P2199" s="191"/>
      <c r="Q2199" s="191"/>
      <c r="R2199" s="191"/>
      <c r="S2199" s="191"/>
      <c r="T2199" s="191"/>
      <c r="U2199" s="439"/>
      <c r="V2199" s="441"/>
      <c r="W2199" s="178"/>
      <c r="X2199" s="172"/>
      <c r="Y2199" s="172"/>
      <c r="Z2199" s="172"/>
      <c r="AA2199" s="195"/>
      <c r="AB2199" s="172"/>
    </row>
    <row r="2200" spans="1:28" ht="12.6" customHeight="1" x14ac:dyDescent="0.3">
      <c r="A2200" s="667"/>
      <c r="B2200" s="668" t="s">
        <v>8413</v>
      </c>
      <c r="C2200" s="160" t="s">
        <v>8414</v>
      </c>
      <c r="D2200" s="160"/>
      <c r="E2200" s="439"/>
      <c r="F2200" s="161">
        <v>525.92249200000003</v>
      </c>
      <c r="G2200" s="161">
        <v>-59.649000000000001</v>
      </c>
      <c r="H2200" s="654">
        <v>144.17841045999899</v>
      </c>
      <c r="I2200" s="654">
        <v>0.16402944010738801</v>
      </c>
      <c r="J2200" s="191"/>
      <c r="K2200" s="191">
        <v>209821.50606501501</v>
      </c>
      <c r="L2200" s="191"/>
      <c r="M2200" s="191"/>
      <c r="N2200" s="191"/>
      <c r="O2200" s="191"/>
      <c r="P2200" s="191"/>
      <c r="Q2200" s="191"/>
      <c r="R2200" s="191"/>
      <c r="S2200" s="191"/>
      <c r="T2200" s="191"/>
      <c r="U2200" s="439"/>
      <c r="V2200" s="441"/>
      <c r="W2200" s="178"/>
      <c r="X2200" s="172"/>
      <c r="Y2200" s="172"/>
      <c r="Z2200" s="172"/>
      <c r="AA2200" s="195"/>
      <c r="AB2200" s="172"/>
    </row>
    <row r="2201" spans="1:28" ht="12.6" customHeight="1" x14ac:dyDescent="0.3">
      <c r="A2201" s="667"/>
      <c r="B2201" s="668" t="s">
        <v>8415</v>
      </c>
      <c r="C2201" s="160" t="s">
        <v>8416</v>
      </c>
      <c r="D2201" s="160"/>
      <c r="E2201" s="439">
        <v>3.52</v>
      </c>
      <c r="F2201" s="161">
        <v>589.01818651300005</v>
      </c>
      <c r="G2201" s="161">
        <v>35.26</v>
      </c>
      <c r="H2201" s="654">
        <v>1.7056950035999999E-2</v>
      </c>
      <c r="I2201" s="654">
        <v>0.18669343734259999</v>
      </c>
      <c r="J2201" s="191"/>
      <c r="K2201" s="191">
        <v>97315.047732470601</v>
      </c>
      <c r="L2201" s="191"/>
      <c r="M2201" s="191"/>
      <c r="N2201" s="191"/>
      <c r="O2201" s="191"/>
      <c r="P2201" s="191"/>
      <c r="Q2201" s="191"/>
      <c r="R2201" s="191"/>
      <c r="S2201" s="191"/>
      <c r="T2201" s="191"/>
      <c r="U2201" s="439"/>
      <c r="V2201" s="441"/>
      <c r="W2201" s="178"/>
      <c r="X2201" s="172"/>
      <c r="Y2201" s="172"/>
      <c r="Z2201" s="172"/>
      <c r="AA2201" s="195"/>
      <c r="AB2201" s="172"/>
    </row>
    <row r="2202" spans="1:28" ht="12.6" customHeight="1" x14ac:dyDescent="0.3">
      <c r="A2202" s="667"/>
      <c r="B2202" s="668" t="s">
        <v>8417</v>
      </c>
      <c r="C2202" s="160" t="s">
        <v>8418</v>
      </c>
      <c r="D2202" s="160"/>
      <c r="E2202" s="439"/>
      <c r="F2202" s="161">
        <v>509.96792119999998</v>
      </c>
      <c r="G2202" s="161">
        <v>-47.070999999999998</v>
      </c>
      <c r="H2202" s="654">
        <v>64.848754053999997</v>
      </c>
      <c r="I2202" s="654"/>
      <c r="J2202" s="191"/>
      <c r="K2202" s="191">
        <v>213225.92150992301</v>
      </c>
      <c r="L2202" s="191"/>
      <c r="M2202" s="191"/>
      <c r="N2202" s="191"/>
      <c r="O2202" s="191"/>
      <c r="P2202" s="191"/>
      <c r="Q2202" s="191"/>
      <c r="R2202" s="191"/>
      <c r="S2202" s="191"/>
      <c r="T2202" s="191"/>
      <c r="U2202" s="439"/>
      <c r="V2202" s="441"/>
      <c r="W2202" s="178"/>
      <c r="X2202" s="172"/>
      <c r="Y2202" s="172"/>
      <c r="Z2202" s="172"/>
      <c r="AA2202" s="195"/>
      <c r="AB2202" s="172"/>
    </row>
    <row r="2203" spans="1:28" ht="12.6" customHeight="1" x14ac:dyDescent="0.3">
      <c r="A2203" s="667"/>
      <c r="B2203" s="668" t="s">
        <v>8419</v>
      </c>
      <c r="C2203" s="160" t="s">
        <v>8420</v>
      </c>
      <c r="D2203" s="160"/>
      <c r="E2203" s="439"/>
      <c r="F2203" s="161">
        <v>473.00722790399999</v>
      </c>
      <c r="G2203" s="161"/>
      <c r="H2203" s="654"/>
      <c r="I2203" s="654"/>
      <c r="J2203" s="191"/>
      <c r="K2203" s="191">
        <v>140565.907251066</v>
      </c>
      <c r="L2203" s="191"/>
      <c r="M2203" s="191"/>
      <c r="N2203" s="191"/>
      <c r="O2203" s="191"/>
      <c r="P2203" s="191"/>
      <c r="Q2203" s="191"/>
      <c r="R2203" s="191"/>
      <c r="S2203" s="191"/>
      <c r="T2203" s="191"/>
      <c r="U2203" s="439"/>
      <c r="V2203" s="441"/>
      <c r="W2203" s="178"/>
      <c r="X2203" s="172"/>
      <c r="Y2203" s="172"/>
      <c r="Z2203" s="172"/>
      <c r="AA2203" s="195"/>
      <c r="AB2203" s="172"/>
    </row>
    <row r="2204" spans="1:28" ht="12.6" customHeight="1" x14ac:dyDescent="0.3">
      <c r="A2204" s="667"/>
      <c r="B2204" s="668" t="s">
        <v>8421</v>
      </c>
      <c r="C2204" s="160" t="s">
        <v>8422</v>
      </c>
      <c r="D2204" s="160"/>
      <c r="E2204" s="439"/>
      <c r="F2204" s="161">
        <v>476.00689355200001</v>
      </c>
      <c r="G2204" s="161"/>
      <c r="H2204" s="654"/>
      <c r="I2204" s="654"/>
      <c r="J2204" s="191"/>
      <c r="K2204" s="191">
        <v>104990.49903735099</v>
      </c>
      <c r="L2204" s="191"/>
      <c r="M2204" s="191"/>
      <c r="N2204" s="191"/>
      <c r="O2204" s="191"/>
      <c r="P2204" s="191"/>
      <c r="Q2204" s="191"/>
      <c r="R2204" s="191"/>
      <c r="S2204" s="191"/>
      <c r="T2204" s="191"/>
      <c r="U2204" s="439"/>
      <c r="V2204" s="441"/>
      <c r="W2204" s="178"/>
      <c r="X2204" s="172"/>
      <c r="Y2204" s="172"/>
      <c r="Z2204" s="172"/>
      <c r="AA2204" s="195"/>
      <c r="AB2204" s="172"/>
    </row>
    <row r="2205" spans="1:28" ht="12.6" customHeight="1" x14ac:dyDescent="0.3">
      <c r="A2205" s="667"/>
      <c r="B2205" s="668" t="s">
        <v>8423</v>
      </c>
      <c r="C2205" s="160" t="s">
        <v>8424</v>
      </c>
      <c r="D2205" s="160"/>
      <c r="E2205" s="439"/>
      <c r="F2205" s="161">
        <v>708.08746634900001</v>
      </c>
      <c r="G2205" s="161">
        <v>66.811999999999998</v>
      </c>
      <c r="H2205" s="654"/>
      <c r="I2205" s="654"/>
      <c r="J2205" s="191"/>
      <c r="K2205" s="191">
        <v>6908281086.8640099</v>
      </c>
      <c r="L2205" s="191"/>
      <c r="M2205" s="191"/>
      <c r="N2205" s="191"/>
      <c r="O2205" s="191"/>
      <c r="P2205" s="191"/>
      <c r="Q2205" s="191"/>
      <c r="R2205" s="191"/>
      <c r="S2205" s="191"/>
      <c r="T2205" s="191"/>
      <c r="U2205" s="439"/>
      <c r="V2205" s="441"/>
      <c r="W2205" s="178"/>
      <c r="X2205" s="172"/>
      <c r="Y2205" s="172"/>
      <c r="Z2205" s="172"/>
      <c r="AA2205" s="195"/>
      <c r="AB2205" s="172"/>
    </row>
    <row r="2206" spans="1:28" ht="12.6" customHeight="1" x14ac:dyDescent="0.3">
      <c r="A2206" s="667"/>
      <c r="B2206" s="668" t="s">
        <v>8425</v>
      </c>
      <c r="C2206" s="160" t="s">
        <v>8426</v>
      </c>
      <c r="D2206" s="160"/>
      <c r="E2206" s="439">
        <v>6.97</v>
      </c>
      <c r="F2206" s="161">
        <v>695.06005132600001</v>
      </c>
      <c r="G2206" s="161">
        <v>55.51</v>
      </c>
      <c r="H2206" s="654">
        <v>4.1773648937999997E-5</v>
      </c>
      <c r="I2206" s="654"/>
      <c r="J2206" s="191"/>
      <c r="K2206" s="191">
        <v>676955.31129208102</v>
      </c>
      <c r="L2206" s="191"/>
      <c r="M2206" s="191"/>
      <c r="N2206" s="191"/>
      <c r="O2206" s="191"/>
      <c r="P2206" s="191"/>
      <c r="Q2206" s="191"/>
      <c r="R2206" s="191"/>
      <c r="S2206" s="191"/>
      <c r="T2206" s="191"/>
      <c r="U2206" s="439"/>
      <c r="V2206" s="441"/>
      <c r="W2206" s="178"/>
      <c r="X2206" s="172"/>
      <c r="Y2206" s="172"/>
      <c r="Z2206" s="172"/>
      <c r="AA2206" s="195"/>
      <c r="AB2206" s="172"/>
    </row>
    <row r="2207" spans="1:28" ht="12.6" customHeight="1" x14ac:dyDescent="0.3">
      <c r="A2207" s="667"/>
      <c r="B2207" s="668" t="s">
        <v>8427</v>
      </c>
      <c r="C2207" s="160" t="s">
        <v>8428</v>
      </c>
      <c r="D2207" s="160"/>
      <c r="E2207" s="439"/>
      <c r="F2207" s="161">
        <v>601.95379200000002</v>
      </c>
      <c r="G2207" s="161"/>
      <c r="H2207" s="654"/>
      <c r="I2207" s="654"/>
      <c r="J2207" s="191"/>
      <c r="K2207" s="191">
        <v>1696914653.5759699</v>
      </c>
      <c r="L2207" s="191"/>
      <c r="M2207" s="191"/>
      <c r="N2207" s="191"/>
      <c r="O2207" s="191"/>
      <c r="P2207" s="191"/>
      <c r="Q2207" s="191"/>
      <c r="R2207" s="191"/>
      <c r="S2207" s="191"/>
      <c r="T2207" s="191"/>
      <c r="U2207" s="439"/>
      <c r="V2207" s="441"/>
      <c r="W2207" s="178"/>
      <c r="X2207" s="172"/>
      <c r="Y2207" s="172"/>
      <c r="Z2207" s="172"/>
      <c r="AA2207" s="195"/>
      <c r="AB2207" s="172"/>
    </row>
    <row r="2208" spans="1:28" ht="12.6" customHeight="1" x14ac:dyDescent="0.3">
      <c r="A2208" s="667"/>
      <c r="B2208" s="668" t="s">
        <v>8429</v>
      </c>
      <c r="C2208" s="160" t="s">
        <v>8430</v>
      </c>
      <c r="D2208" s="160"/>
      <c r="E2208" s="439"/>
      <c r="F2208" s="161">
        <v>553.95379200000002</v>
      </c>
      <c r="G2208" s="161"/>
      <c r="H2208" s="654"/>
      <c r="I2208" s="654"/>
      <c r="J2208" s="191"/>
      <c r="K2208" s="191">
        <v>1384331.1773105599</v>
      </c>
      <c r="L2208" s="191"/>
      <c r="M2208" s="191"/>
      <c r="N2208" s="191"/>
      <c r="O2208" s="191"/>
      <c r="P2208" s="191"/>
      <c r="Q2208" s="191"/>
      <c r="R2208" s="191"/>
      <c r="S2208" s="191"/>
      <c r="T2208" s="191"/>
      <c r="U2208" s="439"/>
      <c r="V2208" s="441"/>
      <c r="W2208" s="178"/>
      <c r="X2208" s="172"/>
      <c r="Y2208" s="172"/>
      <c r="Z2208" s="172"/>
      <c r="AA2208" s="195"/>
      <c r="AB2208" s="172"/>
    </row>
    <row r="2209" spans="1:28" ht="12.6" customHeight="1" x14ac:dyDescent="0.3">
      <c r="A2209" s="667"/>
      <c r="B2209" s="668" t="s">
        <v>8431</v>
      </c>
      <c r="C2209" s="160" t="s">
        <v>8432</v>
      </c>
      <c r="D2209" s="160"/>
      <c r="E2209" s="439"/>
      <c r="F2209" s="161">
        <v>638.04769199999998</v>
      </c>
      <c r="G2209" s="161"/>
      <c r="H2209" s="654"/>
      <c r="I2209" s="654"/>
      <c r="J2209" s="191"/>
      <c r="K2209" s="191">
        <v>5768860.0062529901</v>
      </c>
      <c r="L2209" s="191"/>
      <c r="M2209" s="191"/>
      <c r="N2209" s="191"/>
      <c r="O2209" s="191"/>
      <c r="P2209" s="191"/>
      <c r="Q2209" s="191"/>
      <c r="R2209" s="191"/>
      <c r="S2209" s="191"/>
      <c r="T2209" s="191"/>
      <c r="U2209" s="439"/>
      <c r="V2209" s="441"/>
      <c r="W2209" s="178"/>
      <c r="X2209" s="172"/>
      <c r="Y2209" s="172"/>
      <c r="Z2209" s="172"/>
      <c r="AA2209" s="195"/>
      <c r="AB2209" s="172"/>
    </row>
    <row r="2210" spans="1:28" ht="12.6" customHeight="1" x14ac:dyDescent="0.3">
      <c r="A2210" s="667"/>
      <c r="B2210" s="668" t="s">
        <v>8433</v>
      </c>
      <c r="C2210" s="160" t="s">
        <v>8434</v>
      </c>
      <c r="D2210" s="160"/>
      <c r="E2210" s="439"/>
      <c r="F2210" s="161">
        <v>652.06334200000003</v>
      </c>
      <c r="G2210" s="161"/>
      <c r="H2210" s="654"/>
      <c r="I2210" s="654"/>
      <c r="J2210" s="191"/>
      <c r="K2210" s="191">
        <v>5264898.4636062598</v>
      </c>
      <c r="L2210" s="191"/>
      <c r="M2210" s="191"/>
      <c r="N2210" s="191"/>
      <c r="O2210" s="191"/>
      <c r="P2210" s="191"/>
      <c r="Q2210" s="191"/>
      <c r="R2210" s="191"/>
      <c r="S2210" s="191"/>
      <c r="T2210" s="191"/>
      <c r="U2210" s="439"/>
      <c r="V2210" s="441"/>
      <c r="W2210" s="178"/>
      <c r="X2210" s="172"/>
      <c r="Y2210" s="172"/>
      <c r="Z2210" s="172"/>
      <c r="AA2210" s="195"/>
      <c r="AB2210" s="172"/>
    </row>
    <row r="2211" spans="1:28" ht="12.6" customHeight="1" x14ac:dyDescent="0.3">
      <c r="A2211" s="667"/>
      <c r="B2211" s="668" t="s">
        <v>8435</v>
      </c>
      <c r="C2211" s="160" t="s">
        <v>8436</v>
      </c>
      <c r="D2211" s="160"/>
      <c r="E2211" s="439"/>
      <c r="F2211" s="161">
        <v>767.20559336099996</v>
      </c>
      <c r="G2211" s="161"/>
      <c r="H2211" s="654"/>
      <c r="I2211" s="654"/>
      <c r="J2211" s="191"/>
      <c r="K2211" s="191">
        <v>2579110799.6115398</v>
      </c>
      <c r="L2211" s="191"/>
      <c r="M2211" s="191"/>
      <c r="N2211" s="191"/>
      <c r="O2211" s="191"/>
      <c r="P2211" s="191"/>
      <c r="Q2211" s="191"/>
      <c r="R2211" s="191"/>
      <c r="S2211" s="191"/>
      <c r="T2211" s="191"/>
      <c r="U2211" s="439"/>
      <c r="V2211" s="441"/>
      <c r="W2211" s="178"/>
      <c r="X2211" s="172"/>
      <c r="Y2211" s="172"/>
      <c r="Z2211" s="172"/>
      <c r="AA2211" s="195"/>
      <c r="AB2211" s="172"/>
    </row>
    <row r="2212" spans="1:28" ht="12.6" customHeight="1" x14ac:dyDescent="0.3">
      <c r="A2212" s="667"/>
      <c r="B2212" s="668" t="s">
        <v>8437</v>
      </c>
      <c r="C2212" s="160" t="s">
        <v>8438</v>
      </c>
      <c r="D2212" s="160"/>
      <c r="E2212" s="439"/>
      <c r="F2212" s="161">
        <v>808.22977348100005</v>
      </c>
      <c r="G2212" s="161">
        <v>21.637</v>
      </c>
      <c r="H2212" s="654">
        <v>3.0754052349999997E-5</v>
      </c>
      <c r="I2212" s="654"/>
      <c r="J2212" s="191"/>
      <c r="K2212" s="191">
        <v>84323.767085107305</v>
      </c>
      <c r="L2212" s="191"/>
      <c r="M2212" s="191"/>
      <c r="N2212" s="191"/>
      <c r="O2212" s="191"/>
      <c r="P2212" s="191"/>
      <c r="Q2212" s="191"/>
      <c r="R2212" s="191"/>
      <c r="S2212" s="191"/>
      <c r="T2212" s="191"/>
      <c r="U2212" s="439"/>
      <c r="V2212" s="441"/>
      <c r="W2212" s="178"/>
      <c r="X2212" s="172"/>
      <c r="Y2212" s="172"/>
      <c r="Z2212" s="172"/>
      <c r="AA2212" s="195"/>
      <c r="AB2212" s="172"/>
    </row>
    <row r="2213" spans="1:28" ht="12.6" customHeight="1" x14ac:dyDescent="0.3">
      <c r="A2213" s="667"/>
      <c r="B2213" s="668" t="s">
        <v>8439</v>
      </c>
      <c r="C2213" s="160" t="s">
        <v>8440</v>
      </c>
      <c r="D2213" s="160"/>
      <c r="E2213" s="439">
        <v>48.622</v>
      </c>
      <c r="F2213" s="161">
        <v>601.93992000000003</v>
      </c>
      <c r="G2213" s="161">
        <v>-31.234000000000002</v>
      </c>
      <c r="H2213" s="654">
        <v>22.537284167999999</v>
      </c>
      <c r="I2213" s="654"/>
      <c r="J2213" s="191"/>
      <c r="K2213" s="191">
        <v>100690848.366023</v>
      </c>
      <c r="L2213" s="191"/>
      <c r="M2213" s="191"/>
      <c r="N2213" s="191"/>
      <c r="O2213" s="191"/>
      <c r="P2213" s="191"/>
      <c r="Q2213" s="191"/>
      <c r="R2213" s="191"/>
      <c r="S2213" s="191"/>
      <c r="T2213" s="191"/>
      <c r="U2213" s="439"/>
      <c r="V2213" s="441"/>
      <c r="W2213" s="178"/>
      <c r="X2213" s="172"/>
      <c r="Y2213" s="172"/>
      <c r="Z2213" s="172"/>
      <c r="AA2213" s="195"/>
      <c r="AB2213" s="172"/>
    </row>
    <row r="2214" spans="1:28" ht="12.6" customHeight="1" x14ac:dyDescent="0.3">
      <c r="A2214" s="667"/>
      <c r="B2214" s="668" t="s">
        <v>8441</v>
      </c>
      <c r="C2214" s="160" t="s">
        <v>8442</v>
      </c>
      <c r="D2214" s="160"/>
      <c r="E2214" s="439"/>
      <c r="F2214" s="161">
        <v>587.92426999999998</v>
      </c>
      <c r="G2214" s="161">
        <v>-33.308999999999997</v>
      </c>
      <c r="H2214" s="654">
        <v>37.922909611999998</v>
      </c>
      <c r="I2214" s="654"/>
      <c r="J2214" s="191"/>
      <c r="K2214" s="191">
        <v>54160167.648092702</v>
      </c>
      <c r="L2214" s="191"/>
      <c r="M2214" s="191"/>
      <c r="N2214" s="191"/>
      <c r="O2214" s="191"/>
      <c r="P2214" s="191"/>
      <c r="Q2214" s="191"/>
      <c r="R2214" s="191"/>
      <c r="S2214" s="191"/>
      <c r="T2214" s="191"/>
      <c r="U2214" s="439"/>
      <c r="V2214" s="441"/>
      <c r="W2214" s="178"/>
      <c r="X2214" s="172"/>
      <c r="Y2214" s="172"/>
      <c r="Z2214" s="172"/>
      <c r="AA2214" s="195"/>
      <c r="AB2214" s="172"/>
    </row>
    <row r="2215" spans="1:28" ht="12.6" customHeight="1" x14ac:dyDescent="0.3">
      <c r="A2215" s="667"/>
      <c r="B2215" s="668" t="s">
        <v>8443</v>
      </c>
      <c r="C2215" s="160" t="s">
        <v>8444</v>
      </c>
      <c r="D2215" s="160"/>
      <c r="E2215" s="439">
        <v>6.17</v>
      </c>
      <c r="F2215" s="161">
        <v>503.02902597600001</v>
      </c>
      <c r="G2215" s="161"/>
      <c r="H2215" s="654"/>
      <c r="I2215" s="654"/>
      <c r="J2215" s="191"/>
      <c r="K2215" s="191">
        <v>484172.36758409801</v>
      </c>
      <c r="L2215" s="191"/>
      <c r="M2215" s="191"/>
      <c r="N2215" s="191"/>
      <c r="O2215" s="191"/>
      <c r="P2215" s="191"/>
      <c r="Q2215" s="191"/>
      <c r="R2215" s="191"/>
      <c r="S2215" s="191"/>
      <c r="T2215" s="191"/>
      <c r="U2215" s="439"/>
      <c r="V2215" s="441"/>
      <c r="W2215" s="178"/>
      <c r="X2215" s="172"/>
      <c r="Y2215" s="172"/>
      <c r="Z2215" s="172"/>
      <c r="AA2215" s="195"/>
      <c r="AB2215" s="172"/>
    </row>
    <row r="2216" spans="1:28" ht="12.6" customHeight="1" x14ac:dyDescent="0.3">
      <c r="A2216" s="667"/>
      <c r="B2216" s="668" t="s">
        <v>8445</v>
      </c>
      <c r="C2216" s="160" t="s">
        <v>8446</v>
      </c>
      <c r="D2216" s="160"/>
      <c r="E2216" s="439">
        <v>4.96</v>
      </c>
      <c r="F2216" s="161">
        <v>557.02835727299998</v>
      </c>
      <c r="G2216" s="161">
        <v>-11.972</v>
      </c>
      <c r="H2216" s="654">
        <v>5.3938881472000003E-2</v>
      </c>
      <c r="I2216" s="654">
        <v>0.11936504965167299</v>
      </c>
      <c r="J2216" s="191"/>
      <c r="K2216" s="191">
        <v>323571.30464373803</v>
      </c>
      <c r="L2216" s="191"/>
      <c r="M2216" s="191"/>
      <c r="N2216" s="191"/>
      <c r="O2216" s="191"/>
      <c r="P2216" s="191"/>
      <c r="Q2216" s="191"/>
      <c r="R2216" s="191"/>
      <c r="S2216" s="191"/>
      <c r="T2216" s="191"/>
      <c r="U2216" s="439"/>
      <c r="V2216" s="441"/>
      <c r="W2216" s="178"/>
      <c r="X2216" s="172"/>
      <c r="Y2216" s="172"/>
      <c r="Z2216" s="172"/>
      <c r="AA2216" s="195"/>
      <c r="AB2216" s="172"/>
    </row>
    <row r="2217" spans="1:28" ht="12.6" customHeight="1" x14ac:dyDescent="0.3">
      <c r="A2217" s="667"/>
      <c r="B2217" s="668" t="s">
        <v>8447</v>
      </c>
      <c r="C2217" s="160" t="s">
        <v>8448</v>
      </c>
      <c r="D2217" s="160"/>
      <c r="E2217" s="439">
        <v>6.17</v>
      </c>
      <c r="F2217" s="161">
        <v>623.03892195699996</v>
      </c>
      <c r="G2217" s="161">
        <v>36.088999999999999</v>
      </c>
      <c r="H2217" s="654">
        <v>0.15772525888</v>
      </c>
      <c r="I2217" s="654"/>
      <c r="J2217" s="191"/>
      <c r="K2217" s="191">
        <v>29100469.778377101</v>
      </c>
      <c r="L2217" s="191"/>
      <c r="M2217" s="191"/>
      <c r="N2217" s="191"/>
      <c r="O2217" s="191"/>
      <c r="P2217" s="191"/>
      <c r="Q2217" s="191"/>
      <c r="R2217" s="191"/>
      <c r="S2217" s="191"/>
      <c r="T2217" s="191"/>
      <c r="U2217" s="439"/>
      <c r="V2217" s="441"/>
      <c r="W2217" s="178"/>
      <c r="X2217" s="172"/>
      <c r="Y2217" s="172"/>
      <c r="Z2217" s="172"/>
      <c r="AA2217" s="195"/>
      <c r="AB2217" s="172"/>
    </row>
    <row r="2218" spans="1:28" ht="12.6" customHeight="1" x14ac:dyDescent="0.3">
      <c r="A2218" s="667"/>
      <c r="B2218" s="668" t="s">
        <v>8449</v>
      </c>
      <c r="C2218" s="160" t="s">
        <v>8450</v>
      </c>
      <c r="D2218" s="160"/>
      <c r="E2218" s="439">
        <v>7.79</v>
      </c>
      <c r="F2218" s="161">
        <v>644.94574</v>
      </c>
      <c r="G2218" s="161">
        <v>-4.53</v>
      </c>
      <c r="H2218" s="654">
        <v>0.19315291394</v>
      </c>
      <c r="I2218" s="654"/>
      <c r="J2218" s="191"/>
      <c r="K2218" s="191">
        <v>947152.69645942701</v>
      </c>
      <c r="L2218" s="191"/>
      <c r="M2218" s="191"/>
      <c r="N2218" s="191"/>
      <c r="O2218" s="191"/>
      <c r="P2218" s="191"/>
      <c r="Q2218" s="191"/>
      <c r="R2218" s="191"/>
      <c r="S2218" s="191"/>
      <c r="T2218" s="191"/>
      <c r="U2218" s="439"/>
      <c r="V2218" s="441"/>
      <c r="W2218" s="178"/>
      <c r="X2218" s="172"/>
      <c r="Y2218" s="172"/>
      <c r="Z2218" s="172"/>
      <c r="AA2218" s="195"/>
      <c r="AB2218" s="172"/>
    </row>
    <row r="2219" spans="1:28" ht="12.6" customHeight="1" x14ac:dyDescent="0.3">
      <c r="A2219" s="667"/>
      <c r="B2219" s="668" t="s">
        <v>8451</v>
      </c>
      <c r="C2219" s="160" t="s">
        <v>8452</v>
      </c>
      <c r="D2219" s="160"/>
      <c r="E2219" s="439"/>
      <c r="F2219" s="161">
        <v>532.03310830099997</v>
      </c>
      <c r="G2219" s="161"/>
      <c r="H2219" s="654"/>
      <c r="I2219" s="654"/>
      <c r="J2219" s="191"/>
      <c r="K2219" s="191">
        <v>114501.189925996</v>
      </c>
      <c r="L2219" s="191"/>
      <c r="M2219" s="191"/>
      <c r="N2219" s="191"/>
      <c r="O2219" s="191"/>
      <c r="P2219" s="191"/>
      <c r="Q2219" s="191"/>
      <c r="R2219" s="191"/>
      <c r="S2219" s="191"/>
      <c r="T2219" s="191"/>
      <c r="U2219" s="439"/>
      <c r="V2219" s="441"/>
      <c r="W2219" s="178"/>
      <c r="X2219" s="172"/>
      <c r="Y2219" s="172"/>
      <c r="Z2219" s="172"/>
      <c r="AA2219" s="195"/>
      <c r="AB2219" s="172"/>
    </row>
    <row r="2220" spans="1:28" ht="12.6" customHeight="1" x14ac:dyDescent="0.3">
      <c r="A2220" s="667"/>
      <c r="B2220" s="668" t="s">
        <v>8453</v>
      </c>
      <c r="C2220" s="160" t="s">
        <v>8454</v>
      </c>
      <c r="D2220" s="160"/>
      <c r="E2220" s="439"/>
      <c r="F2220" s="161">
        <v>582.04875836500003</v>
      </c>
      <c r="G2220" s="161">
        <v>2.052</v>
      </c>
      <c r="H2220" s="654">
        <v>0.65902531141999998</v>
      </c>
      <c r="I2220" s="654">
        <v>1.6253944396845899E-2</v>
      </c>
      <c r="J2220" s="191"/>
      <c r="K2220" s="191">
        <v>154699888.25721499</v>
      </c>
      <c r="L2220" s="191"/>
      <c r="M2220" s="191"/>
      <c r="N2220" s="191"/>
      <c r="O2220" s="191"/>
      <c r="P2220" s="191"/>
      <c r="Q2220" s="191"/>
      <c r="R2220" s="191"/>
      <c r="S2220" s="191"/>
      <c r="T2220" s="191"/>
      <c r="U2220" s="439"/>
      <c r="V2220" s="441"/>
      <c r="W2220" s="178"/>
      <c r="X2220" s="172"/>
      <c r="Y2220" s="172"/>
      <c r="Z2220" s="172"/>
      <c r="AA2220" s="195"/>
      <c r="AB2220" s="172"/>
    </row>
    <row r="2221" spans="1:28" ht="12.6" customHeight="1" x14ac:dyDescent="0.3">
      <c r="A2221" s="667"/>
      <c r="B2221" s="668" t="s">
        <v>8455</v>
      </c>
      <c r="C2221" s="160" t="s">
        <v>8456</v>
      </c>
      <c r="D2221" s="160"/>
      <c r="E2221" s="439">
        <v>7.66</v>
      </c>
      <c r="F2221" s="161">
        <v>489.00214252400002</v>
      </c>
      <c r="G2221" s="161">
        <v>-77.864000000000004</v>
      </c>
      <c r="H2221" s="654">
        <v>129.092759516</v>
      </c>
      <c r="I2221" s="654"/>
      <c r="J2221" s="191"/>
      <c r="K2221" s="191">
        <v>88873.032644834806</v>
      </c>
      <c r="L2221" s="191"/>
      <c r="M2221" s="191"/>
      <c r="N2221" s="191"/>
      <c r="O2221" s="191"/>
      <c r="P2221" s="191"/>
      <c r="Q2221" s="191"/>
      <c r="R2221" s="191"/>
      <c r="S2221" s="191"/>
      <c r="T2221" s="191"/>
      <c r="U2221" s="439"/>
      <c r="V2221" s="441"/>
      <c r="W2221" s="178"/>
      <c r="X2221" s="172"/>
      <c r="Y2221" s="172"/>
      <c r="Z2221" s="172"/>
      <c r="AA2221" s="195"/>
      <c r="AB2221" s="172"/>
    </row>
    <row r="2222" spans="1:28" ht="12.6" customHeight="1" x14ac:dyDescent="0.3">
      <c r="A2222" s="667"/>
      <c r="B2222" s="668" t="s">
        <v>8457</v>
      </c>
      <c r="C2222" s="160" t="s">
        <v>8458</v>
      </c>
      <c r="D2222" s="160"/>
      <c r="E2222" s="439">
        <v>6.41</v>
      </c>
      <c r="F2222" s="161">
        <v>569.02835727299998</v>
      </c>
      <c r="G2222" s="161"/>
      <c r="H2222" s="654"/>
      <c r="I2222" s="654"/>
      <c r="J2222" s="191"/>
      <c r="K2222" s="191">
        <v>353533.03371533699</v>
      </c>
      <c r="L2222" s="191"/>
      <c r="M2222" s="191"/>
      <c r="N2222" s="191"/>
      <c r="O2222" s="191"/>
      <c r="P2222" s="191"/>
      <c r="Q2222" s="191"/>
      <c r="R2222" s="191"/>
      <c r="S2222" s="191"/>
      <c r="T2222" s="191"/>
      <c r="U2222" s="439"/>
      <c r="V2222" s="441"/>
      <c r="W2222" s="178"/>
      <c r="X2222" s="172"/>
      <c r="Y2222" s="172"/>
      <c r="Z2222" s="172"/>
      <c r="AA2222" s="195"/>
      <c r="AB2222" s="172"/>
    </row>
    <row r="2223" spans="1:28" ht="12.6" customHeight="1" x14ac:dyDescent="0.3">
      <c r="A2223" s="667"/>
      <c r="B2223" s="668" t="s">
        <v>8459</v>
      </c>
      <c r="C2223" s="160" t="s">
        <v>8460</v>
      </c>
      <c r="D2223" s="160"/>
      <c r="E2223" s="439">
        <v>7.96</v>
      </c>
      <c r="F2223" s="161">
        <v>479.98405010599998</v>
      </c>
      <c r="G2223" s="161">
        <v>-68.037999999999997</v>
      </c>
      <c r="H2223" s="654">
        <v>104.689233992</v>
      </c>
      <c r="I2223" s="654"/>
      <c r="J2223" s="191"/>
      <c r="K2223" s="191">
        <v>200641.146132547</v>
      </c>
      <c r="L2223" s="191"/>
      <c r="M2223" s="191"/>
      <c r="N2223" s="191"/>
      <c r="O2223" s="191"/>
      <c r="P2223" s="191"/>
      <c r="Q2223" s="191"/>
      <c r="R2223" s="191"/>
      <c r="S2223" s="191"/>
      <c r="T2223" s="191"/>
      <c r="U2223" s="439"/>
      <c r="V2223" s="441"/>
      <c r="W2223" s="178"/>
      <c r="X2223" s="172"/>
      <c r="Y2223" s="172"/>
      <c r="Z2223" s="172"/>
      <c r="AA2223" s="195"/>
      <c r="AB2223" s="172"/>
    </row>
    <row r="2224" spans="1:28" ht="12.6" customHeight="1" x14ac:dyDescent="0.3">
      <c r="A2224" s="667"/>
      <c r="B2224" s="668" t="s">
        <v>8461</v>
      </c>
      <c r="C2224" s="160" t="s">
        <v>8462</v>
      </c>
      <c r="D2224" s="160"/>
      <c r="E2224" s="439"/>
      <c r="F2224" s="161">
        <v>537.98952941000005</v>
      </c>
      <c r="G2224" s="161"/>
      <c r="H2224" s="654"/>
      <c r="I2224" s="654"/>
      <c r="J2224" s="191"/>
      <c r="K2224" s="191">
        <v>152121290.138327</v>
      </c>
      <c r="L2224" s="191"/>
      <c r="M2224" s="191"/>
      <c r="N2224" s="191"/>
      <c r="O2224" s="191"/>
      <c r="P2224" s="191"/>
      <c r="Q2224" s="191"/>
      <c r="R2224" s="191"/>
      <c r="S2224" s="191"/>
      <c r="T2224" s="191"/>
      <c r="U2224" s="439"/>
      <c r="V2224" s="441"/>
      <c r="W2224" s="178"/>
      <c r="X2224" s="172"/>
      <c r="Y2224" s="172"/>
      <c r="Z2224" s="172"/>
      <c r="AA2224" s="195"/>
      <c r="AB2224" s="172"/>
    </row>
    <row r="2225" spans="1:28" ht="12.6" customHeight="1" x14ac:dyDescent="0.3">
      <c r="A2225" s="667"/>
      <c r="B2225" s="668" t="s">
        <v>8463</v>
      </c>
      <c r="C2225" s="160" t="s">
        <v>8464</v>
      </c>
      <c r="D2225" s="160"/>
      <c r="E2225" s="439"/>
      <c r="F2225" s="161">
        <v>504.979299078</v>
      </c>
      <c r="G2225" s="161"/>
      <c r="H2225" s="654"/>
      <c r="I2225" s="654"/>
      <c r="J2225" s="191"/>
      <c r="K2225" s="191">
        <v>17844730.7707837</v>
      </c>
      <c r="L2225" s="191"/>
      <c r="M2225" s="191"/>
      <c r="N2225" s="191"/>
      <c r="O2225" s="191"/>
      <c r="P2225" s="191"/>
      <c r="Q2225" s="191"/>
      <c r="R2225" s="191"/>
      <c r="S2225" s="191"/>
      <c r="T2225" s="191"/>
      <c r="U2225" s="439"/>
      <c r="V2225" s="441"/>
      <c r="W2225" s="178"/>
      <c r="X2225" s="172"/>
      <c r="Y2225" s="172"/>
      <c r="Z2225" s="172"/>
      <c r="AA2225" s="195"/>
      <c r="AB2225" s="172"/>
    </row>
    <row r="2226" spans="1:28" ht="12.6" customHeight="1" x14ac:dyDescent="0.3">
      <c r="A2226" s="667"/>
      <c r="B2226" s="668" t="s">
        <v>8465</v>
      </c>
      <c r="C2226" s="160" t="s">
        <v>8466</v>
      </c>
      <c r="D2226" s="160"/>
      <c r="E2226" s="439">
        <v>6.7789999999999999</v>
      </c>
      <c r="F2226" s="161">
        <v>504.00180817199998</v>
      </c>
      <c r="G2226" s="161">
        <v>-56.124000000000002</v>
      </c>
      <c r="H2226" s="654">
        <v>64.550779383999995</v>
      </c>
      <c r="I2226" s="654"/>
      <c r="J2226" s="191"/>
      <c r="K2226" s="191">
        <v>36169.2913589608</v>
      </c>
      <c r="L2226" s="191"/>
      <c r="M2226" s="191"/>
      <c r="N2226" s="191"/>
      <c r="O2226" s="191"/>
      <c r="P2226" s="191"/>
      <c r="Q2226" s="191"/>
      <c r="R2226" s="191"/>
      <c r="S2226" s="191"/>
      <c r="T2226" s="191"/>
      <c r="U2226" s="439"/>
      <c r="V2226" s="441"/>
      <c r="W2226" s="178"/>
      <c r="X2226" s="172"/>
      <c r="Y2226" s="172"/>
      <c r="Z2226" s="172"/>
      <c r="AA2226" s="195"/>
      <c r="AB2226" s="172"/>
    </row>
    <row r="2227" spans="1:28" ht="12.6" customHeight="1" x14ac:dyDescent="0.3">
      <c r="A2227" s="667"/>
      <c r="B2227" s="668" t="s">
        <v>8467</v>
      </c>
      <c r="C2227" s="160" t="s">
        <v>8468</v>
      </c>
      <c r="D2227" s="160"/>
      <c r="E2227" s="439">
        <v>6.1580000000000004</v>
      </c>
      <c r="F2227" s="161">
        <v>395.99952254200002</v>
      </c>
      <c r="G2227" s="161">
        <v>-55.545999999999999</v>
      </c>
      <c r="H2227" s="654">
        <v>777.86054290000004</v>
      </c>
      <c r="I2227" s="654">
        <v>0.74764313856407005</v>
      </c>
      <c r="J2227" s="191"/>
      <c r="K2227" s="191">
        <v>10163.656995605599</v>
      </c>
      <c r="L2227" s="191"/>
      <c r="M2227" s="191"/>
      <c r="N2227" s="191"/>
      <c r="O2227" s="191"/>
      <c r="P2227" s="191"/>
      <c r="Q2227" s="191"/>
      <c r="R2227" s="191"/>
      <c r="S2227" s="191"/>
      <c r="T2227" s="191"/>
      <c r="U2227" s="439"/>
      <c r="V2227" s="441"/>
      <c r="W2227" s="178"/>
      <c r="X2227" s="172"/>
      <c r="Y2227" s="172"/>
      <c r="Z2227" s="172"/>
      <c r="AA2227" s="195"/>
      <c r="AB2227" s="172"/>
    </row>
    <row r="2228" spans="1:28" ht="12.6" customHeight="1" x14ac:dyDescent="0.3">
      <c r="A2228" s="667"/>
      <c r="B2228" s="668" t="s">
        <v>8469</v>
      </c>
      <c r="C2228" s="160" t="s">
        <v>8470</v>
      </c>
      <c r="D2228" s="160"/>
      <c r="E2228" s="439"/>
      <c r="F2228" s="161">
        <v>763.96774495399995</v>
      </c>
      <c r="G2228" s="161"/>
      <c r="H2228" s="654"/>
      <c r="I2228" s="654"/>
      <c r="J2228" s="191"/>
      <c r="K2228" s="191">
        <v>264801.231178355</v>
      </c>
      <c r="L2228" s="191"/>
      <c r="M2228" s="191"/>
      <c r="N2228" s="191"/>
      <c r="O2228" s="191"/>
      <c r="P2228" s="191"/>
      <c r="Q2228" s="191"/>
      <c r="R2228" s="191"/>
      <c r="S2228" s="191"/>
      <c r="T2228" s="191"/>
      <c r="U2228" s="439"/>
      <c r="V2228" s="441"/>
      <c r="W2228" s="178"/>
      <c r="X2228" s="172"/>
      <c r="Y2228" s="172"/>
      <c r="Z2228" s="172"/>
      <c r="AA2228" s="195"/>
      <c r="AB2228" s="172"/>
    </row>
    <row r="2229" spans="1:28" ht="12.6" customHeight="1" x14ac:dyDescent="0.3">
      <c r="A2229" s="667"/>
      <c r="B2229" s="668" t="s">
        <v>8471</v>
      </c>
      <c r="C2229" s="160" t="s">
        <v>8472</v>
      </c>
      <c r="D2229" s="160"/>
      <c r="E2229" s="439">
        <v>7.01</v>
      </c>
      <c r="F2229" s="161">
        <v>501.05737177100002</v>
      </c>
      <c r="G2229" s="161">
        <v>-37.853000000000002</v>
      </c>
      <c r="H2229" s="654">
        <v>5.8465829981999997</v>
      </c>
      <c r="I2229" s="654">
        <v>3.6048522506327403E-2</v>
      </c>
      <c r="J2229" s="191"/>
      <c r="K2229" s="191">
        <v>365594.79161312402</v>
      </c>
      <c r="L2229" s="191"/>
      <c r="M2229" s="191"/>
      <c r="N2229" s="191"/>
      <c r="O2229" s="191"/>
      <c r="P2229" s="191"/>
      <c r="Q2229" s="191"/>
      <c r="R2229" s="191"/>
      <c r="S2229" s="191"/>
      <c r="T2229" s="191"/>
      <c r="U2229" s="439"/>
      <c r="V2229" s="441"/>
      <c r="W2229" s="178"/>
      <c r="X2229" s="172"/>
      <c r="Y2229" s="172"/>
      <c r="Z2229" s="172"/>
      <c r="AA2229" s="195"/>
      <c r="AB2229" s="172"/>
    </row>
    <row r="2230" spans="1:28" ht="12.6" customHeight="1" x14ac:dyDescent="0.3">
      <c r="A2230" s="667"/>
      <c r="B2230" s="668" t="s">
        <v>8473</v>
      </c>
      <c r="C2230" s="160" t="s">
        <v>8474</v>
      </c>
      <c r="D2230" s="160"/>
      <c r="E2230" s="439"/>
      <c r="F2230" s="161">
        <v>426.010087226</v>
      </c>
      <c r="G2230" s="161"/>
      <c r="H2230" s="654"/>
      <c r="I2230" s="654"/>
      <c r="J2230" s="191"/>
      <c r="K2230" s="191">
        <v>20199.471188732001</v>
      </c>
      <c r="L2230" s="191"/>
      <c r="M2230" s="191"/>
      <c r="N2230" s="191"/>
      <c r="O2230" s="191"/>
      <c r="P2230" s="191"/>
      <c r="Q2230" s="191"/>
      <c r="R2230" s="191"/>
      <c r="S2230" s="191"/>
      <c r="T2230" s="191"/>
      <c r="U2230" s="439"/>
      <c r="V2230" s="441"/>
      <c r="W2230" s="178"/>
      <c r="X2230" s="172"/>
      <c r="Y2230" s="172"/>
      <c r="Z2230" s="172"/>
      <c r="AA2230" s="195"/>
      <c r="AB2230" s="172"/>
    </row>
    <row r="2231" spans="1:28" ht="12.6" customHeight="1" x14ac:dyDescent="0.3">
      <c r="A2231" s="667"/>
      <c r="B2231" s="668" t="s">
        <v>8475</v>
      </c>
      <c r="C2231" s="160" t="s">
        <v>8476</v>
      </c>
      <c r="D2231" s="160"/>
      <c r="E2231" s="439"/>
      <c r="F2231" s="161">
        <v>468.02065191000003</v>
      </c>
      <c r="G2231" s="161"/>
      <c r="H2231" s="654"/>
      <c r="I2231" s="654"/>
      <c r="J2231" s="191"/>
      <c r="K2231" s="191">
        <v>25420.2606888273</v>
      </c>
      <c r="L2231" s="191"/>
      <c r="M2231" s="191"/>
      <c r="N2231" s="191"/>
      <c r="O2231" s="191"/>
      <c r="P2231" s="191"/>
      <c r="Q2231" s="191"/>
      <c r="R2231" s="191"/>
      <c r="S2231" s="191"/>
      <c r="T2231" s="191"/>
      <c r="U2231" s="439"/>
      <c r="V2231" s="441"/>
      <c r="W2231" s="178"/>
      <c r="X2231" s="172"/>
      <c r="Y2231" s="172"/>
      <c r="Z2231" s="172"/>
      <c r="AA2231" s="195"/>
      <c r="AB2231" s="172"/>
    </row>
    <row r="2232" spans="1:28" ht="12.6" customHeight="1" x14ac:dyDescent="0.3">
      <c r="A2232" s="667"/>
      <c r="B2232" s="668" t="s">
        <v>8477</v>
      </c>
      <c r="C2232" s="160" t="s">
        <v>8478</v>
      </c>
      <c r="D2232" s="160"/>
      <c r="E2232" s="439"/>
      <c r="F2232" s="161">
        <v>509.89616999999998</v>
      </c>
      <c r="G2232" s="161">
        <v>-21.161000000000001</v>
      </c>
      <c r="H2232" s="654">
        <v>144.17841045999899</v>
      </c>
      <c r="I2232" s="654">
        <v>0.31223491969949901</v>
      </c>
      <c r="J2232" s="191"/>
      <c r="K2232" s="191">
        <v>688446.18872699898</v>
      </c>
      <c r="L2232" s="191"/>
      <c r="M2232" s="191"/>
      <c r="N2232" s="191"/>
      <c r="O2232" s="191"/>
      <c r="P2232" s="191"/>
      <c r="Q2232" s="191"/>
      <c r="R2232" s="191"/>
      <c r="S2232" s="191"/>
      <c r="T2232" s="191"/>
      <c r="U2232" s="439"/>
      <c r="V2232" s="441"/>
      <c r="W2232" s="178"/>
      <c r="X2232" s="172"/>
      <c r="Y2232" s="172"/>
      <c r="Z2232" s="172"/>
      <c r="AA2232" s="195"/>
      <c r="AB2232" s="172"/>
    </row>
    <row r="2233" spans="1:28" ht="12.6" customHeight="1" x14ac:dyDescent="0.3">
      <c r="A2233" s="667"/>
      <c r="B2233" s="668" t="s">
        <v>8479</v>
      </c>
      <c r="C2233" s="160" t="s">
        <v>8480</v>
      </c>
      <c r="D2233" s="160"/>
      <c r="E2233" s="439">
        <v>7.65</v>
      </c>
      <c r="F2233" s="161">
        <v>453.02098626200001</v>
      </c>
      <c r="G2233" s="161"/>
      <c r="H2233" s="654"/>
      <c r="I2233" s="654"/>
      <c r="J2233" s="191"/>
      <c r="K2233" s="191">
        <v>68149.080421338702</v>
      </c>
      <c r="L2233" s="191"/>
      <c r="M2233" s="191"/>
      <c r="N2233" s="191"/>
      <c r="O2233" s="191"/>
      <c r="P2233" s="191"/>
      <c r="Q2233" s="191"/>
      <c r="R2233" s="191"/>
      <c r="S2233" s="191"/>
      <c r="T2233" s="191"/>
      <c r="U2233" s="439"/>
      <c r="V2233" s="441"/>
      <c r="W2233" s="178"/>
      <c r="X2233" s="172"/>
      <c r="Y2233" s="172"/>
      <c r="Z2233" s="172"/>
      <c r="AA2233" s="195"/>
      <c r="AB2233" s="172"/>
    </row>
    <row r="2234" spans="1:28" ht="12.6" customHeight="1" x14ac:dyDescent="0.3">
      <c r="A2234" s="667"/>
      <c r="B2234" s="668" t="s">
        <v>8481</v>
      </c>
      <c r="C2234" s="160" t="s">
        <v>8482</v>
      </c>
      <c r="D2234" s="160"/>
      <c r="E2234" s="439">
        <v>8.3699999999999992</v>
      </c>
      <c r="F2234" s="161">
        <v>780.99429405499995</v>
      </c>
      <c r="G2234" s="161"/>
      <c r="H2234" s="654"/>
      <c r="I2234" s="654"/>
      <c r="J2234" s="191"/>
      <c r="K2234" s="191">
        <v>250934.28340429699</v>
      </c>
      <c r="L2234" s="191"/>
      <c r="M2234" s="191"/>
      <c r="N2234" s="191"/>
      <c r="O2234" s="191"/>
      <c r="P2234" s="191"/>
      <c r="Q2234" s="191"/>
      <c r="R2234" s="191"/>
      <c r="S2234" s="191"/>
      <c r="T2234" s="191"/>
      <c r="U2234" s="439"/>
      <c r="V2234" s="441"/>
      <c r="W2234" s="178"/>
      <c r="X2234" s="172"/>
      <c r="Y2234" s="172"/>
      <c r="Z2234" s="172"/>
      <c r="AA2234" s="195"/>
      <c r="AB2234" s="172"/>
    </row>
    <row r="2235" spans="1:28" ht="12.6" customHeight="1" x14ac:dyDescent="0.3">
      <c r="A2235" s="667"/>
      <c r="B2235" s="668" t="s">
        <v>8483</v>
      </c>
      <c r="C2235" s="160" t="s">
        <v>8484</v>
      </c>
      <c r="D2235" s="160"/>
      <c r="E2235" s="439"/>
      <c r="F2235" s="161">
        <v>440.02573729</v>
      </c>
      <c r="G2235" s="161">
        <v>-93.912000000000006</v>
      </c>
      <c r="H2235" s="654">
        <v>186.59613797999901</v>
      </c>
      <c r="I2235" s="654">
        <v>0.79703621898286803</v>
      </c>
      <c r="J2235" s="191"/>
      <c r="K2235" s="191">
        <v>11917.907215816</v>
      </c>
      <c r="L2235" s="191"/>
      <c r="M2235" s="191"/>
      <c r="N2235" s="191"/>
      <c r="O2235" s="191"/>
      <c r="P2235" s="191"/>
      <c r="Q2235" s="191"/>
      <c r="R2235" s="191"/>
      <c r="S2235" s="191"/>
      <c r="T2235" s="191"/>
      <c r="U2235" s="439"/>
      <c r="V2235" s="441"/>
      <c r="W2235" s="178"/>
      <c r="X2235" s="172"/>
      <c r="Y2235" s="172"/>
      <c r="Z2235" s="172"/>
      <c r="AA2235" s="195"/>
      <c r="AB2235" s="172"/>
    </row>
    <row r="2236" spans="1:28" ht="12.6" customHeight="1" x14ac:dyDescent="0.3">
      <c r="A2236" s="667"/>
      <c r="B2236" s="668" t="s">
        <v>8485</v>
      </c>
      <c r="C2236" s="160" t="s">
        <v>8486</v>
      </c>
      <c r="D2236" s="160"/>
      <c r="E2236" s="439"/>
      <c r="F2236" s="161">
        <v>531.94372203199998</v>
      </c>
      <c r="G2236" s="161">
        <v>-64.018000000000001</v>
      </c>
      <c r="H2236" s="654">
        <v>18.276846335999998</v>
      </c>
      <c r="I2236" s="654">
        <v>0.32950775111922398</v>
      </c>
      <c r="J2236" s="191"/>
      <c r="K2236" s="191">
        <v>33523.549821355897</v>
      </c>
      <c r="L2236" s="191"/>
      <c r="M2236" s="191"/>
      <c r="N2236" s="191"/>
      <c r="O2236" s="191"/>
      <c r="P2236" s="191"/>
      <c r="Q2236" s="191"/>
      <c r="R2236" s="191"/>
      <c r="S2236" s="191"/>
      <c r="T2236" s="191"/>
      <c r="U2236" s="439"/>
      <c r="V2236" s="441"/>
      <c r="W2236" s="178"/>
      <c r="X2236" s="172"/>
      <c r="Y2236" s="172"/>
      <c r="Z2236" s="172"/>
      <c r="AA2236" s="195"/>
      <c r="AB2236" s="172"/>
    </row>
    <row r="2237" spans="1:28" ht="12.6" customHeight="1" x14ac:dyDescent="0.3">
      <c r="A2237" s="667"/>
      <c r="B2237" s="668" t="s">
        <v>8487</v>
      </c>
      <c r="C2237" s="160" t="s">
        <v>8488</v>
      </c>
      <c r="D2237" s="160"/>
      <c r="E2237" s="439"/>
      <c r="F2237" s="161">
        <v>495.88051999999999</v>
      </c>
      <c r="G2237" s="161">
        <v>-25.489000000000001</v>
      </c>
      <c r="H2237" s="654">
        <v>833.49314705999996</v>
      </c>
      <c r="I2237" s="654">
        <v>0.43090033665919902</v>
      </c>
      <c r="J2237" s="191"/>
      <c r="K2237" s="191">
        <v>245340.92593447899</v>
      </c>
      <c r="L2237" s="191"/>
      <c r="M2237" s="191"/>
      <c r="N2237" s="191"/>
      <c r="O2237" s="191"/>
      <c r="P2237" s="191"/>
      <c r="Q2237" s="191"/>
      <c r="R2237" s="191"/>
      <c r="S2237" s="191"/>
      <c r="T2237" s="191"/>
      <c r="U2237" s="439"/>
      <c r="V2237" s="441"/>
      <c r="W2237" s="178"/>
      <c r="X2237" s="172"/>
      <c r="Y2237" s="172"/>
      <c r="Z2237" s="172"/>
      <c r="AA2237" s="195"/>
      <c r="AB2237" s="172"/>
    </row>
    <row r="2238" spans="1:28" ht="12.6" customHeight="1" x14ac:dyDescent="0.3">
      <c r="A2238" s="667"/>
      <c r="B2238" s="668" t="s">
        <v>8489</v>
      </c>
      <c r="C2238" s="160" t="s">
        <v>8490</v>
      </c>
      <c r="D2238" s="160"/>
      <c r="E2238" s="439"/>
      <c r="F2238" s="161">
        <v>343.98706615100002</v>
      </c>
      <c r="G2238" s="161">
        <v>-43.62</v>
      </c>
      <c r="H2238" s="654">
        <v>1059.0139761600001</v>
      </c>
      <c r="I2238" s="654">
        <v>1.43068004669928</v>
      </c>
      <c r="J2238" s="191"/>
      <c r="K2238" s="191">
        <v>3140.2917627137499</v>
      </c>
      <c r="L2238" s="191"/>
      <c r="M2238" s="191"/>
      <c r="N2238" s="191"/>
      <c r="O2238" s="191"/>
      <c r="P2238" s="191"/>
      <c r="Q2238" s="191"/>
      <c r="R2238" s="191"/>
      <c r="S2238" s="191"/>
      <c r="T2238" s="191"/>
      <c r="U2238" s="439"/>
      <c r="V2238" s="441"/>
      <c r="W2238" s="178"/>
      <c r="X2238" s="172"/>
      <c r="Y2238" s="172"/>
      <c r="Z2238" s="172"/>
      <c r="AA2238" s="195"/>
      <c r="AB2238" s="172"/>
    </row>
    <row r="2239" spans="1:28" ht="12.6" customHeight="1" x14ac:dyDescent="0.3">
      <c r="A2239" s="667"/>
      <c r="B2239" s="668" t="s">
        <v>8491</v>
      </c>
      <c r="C2239" s="160" t="s">
        <v>8492</v>
      </c>
      <c r="D2239" s="160"/>
      <c r="E2239" s="439"/>
      <c r="F2239" s="161">
        <v>545.87732000000005</v>
      </c>
      <c r="G2239" s="161"/>
      <c r="H2239" s="654"/>
      <c r="I2239" s="654"/>
      <c r="J2239" s="191"/>
      <c r="K2239" s="191">
        <v>120331.685511763</v>
      </c>
      <c r="L2239" s="191"/>
      <c r="M2239" s="191"/>
      <c r="N2239" s="191"/>
      <c r="O2239" s="191"/>
      <c r="P2239" s="191"/>
      <c r="Q2239" s="191"/>
      <c r="R2239" s="191"/>
      <c r="S2239" s="191"/>
      <c r="T2239" s="191"/>
      <c r="U2239" s="439"/>
      <c r="V2239" s="441"/>
      <c r="W2239" s="178"/>
      <c r="X2239" s="172"/>
      <c r="Y2239" s="172"/>
      <c r="Z2239" s="172"/>
      <c r="AA2239" s="195"/>
      <c r="AB2239" s="172"/>
    </row>
    <row r="2240" spans="1:28" ht="12.6" customHeight="1" x14ac:dyDescent="0.3">
      <c r="A2240" s="667"/>
      <c r="B2240" s="668" t="s">
        <v>8493</v>
      </c>
      <c r="C2240" s="160" t="s">
        <v>8494</v>
      </c>
      <c r="D2240" s="160"/>
      <c r="E2240" s="439"/>
      <c r="F2240" s="161">
        <v>469.88371000000001</v>
      </c>
      <c r="G2240" s="161"/>
      <c r="H2240" s="654"/>
      <c r="I2240" s="654"/>
      <c r="J2240" s="191"/>
      <c r="K2240" s="191">
        <v>338727.14372227702</v>
      </c>
      <c r="L2240" s="191"/>
      <c r="M2240" s="191"/>
      <c r="N2240" s="191"/>
      <c r="O2240" s="191"/>
      <c r="P2240" s="191"/>
      <c r="Q2240" s="191"/>
      <c r="R2240" s="191"/>
      <c r="S2240" s="191"/>
      <c r="T2240" s="191"/>
      <c r="U2240" s="439"/>
      <c r="V2240" s="441"/>
      <c r="W2240" s="178"/>
      <c r="X2240" s="172"/>
      <c r="Y2240" s="172"/>
      <c r="Z2240" s="172"/>
      <c r="AA2240" s="195"/>
      <c r="AB2240" s="172"/>
    </row>
    <row r="2241" spans="1:28" ht="12.6" customHeight="1" x14ac:dyDescent="0.3">
      <c r="A2241" s="667"/>
      <c r="B2241" s="668" t="s">
        <v>8495</v>
      </c>
      <c r="C2241" s="160" t="s">
        <v>8496</v>
      </c>
      <c r="D2241" s="160"/>
      <c r="E2241" s="439"/>
      <c r="F2241" s="161">
        <v>763.96774495399995</v>
      </c>
      <c r="G2241" s="161"/>
      <c r="H2241" s="654"/>
      <c r="I2241" s="654"/>
      <c r="J2241" s="191"/>
      <c r="K2241" s="191">
        <v>264819.52363117202</v>
      </c>
      <c r="L2241" s="191"/>
      <c r="M2241" s="191"/>
      <c r="N2241" s="191"/>
      <c r="O2241" s="191"/>
      <c r="P2241" s="191"/>
      <c r="Q2241" s="191"/>
      <c r="R2241" s="191"/>
      <c r="S2241" s="191"/>
      <c r="T2241" s="191"/>
      <c r="U2241" s="439"/>
      <c r="V2241" s="441"/>
      <c r="W2241" s="178"/>
      <c r="X2241" s="172"/>
      <c r="Y2241" s="172"/>
      <c r="Z2241" s="172"/>
      <c r="AA2241" s="195"/>
      <c r="AB2241" s="172"/>
    </row>
    <row r="2242" spans="1:28" ht="12.6" customHeight="1" x14ac:dyDescent="0.3">
      <c r="A2242" s="667"/>
      <c r="B2242" s="668" t="s">
        <v>8497</v>
      </c>
      <c r="C2242" s="160" t="s">
        <v>8498</v>
      </c>
      <c r="D2242" s="160"/>
      <c r="E2242" s="439"/>
      <c r="F2242" s="161">
        <v>663.97413230200004</v>
      </c>
      <c r="G2242" s="161"/>
      <c r="H2242" s="654"/>
      <c r="I2242" s="654"/>
      <c r="J2242" s="191"/>
      <c r="K2242" s="191">
        <v>247742.20576332801</v>
      </c>
      <c r="L2242" s="191"/>
      <c r="M2242" s="191"/>
      <c r="N2242" s="191"/>
      <c r="O2242" s="191"/>
      <c r="P2242" s="191"/>
      <c r="Q2242" s="191"/>
      <c r="R2242" s="191"/>
      <c r="S2242" s="191"/>
      <c r="T2242" s="191"/>
      <c r="U2242" s="439"/>
      <c r="V2242" s="441"/>
      <c r="W2242" s="178"/>
      <c r="X2242" s="172"/>
      <c r="Y2242" s="172"/>
      <c r="Z2242" s="172"/>
      <c r="AA2242" s="195"/>
      <c r="AB2242" s="172"/>
    </row>
    <row r="2243" spans="1:28" ht="12.6" customHeight="1" x14ac:dyDescent="0.3">
      <c r="A2243" s="667"/>
      <c r="B2243" s="668" t="s">
        <v>8499</v>
      </c>
      <c r="C2243" s="160" t="s">
        <v>8500</v>
      </c>
      <c r="D2243" s="160"/>
      <c r="E2243" s="439"/>
      <c r="F2243" s="161">
        <v>663.97413230200004</v>
      </c>
      <c r="G2243" s="161"/>
      <c r="H2243" s="654"/>
      <c r="I2243" s="654"/>
      <c r="J2243" s="191"/>
      <c r="K2243" s="191">
        <v>247742.20576332801</v>
      </c>
      <c r="L2243" s="191"/>
      <c r="M2243" s="191"/>
      <c r="N2243" s="191"/>
      <c r="O2243" s="191"/>
      <c r="P2243" s="191"/>
      <c r="Q2243" s="191"/>
      <c r="R2243" s="191"/>
      <c r="S2243" s="191"/>
      <c r="T2243" s="191"/>
      <c r="U2243" s="439"/>
      <c r="V2243" s="441"/>
      <c r="W2243" s="178"/>
      <c r="X2243" s="172"/>
      <c r="Y2243" s="172"/>
      <c r="Z2243" s="172"/>
      <c r="AA2243" s="195"/>
      <c r="AB2243" s="172"/>
    </row>
    <row r="2244" spans="1:28" ht="12.6" customHeight="1" x14ac:dyDescent="0.3">
      <c r="A2244" s="667"/>
      <c r="B2244" s="668" t="s">
        <v>8501</v>
      </c>
      <c r="C2244" s="160" t="s">
        <v>8502</v>
      </c>
      <c r="D2244" s="160"/>
      <c r="E2244" s="439"/>
      <c r="F2244" s="161">
        <v>372.01836628000001</v>
      </c>
      <c r="G2244" s="161"/>
      <c r="H2244" s="654"/>
      <c r="I2244" s="654"/>
      <c r="J2244" s="191"/>
      <c r="K2244" s="191">
        <v>9600.6359094534691</v>
      </c>
      <c r="L2244" s="191"/>
      <c r="M2244" s="191"/>
      <c r="N2244" s="191"/>
      <c r="O2244" s="191"/>
      <c r="P2244" s="191"/>
      <c r="Q2244" s="191"/>
      <c r="R2244" s="191"/>
      <c r="S2244" s="191"/>
      <c r="T2244" s="191"/>
      <c r="U2244" s="439"/>
      <c r="V2244" s="441"/>
      <c r="W2244" s="178"/>
      <c r="X2244" s="172"/>
      <c r="Y2244" s="172"/>
      <c r="Z2244" s="172"/>
      <c r="AA2244" s="195"/>
      <c r="AB2244" s="172"/>
    </row>
    <row r="2245" spans="1:28" ht="12.6" customHeight="1" x14ac:dyDescent="0.3">
      <c r="A2245" s="667"/>
      <c r="B2245" s="668" t="s">
        <v>8503</v>
      </c>
      <c r="C2245" s="160" t="s">
        <v>8504</v>
      </c>
      <c r="D2245" s="160"/>
      <c r="E2245" s="439"/>
      <c r="F2245" s="161">
        <v>471.89936</v>
      </c>
      <c r="G2245" s="161">
        <v>-25.878</v>
      </c>
      <c r="H2245" s="654"/>
      <c r="I2245" s="654">
        <v>0.96571372627839902</v>
      </c>
      <c r="J2245" s="191"/>
      <c r="K2245" s="191">
        <v>2050312.21939495</v>
      </c>
      <c r="L2245" s="191"/>
      <c r="M2245" s="191"/>
      <c r="N2245" s="191"/>
      <c r="O2245" s="191"/>
      <c r="P2245" s="191"/>
      <c r="Q2245" s="191"/>
      <c r="R2245" s="191"/>
      <c r="S2245" s="191"/>
      <c r="T2245" s="191"/>
      <c r="U2245" s="439"/>
      <c r="V2245" s="441"/>
      <c r="W2245" s="178"/>
      <c r="X2245" s="172"/>
      <c r="Y2245" s="172"/>
      <c r="Z2245" s="172"/>
      <c r="AA2245" s="195"/>
      <c r="AB2245" s="172"/>
    </row>
    <row r="2246" spans="1:28" ht="12.6" customHeight="1" x14ac:dyDescent="0.3">
      <c r="A2246" s="667"/>
      <c r="B2246" s="668" t="s">
        <v>8505</v>
      </c>
      <c r="C2246" s="160" t="s">
        <v>8506</v>
      </c>
      <c r="D2246" s="160"/>
      <c r="E2246" s="439"/>
      <c r="F2246" s="161">
        <v>471.89936</v>
      </c>
      <c r="G2246" s="161"/>
      <c r="H2246" s="654"/>
      <c r="I2246" s="654"/>
      <c r="J2246" s="191"/>
      <c r="K2246" s="191">
        <v>2050312.21939495</v>
      </c>
      <c r="L2246" s="191"/>
      <c r="M2246" s="191"/>
      <c r="N2246" s="191"/>
      <c r="O2246" s="191"/>
      <c r="P2246" s="191"/>
      <c r="Q2246" s="191"/>
      <c r="R2246" s="191"/>
      <c r="S2246" s="191"/>
      <c r="T2246" s="191"/>
      <c r="U2246" s="439"/>
      <c r="V2246" s="441"/>
      <c r="W2246" s="178"/>
      <c r="X2246" s="172"/>
      <c r="Y2246" s="172"/>
      <c r="Z2246" s="172"/>
      <c r="AA2246" s="195"/>
      <c r="AB2246" s="172"/>
    </row>
    <row r="2247" spans="1:28" ht="12.6" customHeight="1" x14ac:dyDescent="0.3">
      <c r="A2247" s="667"/>
      <c r="B2247" s="668" t="s">
        <v>8507</v>
      </c>
      <c r="C2247" s="160" t="s">
        <v>8508</v>
      </c>
      <c r="D2247" s="160"/>
      <c r="E2247" s="439"/>
      <c r="F2247" s="161">
        <v>537.92746999999997</v>
      </c>
      <c r="G2247" s="161">
        <v>-37.228999999999999</v>
      </c>
      <c r="H2247" s="654">
        <v>51.038994649999999</v>
      </c>
      <c r="I2247" s="654">
        <v>0.16320127719583</v>
      </c>
      <c r="J2247" s="191"/>
      <c r="K2247" s="191">
        <v>10287503.5953338</v>
      </c>
      <c r="L2247" s="191"/>
      <c r="M2247" s="191"/>
      <c r="N2247" s="191"/>
      <c r="O2247" s="191"/>
      <c r="P2247" s="191"/>
      <c r="Q2247" s="191"/>
      <c r="R2247" s="191"/>
      <c r="S2247" s="191"/>
      <c r="T2247" s="191"/>
      <c r="U2247" s="439"/>
      <c r="V2247" s="441"/>
      <c r="W2247" s="178"/>
      <c r="X2247" s="172"/>
      <c r="Y2247" s="172"/>
      <c r="Z2247" s="172"/>
      <c r="AA2247" s="195"/>
      <c r="AB2247" s="172"/>
    </row>
    <row r="2248" spans="1:28" ht="12.6" customHeight="1" x14ac:dyDescent="0.3">
      <c r="A2248" s="667"/>
      <c r="B2248" s="668" t="s">
        <v>8509</v>
      </c>
      <c r="C2248" s="160" t="s">
        <v>8510</v>
      </c>
      <c r="D2248" s="160"/>
      <c r="E2248" s="439"/>
      <c r="F2248" s="161">
        <v>509.89616999999998</v>
      </c>
      <c r="G2248" s="161">
        <v>-28.762</v>
      </c>
      <c r="H2248" s="654">
        <v>144.17841045999899</v>
      </c>
      <c r="I2248" s="654">
        <v>0.31223491969949901</v>
      </c>
      <c r="J2248" s="191"/>
      <c r="K2248" s="191">
        <v>306972.87381836597</v>
      </c>
      <c r="L2248" s="191"/>
      <c r="M2248" s="191"/>
      <c r="N2248" s="191"/>
      <c r="O2248" s="191"/>
      <c r="P2248" s="191"/>
      <c r="Q2248" s="191"/>
      <c r="R2248" s="191"/>
      <c r="S2248" s="191"/>
      <c r="T2248" s="191"/>
      <c r="U2248" s="439"/>
      <c r="V2248" s="441"/>
      <c r="W2248" s="178"/>
      <c r="X2248" s="172"/>
      <c r="Y2248" s="172"/>
      <c r="Z2248" s="172"/>
      <c r="AA2248" s="195"/>
      <c r="AB2248" s="172"/>
    </row>
    <row r="2249" spans="1:28" ht="12.6" customHeight="1" x14ac:dyDescent="0.3">
      <c r="A2249" s="667"/>
      <c r="B2249" s="668" t="s">
        <v>8511</v>
      </c>
      <c r="C2249" s="160" t="s">
        <v>8512</v>
      </c>
      <c r="D2249" s="160"/>
      <c r="E2249" s="439">
        <v>27</v>
      </c>
      <c r="F2249" s="161">
        <v>646.96582999999998</v>
      </c>
      <c r="G2249" s="161"/>
      <c r="H2249" s="654"/>
      <c r="I2249" s="654"/>
      <c r="J2249" s="191"/>
      <c r="K2249" s="191">
        <v>129700.00714237599</v>
      </c>
      <c r="L2249" s="191"/>
      <c r="M2249" s="191"/>
      <c r="N2249" s="191"/>
      <c r="O2249" s="191"/>
      <c r="P2249" s="191"/>
      <c r="Q2249" s="191"/>
      <c r="R2249" s="191"/>
      <c r="S2249" s="191"/>
      <c r="T2249" s="191"/>
      <c r="U2249" s="439"/>
      <c r="V2249" s="441"/>
      <c r="W2249" s="178"/>
      <c r="X2249" s="172"/>
      <c r="Y2249" s="172"/>
      <c r="Z2249" s="172"/>
      <c r="AA2249" s="195"/>
      <c r="AB2249" s="172"/>
    </row>
    <row r="2250" spans="1:28" ht="12.6" customHeight="1" x14ac:dyDescent="0.3">
      <c r="A2250" s="667"/>
      <c r="B2250" s="668" t="s">
        <v>8513</v>
      </c>
      <c r="C2250" s="160" t="s">
        <v>8514</v>
      </c>
      <c r="D2250" s="160"/>
      <c r="E2250" s="439"/>
      <c r="F2250" s="161">
        <v>891.88004000000001</v>
      </c>
      <c r="G2250" s="161"/>
      <c r="H2250" s="654"/>
      <c r="I2250" s="654"/>
      <c r="J2250" s="191"/>
      <c r="K2250" s="191">
        <v>4093737.5825373898</v>
      </c>
      <c r="L2250" s="191"/>
      <c r="M2250" s="191"/>
      <c r="N2250" s="191"/>
      <c r="O2250" s="191"/>
      <c r="P2250" s="191"/>
      <c r="Q2250" s="191"/>
      <c r="R2250" s="191"/>
      <c r="S2250" s="191"/>
      <c r="T2250" s="191"/>
      <c r="U2250" s="439"/>
      <c r="V2250" s="441"/>
      <c r="W2250" s="178"/>
      <c r="X2250" s="172"/>
      <c r="Y2250" s="172"/>
      <c r="Z2250" s="172"/>
      <c r="AA2250" s="195"/>
      <c r="AB2250" s="172"/>
    </row>
    <row r="2251" spans="1:28" ht="12.6" customHeight="1" x14ac:dyDescent="0.3">
      <c r="A2251" s="667"/>
      <c r="B2251" s="668" t="s">
        <v>8515</v>
      </c>
      <c r="C2251" s="160" t="s">
        <v>8516</v>
      </c>
      <c r="D2251" s="160"/>
      <c r="E2251" s="439"/>
      <c r="F2251" s="161">
        <v>791.88643000000002</v>
      </c>
      <c r="G2251" s="161"/>
      <c r="H2251" s="654"/>
      <c r="I2251" s="654"/>
      <c r="J2251" s="191"/>
      <c r="K2251" s="191">
        <v>3352200.6040381398</v>
      </c>
      <c r="L2251" s="191"/>
      <c r="M2251" s="191"/>
      <c r="N2251" s="191"/>
      <c r="O2251" s="191"/>
      <c r="P2251" s="191"/>
      <c r="Q2251" s="191"/>
      <c r="R2251" s="191"/>
      <c r="S2251" s="191"/>
      <c r="T2251" s="191"/>
      <c r="U2251" s="439"/>
      <c r="V2251" s="441"/>
      <c r="W2251" s="178"/>
      <c r="X2251" s="172"/>
      <c r="Y2251" s="172"/>
      <c r="Z2251" s="172"/>
      <c r="AA2251" s="195"/>
      <c r="AB2251" s="172"/>
    </row>
    <row r="2252" spans="1:28" ht="12.6" customHeight="1" x14ac:dyDescent="0.3">
      <c r="A2252" s="667"/>
      <c r="B2252" s="668" t="s">
        <v>8517</v>
      </c>
      <c r="C2252" s="160" t="s">
        <v>8518</v>
      </c>
      <c r="D2252" s="160"/>
      <c r="E2252" s="439"/>
      <c r="F2252" s="161">
        <v>959.83001999999999</v>
      </c>
      <c r="G2252" s="161"/>
      <c r="H2252" s="654"/>
      <c r="I2252" s="654"/>
      <c r="J2252" s="191"/>
      <c r="K2252" s="191">
        <v>510493245.29870898</v>
      </c>
      <c r="L2252" s="191"/>
      <c r="M2252" s="191"/>
      <c r="N2252" s="191"/>
      <c r="O2252" s="191"/>
      <c r="P2252" s="191"/>
      <c r="Q2252" s="191"/>
      <c r="R2252" s="191"/>
      <c r="S2252" s="191"/>
      <c r="T2252" s="191"/>
      <c r="U2252" s="439"/>
      <c r="V2252" s="441"/>
      <c r="W2252" s="178"/>
      <c r="X2252" s="172"/>
      <c r="Y2252" s="172"/>
      <c r="Z2252" s="172"/>
      <c r="AA2252" s="195"/>
      <c r="AB2252" s="172"/>
    </row>
    <row r="2253" spans="1:28" ht="12.6" customHeight="1" x14ac:dyDescent="0.3">
      <c r="A2253" s="667"/>
      <c r="B2253" s="668" t="s">
        <v>8519</v>
      </c>
      <c r="C2253" s="160" t="s">
        <v>8520</v>
      </c>
      <c r="D2253" s="160"/>
      <c r="E2253" s="439"/>
      <c r="F2253" s="161">
        <v>973.84567000000004</v>
      </c>
      <c r="G2253" s="161"/>
      <c r="H2253" s="654"/>
      <c r="I2253" s="654"/>
      <c r="J2253" s="191"/>
      <c r="K2253" s="191">
        <v>58380794.369023599</v>
      </c>
      <c r="L2253" s="191"/>
      <c r="M2253" s="191"/>
      <c r="N2253" s="191"/>
      <c r="O2253" s="191"/>
      <c r="P2253" s="191"/>
      <c r="Q2253" s="191"/>
      <c r="R2253" s="191"/>
      <c r="S2253" s="191"/>
      <c r="T2253" s="191"/>
      <c r="U2253" s="439"/>
      <c r="V2253" s="441"/>
      <c r="W2253" s="178"/>
      <c r="X2253" s="172"/>
      <c r="Y2253" s="172"/>
      <c r="Z2253" s="172"/>
      <c r="AA2253" s="195"/>
      <c r="AB2253" s="172"/>
    </row>
    <row r="2254" spans="1:28" ht="12.6" customHeight="1" x14ac:dyDescent="0.3">
      <c r="A2254" s="667"/>
      <c r="B2254" s="668" t="s">
        <v>8521</v>
      </c>
      <c r="C2254" s="160" t="s">
        <v>8522</v>
      </c>
      <c r="D2254" s="160"/>
      <c r="E2254" s="439"/>
      <c r="F2254" s="161">
        <v>1001.87697</v>
      </c>
      <c r="G2254" s="161"/>
      <c r="H2254" s="654"/>
      <c r="I2254" s="654"/>
      <c r="J2254" s="191"/>
      <c r="K2254" s="191">
        <v>52576297.597740598</v>
      </c>
      <c r="L2254" s="191"/>
      <c r="M2254" s="191"/>
      <c r="N2254" s="191"/>
      <c r="O2254" s="191"/>
      <c r="P2254" s="191"/>
      <c r="Q2254" s="191"/>
      <c r="R2254" s="191"/>
      <c r="S2254" s="191"/>
      <c r="T2254" s="191"/>
      <c r="U2254" s="439"/>
      <c r="V2254" s="441"/>
      <c r="W2254" s="178"/>
      <c r="X2254" s="172"/>
      <c r="Y2254" s="172"/>
      <c r="Z2254" s="172"/>
      <c r="AA2254" s="195"/>
      <c r="AB2254" s="172"/>
    </row>
    <row r="2255" spans="1:28" ht="12.6" customHeight="1" x14ac:dyDescent="0.3">
      <c r="A2255" s="667"/>
      <c r="B2255" s="668" t="s">
        <v>8523</v>
      </c>
      <c r="C2255" s="160" t="s">
        <v>8524</v>
      </c>
      <c r="D2255" s="160"/>
      <c r="E2255" s="439">
        <v>8.57</v>
      </c>
      <c r="F2255" s="161">
        <v>523.081694814</v>
      </c>
      <c r="G2255" s="161">
        <v>19.189</v>
      </c>
      <c r="H2255" s="654">
        <v>0.11038288332399999</v>
      </c>
      <c r="I2255" s="654">
        <v>6.18826568232754E-2</v>
      </c>
      <c r="J2255" s="191"/>
      <c r="K2255" s="191">
        <v>4514399.6126694996</v>
      </c>
      <c r="L2255" s="191"/>
      <c r="M2255" s="191"/>
      <c r="N2255" s="191"/>
      <c r="O2255" s="191"/>
      <c r="P2255" s="191"/>
      <c r="Q2255" s="191"/>
      <c r="R2255" s="191"/>
      <c r="S2255" s="191"/>
      <c r="T2255" s="191"/>
      <c r="U2255" s="439"/>
      <c r="V2255" s="441"/>
      <c r="W2255" s="178"/>
      <c r="X2255" s="172"/>
      <c r="Y2255" s="172"/>
      <c r="Z2255" s="172"/>
      <c r="AA2255" s="195"/>
      <c r="AB2255" s="172"/>
    </row>
    <row r="2256" spans="1:28" ht="12.6" customHeight="1" x14ac:dyDescent="0.3">
      <c r="A2256" s="667"/>
      <c r="B2256" s="668" t="s">
        <v>8525</v>
      </c>
      <c r="C2256" s="160" t="s">
        <v>8526</v>
      </c>
      <c r="D2256" s="160"/>
      <c r="E2256" s="439"/>
      <c r="F2256" s="161">
        <v>479.89402589999997</v>
      </c>
      <c r="G2256" s="161">
        <v>-58.430999999999997</v>
      </c>
      <c r="H2256" s="654">
        <v>58.73567371</v>
      </c>
      <c r="I2256" s="654">
        <v>6.2538349773210294E-2</v>
      </c>
      <c r="J2256" s="191"/>
      <c r="K2256" s="191">
        <v>3161040.0621285001</v>
      </c>
      <c r="L2256" s="191"/>
      <c r="M2256" s="191"/>
      <c r="N2256" s="191"/>
      <c r="O2256" s="191"/>
      <c r="P2256" s="191"/>
      <c r="Q2256" s="191"/>
      <c r="R2256" s="191"/>
      <c r="S2256" s="191"/>
      <c r="T2256" s="191"/>
      <c r="U2256" s="439"/>
      <c r="V2256" s="441"/>
      <c r="W2256" s="178"/>
      <c r="X2256" s="172"/>
      <c r="Y2256" s="172"/>
      <c r="Z2256" s="172"/>
      <c r="AA2256" s="195"/>
      <c r="AB2256" s="172"/>
    </row>
    <row r="2257" spans="1:28" ht="12.6" customHeight="1" x14ac:dyDescent="0.3">
      <c r="A2257" s="667"/>
      <c r="B2257" s="668" t="s">
        <v>8527</v>
      </c>
      <c r="C2257" s="160" t="s">
        <v>8528</v>
      </c>
      <c r="D2257" s="160"/>
      <c r="E2257" s="439"/>
      <c r="F2257" s="161">
        <v>533.96743960000003</v>
      </c>
      <c r="G2257" s="161">
        <v>-55.994999999999997</v>
      </c>
      <c r="H2257" s="654">
        <v>43.541365335999998</v>
      </c>
      <c r="I2257" s="654">
        <v>6.1875078965968801E-3</v>
      </c>
      <c r="J2257" s="191"/>
      <c r="K2257" s="191">
        <v>3642168.2151092999</v>
      </c>
      <c r="L2257" s="191"/>
      <c r="M2257" s="191"/>
      <c r="N2257" s="191"/>
      <c r="O2257" s="191"/>
      <c r="P2257" s="191"/>
      <c r="Q2257" s="191"/>
      <c r="R2257" s="191"/>
      <c r="S2257" s="191"/>
      <c r="T2257" s="191"/>
      <c r="U2257" s="439"/>
      <c r="V2257" s="441"/>
      <c r="W2257" s="178"/>
      <c r="X2257" s="172"/>
      <c r="Y2257" s="172"/>
      <c r="Z2257" s="172"/>
      <c r="AA2257" s="195"/>
      <c r="AB2257" s="172"/>
    </row>
    <row r="2258" spans="1:28" ht="12.6" customHeight="1" x14ac:dyDescent="0.3">
      <c r="A2258" s="667"/>
      <c r="B2258" s="668" t="s">
        <v>8529</v>
      </c>
      <c r="C2258" s="160" t="s">
        <v>8530</v>
      </c>
      <c r="D2258" s="160"/>
      <c r="E2258" s="439"/>
      <c r="F2258" s="161">
        <v>588.04085339999995</v>
      </c>
      <c r="G2258" s="161">
        <v>-11.523</v>
      </c>
      <c r="H2258" s="654">
        <v>27.220886027999999</v>
      </c>
      <c r="I2258" s="654">
        <v>1.39767902199525E-3</v>
      </c>
      <c r="J2258" s="191"/>
      <c r="K2258" s="191">
        <v>11395935.9590564</v>
      </c>
      <c r="L2258" s="191"/>
      <c r="M2258" s="191"/>
      <c r="N2258" s="191"/>
      <c r="O2258" s="191"/>
      <c r="P2258" s="191"/>
      <c r="Q2258" s="191"/>
      <c r="R2258" s="191"/>
      <c r="S2258" s="191"/>
      <c r="T2258" s="191"/>
      <c r="U2258" s="439"/>
      <c r="V2258" s="441"/>
      <c r="W2258" s="178"/>
      <c r="X2258" s="172"/>
      <c r="Y2258" s="172"/>
      <c r="Z2258" s="172"/>
      <c r="AA2258" s="195"/>
      <c r="AB2258" s="172"/>
    </row>
    <row r="2259" spans="1:28" ht="12.6" customHeight="1" x14ac:dyDescent="0.3">
      <c r="A2259" s="667"/>
      <c r="B2259" s="668" t="s">
        <v>8531</v>
      </c>
      <c r="C2259" s="160" t="s">
        <v>8532</v>
      </c>
      <c r="D2259" s="160"/>
      <c r="E2259" s="439"/>
      <c r="F2259" s="161">
        <v>436.05280769299998</v>
      </c>
      <c r="G2259" s="161">
        <v>-74.114999999999995</v>
      </c>
      <c r="H2259" s="654">
        <v>243.16599579999999</v>
      </c>
      <c r="I2259" s="654">
        <v>7.8080051798316202E-2</v>
      </c>
      <c r="J2259" s="191"/>
      <c r="K2259" s="191">
        <v>511199005.19013298</v>
      </c>
      <c r="L2259" s="191"/>
      <c r="M2259" s="191"/>
      <c r="N2259" s="191"/>
      <c r="O2259" s="191"/>
      <c r="P2259" s="191"/>
      <c r="Q2259" s="191"/>
      <c r="R2259" s="191"/>
      <c r="S2259" s="191"/>
      <c r="T2259" s="191"/>
      <c r="U2259" s="439"/>
      <c r="V2259" s="441"/>
      <c r="W2259" s="178"/>
      <c r="X2259" s="172"/>
      <c r="Y2259" s="172"/>
      <c r="Z2259" s="172"/>
      <c r="AA2259" s="195"/>
      <c r="AB2259" s="172"/>
    </row>
    <row r="2260" spans="1:28" ht="12.6" customHeight="1" x14ac:dyDescent="0.3">
      <c r="A2260" s="667"/>
      <c r="B2260" s="668" t="s">
        <v>8533</v>
      </c>
      <c r="C2260" s="160" t="s">
        <v>8534</v>
      </c>
      <c r="D2260" s="160"/>
      <c r="E2260" s="439"/>
      <c r="F2260" s="161">
        <v>468.04263693299998</v>
      </c>
      <c r="G2260" s="161">
        <v>-86.394999999999996</v>
      </c>
      <c r="H2260" s="654">
        <v>134.24592146000001</v>
      </c>
      <c r="I2260" s="654">
        <v>0.31498192967525901</v>
      </c>
      <c r="J2260" s="191"/>
      <c r="K2260" s="191">
        <v>92127.651424864496</v>
      </c>
      <c r="L2260" s="191"/>
      <c r="M2260" s="191"/>
      <c r="N2260" s="191"/>
      <c r="O2260" s="191"/>
      <c r="P2260" s="191"/>
      <c r="Q2260" s="191"/>
      <c r="R2260" s="191"/>
      <c r="S2260" s="191"/>
      <c r="T2260" s="191"/>
      <c r="U2260" s="439"/>
      <c r="V2260" s="441"/>
      <c r="W2260" s="178"/>
      <c r="X2260" s="172"/>
      <c r="Y2260" s="172"/>
      <c r="Z2260" s="172"/>
      <c r="AA2260" s="195"/>
      <c r="AB2260" s="172"/>
    </row>
    <row r="2261" spans="1:28" ht="12.6" customHeight="1" x14ac:dyDescent="0.3">
      <c r="A2261" s="667"/>
      <c r="B2261" s="668" t="s">
        <v>8535</v>
      </c>
      <c r="C2261" s="160" t="s">
        <v>8536</v>
      </c>
      <c r="D2261" s="160"/>
      <c r="E2261" s="439"/>
      <c r="F2261" s="161">
        <v>510.08958712600003</v>
      </c>
      <c r="G2261" s="161">
        <v>-83.983999999999995</v>
      </c>
      <c r="H2261" s="654">
        <v>42.746632894000001</v>
      </c>
      <c r="I2261" s="654">
        <v>0.11957673128283799</v>
      </c>
      <c r="J2261" s="191"/>
      <c r="K2261" s="191">
        <v>349019.747508267</v>
      </c>
      <c r="L2261" s="191"/>
      <c r="M2261" s="191"/>
      <c r="N2261" s="191"/>
      <c r="O2261" s="191"/>
      <c r="P2261" s="191"/>
      <c r="Q2261" s="191"/>
      <c r="R2261" s="191"/>
      <c r="S2261" s="191"/>
      <c r="T2261" s="191"/>
      <c r="U2261" s="439"/>
      <c r="V2261" s="441"/>
      <c r="W2261" s="178"/>
      <c r="X2261" s="172"/>
      <c r="Y2261" s="172"/>
      <c r="Z2261" s="172"/>
      <c r="AA2261" s="195"/>
      <c r="AB2261" s="172"/>
    </row>
    <row r="2262" spans="1:28" ht="12.6" customHeight="1" x14ac:dyDescent="0.3">
      <c r="A2262" s="667"/>
      <c r="B2262" s="668" t="s">
        <v>8537</v>
      </c>
      <c r="C2262" s="160" t="s">
        <v>8538</v>
      </c>
      <c r="D2262" s="160"/>
      <c r="E2262" s="439"/>
      <c r="F2262" s="161">
        <v>459.9486483</v>
      </c>
      <c r="G2262" s="161">
        <v>-71.656000000000006</v>
      </c>
      <c r="H2262" s="654">
        <v>99.289159703999999</v>
      </c>
      <c r="I2262" s="654">
        <v>7.05846394654146E-2</v>
      </c>
      <c r="J2262" s="191"/>
      <c r="K2262" s="191">
        <v>1972377.31992583</v>
      </c>
      <c r="L2262" s="191"/>
      <c r="M2262" s="191"/>
      <c r="N2262" s="191"/>
      <c r="O2262" s="191"/>
      <c r="P2262" s="191"/>
      <c r="Q2262" s="191"/>
      <c r="R2262" s="191"/>
      <c r="S2262" s="191"/>
      <c r="T2262" s="191"/>
      <c r="U2262" s="439"/>
      <c r="V2262" s="441"/>
      <c r="W2262" s="178"/>
      <c r="X2262" s="172"/>
      <c r="Y2262" s="172"/>
      <c r="Z2262" s="172"/>
      <c r="AA2262" s="195"/>
      <c r="AB2262" s="172"/>
    </row>
    <row r="2263" spans="1:28" ht="12.6" customHeight="1" x14ac:dyDescent="0.3">
      <c r="A2263" s="667"/>
      <c r="B2263" s="668" t="s">
        <v>8539</v>
      </c>
      <c r="C2263" s="160" t="s">
        <v>8540</v>
      </c>
      <c r="D2263" s="160"/>
      <c r="E2263" s="439"/>
      <c r="F2263" s="161">
        <v>452.04772231300001</v>
      </c>
      <c r="G2263" s="161">
        <v>-80.254999999999995</v>
      </c>
      <c r="H2263" s="654">
        <v>173.34126474000001</v>
      </c>
      <c r="I2263" s="654">
        <v>0.156741671091642</v>
      </c>
      <c r="J2263" s="191"/>
      <c r="K2263" s="191">
        <v>174429525.74767399</v>
      </c>
      <c r="L2263" s="191"/>
      <c r="M2263" s="191"/>
      <c r="N2263" s="191"/>
      <c r="O2263" s="191"/>
      <c r="P2263" s="191"/>
      <c r="Q2263" s="191"/>
      <c r="R2263" s="191"/>
      <c r="S2263" s="191"/>
      <c r="T2263" s="191"/>
      <c r="U2263" s="439"/>
      <c r="V2263" s="441"/>
      <c r="W2263" s="178"/>
      <c r="X2263" s="172"/>
      <c r="Y2263" s="172"/>
      <c r="Z2263" s="172"/>
      <c r="AA2263" s="195"/>
      <c r="AB2263" s="172"/>
    </row>
    <row r="2264" spans="1:28" ht="12.6" customHeight="1" x14ac:dyDescent="0.3">
      <c r="A2264" s="667"/>
      <c r="B2264" s="668" t="s">
        <v>8541</v>
      </c>
      <c r="C2264" s="160" t="s">
        <v>8542</v>
      </c>
      <c r="D2264" s="160"/>
      <c r="E2264" s="439"/>
      <c r="F2264" s="161">
        <v>378.01094287900003</v>
      </c>
      <c r="G2264" s="161"/>
      <c r="H2264" s="654"/>
      <c r="I2264" s="654"/>
      <c r="J2264" s="191"/>
      <c r="K2264" s="191">
        <v>645401.54394682904</v>
      </c>
      <c r="L2264" s="191"/>
      <c r="M2264" s="191"/>
      <c r="N2264" s="191"/>
      <c r="O2264" s="191"/>
      <c r="P2264" s="191"/>
      <c r="Q2264" s="191"/>
      <c r="R2264" s="191"/>
      <c r="S2264" s="191"/>
      <c r="T2264" s="191"/>
      <c r="U2264" s="439"/>
      <c r="V2264" s="441"/>
      <c r="W2264" s="178"/>
      <c r="X2264" s="172"/>
      <c r="Y2264" s="172"/>
      <c r="Z2264" s="172"/>
      <c r="AA2264" s="195"/>
      <c r="AB2264" s="172"/>
    </row>
    <row r="2265" spans="1:28" ht="12.6" customHeight="1" x14ac:dyDescent="0.3">
      <c r="A2265" s="667"/>
      <c r="B2265" s="668" t="s">
        <v>8543</v>
      </c>
      <c r="C2265" s="160" t="s">
        <v>8544</v>
      </c>
      <c r="D2265" s="160"/>
      <c r="E2265" s="439"/>
      <c r="F2265" s="161">
        <v>829.91819899999996</v>
      </c>
      <c r="G2265" s="161"/>
      <c r="H2265" s="654"/>
      <c r="I2265" s="654"/>
      <c r="J2265" s="191"/>
      <c r="K2265" s="191"/>
      <c r="L2265" s="191"/>
      <c r="M2265" s="191"/>
      <c r="N2265" s="191"/>
      <c r="O2265" s="191"/>
      <c r="P2265" s="191"/>
      <c r="Q2265" s="191"/>
      <c r="R2265" s="191"/>
      <c r="S2265" s="191"/>
      <c r="T2265" s="191"/>
      <c r="U2265" s="439"/>
      <c r="V2265" s="441"/>
      <c r="W2265" s="178"/>
      <c r="X2265" s="172"/>
      <c r="Y2265" s="172"/>
      <c r="Z2265" s="172"/>
      <c r="AA2265" s="195"/>
      <c r="AB2265" s="172"/>
    </row>
    <row r="2266" spans="1:28" ht="12.6" customHeight="1" x14ac:dyDescent="0.3">
      <c r="A2266" s="667"/>
      <c r="B2266" s="668" t="s">
        <v>8545</v>
      </c>
      <c r="C2266" s="160" t="s">
        <v>8546</v>
      </c>
      <c r="D2266" s="160"/>
      <c r="E2266" s="439"/>
      <c r="F2266" s="161">
        <v>420.00311013999999</v>
      </c>
      <c r="G2266" s="161"/>
      <c r="H2266" s="654"/>
      <c r="I2266" s="654"/>
      <c r="J2266" s="191"/>
      <c r="K2266" s="191">
        <v>4605.1099105509402</v>
      </c>
      <c r="L2266" s="191"/>
      <c r="M2266" s="191"/>
      <c r="N2266" s="191"/>
      <c r="O2266" s="191"/>
      <c r="P2266" s="191"/>
      <c r="Q2266" s="191"/>
      <c r="R2266" s="191"/>
      <c r="S2266" s="191"/>
      <c r="T2266" s="191"/>
      <c r="U2266" s="439"/>
      <c r="V2266" s="441"/>
      <c r="W2266" s="178"/>
      <c r="X2266" s="172"/>
      <c r="Y2266" s="172"/>
      <c r="Z2266" s="172"/>
      <c r="AA2266" s="195"/>
      <c r="AB2266" s="172"/>
    </row>
    <row r="2267" spans="1:28" ht="12.6" customHeight="1" x14ac:dyDescent="0.3">
      <c r="A2267" s="667"/>
      <c r="B2267" s="668" t="s">
        <v>8547</v>
      </c>
      <c r="C2267" s="160" t="s">
        <v>8548</v>
      </c>
      <c r="D2267" s="160"/>
      <c r="E2267" s="439"/>
      <c r="F2267" s="161">
        <v>425.92887899999999</v>
      </c>
      <c r="G2267" s="161">
        <v>-57.749000000000002</v>
      </c>
      <c r="H2267" s="654">
        <v>358.01489948</v>
      </c>
      <c r="I2267" s="654">
        <v>0.820986432850079</v>
      </c>
      <c r="J2267" s="191"/>
      <c r="K2267" s="191">
        <v>619783.48546806397</v>
      </c>
      <c r="L2267" s="191"/>
      <c r="M2267" s="191"/>
      <c r="N2267" s="191"/>
      <c r="O2267" s="191"/>
      <c r="P2267" s="191"/>
      <c r="Q2267" s="191"/>
      <c r="R2267" s="191"/>
      <c r="S2267" s="191"/>
      <c r="T2267" s="191"/>
      <c r="U2267" s="439"/>
      <c r="V2267" s="441"/>
      <c r="W2267" s="178"/>
      <c r="X2267" s="172"/>
      <c r="Y2267" s="172"/>
      <c r="Z2267" s="172"/>
      <c r="AA2267" s="195"/>
      <c r="AB2267" s="172"/>
    </row>
    <row r="2268" spans="1:28" ht="12.6" customHeight="1" x14ac:dyDescent="0.3">
      <c r="A2268" s="667"/>
      <c r="B2268" s="668" t="s">
        <v>8549</v>
      </c>
      <c r="C2268" s="160" t="s">
        <v>8550</v>
      </c>
      <c r="D2268" s="160"/>
      <c r="E2268" s="439">
        <v>6.23</v>
      </c>
      <c r="F2268" s="161">
        <v>473.02965924099999</v>
      </c>
      <c r="G2268" s="161"/>
      <c r="H2268" s="654"/>
      <c r="I2268" s="654"/>
      <c r="J2268" s="191"/>
      <c r="K2268" s="191">
        <v>14913.1710799999</v>
      </c>
      <c r="L2268" s="191"/>
      <c r="M2268" s="191"/>
      <c r="N2268" s="191"/>
      <c r="O2268" s="191"/>
      <c r="P2268" s="191"/>
      <c r="Q2268" s="191"/>
      <c r="R2268" s="191"/>
      <c r="S2268" s="191"/>
      <c r="T2268" s="191"/>
      <c r="U2268" s="439"/>
      <c r="V2268" s="441"/>
      <c r="W2268" s="178"/>
      <c r="X2268" s="172"/>
      <c r="Y2268" s="172"/>
      <c r="Z2268" s="172"/>
      <c r="AA2268" s="195"/>
      <c r="AB2268" s="172"/>
    </row>
    <row r="2269" spans="1:28" ht="12.6" customHeight="1" x14ac:dyDescent="0.3">
      <c r="A2269" s="667"/>
      <c r="B2269" s="668" t="s">
        <v>8551</v>
      </c>
      <c r="C2269" s="160" t="s">
        <v>8552</v>
      </c>
      <c r="D2269" s="160"/>
      <c r="E2269" s="439">
        <v>3.52</v>
      </c>
      <c r="F2269" s="161">
        <v>489.02457386100002</v>
      </c>
      <c r="G2269" s="161">
        <v>16.494</v>
      </c>
      <c r="H2269" s="654">
        <v>3.4348013503999998E-2</v>
      </c>
      <c r="I2269" s="654">
        <v>0.95792089626188104</v>
      </c>
      <c r="J2269" s="191"/>
      <c r="K2269" s="191">
        <v>4559.3192165922201</v>
      </c>
      <c r="L2269" s="191"/>
      <c r="M2269" s="191"/>
      <c r="N2269" s="191"/>
      <c r="O2269" s="191"/>
      <c r="P2269" s="191"/>
      <c r="Q2269" s="191"/>
      <c r="R2269" s="191"/>
      <c r="S2269" s="191"/>
      <c r="T2269" s="191"/>
      <c r="U2269" s="439"/>
      <c r="V2269" s="441"/>
      <c r="W2269" s="178"/>
      <c r="X2269" s="172"/>
      <c r="Y2269" s="172"/>
      <c r="Z2269" s="172"/>
      <c r="AA2269" s="195"/>
      <c r="AB2269" s="172"/>
    </row>
    <row r="2270" spans="1:28" ht="12.6" customHeight="1" x14ac:dyDescent="0.3">
      <c r="A2270" s="667"/>
      <c r="B2270" s="668" t="s">
        <v>8553</v>
      </c>
      <c r="C2270" s="160" t="s">
        <v>8554</v>
      </c>
      <c r="D2270" s="160"/>
      <c r="E2270" s="439"/>
      <c r="F2270" s="161">
        <v>825.89674209999998</v>
      </c>
      <c r="G2270" s="161"/>
      <c r="H2270" s="654"/>
      <c r="I2270" s="654"/>
      <c r="J2270" s="191"/>
      <c r="K2270" s="191">
        <v>786339333.38223505</v>
      </c>
      <c r="L2270" s="191"/>
      <c r="M2270" s="191"/>
      <c r="N2270" s="191"/>
      <c r="O2270" s="191"/>
      <c r="P2270" s="191"/>
      <c r="Q2270" s="191"/>
      <c r="R2270" s="191"/>
      <c r="S2270" s="191"/>
      <c r="T2270" s="191"/>
      <c r="U2270" s="439"/>
      <c r="V2270" s="441"/>
      <c r="W2270" s="178"/>
      <c r="X2270" s="172"/>
      <c r="Y2270" s="172"/>
      <c r="Z2270" s="172"/>
      <c r="AA2270" s="195"/>
      <c r="AB2270" s="172"/>
    </row>
    <row r="2271" spans="1:28" ht="12.6" customHeight="1" x14ac:dyDescent="0.3">
      <c r="A2271" s="667"/>
      <c r="B2271" s="668" t="s">
        <v>8555</v>
      </c>
      <c r="C2271" s="160" t="s">
        <v>8556</v>
      </c>
      <c r="D2271" s="160"/>
      <c r="E2271" s="439"/>
      <c r="F2271" s="161">
        <v>665.98978236699998</v>
      </c>
      <c r="G2271" s="161"/>
      <c r="H2271" s="654"/>
      <c r="I2271" s="654"/>
      <c r="J2271" s="191"/>
      <c r="K2271" s="191">
        <v>304831.61009707401</v>
      </c>
      <c r="L2271" s="191"/>
      <c r="M2271" s="191"/>
      <c r="N2271" s="191"/>
      <c r="O2271" s="191"/>
      <c r="P2271" s="191"/>
      <c r="Q2271" s="191"/>
      <c r="R2271" s="191"/>
      <c r="S2271" s="191"/>
      <c r="T2271" s="191"/>
      <c r="U2271" s="439"/>
      <c r="V2271" s="441"/>
      <c r="W2271" s="178"/>
      <c r="X2271" s="172"/>
      <c r="Y2271" s="172"/>
      <c r="Z2271" s="172"/>
      <c r="AA2271" s="195"/>
      <c r="AB2271" s="172"/>
    </row>
    <row r="2272" spans="1:28" ht="12.6" customHeight="1" x14ac:dyDescent="0.3">
      <c r="A2272" s="667"/>
      <c r="B2272" s="668" t="s">
        <v>8557</v>
      </c>
      <c r="C2272" s="160" t="s">
        <v>8558</v>
      </c>
      <c r="D2272" s="160"/>
      <c r="E2272" s="439">
        <v>6.97</v>
      </c>
      <c r="F2272" s="161">
        <v>595.06643867399998</v>
      </c>
      <c r="G2272" s="161">
        <v>50.744</v>
      </c>
      <c r="H2272" s="654">
        <v>9.2661989728000002E-6</v>
      </c>
      <c r="I2272" s="654"/>
      <c r="J2272" s="191"/>
      <c r="K2272" s="191">
        <v>167247.640679579</v>
      </c>
      <c r="L2272" s="191"/>
      <c r="M2272" s="191"/>
      <c r="N2272" s="191"/>
      <c r="O2272" s="191"/>
      <c r="P2272" s="191"/>
      <c r="Q2272" s="191"/>
      <c r="R2272" s="191"/>
      <c r="S2272" s="191"/>
      <c r="T2272" s="191"/>
      <c r="U2272" s="439"/>
      <c r="V2272" s="441"/>
      <c r="W2272" s="178"/>
      <c r="X2272" s="172"/>
      <c r="Y2272" s="172"/>
      <c r="Z2272" s="172"/>
      <c r="AA2272" s="195"/>
      <c r="AB2272" s="172"/>
    </row>
    <row r="2273" spans="1:28" ht="12.6" customHeight="1" x14ac:dyDescent="0.3">
      <c r="A2273" s="667"/>
      <c r="B2273" s="668" t="s">
        <v>8559</v>
      </c>
      <c r="C2273" s="160" t="s">
        <v>8560</v>
      </c>
      <c r="D2273" s="160"/>
      <c r="E2273" s="439"/>
      <c r="F2273" s="161">
        <v>501.96017899999998</v>
      </c>
      <c r="G2273" s="161"/>
      <c r="H2273" s="654"/>
      <c r="I2273" s="654"/>
      <c r="J2273" s="191"/>
      <c r="K2273" s="191">
        <v>1217615029.1446199</v>
      </c>
      <c r="L2273" s="191"/>
      <c r="M2273" s="191"/>
      <c r="N2273" s="191"/>
      <c r="O2273" s="191"/>
      <c r="P2273" s="191"/>
      <c r="Q2273" s="191"/>
      <c r="R2273" s="191"/>
      <c r="S2273" s="191"/>
      <c r="T2273" s="191"/>
      <c r="U2273" s="439"/>
      <c r="V2273" s="441"/>
      <c r="W2273" s="178"/>
      <c r="X2273" s="172"/>
      <c r="Y2273" s="172"/>
      <c r="Z2273" s="172"/>
      <c r="AA2273" s="195"/>
      <c r="AB2273" s="172"/>
    </row>
    <row r="2274" spans="1:28" ht="12.6" customHeight="1" x14ac:dyDescent="0.3">
      <c r="A2274" s="667"/>
      <c r="B2274" s="668" t="s">
        <v>8561</v>
      </c>
      <c r="C2274" s="160" t="s">
        <v>8562</v>
      </c>
      <c r="D2274" s="160"/>
      <c r="E2274" s="439"/>
      <c r="F2274" s="161">
        <v>453.96017899999998</v>
      </c>
      <c r="G2274" s="161"/>
      <c r="H2274" s="654"/>
      <c r="I2274" s="654"/>
      <c r="J2274" s="191"/>
      <c r="K2274" s="191">
        <v>7857601.5055461302</v>
      </c>
      <c r="L2274" s="191"/>
      <c r="M2274" s="191"/>
      <c r="N2274" s="191"/>
      <c r="O2274" s="191"/>
      <c r="P2274" s="191"/>
      <c r="Q2274" s="191"/>
      <c r="R2274" s="191"/>
      <c r="S2274" s="191"/>
      <c r="T2274" s="191"/>
      <c r="U2274" s="439"/>
      <c r="V2274" s="441"/>
      <c r="W2274" s="178"/>
      <c r="X2274" s="172"/>
      <c r="Y2274" s="172"/>
      <c r="Z2274" s="172"/>
      <c r="AA2274" s="195"/>
      <c r="AB2274" s="172"/>
    </row>
    <row r="2275" spans="1:28" ht="12.6" customHeight="1" x14ac:dyDescent="0.3">
      <c r="A2275" s="667"/>
      <c r="B2275" s="668" t="s">
        <v>8563</v>
      </c>
      <c r="C2275" s="160" t="s">
        <v>8564</v>
      </c>
      <c r="D2275" s="160"/>
      <c r="E2275" s="439"/>
      <c r="F2275" s="161">
        <v>522.09950909999998</v>
      </c>
      <c r="G2275" s="161"/>
      <c r="H2275" s="654"/>
      <c r="I2275" s="654"/>
      <c r="J2275" s="191"/>
      <c r="K2275" s="191">
        <v>2755560813.0288301</v>
      </c>
      <c r="L2275" s="191"/>
      <c r="M2275" s="191"/>
      <c r="N2275" s="191"/>
      <c r="O2275" s="191"/>
      <c r="P2275" s="191"/>
      <c r="Q2275" s="191"/>
      <c r="R2275" s="191"/>
      <c r="S2275" s="191"/>
      <c r="T2275" s="191"/>
      <c r="U2275" s="439"/>
      <c r="V2275" s="441"/>
      <c r="W2275" s="178"/>
      <c r="X2275" s="172"/>
      <c r="Y2275" s="172"/>
      <c r="Z2275" s="172"/>
      <c r="AA2275" s="195"/>
      <c r="AB2275" s="172"/>
    </row>
    <row r="2276" spans="1:28" ht="12.6" customHeight="1" x14ac:dyDescent="0.3">
      <c r="A2276" s="667"/>
      <c r="B2276" s="668" t="s">
        <v>8565</v>
      </c>
      <c r="C2276" s="160" t="s">
        <v>8566</v>
      </c>
      <c r="D2276" s="160"/>
      <c r="E2276" s="439"/>
      <c r="F2276" s="161">
        <v>552.06973000000005</v>
      </c>
      <c r="G2276" s="161"/>
      <c r="H2276" s="654"/>
      <c r="I2276" s="654"/>
      <c r="J2276" s="191"/>
      <c r="K2276" s="191">
        <v>469548005.35570002</v>
      </c>
      <c r="L2276" s="191"/>
      <c r="M2276" s="191"/>
      <c r="N2276" s="191"/>
      <c r="O2276" s="191"/>
      <c r="P2276" s="191"/>
      <c r="Q2276" s="191"/>
      <c r="R2276" s="191"/>
      <c r="S2276" s="191"/>
      <c r="T2276" s="191"/>
      <c r="U2276" s="439"/>
      <c r="V2276" s="441"/>
      <c r="W2276" s="178"/>
      <c r="X2276" s="172"/>
      <c r="Y2276" s="172"/>
      <c r="Z2276" s="172"/>
      <c r="AA2276" s="195"/>
      <c r="AB2276" s="172"/>
    </row>
    <row r="2277" spans="1:28" ht="12.6" customHeight="1" x14ac:dyDescent="0.3">
      <c r="A2277" s="667"/>
      <c r="B2277" s="668" t="s">
        <v>8567</v>
      </c>
      <c r="C2277" s="160" t="s">
        <v>8568</v>
      </c>
      <c r="D2277" s="160"/>
      <c r="E2277" s="439"/>
      <c r="F2277" s="161">
        <v>708.23616082900003</v>
      </c>
      <c r="G2277" s="161">
        <v>25.204000000000001</v>
      </c>
      <c r="H2277" s="654">
        <v>1.5808922794000002E-5</v>
      </c>
      <c r="I2277" s="654">
        <v>4.3368841308363798E-2</v>
      </c>
      <c r="J2277" s="191"/>
      <c r="K2277" s="191">
        <v>235244.78251203799</v>
      </c>
      <c r="L2277" s="191"/>
      <c r="M2277" s="191"/>
      <c r="N2277" s="191"/>
      <c r="O2277" s="191"/>
      <c r="P2277" s="191"/>
      <c r="Q2277" s="191"/>
      <c r="R2277" s="191"/>
      <c r="S2277" s="191"/>
      <c r="T2277" s="191"/>
      <c r="U2277" s="439"/>
      <c r="V2277" s="441"/>
      <c r="W2277" s="178"/>
      <c r="X2277" s="172"/>
      <c r="Y2277" s="172"/>
      <c r="Z2277" s="172"/>
      <c r="AA2277" s="195"/>
      <c r="AB2277" s="172"/>
    </row>
    <row r="2278" spans="1:28" ht="12.6" customHeight="1" x14ac:dyDescent="0.3">
      <c r="A2278" s="667"/>
      <c r="B2278" s="668" t="s">
        <v>8569</v>
      </c>
      <c r="C2278" s="160" t="s">
        <v>8570</v>
      </c>
      <c r="D2278" s="160"/>
      <c r="E2278" s="439"/>
      <c r="F2278" s="161">
        <v>501.94630999999998</v>
      </c>
      <c r="G2278" s="161">
        <v>-37.731999999999999</v>
      </c>
      <c r="H2278" s="654">
        <v>40.822663112000001</v>
      </c>
      <c r="I2278" s="654">
        <v>0.26586238839352999</v>
      </c>
      <c r="J2278" s="191"/>
      <c r="K2278" s="191">
        <v>12598823.7367584</v>
      </c>
      <c r="L2278" s="191"/>
      <c r="M2278" s="191"/>
      <c r="N2278" s="191"/>
      <c r="O2278" s="191"/>
      <c r="P2278" s="191"/>
      <c r="Q2278" s="191"/>
      <c r="R2278" s="191"/>
      <c r="S2278" s="191"/>
      <c r="T2278" s="191"/>
      <c r="U2278" s="439"/>
      <c r="V2278" s="441"/>
      <c r="W2278" s="178"/>
      <c r="X2278" s="172"/>
      <c r="Y2278" s="172"/>
      <c r="Z2278" s="172"/>
      <c r="AA2278" s="195"/>
      <c r="AB2278" s="172"/>
    </row>
    <row r="2279" spans="1:28" ht="12.6" customHeight="1" x14ac:dyDescent="0.3">
      <c r="A2279" s="667"/>
      <c r="B2279" s="668" t="s">
        <v>8571</v>
      </c>
      <c r="C2279" s="160" t="s">
        <v>8572</v>
      </c>
      <c r="D2279" s="160"/>
      <c r="E2279" s="439"/>
      <c r="F2279" s="161">
        <v>446.055145713</v>
      </c>
      <c r="G2279" s="161"/>
      <c r="H2279" s="654"/>
      <c r="I2279" s="654"/>
      <c r="J2279" s="191"/>
      <c r="K2279" s="177">
        <v>18753.831084277001</v>
      </c>
      <c r="L2279" s="191"/>
      <c r="M2279" s="191"/>
      <c r="N2279" s="191"/>
      <c r="O2279" s="191"/>
      <c r="P2279" s="191"/>
      <c r="Q2279" s="191"/>
      <c r="R2279" s="191"/>
      <c r="S2279" s="191"/>
      <c r="T2279" s="191"/>
      <c r="U2279" s="439"/>
      <c r="V2279" s="441"/>
      <c r="W2279" s="178"/>
      <c r="X2279" s="172"/>
      <c r="Y2279" s="172"/>
      <c r="Z2279" s="172"/>
      <c r="AA2279" s="195"/>
      <c r="AB2279" s="172"/>
    </row>
    <row r="2280" spans="1:28" ht="12.6" customHeight="1" x14ac:dyDescent="0.3">
      <c r="A2280" s="667"/>
      <c r="B2280" s="668" t="s">
        <v>8573</v>
      </c>
      <c r="C2280" s="160" t="s">
        <v>8574</v>
      </c>
      <c r="D2280" s="160"/>
      <c r="E2280" s="439"/>
      <c r="F2280" s="161">
        <v>487.93065999999999</v>
      </c>
      <c r="G2280" s="161">
        <v>-40.003999999999998</v>
      </c>
      <c r="H2280" s="654">
        <v>68.691360738</v>
      </c>
      <c r="I2280" s="654">
        <v>0.36758549029496002</v>
      </c>
      <c r="J2280" s="191"/>
      <c r="K2280" s="191">
        <v>1606830.2532774799</v>
      </c>
      <c r="L2280" s="191"/>
      <c r="M2280" s="191"/>
      <c r="N2280" s="191"/>
      <c r="O2280" s="191"/>
      <c r="P2280" s="191"/>
      <c r="Q2280" s="191"/>
      <c r="R2280" s="191"/>
      <c r="S2280" s="191"/>
      <c r="T2280" s="191"/>
      <c r="U2280" s="439"/>
      <c r="V2280" s="441"/>
      <c r="W2280" s="178"/>
      <c r="X2280" s="172"/>
      <c r="Y2280" s="172"/>
      <c r="Z2280" s="172"/>
      <c r="AA2280" s="195"/>
      <c r="AB2280" s="172"/>
    </row>
    <row r="2281" spans="1:28" ht="12.6" customHeight="1" x14ac:dyDescent="0.3">
      <c r="A2281" s="667"/>
      <c r="B2281" s="668" t="s">
        <v>8575</v>
      </c>
      <c r="C2281" s="160" t="s">
        <v>8576</v>
      </c>
      <c r="D2281" s="160"/>
      <c r="E2281" s="439"/>
      <c r="F2281" s="161">
        <v>381.97939389999999</v>
      </c>
      <c r="G2281" s="161"/>
      <c r="H2281" s="654"/>
      <c r="I2281" s="654"/>
      <c r="J2281" s="191"/>
      <c r="K2281" s="191">
        <v>19259.277907868898</v>
      </c>
      <c r="L2281" s="191"/>
      <c r="M2281" s="191"/>
      <c r="N2281" s="191"/>
      <c r="O2281" s="191"/>
      <c r="P2281" s="191"/>
      <c r="Q2281" s="191"/>
      <c r="R2281" s="191"/>
      <c r="S2281" s="191"/>
      <c r="T2281" s="191"/>
      <c r="U2281" s="439"/>
      <c r="V2281" s="441"/>
      <c r="W2281" s="178"/>
      <c r="X2281" s="172"/>
      <c r="Y2281" s="172"/>
      <c r="Z2281" s="172"/>
      <c r="AA2281" s="195"/>
      <c r="AB2281" s="172"/>
    </row>
    <row r="2282" spans="1:28" ht="12.6" customHeight="1" x14ac:dyDescent="0.3">
      <c r="A2282" s="667"/>
      <c r="B2282" s="668" t="s">
        <v>8577</v>
      </c>
      <c r="C2282" s="160" t="s">
        <v>8578</v>
      </c>
      <c r="D2282" s="160"/>
      <c r="E2282" s="439">
        <v>5.88</v>
      </c>
      <c r="F2282" s="161">
        <v>403.03541332399999</v>
      </c>
      <c r="G2282" s="161"/>
      <c r="H2282" s="654"/>
      <c r="I2282" s="654"/>
      <c r="J2282" s="191"/>
      <c r="K2282" s="191">
        <v>42899.279677473802</v>
      </c>
      <c r="L2282" s="191"/>
      <c r="M2282" s="191"/>
      <c r="N2282" s="191"/>
      <c r="O2282" s="191"/>
      <c r="P2282" s="191"/>
      <c r="Q2282" s="191"/>
      <c r="R2282" s="191"/>
      <c r="S2282" s="191"/>
      <c r="T2282" s="191"/>
      <c r="U2282" s="439"/>
      <c r="V2282" s="441"/>
      <c r="W2282" s="178"/>
      <c r="X2282" s="172"/>
      <c r="Y2282" s="172"/>
      <c r="Z2282" s="172"/>
      <c r="AA2282" s="195"/>
      <c r="AB2282" s="172"/>
    </row>
    <row r="2283" spans="1:28" ht="12.6" customHeight="1" x14ac:dyDescent="0.3">
      <c r="A2283" s="667"/>
      <c r="B2283" s="668" t="s">
        <v>8579</v>
      </c>
      <c r="C2283" s="160" t="s">
        <v>8580</v>
      </c>
      <c r="D2283" s="160"/>
      <c r="E2283" s="439">
        <v>4.96</v>
      </c>
      <c r="F2283" s="161">
        <v>457.03474462100002</v>
      </c>
      <c r="G2283" s="161">
        <v>-13.404</v>
      </c>
      <c r="H2283" s="654">
        <v>0.101135136116</v>
      </c>
      <c r="I2283" s="654">
        <v>0.92459042906317501</v>
      </c>
      <c r="J2283" s="191"/>
      <c r="K2283" s="191">
        <v>36584.742279397098</v>
      </c>
      <c r="L2283" s="191"/>
      <c r="M2283" s="191"/>
      <c r="N2283" s="191"/>
      <c r="O2283" s="191"/>
      <c r="P2283" s="191"/>
      <c r="Q2283" s="191"/>
      <c r="R2283" s="191"/>
      <c r="S2283" s="191"/>
      <c r="T2283" s="191"/>
      <c r="U2283" s="439"/>
      <c r="V2283" s="441"/>
      <c r="W2283" s="178"/>
      <c r="X2283" s="172"/>
      <c r="Y2283" s="172"/>
      <c r="Z2283" s="172"/>
      <c r="AA2283" s="195"/>
      <c r="AB2283" s="172"/>
    </row>
    <row r="2284" spans="1:28" ht="12.6" customHeight="1" x14ac:dyDescent="0.3">
      <c r="A2284" s="667"/>
      <c r="B2284" s="668" t="s">
        <v>8581</v>
      </c>
      <c r="C2284" s="160" t="s">
        <v>8582</v>
      </c>
      <c r="D2284" s="160"/>
      <c r="E2284" s="439">
        <v>7.79</v>
      </c>
      <c r="F2284" s="161">
        <v>544.95213000000001</v>
      </c>
      <c r="G2284" s="161">
        <v>-0.96299999999999997</v>
      </c>
      <c r="H2284" s="654">
        <v>0.34986625884</v>
      </c>
      <c r="I2284" s="654">
        <v>0.15500945356998</v>
      </c>
      <c r="J2284" s="191"/>
      <c r="K2284" s="191">
        <v>9680.3263768022807</v>
      </c>
      <c r="L2284" s="191"/>
      <c r="M2284" s="191"/>
      <c r="N2284" s="191"/>
      <c r="O2284" s="191"/>
      <c r="P2284" s="191"/>
      <c r="Q2284" s="191"/>
      <c r="R2284" s="191"/>
      <c r="S2284" s="191"/>
      <c r="T2284" s="191"/>
      <c r="U2284" s="439"/>
      <c r="V2284" s="441"/>
      <c r="W2284" s="178"/>
      <c r="X2284" s="172"/>
      <c r="Y2284" s="172"/>
      <c r="Z2284" s="172"/>
      <c r="AA2284" s="195"/>
      <c r="AB2284" s="172"/>
    </row>
    <row r="2285" spans="1:28" ht="12.6" customHeight="1" x14ac:dyDescent="0.3">
      <c r="A2285" s="667"/>
      <c r="B2285" s="668" t="s">
        <v>8583</v>
      </c>
      <c r="C2285" s="160" t="s">
        <v>8584</v>
      </c>
      <c r="D2285" s="160"/>
      <c r="E2285" s="439"/>
      <c r="F2285" s="161">
        <v>432.039495649</v>
      </c>
      <c r="G2285" s="161"/>
      <c r="H2285" s="654"/>
      <c r="I2285" s="654"/>
      <c r="J2285" s="191"/>
      <c r="K2285" s="191">
        <v>30816.264991989799</v>
      </c>
      <c r="L2285" s="191"/>
      <c r="M2285" s="191"/>
      <c r="N2285" s="191"/>
      <c r="O2285" s="191"/>
      <c r="P2285" s="191"/>
      <c r="Q2285" s="191"/>
      <c r="R2285" s="191"/>
      <c r="S2285" s="191"/>
      <c r="T2285" s="191"/>
      <c r="U2285" s="439"/>
      <c r="V2285" s="441"/>
      <c r="W2285" s="178"/>
      <c r="X2285" s="172"/>
      <c r="Y2285" s="172"/>
      <c r="Z2285" s="172"/>
      <c r="AA2285" s="195"/>
      <c r="AB2285" s="172"/>
    </row>
    <row r="2286" spans="1:28" ht="12.6" customHeight="1" x14ac:dyDescent="0.3">
      <c r="A2286" s="667"/>
      <c r="B2286" s="668" t="s">
        <v>8585</v>
      </c>
      <c r="C2286" s="160" t="s">
        <v>8586</v>
      </c>
      <c r="D2286" s="160"/>
      <c r="E2286" s="439">
        <v>6.01</v>
      </c>
      <c r="F2286" s="161">
        <v>389.01976325999999</v>
      </c>
      <c r="G2286" s="161"/>
      <c r="H2286" s="654"/>
      <c r="I2286" s="654"/>
      <c r="J2286" s="191"/>
      <c r="K2286" s="191">
        <v>12140.5957923609</v>
      </c>
      <c r="L2286" s="191"/>
      <c r="M2286" s="191"/>
      <c r="N2286" s="191"/>
      <c r="O2286" s="191"/>
      <c r="P2286" s="191"/>
      <c r="Q2286" s="191"/>
      <c r="R2286" s="191"/>
      <c r="S2286" s="191"/>
      <c r="T2286" s="191"/>
      <c r="U2286" s="439"/>
      <c r="V2286" s="441"/>
      <c r="W2286" s="178"/>
      <c r="X2286" s="172"/>
      <c r="Y2286" s="172"/>
      <c r="Z2286" s="172"/>
      <c r="AA2286" s="195"/>
      <c r="AB2286" s="172"/>
    </row>
    <row r="2287" spans="1:28" ht="12.6" customHeight="1" x14ac:dyDescent="0.3">
      <c r="A2287" s="667"/>
      <c r="B2287" s="668" t="s">
        <v>8587</v>
      </c>
      <c r="C2287" s="160" t="s">
        <v>8588</v>
      </c>
      <c r="D2287" s="160"/>
      <c r="E2287" s="439">
        <v>7.47</v>
      </c>
      <c r="F2287" s="161">
        <v>389.008529872</v>
      </c>
      <c r="G2287" s="161"/>
      <c r="H2287" s="654"/>
      <c r="I2287" s="654"/>
      <c r="J2287" s="191"/>
      <c r="K2287" s="191">
        <v>3701.3486878200201</v>
      </c>
      <c r="L2287" s="191"/>
      <c r="M2287" s="191"/>
      <c r="N2287" s="191"/>
      <c r="O2287" s="191"/>
      <c r="P2287" s="191"/>
      <c r="Q2287" s="191"/>
      <c r="R2287" s="191"/>
      <c r="S2287" s="191"/>
      <c r="T2287" s="191"/>
      <c r="U2287" s="439"/>
      <c r="V2287" s="441"/>
      <c r="W2287" s="178"/>
      <c r="X2287" s="172"/>
      <c r="Y2287" s="172"/>
      <c r="Z2287" s="172"/>
      <c r="AA2287" s="195"/>
      <c r="AB2287" s="172"/>
    </row>
    <row r="2288" spans="1:28" ht="12.6" customHeight="1" x14ac:dyDescent="0.3">
      <c r="A2288" s="667"/>
      <c r="B2288" s="668" t="s">
        <v>8589</v>
      </c>
      <c r="C2288" s="160" t="s">
        <v>8590</v>
      </c>
      <c r="D2288" s="160"/>
      <c r="E2288" s="439"/>
      <c r="F2288" s="161">
        <v>418.02384558400001</v>
      </c>
      <c r="G2288" s="161">
        <v>-77.585999999999999</v>
      </c>
      <c r="H2288" s="654">
        <v>69.486759789999994</v>
      </c>
      <c r="I2288" s="654">
        <v>2.49574866648243</v>
      </c>
      <c r="J2288" s="191"/>
      <c r="K2288" s="191">
        <v>157343.93239156899</v>
      </c>
      <c r="L2288" s="191"/>
      <c r="M2288" s="191"/>
      <c r="N2288" s="191"/>
      <c r="O2288" s="191"/>
      <c r="P2288" s="191"/>
      <c r="Q2288" s="191"/>
      <c r="R2288" s="191"/>
      <c r="S2288" s="191"/>
      <c r="T2288" s="191"/>
      <c r="U2288" s="439"/>
      <c r="V2288" s="441"/>
      <c r="W2288" s="178"/>
      <c r="X2288" s="172"/>
      <c r="Y2288" s="172"/>
      <c r="Z2288" s="172"/>
      <c r="AA2288" s="195"/>
      <c r="AB2288" s="172"/>
    </row>
    <row r="2289" spans="1:28" ht="12.6" customHeight="1" x14ac:dyDescent="0.3">
      <c r="A2289" s="667"/>
      <c r="B2289" s="668" t="s">
        <v>8591</v>
      </c>
      <c r="C2289" s="160" t="s">
        <v>8592</v>
      </c>
      <c r="D2289" s="160"/>
      <c r="E2289" s="439">
        <v>46.793999999999997</v>
      </c>
      <c r="F2289" s="161">
        <v>434.01876020399999</v>
      </c>
      <c r="G2289" s="161">
        <v>-70.686000000000007</v>
      </c>
      <c r="H2289" s="654">
        <v>11.882336582200001</v>
      </c>
      <c r="I2289" s="654"/>
      <c r="J2289" s="191"/>
      <c r="K2289" s="191">
        <v>8565.8408280572494</v>
      </c>
      <c r="L2289" s="191"/>
      <c r="M2289" s="191"/>
      <c r="N2289" s="191"/>
      <c r="O2289" s="191"/>
      <c r="P2289" s="191"/>
      <c r="Q2289" s="191"/>
      <c r="R2289" s="191"/>
      <c r="S2289" s="191"/>
      <c r="T2289" s="191"/>
      <c r="U2289" s="439"/>
      <c r="V2289" s="441"/>
      <c r="W2289" s="178"/>
      <c r="X2289" s="172"/>
      <c r="Y2289" s="172"/>
      <c r="Z2289" s="172"/>
      <c r="AA2289" s="195"/>
      <c r="AB2289" s="172"/>
    </row>
    <row r="2290" spans="1:28" ht="12.6" customHeight="1" x14ac:dyDescent="0.3">
      <c r="A2290" s="667"/>
      <c r="B2290" s="668" t="s">
        <v>8593</v>
      </c>
      <c r="C2290" s="160" t="s">
        <v>8594</v>
      </c>
      <c r="D2290" s="160"/>
      <c r="E2290" s="439"/>
      <c r="F2290" s="161">
        <v>402.02893096399998</v>
      </c>
      <c r="G2290" s="161"/>
      <c r="H2290" s="654"/>
      <c r="I2290" s="654"/>
      <c r="J2290" s="191"/>
      <c r="K2290" s="191">
        <v>18144.290894378599</v>
      </c>
      <c r="L2290" s="191"/>
      <c r="M2290" s="191"/>
      <c r="N2290" s="191"/>
      <c r="O2290" s="191"/>
      <c r="P2290" s="191"/>
      <c r="Q2290" s="191"/>
      <c r="R2290" s="191"/>
      <c r="S2290" s="191"/>
      <c r="T2290" s="191"/>
      <c r="U2290" s="439"/>
      <c r="V2290" s="441"/>
      <c r="W2290" s="178"/>
      <c r="X2290" s="172"/>
      <c r="Y2290" s="172"/>
      <c r="Z2290" s="172"/>
      <c r="AA2290" s="195"/>
      <c r="AB2290" s="172"/>
    </row>
    <row r="2291" spans="1:28" ht="12.6" customHeight="1" x14ac:dyDescent="0.3">
      <c r="A2291" s="667"/>
      <c r="B2291" s="668" t="s">
        <v>8595</v>
      </c>
      <c r="C2291" s="160" t="s">
        <v>8596</v>
      </c>
      <c r="D2291" s="160"/>
      <c r="E2291" s="439">
        <v>40.564</v>
      </c>
      <c r="F2291" s="161">
        <v>404.04458102900003</v>
      </c>
      <c r="G2291" s="161">
        <v>-91.325000000000003</v>
      </c>
      <c r="H2291" s="654">
        <v>112.43510886999999</v>
      </c>
      <c r="I2291" s="654">
        <v>1.79237812545693</v>
      </c>
      <c r="J2291" s="191"/>
      <c r="K2291" s="191">
        <v>19808.883599086599</v>
      </c>
      <c r="L2291" s="191"/>
      <c r="M2291" s="191"/>
      <c r="N2291" s="191"/>
      <c r="O2291" s="191"/>
      <c r="P2291" s="191"/>
      <c r="Q2291" s="191"/>
      <c r="R2291" s="191"/>
      <c r="S2291" s="191"/>
      <c r="T2291" s="191"/>
      <c r="U2291" s="439"/>
      <c r="V2291" s="441"/>
      <c r="W2291" s="178"/>
      <c r="X2291" s="172"/>
      <c r="Y2291" s="172"/>
      <c r="Z2291" s="172"/>
      <c r="AA2291" s="195"/>
      <c r="AB2291" s="172"/>
    </row>
    <row r="2292" spans="1:28" ht="12.6" customHeight="1" x14ac:dyDescent="0.3">
      <c r="A2292" s="667"/>
      <c r="B2292" s="668" t="s">
        <v>8597</v>
      </c>
      <c r="C2292" s="160" t="s">
        <v>8598</v>
      </c>
      <c r="D2292" s="160"/>
      <c r="E2292" s="439"/>
      <c r="F2292" s="161">
        <v>420.039495649</v>
      </c>
      <c r="G2292" s="161"/>
      <c r="H2292" s="654"/>
      <c r="I2292" s="654"/>
      <c r="J2292" s="191"/>
      <c r="K2292" s="191"/>
      <c r="L2292" s="191"/>
      <c r="M2292" s="191"/>
      <c r="N2292" s="191"/>
      <c r="O2292" s="191"/>
      <c r="P2292" s="191"/>
      <c r="Q2292" s="191"/>
      <c r="R2292" s="191"/>
      <c r="S2292" s="191"/>
      <c r="T2292" s="191"/>
      <c r="U2292" s="439"/>
      <c r="V2292" s="441"/>
      <c r="W2292" s="178"/>
      <c r="X2292" s="172"/>
      <c r="Y2292" s="172"/>
      <c r="Z2292" s="172"/>
      <c r="AA2292" s="195"/>
      <c r="AB2292" s="172"/>
    </row>
    <row r="2293" spans="1:28" ht="12.6" customHeight="1" x14ac:dyDescent="0.3">
      <c r="A2293" s="667"/>
      <c r="B2293" s="668" t="s">
        <v>8599</v>
      </c>
      <c r="C2293" s="160" t="s">
        <v>8600</v>
      </c>
      <c r="D2293" s="160"/>
      <c r="E2293" s="439">
        <v>8.3699999999999992</v>
      </c>
      <c r="F2293" s="161">
        <v>445.04597800900001</v>
      </c>
      <c r="G2293" s="161"/>
      <c r="H2293" s="654"/>
      <c r="I2293" s="654"/>
      <c r="J2293" s="191"/>
      <c r="K2293" s="191">
        <v>49130.366061866</v>
      </c>
      <c r="L2293" s="191"/>
      <c r="M2293" s="191"/>
      <c r="N2293" s="191"/>
      <c r="O2293" s="191"/>
      <c r="P2293" s="191"/>
      <c r="Q2293" s="191"/>
      <c r="R2293" s="191"/>
      <c r="S2293" s="191"/>
      <c r="T2293" s="191"/>
      <c r="U2293" s="439"/>
      <c r="V2293" s="441"/>
      <c r="W2293" s="178"/>
      <c r="X2293" s="172"/>
      <c r="Y2293" s="172"/>
      <c r="Z2293" s="172"/>
      <c r="AA2293" s="195"/>
      <c r="AB2293" s="172"/>
    </row>
    <row r="2294" spans="1:28" ht="12.6" customHeight="1" x14ac:dyDescent="0.3">
      <c r="A2294" s="667"/>
      <c r="B2294" s="668" t="s">
        <v>8601</v>
      </c>
      <c r="C2294" s="160" t="s">
        <v>8602</v>
      </c>
      <c r="D2294" s="160"/>
      <c r="E2294" s="439">
        <v>7.94</v>
      </c>
      <c r="F2294" s="161">
        <v>379.99043745400002</v>
      </c>
      <c r="G2294" s="161">
        <v>-66.137</v>
      </c>
      <c r="H2294" s="654">
        <v>512.74574624000002</v>
      </c>
      <c r="I2294" s="654">
        <v>0.85265294279428105</v>
      </c>
      <c r="J2294" s="191"/>
      <c r="K2294" s="191">
        <v>514019.97954251303</v>
      </c>
      <c r="L2294" s="191"/>
      <c r="M2294" s="191"/>
      <c r="N2294" s="191"/>
      <c r="O2294" s="191"/>
      <c r="P2294" s="191"/>
      <c r="Q2294" s="191"/>
      <c r="R2294" s="191"/>
      <c r="S2294" s="191"/>
      <c r="T2294" s="191"/>
      <c r="U2294" s="439"/>
      <c r="V2294" s="441"/>
      <c r="W2294" s="178"/>
      <c r="X2294" s="172"/>
      <c r="Y2294" s="172"/>
      <c r="Z2294" s="172"/>
      <c r="AA2294" s="195"/>
      <c r="AB2294" s="172"/>
    </row>
    <row r="2295" spans="1:28" ht="12.6" customHeight="1" x14ac:dyDescent="0.3">
      <c r="A2295" s="667"/>
      <c r="B2295" s="668" t="s">
        <v>8603</v>
      </c>
      <c r="C2295" s="160" t="s">
        <v>8604</v>
      </c>
      <c r="D2295" s="160"/>
      <c r="E2295" s="439"/>
      <c r="F2295" s="161">
        <v>473.97259450000001</v>
      </c>
      <c r="G2295" s="161"/>
      <c r="H2295" s="654"/>
      <c r="I2295" s="654"/>
      <c r="J2295" s="191"/>
      <c r="K2295" s="191">
        <v>1405788.54445802</v>
      </c>
      <c r="L2295" s="191"/>
      <c r="M2295" s="191"/>
      <c r="N2295" s="191"/>
      <c r="O2295" s="191"/>
      <c r="P2295" s="191"/>
      <c r="Q2295" s="191"/>
      <c r="R2295" s="191"/>
      <c r="S2295" s="191"/>
      <c r="T2295" s="191"/>
      <c r="U2295" s="439"/>
      <c r="V2295" s="441"/>
      <c r="W2295" s="178"/>
      <c r="X2295" s="172"/>
      <c r="Y2295" s="172"/>
      <c r="Z2295" s="172"/>
      <c r="AA2295" s="195"/>
      <c r="AB2295" s="172"/>
    </row>
    <row r="2296" spans="1:28" ht="12.6" customHeight="1" x14ac:dyDescent="0.3">
      <c r="A2296" s="667"/>
      <c r="B2296" s="668" t="s">
        <v>8605</v>
      </c>
      <c r="C2296" s="160" t="s">
        <v>8606</v>
      </c>
      <c r="D2296" s="160"/>
      <c r="E2296" s="439"/>
      <c r="F2296" s="161">
        <v>445.9412944</v>
      </c>
      <c r="G2296" s="161">
        <v>-19.364000000000001</v>
      </c>
      <c r="H2296" s="654">
        <v>4.9306208615999996</v>
      </c>
      <c r="I2296" s="654">
        <v>1.03819146807969</v>
      </c>
      <c r="J2296" s="191"/>
      <c r="K2296" s="191">
        <v>948069.11738226202</v>
      </c>
      <c r="L2296" s="191"/>
      <c r="M2296" s="191"/>
      <c r="N2296" s="191"/>
      <c r="O2296" s="191"/>
      <c r="P2296" s="191"/>
      <c r="Q2296" s="191"/>
      <c r="R2296" s="191"/>
      <c r="S2296" s="191"/>
      <c r="T2296" s="191"/>
      <c r="U2296" s="439"/>
      <c r="V2296" s="441"/>
      <c r="W2296" s="178"/>
      <c r="X2296" s="172"/>
      <c r="Y2296" s="172"/>
      <c r="Z2296" s="172"/>
      <c r="AA2296" s="195"/>
      <c r="AB2296" s="172"/>
    </row>
    <row r="2297" spans="1:28" ht="12.6" customHeight="1" x14ac:dyDescent="0.3">
      <c r="A2297" s="667"/>
      <c r="B2297" s="668" t="s">
        <v>8607</v>
      </c>
      <c r="C2297" s="160" t="s">
        <v>8608</v>
      </c>
      <c r="D2297" s="160"/>
      <c r="E2297" s="439">
        <v>8.16</v>
      </c>
      <c r="F2297" s="161">
        <v>468.025108886</v>
      </c>
      <c r="G2297" s="161"/>
      <c r="H2297" s="654"/>
      <c r="I2297" s="654"/>
      <c r="J2297" s="191"/>
      <c r="K2297" s="191">
        <v>225470641.25448799</v>
      </c>
      <c r="L2297" s="191"/>
      <c r="M2297" s="191"/>
      <c r="N2297" s="191"/>
      <c r="O2297" s="191"/>
      <c r="P2297" s="191"/>
      <c r="Q2297" s="191"/>
      <c r="R2297" s="191"/>
      <c r="S2297" s="191"/>
      <c r="T2297" s="191"/>
      <c r="U2297" s="439"/>
      <c r="V2297" s="441"/>
      <c r="W2297" s="178"/>
      <c r="X2297" s="172"/>
      <c r="Y2297" s="172"/>
      <c r="Z2297" s="172"/>
      <c r="AA2297" s="195"/>
      <c r="AB2297" s="172"/>
    </row>
    <row r="2298" spans="1:28" ht="12.6" customHeight="1" x14ac:dyDescent="0.3">
      <c r="A2298" s="667"/>
      <c r="B2298" s="668" t="s">
        <v>8609</v>
      </c>
      <c r="C2298" s="160" t="s">
        <v>8610</v>
      </c>
      <c r="D2298" s="160"/>
      <c r="E2298" s="439"/>
      <c r="F2298" s="161">
        <v>459.89936</v>
      </c>
      <c r="G2298" s="161">
        <v>-28.58</v>
      </c>
      <c r="H2298" s="654">
        <v>525.89796153999998</v>
      </c>
      <c r="I2298" s="654">
        <v>0.69929997184799997</v>
      </c>
      <c r="J2298" s="191"/>
      <c r="K2298" s="191">
        <v>517094.597053896</v>
      </c>
      <c r="L2298" s="191"/>
      <c r="M2298" s="191"/>
      <c r="N2298" s="191"/>
      <c r="O2298" s="191"/>
      <c r="P2298" s="191"/>
      <c r="Q2298" s="191"/>
      <c r="R2298" s="191"/>
      <c r="S2298" s="191"/>
      <c r="T2298" s="191"/>
      <c r="U2298" s="439"/>
      <c r="V2298" s="441"/>
      <c r="W2298" s="178"/>
      <c r="X2298" s="172"/>
      <c r="Y2298" s="172"/>
      <c r="Z2298" s="172"/>
      <c r="AA2298" s="195"/>
      <c r="AB2298" s="172"/>
    </row>
    <row r="2299" spans="1:28" ht="12.6" customHeight="1" x14ac:dyDescent="0.3">
      <c r="A2299" s="667"/>
      <c r="B2299" s="668" t="s">
        <v>8611</v>
      </c>
      <c r="C2299" s="160" t="s">
        <v>8612</v>
      </c>
      <c r="D2299" s="160"/>
      <c r="E2299" s="439">
        <v>5.3319999999999999</v>
      </c>
      <c r="F2299" s="161">
        <v>404.00819552000002</v>
      </c>
      <c r="G2299" s="161">
        <v>-54.222999999999999</v>
      </c>
      <c r="H2299" s="654">
        <v>116.923527322</v>
      </c>
      <c r="I2299" s="654">
        <v>3.4228665146582302</v>
      </c>
      <c r="J2299" s="191"/>
      <c r="K2299" s="191">
        <v>12556.2513272751</v>
      </c>
      <c r="L2299" s="191"/>
      <c r="M2299" s="191"/>
      <c r="N2299" s="191"/>
      <c r="O2299" s="191"/>
      <c r="P2299" s="191"/>
      <c r="Q2299" s="191"/>
      <c r="R2299" s="191"/>
      <c r="S2299" s="191"/>
      <c r="T2299" s="191"/>
      <c r="U2299" s="439"/>
      <c r="V2299" s="441"/>
      <c r="W2299" s="178"/>
      <c r="X2299" s="172"/>
      <c r="Y2299" s="172"/>
      <c r="Z2299" s="172"/>
      <c r="AA2299" s="195"/>
      <c r="AB2299" s="172"/>
    </row>
    <row r="2300" spans="1:28" ht="12.6" customHeight="1" x14ac:dyDescent="0.3">
      <c r="A2300" s="667"/>
      <c r="B2300" s="668" t="s">
        <v>8613</v>
      </c>
      <c r="C2300" s="160" t="s">
        <v>8614</v>
      </c>
      <c r="D2300" s="160"/>
      <c r="E2300" s="439"/>
      <c r="F2300" s="161">
        <v>495.88051999999999</v>
      </c>
      <c r="G2300" s="161"/>
      <c r="H2300" s="654"/>
      <c r="I2300" s="654"/>
      <c r="J2300" s="191"/>
      <c r="K2300" s="191">
        <v>76927.213239944394</v>
      </c>
      <c r="L2300" s="191"/>
      <c r="M2300" s="191"/>
      <c r="N2300" s="191"/>
      <c r="O2300" s="191"/>
      <c r="P2300" s="191"/>
      <c r="Q2300" s="191"/>
      <c r="R2300" s="191"/>
      <c r="S2300" s="191"/>
      <c r="T2300" s="191"/>
      <c r="U2300" s="439"/>
      <c r="V2300" s="441"/>
      <c r="W2300" s="178"/>
      <c r="X2300" s="172"/>
      <c r="Y2300" s="172"/>
      <c r="Z2300" s="172"/>
      <c r="AA2300" s="195"/>
      <c r="AB2300" s="172"/>
    </row>
    <row r="2301" spans="1:28" ht="12.6" customHeight="1" x14ac:dyDescent="0.3">
      <c r="A2301" s="667"/>
      <c r="B2301" s="668" t="s">
        <v>8615</v>
      </c>
      <c r="C2301" s="160" t="s">
        <v>8616</v>
      </c>
      <c r="D2301" s="160"/>
      <c r="E2301" s="439"/>
      <c r="F2301" s="161">
        <v>296.00590989</v>
      </c>
      <c r="G2301" s="161">
        <v>-85.995999999999995</v>
      </c>
      <c r="H2301" s="654">
        <v>3688.9397468000002</v>
      </c>
      <c r="I2301" s="654">
        <v>8.6556568140484291</v>
      </c>
      <c r="J2301" s="191"/>
      <c r="K2301" s="191">
        <v>3038.9951011552698</v>
      </c>
      <c r="L2301" s="191"/>
      <c r="M2301" s="191"/>
      <c r="N2301" s="191"/>
      <c r="O2301" s="191"/>
      <c r="P2301" s="191"/>
      <c r="Q2301" s="191"/>
      <c r="R2301" s="191"/>
      <c r="S2301" s="191"/>
      <c r="T2301" s="191"/>
      <c r="U2301" s="439"/>
      <c r="V2301" s="441"/>
      <c r="W2301" s="178"/>
      <c r="X2301" s="172"/>
      <c r="Y2301" s="172"/>
      <c r="Z2301" s="172"/>
      <c r="AA2301" s="195"/>
      <c r="AB2301" s="172"/>
    </row>
    <row r="2302" spans="1:28" ht="12.6" customHeight="1" x14ac:dyDescent="0.3">
      <c r="A2302" s="667"/>
      <c r="B2302" s="668" t="s">
        <v>8617</v>
      </c>
      <c r="C2302" s="160" t="s">
        <v>8618</v>
      </c>
      <c r="D2302" s="160"/>
      <c r="E2302" s="439"/>
      <c r="F2302" s="161">
        <v>297.98517444499998</v>
      </c>
      <c r="G2302" s="161"/>
      <c r="H2302" s="654"/>
      <c r="I2302" s="654"/>
      <c r="J2302" s="191"/>
      <c r="K2302" s="191">
        <v>987.39289992338695</v>
      </c>
      <c r="L2302" s="191"/>
      <c r="M2302" s="191"/>
      <c r="N2302" s="191"/>
      <c r="O2302" s="191"/>
      <c r="P2302" s="191"/>
      <c r="Q2302" s="191"/>
      <c r="R2302" s="191"/>
      <c r="S2302" s="191"/>
      <c r="T2302" s="191"/>
      <c r="U2302" s="439"/>
      <c r="V2302" s="441"/>
      <c r="W2302" s="178"/>
      <c r="X2302" s="172"/>
      <c r="Y2302" s="172"/>
      <c r="Z2302" s="172"/>
      <c r="AA2302" s="195"/>
      <c r="AB2302" s="172"/>
    </row>
    <row r="2303" spans="1:28" ht="12.6" customHeight="1" x14ac:dyDescent="0.3">
      <c r="A2303" s="667"/>
      <c r="B2303" s="668" t="s">
        <v>8619</v>
      </c>
      <c r="C2303" s="160" t="s">
        <v>8620</v>
      </c>
      <c r="D2303" s="160"/>
      <c r="E2303" s="439"/>
      <c r="F2303" s="161">
        <v>326.01647457399997</v>
      </c>
      <c r="G2303" s="161">
        <v>-56.555</v>
      </c>
      <c r="H2303" s="654">
        <v>722.60657321999997</v>
      </c>
      <c r="I2303" s="654">
        <v>4.0479835565480702</v>
      </c>
      <c r="J2303" s="191"/>
      <c r="K2303" s="191">
        <v>3265.80312296172</v>
      </c>
      <c r="L2303" s="191"/>
      <c r="M2303" s="191"/>
      <c r="N2303" s="191"/>
      <c r="O2303" s="191"/>
      <c r="P2303" s="191"/>
      <c r="Q2303" s="191"/>
      <c r="R2303" s="191"/>
      <c r="S2303" s="191"/>
      <c r="T2303" s="191"/>
      <c r="U2303" s="439"/>
      <c r="V2303" s="441"/>
      <c r="W2303" s="178"/>
      <c r="X2303" s="172"/>
      <c r="Y2303" s="172"/>
      <c r="Z2303" s="172"/>
      <c r="AA2303" s="195"/>
      <c r="AB2303" s="172"/>
    </row>
    <row r="2304" spans="1:28" ht="12.6" customHeight="1" x14ac:dyDescent="0.3">
      <c r="A2304" s="667"/>
      <c r="B2304" s="668" t="s">
        <v>8621</v>
      </c>
      <c r="C2304" s="160" t="s">
        <v>8622</v>
      </c>
      <c r="D2304" s="160"/>
      <c r="E2304" s="439"/>
      <c r="F2304" s="161">
        <v>650.09007010100004</v>
      </c>
      <c r="G2304" s="161"/>
      <c r="H2304" s="654"/>
      <c r="I2304" s="654"/>
      <c r="J2304" s="191"/>
      <c r="K2304" s="191">
        <v>3966157.8975241501</v>
      </c>
      <c r="L2304" s="191"/>
      <c r="M2304" s="191"/>
      <c r="N2304" s="191"/>
      <c r="O2304" s="191"/>
      <c r="P2304" s="191"/>
      <c r="Q2304" s="191"/>
      <c r="R2304" s="191"/>
      <c r="S2304" s="191"/>
      <c r="T2304" s="191"/>
      <c r="U2304" s="439"/>
      <c r="V2304" s="441"/>
      <c r="W2304" s="178"/>
      <c r="X2304" s="172"/>
      <c r="Y2304" s="172"/>
      <c r="Z2304" s="172"/>
      <c r="AA2304" s="195"/>
      <c r="AB2304" s="172"/>
    </row>
    <row r="2305" spans="1:28" ht="12.6" customHeight="1" x14ac:dyDescent="0.3">
      <c r="A2305" s="667"/>
      <c r="B2305" s="668" t="s">
        <v>8623</v>
      </c>
      <c r="C2305" s="160" t="s">
        <v>8624</v>
      </c>
      <c r="D2305" s="160"/>
      <c r="E2305" s="439"/>
      <c r="F2305" s="161">
        <v>409.90255000000002</v>
      </c>
      <c r="G2305" s="161">
        <v>-33.271000000000001</v>
      </c>
      <c r="H2305" s="654">
        <v>707.78516648000004</v>
      </c>
      <c r="I2305" s="654">
        <v>1.5476772560859999</v>
      </c>
      <c r="J2305" s="191"/>
      <c r="K2305" s="191">
        <v>111216.69881386201</v>
      </c>
      <c r="L2305" s="191"/>
      <c r="M2305" s="191"/>
      <c r="N2305" s="191"/>
      <c r="O2305" s="191"/>
      <c r="P2305" s="191"/>
      <c r="Q2305" s="191"/>
      <c r="R2305" s="191"/>
      <c r="S2305" s="191"/>
      <c r="T2305" s="191"/>
      <c r="U2305" s="439"/>
      <c r="V2305" s="441"/>
      <c r="W2305" s="178"/>
      <c r="X2305" s="172"/>
      <c r="Y2305" s="172"/>
      <c r="Z2305" s="172"/>
      <c r="AA2305" s="195"/>
      <c r="AB2305" s="172"/>
    </row>
    <row r="2306" spans="1:28" ht="12.6" customHeight="1" x14ac:dyDescent="0.3">
      <c r="A2306" s="667"/>
      <c r="B2306" s="668" t="s">
        <v>8625</v>
      </c>
      <c r="C2306" s="160" t="s">
        <v>8626</v>
      </c>
      <c r="D2306" s="160"/>
      <c r="E2306" s="439"/>
      <c r="F2306" s="161">
        <v>354.011389194</v>
      </c>
      <c r="G2306" s="161"/>
      <c r="H2306" s="654"/>
      <c r="I2306" s="654"/>
      <c r="J2306" s="191"/>
      <c r="K2306" s="191">
        <v>3127.7353602502899</v>
      </c>
      <c r="L2306" s="191"/>
      <c r="M2306" s="191"/>
      <c r="N2306" s="191"/>
      <c r="O2306" s="191"/>
      <c r="P2306" s="191"/>
      <c r="Q2306" s="191"/>
      <c r="R2306" s="191"/>
      <c r="S2306" s="191"/>
      <c r="T2306" s="191"/>
      <c r="U2306" s="439"/>
      <c r="V2306" s="441"/>
      <c r="W2306" s="178"/>
      <c r="X2306" s="172"/>
      <c r="Y2306" s="172"/>
      <c r="Z2306" s="172"/>
      <c r="AA2306" s="195"/>
      <c r="AB2306" s="172"/>
    </row>
    <row r="2307" spans="1:28" ht="12.6" customHeight="1" x14ac:dyDescent="0.3">
      <c r="A2307" s="667"/>
      <c r="B2307" s="668" t="s">
        <v>8627</v>
      </c>
      <c r="C2307" s="160" t="s">
        <v>8628</v>
      </c>
      <c r="D2307" s="160"/>
      <c r="E2307" s="439"/>
      <c r="F2307" s="161">
        <v>326.01647457399997</v>
      </c>
      <c r="G2307" s="161"/>
      <c r="H2307" s="654"/>
      <c r="I2307" s="654"/>
      <c r="J2307" s="191"/>
      <c r="K2307" s="191">
        <v>2662.93153068745</v>
      </c>
      <c r="L2307" s="191"/>
      <c r="M2307" s="191"/>
      <c r="N2307" s="191"/>
      <c r="O2307" s="191"/>
      <c r="P2307" s="191"/>
      <c r="Q2307" s="191"/>
      <c r="R2307" s="191"/>
      <c r="S2307" s="191"/>
      <c r="T2307" s="191"/>
      <c r="U2307" s="439"/>
      <c r="V2307" s="441"/>
      <c r="W2307" s="178"/>
      <c r="X2307" s="172"/>
      <c r="Y2307" s="172"/>
      <c r="Z2307" s="172"/>
      <c r="AA2307" s="195"/>
      <c r="AB2307" s="172"/>
    </row>
    <row r="2308" spans="1:28" ht="12.6" customHeight="1" x14ac:dyDescent="0.3">
      <c r="A2308" s="667"/>
      <c r="B2308" s="668" t="s">
        <v>8629</v>
      </c>
      <c r="C2308" s="160" t="s">
        <v>8630</v>
      </c>
      <c r="D2308" s="160"/>
      <c r="E2308" s="439"/>
      <c r="F2308" s="161">
        <v>340.03212463800003</v>
      </c>
      <c r="G2308" s="161"/>
      <c r="H2308" s="654"/>
      <c r="I2308" s="654"/>
      <c r="J2308" s="191"/>
      <c r="K2308" s="191">
        <v>5592.2940615970801</v>
      </c>
      <c r="L2308" s="191"/>
      <c r="M2308" s="191"/>
      <c r="N2308" s="191"/>
      <c r="O2308" s="191"/>
      <c r="P2308" s="191"/>
      <c r="Q2308" s="191"/>
      <c r="R2308" s="191"/>
      <c r="S2308" s="191"/>
      <c r="T2308" s="191"/>
      <c r="U2308" s="439"/>
      <c r="V2308" s="441"/>
      <c r="W2308" s="178"/>
      <c r="X2308" s="172"/>
      <c r="Y2308" s="172"/>
      <c r="Z2308" s="172"/>
      <c r="AA2308" s="195"/>
      <c r="AB2308" s="172"/>
    </row>
    <row r="2309" spans="1:28" ht="12.6" customHeight="1" x14ac:dyDescent="0.3">
      <c r="A2309" s="667"/>
      <c r="B2309" s="668" t="s">
        <v>8631</v>
      </c>
      <c r="C2309" s="160" t="s">
        <v>8632</v>
      </c>
      <c r="D2309" s="160"/>
      <c r="E2309" s="439"/>
      <c r="F2309" s="161">
        <v>356.027039258</v>
      </c>
      <c r="G2309" s="161"/>
      <c r="H2309" s="654"/>
      <c r="I2309" s="654"/>
      <c r="J2309" s="191"/>
      <c r="K2309" s="191">
        <v>1277.9974874561401</v>
      </c>
      <c r="L2309" s="191"/>
      <c r="M2309" s="191"/>
      <c r="N2309" s="191"/>
      <c r="O2309" s="191"/>
      <c r="P2309" s="191"/>
      <c r="Q2309" s="191"/>
      <c r="R2309" s="191"/>
      <c r="S2309" s="191"/>
      <c r="T2309" s="191"/>
      <c r="U2309" s="439"/>
      <c r="V2309" s="441"/>
      <c r="W2309" s="178"/>
      <c r="X2309" s="172"/>
      <c r="Y2309" s="172"/>
      <c r="Z2309" s="172"/>
      <c r="AA2309" s="195"/>
      <c r="AB2309" s="172"/>
    </row>
    <row r="2310" spans="1:28" ht="12.6" customHeight="1" x14ac:dyDescent="0.3">
      <c r="A2310" s="667"/>
      <c r="B2310" s="668" t="s">
        <v>8633</v>
      </c>
      <c r="C2310" s="160" t="s">
        <v>8634</v>
      </c>
      <c r="D2310" s="160"/>
      <c r="E2310" s="439"/>
      <c r="F2310" s="161">
        <v>431.95010938000001</v>
      </c>
      <c r="G2310" s="161"/>
      <c r="H2310" s="654"/>
      <c r="I2310" s="654"/>
      <c r="J2310" s="191"/>
      <c r="K2310" s="177">
        <v>3979.9718467294801</v>
      </c>
      <c r="L2310" s="191"/>
      <c r="M2310" s="191"/>
      <c r="N2310" s="191"/>
      <c r="O2310" s="191"/>
      <c r="P2310" s="191"/>
      <c r="Q2310" s="191"/>
      <c r="R2310" s="191"/>
      <c r="S2310" s="191"/>
      <c r="T2310" s="191"/>
      <c r="U2310" s="439"/>
      <c r="V2310" s="441"/>
      <c r="W2310" s="178"/>
      <c r="X2310" s="172"/>
      <c r="Y2310" s="172"/>
      <c r="Z2310" s="172"/>
      <c r="AA2310" s="195"/>
      <c r="AB2310" s="172"/>
    </row>
    <row r="2311" spans="1:28" ht="12.6" customHeight="1" x14ac:dyDescent="0.3">
      <c r="A2311" s="667"/>
      <c r="B2311" s="668" t="s">
        <v>8635</v>
      </c>
      <c r="C2311" s="160" t="s">
        <v>8636</v>
      </c>
      <c r="D2311" s="160"/>
      <c r="E2311" s="439"/>
      <c r="F2311" s="161">
        <v>445.88371000000001</v>
      </c>
      <c r="G2311" s="161"/>
      <c r="H2311" s="654"/>
      <c r="I2311" s="654"/>
      <c r="J2311" s="191"/>
      <c r="K2311" s="191">
        <v>17011.397785180499</v>
      </c>
      <c r="L2311" s="191"/>
      <c r="M2311" s="191"/>
      <c r="N2311" s="191"/>
      <c r="O2311" s="191"/>
      <c r="P2311" s="191"/>
      <c r="Q2311" s="191"/>
      <c r="R2311" s="191"/>
      <c r="S2311" s="191"/>
      <c r="T2311" s="191"/>
      <c r="U2311" s="439"/>
      <c r="V2311" s="441"/>
      <c r="W2311" s="178"/>
      <c r="X2311" s="172"/>
      <c r="Y2311" s="172"/>
      <c r="Z2311" s="172"/>
      <c r="AA2311" s="195"/>
      <c r="AB2311" s="172"/>
    </row>
    <row r="2312" spans="1:28" ht="12.6" customHeight="1" x14ac:dyDescent="0.3">
      <c r="A2312" s="667"/>
      <c r="B2312" s="668" t="s">
        <v>8637</v>
      </c>
      <c r="C2312" s="160" t="s">
        <v>8638</v>
      </c>
      <c r="D2312" s="160"/>
      <c r="E2312" s="439">
        <v>1.93</v>
      </c>
      <c r="F2312" s="161">
        <v>265.99893280399999</v>
      </c>
      <c r="G2312" s="161"/>
      <c r="H2312" s="654"/>
      <c r="I2312" s="654"/>
      <c r="J2312" s="191"/>
      <c r="K2312" s="191">
        <v>160.49074756587001</v>
      </c>
      <c r="L2312" s="191"/>
      <c r="M2312" s="191"/>
      <c r="N2312" s="191"/>
      <c r="O2312" s="191"/>
      <c r="P2312" s="191"/>
      <c r="Q2312" s="191"/>
      <c r="R2312" s="191"/>
      <c r="S2312" s="191"/>
      <c r="T2312" s="191"/>
      <c r="U2312" s="439"/>
      <c r="V2312" s="441"/>
      <c r="W2312" s="178"/>
      <c r="X2312" s="172"/>
      <c r="Y2312" s="172"/>
      <c r="Z2312" s="172"/>
      <c r="AA2312" s="195"/>
      <c r="AB2312" s="172"/>
    </row>
    <row r="2313" spans="1:28" ht="12.6" customHeight="1" x14ac:dyDescent="0.3">
      <c r="A2313" s="667"/>
      <c r="B2313" s="668" t="s">
        <v>8639</v>
      </c>
      <c r="C2313" s="160" t="s">
        <v>8640</v>
      </c>
      <c r="D2313" s="160"/>
      <c r="E2313" s="439"/>
      <c r="F2313" s="161">
        <v>320.02475362799998</v>
      </c>
      <c r="G2313" s="161"/>
      <c r="H2313" s="654"/>
      <c r="I2313" s="654"/>
      <c r="J2313" s="191"/>
      <c r="K2313" s="191">
        <v>15531378.3714143</v>
      </c>
      <c r="L2313" s="191"/>
      <c r="M2313" s="191"/>
      <c r="N2313" s="191"/>
      <c r="O2313" s="191"/>
      <c r="P2313" s="191"/>
      <c r="Q2313" s="191"/>
      <c r="R2313" s="191"/>
      <c r="S2313" s="191"/>
      <c r="T2313" s="191"/>
      <c r="U2313" s="439"/>
      <c r="V2313" s="441"/>
      <c r="W2313" s="178"/>
      <c r="X2313" s="172"/>
      <c r="Y2313" s="172"/>
      <c r="Z2313" s="172"/>
      <c r="AA2313" s="195"/>
      <c r="AB2313" s="172"/>
    </row>
    <row r="2314" spans="1:28" ht="12.6" customHeight="1" x14ac:dyDescent="0.3">
      <c r="A2314" s="667"/>
      <c r="B2314" s="668" t="s">
        <v>8641</v>
      </c>
      <c r="C2314" s="160" t="s">
        <v>8642</v>
      </c>
      <c r="D2314" s="160"/>
      <c r="E2314" s="439"/>
      <c r="F2314" s="161">
        <v>246.00910356399999</v>
      </c>
      <c r="G2314" s="161">
        <v>-97.073999999999998</v>
      </c>
      <c r="H2314" s="654">
        <v>55834.453668000002</v>
      </c>
      <c r="I2314" s="654">
        <v>27.3495700705205</v>
      </c>
      <c r="J2314" s="191"/>
      <c r="K2314" s="191">
        <v>1008.04518609899</v>
      </c>
      <c r="L2314" s="191"/>
      <c r="M2314" s="191"/>
      <c r="N2314" s="191"/>
      <c r="O2314" s="191"/>
      <c r="P2314" s="191"/>
      <c r="Q2314" s="191"/>
      <c r="R2314" s="191"/>
      <c r="S2314" s="191"/>
      <c r="T2314" s="191"/>
      <c r="U2314" s="439"/>
      <c r="V2314" s="441"/>
      <c r="W2314" s="178"/>
      <c r="X2314" s="172"/>
      <c r="Y2314" s="172"/>
      <c r="Z2314" s="172"/>
      <c r="AA2314" s="195"/>
      <c r="AB2314" s="172"/>
    </row>
    <row r="2315" spans="1:28" ht="12.6" customHeight="1" x14ac:dyDescent="0.3">
      <c r="A2315" s="667"/>
      <c r="B2315" s="668" t="s">
        <v>8643</v>
      </c>
      <c r="C2315" s="160" t="s">
        <v>8644</v>
      </c>
      <c r="D2315" s="160"/>
      <c r="E2315" s="439"/>
      <c r="F2315" s="161">
        <v>447.93705</v>
      </c>
      <c r="G2315" s="161">
        <v>104.53</v>
      </c>
      <c r="H2315" s="654"/>
      <c r="I2315" s="654">
        <v>0.33129648186525001</v>
      </c>
      <c r="J2315" s="191"/>
      <c r="K2315" s="191">
        <v>11507473.938482899</v>
      </c>
      <c r="L2315" s="191"/>
      <c r="M2315" s="191"/>
      <c r="N2315" s="191"/>
      <c r="O2315" s="191"/>
      <c r="P2315" s="191"/>
      <c r="Q2315" s="191"/>
      <c r="R2315" s="191"/>
      <c r="S2315" s="191"/>
      <c r="T2315" s="191"/>
      <c r="U2315" s="439"/>
      <c r="V2315" s="441"/>
      <c r="W2315" s="178"/>
      <c r="X2315" s="172"/>
      <c r="Y2315" s="172"/>
      <c r="Z2315" s="172"/>
      <c r="AA2315" s="195"/>
      <c r="AB2315" s="172"/>
    </row>
    <row r="2316" spans="1:28" ht="12.6" customHeight="1" x14ac:dyDescent="0.3">
      <c r="A2316" s="667"/>
      <c r="B2316" s="668" t="s">
        <v>8645</v>
      </c>
      <c r="C2316" s="160" t="s">
        <v>8646</v>
      </c>
      <c r="D2316" s="160"/>
      <c r="E2316" s="439"/>
      <c r="F2316" s="161">
        <v>322.04040369199998</v>
      </c>
      <c r="G2316" s="161"/>
      <c r="H2316" s="654"/>
      <c r="I2316" s="654"/>
      <c r="J2316" s="191"/>
      <c r="K2316" s="191">
        <v>21592851.599166699</v>
      </c>
      <c r="L2316" s="191"/>
      <c r="M2316" s="191"/>
      <c r="N2316" s="191"/>
      <c r="O2316" s="191"/>
      <c r="P2316" s="191"/>
      <c r="Q2316" s="191"/>
      <c r="R2316" s="191"/>
      <c r="S2316" s="191"/>
      <c r="T2316" s="191"/>
      <c r="U2316" s="439"/>
      <c r="V2316" s="441"/>
      <c r="W2316" s="178"/>
      <c r="X2316" s="172"/>
      <c r="Y2316" s="172"/>
      <c r="Z2316" s="172"/>
      <c r="AA2316" s="195"/>
      <c r="AB2316" s="172"/>
    </row>
    <row r="2317" spans="1:28" ht="12.6" customHeight="1" x14ac:dyDescent="0.3">
      <c r="A2317" s="667"/>
      <c r="B2317" s="668" t="s">
        <v>8647</v>
      </c>
      <c r="C2317" s="160" t="s">
        <v>8648</v>
      </c>
      <c r="D2317" s="160"/>
      <c r="E2317" s="439"/>
      <c r="F2317" s="161">
        <v>258.00910356399999</v>
      </c>
      <c r="G2317" s="161"/>
      <c r="H2317" s="654"/>
      <c r="I2317" s="654"/>
      <c r="J2317" s="191"/>
      <c r="K2317" s="191">
        <v>1967.65974146649</v>
      </c>
      <c r="L2317" s="191"/>
      <c r="M2317" s="191"/>
      <c r="N2317" s="191"/>
      <c r="O2317" s="191"/>
      <c r="P2317" s="191"/>
      <c r="Q2317" s="191"/>
      <c r="R2317" s="191"/>
      <c r="S2317" s="191"/>
      <c r="T2317" s="191"/>
      <c r="U2317" s="439"/>
      <c r="V2317" s="441"/>
      <c r="W2317" s="178"/>
      <c r="X2317" s="172"/>
      <c r="Y2317" s="172"/>
      <c r="Z2317" s="172"/>
      <c r="AA2317" s="195"/>
      <c r="AB2317" s="172"/>
    </row>
    <row r="2318" spans="1:28" ht="12.6" customHeight="1" x14ac:dyDescent="0.3">
      <c r="A2318" s="667"/>
      <c r="B2318" s="668" t="s">
        <v>8649</v>
      </c>
      <c r="C2318" s="160" t="s">
        <v>8650</v>
      </c>
      <c r="D2318" s="160"/>
      <c r="E2318" s="439"/>
      <c r="F2318" s="161">
        <v>663.97413230200004</v>
      </c>
      <c r="G2318" s="161"/>
      <c r="H2318" s="654"/>
      <c r="I2318" s="654"/>
      <c r="J2318" s="191"/>
      <c r="K2318" s="191">
        <v>247953.36127687199</v>
      </c>
      <c r="L2318" s="191"/>
      <c r="M2318" s="191"/>
      <c r="N2318" s="191"/>
      <c r="O2318" s="191"/>
      <c r="P2318" s="191"/>
      <c r="Q2318" s="191"/>
      <c r="R2318" s="191"/>
      <c r="S2318" s="191"/>
      <c r="T2318" s="191"/>
      <c r="U2318" s="439"/>
      <c r="V2318" s="441"/>
      <c r="W2318" s="178"/>
      <c r="X2318" s="172"/>
      <c r="Y2318" s="172"/>
      <c r="Z2318" s="172"/>
      <c r="AA2318" s="195"/>
      <c r="AB2318" s="172"/>
    </row>
    <row r="2319" spans="1:28" ht="12.6" customHeight="1" x14ac:dyDescent="0.3">
      <c r="A2319" s="667"/>
      <c r="B2319" s="668" t="s">
        <v>8651</v>
      </c>
      <c r="C2319" s="160" t="s">
        <v>8652</v>
      </c>
      <c r="D2319" s="160"/>
      <c r="E2319" s="439"/>
      <c r="F2319" s="161">
        <v>563.98051965000002</v>
      </c>
      <c r="G2319" s="161"/>
      <c r="H2319" s="654"/>
      <c r="I2319" s="654"/>
      <c r="J2319" s="191"/>
      <c r="K2319" s="191">
        <v>234045.340832852</v>
      </c>
      <c r="L2319" s="191"/>
      <c r="M2319" s="191"/>
      <c r="N2319" s="191"/>
      <c r="O2319" s="191"/>
      <c r="P2319" s="191"/>
      <c r="Q2319" s="191"/>
      <c r="R2319" s="191"/>
      <c r="S2319" s="191"/>
      <c r="T2319" s="191"/>
      <c r="U2319" s="439"/>
      <c r="V2319" s="441"/>
      <c r="W2319" s="178"/>
      <c r="X2319" s="172"/>
      <c r="Y2319" s="172"/>
      <c r="Z2319" s="172"/>
      <c r="AA2319" s="195"/>
      <c r="AB2319" s="172"/>
    </row>
    <row r="2320" spans="1:28" ht="12.6" customHeight="1" x14ac:dyDescent="0.3">
      <c r="A2320" s="667"/>
      <c r="B2320" s="668" t="s">
        <v>8653</v>
      </c>
      <c r="C2320" s="160" t="s">
        <v>8654</v>
      </c>
      <c r="D2320" s="160"/>
      <c r="E2320" s="439"/>
      <c r="F2320" s="161">
        <v>513.98371332399995</v>
      </c>
      <c r="G2320" s="161"/>
      <c r="H2320" s="654"/>
      <c r="I2320" s="654"/>
      <c r="J2320" s="191"/>
      <c r="K2320" s="191">
        <v>114151.073489635</v>
      </c>
      <c r="L2320" s="191"/>
      <c r="M2320" s="191"/>
      <c r="N2320" s="191"/>
      <c r="O2320" s="191"/>
      <c r="P2320" s="191"/>
      <c r="Q2320" s="191"/>
      <c r="R2320" s="191"/>
      <c r="S2320" s="191"/>
      <c r="T2320" s="191"/>
      <c r="U2320" s="439"/>
      <c r="V2320" s="441"/>
      <c r="W2320" s="178"/>
      <c r="X2320" s="172"/>
      <c r="Y2320" s="172"/>
      <c r="Z2320" s="172"/>
      <c r="AA2320" s="195"/>
      <c r="AB2320" s="172"/>
    </row>
    <row r="2321" spans="1:28" ht="12.6" customHeight="1" x14ac:dyDescent="0.3">
      <c r="A2321" s="667"/>
      <c r="B2321" s="668" t="s">
        <v>8655</v>
      </c>
      <c r="C2321" s="160" t="s">
        <v>8656</v>
      </c>
      <c r="D2321" s="160"/>
      <c r="E2321" s="439"/>
      <c r="F2321" s="161">
        <v>463.98690699799999</v>
      </c>
      <c r="G2321" s="161"/>
      <c r="H2321" s="654"/>
      <c r="I2321" s="654"/>
      <c r="J2321" s="191"/>
      <c r="K2321" s="191">
        <v>66140.884740142705</v>
      </c>
      <c r="L2321" s="191"/>
      <c r="M2321" s="191"/>
      <c r="N2321" s="191"/>
      <c r="O2321" s="191"/>
      <c r="P2321" s="191"/>
      <c r="Q2321" s="191"/>
      <c r="R2321" s="191"/>
      <c r="S2321" s="191"/>
      <c r="T2321" s="191"/>
      <c r="U2321" s="439"/>
      <c r="V2321" s="441"/>
      <c r="W2321" s="178"/>
      <c r="X2321" s="172"/>
      <c r="Y2321" s="172"/>
      <c r="Z2321" s="172"/>
      <c r="AA2321" s="195"/>
      <c r="AB2321" s="172"/>
    </row>
    <row r="2322" spans="1:28" ht="12.6" customHeight="1" x14ac:dyDescent="0.3">
      <c r="A2322" s="667"/>
      <c r="B2322" s="668" t="s">
        <v>8657</v>
      </c>
      <c r="C2322" s="160" t="s">
        <v>8658</v>
      </c>
      <c r="D2322" s="160"/>
      <c r="E2322" s="439"/>
      <c r="F2322" s="161">
        <v>247.988368119</v>
      </c>
      <c r="G2322" s="161"/>
      <c r="H2322" s="654"/>
      <c r="I2322" s="654"/>
      <c r="J2322" s="191"/>
      <c r="K2322" s="191">
        <v>165.428373590989</v>
      </c>
      <c r="L2322" s="191"/>
      <c r="M2322" s="191"/>
      <c r="N2322" s="191"/>
      <c r="O2322" s="191"/>
      <c r="P2322" s="191"/>
      <c r="Q2322" s="191"/>
      <c r="R2322" s="191"/>
      <c r="S2322" s="191"/>
      <c r="T2322" s="191"/>
      <c r="U2322" s="439"/>
      <c r="V2322" s="441"/>
      <c r="W2322" s="178"/>
      <c r="X2322" s="172"/>
      <c r="Y2322" s="172"/>
      <c r="Z2322" s="172"/>
      <c r="AA2322" s="195"/>
      <c r="AB2322" s="172"/>
    </row>
    <row r="2323" spans="1:28" ht="12.6" customHeight="1" x14ac:dyDescent="0.3">
      <c r="A2323" s="667"/>
      <c r="B2323" s="668" t="s">
        <v>8659</v>
      </c>
      <c r="C2323" s="160" t="s">
        <v>8660</v>
      </c>
      <c r="D2323" s="160"/>
      <c r="E2323" s="439"/>
      <c r="F2323" s="161">
        <v>262.00401818400002</v>
      </c>
      <c r="G2323" s="161">
        <v>-86.77</v>
      </c>
      <c r="H2323" s="654">
        <v>4644.0985514000004</v>
      </c>
      <c r="I2323" s="654">
        <v>46.377593262768002</v>
      </c>
      <c r="J2323" s="191"/>
      <c r="K2323" s="191">
        <v>2826.1811798101498</v>
      </c>
      <c r="L2323" s="191"/>
      <c r="M2323" s="191"/>
      <c r="N2323" s="191"/>
      <c r="O2323" s="191"/>
      <c r="P2323" s="191"/>
      <c r="Q2323" s="191"/>
      <c r="R2323" s="191"/>
      <c r="S2323" s="191"/>
      <c r="T2323" s="191"/>
      <c r="U2323" s="439"/>
      <c r="V2323" s="441"/>
      <c r="W2323" s="178"/>
      <c r="X2323" s="172"/>
      <c r="Y2323" s="172"/>
      <c r="Z2323" s="172"/>
      <c r="AA2323" s="195"/>
      <c r="AB2323" s="172"/>
    </row>
    <row r="2324" spans="1:28" ht="12.6" customHeight="1" x14ac:dyDescent="0.3">
      <c r="A2324" s="667"/>
      <c r="B2324" s="668" t="s">
        <v>8661</v>
      </c>
      <c r="C2324" s="160" t="s">
        <v>8662</v>
      </c>
      <c r="D2324" s="160"/>
      <c r="E2324" s="439"/>
      <c r="F2324" s="161">
        <v>295.96504590000001</v>
      </c>
      <c r="G2324" s="161"/>
      <c r="H2324" s="654"/>
      <c r="I2324" s="654"/>
      <c r="J2324" s="191"/>
      <c r="K2324" s="191">
        <v>26746.071421973898</v>
      </c>
      <c r="L2324" s="191"/>
      <c r="M2324" s="191"/>
      <c r="N2324" s="191"/>
      <c r="O2324" s="191"/>
      <c r="P2324" s="191"/>
      <c r="Q2324" s="191"/>
      <c r="R2324" s="191"/>
      <c r="S2324" s="191"/>
      <c r="T2324" s="191"/>
      <c r="U2324" s="439"/>
      <c r="V2324" s="441"/>
      <c r="W2324" s="178"/>
      <c r="X2324" s="172"/>
      <c r="Y2324" s="172"/>
      <c r="Z2324" s="172"/>
      <c r="AA2324" s="195"/>
      <c r="AB2324" s="172"/>
    </row>
    <row r="2325" spans="1:28" ht="12.6" customHeight="1" x14ac:dyDescent="0.3">
      <c r="A2325" s="667" t="s">
        <v>4414</v>
      </c>
      <c r="B2325" s="668" t="s">
        <v>8663</v>
      </c>
      <c r="C2325" s="160" t="s">
        <v>8664</v>
      </c>
      <c r="D2325" s="160"/>
      <c r="E2325" s="439"/>
      <c r="F2325" s="161"/>
      <c r="G2325" s="161"/>
      <c r="H2325" s="654"/>
      <c r="I2325" s="654"/>
      <c r="J2325" s="191"/>
      <c r="K2325" s="191"/>
      <c r="L2325" s="191"/>
      <c r="M2325" s="191"/>
      <c r="N2325" s="191"/>
      <c r="O2325" s="191"/>
      <c r="P2325" s="191"/>
      <c r="Q2325" s="191"/>
      <c r="R2325" s="191"/>
      <c r="S2325" s="191"/>
      <c r="T2325" s="191"/>
      <c r="U2325" s="439"/>
      <c r="V2325" s="441"/>
      <c r="W2325" s="178"/>
      <c r="X2325" s="172"/>
      <c r="Y2325" s="172"/>
      <c r="Z2325" s="172"/>
      <c r="AA2325" s="195"/>
      <c r="AB2325" s="172"/>
    </row>
    <row r="2326" spans="1:28" ht="12.6" customHeight="1" x14ac:dyDescent="0.3">
      <c r="A2326" s="667"/>
      <c r="B2326" s="668" t="s">
        <v>8665</v>
      </c>
      <c r="C2326" s="160" t="s">
        <v>8666</v>
      </c>
      <c r="D2326" s="160"/>
      <c r="E2326" s="439"/>
      <c r="F2326" s="161">
        <v>501.94630999999998</v>
      </c>
      <c r="G2326" s="161"/>
      <c r="H2326" s="654"/>
      <c r="I2326" s="654"/>
      <c r="J2326" s="191"/>
      <c r="K2326" s="191">
        <v>5403062.6085395804</v>
      </c>
      <c r="L2326" s="191"/>
      <c r="M2326" s="191"/>
      <c r="N2326" s="191"/>
      <c r="O2326" s="191"/>
      <c r="P2326" s="191"/>
      <c r="Q2326" s="191"/>
      <c r="R2326" s="191"/>
      <c r="S2326" s="191"/>
      <c r="T2326" s="191"/>
      <c r="U2326" s="439"/>
      <c r="V2326" s="441"/>
      <c r="W2326" s="178"/>
      <c r="X2326" s="172"/>
      <c r="Y2326" s="172"/>
      <c r="Z2326" s="172"/>
      <c r="AA2326" s="195"/>
      <c r="AB2326" s="172"/>
    </row>
    <row r="2327" spans="1:28" ht="12.6" customHeight="1" x14ac:dyDescent="0.3">
      <c r="A2327" s="667"/>
      <c r="B2327" s="668" t="s">
        <v>8667</v>
      </c>
      <c r="C2327" s="160" t="s">
        <v>8668</v>
      </c>
      <c r="D2327" s="160"/>
      <c r="E2327" s="439"/>
      <c r="F2327" s="161">
        <v>473.91501</v>
      </c>
      <c r="G2327" s="161">
        <v>-50.902000000000001</v>
      </c>
      <c r="H2327" s="654">
        <v>115.31926369599999</v>
      </c>
      <c r="I2327" s="654">
        <v>0.50663884144049998</v>
      </c>
      <c r="J2327" s="191"/>
      <c r="K2327" s="191">
        <v>714710.23260550899</v>
      </c>
      <c r="L2327" s="191"/>
      <c r="M2327" s="191"/>
      <c r="N2327" s="191"/>
      <c r="O2327" s="191"/>
      <c r="P2327" s="191"/>
      <c r="Q2327" s="191"/>
      <c r="R2327" s="191"/>
      <c r="S2327" s="191"/>
      <c r="T2327" s="191"/>
      <c r="U2327" s="439"/>
      <c r="V2327" s="441"/>
      <c r="W2327" s="178"/>
      <c r="X2327" s="172"/>
      <c r="Y2327" s="172"/>
      <c r="Z2327" s="172"/>
      <c r="AA2327" s="195"/>
      <c r="AB2327" s="172"/>
    </row>
    <row r="2328" spans="1:28" ht="12.6" customHeight="1" x14ac:dyDescent="0.3">
      <c r="A2328" s="667"/>
      <c r="B2328" s="668" t="s">
        <v>8669</v>
      </c>
      <c r="C2328" s="160" t="s">
        <v>8670</v>
      </c>
      <c r="D2328" s="160"/>
      <c r="E2328" s="439"/>
      <c r="F2328" s="161">
        <v>437.93385000000001</v>
      </c>
      <c r="G2328" s="161"/>
      <c r="H2328" s="654"/>
      <c r="I2328" s="654"/>
      <c r="J2328" s="191"/>
      <c r="K2328" s="191">
        <v>813860.55454426899</v>
      </c>
      <c r="L2328" s="191"/>
      <c r="M2328" s="191"/>
      <c r="N2328" s="191"/>
      <c r="O2328" s="191"/>
      <c r="P2328" s="191"/>
      <c r="Q2328" s="191"/>
      <c r="R2328" s="191"/>
      <c r="S2328" s="191"/>
      <c r="T2328" s="191"/>
      <c r="U2328" s="439"/>
      <c r="V2328" s="441"/>
      <c r="W2328" s="178"/>
      <c r="X2328" s="172"/>
      <c r="Y2328" s="172"/>
      <c r="Z2328" s="172"/>
      <c r="AA2328" s="195"/>
      <c r="AB2328" s="172"/>
    </row>
    <row r="2329" spans="1:28" ht="12.6" customHeight="1" x14ac:dyDescent="0.3">
      <c r="A2329" s="667"/>
      <c r="B2329" s="668" t="s">
        <v>8671</v>
      </c>
      <c r="C2329" s="160" t="s">
        <v>8672</v>
      </c>
      <c r="D2329" s="160"/>
      <c r="E2329" s="439"/>
      <c r="F2329" s="161">
        <v>409.96013809999999</v>
      </c>
      <c r="G2329" s="161"/>
      <c r="H2329" s="654"/>
      <c r="I2329" s="654"/>
      <c r="J2329" s="191"/>
      <c r="K2329" s="191">
        <v>127069.11347976299</v>
      </c>
      <c r="L2329" s="191"/>
      <c r="M2329" s="191"/>
      <c r="N2329" s="191"/>
      <c r="O2329" s="191"/>
      <c r="P2329" s="191"/>
      <c r="Q2329" s="191"/>
      <c r="R2329" s="191"/>
      <c r="S2329" s="191"/>
      <c r="T2329" s="191"/>
      <c r="U2329" s="439"/>
      <c r="V2329" s="441"/>
      <c r="W2329" s="178"/>
      <c r="X2329" s="172"/>
      <c r="Y2329" s="172"/>
      <c r="Z2329" s="172"/>
      <c r="AA2329" s="195"/>
      <c r="AB2329" s="172"/>
    </row>
    <row r="2330" spans="1:28" ht="12.6" customHeight="1" x14ac:dyDescent="0.3">
      <c r="A2330" s="667"/>
      <c r="B2330" s="668" t="s">
        <v>8673</v>
      </c>
      <c r="C2330" s="160" t="s">
        <v>8674</v>
      </c>
      <c r="D2330" s="160"/>
      <c r="E2330" s="439">
        <v>21</v>
      </c>
      <c r="F2330" s="161">
        <v>546.97221999999999</v>
      </c>
      <c r="G2330" s="161"/>
      <c r="H2330" s="654"/>
      <c r="I2330" s="654"/>
      <c r="J2330" s="191"/>
      <c r="K2330" s="191">
        <v>3384.8544609235501</v>
      </c>
      <c r="L2330" s="191"/>
      <c r="M2330" s="191"/>
      <c r="N2330" s="191"/>
      <c r="O2330" s="191"/>
      <c r="P2330" s="191"/>
      <c r="Q2330" s="191"/>
      <c r="R2330" s="191"/>
      <c r="S2330" s="191"/>
      <c r="T2330" s="191"/>
      <c r="U2330" s="439"/>
      <c r="V2330" s="441"/>
      <c r="W2330" s="178"/>
      <c r="X2330" s="172"/>
      <c r="Y2330" s="172"/>
      <c r="Z2330" s="172"/>
      <c r="AA2330" s="195"/>
      <c r="AB2330" s="172"/>
    </row>
    <row r="2331" spans="1:28" ht="12.6" customHeight="1" x14ac:dyDescent="0.3">
      <c r="A2331" s="667"/>
      <c r="B2331" s="668" t="s">
        <v>8675</v>
      </c>
      <c r="C2331" s="160" t="s">
        <v>8676</v>
      </c>
      <c r="D2331" s="160"/>
      <c r="E2331" s="439"/>
      <c r="F2331" s="161">
        <v>791.88643000000002</v>
      </c>
      <c r="G2331" s="161"/>
      <c r="H2331" s="654"/>
      <c r="I2331" s="654"/>
      <c r="J2331" s="191"/>
      <c r="K2331" s="191">
        <v>3343720.7477928102</v>
      </c>
      <c r="L2331" s="191"/>
      <c r="M2331" s="191"/>
      <c r="N2331" s="191"/>
      <c r="O2331" s="191"/>
      <c r="P2331" s="191"/>
      <c r="Q2331" s="191"/>
      <c r="R2331" s="191"/>
      <c r="S2331" s="191"/>
      <c r="T2331" s="191"/>
      <c r="U2331" s="439"/>
      <c r="V2331" s="441"/>
      <c r="W2331" s="178"/>
      <c r="X2331" s="172"/>
      <c r="Y2331" s="172"/>
      <c r="Z2331" s="172"/>
      <c r="AA2331" s="195"/>
      <c r="AB2331" s="172"/>
    </row>
    <row r="2332" spans="1:28" ht="12.6" customHeight="1" x14ac:dyDescent="0.3">
      <c r="A2332" s="667"/>
      <c r="B2332" s="668" t="s">
        <v>8677</v>
      </c>
      <c r="C2332" s="160" t="s">
        <v>8678</v>
      </c>
      <c r="D2332" s="160"/>
      <c r="E2332" s="439"/>
      <c r="F2332" s="161">
        <v>591.89919999999995</v>
      </c>
      <c r="G2332" s="161">
        <v>-22.838999999999999</v>
      </c>
      <c r="H2332" s="654">
        <v>102.070923233999</v>
      </c>
      <c r="I2332" s="654">
        <v>7.3662447339199993E-2</v>
      </c>
      <c r="J2332" s="191"/>
      <c r="K2332" s="191">
        <v>1905723.98527535</v>
      </c>
      <c r="L2332" s="191"/>
      <c r="M2332" s="191"/>
      <c r="N2332" s="191"/>
      <c r="O2332" s="191"/>
      <c r="P2332" s="191"/>
      <c r="Q2332" s="191"/>
      <c r="R2332" s="191"/>
      <c r="S2332" s="191"/>
      <c r="T2332" s="191"/>
      <c r="U2332" s="439"/>
      <c r="V2332" s="441"/>
      <c r="W2332" s="178"/>
      <c r="X2332" s="172"/>
      <c r="Y2332" s="172"/>
      <c r="Z2332" s="172"/>
      <c r="AA2332" s="195"/>
      <c r="AB2332" s="172"/>
    </row>
    <row r="2333" spans="1:28" ht="12.6" customHeight="1" x14ac:dyDescent="0.3">
      <c r="A2333" s="667"/>
      <c r="B2333" s="668" t="s">
        <v>8679</v>
      </c>
      <c r="C2333" s="160" t="s">
        <v>8680</v>
      </c>
      <c r="D2333" s="160"/>
      <c r="E2333" s="439"/>
      <c r="F2333" s="161">
        <v>455.99964999999997</v>
      </c>
      <c r="G2333" s="161"/>
      <c r="H2333" s="654"/>
      <c r="I2333" s="654"/>
      <c r="J2333" s="191"/>
      <c r="K2333" s="191">
        <v>1486620.0985286001</v>
      </c>
      <c r="L2333" s="191"/>
      <c r="M2333" s="191"/>
      <c r="N2333" s="191"/>
      <c r="O2333" s="191"/>
      <c r="P2333" s="191"/>
      <c r="Q2333" s="191"/>
      <c r="R2333" s="191"/>
      <c r="S2333" s="191"/>
      <c r="T2333" s="191"/>
      <c r="U2333" s="439"/>
      <c r="V2333" s="441"/>
      <c r="W2333" s="178"/>
      <c r="X2333" s="172"/>
      <c r="Y2333" s="172"/>
      <c r="Z2333" s="172"/>
      <c r="AA2333" s="195"/>
      <c r="AB2333" s="172"/>
    </row>
    <row r="2334" spans="1:28" ht="12.6" customHeight="1" x14ac:dyDescent="0.3">
      <c r="A2334" s="667"/>
      <c r="B2334" s="668" t="s">
        <v>8681</v>
      </c>
      <c r="C2334" s="160" t="s">
        <v>8682</v>
      </c>
      <c r="D2334" s="160"/>
      <c r="E2334" s="439"/>
      <c r="F2334" s="161">
        <v>759.84280000000001</v>
      </c>
      <c r="G2334" s="161"/>
      <c r="H2334" s="654"/>
      <c r="I2334" s="654"/>
      <c r="J2334" s="191"/>
      <c r="K2334" s="191">
        <v>110283362.72398999</v>
      </c>
      <c r="L2334" s="191"/>
      <c r="M2334" s="191"/>
      <c r="N2334" s="191"/>
      <c r="O2334" s="191"/>
      <c r="P2334" s="191"/>
      <c r="Q2334" s="191"/>
      <c r="R2334" s="191"/>
      <c r="S2334" s="191"/>
      <c r="T2334" s="191"/>
      <c r="U2334" s="439"/>
      <c r="V2334" s="441"/>
      <c r="W2334" s="178"/>
      <c r="X2334" s="172"/>
      <c r="Y2334" s="172"/>
      <c r="Z2334" s="172"/>
      <c r="AA2334" s="195"/>
      <c r="AB2334" s="172"/>
    </row>
    <row r="2335" spans="1:28" ht="12.6" customHeight="1" x14ac:dyDescent="0.3">
      <c r="A2335" s="667"/>
      <c r="B2335" s="668" t="s">
        <v>8683</v>
      </c>
      <c r="C2335" s="160" t="s">
        <v>8684</v>
      </c>
      <c r="D2335" s="160"/>
      <c r="E2335" s="439"/>
      <c r="F2335" s="161">
        <v>773.85844999999995</v>
      </c>
      <c r="G2335" s="161"/>
      <c r="H2335" s="654"/>
      <c r="I2335" s="654"/>
      <c r="J2335" s="191"/>
      <c r="K2335" s="191">
        <v>334256606.69782501</v>
      </c>
      <c r="L2335" s="191"/>
      <c r="M2335" s="191"/>
      <c r="N2335" s="191"/>
      <c r="O2335" s="191"/>
      <c r="P2335" s="191"/>
      <c r="Q2335" s="191"/>
      <c r="R2335" s="191"/>
      <c r="S2335" s="191"/>
      <c r="T2335" s="191"/>
      <c r="U2335" s="439"/>
      <c r="V2335" s="441"/>
      <c r="W2335" s="178"/>
      <c r="X2335" s="172"/>
      <c r="Y2335" s="172"/>
      <c r="Z2335" s="172"/>
      <c r="AA2335" s="195"/>
      <c r="AB2335" s="172"/>
    </row>
    <row r="2336" spans="1:28" ht="12.6" customHeight="1" x14ac:dyDescent="0.3">
      <c r="A2336" s="667"/>
      <c r="B2336" s="668" t="s">
        <v>8685</v>
      </c>
      <c r="C2336" s="160" t="s">
        <v>8686</v>
      </c>
      <c r="D2336" s="160"/>
      <c r="E2336" s="439"/>
      <c r="F2336" s="161">
        <v>787.8741</v>
      </c>
      <c r="G2336" s="161"/>
      <c r="H2336" s="654"/>
      <c r="I2336" s="654"/>
      <c r="J2336" s="191"/>
      <c r="K2336" s="191">
        <v>346641056.75516403</v>
      </c>
      <c r="L2336" s="191"/>
      <c r="M2336" s="191"/>
      <c r="N2336" s="191"/>
      <c r="O2336" s="191"/>
      <c r="P2336" s="191"/>
      <c r="Q2336" s="191"/>
      <c r="R2336" s="191"/>
      <c r="S2336" s="191"/>
      <c r="T2336" s="191"/>
      <c r="U2336" s="439"/>
      <c r="V2336" s="441"/>
      <c r="W2336" s="178"/>
      <c r="X2336" s="172"/>
      <c r="Y2336" s="172"/>
      <c r="Z2336" s="172"/>
      <c r="AA2336" s="195"/>
      <c r="AB2336" s="172"/>
    </row>
    <row r="2337" spans="1:28" ht="12.6" customHeight="1" x14ac:dyDescent="0.3">
      <c r="A2337" s="667"/>
      <c r="B2337" s="668" t="s">
        <v>8687</v>
      </c>
      <c r="C2337" s="160" t="s">
        <v>8688</v>
      </c>
      <c r="D2337" s="160"/>
      <c r="E2337" s="439"/>
      <c r="F2337" s="161">
        <v>801.88975000000005</v>
      </c>
      <c r="G2337" s="161"/>
      <c r="H2337" s="654"/>
      <c r="I2337" s="654"/>
      <c r="J2337" s="191"/>
      <c r="K2337" s="191">
        <v>638101844.50331104</v>
      </c>
      <c r="L2337" s="191"/>
      <c r="M2337" s="191"/>
      <c r="N2337" s="191"/>
      <c r="O2337" s="191"/>
      <c r="P2337" s="191"/>
      <c r="Q2337" s="191"/>
      <c r="R2337" s="191"/>
      <c r="S2337" s="191"/>
      <c r="T2337" s="191"/>
      <c r="U2337" s="439"/>
      <c r="V2337" s="441"/>
      <c r="W2337" s="178"/>
      <c r="X2337" s="172"/>
      <c r="Y2337" s="172"/>
      <c r="Z2337" s="172"/>
      <c r="AA2337" s="195"/>
      <c r="AB2337" s="172"/>
    </row>
    <row r="2338" spans="1:28" ht="12.6" customHeight="1" x14ac:dyDescent="0.3">
      <c r="A2338" s="667"/>
      <c r="B2338" s="668" t="s">
        <v>8689</v>
      </c>
      <c r="C2338" s="160" t="s">
        <v>8690</v>
      </c>
      <c r="D2338" s="160"/>
      <c r="E2338" s="439"/>
      <c r="F2338" s="161">
        <v>359.95503559999997</v>
      </c>
      <c r="G2338" s="161"/>
      <c r="H2338" s="654"/>
      <c r="I2338" s="654"/>
      <c r="J2338" s="191"/>
      <c r="K2338" s="191"/>
      <c r="L2338" s="191"/>
      <c r="M2338" s="191"/>
      <c r="N2338" s="191"/>
      <c r="O2338" s="191"/>
      <c r="P2338" s="191"/>
      <c r="Q2338" s="191"/>
      <c r="R2338" s="191"/>
      <c r="S2338" s="191"/>
      <c r="T2338" s="191"/>
      <c r="U2338" s="439"/>
      <c r="V2338" s="441"/>
      <c r="W2338" s="178"/>
      <c r="X2338" s="172"/>
      <c r="Y2338" s="172"/>
      <c r="Z2338" s="172"/>
      <c r="AA2338" s="195"/>
      <c r="AB2338" s="172"/>
    </row>
    <row r="2339" spans="1:28" ht="12.6" customHeight="1" x14ac:dyDescent="0.3">
      <c r="A2339" s="667"/>
      <c r="B2339" s="668" t="s">
        <v>8691</v>
      </c>
      <c r="C2339" s="160" t="s">
        <v>8692</v>
      </c>
      <c r="D2339" s="160"/>
      <c r="E2339" s="439">
        <v>58.140999999999998</v>
      </c>
      <c r="F2339" s="161">
        <v>939.87132599999995</v>
      </c>
      <c r="G2339" s="161"/>
      <c r="H2339" s="654"/>
      <c r="I2339" s="654"/>
      <c r="J2339" s="191"/>
      <c r="K2339" s="191"/>
      <c r="L2339" s="191"/>
      <c r="M2339" s="191"/>
      <c r="N2339" s="191"/>
      <c r="O2339" s="191"/>
      <c r="P2339" s="191"/>
      <c r="Q2339" s="191"/>
      <c r="R2339" s="191"/>
      <c r="S2339" s="191"/>
      <c r="T2339" s="191"/>
      <c r="U2339" s="439"/>
      <c r="V2339" s="441"/>
      <c r="W2339" s="178"/>
      <c r="X2339" s="172"/>
      <c r="Y2339" s="172"/>
      <c r="Z2339" s="172"/>
      <c r="AA2339" s="195"/>
      <c r="AB2339" s="172"/>
    </row>
    <row r="2340" spans="1:28" ht="12.6" customHeight="1" x14ac:dyDescent="0.3">
      <c r="A2340" s="667"/>
      <c r="B2340" s="668" t="s">
        <v>8693</v>
      </c>
      <c r="C2340" s="160" t="s">
        <v>8694</v>
      </c>
      <c r="D2340" s="160"/>
      <c r="E2340" s="439"/>
      <c r="F2340" s="161">
        <v>937.99211300000002</v>
      </c>
      <c r="G2340" s="161"/>
      <c r="H2340" s="654"/>
      <c r="I2340" s="654"/>
      <c r="J2340" s="191"/>
      <c r="K2340" s="191"/>
      <c r="L2340" s="191"/>
      <c r="M2340" s="191"/>
      <c r="N2340" s="191"/>
      <c r="O2340" s="191"/>
      <c r="P2340" s="191"/>
      <c r="Q2340" s="191"/>
      <c r="R2340" s="191"/>
      <c r="S2340" s="191"/>
      <c r="T2340" s="191"/>
      <c r="U2340" s="439"/>
      <c r="V2340" s="441"/>
      <c r="W2340" s="178"/>
      <c r="X2340" s="172"/>
      <c r="Y2340" s="172"/>
      <c r="Z2340" s="172"/>
      <c r="AA2340" s="195"/>
      <c r="AB2340" s="172"/>
    </row>
    <row r="2341" spans="1:28" ht="12.6" customHeight="1" x14ac:dyDescent="0.3">
      <c r="A2341" s="667"/>
      <c r="B2341" s="668" t="s">
        <v>8695</v>
      </c>
      <c r="C2341" s="160" t="s">
        <v>8696</v>
      </c>
      <c r="D2341" s="160"/>
      <c r="E2341" s="439">
        <v>59.359000000000002</v>
      </c>
      <c r="F2341" s="161">
        <v>901.99211300000002</v>
      </c>
      <c r="G2341" s="161"/>
      <c r="H2341" s="654"/>
      <c r="I2341" s="654"/>
      <c r="J2341" s="191"/>
      <c r="K2341" s="191"/>
      <c r="L2341" s="191"/>
      <c r="M2341" s="191"/>
      <c r="N2341" s="191"/>
      <c r="O2341" s="191"/>
      <c r="P2341" s="191"/>
      <c r="Q2341" s="191"/>
      <c r="R2341" s="191"/>
      <c r="S2341" s="191"/>
      <c r="T2341" s="191"/>
      <c r="U2341" s="439"/>
      <c r="V2341" s="441"/>
      <c r="W2341" s="178"/>
      <c r="X2341" s="172"/>
      <c r="Y2341" s="172"/>
      <c r="Z2341" s="172"/>
      <c r="AA2341" s="195"/>
      <c r="AB2341" s="172"/>
    </row>
    <row r="2342" spans="1:28" ht="12.6" customHeight="1" x14ac:dyDescent="0.3">
      <c r="A2342" s="667"/>
      <c r="B2342" s="668" t="s">
        <v>8697</v>
      </c>
      <c r="C2342" s="160" t="s">
        <v>8698</v>
      </c>
      <c r="D2342" s="160"/>
      <c r="E2342" s="439">
        <v>56.206000000000003</v>
      </c>
      <c r="F2342" s="161">
        <v>861.96081300000003</v>
      </c>
      <c r="G2342" s="161"/>
      <c r="H2342" s="654"/>
      <c r="I2342" s="654"/>
      <c r="J2342" s="191"/>
      <c r="K2342" s="191"/>
      <c r="L2342" s="191"/>
      <c r="M2342" s="191"/>
      <c r="N2342" s="191"/>
      <c r="O2342" s="191"/>
      <c r="P2342" s="191"/>
      <c r="Q2342" s="191"/>
      <c r="R2342" s="191"/>
      <c r="S2342" s="191"/>
      <c r="T2342" s="191"/>
      <c r="U2342" s="439"/>
      <c r="V2342" s="441"/>
      <c r="W2342" s="178"/>
      <c r="X2342" s="172"/>
      <c r="Y2342" s="172"/>
      <c r="Z2342" s="172"/>
      <c r="AA2342" s="195"/>
      <c r="AB2342" s="172"/>
    </row>
    <row r="2343" spans="1:28" ht="12.6" customHeight="1" x14ac:dyDescent="0.3">
      <c r="A2343" s="667"/>
      <c r="B2343" s="668" t="s">
        <v>8699</v>
      </c>
      <c r="C2343" s="160" t="s">
        <v>8700</v>
      </c>
      <c r="D2343" s="160"/>
      <c r="E2343" s="439"/>
      <c r="F2343" s="161">
        <v>260.02475362799998</v>
      </c>
      <c r="G2343" s="161"/>
      <c r="H2343" s="654"/>
      <c r="I2343" s="654"/>
      <c r="J2343" s="191"/>
      <c r="K2343" s="191">
        <v>1159.0708935090599</v>
      </c>
      <c r="L2343" s="191"/>
      <c r="M2343" s="191"/>
      <c r="N2343" s="191"/>
      <c r="O2343" s="191"/>
      <c r="P2343" s="191"/>
      <c r="Q2343" s="191"/>
      <c r="R2343" s="191"/>
      <c r="S2343" s="191"/>
      <c r="T2343" s="191"/>
      <c r="U2343" s="439"/>
      <c r="V2343" s="441"/>
      <c r="W2343" s="178"/>
      <c r="X2343" s="172"/>
      <c r="Y2343" s="172"/>
      <c r="Z2343" s="172"/>
      <c r="AA2343" s="195"/>
      <c r="AB2343" s="172"/>
    </row>
    <row r="2344" spans="1:28" ht="12.6" customHeight="1" x14ac:dyDescent="0.3">
      <c r="A2344" s="667"/>
      <c r="B2344" s="668" t="s">
        <v>8701</v>
      </c>
      <c r="C2344" s="160" t="s">
        <v>8702</v>
      </c>
      <c r="D2344" s="160"/>
      <c r="E2344" s="439"/>
      <c r="F2344" s="161">
        <v>336.05605375699997</v>
      </c>
      <c r="G2344" s="161"/>
      <c r="H2344" s="654"/>
      <c r="I2344" s="654"/>
      <c r="J2344" s="191"/>
      <c r="K2344" s="191">
        <v>21051837.062709499</v>
      </c>
      <c r="L2344" s="191"/>
      <c r="M2344" s="191"/>
      <c r="N2344" s="191"/>
      <c r="O2344" s="191"/>
      <c r="P2344" s="191"/>
      <c r="Q2344" s="191"/>
      <c r="R2344" s="191"/>
      <c r="S2344" s="191"/>
      <c r="T2344" s="191"/>
      <c r="U2344" s="439"/>
      <c r="V2344" s="441"/>
      <c r="W2344" s="178"/>
      <c r="X2344" s="172"/>
      <c r="Y2344" s="172"/>
      <c r="Z2344" s="172"/>
      <c r="AA2344" s="195"/>
      <c r="AB2344" s="172"/>
    </row>
    <row r="2345" spans="1:28" ht="12.6" customHeight="1" x14ac:dyDescent="0.3">
      <c r="A2345" s="667"/>
      <c r="B2345" s="668" t="s">
        <v>8703</v>
      </c>
      <c r="C2345" s="160" t="s">
        <v>8704</v>
      </c>
      <c r="D2345" s="160"/>
      <c r="E2345" s="439"/>
      <c r="F2345" s="161">
        <v>276.01966824800002</v>
      </c>
      <c r="G2345" s="161">
        <v>-82.3</v>
      </c>
      <c r="H2345" s="654">
        <v>379.22909612000001</v>
      </c>
      <c r="I2345" s="654">
        <v>8.9730405891737508</v>
      </c>
      <c r="J2345" s="191"/>
      <c r="K2345" s="191">
        <v>33662.006537529698</v>
      </c>
      <c r="L2345" s="191"/>
      <c r="M2345" s="191"/>
      <c r="N2345" s="191"/>
      <c r="O2345" s="191"/>
      <c r="P2345" s="191"/>
      <c r="Q2345" s="191"/>
      <c r="R2345" s="191"/>
      <c r="S2345" s="191"/>
      <c r="T2345" s="191"/>
      <c r="U2345" s="439"/>
      <c r="V2345" s="441"/>
      <c r="W2345" s="178"/>
      <c r="X2345" s="172"/>
      <c r="Y2345" s="172"/>
      <c r="Z2345" s="172"/>
      <c r="AA2345" s="195"/>
      <c r="AB2345" s="172"/>
    </row>
    <row r="2346" spans="1:28" ht="12.6" customHeight="1" x14ac:dyDescent="0.3">
      <c r="A2346" s="667"/>
      <c r="B2346" s="668" t="s">
        <v>8705</v>
      </c>
      <c r="C2346" s="160" t="s">
        <v>8706</v>
      </c>
      <c r="D2346" s="160"/>
      <c r="E2346" s="439"/>
      <c r="F2346" s="161">
        <v>320.00949748800002</v>
      </c>
      <c r="G2346" s="161"/>
      <c r="H2346" s="654"/>
      <c r="I2346" s="654"/>
      <c r="J2346" s="191"/>
      <c r="K2346" s="191">
        <v>847.69573870293902</v>
      </c>
      <c r="L2346" s="191"/>
      <c r="M2346" s="191"/>
      <c r="N2346" s="191"/>
      <c r="O2346" s="191"/>
      <c r="P2346" s="191"/>
      <c r="Q2346" s="191"/>
      <c r="R2346" s="191"/>
      <c r="S2346" s="191"/>
      <c r="T2346" s="191"/>
      <c r="U2346" s="439"/>
      <c r="V2346" s="441"/>
      <c r="W2346" s="178"/>
      <c r="X2346" s="172"/>
      <c r="Y2346" s="172"/>
      <c r="Z2346" s="172"/>
      <c r="AA2346" s="195"/>
      <c r="AB2346" s="172"/>
    </row>
    <row r="2347" spans="1:28" ht="12.6" customHeight="1" x14ac:dyDescent="0.3">
      <c r="A2347" s="667"/>
      <c r="B2347" s="668" t="s">
        <v>8707</v>
      </c>
      <c r="C2347" s="160" t="s">
        <v>8708</v>
      </c>
      <c r="D2347" s="160"/>
      <c r="E2347" s="439"/>
      <c r="F2347" s="161">
        <v>325.93526700000001</v>
      </c>
      <c r="G2347" s="161">
        <v>-69.046000000000006</v>
      </c>
      <c r="H2347" s="654">
        <v>1108.9244000799999</v>
      </c>
      <c r="I2347" s="654">
        <v>14.8638541356879</v>
      </c>
      <c r="J2347" s="191"/>
      <c r="K2347" s="191">
        <v>113190.50564324499</v>
      </c>
      <c r="L2347" s="191"/>
      <c r="M2347" s="191"/>
      <c r="N2347" s="191"/>
      <c r="O2347" s="191"/>
      <c r="P2347" s="191"/>
      <c r="Q2347" s="191"/>
      <c r="R2347" s="191"/>
      <c r="S2347" s="191"/>
      <c r="T2347" s="191"/>
      <c r="U2347" s="439"/>
      <c r="V2347" s="441"/>
      <c r="W2347" s="178"/>
      <c r="X2347" s="172"/>
      <c r="Y2347" s="172"/>
      <c r="Z2347" s="172"/>
      <c r="AA2347" s="195"/>
      <c r="AB2347" s="172"/>
    </row>
    <row r="2348" spans="1:28" ht="12.6" customHeight="1" x14ac:dyDescent="0.3">
      <c r="A2348" s="667"/>
      <c r="B2348" s="668" t="s">
        <v>8709</v>
      </c>
      <c r="C2348" s="160" t="s">
        <v>8710</v>
      </c>
      <c r="D2348" s="160"/>
      <c r="E2348" s="439">
        <v>3.24</v>
      </c>
      <c r="F2348" s="161">
        <v>389.030961209</v>
      </c>
      <c r="G2348" s="161"/>
      <c r="H2348" s="654"/>
      <c r="I2348" s="654"/>
      <c r="J2348" s="191"/>
      <c r="K2348" s="191">
        <v>552.10286397181505</v>
      </c>
      <c r="L2348" s="191"/>
      <c r="M2348" s="191"/>
      <c r="N2348" s="191"/>
      <c r="O2348" s="191"/>
      <c r="P2348" s="191"/>
      <c r="Q2348" s="191"/>
      <c r="R2348" s="191"/>
      <c r="S2348" s="191"/>
      <c r="T2348" s="191"/>
      <c r="U2348" s="439"/>
      <c r="V2348" s="441"/>
      <c r="W2348" s="178"/>
      <c r="X2348" s="172"/>
      <c r="Y2348" s="172"/>
      <c r="Z2348" s="172"/>
      <c r="AA2348" s="195"/>
      <c r="AB2348" s="172"/>
    </row>
    <row r="2349" spans="1:28" ht="12.6" customHeight="1" x14ac:dyDescent="0.3">
      <c r="A2349" s="667"/>
      <c r="B2349" s="668" t="s">
        <v>8711</v>
      </c>
      <c r="C2349" s="160" t="s">
        <v>8712</v>
      </c>
      <c r="D2349" s="160"/>
      <c r="E2349" s="439"/>
      <c r="F2349" s="161">
        <v>665.98978236699998</v>
      </c>
      <c r="G2349" s="161"/>
      <c r="H2349" s="654"/>
      <c r="I2349" s="654"/>
      <c r="J2349" s="191"/>
      <c r="K2349" s="191">
        <v>304859.687418913</v>
      </c>
      <c r="L2349" s="191"/>
      <c r="M2349" s="191"/>
      <c r="N2349" s="191"/>
      <c r="O2349" s="191"/>
      <c r="P2349" s="191"/>
      <c r="Q2349" s="191"/>
      <c r="R2349" s="191"/>
      <c r="S2349" s="191"/>
      <c r="T2349" s="191"/>
      <c r="U2349" s="439"/>
      <c r="V2349" s="441"/>
      <c r="W2349" s="178"/>
      <c r="X2349" s="172"/>
      <c r="Y2349" s="172"/>
      <c r="Z2349" s="172"/>
      <c r="AA2349" s="195"/>
      <c r="AB2349" s="172"/>
    </row>
    <row r="2350" spans="1:28" ht="12.6" customHeight="1" x14ac:dyDescent="0.3">
      <c r="A2350" s="667"/>
      <c r="B2350" s="668" t="s">
        <v>8713</v>
      </c>
      <c r="C2350" s="160" t="s">
        <v>8714</v>
      </c>
      <c r="D2350" s="160"/>
      <c r="E2350" s="439">
        <v>7.68</v>
      </c>
      <c r="F2350" s="161">
        <v>344.02073087600002</v>
      </c>
      <c r="G2350" s="161">
        <v>-50.101999999999997</v>
      </c>
      <c r="H2350" s="654">
        <v>18.109260582000001</v>
      </c>
      <c r="I2350" s="654"/>
      <c r="J2350" s="191"/>
      <c r="K2350" s="191">
        <v>71.7728183018409</v>
      </c>
      <c r="L2350" s="191"/>
      <c r="M2350" s="191"/>
      <c r="N2350" s="191"/>
      <c r="O2350" s="191"/>
      <c r="P2350" s="191"/>
      <c r="Q2350" s="191"/>
      <c r="R2350" s="191"/>
      <c r="S2350" s="191"/>
      <c r="T2350" s="191"/>
      <c r="U2350" s="439"/>
      <c r="V2350" s="441"/>
      <c r="W2350" s="178"/>
      <c r="X2350" s="172"/>
      <c r="Y2350" s="172"/>
      <c r="Z2350" s="172"/>
      <c r="AA2350" s="195"/>
      <c r="AB2350" s="172"/>
    </row>
    <row r="2351" spans="1:28" ht="12.6" customHeight="1" x14ac:dyDescent="0.3">
      <c r="A2351" s="667"/>
      <c r="B2351" s="668" t="s">
        <v>8715</v>
      </c>
      <c r="C2351" s="160" t="s">
        <v>8716</v>
      </c>
      <c r="D2351" s="160"/>
      <c r="E2351" s="439">
        <v>38.606999999999999</v>
      </c>
      <c r="F2351" s="161">
        <v>273.0200026</v>
      </c>
      <c r="G2351" s="161">
        <v>-56.912999999999997</v>
      </c>
      <c r="H2351" s="654">
        <v>319.81681326</v>
      </c>
      <c r="I2351" s="654">
        <v>4.2091493800841997</v>
      </c>
      <c r="J2351" s="191"/>
      <c r="K2351" s="191">
        <v>4820.69882925208</v>
      </c>
      <c r="L2351" s="191"/>
      <c r="M2351" s="191"/>
      <c r="N2351" s="191"/>
      <c r="O2351" s="191"/>
      <c r="P2351" s="191"/>
      <c r="Q2351" s="191"/>
      <c r="R2351" s="191"/>
      <c r="S2351" s="191"/>
      <c r="T2351" s="191"/>
      <c r="U2351" s="439"/>
      <c r="V2351" s="441"/>
      <c r="W2351" s="178"/>
      <c r="X2351" s="172"/>
      <c r="Y2351" s="172"/>
      <c r="Z2351" s="172"/>
      <c r="AA2351" s="195"/>
      <c r="AB2351" s="172"/>
    </row>
    <row r="2352" spans="1:28" ht="12.6" customHeight="1" x14ac:dyDescent="0.3">
      <c r="A2352" s="667"/>
      <c r="B2352" s="668" t="s">
        <v>8717</v>
      </c>
      <c r="C2352" s="160" t="s">
        <v>8718</v>
      </c>
      <c r="D2352" s="160"/>
      <c r="E2352" s="439">
        <v>6.76</v>
      </c>
      <c r="F2352" s="161">
        <v>495.07282602200002</v>
      </c>
      <c r="G2352" s="161"/>
      <c r="H2352" s="654"/>
      <c r="I2352" s="654"/>
      <c r="J2352" s="191"/>
      <c r="K2352" s="191">
        <v>3406.9048146130999</v>
      </c>
      <c r="L2352" s="191"/>
      <c r="M2352" s="191"/>
      <c r="N2352" s="191"/>
      <c r="O2352" s="191"/>
      <c r="P2352" s="191"/>
      <c r="Q2352" s="191"/>
      <c r="R2352" s="191"/>
      <c r="S2352" s="191"/>
      <c r="T2352" s="191"/>
      <c r="U2352" s="439"/>
      <c r="V2352" s="441"/>
      <c r="W2352" s="178"/>
      <c r="X2352" s="172"/>
      <c r="Y2352" s="172"/>
      <c r="Z2352" s="172"/>
      <c r="AA2352" s="195"/>
      <c r="AB2352" s="172"/>
    </row>
    <row r="2353" spans="1:28" ht="12.6" customHeight="1" x14ac:dyDescent="0.3">
      <c r="A2353" s="667"/>
      <c r="B2353" s="668" t="s">
        <v>8719</v>
      </c>
      <c r="C2353" s="160" t="s">
        <v>8720</v>
      </c>
      <c r="D2353" s="160"/>
      <c r="E2353" s="439"/>
      <c r="F2353" s="161">
        <v>353.966567</v>
      </c>
      <c r="G2353" s="161"/>
      <c r="H2353" s="654"/>
      <c r="I2353" s="654"/>
      <c r="J2353" s="191"/>
      <c r="K2353" s="191">
        <v>1005541.50185604</v>
      </c>
      <c r="L2353" s="191"/>
      <c r="M2353" s="191"/>
      <c r="N2353" s="191"/>
      <c r="O2353" s="191"/>
      <c r="P2353" s="191"/>
      <c r="Q2353" s="191"/>
      <c r="R2353" s="191"/>
      <c r="S2353" s="191"/>
      <c r="T2353" s="191"/>
      <c r="U2353" s="439"/>
      <c r="V2353" s="441"/>
      <c r="W2353" s="178"/>
      <c r="X2353" s="172"/>
      <c r="Y2353" s="172"/>
      <c r="Z2353" s="172"/>
      <c r="AA2353" s="195"/>
      <c r="AB2353" s="172"/>
    </row>
    <row r="2354" spans="1:28" ht="12.6" customHeight="1" x14ac:dyDescent="0.3">
      <c r="A2354" s="667"/>
      <c r="B2354" s="668" t="s">
        <v>8721</v>
      </c>
      <c r="C2354" s="160" t="s">
        <v>8722</v>
      </c>
      <c r="D2354" s="160"/>
      <c r="E2354" s="439"/>
      <c r="F2354" s="161">
        <v>381.99786699999999</v>
      </c>
      <c r="G2354" s="161">
        <v>-40.973999999999997</v>
      </c>
      <c r="H2354" s="654">
        <v>20.792232510000002</v>
      </c>
      <c r="I2354" s="654">
        <v>1.4930042833614701</v>
      </c>
      <c r="J2354" s="191"/>
      <c r="K2354" s="191">
        <v>7402526.99810341</v>
      </c>
      <c r="L2354" s="191"/>
      <c r="M2354" s="191"/>
      <c r="N2354" s="191"/>
      <c r="O2354" s="191"/>
      <c r="P2354" s="191"/>
      <c r="Q2354" s="191"/>
      <c r="R2354" s="191"/>
      <c r="S2354" s="191"/>
      <c r="T2354" s="191"/>
      <c r="U2354" s="439"/>
      <c r="V2354" s="441"/>
      <c r="W2354" s="178"/>
      <c r="X2354" s="172"/>
      <c r="Y2354" s="172"/>
      <c r="Z2354" s="172"/>
      <c r="AA2354" s="195"/>
      <c r="AB2354" s="172"/>
    </row>
    <row r="2355" spans="1:28" ht="12.6" customHeight="1" x14ac:dyDescent="0.3">
      <c r="A2355" s="667"/>
      <c r="B2355" s="668" t="s">
        <v>8723</v>
      </c>
      <c r="C2355" s="160" t="s">
        <v>8724</v>
      </c>
      <c r="D2355" s="160"/>
      <c r="E2355" s="439"/>
      <c r="F2355" s="161">
        <v>522.06515732000003</v>
      </c>
      <c r="G2355" s="161"/>
      <c r="H2355" s="654"/>
      <c r="I2355" s="654"/>
      <c r="J2355" s="191"/>
      <c r="K2355" s="191">
        <v>3177825.1659652898</v>
      </c>
      <c r="L2355" s="191"/>
      <c r="M2355" s="191"/>
      <c r="N2355" s="191"/>
      <c r="O2355" s="191"/>
      <c r="P2355" s="191"/>
      <c r="Q2355" s="191"/>
      <c r="R2355" s="191"/>
      <c r="S2355" s="191"/>
      <c r="T2355" s="191"/>
      <c r="U2355" s="439"/>
      <c r="V2355" s="441"/>
      <c r="W2355" s="178"/>
      <c r="X2355" s="172"/>
      <c r="Y2355" s="172"/>
      <c r="Z2355" s="172"/>
      <c r="AA2355" s="195"/>
      <c r="AB2355" s="172"/>
    </row>
    <row r="2356" spans="1:28" ht="12.6" customHeight="1" x14ac:dyDescent="0.3">
      <c r="A2356" s="667"/>
      <c r="B2356" s="668" t="s">
        <v>8725</v>
      </c>
      <c r="C2356" s="160" t="s">
        <v>8726</v>
      </c>
      <c r="D2356" s="160"/>
      <c r="E2356" s="439"/>
      <c r="F2356" s="161">
        <v>422.10589640000001</v>
      </c>
      <c r="G2356" s="161"/>
      <c r="H2356" s="654"/>
      <c r="I2356" s="654"/>
      <c r="J2356" s="191"/>
      <c r="K2356" s="191">
        <v>121037515.36710399</v>
      </c>
      <c r="L2356" s="191"/>
      <c r="M2356" s="191"/>
      <c r="N2356" s="191"/>
      <c r="O2356" s="191"/>
      <c r="P2356" s="191"/>
      <c r="Q2356" s="191"/>
      <c r="R2356" s="191"/>
      <c r="S2356" s="191"/>
      <c r="T2356" s="191"/>
      <c r="U2356" s="439"/>
      <c r="V2356" s="441"/>
      <c r="W2356" s="178"/>
      <c r="X2356" s="172"/>
      <c r="Y2356" s="172"/>
      <c r="Z2356" s="172"/>
      <c r="AA2356" s="195"/>
      <c r="AB2356" s="172"/>
    </row>
    <row r="2357" spans="1:28" ht="12.6" customHeight="1" x14ac:dyDescent="0.3">
      <c r="A2357" s="667"/>
      <c r="B2357" s="668" t="s">
        <v>8727</v>
      </c>
      <c r="C2357" s="160" t="s">
        <v>8728</v>
      </c>
      <c r="D2357" s="160"/>
      <c r="E2357" s="439"/>
      <c r="F2357" s="161">
        <v>401.95269999999999</v>
      </c>
      <c r="G2357" s="161"/>
      <c r="H2357" s="654"/>
      <c r="I2357" s="654"/>
      <c r="J2357" s="191"/>
      <c r="K2357" s="191">
        <v>940242.76437455602</v>
      </c>
      <c r="L2357" s="191"/>
      <c r="M2357" s="191"/>
      <c r="N2357" s="191"/>
      <c r="O2357" s="191"/>
      <c r="P2357" s="191"/>
      <c r="Q2357" s="191"/>
      <c r="R2357" s="191"/>
      <c r="S2357" s="191"/>
      <c r="T2357" s="191"/>
      <c r="U2357" s="439"/>
      <c r="V2357" s="441"/>
      <c r="W2357" s="178"/>
      <c r="X2357" s="172"/>
      <c r="Y2357" s="172"/>
      <c r="Z2357" s="172"/>
      <c r="AA2357" s="195"/>
      <c r="AB2357" s="172"/>
    </row>
    <row r="2358" spans="1:28" ht="12.6" customHeight="1" x14ac:dyDescent="0.3">
      <c r="A2358" s="667"/>
      <c r="B2358" s="668" t="s">
        <v>8729</v>
      </c>
      <c r="C2358" s="160" t="s">
        <v>8730</v>
      </c>
      <c r="D2358" s="160"/>
      <c r="E2358" s="439"/>
      <c r="F2358" s="161">
        <v>387.93705</v>
      </c>
      <c r="G2358" s="161">
        <v>-29.571999999999999</v>
      </c>
      <c r="H2358" s="654">
        <v>336.43540056000001</v>
      </c>
      <c r="I2358" s="654">
        <v>1.8020257878074999</v>
      </c>
      <c r="J2358" s="191"/>
      <c r="K2358" s="191">
        <v>289361.00224506803</v>
      </c>
      <c r="L2358" s="191"/>
      <c r="M2358" s="191"/>
      <c r="N2358" s="191"/>
      <c r="O2358" s="191"/>
      <c r="P2358" s="191"/>
      <c r="Q2358" s="191"/>
      <c r="R2358" s="191"/>
      <c r="S2358" s="191"/>
      <c r="T2358" s="191"/>
      <c r="U2358" s="439"/>
      <c r="V2358" s="441"/>
      <c r="W2358" s="178"/>
      <c r="X2358" s="172"/>
      <c r="Y2358" s="172"/>
      <c r="Z2358" s="172"/>
      <c r="AA2358" s="195"/>
      <c r="AB2358" s="172"/>
    </row>
    <row r="2359" spans="1:28" ht="12.6" customHeight="1" x14ac:dyDescent="0.3">
      <c r="A2359" s="667"/>
      <c r="B2359" s="668" t="s">
        <v>8731</v>
      </c>
      <c r="C2359" s="160" t="s">
        <v>8732</v>
      </c>
      <c r="D2359" s="160"/>
      <c r="E2359" s="439"/>
      <c r="F2359" s="161">
        <v>332.04588299699998</v>
      </c>
      <c r="G2359" s="161"/>
      <c r="H2359" s="654"/>
      <c r="I2359" s="654"/>
      <c r="J2359" s="191"/>
      <c r="K2359" s="191">
        <v>964.11757559327896</v>
      </c>
      <c r="L2359" s="191"/>
      <c r="M2359" s="191"/>
      <c r="N2359" s="191"/>
      <c r="O2359" s="191"/>
      <c r="P2359" s="191"/>
      <c r="Q2359" s="191"/>
      <c r="R2359" s="191"/>
      <c r="S2359" s="191"/>
      <c r="T2359" s="191"/>
      <c r="U2359" s="439"/>
      <c r="V2359" s="441"/>
      <c r="W2359" s="178"/>
      <c r="X2359" s="172"/>
      <c r="Y2359" s="172"/>
      <c r="Z2359" s="172"/>
      <c r="AA2359" s="195"/>
      <c r="AB2359" s="172"/>
    </row>
    <row r="2360" spans="1:28" ht="12.6" customHeight="1" x14ac:dyDescent="0.3">
      <c r="A2360" s="667"/>
      <c r="B2360" s="668" t="s">
        <v>8733</v>
      </c>
      <c r="C2360" s="160" t="s">
        <v>8734</v>
      </c>
      <c r="D2360" s="160"/>
      <c r="E2360" s="439"/>
      <c r="F2360" s="161">
        <v>339.99126059999998</v>
      </c>
      <c r="G2360" s="161">
        <v>-62.603000000000002</v>
      </c>
      <c r="H2360" s="654">
        <v>92.661989727999995</v>
      </c>
      <c r="I2360" s="654">
        <v>5.0057253289398496</v>
      </c>
      <c r="J2360" s="191"/>
      <c r="K2360" s="191">
        <v>4166.1989008084802</v>
      </c>
      <c r="L2360" s="191"/>
      <c r="M2360" s="191"/>
      <c r="N2360" s="191"/>
      <c r="O2360" s="191"/>
      <c r="P2360" s="191"/>
      <c r="Q2360" s="191"/>
      <c r="R2360" s="191"/>
      <c r="S2360" s="191"/>
      <c r="T2360" s="191"/>
      <c r="U2360" s="439"/>
      <c r="V2360" s="441"/>
      <c r="W2360" s="178"/>
      <c r="X2360" s="172"/>
      <c r="Y2360" s="172"/>
      <c r="Z2360" s="172"/>
      <c r="AA2360" s="195"/>
      <c r="AB2360" s="172"/>
    </row>
    <row r="2361" spans="1:28" ht="12.6" customHeight="1" x14ac:dyDescent="0.3">
      <c r="A2361" s="667"/>
      <c r="B2361" s="668" t="s">
        <v>8735</v>
      </c>
      <c r="C2361" s="160" t="s">
        <v>8736</v>
      </c>
      <c r="D2361" s="160"/>
      <c r="E2361" s="439">
        <v>5.66</v>
      </c>
      <c r="F2361" s="161">
        <v>342.95770800000003</v>
      </c>
      <c r="G2361" s="161">
        <v>-51.417000000000002</v>
      </c>
      <c r="H2361" s="654">
        <v>63.958963025999999</v>
      </c>
      <c r="I2361" s="654">
        <v>1.9509252106892401</v>
      </c>
      <c r="J2361" s="191"/>
      <c r="K2361" s="191">
        <v>7413.4438068521704</v>
      </c>
      <c r="L2361" s="191"/>
      <c r="M2361" s="191"/>
      <c r="N2361" s="191"/>
      <c r="O2361" s="191"/>
      <c r="P2361" s="191"/>
      <c r="Q2361" s="191"/>
      <c r="R2361" s="191"/>
      <c r="S2361" s="191"/>
      <c r="T2361" s="191"/>
      <c r="U2361" s="439"/>
      <c r="V2361" s="441"/>
      <c r="W2361" s="178"/>
      <c r="X2361" s="172"/>
      <c r="Y2361" s="172"/>
      <c r="Z2361" s="172"/>
      <c r="AA2361" s="195"/>
      <c r="AB2361" s="172"/>
    </row>
    <row r="2362" spans="1:28" ht="12.6" customHeight="1" x14ac:dyDescent="0.3">
      <c r="A2362" s="667"/>
      <c r="B2362" s="668" t="s">
        <v>8737</v>
      </c>
      <c r="C2362" s="160" t="s">
        <v>8738</v>
      </c>
      <c r="D2362" s="160"/>
      <c r="E2362" s="439"/>
      <c r="F2362" s="161">
        <v>610.04481580000004</v>
      </c>
      <c r="G2362" s="161">
        <v>-71.412000000000006</v>
      </c>
      <c r="H2362" s="654">
        <v>1.2271623489999901</v>
      </c>
      <c r="I2362" s="654">
        <v>3.7875791474093E-2</v>
      </c>
      <c r="J2362" s="191"/>
      <c r="K2362" s="191">
        <v>133293.81559132601</v>
      </c>
      <c r="L2362" s="191"/>
      <c r="M2362" s="191"/>
      <c r="N2362" s="191"/>
      <c r="O2362" s="191"/>
      <c r="P2362" s="191"/>
      <c r="Q2362" s="191"/>
      <c r="R2362" s="191"/>
      <c r="S2362" s="191"/>
      <c r="T2362" s="191"/>
      <c r="U2362" s="439"/>
      <c r="V2362" s="441"/>
      <c r="W2362" s="178"/>
      <c r="X2362" s="172"/>
      <c r="Y2362" s="172"/>
      <c r="Z2362" s="172"/>
      <c r="AA2362" s="195"/>
      <c r="AB2362" s="172"/>
    </row>
    <row r="2363" spans="1:28" ht="12.6" customHeight="1" x14ac:dyDescent="0.3">
      <c r="A2363" s="667"/>
      <c r="B2363" s="668" t="s">
        <v>8739</v>
      </c>
      <c r="C2363" s="160" t="s">
        <v>8740</v>
      </c>
      <c r="D2363" s="160"/>
      <c r="E2363" s="439"/>
      <c r="F2363" s="161">
        <v>554.01860105200001</v>
      </c>
      <c r="G2363" s="161"/>
      <c r="H2363" s="654"/>
      <c r="I2363" s="654"/>
      <c r="J2363" s="191"/>
      <c r="K2363" s="191">
        <v>75129.413755992195</v>
      </c>
      <c r="L2363" s="191"/>
      <c r="M2363" s="191"/>
      <c r="N2363" s="191"/>
      <c r="O2363" s="191"/>
      <c r="P2363" s="191"/>
      <c r="Q2363" s="191"/>
      <c r="R2363" s="191"/>
      <c r="S2363" s="191"/>
      <c r="T2363" s="191"/>
      <c r="U2363" s="439"/>
      <c r="V2363" s="441"/>
      <c r="W2363" s="178"/>
      <c r="X2363" s="172"/>
      <c r="Y2363" s="172"/>
      <c r="Z2363" s="172"/>
      <c r="AA2363" s="195"/>
      <c r="AB2363" s="172"/>
    </row>
    <row r="2364" spans="1:28" ht="12.6" customHeight="1" x14ac:dyDescent="0.3">
      <c r="A2364" s="667"/>
      <c r="B2364" s="668" t="s">
        <v>8741</v>
      </c>
      <c r="C2364" s="160" t="s">
        <v>8742</v>
      </c>
      <c r="D2364" s="160"/>
      <c r="E2364" s="439"/>
      <c r="F2364" s="161">
        <v>325.97561050000002</v>
      </c>
      <c r="G2364" s="161"/>
      <c r="H2364" s="654"/>
      <c r="I2364" s="654"/>
      <c r="J2364" s="191"/>
      <c r="K2364" s="191">
        <v>1176.3051542916701</v>
      </c>
      <c r="L2364" s="191"/>
      <c r="M2364" s="191"/>
      <c r="N2364" s="191"/>
      <c r="O2364" s="191"/>
      <c r="P2364" s="191"/>
      <c r="Q2364" s="191"/>
      <c r="R2364" s="191"/>
      <c r="S2364" s="191"/>
      <c r="T2364" s="191"/>
      <c r="U2364" s="439"/>
      <c r="V2364" s="441"/>
      <c r="W2364" s="178"/>
      <c r="X2364" s="172"/>
      <c r="Y2364" s="172"/>
      <c r="Z2364" s="172"/>
      <c r="AA2364" s="195"/>
      <c r="AB2364" s="172"/>
    </row>
    <row r="2365" spans="1:28" ht="12.6" customHeight="1" x14ac:dyDescent="0.3">
      <c r="A2365" s="667"/>
      <c r="B2365" s="668" t="s">
        <v>8743</v>
      </c>
      <c r="C2365" s="160" t="s">
        <v>8744</v>
      </c>
      <c r="D2365" s="160"/>
      <c r="E2365" s="439"/>
      <c r="F2365" s="161">
        <v>290.03531831200002</v>
      </c>
      <c r="G2365" s="161"/>
      <c r="H2365" s="654"/>
      <c r="I2365" s="654"/>
      <c r="J2365" s="191"/>
      <c r="K2365" s="191">
        <v>1976.92411922771</v>
      </c>
      <c r="L2365" s="191"/>
      <c r="M2365" s="191"/>
      <c r="N2365" s="191"/>
      <c r="O2365" s="191"/>
      <c r="P2365" s="191"/>
      <c r="Q2365" s="191"/>
      <c r="R2365" s="191"/>
      <c r="S2365" s="191"/>
      <c r="T2365" s="191"/>
      <c r="U2365" s="439"/>
      <c r="V2365" s="441"/>
      <c r="W2365" s="178"/>
      <c r="X2365" s="172"/>
      <c r="Y2365" s="172"/>
      <c r="Z2365" s="172"/>
      <c r="AA2365" s="195"/>
      <c r="AB2365" s="172"/>
    </row>
    <row r="2366" spans="1:28" ht="12.6" customHeight="1" x14ac:dyDescent="0.3">
      <c r="A2366" s="667"/>
      <c r="B2366" s="668" t="s">
        <v>8745</v>
      </c>
      <c r="C2366" s="160" t="s">
        <v>8746</v>
      </c>
      <c r="D2366" s="160"/>
      <c r="E2366" s="439"/>
      <c r="F2366" s="161">
        <v>292.01458286799999</v>
      </c>
      <c r="G2366" s="161"/>
      <c r="H2366" s="654"/>
      <c r="I2366" s="654"/>
      <c r="J2366" s="191"/>
      <c r="K2366" s="191">
        <v>326.88124244185599</v>
      </c>
      <c r="L2366" s="191"/>
      <c r="M2366" s="191"/>
      <c r="N2366" s="191"/>
      <c r="O2366" s="191"/>
      <c r="P2366" s="191"/>
      <c r="Q2366" s="191"/>
      <c r="R2366" s="191"/>
      <c r="S2366" s="191"/>
      <c r="T2366" s="191"/>
      <c r="U2366" s="439"/>
      <c r="V2366" s="441"/>
      <c r="W2366" s="178"/>
      <c r="X2366" s="172"/>
      <c r="Y2366" s="172"/>
      <c r="Z2366" s="172"/>
      <c r="AA2366" s="195"/>
      <c r="AB2366" s="172"/>
    </row>
    <row r="2367" spans="1:28" ht="12.6" customHeight="1" x14ac:dyDescent="0.3">
      <c r="A2367" s="667"/>
      <c r="B2367" s="668" t="s">
        <v>8747</v>
      </c>
      <c r="C2367" s="160" t="s">
        <v>8748</v>
      </c>
      <c r="D2367" s="160"/>
      <c r="E2367" s="439"/>
      <c r="F2367" s="161">
        <v>304.050968377</v>
      </c>
      <c r="G2367" s="161"/>
      <c r="H2367" s="654"/>
      <c r="I2367" s="654"/>
      <c r="J2367" s="191"/>
      <c r="K2367" s="191">
        <v>2439.8324322077801</v>
      </c>
      <c r="L2367" s="191"/>
      <c r="M2367" s="191"/>
      <c r="N2367" s="191"/>
      <c r="O2367" s="191"/>
      <c r="P2367" s="191"/>
      <c r="Q2367" s="191"/>
      <c r="R2367" s="191"/>
      <c r="S2367" s="191"/>
      <c r="T2367" s="191"/>
      <c r="U2367" s="439"/>
      <c r="V2367" s="441"/>
      <c r="W2367" s="178"/>
      <c r="X2367" s="172"/>
      <c r="Y2367" s="172"/>
      <c r="Z2367" s="172"/>
      <c r="AA2367" s="195"/>
      <c r="AB2367" s="172"/>
    </row>
    <row r="2368" spans="1:28" ht="12.6" customHeight="1" x14ac:dyDescent="0.3">
      <c r="A2368" s="667"/>
      <c r="B2368" s="668" t="s">
        <v>8749</v>
      </c>
      <c r="C2368" s="160" t="s">
        <v>8750</v>
      </c>
      <c r="D2368" s="160"/>
      <c r="E2368" s="439"/>
      <c r="F2368" s="161">
        <v>320.04588299699998</v>
      </c>
      <c r="G2368" s="161"/>
      <c r="H2368" s="654"/>
      <c r="I2368" s="654"/>
      <c r="J2368" s="191"/>
      <c r="K2368" s="191">
        <v>1398.5886516807</v>
      </c>
      <c r="L2368" s="191"/>
      <c r="M2368" s="191"/>
      <c r="N2368" s="191"/>
      <c r="O2368" s="191"/>
      <c r="P2368" s="191"/>
      <c r="Q2368" s="191"/>
      <c r="R2368" s="191"/>
      <c r="S2368" s="191"/>
      <c r="T2368" s="191"/>
      <c r="U2368" s="439"/>
      <c r="V2368" s="441"/>
      <c r="W2368" s="178"/>
      <c r="X2368" s="172"/>
      <c r="Y2368" s="172"/>
      <c r="Z2368" s="172"/>
      <c r="AA2368" s="195"/>
      <c r="AB2368" s="172"/>
    </row>
    <row r="2369" spans="1:28" ht="12.6" customHeight="1" x14ac:dyDescent="0.3">
      <c r="A2369" s="667"/>
      <c r="B2369" s="668" t="s">
        <v>8751</v>
      </c>
      <c r="C2369" s="160" t="s">
        <v>8752</v>
      </c>
      <c r="D2369" s="160"/>
      <c r="E2369" s="439"/>
      <c r="F2369" s="161">
        <v>317.04621734900002</v>
      </c>
      <c r="G2369" s="161"/>
      <c r="H2369" s="654"/>
      <c r="I2369" s="654"/>
      <c r="J2369" s="191"/>
      <c r="K2369" s="191">
        <v>2034.22974321172</v>
      </c>
      <c r="L2369" s="191"/>
      <c r="M2369" s="191"/>
      <c r="N2369" s="191"/>
      <c r="O2369" s="191"/>
      <c r="P2369" s="191"/>
      <c r="Q2369" s="191"/>
      <c r="R2369" s="191"/>
      <c r="S2369" s="191"/>
      <c r="T2369" s="191"/>
      <c r="U2369" s="439"/>
      <c r="V2369" s="441"/>
      <c r="W2369" s="178"/>
      <c r="X2369" s="172"/>
      <c r="Y2369" s="172"/>
      <c r="Z2369" s="172"/>
      <c r="AA2369" s="195"/>
      <c r="AB2369" s="172"/>
    </row>
    <row r="2370" spans="1:28" ht="12.6" customHeight="1" x14ac:dyDescent="0.3">
      <c r="A2370" s="667"/>
      <c r="B2370" s="668" t="s">
        <v>8753</v>
      </c>
      <c r="C2370" s="160" t="s">
        <v>8754</v>
      </c>
      <c r="D2370" s="160"/>
      <c r="E2370" s="439"/>
      <c r="F2370" s="161">
        <v>395.96895311899999</v>
      </c>
      <c r="G2370" s="161"/>
      <c r="H2370" s="654"/>
      <c r="I2370" s="654"/>
      <c r="J2370" s="191"/>
      <c r="K2370" s="191">
        <v>4360.1356400039804</v>
      </c>
      <c r="L2370" s="191"/>
      <c r="M2370" s="191"/>
      <c r="N2370" s="191"/>
      <c r="O2370" s="191"/>
      <c r="P2370" s="191"/>
      <c r="Q2370" s="191"/>
      <c r="R2370" s="191"/>
      <c r="S2370" s="191"/>
      <c r="T2370" s="191"/>
      <c r="U2370" s="439"/>
      <c r="V2370" s="441"/>
      <c r="W2370" s="178"/>
      <c r="X2370" s="172"/>
      <c r="Y2370" s="172"/>
      <c r="Z2370" s="172"/>
      <c r="AA2370" s="195"/>
      <c r="AB2370" s="172"/>
    </row>
    <row r="2371" spans="1:28" ht="12.6" customHeight="1" x14ac:dyDescent="0.3">
      <c r="A2371" s="667" t="s">
        <v>4414</v>
      </c>
      <c r="B2371" s="668" t="s">
        <v>8755</v>
      </c>
      <c r="C2371" s="160" t="s">
        <v>8756</v>
      </c>
      <c r="D2371" s="160"/>
      <c r="E2371" s="439"/>
      <c r="F2371" s="161"/>
      <c r="G2371" s="161"/>
      <c r="H2371" s="654"/>
      <c r="I2371" s="654"/>
      <c r="J2371" s="191"/>
      <c r="K2371" s="191"/>
      <c r="L2371" s="191"/>
      <c r="M2371" s="191"/>
      <c r="N2371" s="191"/>
      <c r="O2371" s="191"/>
      <c r="P2371" s="191"/>
      <c r="Q2371" s="191"/>
      <c r="R2371" s="191"/>
      <c r="S2371" s="191"/>
      <c r="T2371" s="191"/>
      <c r="U2371" s="439"/>
      <c r="V2371" s="441"/>
      <c r="W2371" s="178"/>
      <c r="X2371" s="172"/>
      <c r="Y2371" s="172"/>
      <c r="Z2371" s="172"/>
      <c r="AA2371" s="195"/>
      <c r="AB2371" s="172"/>
    </row>
    <row r="2372" spans="1:28" ht="12.6" customHeight="1" x14ac:dyDescent="0.3">
      <c r="A2372" s="667"/>
      <c r="B2372" s="668" t="s">
        <v>8757</v>
      </c>
      <c r="C2372" s="160" t="s">
        <v>8758</v>
      </c>
      <c r="D2372" s="160"/>
      <c r="E2372" s="439"/>
      <c r="F2372" s="161">
        <v>304.992073774</v>
      </c>
      <c r="G2372" s="161"/>
      <c r="H2372" s="654"/>
      <c r="I2372" s="654"/>
      <c r="J2372" s="191"/>
      <c r="K2372" s="191">
        <v>3907.8690285696398</v>
      </c>
      <c r="L2372" s="191"/>
      <c r="M2372" s="191"/>
      <c r="N2372" s="191"/>
      <c r="O2372" s="191"/>
      <c r="P2372" s="191"/>
      <c r="Q2372" s="191"/>
      <c r="R2372" s="191"/>
      <c r="S2372" s="191"/>
      <c r="T2372" s="191"/>
      <c r="U2372" s="439"/>
      <c r="V2372" s="441"/>
      <c r="W2372" s="178"/>
      <c r="X2372" s="172"/>
      <c r="Y2372" s="172"/>
      <c r="Z2372" s="172"/>
      <c r="AA2372" s="195"/>
      <c r="AB2372" s="172"/>
    </row>
    <row r="2373" spans="1:28" ht="12.6" customHeight="1" x14ac:dyDescent="0.3">
      <c r="A2373" s="667"/>
      <c r="B2373" s="668" t="s">
        <v>8759</v>
      </c>
      <c r="C2373" s="160" t="s">
        <v>8760</v>
      </c>
      <c r="D2373" s="160"/>
      <c r="E2373" s="439"/>
      <c r="F2373" s="161">
        <v>359.90575000000001</v>
      </c>
      <c r="G2373" s="161">
        <v>-63.539000000000001</v>
      </c>
      <c r="H2373" s="654">
        <v>3766.1865136000001</v>
      </c>
      <c r="I2373" s="654">
        <v>12.977445542924899</v>
      </c>
      <c r="J2373" s="191"/>
      <c r="K2373" s="191">
        <v>10174.896494480499</v>
      </c>
      <c r="L2373" s="191"/>
      <c r="M2373" s="191"/>
      <c r="N2373" s="191"/>
      <c r="O2373" s="191"/>
      <c r="P2373" s="191"/>
      <c r="Q2373" s="191"/>
      <c r="R2373" s="191"/>
      <c r="S2373" s="191"/>
      <c r="T2373" s="191"/>
      <c r="U2373" s="439"/>
      <c r="V2373" s="441"/>
      <c r="W2373" s="178"/>
      <c r="X2373" s="172"/>
      <c r="Y2373" s="172"/>
      <c r="Z2373" s="172"/>
      <c r="AA2373" s="195"/>
      <c r="AB2373" s="172"/>
    </row>
    <row r="2374" spans="1:28" ht="12.6" customHeight="1" x14ac:dyDescent="0.3">
      <c r="A2374" s="667"/>
      <c r="B2374" s="668" t="s">
        <v>8761</v>
      </c>
      <c r="C2374" s="160" t="s">
        <v>8762</v>
      </c>
      <c r="D2374" s="160"/>
      <c r="E2374" s="439">
        <v>3.6619999999999999</v>
      </c>
      <c r="F2374" s="161">
        <v>304.01458286799999</v>
      </c>
      <c r="G2374" s="161">
        <v>-82.156000000000006</v>
      </c>
      <c r="H2374" s="654">
        <v>573.98720693999996</v>
      </c>
      <c r="I2374" s="654">
        <v>15.918203558968401</v>
      </c>
      <c r="J2374" s="191"/>
      <c r="K2374" s="191">
        <v>806.45474212658803</v>
      </c>
      <c r="L2374" s="191"/>
      <c r="M2374" s="191"/>
      <c r="N2374" s="191"/>
      <c r="O2374" s="191"/>
      <c r="P2374" s="191"/>
      <c r="Q2374" s="191"/>
      <c r="R2374" s="191"/>
      <c r="S2374" s="191"/>
      <c r="T2374" s="191"/>
      <c r="U2374" s="439"/>
      <c r="V2374" s="441"/>
      <c r="W2374" s="178"/>
      <c r="X2374" s="172"/>
      <c r="Y2374" s="172"/>
      <c r="Z2374" s="172"/>
      <c r="AA2374" s="195"/>
      <c r="AB2374" s="172"/>
    </row>
    <row r="2375" spans="1:28" ht="12.6" customHeight="1" x14ac:dyDescent="0.3">
      <c r="A2375" s="667"/>
      <c r="B2375" s="668" t="s">
        <v>8763</v>
      </c>
      <c r="C2375" s="160" t="s">
        <v>8764</v>
      </c>
      <c r="D2375" s="160"/>
      <c r="E2375" s="439"/>
      <c r="F2375" s="161">
        <v>290.03531831200002</v>
      </c>
      <c r="G2375" s="161">
        <v>-90.894999999999996</v>
      </c>
      <c r="H2375" s="654">
        <v>448.64452863999998</v>
      </c>
      <c r="I2375" s="654">
        <v>22.774617321004101</v>
      </c>
      <c r="J2375" s="191"/>
      <c r="K2375" s="191">
        <v>1829.44770653356</v>
      </c>
      <c r="L2375" s="191"/>
      <c r="M2375" s="191"/>
      <c r="N2375" s="191"/>
      <c r="O2375" s="191"/>
      <c r="P2375" s="191"/>
      <c r="Q2375" s="191"/>
      <c r="R2375" s="191"/>
      <c r="S2375" s="191"/>
      <c r="T2375" s="191"/>
      <c r="U2375" s="439"/>
      <c r="V2375" s="441"/>
      <c r="W2375" s="178"/>
      <c r="X2375" s="172"/>
      <c r="Y2375" s="172"/>
      <c r="Z2375" s="172"/>
      <c r="AA2375" s="195"/>
      <c r="AB2375" s="172"/>
    </row>
    <row r="2376" spans="1:28" ht="12.6" customHeight="1" x14ac:dyDescent="0.3">
      <c r="A2376" s="667"/>
      <c r="B2376" s="668" t="s">
        <v>8765</v>
      </c>
      <c r="C2376" s="160" t="s">
        <v>8766</v>
      </c>
      <c r="D2376" s="160"/>
      <c r="E2376" s="439"/>
      <c r="F2376" s="161">
        <v>320.04588299699998</v>
      </c>
      <c r="G2376" s="161">
        <v>-85.897999999999996</v>
      </c>
      <c r="H2376" s="654">
        <v>85.881899418000003</v>
      </c>
      <c r="I2376" s="654">
        <v>30.634599892943001</v>
      </c>
      <c r="J2376" s="191"/>
      <c r="K2376" s="191">
        <v>1770.51658789574</v>
      </c>
      <c r="L2376" s="191"/>
      <c r="M2376" s="191"/>
      <c r="N2376" s="191"/>
      <c r="O2376" s="191"/>
      <c r="P2376" s="191"/>
      <c r="Q2376" s="191"/>
      <c r="R2376" s="191"/>
      <c r="S2376" s="191"/>
      <c r="T2376" s="191"/>
      <c r="U2376" s="439"/>
      <c r="V2376" s="441"/>
      <c r="W2376" s="178"/>
      <c r="X2376" s="172"/>
      <c r="Y2376" s="172"/>
      <c r="Z2376" s="172"/>
      <c r="AA2376" s="195"/>
      <c r="AB2376" s="172"/>
    </row>
    <row r="2377" spans="1:28" ht="12.6" customHeight="1" x14ac:dyDescent="0.3">
      <c r="A2377" s="667"/>
      <c r="B2377" s="668" t="s">
        <v>8767</v>
      </c>
      <c r="C2377" s="160" t="s">
        <v>8768</v>
      </c>
      <c r="D2377" s="160"/>
      <c r="E2377" s="439"/>
      <c r="F2377" s="161">
        <v>395.88690000000003</v>
      </c>
      <c r="G2377" s="161"/>
      <c r="H2377" s="654"/>
      <c r="I2377" s="654"/>
      <c r="J2377" s="191"/>
      <c r="K2377" s="191">
        <v>10104.8529996905</v>
      </c>
      <c r="L2377" s="191"/>
      <c r="M2377" s="191"/>
      <c r="N2377" s="191"/>
      <c r="O2377" s="191"/>
      <c r="P2377" s="191"/>
      <c r="Q2377" s="191"/>
      <c r="R2377" s="191"/>
      <c r="S2377" s="191"/>
      <c r="T2377" s="191"/>
      <c r="U2377" s="439"/>
      <c r="V2377" s="441"/>
      <c r="W2377" s="178"/>
      <c r="X2377" s="172"/>
      <c r="Y2377" s="172"/>
      <c r="Z2377" s="172"/>
      <c r="AA2377" s="195"/>
      <c r="AB2377" s="172"/>
    </row>
    <row r="2378" spans="1:28" ht="12.6" customHeight="1" x14ac:dyDescent="0.3">
      <c r="A2378" s="667"/>
      <c r="B2378" s="668" t="s">
        <v>8769</v>
      </c>
      <c r="C2378" s="160" t="s">
        <v>8770</v>
      </c>
      <c r="D2378" s="160"/>
      <c r="E2378" s="439"/>
      <c r="F2378" s="161">
        <v>445.88371000000001</v>
      </c>
      <c r="G2378" s="161">
        <v>-81.620999999999995</v>
      </c>
      <c r="H2378" s="654">
        <v>8687.6348216000006</v>
      </c>
      <c r="I2378" s="654">
        <v>2.7556326691935999</v>
      </c>
      <c r="J2378" s="191"/>
      <c r="K2378" s="191">
        <v>349051.89489539701</v>
      </c>
      <c r="L2378" s="191"/>
      <c r="M2378" s="191"/>
      <c r="N2378" s="191"/>
      <c r="O2378" s="191"/>
      <c r="P2378" s="191"/>
      <c r="Q2378" s="191"/>
      <c r="R2378" s="191"/>
      <c r="S2378" s="191"/>
      <c r="T2378" s="191"/>
      <c r="U2378" s="439"/>
      <c r="V2378" s="441"/>
      <c r="W2378" s="178"/>
      <c r="X2378" s="172"/>
      <c r="Y2378" s="172"/>
      <c r="Z2378" s="172"/>
      <c r="AA2378" s="195"/>
      <c r="AB2378" s="172"/>
    </row>
    <row r="2379" spans="1:28" ht="12.6" customHeight="1" x14ac:dyDescent="0.3">
      <c r="A2379" s="667"/>
      <c r="B2379" s="668" t="s">
        <v>8771</v>
      </c>
      <c r="C2379" s="160" t="s">
        <v>8772</v>
      </c>
      <c r="D2379" s="160"/>
      <c r="E2379" s="439">
        <v>6.89</v>
      </c>
      <c r="F2379" s="161">
        <v>244.03342660600001</v>
      </c>
      <c r="G2379" s="161"/>
      <c r="H2379" s="654"/>
      <c r="I2379" s="654"/>
      <c r="J2379" s="191"/>
      <c r="K2379" s="191">
        <v>169.464993775229</v>
      </c>
      <c r="L2379" s="191"/>
      <c r="M2379" s="191"/>
      <c r="N2379" s="191"/>
      <c r="O2379" s="191"/>
      <c r="P2379" s="191"/>
      <c r="Q2379" s="191"/>
      <c r="R2379" s="191"/>
      <c r="S2379" s="191"/>
      <c r="T2379" s="191"/>
      <c r="U2379" s="439"/>
      <c r="V2379" s="441"/>
      <c r="W2379" s="178"/>
      <c r="X2379" s="172"/>
      <c r="Y2379" s="172"/>
      <c r="Z2379" s="172"/>
      <c r="AA2379" s="195"/>
      <c r="AB2379" s="172"/>
    </row>
    <row r="2380" spans="1:28" ht="12.6" customHeight="1" x14ac:dyDescent="0.3">
      <c r="A2380" s="667"/>
      <c r="B2380" s="668" t="s">
        <v>8773</v>
      </c>
      <c r="C2380" s="160" t="s">
        <v>8774</v>
      </c>
      <c r="D2380" s="160"/>
      <c r="E2380" s="439"/>
      <c r="F2380" s="161">
        <v>508.06744313399997</v>
      </c>
      <c r="G2380" s="161"/>
      <c r="H2380" s="654"/>
      <c r="I2380" s="654"/>
      <c r="J2380" s="191"/>
      <c r="K2380" s="191">
        <v>5749101.8156750305</v>
      </c>
      <c r="L2380" s="191"/>
      <c r="M2380" s="191"/>
      <c r="N2380" s="191"/>
      <c r="O2380" s="191"/>
      <c r="P2380" s="191"/>
      <c r="Q2380" s="191"/>
      <c r="R2380" s="191"/>
      <c r="S2380" s="191"/>
      <c r="T2380" s="191"/>
      <c r="U2380" s="439"/>
      <c r="V2380" s="441"/>
      <c r="W2380" s="178"/>
      <c r="X2380" s="172"/>
      <c r="Y2380" s="172"/>
      <c r="Z2380" s="172"/>
      <c r="AA2380" s="195"/>
      <c r="AB2380" s="172"/>
    </row>
    <row r="2381" spans="1:28" ht="12.6" customHeight="1" x14ac:dyDescent="0.3">
      <c r="A2381" s="667"/>
      <c r="B2381" s="668" t="s">
        <v>8775</v>
      </c>
      <c r="C2381" s="160" t="s">
        <v>8776</v>
      </c>
      <c r="D2381" s="160"/>
      <c r="E2381" s="439"/>
      <c r="F2381" s="161">
        <v>193.99664717300001</v>
      </c>
      <c r="G2381" s="161">
        <v>-25.984999999999999</v>
      </c>
      <c r="H2381" s="654">
        <v>60520.455324000002</v>
      </c>
      <c r="I2381" s="654">
        <v>81.996368863964705</v>
      </c>
      <c r="J2381" s="191"/>
      <c r="K2381" s="191">
        <v>98.646118176081998</v>
      </c>
      <c r="L2381" s="191"/>
      <c r="M2381" s="191"/>
      <c r="N2381" s="191"/>
      <c r="O2381" s="191"/>
      <c r="P2381" s="191"/>
      <c r="Q2381" s="191"/>
      <c r="R2381" s="191"/>
      <c r="S2381" s="191"/>
      <c r="T2381" s="191"/>
      <c r="U2381" s="439"/>
      <c r="V2381" s="441"/>
      <c r="W2381" s="178"/>
      <c r="X2381" s="172"/>
      <c r="Y2381" s="172"/>
      <c r="Z2381" s="172"/>
      <c r="AA2381" s="195"/>
      <c r="AB2381" s="172"/>
    </row>
    <row r="2382" spans="1:28" ht="12.6" customHeight="1" x14ac:dyDescent="0.3">
      <c r="A2382" s="667"/>
      <c r="B2382" s="668" t="s">
        <v>8777</v>
      </c>
      <c r="C2382" s="160" t="s">
        <v>8778</v>
      </c>
      <c r="D2382" s="160"/>
      <c r="E2382" s="439"/>
      <c r="F2382" s="161">
        <v>298.022861922</v>
      </c>
      <c r="G2382" s="161">
        <v>-24.14</v>
      </c>
      <c r="H2382" s="654">
        <v>0.74456337340000001</v>
      </c>
      <c r="I2382" s="654">
        <v>2.3027660297275201</v>
      </c>
      <c r="J2382" s="191"/>
      <c r="K2382" s="191">
        <v>44277.1847912062</v>
      </c>
      <c r="L2382" s="191"/>
      <c r="M2382" s="191"/>
      <c r="N2382" s="191"/>
      <c r="O2382" s="191"/>
      <c r="P2382" s="191"/>
      <c r="Q2382" s="191"/>
      <c r="R2382" s="191"/>
      <c r="S2382" s="191"/>
      <c r="T2382" s="191"/>
      <c r="U2382" s="439"/>
      <c r="V2382" s="441"/>
      <c r="W2382" s="178"/>
      <c r="X2382" s="172"/>
      <c r="Y2382" s="172"/>
      <c r="Z2382" s="172"/>
      <c r="AA2382" s="195"/>
      <c r="AB2382" s="172"/>
    </row>
    <row r="2383" spans="1:28" ht="12.6" customHeight="1" x14ac:dyDescent="0.3">
      <c r="A2383" s="667"/>
      <c r="B2383" s="668" t="s">
        <v>8779</v>
      </c>
      <c r="C2383" s="160" t="s">
        <v>8780</v>
      </c>
      <c r="D2383" s="160"/>
      <c r="E2383" s="439"/>
      <c r="F2383" s="161">
        <v>270.02794730199997</v>
      </c>
      <c r="G2383" s="161"/>
      <c r="H2383" s="654"/>
      <c r="I2383" s="654"/>
      <c r="J2383" s="191"/>
      <c r="K2383" s="191">
        <v>650099.75145379303</v>
      </c>
      <c r="L2383" s="191"/>
      <c r="M2383" s="191"/>
      <c r="N2383" s="191"/>
      <c r="O2383" s="191"/>
      <c r="P2383" s="191"/>
      <c r="Q2383" s="191"/>
      <c r="R2383" s="191"/>
      <c r="S2383" s="191"/>
      <c r="T2383" s="191"/>
      <c r="U2383" s="439"/>
      <c r="V2383" s="441"/>
      <c r="W2383" s="178"/>
      <c r="X2383" s="172"/>
      <c r="Y2383" s="172"/>
      <c r="Z2383" s="172"/>
      <c r="AA2383" s="195"/>
      <c r="AB2383" s="172"/>
    </row>
    <row r="2384" spans="1:28" ht="12.6" customHeight="1" x14ac:dyDescent="0.3">
      <c r="A2384" s="667"/>
      <c r="B2384" s="668" t="s">
        <v>8781</v>
      </c>
      <c r="C2384" s="160" t="s">
        <v>8782</v>
      </c>
      <c r="D2384" s="160"/>
      <c r="E2384" s="439"/>
      <c r="F2384" s="161">
        <v>196.012297238</v>
      </c>
      <c r="G2384" s="161"/>
      <c r="H2384" s="654"/>
      <c r="I2384" s="654"/>
      <c r="J2384" s="191"/>
      <c r="K2384" s="191">
        <v>105.11144342417199</v>
      </c>
      <c r="L2384" s="191"/>
      <c r="M2384" s="191"/>
      <c r="N2384" s="191"/>
      <c r="O2384" s="191"/>
      <c r="P2384" s="191"/>
      <c r="Q2384" s="191"/>
      <c r="R2384" s="191"/>
      <c r="S2384" s="191"/>
      <c r="T2384" s="191"/>
      <c r="U2384" s="439"/>
      <c r="V2384" s="441"/>
      <c r="W2384" s="178"/>
      <c r="X2384" s="172"/>
      <c r="Y2384" s="172"/>
      <c r="Z2384" s="172"/>
      <c r="AA2384" s="195"/>
      <c r="AB2384" s="172"/>
    </row>
    <row r="2385" spans="1:28" ht="12.6" customHeight="1" x14ac:dyDescent="0.3">
      <c r="A2385" s="667"/>
      <c r="B2385" s="668" t="s">
        <v>8783</v>
      </c>
      <c r="C2385" s="160" t="s">
        <v>8784</v>
      </c>
      <c r="D2385" s="160"/>
      <c r="E2385" s="439"/>
      <c r="F2385" s="161">
        <v>266.01777654199998</v>
      </c>
      <c r="G2385" s="161">
        <v>-42.354999999999997</v>
      </c>
      <c r="H2385" s="654">
        <v>79.049946849999998</v>
      </c>
      <c r="I2385" s="654">
        <v>14.652471946154501</v>
      </c>
      <c r="J2385" s="191"/>
      <c r="K2385" s="191">
        <v>397.90555298439199</v>
      </c>
      <c r="L2385" s="191"/>
      <c r="M2385" s="191"/>
      <c r="N2385" s="191"/>
      <c r="O2385" s="191"/>
      <c r="P2385" s="191"/>
      <c r="Q2385" s="191"/>
      <c r="R2385" s="191"/>
      <c r="S2385" s="191"/>
      <c r="T2385" s="191"/>
      <c r="U2385" s="439"/>
      <c r="V2385" s="441"/>
      <c r="W2385" s="178"/>
      <c r="X2385" s="172"/>
      <c r="Y2385" s="172"/>
      <c r="Z2385" s="172"/>
      <c r="AA2385" s="195"/>
      <c r="AB2385" s="172"/>
    </row>
    <row r="2386" spans="1:28" ht="12.6" customHeight="1" x14ac:dyDescent="0.3">
      <c r="A2386" s="667"/>
      <c r="B2386" s="668" t="s">
        <v>8785</v>
      </c>
      <c r="C2386" s="160" t="s">
        <v>8786</v>
      </c>
      <c r="D2386" s="160"/>
      <c r="E2386" s="439"/>
      <c r="F2386" s="161">
        <v>300.038511986</v>
      </c>
      <c r="G2386" s="161"/>
      <c r="H2386" s="654"/>
      <c r="I2386" s="654"/>
      <c r="J2386" s="191"/>
      <c r="K2386" s="191">
        <v>47746.330510752203</v>
      </c>
      <c r="L2386" s="191"/>
      <c r="M2386" s="191"/>
      <c r="N2386" s="191"/>
      <c r="O2386" s="191"/>
      <c r="P2386" s="191"/>
      <c r="Q2386" s="191"/>
      <c r="R2386" s="191"/>
      <c r="S2386" s="191"/>
      <c r="T2386" s="191"/>
      <c r="U2386" s="439"/>
      <c r="V2386" s="441"/>
      <c r="W2386" s="178"/>
      <c r="X2386" s="172"/>
      <c r="Y2386" s="172"/>
      <c r="Z2386" s="172"/>
      <c r="AA2386" s="195"/>
      <c r="AB2386" s="172"/>
    </row>
    <row r="2387" spans="1:28" ht="12.6" customHeight="1" x14ac:dyDescent="0.3">
      <c r="A2387" s="667"/>
      <c r="B2387" s="668" t="s">
        <v>8787</v>
      </c>
      <c r="C2387" s="160" t="s">
        <v>8788</v>
      </c>
      <c r="D2387" s="160"/>
      <c r="E2387" s="439"/>
      <c r="F2387" s="161">
        <v>513.98371332399995</v>
      </c>
      <c r="G2387" s="161"/>
      <c r="H2387" s="654"/>
      <c r="I2387" s="654"/>
      <c r="J2387" s="191"/>
      <c r="K2387" s="191">
        <v>115151.606165908</v>
      </c>
      <c r="L2387" s="191"/>
      <c r="M2387" s="191"/>
      <c r="N2387" s="191"/>
      <c r="O2387" s="191"/>
      <c r="P2387" s="191"/>
      <c r="Q2387" s="191"/>
      <c r="R2387" s="191"/>
      <c r="S2387" s="191"/>
      <c r="T2387" s="191"/>
      <c r="U2387" s="439"/>
      <c r="V2387" s="441"/>
      <c r="W2387" s="178"/>
      <c r="X2387" s="172"/>
      <c r="Y2387" s="172"/>
      <c r="Z2387" s="172"/>
      <c r="AA2387" s="195"/>
      <c r="AB2387" s="172"/>
    </row>
    <row r="2388" spans="1:28" ht="12.6" customHeight="1" x14ac:dyDescent="0.3">
      <c r="A2388" s="667"/>
      <c r="B2388" s="668" t="s">
        <v>8789</v>
      </c>
      <c r="C2388" s="160" t="s">
        <v>8790</v>
      </c>
      <c r="D2388" s="160"/>
      <c r="E2388" s="439"/>
      <c r="F2388" s="161">
        <v>463.98690699799999</v>
      </c>
      <c r="G2388" s="161"/>
      <c r="H2388" s="654"/>
      <c r="I2388" s="654"/>
      <c r="J2388" s="191"/>
      <c r="K2388" s="191">
        <v>66617.756074164703</v>
      </c>
      <c r="L2388" s="191"/>
      <c r="M2388" s="191"/>
      <c r="N2388" s="191"/>
      <c r="O2388" s="191"/>
      <c r="P2388" s="191"/>
      <c r="Q2388" s="191"/>
      <c r="R2388" s="191"/>
      <c r="S2388" s="191"/>
      <c r="T2388" s="191"/>
      <c r="U2388" s="439"/>
      <c r="V2388" s="441"/>
      <c r="W2388" s="178"/>
      <c r="X2388" s="172"/>
      <c r="Y2388" s="172"/>
      <c r="Z2388" s="172"/>
      <c r="AA2388" s="195"/>
      <c r="AB2388" s="172"/>
    </row>
    <row r="2389" spans="1:28" ht="12.6" customHeight="1" x14ac:dyDescent="0.3">
      <c r="A2389" s="667"/>
      <c r="B2389" s="668" t="s">
        <v>8791</v>
      </c>
      <c r="C2389" s="160" t="s">
        <v>8792</v>
      </c>
      <c r="D2389" s="160"/>
      <c r="E2389" s="439"/>
      <c r="F2389" s="161">
        <v>413.99010067199998</v>
      </c>
      <c r="G2389" s="161"/>
      <c r="H2389" s="654"/>
      <c r="I2389" s="654"/>
      <c r="J2389" s="191"/>
      <c r="K2389" s="191">
        <v>17935.3559407047</v>
      </c>
      <c r="L2389" s="191"/>
      <c r="M2389" s="191"/>
      <c r="N2389" s="191"/>
      <c r="O2389" s="191"/>
      <c r="P2389" s="191"/>
      <c r="Q2389" s="191"/>
      <c r="R2389" s="191"/>
      <c r="S2389" s="191"/>
      <c r="T2389" s="191"/>
      <c r="U2389" s="439"/>
      <c r="V2389" s="441"/>
      <c r="W2389" s="178"/>
      <c r="X2389" s="172"/>
      <c r="Y2389" s="172"/>
      <c r="Z2389" s="172"/>
      <c r="AA2389" s="195"/>
      <c r="AB2389" s="172"/>
    </row>
    <row r="2390" spans="1:28" ht="12.6" customHeight="1" x14ac:dyDescent="0.3">
      <c r="A2390" s="667"/>
      <c r="B2390" s="668" t="s">
        <v>8793</v>
      </c>
      <c r="C2390" s="160" t="s">
        <v>8794</v>
      </c>
      <c r="D2390" s="160"/>
      <c r="E2390" s="439"/>
      <c r="F2390" s="161">
        <v>363.99329434600003</v>
      </c>
      <c r="G2390" s="161">
        <v>-84.040999999999997</v>
      </c>
      <c r="H2390" s="654">
        <v>2207.5056794000002</v>
      </c>
      <c r="I2390" s="654">
        <v>1.37750714292183</v>
      </c>
      <c r="J2390" s="191"/>
      <c r="K2390" s="191">
        <v>7304.1553246020403</v>
      </c>
      <c r="L2390" s="191"/>
      <c r="M2390" s="191"/>
      <c r="N2390" s="191"/>
      <c r="O2390" s="191"/>
      <c r="P2390" s="191"/>
      <c r="Q2390" s="191"/>
      <c r="R2390" s="191"/>
      <c r="S2390" s="191"/>
      <c r="T2390" s="191"/>
      <c r="U2390" s="439"/>
      <c r="V2390" s="441"/>
      <c r="W2390" s="178"/>
      <c r="X2390" s="172"/>
      <c r="Y2390" s="172"/>
      <c r="Z2390" s="172"/>
      <c r="AA2390" s="195"/>
      <c r="AB2390" s="172"/>
    </row>
    <row r="2391" spans="1:28" ht="12.6" customHeight="1" x14ac:dyDescent="0.3">
      <c r="A2391" s="667"/>
      <c r="B2391" s="668" t="s">
        <v>8795</v>
      </c>
      <c r="C2391" s="160" t="s">
        <v>8796</v>
      </c>
      <c r="D2391" s="160"/>
      <c r="E2391" s="439"/>
      <c r="F2391" s="161">
        <v>363.99329434600003</v>
      </c>
      <c r="G2391" s="161"/>
      <c r="H2391" s="654"/>
      <c r="I2391" s="654"/>
      <c r="J2391" s="191"/>
      <c r="K2391" s="191">
        <v>7304.1553246020403</v>
      </c>
      <c r="L2391" s="191"/>
      <c r="M2391" s="191"/>
      <c r="N2391" s="191"/>
      <c r="O2391" s="191"/>
      <c r="P2391" s="191"/>
      <c r="Q2391" s="191"/>
      <c r="R2391" s="191"/>
      <c r="S2391" s="191"/>
      <c r="T2391" s="191"/>
      <c r="U2391" s="439"/>
      <c r="V2391" s="441"/>
      <c r="W2391" s="178"/>
      <c r="X2391" s="172"/>
      <c r="Y2391" s="172"/>
      <c r="Z2391" s="172"/>
      <c r="AA2391" s="195"/>
      <c r="AB2391" s="172"/>
    </row>
    <row r="2392" spans="1:28" ht="12.6" customHeight="1" x14ac:dyDescent="0.3">
      <c r="A2392" s="667"/>
      <c r="B2392" s="668" t="s">
        <v>8797</v>
      </c>
      <c r="C2392" s="160" t="s">
        <v>8798</v>
      </c>
      <c r="D2392" s="160"/>
      <c r="E2392" s="439"/>
      <c r="F2392" s="161">
        <v>321.90893999999997</v>
      </c>
      <c r="G2392" s="161">
        <v>9.6229999999999993</v>
      </c>
      <c r="H2392" s="654"/>
      <c r="I2392" s="654">
        <v>38.791314905759997</v>
      </c>
      <c r="J2392" s="191"/>
      <c r="K2392" s="191">
        <v>719.94612744083895</v>
      </c>
      <c r="L2392" s="191"/>
      <c r="M2392" s="191"/>
      <c r="N2392" s="191"/>
      <c r="O2392" s="191"/>
      <c r="P2392" s="191"/>
      <c r="Q2392" s="191"/>
      <c r="R2392" s="191"/>
      <c r="S2392" s="191"/>
      <c r="T2392" s="191"/>
      <c r="U2392" s="439"/>
      <c r="V2392" s="441"/>
      <c r="W2392" s="178"/>
      <c r="X2392" s="172"/>
      <c r="Y2392" s="172"/>
      <c r="Z2392" s="172"/>
      <c r="AA2392" s="195"/>
      <c r="AB2392" s="172"/>
    </row>
    <row r="2393" spans="1:28" ht="12.6" customHeight="1" x14ac:dyDescent="0.3">
      <c r="A2393" s="667"/>
      <c r="B2393" s="668" t="s">
        <v>8799</v>
      </c>
      <c r="C2393" s="160" t="s">
        <v>8800</v>
      </c>
      <c r="D2393" s="160"/>
      <c r="E2393" s="439"/>
      <c r="F2393" s="161">
        <v>321.90893999999997</v>
      </c>
      <c r="G2393" s="161"/>
      <c r="H2393" s="654"/>
      <c r="I2393" s="654"/>
      <c r="J2393" s="191"/>
      <c r="K2393" s="191">
        <v>719.94612744083895</v>
      </c>
      <c r="L2393" s="191"/>
      <c r="M2393" s="191"/>
      <c r="N2393" s="191"/>
      <c r="O2393" s="191"/>
      <c r="P2393" s="191"/>
      <c r="Q2393" s="191"/>
      <c r="R2393" s="191"/>
      <c r="S2393" s="191"/>
      <c r="T2393" s="191"/>
      <c r="U2393" s="439"/>
      <c r="V2393" s="441"/>
      <c r="W2393" s="178"/>
      <c r="X2393" s="172"/>
      <c r="Y2393" s="172"/>
      <c r="Z2393" s="172"/>
      <c r="AA2393" s="195"/>
      <c r="AB2393" s="172"/>
    </row>
    <row r="2394" spans="1:28" ht="12.6" customHeight="1" x14ac:dyDescent="0.3">
      <c r="A2394" s="667"/>
      <c r="B2394" s="668" t="s">
        <v>8801</v>
      </c>
      <c r="C2394" s="160" t="s">
        <v>8802</v>
      </c>
      <c r="D2394" s="160"/>
      <c r="E2394" s="439">
        <v>4.68</v>
      </c>
      <c r="F2394" s="161">
        <v>273.03884633799998</v>
      </c>
      <c r="G2394" s="161">
        <v>2.7930000000000001</v>
      </c>
      <c r="H2394" s="654">
        <v>0.12644498459600001</v>
      </c>
      <c r="I2394" s="654">
        <v>2.0759853388078602</v>
      </c>
      <c r="J2394" s="191"/>
      <c r="K2394" s="191">
        <v>62939.0234212582</v>
      </c>
      <c r="L2394" s="191"/>
      <c r="M2394" s="191"/>
      <c r="N2394" s="191"/>
      <c r="O2394" s="191"/>
      <c r="P2394" s="191"/>
      <c r="Q2394" s="191"/>
      <c r="R2394" s="191"/>
      <c r="S2394" s="191"/>
      <c r="T2394" s="191"/>
      <c r="U2394" s="439"/>
      <c r="V2394" s="441"/>
      <c r="W2394" s="178"/>
      <c r="X2394" s="172"/>
      <c r="Y2394" s="172"/>
      <c r="Z2394" s="172"/>
      <c r="AA2394" s="195"/>
      <c r="AB2394" s="172"/>
    </row>
    <row r="2395" spans="1:28" ht="12.6" customHeight="1" x14ac:dyDescent="0.3">
      <c r="A2395" s="667"/>
      <c r="B2395" s="668" t="s">
        <v>8803</v>
      </c>
      <c r="C2395" s="160" t="s">
        <v>8804</v>
      </c>
      <c r="D2395" s="160"/>
      <c r="E2395" s="439">
        <v>6.96</v>
      </c>
      <c r="F2395" s="161">
        <v>301.07014646699997</v>
      </c>
      <c r="G2395" s="161">
        <v>-6.7640000000000002</v>
      </c>
      <c r="H2395" s="654">
        <v>6.9807399199999995E-2</v>
      </c>
      <c r="I2395" s="654">
        <v>2.07810657897382</v>
      </c>
      <c r="J2395" s="191"/>
      <c r="K2395" s="191">
        <v>33014.901052029098</v>
      </c>
      <c r="L2395" s="191"/>
      <c r="M2395" s="191"/>
      <c r="N2395" s="191"/>
      <c r="O2395" s="191"/>
      <c r="P2395" s="191"/>
      <c r="Q2395" s="191"/>
      <c r="R2395" s="191"/>
      <c r="S2395" s="191"/>
      <c r="T2395" s="191"/>
      <c r="U2395" s="439"/>
      <c r="V2395" s="441"/>
      <c r="W2395" s="178"/>
      <c r="X2395" s="172"/>
      <c r="Y2395" s="172"/>
      <c r="Z2395" s="172"/>
      <c r="AA2395" s="195"/>
      <c r="AB2395" s="172"/>
    </row>
    <row r="2396" spans="1:28" ht="12.6" customHeight="1" x14ac:dyDescent="0.3">
      <c r="A2396" s="667"/>
      <c r="B2396" s="668" t="s">
        <v>8805</v>
      </c>
      <c r="C2396" s="160" t="s">
        <v>8806</v>
      </c>
      <c r="D2396" s="160"/>
      <c r="E2396" s="439">
        <v>2.78</v>
      </c>
      <c r="F2396" s="161">
        <v>197.99156179299999</v>
      </c>
      <c r="G2396" s="161">
        <v>-51.427999999999997</v>
      </c>
      <c r="H2396" s="654">
        <v>28177.471377999998</v>
      </c>
      <c r="I2396" s="654">
        <v>231.01853421569001</v>
      </c>
      <c r="J2396" s="191"/>
      <c r="K2396" s="191">
        <v>85.1059649102029</v>
      </c>
      <c r="L2396" s="191"/>
      <c r="M2396" s="191"/>
      <c r="N2396" s="191"/>
      <c r="O2396" s="191"/>
      <c r="P2396" s="191"/>
      <c r="Q2396" s="191"/>
      <c r="R2396" s="191"/>
      <c r="S2396" s="191"/>
      <c r="T2396" s="191"/>
      <c r="U2396" s="439"/>
      <c r="V2396" s="441"/>
      <c r="W2396" s="178"/>
      <c r="X2396" s="172"/>
      <c r="Y2396" s="172"/>
      <c r="Z2396" s="172"/>
      <c r="AA2396" s="195"/>
      <c r="AB2396" s="172"/>
    </row>
    <row r="2397" spans="1:28" ht="12.6" customHeight="1" x14ac:dyDescent="0.3">
      <c r="A2397" s="667"/>
      <c r="B2397" s="668" t="s">
        <v>8807</v>
      </c>
      <c r="C2397" s="160" t="s">
        <v>8808</v>
      </c>
      <c r="D2397" s="160"/>
      <c r="E2397" s="439"/>
      <c r="F2397" s="161">
        <v>212.00721185800001</v>
      </c>
      <c r="G2397" s="161"/>
      <c r="H2397" s="654"/>
      <c r="I2397" s="654"/>
      <c r="J2397" s="191"/>
      <c r="K2397" s="191">
        <v>757.96648000880805</v>
      </c>
      <c r="L2397" s="191"/>
      <c r="M2397" s="191"/>
      <c r="N2397" s="191"/>
      <c r="O2397" s="191"/>
      <c r="P2397" s="191"/>
      <c r="Q2397" s="191"/>
      <c r="R2397" s="191"/>
      <c r="S2397" s="191"/>
      <c r="T2397" s="191"/>
      <c r="U2397" s="439"/>
      <c r="V2397" s="441"/>
      <c r="W2397" s="178"/>
      <c r="X2397" s="172"/>
      <c r="Y2397" s="172"/>
      <c r="Z2397" s="172"/>
      <c r="AA2397" s="195"/>
      <c r="AB2397" s="172"/>
    </row>
    <row r="2398" spans="1:28" ht="12.6" customHeight="1" x14ac:dyDescent="0.3">
      <c r="A2398" s="667"/>
      <c r="B2398" s="668" t="s">
        <v>8809</v>
      </c>
      <c r="C2398" s="160" t="s">
        <v>8810</v>
      </c>
      <c r="D2398" s="160"/>
      <c r="E2398" s="439"/>
      <c r="F2398" s="161">
        <v>673.86482999999998</v>
      </c>
      <c r="G2398" s="161"/>
      <c r="H2398" s="654"/>
      <c r="I2398" s="654"/>
      <c r="J2398" s="191"/>
      <c r="K2398" s="191">
        <v>27213850.835256699</v>
      </c>
      <c r="L2398" s="191"/>
      <c r="M2398" s="191"/>
      <c r="N2398" s="191"/>
      <c r="O2398" s="191"/>
      <c r="P2398" s="191"/>
      <c r="Q2398" s="191"/>
      <c r="R2398" s="191"/>
      <c r="S2398" s="191"/>
      <c r="T2398" s="191"/>
      <c r="U2398" s="439"/>
      <c r="V2398" s="441"/>
      <c r="W2398" s="178"/>
      <c r="X2398" s="172"/>
      <c r="Y2398" s="172"/>
      <c r="Z2398" s="172"/>
      <c r="AA2398" s="195"/>
      <c r="AB2398" s="172"/>
    </row>
    <row r="2399" spans="1:28" ht="12.6" customHeight="1" x14ac:dyDescent="0.3">
      <c r="A2399" s="667"/>
      <c r="B2399" s="668" t="s">
        <v>8811</v>
      </c>
      <c r="C2399" s="160" t="s">
        <v>8812</v>
      </c>
      <c r="D2399" s="160"/>
      <c r="E2399" s="439"/>
      <c r="F2399" s="161">
        <v>687.88048000000003</v>
      </c>
      <c r="G2399" s="161"/>
      <c r="H2399" s="654"/>
      <c r="I2399" s="654"/>
      <c r="J2399" s="191"/>
      <c r="K2399" s="191">
        <v>29048251.7644471</v>
      </c>
      <c r="L2399" s="191"/>
      <c r="M2399" s="191"/>
      <c r="N2399" s="191"/>
      <c r="O2399" s="191"/>
      <c r="P2399" s="191"/>
      <c r="Q2399" s="191"/>
      <c r="R2399" s="191"/>
      <c r="S2399" s="191"/>
      <c r="T2399" s="191"/>
      <c r="U2399" s="439"/>
      <c r="V2399" s="441"/>
      <c r="W2399" s="178"/>
      <c r="X2399" s="172"/>
      <c r="Y2399" s="172"/>
      <c r="Z2399" s="172"/>
      <c r="AA2399" s="195"/>
      <c r="AB2399" s="172"/>
    </row>
    <row r="2400" spans="1:28" ht="12.6" customHeight="1" x14ac:dyDescent="0.3">
      <c r="A2400" s="667"/>
      <c r="B2400" s="668" t="s">
        <v>8813</v>
      </c>
      <c r="C2400" s="160" t="s">
        <v>8814</v>
      </c>
      <c r="D2400" s="160"/>
      <c r="E2400" s="439"/>
      <c r="F2400" s="161">
        <v>329.9036069</v>
      </c>
      <c r="G2400" s="161">
        <v>-51.93</v>
      </c>
      <c r="H2400" s="654">
        <v>387.16975444000002</v>
      </c>
      <c r="I2400" s="654">
        <v>10.0551320347051</v>
      </c>
      <c r="J2400" s="191"/>
      <c r="K2400" s="191">
        <v>1519462.5480859601</v>
      </c>
      <c r="L2400" s="191"/>
      <c r="M2400" s="191"/>
      <c r="N2400" s="191"/>
      <c r="O2400" s="191"/>
      <c r="P2400" s="191"/>
      <c r="Q2400" s="191"/>
      <c r="R2400" s="191"/>
      <c r="S2400" s="191"/>
      <c r="T2400" s="191"/>
      <c r="U2400" s="439"/>
      <c r="V2400" s="441"/>
      <c r="W2400" s="178"/>
      <c r="X2400" s="172"/>
      <c r="Y2400" s="172"/>
      <c r="Z2400" s="172"/>
      <c r="AA2400" s="195"/>
      <c r="AB2400" s="172"/>
    </row>
    <row r="2401" spans="1:28" ht="12.6" customHeight="1" x14ac:dyDescent="0.3">
      <c r="A2401" s="667"/>
      <c r="B2401" s="668" t="s">
        <v>8815</v>
      </c>
      <c r="C2401" s="160" t="s">
        <v>8816</v>
      </c>
      <c r="D2401" s="160"/>
      <c r="E2401" s="439"/>
      <c r="F2401" s="161">
        <v>212.00721185800001</v>
      </c>
      <c r="G2401" s="161">
        <v>-61.070999999999998</v>
      </c>
      <c r="H2401" s="654">
        <v>19226.632264</v>
      </c>
      <c r="I2401" s="654">
        <v>88.582973330628107</v>
      </c>
      <c r="J2401" s="191"/>
      <c r="K2401" s="191">
        <v>276.18494420752899</v>
      </c>
      <c r="L2401" s="191"/>
      <c r="M2401" s="191"/>
      <c r="N2401" s="191"/>
      <c r="O2401" s="191"/>
      <c r="P2401" s="191"/>
      <c r="Q2401" s="191"/>
      <c r="R2401" s="191"/>
      <c r="S2401" s="191"/>
      <c r="T2401" s="191"/>
      <c r="U2401" s="439"/>
      <c r="V2401" s="441"/>
      <c r="W2401" s="178"/>
      <c r="X2401" s="172"/>
      <c r="Y2401" s="172"/>
      <c r="Z2401" s="172"/>
      <c r="AA2401" s="195"/>
      <c r="AB2401" s="172"/>
    </row>
    <row r="2402" spans="1:28" ht="12.6" customHeight="1" x14ac:dyDescent="0.3">
      <c r="A2402" s="667"/>
      <c r="B2402" s="668" t="s">
        <v>8817</v>
      </c>
      <c r="C2402" s="160" t="s">
        <v>8818</v>
      </c>
      <c r="D2402" s="160"/>
      <c r="E2402" s="439"/>
      <c r="F2402" s="161">
        <v>260.04359736599997</v>
      </c>
      <c r="G2402" s="161"/>
      <c r="H2402" s="654"/>
      <c r="I2402" s="654"/>
      <c r="J2402" s="191"/>
      <c r="K2402" s="191">
        <v>815999.70171592699</v>
      </c>
      <c r="L2402" s="191"/>
      <c r="M2402" s="191"/>
      <c r="N2402" s="191"/>
      <c r="O2402" s="191"/>
      <c r="P2402" s="191"/>
      <c r="Q2402" s="191"/>
      <c r="R2402" s="191"/>
      <c r="S2402" s="191"/>
      <c r="T2402" s="191"/>
      <c r="U2402" s="439"/>
      <c r="V2402" s="441"/>
      <c r="W2402" s="178"/>
      <c r="X2402" s="172"/>
      <c r="Y2402" s="172"/>
      <c r="Z2402" s="172"/>
      <c r="AA2402" s="195"/>
      <c r="AB2402" s="172"/>
    </row>
    <row r="2403" spans="1:28" ht="12.6" customHeight="1" x14ac:dyDescent="0.3">
      <c r="A2403" s="667"/>
      <c r="B2403" s="668" t="s">
        <v>8819</v>
      </c>
      <c r="C2403" s="160" t="s">
        <v>8820</v>
      </c>
      <c r="D2403" s="160"/>
      <c r="E2403" s="439"/>
      <c r="F2403" s="161">
        <v>226.022861922</v>
      </c>
      <c r="G2403" s="161"/>
      <c r="H2403" s="654"/>
      <c r="I2403" s="654"/>
      <c r="J2403" s="191"/>
      <c r="K2403" s="191">
        <v>25071.481636787899</v>
      </c>
      <c r="L2403" s="191"/>
      <c r="M2403" s="191"/>
      <c r="N2403" s="191"/>
      <c r="O2403" s="191"/>
      <c r="P2403" s="191"/>
      <c r="Q2403" s="191"/>
      <c r="R2403" s="191"/>
      <c r="S2403" s="191"/>
      <c r="T2403" s="191"/>
      <c r="U2403" s="439"/>
      <c r="V2403" s="441"/>
      <c r="W2403" s="178"/>
      <c r="X2403" s="172"/>
      <c r="Y2403" s="172"/>
      <c r="Z2403" s="172"/>
      <c r="AA2403" s="195"/>
      <c r="AB2403" s="172"/>
    </row>
    <row r="2404" spans="1:28" ht="12.6" customHeight="1" x14ac:dyDescent="0.3">
      <c r="A2404" s="667"/>
      <c r="B2404" s="668" t="s">
        <v>8821</v>
      </c>
      <c r="C2404" s="160" t="s">
        <v>8822</v>
      </c>
      <c r="D2404" s="160"/>
      <c r="E2404" s="439"/>
      <c r="F2404" s="161">
        <v>256.03342660599998</v>
      </c>
      <c r="G2404" s="161"/>
      <c r="H2404" s="654"/>
      <c r="I2404" s="654"/>
      <c r="J2404" s="191"/>
      <c r="K2404" s="191">
        <v>188.29552553363999</v>
      </c>
      <c r="L2404" s="191"/>
      <c r="M2404" s="191"/>
      <c r="N2404" s="191"/>
      <c r="O2404" s="191"/>
      <c r="P2404" s="191"/>
      <c r="Q2404" s="191"/>
      <c r="R2404" s="191"/>
      <c r="S2404" s="191"/>
      <c r="T2404" s="191"/>
      <c r="U2404" s="439"/>
      <c r="V2404" s="441"/>
      <c r="W2404" s="178"/>
      <c r="X2404" s="172"/>
      <c r="Y2404" s="172"/>
      <c r="Z2404" s="172"/>
      <c r="AA2404" s="195"/>
      <c r="AB2404" s="172"/>
    </row>
    <row r="2405" spans="1:28" ht="12.6" customHeight="1" x14ac:dyDescent="0.3">
      <c r="A2405" s="667"/>
      <c r="B2405" s="668" t="s">
        <v>8823</v>
      </c>
      <c r="C2405" s="160" t="s">
        <v>8824</v>
      </c>
      <c r="D2405" s="160"/>
      <c r="E2405" s="439"/>
      <c r="F2405" s="161">
        <v>275.93846000000002</v>
      </c>
      <c r="G2405" s="161"/>
      <c r="H2405" s="654"/>
      <c r="I2405" s="654"/>
      <c r="J2405" s="191"/>
      <c r="K2405" s="191">
        <v>157601.37420489799</v>
      </c>
      <c r="L2405" s="191"/>
      <c r="M2405" s="191"/>
      <c r="N2405" s="191"/>
      <c r="O2405" s="191"/>
      <c r="P2405" s="191"/>
      <c r="Q2405" s="191"/>
      <c r="R2405" s="191"/>
      <c r="S2405" s="191"/>
      <c r="T2405" s="191"/>
      <c r="U2405" s="439"/>
      <c r="V2405" s="441"/>
      <c r="W2405" s="178"/>
      <c r="X2405" s="172"/>
      <c r="Y2405" s="172"/>
      <c r="Z2405" s="172"/>
      <c r="AA2405" s="195"/>
      <c r="AB2405" s="172"/>
    </row>
    <row r="2406" spans="1:28" ht="12.6" customHeight="1" x14ac:dyDescent="0.3">
      <c r="A2406" s="667"/>
      <c r="B2406" s="668" t="s">
        <v>8825</v>
      </c>
      <c r="C2406" s="160" t="s">
        <v>8826</v>
      </c>
      <c r="D2406" s="160"/>
      <c r="E2406" s="439"/>
      <c r="F2406" s="161">
        <v>303.96976000000001</v>
      </c>
      <c r="G2406" s="161"/>
      <c r="H2406" s="654"/>
      <c r="I2406" s="654"/>
      <c r="J2406" s="191"/>
      <c r="K2406" s="191">
        <v>351042.74346430501</v>
      </c>
      <c r="L2406" s="191"/>
      <c r="M2406" s="191"/>
      <c r="N2406" s="191"/>
      <c r="O2406" s="191"/>
      <c r="P2406" s="191"/>
      <c r="Q2406" s="191"/>
      <c r="R2406" s="191"/>
      <c r="S2406" s="191"/>
      <c r="T2406" s="191"/>
      <c r="U2406" s="439"/>
      <c r="V2406" s="441"/>
      <c r="W2406" s="178"/>
      <c r="X2406" s="172"/>
      <c r="Y2406" s="172"/>
      <c r="Z2406" s="172"/>
      <c r="AA2406" s="195"/>
      <c r="AB2406" s="172"/>
    </row>
    <row r="2407" spans="1:28" ht="12.6" customHeight="1" x14ac:dyDescent="0.3">
      <c r="A2407" s="667"/>
      <c r="B2407" s="668" t="s">
        <v>8827</v>
      </c>
      <c r="C2407" s="160" t="s">
        <v>8828</v>
      </c>
      <c r="D2407" s="160"/>
      <c r="E2407" s="439"/>
      <c r="F2407" s="161">
        <v>351.95589000000001</v>
      </c>
      <c r="G2407" s="161">
        <v>-28.875</v>
      </c>
      <c r="H2407" s="654">
        <v>66.973373445999997</v>
      </c>
      <c r="I2407" s="654">
        <v>2.8608065802459</v>
      </c>
      <c r="J2407" s="191"/>
      <c r="K2407" s="191">
        <v>122478.539793291</v>
      </c>
      <c r="L2407" s="191"/>
      <c r="M2407" s="191"/>
      <c r="N2407" s="191"/>
      <c r="O2407" s="191"/>
      <c r="P2407" s="191"/>
      <c r="Q2407" s="191"/>
      <c r="R2407" s="191"/>
      <c r="S2407" s="191"/>
      <c r="T2407" s="191"/>
      <c r="U2407" s="439"/>
      <c r="V2407" s="441"/>
      <c r="W2407" s="178"/>
      <c r="X2407" s="172"/>
      <c r="Y2407" s="172"/>
      <c r="Z2407" s="172"/>
      <c r="AA2407" s="195"/>
      <c r="AB2407" s="172"/>
    </row>
    <row r="2408" spans="1:28" ht="12.6" customHeight="1" x14ac:dyDescent="0.3">
      <c r="A2408" s="667" t="s">
        <v>4414</v>
      </c>
      <c r="B2408" s="668" t="s">
        <v>8829</v>
      </c>
      <c r="C2408" s="160" t="s">
        <v>8830</v>
      </c>
      <c r="D2408" s="160"/>
      <c r="E2408" s="439"/>
      <c r="F2408" s="161"/>
      <c r="G2408" s="161"/>
      <c r="H2408" s="654"/>
      <c r="I2408" s="654"/>
      <c r="J2408" s="191"/>
      <c r="K2408" s="191"/>
      <c r="L2408" s="191"/>
      <c r="M2408" s="191"/>
      <c r="N2408" s="191"/>
      <c r="O2408" s="191"/>
      <c r="P2408" s="191"/>
      <c r="Q2408" s="191"/>
      <c r="R2408" s="191"/>
      <c r="S2408" s="191"/>
      <c r="T2408" s="191"/>
      <c r="U2408" s="439"/>
      <c r="V2408" s="441"/>
      <c r="W2408" s="178"/>
      <c r="X2408" s="172"/>
      <c r="Y2408" s="172"/>
      <c r="Z2408" s="172"/>
      <c r="AA2408" s="195"/>
      <c r="AB2408" s="172"/>
    </row>
    <row r="2409" spans="1:28" ht="12.6" customHeight="1" x14ac:dyDescent="0.3">
      <c r="A2409" s="667"/>
      <c r="B2409" s="668" t="s">
        <v>8831</v>
      </c>
      <c r="C2409" s="160" t="s">
        <v>8832</v>
      </c>
      <c r="D2409" s="160"/>
      <c r="E2409" s="439">
        <v>3.2010000000000001</v>
      </c>
      <c r="F2409" s="161">
        <v>217.97332489999999</v>
      </c>
      <c r="G2409" s="161">
        <v>-89.578000000000003</v>
      </c>
      <c r="H2409" s="654">
        <v>31397.997609999999</v>
      </c>
      <c r="I2409" s="654">
        <v>26.631980836281901</v>
      </c>
      <c r="J2409" s="191"/>
      <c r="K2409" s="191">
        <v>861.88634466104304</v>
      </c>
      <c r="L2409" s="191"/>
      <c r="M2409" s="191"/>
      <c r="N2409" s="191"/>
      <c r="O2409" s="191"/>
      <c r="P2409" s="191"/>
      <c r="Q2409" s="191"/>
      <c r="R2409" s="191"/>
      <c r="S2409" s="191"/>
      <c r="T2409" s="191"/>
      <c r="U2409" s="439"/>
      <c r="V2409" s="441"/>
      <c r="W2409" s="178"/>
      <c r="X2409" s="172"/>
      <c r="Y2409" s="172"/>
      <c r="Z2409" s="172"/>
      <c r="AA2409" s="195"/>
      <c r="AB2409" s="172"/>
    </row>
    <row r="2410" spans="1:28" ht="12.6" customHeight="1" x14ac:dyDescent="0.3">
      <c r="A2410" s="667"/>
      <c r="B2410" s="668" t="s">
        <v>8833</v>
      </c>
      <c r="C2410" s="160" t="s">
        <v>8834</v>
      </c>
      <c r="D2410" s="160"/>
      <c r="E2410" s="439"/>
      <c r="F2410" s="161">
        <v>309.90893999999997</v>
      </c>
      <c r="G2410" s="161">
        <v>-50.058999999999997</v>
      </c>
      <c r="H2410" s="654">
        <v>12702.866831200001</v>
      </c>
      <c r="I2410" s="654">
        <v>27.748161806309898</v>
      </c>
      <c r="J2410" s="191"/>
      <c r="K2410" s="177">
        <v>495.244886433239</v>
      </c>
      <c r="L2410" s="191"/>
      <c r="M2410" s="191"/>
      <c r="N2410" s="191"/>
      <c r="O2410" s="191"/>
      <c r="P2410" s="191"/>
      <c r="Q2410" s="191"/>
      <c r="R2410" s="191"/>
      <c r="S2410" s="191"/>
      <c r="T2410" s="191"/>
      <c r="U2410" s="439"/>
      <c r="V2410" s="441"/>
      <c r="W2410" s="178"/>
      <c r="X2410" s="172"/>
      <c r="Y2410" s="172"/>
      <c r="Z2410" s="172"/>
      <c r="AA2410" s="195"/>
      <c r="AB2410" s="172"/>
    </row>
    <row r="2411" spans="1:28" ht="12.6" customHeight="1" x14ac:dyDescent="0.3">
      <c r="A2411" s="667"/>
      <c r="B2411" s="668" t="s">
        <v>8835</v>
      </c>
      <c r="C2411" s="160" t="s">
        <v>8836</v>
      </c>
      <c r="D2411" s="160"/>
      <c r="E2411" s="439">
        <v>5.15</v>
      </c>
      <c r="F2411" s="161">
        <v>410.01000703900002</v>
      </c>
      <c r="G2411" s="161">
        <v>-59.337000000000003</v>
      </c>
      <c r="H2411" s="654"/>
      <c r="I2411" s="654">
        <v>3.30974428032127</v>
      </c>
      <c r="J2411" s="191"/>
      <c r="K2411" s="191">
        <v>1548.03223554842</v>
      </c>
      <c r="L2411" s="191"/>
      <c r="M2411" s="191"/>
      <c r="N2411" s="191"/>
      <c r="O2411" s="191"/>
      <c r="P2411" s="191"/>
      <c r="Q2411" s="191"/>
      <c r="R2411" s="191"/>
      <c r="S2411" s="191"/>
      <c r="T2411" s="191"/>
      <c r="U2411" s="439"/>
      <c r="V2411" s="441"/>
      <c r="W2411" s="178"/>
      <c r="X2411" s="172"/>
      <c r="Y2411" s="172"/>
      <c r="Z2411" s="172"/>
      <c r="AA2411" s="195"/>
      <c r="AB2411" s="172"/>
    </row>
    <row r="2412" spans="1:28" ht="12.6" customHeight="1" x14ac:dyDescent="0.3">
      <c r="A2412" s="667"/>
      <c r="B2412" s="668" t="s">
        <v>8837</v>
      </c>
      <c r="C2412" s="160" t="s">
        <v>8838</v>
      </c>
      <c r="D2412" s="160"/>
      <c r="E2412" s="439">
        <v>5.24</v>
      </c>
      <c r="F2412" s="161">
        <v>225.002460829</v>
      </c>
      <c r="G2412" s="161">
        <v>-45.665999999999997</v>
      </c>
      <c r="H2412" s="654">
        <v>13737.365558</v>
      </c>
      <c r="I2412" s="654"/>
      <c r="J2412" s="191"/>
      <c r="K2412" s="191">
        <v>100.484713824658</v>
      </c>
      <c r="L2412" s="191"/>
      <c r="M2412" s="191"/>
      <c r="N2412" s="191"/>
      <c r="O2412" s="191"/>
      <c r="P2412" s="191"/>
      <c r="Q2412" s="191"/>
      <c r="R2412" s="191"/>
      <c r="S2412" s="191"/>
      <c r="T2412" s="191"/>
      <c r="U2412" s="439"/>
      <c r="V2412" s="441"/>
      <c r="W2412" s="178"/>
      <c r="X2412" s="172"/>
      <c r="Y2412" s="172"/>
      <c r="Z2412" s="172"/>
      <c r="AA2412" s="195"/>
      <c r="AB2412" s="172"/>
    </row>
    <row r="2413" spans="1:28" ht="12.6" customHeight="1" x14ac:dyDescent="0.3">
      <c r="A2413" s="667"/>
      <c r="B2413" s="668" t="s">
        <v>8839</v>
      </c>
      <c r="C2413" s="160" t="s">
        <v>8840</v>
      </c>
      <c r="D2413" s="160"/>
      <c r="E2413" s="439">
        <v>6.73</v>
      </c>
      <c r="F2413" s="161">
        <v>253.03376095799999</v>
      </c>
      <c r="G2413" s="161"/>
      <c r="H2413" s="654"/>
      <c r="I2413" s="654"/>
      <c r="J2413" s="191"/>
      <c r="K2413" s="191">
        <v>213.00019449380699</v>
      </c>
      <c r="L2413" s="191"/>
      <c r="M2413" s="191"/>
      <c r="N2413" s="191"/>
      <c r="O2413" s="191"/>
      <c r="P2413" s="191"/>
      <c r="Q2413" s="191"/>
      <c r="R2413" s="191"/>
      <c r="S2413" s="191"/>
      <c r="T2413" s="191"/>
      <c r="U2413" s="439"/>
      <c r="V2413" s="441"/>
      <c r="W2413" s="178"/>
      <c r="X2413" s="172"/>
      <c r="Y2413" s="172"/>
      <c r="Z2413" s="172"/>
      <c r="AA2413" s="195"/>
      <c r="AB2413" s="172"/>
    </row>
    <row r="2414" spans="1:28" ht="12.6" customHeight="1" x14ac:dyDescent="0.3">
      <c r="A2414" s="667"/>
      <c r="B2414" s="668" t="s">
        <v>8841</v>
      </c>
      <c r="C2414" s="160" t="s">
        <v>8842</v>
      </c>
      <c r="D2414" s="160"/>
      <c r="E2414" s="439">
        <v>8.16</v>
      </c>
      <c r="F2414" s="161">
        <v>422.08652480799998</v>
      </c>
      <c r="G2414" s="161">
        <v>164.06399999999999</v>
      </c>
      <c r="H2414" s="654">
        <v>1.438477719E-5</v>
      </c>
      <c r="I2414" s="654">
        <v>0.233561578502506</v>
      </c>
      <c r="J2414" s="191"/>
      <c r="K2414" s="191">
        <v>15577.580348316</v>
      </c>
      <c r="L2414" s="191"/>
      <c r="M2414" s="191"/>
      <c r="N2414" s="191"/>
      <c r="O2414" s="191"/>
      <c r="P2414" s="191"/>
      <c r="Q2414" s="191"/>
      <c r="R2414" s="191"/>
      <c r="S2414" s="191"/>
      <c r="T2414" s="191"/>
      <c r="U2414" s="439"/>
      <c r="V2414" s="441"/>
      <c r="W2414" s="178"/>
      <c r="X2414" s="172"/>
      <c r="Y2414" s="172"/>
      <c r="Z2414" s="172"/>
      <c r="AA2414" s="195"/>
      <c r="AB2414" s="172"/>
    </row>
    <row r="2415" spans="1:28" ht="12.6" customHeight="1" x14ac:dyDescent="0.3">
      <c r="A2415" s="667"/>
      <c r="B2415" s="668" t="s">
        <v>8843</v>
      </c>
      <c r="C2415" s="160" t="s">
        <v>8844</v>
      </c>
      <c r="D2415" s="160"/>
      <c r="E2415" s="439">
        <v>7.77</v>
      </c>
      <c r="F2415" s="161">
        <v>303.049411023</v>
      </c>
      <c r="G2415" s="161"/>
      <c r="H2415" s="654"/>
      <c r="I2415" s="654"/>
      <c r="J2415" s="191"/>
      <c r="K2415" s="191">
        <v>1476.9302987656199</v>
      </c>
      <c r="L2415" s="191"/>
      <c r="M2415" s="191"/>
      <c r="N2415" s="191"/>
      <c r="O2415" s="191"/>
      <c r="P2415" s="191"/>
      <c r="Q2415" s="191"/>
      <c r="R2415" s="191"/>
      <c r="S2415" s="191"/>
      <c r="T2415" s="191"/>
      <c r="U2415" s="439"/>
      <c r="V2415" s="441"/>
      <c r="W2415" s="178"/>
      <c r="X2415" s="172"/>
      <c r="Y2415" s="172"/>
      <c r="Z2415" s="172"/>
      <c r="AA2415" s="195"/>
      <c r="AB2415" s="172"/>
    </row>
    <row r="2416" spans="1:28" ht="12.6" customHeight="1" x14ac:dyDescent="0.3">
      <c r="A2416" s="667"/>
      <c r="B2416" s="668" t="s">
        <v>8845</v>
      </c>
      <c r="C2416" s="160" t="s">
        <v>8846</v>
      </c>
      <c r="D2416" s="160"/>
      <c r="E2416" s="439">
        <v>7.7</v>
      </c>
      <c r="F2416" s="161">
        <v>381.01984344700003</v>
      </c>
      <c r="G2416" s="161">
        <v>-29.41</v>
      </c>
      <c r="H2416" s="654">
        <v>473.04378786000001</v>
      </c>
      <c r="I2416" s="654">
        <v>5.12799366501579</v>
      </c>
      <c r="J2416" s="191"/>
      <c r="K2416" s="191">
        <v>3004.6230872411202</v>
      </c>
      <c r="L2416" s="191"/>
      <c r="M2416" s="191"/>
      <c r="N2416" s="191"/>
      <c r="O2416" s="191"/>
      <c r="P2416" s="191"/>
      <c r="Q2416" s="191"/>
      <c r="R2416" s="191"/>
      <c r="S2416" s="191"/>
      <c r="T2416" s="191"/>
      <c r="U2416" s="439"/>
      <c r="V2416" s="441"/>
      <c r="W2416" s="178"/>
      <c r="X2416" s="172"/>
      <c r="Y2416" s="172"/>
      <c r="Z2416" s="172"/>
      <c r="AA2416" s="195"/>
      <c r="AB2416" s="172"/>
    </row>
    <row r="2417" spans="1:28" ht="12.6" customHeight="1" x14ac:dyDescent="0.3">
      <c r="A2417" s="667"/>
      <c r="B2417" s="668" t="s">
        <v>8847</v>
      </c>
      <c r="C2417" s="160" t="s">
        <v>8848</v>
      </c>
      <c r="D2417" s="160"/>
      <c r="E2417" s="439"/>
      <c r="F2417" s="161">
        <v>643.96683709399997</v>
      </c>
      <c r="G2417" s="161">
        <v>-99.504999999999995</v>
      </c>
      <c r="H2417" s="654">
        <v>22.125985797999999</v>
      </c>
      <c r="I2417" s="654">
        <v>0.242026564152897</v>
      </c>
      <c r="J2417" s="191"/>
      <c r="K2417" s="191">
        <v>44160.095101274703</v>
      </c>
      <c r="L2417" s="191"/>
      <c r="M2417" s="191"/>
      <c r="N2417" s="191"/>
      <c r="O2417" s="191"/>
      <c r="P2417" s="191"/>
      <c r="Q2417" s="191"/>
      <c r="R2417" s="191"/>
      <c r="S2417" s="191"/>
      <c r="T2417" s="191"/>
      <c r="U2417" s="439"/>
      <c r="V2417" s="441"/>
      <c r="W2417" s="178"/>
      <c r="X2417" s="172"/>
      <c r="Y2417" s="172"/>
      <c r="Z2417" s="172"/>
      <c r="AA2417" s="195"/>
      <c r="AB2417" s="172"/>
    </row>
    <row r="2418" spans="1:28" ht="12.6" customHeight="1" x14ac:dyDescent="0.3">
      <c r="A2418" s="667"/>
      <c r="B2418" s="668" t="s">
        <v>8849</v>
      </c>
      <c r="C2418" s="160" t="s">
        <v>8850</v>
      </c>
      <c r="D2418" s="160"/>
      <c r="E2418" s="439"/>
      <c r="F2418" s="161">
        <v>659.94393969999999</v>
      </c>
      <c r="G2418" s="161"/>
      <c r="H2418" s="654"/>
      <c r="I2418" s="654"/>
      <c r="J2418" s="191"/>
      <c r="K2418" s="191">
        <v>238830.61666692799</v>
      </c>
      <c r="L2418" s="191"/>
      <c r="M2418" s="191"/>
      <c r="N2418" s="191"/>
      <c r="O2418" s="191"/>
      <c r="P2418" s="191"/>
      <c r="Q2418" s="191"/>
      <c r="R2418" s="191"/>
      <c r="S2418" s="191"/>
      <c r="T2418" s="191"/>
      <c r="U2418" s="439"/>
      <c r="V2418" s="441"/>
      <c r="W2418" s="178"/>
      <c r="X2418" s="172"/>
      <c r="Y2418" s="172"/>
      <c r="Z2418" s="172"/>
      <c r="AA2418" s="195"/>
      <c r="AB2418" s="172"/>
    </row>
    <row r="2419" spans="1:28" ht="12.6" customHeight="1" x14ac:dyDescent="0.3">
      <c r="A2419" s="667"/>
      <c r="B2419" s="668" t="s">
        <v>8851</v>
      </c>
      <c r="C2419" s="160" t="s">
        <v>8852</v>
      </c>
      <c r="D2419" s="160"/>
      <c r="E2419" s="439"/>
      <c r="F2419" s="161">
        <v>608.00746500000002</v>
      </c>
      <c r="G2419" s="161"/>
      <c r="H2419" s="654"/>
      <c r="I2419" s="654"/>
      <c r="J2419" s="191"/>
      <c r="K2419" s="191">
        <v>116960.711085503</v>
      </c>
      <c r="L2419" s="191"/>
      <c r="M2419" s="191"/>
      <c r="N2419" s="191"/>
      <c r="O2419" s="191"/>
      <c r="P2419" s="191"/>
      <c r="Q2419" s="191"/>
      <c r="R2419" s="191"/>
      <c r="S2419" s="191"/>
      <c r="T2419" s="191"/>
      <c r="U2419" s="439"/>
      <c r="V2419" s="441"/>
      <c r="W2419" s="178"/>
      <c r="X2419" s="172"/>
      <c r="Y2419" s="172"/>
      <c r="Z2419" s="172"/>
      <c r="AA2419" s="195"/>
      <c r="AB2419" s="172"/>
    </row>
    <row r="2420" spans="1:28" ht="12.6" customHeight="1" x14ac:dyDescent="0.3">
      <c r="A2420" s="667"/>
      <c r="B2420" s="668" t="s">
        <v>8853</v>
      </c>
      <c r="C2420" s="160" t="s">
        <v>8854</v>
      </c>
      <c r="D2420" s="160"/>
      <c r="E2420" s="439"/>
      <c r="F2420" s="161">
        <v>279.01302551399999</v>
      </c>
      <c r="G2420" s="161">
        <v>-33.51</v>
      </c>
      <c r="H2420" s="654">
        <v>0.16065834288</v>
      </c>
      <c r="I2420" s="654">
        <v>15.1225338841613</v>
      </c>
      <c r="J2420" s="191"/>
      <c r="K2420" s="191">
        <v>4132.18731335763</v>
      </c>
      <c r="L2420" s="191"/>
      <c r="M2420" s="191"/>
      <c r="N2420" s="191"/>
      <c r="O2420" s="191"/>
      <c r="P2420" s="191"/>
      <c r="Q2420" s="191"/>
      <c r="R2420" s="191"/>
      <c r="S2420" s="191"/>
      <c r="T2420" s="191"/>
      <c r="U2420" s="439"/>
      <c r="V2420" s="441"/>
      <c r="W2420" s="178"/>
      <c r="X2420" s="172"/>
      <c r="Y2420" s="172"/>
      <c r="Z2420" s="172"/>
      <c r="AA2420" s="195"/>
      <c r="AB2420" s="172"/>
    </row>
    <row r="2421" spans="1:28" ht="12.6" customHeight="1" x14ac:dyDescent="0.3">
      <c r="A2421" s="667"/>
      <c r="B2421" s="668" t="s">
        <v>8855</v>
      </c>
      <c r="C2421" s="160" t="s">
        <v>8856</v>
      </c>
      <c r="D2421" s="160"/>
      <c r="E2421" s="439"/>
      <c r="F2421" s="161">
        <v>287.97880420000001</v>
      </c>
      <c r="G2421" s="161">
        <v>-53.734999999999999</v>
      </c>
      <c r="H2421" s="654">
        <v>92.875571571999998</v>
      </c>
      <c r="I2421" s="654">
        <v>10.0544919698388</v>
      </c>
      <c r="J2421" s="191"/>
      <c r="K2421" s="191">
        <v>876.79890748896401</v>
      </c>
      <c r="L2421" s="191"/>
      <c r="M2421" s="191"/>
      <c r="N2421" s="191"/>
      <c r="O2421" s="191"/>
      <c r="P2421" s="191"/>
      <c r="Q2421" s="191"/>
      <c r="R2421" s="191"/>
      <c r="S2421" s="191"/>
      <c r="T2421" s="191"/>
      <c r="U2421" s="439"/>
      <c r="V2421" s="441"/>
      <c r="W2421" s="178"/>
      <c r="X2421" s="172"/>
      <c r="Y2421" s="172"/>
      <c r="Z2421" s="172"/>
      <c r="AA2421" s="195"/>
      <c r="AB2421" s="172"/>
    </row>
    <row r="2422" spans="1:28" ht="12.6" customHeight="1" x14ac:dyDescent="0.3">
      <c r="A2422" s="667"/>
      <c r="B2422" s="668" t="s">
        <v>8857</v>
      </c>
      <c r="C2422" s="160" t="s">
        <v>8858</v>
      </c>
      <c r="D2422" s="160"/>
      <c r="E2422" s="439"/>
      <c r="F2422" s="161">
        <v>254.01777654200001</v>
      </c>
      <c r="G2422" s="161">
        <v>-71.539000000000001</v>
      </c>
      <c r="H2422" s="654">
        <v>772.50633138000001</v>
      </c>
      <c r="I2422" s="654">
        <v>663.53507517194998</v>
      </c>
      <c r="J2422" s="191"/>
      <c r="K2422" s="191">
        <v>92.187067468186299</v>
      </c>
      <c r="L2422" s="191"/>
      <c r="M2422" s="191"/>
      <c r="N2422" s="191"/>
      <c r="O2422" s="191"/>
      <c r="P2422" s="191"/>
      <c r="Q2422" s="191"/>
      <c r="R2422" s="191"/>
      <c r="S2422" s="191"/>
      <c r="T2422" s="191"/>
      <c r="U2422" s="439"/>
      <c r="V2422" s="441"/>
      <c r="W2422" s="178"/>
      <c r="X2422" s="172"/>
      <c r="Y2422" s="172"/>
      <c r="Z2422" s="172"/>
      <c r="AA2422" s="195"/>
      <c r="AB2422" s="172"/>
    </row>
    <row r="2423" spans="1:28" ht="12.6" customHeight="1" x14ac:dyDescent="0.3">
      <c r="A2423" s="667"/>
      <c r="B2423" s="668" t="s">
        <v>8859</v>
      </c>
      <c r="C2423" s="160" t="s">
        <v>8860</v>
      </c>
      <c r="D2423" s="160"/>
      <c r="E2423" s="439"/>
      <c r="F2423" s="161">
        <v>480.00425295500003</v>
      </c>
      <c r="G2423" s="161"/>
      <c r="H2423" s="654"/>
      <c r="I2423" s="654"/>
      <c r="J2423" s="191"/>
      <c r="K2423" s="191"/>
      <c r="L2423" s="191"/>
      <c r="M2423" s="191"/>
      <c r="N2423" s="191"/>
      <c r="O2423" s="191"/>
      <c r="P2423" s="191"/>
      <c r="Q2423" s="191"/>
      <c r="R2423" s="191"/>
      <c r="S2423" s="191"/>
      <c r="T2423" s="191"/>
      <c r="U2423" s="439"/>
      <c r="V2423" s="441"/>
      <c r="W2423" s="178"/>
      <c r="X2423" s="172"/>
      <c r="Y2423" s="172"/>
      <c r="Z2423" s="172"/>
      <c r="AA2423" s="195"/>
      <c r="AB2423" s="172"/>
    </row>
    <row r="2424" spans="1:28" ht="12.6" customHeight="1" x14ac:dyDescent="0.3">
      <c r="A2424" s="667"/>
      <c r="B2424" s="668" t="s">
        <v>8861</v>
      </c>
      <c r="C2424" s="160" t="s">
        <v>8862</v>
      </c>
      <c r="D2424" s="160"/>
      <c r="E2424" s="439">
        <v>21</v>
      </c>
      <c r="F2424" s="161">
        <v>361.99599572400001</v>
      </c>
      <c r="G2424" s="161"/>
      <c r="H2424" s="654"/>
      <c r="I2424" s="654"/>
      <c r="J2424" s="191"/>
      <c r="K2424" s="191">
        <v>11211.403934457199</v>
      </c>
      <c r="L2424" s="191"/>
      <c r="M2424" s="191"/>
      <c r="N2424" s="191"/>
      <c r="O2424" s="191"/>
      <c r="P2424" s="191"/>
      <c r="Q2424" s="191"/>
      <c r="R2424" s="191"/>
      <c r="S2424" s="191"/>
      <c r="T2424" s="191"/>
      <c r="U2424" s="439"/>
      <c r="V2424" s="441"/>
      <c r="W2424" s="178"/>
      <c r="X2424" s="172"/>
      <c r="Y2424" s="172"/>
      <c r="Z2424" s="172"/>
      <c r="AA2424" s="195"/>
      <c r="AB2424" s="172"/>
    </row>
    <row r="2425" spans="1:28" ht="12.6" customHeight="1" x14ac:dyDescent="0.3">
      <c r="A2425" s="667"/>
      <c r="B2425" s="668" t="s">
        <v>8863</v>
      </c>
      <c r="C2425" s="160" t="s">
        <v>8864</v>
      </c>
      <c r="D2425" s="160"/>
      <c r="E2425" s="439"/>
      <c r="F2425" s="161">
        <v>268.03342660599998</v>
      </c>
      <c r="G2425" s="161"/>
      <c r="H2425" s="654"/>
      <c r="I2425" s="654"/>
      <c r="J2425" s="191"/>
      <c r="K2425" s="177">
        <v>204.71044388744801</v>
      </c>
      <c r="L2425" s="191"/>
      <c r="M2425" s="191"/>
      <c r="N2425" s="191"/>
      <c r="O2425" s="191"/>
      <c r="P2425" s="191"/>
      <c r="Q2425" s="191"/>
      <c r="R2425" s="191"/>
      <c r="S2425" s="191"/>
      <c r="T2425" s="191"/>
      <c r="U2425" s="439"/>
      <c r="V2425" s="441"/>
      <c r="W2425" s="178"/>
      <c r="X2425" s="172"/>
      <c r="Y2425" s="172"/>
      <c r="Z2425" s="172"/>
      <c r="AA2425" s="195"/>
      <c r="AB2425" s="172"/>
    </row>
    <row r="2426" spans="1:28" ht="12.6" customHeight="1" x14ac:dyDescent="0.3">
      <c r="A2426" s="667"/>
      <c r="B2426" s="668" t="s">
        <v>8865</v>
      </c>
      <c r="C2426" s="160" t="s">
        <v>8866</v>
      </c>
      <c r="D2426" s="160"/>
      <c r="E2426" s="439">
        <v>5.45</v>
      </c>
      <c r="F2426" s="161">
        <v>297.05997570699998</v>
      </c>
      <c r="G2426" s="161">
        <v>-52.274999999999999</v>
      </c>
      <c r="H2426" s="654"/>
      <c r="I2426" s="654">
        <v>18.5286703947605</v>
      </c>
      <c r="J2426" s="191"/>
      <c r="K2426" s="191">
        <v>92.933009206578902</v>
      </c>
      <c r="L2426" s="191"/>
      <c r="M2426" s="191"/>
      <c r="N2426" s="191"/>
      <c r="O2426" s="191"/>
      <c r="P2426" s="191"/>
      <c r="Q2426" s="191"/>
      <c r="R2426" s="191"/>
      <c r="S2426" s="191"/>
      <c r="T2426" s="191"/>
      <c r="U2426" s="439"/>
      <c r="V2426" s="441"/>
      <c r="W2426" s="178"/>
      <c r="X2426" s="172"/>
      <c r="Y2426" s="172"/>
      <c r="Z2426" s="172"/>
      <c r="AA2426" s="195"/>
      <c r="AB2426" s="172"/>
    </row>
    <row r="2427" spans="1:28" ht="12.6" customHeight="1" x14ac:dyDescent="0.3">
      <c r="A2427" s="667"/>
      <c r="B2427" s="668" t="s">
        <v>8867</v>
      </c>
      <c r="C2427" s="160" t="s">
        <v>8868</v>
      </c>
      <c r="D2427" s="160"/>
      <c r="E2427" s="439"/>
      <c r="F2427" s="161">
        <v>425.993688271</v>
      </c>
      <c r="G2427" s="161"/>
      <c r="H2427" s="654"/>
      <c r="I2427" s="654"/>
      <c r="J2427" s="191"/>
      <c r="K2427" s="191">
        <v>3000.1985719334998</v>
      </c>
      <c r="L2427" s="191"/>
      <c r="M2427" s="191"/>
      <c r="N2427" s="191"/>
      <c r="O2427" s="191"/>
      <c r="P2427" s="191"/>
      <c r="Q2427" s="191"/>
      <c r="R2427" s="191"/>
      <c r="S2427" s="191"/>
      <c r="T2427" s="191"/>
      <c r="U2427" s="439"/>
      <c r="V2427" s="441"/>
      <c r="W2427" s="178"/>
      <c r="X2427" s="172"/>
      <c r="Y2427" s="172"/>
      <c r="Z2427" s="172"/>
      <c r="AA2427" s="195"/>
      <c r="AB2427" s="172"/>
    </row>
    <row r="2428" spans="1:28" ht="12.6" customHeight="1" x14ac:dyDescent="0.3">
      <c r="A2428" s="667"/>
      <c r="B2428" s="668" t="s">
        <v>8869</v>
      </c>
      <c r="C2428" s="160" t="s">
        <v>8870</v>
      </c>
      <c r="D2428" s="160"/>
      <c r="E2428" s="439"/>
      <c r="F2428" s="161">
        <v>261.9631541</v>
      </c>
      <c r="G2428" s="161"/>
      <c r="H2428" s="654"/>
      <c r="I2428" s="654"/>
      <c r="J2428" s="191"/>
      <c r="K2428" s="191">
        <v>165.68759725552701</v>
      </c>
      <c r="L2428" s="191"/>
      <c r="M2428" s="191"/>
      <c r="N2428" s="191"/>
      <c r="O2428" s="191"/>
      <c r="P2428" s="191"/>
      <c r="Q2428" s="191"/>
      <c r="R2428" s="191"/>
      <c r="S2428" s="191"/>
      <c r="T2428" s="191"/>
      <c r="U2428" s="439"/>
      <c r="V2428" s="441"/>
      <c r="W2428" s="178"/>
      <c r="X2428" s="172"/>
      <c r="Y2428" s="172"/>
      <c r="Z2428" s="172"/>
      <c r="AA2428" s="195"/>
      <c r="AB2428" s="172"/>
    </row>
    <row r="2429" spans="1:28" ht="12.6" customHeight="1" x14ac:dyDescent="0.3">
      <c r="A2429" s="667"/>
      <c r="B2429" s="668" t="s">
        <v>8871</v>
      </c>
      <c r="C2429" s="160" t="s">
        <v>8872</v>
      </c>
      <c r="D2429" s="160"/>
      <c r="E2429" s="439"/>
      <c r="F2429" s="161">
        <v>226.022861922</v>
      </c>
      <c r="G2429" s="161">
        <v>-94.81</v>
      </c>
      <c r="H2429" s="654">
        <v>4807.3113438</v>
      </c>
      <c r="I2429" s="654">
        <v>85.143716177464995</v>
      </c>
      <c r="J2429" s="191"/>
      <c r="K2429" s="191">
        <v>97.111351892093595</v>
      </c>
      <c r="L2429" s="191"/>
      <c r="M2429" s="191"/>
      <c r="N2429" s="191"/>
      <c r="O2429" s="191"/>
      <c r="P2429" s="191"/>
      <c r="Q2429" s="191"/>
      <c r="R2429" s="191"/>
      <c r="S2429" s="191"/>
      <c r="T2429" s="191"/>
      <c r="U2429" s="439"/>
      <c r="V2429" s="441"/>
      <c r="W2429" s="178"/>
      <c r="X2429" s="172"/>
      <c r="Y2429" s="172"/>
      <c r="Z2429" s="172"/>
      <c r="AA2429" s="195"/>
      <c r="AB2429" s="172"/>
    </row>
    <row r="2430" spans="1:28" ht="12.6" customHeight="1" x14ac:dyDescent="0.3">
      <c r="A2430" s="667"/>
      <c r="B2430" s="668" t="s">
        <v>8873</v>
      </c>
      <c r="C2430" s="160" t="s">
        <v>8874</v>
      </c>
      <c r="D2430" s="160"/>
      <c r="E2430" s="439"/>
      <c r="F2430" s="161">
        <v>302.05416205099999</v>
      </c>
      <c r="G2430" s="161">
        <v>-12.404</v>
      </c>
      <c r="H2430" s="654">
        <v>4.1966432549999997</v>
      </c>
      <c r="I2430" s="654">
        <v>2.11390188878095</v>
      </c>
      <c r="J2430" s="191"/>
      <c r="K2430" s="191">
        <v>1508898.4068692799</v>
      </c>
      <c r="L2430" s="191"/>
      <c r="M2430" s="191"/>
      <c r="N2430" s="191"/>
      <c r="O2430" s="191"/>
      <c r="P2430" s="191"/>
      <c r="Q2430" s="191"/>
      <c r="R2430" s="191"/>
      <c r="S2430" s="191"/>
      <c r="T2430" s="191"/>
      <c r="U2430" s="439"/>
      <c r="V2430" s="441"/>
      <c r="W2430" s="178"/>
      <c r="X2430" s="172"/>
      <c r="Y2430" s="172"/>
      <c r="Z2430" s="172"/>
      <c r="AA2430" s="195"/>
      <c r="AB2430" s="172"/>
    </row>
    <row r="2431" spans="1:28" ht="12.6" customHeight="1" x14ac:dyDescent="0.3">
      <c r="A2431" s="667"/>
      <c r="B2431" s="668" t="s">
        <v>8875</v>
      </c>
      <c r="C2431" s="160" t="s">
        <v>8876</v>
      </c>
      <c r="D2431" s="160"/>
      <c r="E2431" s="439"/>
      <c r="F2431" s="161">
        <v>304.03342660599998</v>
      </c>
      <c r="G2431" s="161"/>
      <c r="H2431" s="654"/>
      <c r="I2431" s="654"/>
      <c r="J2431" s="191"/>
      <c r="K2431" s="191">
        <v>4107.5229627554099</v>
      </c>
      <c r="L2431" s="191"/>
      <c r="M2431" s="191"/>
      <c r="N2431" s="191"/>
      <c r="O2431" s="191"/>
      <c r="P2431" s="191"/>
      <c r="Q2431" s="191"/>
      <c r="R2431" s="191"/>
      <c r="S2431" s="191"/>
      <c r="T2431" s="191"/>
      <c r="U2431" s="439"/>
      <c r="V2431" s="441"/>
      <c r="W2431" s="178"/>
      <c r="X2431" s="172"/>
      <c r="Y2431" s="172"/>
      <c r="Z2431" s="172"/>
      <c r="AA2431" s="195"/>
      <c r="AB2431" s="172"/>
    </row>
    <row r="2432" spans="1:28" ht="12.6" customHeight="1" x14ac:dyDescent="0.3">
      <c r="A2432" s="667"/>
      <c r="B2432" s="668" t="s">
        <v>8877</v>
      </c>
      <c r="C2432" s="160" t="s">
        <v>8878</v>
      </c>
      <c r="D2432" s="160"/>
      <c r="E2432" s="439"/>
      <c r="F2432" s="161">
        <v>301.03376095800002</v>
      </c>
      <c r="G2432" s="161"/>
      <c r="H2432" s="654"/>
      <c r="I2432" s="654"/>
      <c r="J2432" s="191"/>
      <c r="K2432" s="191">
        <v>5455.8195789689198</v>
      </c>
      <c r="L2432" s="191"/>
      <c r="M2432" s="191"/>
      <c r="N2432" s="191"/>
      <c r="O2432" s="191"/>
      <c r="P2432" s="191"/>
      <c r="Q2432" s="191"/>
      <c r="R2432" s="191"/>
      <c r="S2432" s="191"/>
      <c r="T2432" s="191"/>
      <c r="U2432" s="439"/>
      <c r="V2432" s="441"/>
      <c r="W2432" s="178"/>
      <c r="X2432" s="172"/>
      <c r="Y2432" s="172"/>
      <c r="Z2432" s="172"/>
      <c r="AA2432" s="195"/>
      <c r="AB2432" s="172"/>
    </row>
    <row r="2433" spans="1:28" ht="12.6" customHeight="1" x14ac:dyDescent="0.3">
      <c r="A2433" s="667"/>
      <c r="B2433" s="668" t="s">
        <v>8879</v>
      </c>
      <c r="C2433" s="160" t="s">
        <v>8880</v>
      </c>
      <c r="D2433" s="160"/>
      <c r="E2433" s="439"/>
      <c r="F2433" s="161">
        <v>382.00385903099999</v>
      </c>
      <c r="G2433" s="161"/>
      <c r="H2433" s="654"/>
      <c r="I2433" s="654"/>
      <c r="J2433" s="191"/>
      <c r="K2433" s="191">
        <v>6068.2015910078198</v>
      </c>
      <c r="L2433" s="191"/>
      <c r="M2433" s="191"/>
      <c r="N2433" s="191"/>
      <c r="O2433" s="191"/>
      <c r="P2433" s="191"/>
      <c r="Q2433" s="191"/>
      <c r="R2433" s="191"/>
      <c r="S2433" s="191"/>
      <c r="T2433" s="191"/>
      <c r="U2433" s="439"/>
      <c r="V2433" s="441"/>
      <c r="W2433" s="178"/>
      <c r="X2433" s="172"/>
      <c r="Y2433" s="172"/>
      <c r="Z2433" s="172"/>
      <c r="AA2433" s="195"/>
      <c r="AB2433" s="172"/>
    </row>
    <row r="2434" spans="1:28" ht="12.6" customHeight="1" x14ac:dyDescent="0.3">
      <c r="A2434" s="667"/>
      <c r="B2434" s="668" t="s">
        <v>8881</v>
      </c>
      <c r="C2434" s="160" t="s">
        <v>8882</v>
      </c>
      <c r="D2434" s="160"/>
      <c r="E2434" s="439"/>
      <c r="F2434" s="161">
        <v>240.038511986</v>
      </c>
      <c r="G2434" s="161">
        <v>-87.025000000000006</v>
      </c>
      <c r="H2434" s="654">
        <v>527.11119173999998</v>
      </c>
      <c r="I2434" s="654">
        <v>63.5741998994921</v>
      </c>
      <c r="J2434" s="191"/>
      <c r="K2434" s="191">
        <v>210.75602553732799</v>
      </c>
      <c r="L2434" s="191"/>
      <c r="M2434" s="191"/>
      <c r="N2434" s="191"/>
      <c r="O2434" s="191"/>
      <c r="P2434" s="191"/>
      <c r="Q2434" s="191"/>
      <c r="R2434" s="191"/>
      <c r="S2434" s="191"/>
      <c r="T2434" s="191"/>
      <c r="U2434" s="439"/>
      <c r="V2434" s="441"/>
      <c r="W2434" s="178"/>
      <c r="X2434" s="172"/>
      <c r="Y2434" s="172"/>
      <c r="Z2434" s="172"/>
      <c r="AA2434" s="195"/>
      <c r="AB2434" s="172"/>
    </row>
    <row r="2435" spans="1:28" ht="12.6" customHeight="1" x14ac:dyDescent="0.3">
      <c r="A2435" s="667"/>
      <c r="B2435" s="668" t="s">
        <v>8883</v>
      </c>
      <c r="C2435" s="160" t="s">
        <v>8884</v>
      </c>
      <c r="D2435" s="160"/>
      <c r="E2435" s="439">
        <v>7.13</v>
      </c>
      <c r="F2435" s="161">
        <v>324.03448923399998</v>
      </c>
      <c r="G2435" s="161">
        <v>101.997</v>
      </c>
      <c r="H2435" s="654">
        <v>2.8833815583999998E-3</v>
      </c>
      <c r="I2435" s="654">
        <v>29.6204139057159</v>
      </c>
      <c r="J2435" s="191"/>
      <c r="K2435" s="191">
        <v>135.278880312551</v>
      </c>
      <c r="L2435" s="191"/>
      <c r="M2435" s="191"/>
      <c r="N2435" s="191"/>
      <c r="O2435" s="191"/>
      <c r="P2435" s="191"/>
      <c r="Q2435" s="191"/>
      <c r="R2435" s="191"/>
      <c r="S2435" s="191"/>
      <c r="T2435" s="191"/>
      <c r="U2435" s="439"/>
      <c r="V2435" s="441"/>
      <c r="W2435" s="178"/>
      <c r="X2435" s="172"/>
      <c r="Y2435" s="172"/>
      <c r="Z2435" s="172"/>
      <c r="AA2435" s="195"/>
      <c r="AB2435" s="172"/>
    </row>
    <row r="2436" spans="1:28" ht="12.6" customHeight="1" x14ac:dyDescent="0.3">
      <c r="A2436" s="667"/>
      <c r="B2436" s="668" t="s">
        <v>8885</v>
      </c>
      <c r="C2436" s="160" t="s">
        <v>8886</v>
      </c>
      <c r="D2436" s="160"/>
      <c r="E2436" s="439"/>
      <c r="F2436" s="161">
        <v>256.03342660599998</v>
      </c>
      <c r="G2436" s="161"/>
      <c r="H2436" s="654"/>
      <c r="I2436" s="654"/>
      <c r="J2436" s="191"/>
      <c r="K2436" s="191">
        <v>133.98309322833001</v>
      </c>
      <c r="L2436" s="191"/>
      <c r="M2436" s="191"/>
      <c r="N2436" s="191"/>
      <c r="O2436" s="191"/>
      <c r="P2436" s="191"/>
      <c r="Q2436" s="191"/>
      <c r="R2436" s="191"/>
      <c r="S2436" s="191"/>
      <c r="T2436" s="191"/>
      <c r="U2436" s="439"/>
      <c r="V2436" s="441"/>
      <c r="W2436" s="178"/>
      <c r="X2436" s="172"/>
      <c r="Y2436" s="172"/>
      <c r="Z2436" s="172"/>
      <c r="AA2436" s="195"/>
      <c r="AB2436" s="172"/>
    </row>
    <row r="2437" spans="1:28" ht="12.6" customHeight="1" x14ac:dyDescent="0.3">
      <c r="A2437" s="667"/>
      <c r="B2437" s="668" t="s">
        <v>8887</v>
      </c>
      <c r="C2437" s="160" t="s">
        <v>8888</v>
      </c>
      <c r="D2437" s="160"/>
      <c r="E2437" s="439"/>
      <c r="F2437" s="161">
        <v>300.02325584599998</v>
      </c>
      <c r="G2437" s="161"/>
      <c r="H2437" s="654"/>
      <c r="I2437" s="654"/>
      <c r="J2437" s="191"/>
      <c r="K2437" s="191">
        <v>52.4952489945602</v>
      </c>
      <c r="L2437" s="191"/>
      <c r="M2437" s="191"/>
      <c r="N2437" s="191"/>
      <c r="O2437" s="191"/>
      <c r="P2437" s="191"/>
      <c r="Q2437" s="191"/>
      <c r="R2437" s="191"/>
      <c r="S2437" s="191"/>
      <c r="T2437" s="191"/>
      <c r="U2437" s="439"/>
      <c r="V2437" s="441"/>
      <c r="W2437" s="178"/>
      <c r="X2437" s="172"/>
      <c r="Y2437" s="172"/>
      <c r="Z2437" s="172"/>
      <c r="AA2437" s="195"/>
      <c r="AB2437" s="172"/>
    </row>
    <row r="2438" spans="1:28" ht="12.6" customHeight="1" x14ac:dyDescent="0.3">
      <c r="A2438" s="667"/>
      <c r="B2438" s="668" t="s">
        <v>8889</v>
      </c>
      <c r="C2438" s="160" t="s">
        <v>8890</v>
      </c>
      <c r="D2438" s="160"/>
      <c r="E2438" s="439"/>
      <c r="F2438" s="161">
        <v>261.99953970000001</v>
      </c>
      <c r="G2438" s="161"/>
      <c r="H2438" s="654"/>
      <c r="I2438" s="654"/>
      <c r="J2438" s="191"/>
      <c r="K2438" s="191">
        <v>451.97040691388202</v>
      </c>
      <c r="L2438" s="191"/>
      <c r="M2438" s="191"/>
      <c r="N2438" s="191"/>
      <c r="O2438" s="191"/>
      <c r="P2438" s="191"/>
      <c r="Q2438" s="191"/>
      <c r="R2438" s="191"/>
      <c r="S2438" s="191"/>
      <c r="T2438" s="191"/>
      <c r="U2438" s="439"/>
      <c r="V2438" s="441"/>
      <c r="W2438" s="178"/>
      <c r="X2438" s="172"/>
      <c r="Y2438" s="172"/>
      <c r="Z2438" s="172"/>
      <c r="AA2438" s="195"/>
      <c r="AB2438" s="172"/>
    </row>
    <row r="2439" spans="1:28" ht="12.6" customHeight="1" x14ac:dyDescent="0.3">
      <c r="A2439" s="667"/>
      <c r="B2439" s="668" t="s">
        <v>8891</v>
      </c>
      <c r="C2439" s="160" t="s">
        <v>8892</v>
      </c>
      <c r="D2439" s="160"/>
      <c r="E2439" s="439"/>
      <c r="F2439" s="161">
        <v>400.04631376499998</v>
      </c>
      <c r="G2439" s="161"/>
      <c r="H2439" s="654"/>
      <c r="I2439" s="654"/>
      <c r="J2439" s="191"/>
      <c r="K2439" s="191">
        <v>14684.8664083927</v>
      </c>
      <c r="L2439" s="191"/>
      <c r="M2439" s="191"/>
      <c r="N2439" s="191"/>
      <c r="O2439" s="191"/>
      <c r="P2439" s="191"/>
      <c r="Q2439" s="191"/>
      <c r="R2439" s="191"/>
      <c r="S2439" s="191"/>
      <c r="T2439" s="191"/>
      <c r="U2439" s="439"/>
      <c r="V2439" s="441"/>
      <c r="W2439" s="178"/>
      <c r="X2439" s="172"/>
      <c r="Y2439" s="172"/>
      <c r="Z2439" s="172"/>
      <c r="AA2439" s="195"/>
      <c r="AB2439" s="172"/>
    </row>
    <row r="2440" spans="1:28" ht="12.6" customHeight="1" x14ac:dyDescent="0.3">
      <c r="A2440" s="667"/>
      <c r="B2440" s="668" t="s">
        <v>8893</v>
      </c>
      <c r="C2440" s="160" t="s">
        <v>8894</v>
      </c>
      <c r="D2440" s="160"/>
      <c r="E2440" s="439"/>
      <c r="F2440" s="161">
        <v>522.00657543</v>
      </c>
      <c r="G2440" s="161"/>
      <c r="H2440" s="654"/>
      <c r="I2440" s="654"/>
      <c r="J2440" s="191"/>
      <c r="K2440" s="191">
        <v>113752.25113033599</v>
      </c>
      <c r="L2440" s="191"/>
      <c r="M2440" s="191"/>
      <c r="N2440" s="191"/>
      <c r="O2440" s="191"/>
      <c r="P2440" s="191"/>
      <c r="Q2440" s="191"/>
      <c r="R2440" s="191"/>
      <c r="S2440" s="191"/>
      <c r="T2440" s="191"/>
      <c r="U2440" s="439"/>
      <c r="V2440" s="441"/>
      <c r="W2440" s="178"/>
      <c r="X2440" s="172"/>
      <c r="Y2440" s="172"/>
      <c r="Z2440" s="172"/>
      <c r="AA2440" s="195"/>
      <c r="AB2440" s="172"/>
    </row>
    <row r="2441" spans="1:28" ht="12.6" customHeight="1" x14ac:dyDescent="0.3">
      <c r="A2441" s="667"/>
      <c r="B2441" s="668" t="s">
        <v>8895</v>
      </c>
      <c r="C2441" s="160" t="s">
        <v>8896</v>
      </c>
      <c r="D2441" s="160"/>
      <c r="E2441" s="439"/>
      <c r="F2441" s="161">
        <v>479.93630300000001</v>
      </c>
      <c r="G2441" s="161"/>
      <c r="H2441" s="654"/>
      <c r="I2441" s="654"/>
      <c r="J2441" s="191"/>
      <c r="K2441" s="191">
        <v>103908.24268082299</v>
      </c>
      <c r="L2441" s="191"/>
      <c r="M2441" s="191"/>
      <c r="N2441" s="191"/>
      <c r="O2441" s="191"/>
      <c r="P2441" s="191"/>
      <c r="Q2441" s="191"/>
      <c r="R2441" s="191"/>
      <c r="S2441" s="191"/>
      <c r="T2441" s="191"/>
      <c r="U2441" s="439"/>
      <c r="V2441" s="441"/>
      <c r="W2441" s="178"/>
      <c r="X2441" s="172"/>
      <c r="Y2441" s="172"/>
      <c r="Z2441" s="172"/>
      <c r="AA2441" s="195"/>
      <c r="AB2441" s="172"/>
    </row>
    <row r="2442" spans="1:28" ht="12.6" customHeight="1" x14ac:dyDescent="0.3">
      <c r="A2442" s="667"/>
      <c r="B2442" s="668" t="s">
        <v>8897</v>
      </c>
      <c r="C2442" s="160" t="s">
        <v>8898</v>
      </c>
      <c r="D2442" s="160"/>
      <c r="E2442" s="439"/>
      <c r="F2442" s="161">
        <v>331.95649672799999</v>
      </c>
      <c r="G2442" s="161">
        <v>-76.066999999999993</v>
      </c>
      <c r="H2442" s="654">
        <v>162.51818478000001</v>
      </c>
      <c r="I2442" s="654">
        <v>34.760160641878997</v>
      </c>
      <c r="J2442" s="191"/>
      <c r="K2442" s="191">
        <v>650.24945968859504</v>
      </c>
      <c r="L2442" s="191"/>
      <c r="M2442" s="191"/>
      <c r="N2442" s="191"/>
      <c r="O2442" s="191"/>
      <c r="P2442" s="191"/>
      <c r="Q2442" s="191"/>
      <c r="R2442" s="191"/>
      <c r="S2442" s="191"/>
      <c r="T2442" s="191"/>
      <c r="U2442" s="439"/>
      <c r="V2442" s="441"/>
      <c r="W2442" s="178"/>
      <c r="X2442" s="172"/>
      <c r="Y2442" s="172"/>
      <c r="Z2442" s="172"/>
      <c r="AA2442" s="195"/>
      <c r="AB2442" s="172"/>
    </row>
    <row r="2443" spans="1:28" ht="12.6" customHeight="1" x14ac:dyDescent="0.3">
      <c r="A2443" s="667"/>
      <c r="B2443" s="668" t="s">
        <v>8899</v>
      </c>
      <c r="C2443" s="160" t="s">
        <v>8900</v>
      </c>
      <c r="D2443" s="160"/>
      <c r="E2443" s="439"/>
      <c r="F2443" s="161">
        <v>306.03131860500002</v>
      </c>
      <c r="G2443" s="161"/>
      <c r="H2443" s="654"/>
      <c r="I2443" s="654"/>
      <c r="J2443" s="191"/>
      <c r="K2443" s="191">
        <v>972523.26623634598</v>
      </c>
      <c r="L2443" s="191"/>
      <c r="M2443" s="191"/>
      <c r="N2443" s="191"/>
      <c r="O2443" s="191"/>
      <c r="P2443" s="191"/>
      <c r="Q2443" s="191"/>
      <c r="R2443" s="191"/>
      <c r="S2443" s="191"/>
      <c r="T2443" s="191"/>
      <c r="U2443" s="439"/>
      <c r="V2443" s="441"/>
      <c r="W2443" s="178"/>
      <c r="X2443" s="172"/>
      <c r="Y2443" s="172"/>
      <c r="Z2443" s="172"/>
      <c r="AA2443" s="195"/>
      <c r="AB2443" s="172"/>
    </row>
    <row r="2444" spans="1:28" ht="12.6" customHeight="1" x14ac:dyDescent="0.3">
      <c r="A2444" s="667"/>
      <c r="B2444" s="668" t="s">
        <v>8901</v>
      </c>
      <c r="C2444" s="160" t="s">
        <v>8902</v>
      </c>
      <c r="D2444" s="160"/>
      <c r="E2444" s="439"/>
      <c r="F2444" s="161">
        <v>295.89328999999998</v>
      </c>
      <c r="G2444" s="161">
        <v>-45.076000000000001</v>
      </c>
      <c r="H2444" s="654">
        <v>21722.153460000001</v>
      </c>
      <c r="I2444" s="654">
        <v>19.370239979243902</v>
      </c>
      <c r="J2444" s="191"/>
      <c r="K2444" s="191">
        <v>240.170686802765</v>
      </c>
      <c r="L2444" s="191"/>
      <c r="M2444" s="191"/>
      <c r="N2444" s="191"/>
      <c r="O2444" s="191"/>
      <c r="P2444" s="191"/>
      <c r="Q2444" s="191"/>
      <c r="R2444" s="191"/>
      <c r="S2444" s="191"/>
      <c r="T2444" s="191"/>
      <c r="U2444" s="439"/>
      <c r="V2444" s="441"/>
      <c r="W2444" s="178"/>
      <c r="X2444" s="172"/>
      <c r="Y2444" s="172"/>
      <c r="Z2444" s="172"/>
      <c r="AA2444" s="195"/>
      <c r="AB2444" s="172"/>
    </row>
    <row r="2445" spans="1:28" ht="12.6" customHeight="1" x14ac:dyDescent="0.3">
      <c r="A2445" s="667"/>
      <c r="B2445" s="668" t="s">
        <v>8903</v>
      </c>
      <c r="C2445" s="160" t="s">
        <v>8904</v>
      </c>
      <c r="D2445" s="160"/>
      <c r="E2445" s="439"/>
      <c r="F2445" s="161">
        <v>345.89010000000002</v>
      </c>
      <c r="G2445" s="161"/>
      <c r="H2445" s="654"/>
      <c r="I2445" s="654"/>
      <c r="J2445" s="191"/>
      <c r="K2445" s="191">
        <v>306.534951161349</v>
      </c>
      <c r="L2445" s="191"/>
      <c r="M2445" s="191"/>
      <c r="N2445" s="191"/>
      <c r="O2445" s="191"/>
      <c r="P2445" s="191"/>
      <c r="Q2445" s="191"/>
      <c r="R2445" s="191"/>
      <c r="S2445" s="191"/>
      <c r="T2445" s="191"/>
      <c r="U2445" s="439"/>
      <c r="V2445" s="441"/>
      <c r="W2445" s="178"/>
      <c r="X2445" s="172"/>
      <c r="Y2445" s="172"/>
      <c r="Z2445" s="172"/>
      <c r="AA2445" s="195"/>
      <c r="AB2445" s="172"/>
    </row>
    <row r="2446" spans="1:28" ht="12.6" customHeight="1" x14ac:dyDescent="0.3">
      <c r="A2446" s="667"/>
      <c r="B2446" s="668" t="s">
        <v>8905</v>
      </c>
      <c r="C2446" s="160" t="s">
        <v>8906</v>
      </c>
      <c r="D2446" s="160"/>
      <c r="E2446" s="439"/>
      <c r="F2446" s="161">
        <v>463.98690699799999</v>
      </c>
      <c r="G2446" s="161"/>
      <c r="H2446" s="654"/>
      <c r="I2446" s="654"/>
      <c r="J2446" s="191"/>
      <c r="K2446" s="191">
        <v>68215.0183037979</v>
      </c>
      <c r="L2446" s="191"/>
      <c r="M2446" s="191"/>
      <c r="N2446" s="191"/>
      <c r="O2446" s="191"/>
      <c r="P2446" s="191"/>
      <c r="Q2446" s="191"/>
      <c r="R2446" s="191"/>
      <c r="S2446" s="191"/>
      <c r="T2446" s="191"/>
      <c r="U2446" s="439"/>
      <c r="V2446" s="441"/>
      <c r="W2446" s="178"/>
      <c r="X2446" s="172"/>
      <c r="Y2446" s="172"/>
      <c r="Z2446" s="172"/>
      <c r="AA2446" s="195"/>
      <c r="AB2446" s="172"/>
    </row>
    <row r="2447" spans="1:28" ht="12.6" customHeight="1" x14ac:dyDescent="0.3">
      <c r="A2447" s="667"/>
      <c r="B2447" s="668" t="s">
        <v>8907</v>
      </c>
      <c r="C2447" s="160" t="s">
        <v>8908</v>
      </c>
      <c r="D2447" s="160"/>
      <c r="E2447" s="439"/>
      <c r="F2447" s="161">
        <v>413.99010067199998</v>
      </c>
      <c r="G2447" s="161"/>
      <c r="H2447" s="654"/>
      <c r="I2447" s="654"/>
      <c r="J2447" s="191"/>
      <c r="K2447" s="191">
        <v>18124.6654920902</v>
      </c>
      <c r="L2447" s="191"/>
      <c r="M2447" s="191"/>
      <c r="N2447" s="191"/>
      <c r="O2447" s="191"/>
      <c r="P2447" s="191"/>
      <c r="Q2447" s="191"/>
      <c r="R2447" s="191"/>
      <c r="S2447" s="191"/>
      <c r="T2447" s="191"/>
      <c r="U2447" s="439"/>
      <c r="V2447" s="441"/>
      <c r="W2447" s="178"/>
      <c r="X2447" s="172"/>
      <c r="Y2447" s="172"/>
      <c r="Z2447" s="172"/>
      <c r="AA2447" s="195"/>
      <c r="AB2447" s="172"/>
    </row>
    <row r="2448" spans="1:28" ht="12.6" customHeight="1" x14ac:dyDescent="0.3">
      <c r="A2448" s="667"/>
      <c r="B2448" s="668" t="s">
        <v>8909</v>
      </c>
      <c r="C2448" s="160" t="s">
        <v>8910</v>
      </c>
      <c r="D2448" s="160"/>
      <c r="E2448" s="439"/>
      <c r="F2448" s="161">
        <v>363.99329434600003</v>
      </c>
      <c r="G2448" s="161"/>
      <c r="H2448" s="654"/>
      <c r="I2448" s="654"/>
      <c r="J2448" s="191"/>
      <c r="K2448" s="191">
        <v>7364.6141833506799</v>
      </c>
      <c r="L2448" s="191"/>
      <c r="M2448" s="191"/>
      <c r="N2448" s="191"/>
      <c r="O2448" s="191"/>
      <c r="P2448" s="191"/>
      <c r="Q2448" s="191"/>
      <c r="R2448" s="191"/>
      <c r="S2448" s="191"/>
      <c r="T2448" s="191"/>
      <c r="U2448" s="439"/>
      <c r="V2448" s="441"/>
      <c r="W2448" s="178"/>
      <c r="X2448" s="172"/>
      <c r="Y2448" s="172"/>
      <c r="Z2448" s="172"/>
      <c r="AA2448" s="195"/>
      <c r="AB2448" s="172"/>
    </row>
    <row r="2449" spans="1:28" ht="12.6" customHeight="1" x14ac:dyDescent="0.3">
      <c r="A2449" s="667"/>
      <c r="B2449" s="668" t="s">
        <v>8911</v>
      </c>
      <c r="C2449" s="160" t="s">
        <v>8912</v>
      </c>
      <c r="D2449" s="160"/>
      <c r="E2449" s="439"/>
      <c r="F2449" s="161">
        <v>691.89281000000005</v>
      </c>
      <c r="G2449" s="161"/>
      <c r="H2449" s="654"/>
      <c r="I2449" s="654"/>
      <c r="J2449" s="191"/>
      <c r="K2449" s="191">
        <v>7066429.0042520696</v>
      </c>
      <c r="L2449" s="191"/>
      <c r="M2449" s="191"/>
      <c r="N2449" s="191"/>
      <c r="O2449" s="191"/>
      <c r="P2449" s="191"/>
      <c r="Q2449" s="191"/>
      <c r="R2449" s="191"/>
      <c r="S2449" s="191"/>
      <c r="T2449" s="191"/>
      <c r="U2449" s="439"/>
      <c r="V2449" s="441"/>
      <c r="W2449" s="178"/>
      <c r="X2449" s="172"/>
      <c r="Y2449" s="172"/>
      <c r="Z2449" s="172"/>
      <c r="AA2449" s="195"/>
      <c r="AB2449" s="172"/>
    </row>
    <row r="2450" spans="1:28" ht="12.6" customHeight="1" x14ac:dyDescent="0.3">
      <c r="A2450" s="667"/>
      <c r="B2450" s="668" t="s">
        <v>8913</v>
      </c>
      <c r="C2450" s="160" t="s">
        <v>8914</v>
      </c>
      <c r="D2450" s="160"/>
      <c r="E2450" s="439"/>
      <c r="F2450" s="161">
        <v>491.90559000000002</v>
      </c>
      <c r="G2450" s="161"/>
      <c r="H2450" s="654"/>
      <c r="I2450" s="654"/>
      <c r="J2450" s="191"/>
      <c r="K2450" s="191">
        <v>841685.79942369601</v>
      </c>
      <c r="L2450" s="191"/>
      <c r="M2450" s="191"/>
      <c r="N2450" s="191"/>
      <c r="O2450" s="191"/>
      <c r="P2450" s="191"/>
      <c r="Q2450" s="191"/>
      <c r="R2450" s="191"/>
      <c r="S2450" s="191"/>
      <c r="T2450" s="191"/>
      <c r="U2450" s="439"/>
      <c r="V2450" s="441"/>
      <c r="W2450" s="178"/>
      <c r="X2450" s="172"/>
      <c r="Y2450" s="172"/>
      <c r="Z2450" s="172"/>
      <c r="AA2450" s="195"/>
      <c r="AB2450" s="172"/>
    </row>
    <row r="2451" spans="1:28" ht="12.6" customHeight="1" x14ac:dyDescent="0.3">
      <c r="A2451" s="667" t="s">
        <v>4414</v>
      </c>
      <c r="B2451" s="668" t="s">
        <v>8915</v>
      </c>
      <c r="C2451" s="160" t="s">
        <v>8916</v>
      </c>
      <c r="D2451" s="160"/>
      <c r="E2451" s="439"/>
      <c r="F2451" s="161"/>
      <c r="G2451" s="161"/>
      <c r="H2451" s="654"/>
      <c r="I2451" s="654"/>
      <c r="J2451" s="191"/>
      <c r="K2451" s="191"/>
      <c r="L2451" s="191"/>
      <c r="M2451" s="191"/>
      <c r="N2451" s="191"/>
      <c r="O2451" s="191"/>
      <c r="P2451" s="191"/>
      <c r="Q2451" s="191"/>
      <c r="R2451" s="191"/>
      <c r="S2451" s="191"/>
      <c r="T2451" s="191"/>
      <c r="U2451" s="439"/>
      <c r="V2451" s="441"/>
      <c r="W2451" s="178"/>
      <c r="X2451" s="172"/>
      <c r="Y2451" s="172"/>
      <c r="Z2451" s="172"/>
      <c r="AA2451" s="195"/>
      <c r="AB2451" s="172"/>
    </row>
    <row r="2452" spans="1:28" ht="12.6" customHeight="1" x14ac:dyDescent="0.3">
      <c r="A2452" s="667"/>
      <c r="B2452" s="668" t="s">
        <v>8917</v>
      </c>
      <c r="C2452" s="160" t="s">
        <v>8918</v>
      </c>
      <c r="D2452" s="160"/>
      <c r="E2452" s="439"/>
      <c r="F2452" s="161">
        <v>295.89328999999998</v>
      </c>
      <c r="G2452" s="161">
        <v>-52.503999999999998</v>
      </c>
      <c r="H2452" s="654">
        <v>84508.816139999995</v>
      </c>
      <c r="I2452" s="654">
        <v>10.942962365412001</v>
      </c>
      <c r="J2452" s="191"/>
      <c r="K2452" s="191">
        <v>274.726149993067</v>
      </c>
      <c r="L2452" s="191"/>
      <c r="M2452" s="191"/>
      <c r="N2452" s="191"/>
      <c r="O2452" s="191"/>
      <c r="P2452" s="191"/>
      <c r="Q2452" s="191"/>
      <c r="R2452" s="191"/>
      <c r="S2452" s="191"/>
      <c r="T2452" s="191"/>
      <c r="U2452" s="439"/>
      <c r="V2452" s="441"/>
      <c r="W2452" s="178"/>
      <c r="X2452" s="172"/>
      <c r="Y2452" s="172"/>
      <c r="Z2452" s="172"/>
      <c r="AA2452" s="195"/>
      <c r="AB2452" s="172"/>
    </row>
    <row r="2453" spans="1:28" ht="12.6" customHeight="1" x14ac:dyDescent="0.3">
      <c r="A2453" s="667"/>
      <c r="B2453" s="668" t="s">
        <v>8919</v>
      </c>
      <c r="C2453" s="160" t="s">
        <v>8920</v>
      </c>
      <c r="D2453" s="160"/>
      <c r="E2453" s="439"/>
      <c r="F2453" s="161">
        <v>559.89296999999999</v>
      </c>
      <c r="G2453" s="161"/>
      <c r="H2453" s="654"/>
      <c r="I2453" s="654"/>
      <c r="J2453" s="191"/>
      <c r="K2453" s="191">
        <v>2397507.6411802298</v>
      </c>
      <c r="L2453" s="191"/>
      <c r="M2453" s="191"/>
      <c r="N2453" s="191"/>
      <c r="O2453" s="191"/>
      <c r="P2453" s="191"/>
      <c r="Q2453" s="191"/>
      <c r="R2453" s="191"/>
      <c r="S2453" s="191"/>
      <c r="T2453" s="191"/>
      <c r="U2453" s="439"/>
      <c r="V2453" s="441"/>
      <c r="W2453" s="178"/>
      <c r="X2453" s="172"/>
      <c r="Y2453" s="172"/>
      <c r="Z2453" s="172"/>
      <c r="AA2453" s="195"/>
      <c r="AB2453" s="172"/>
    </row>
    <row r="2454" spans="1:28" ht="12.6" customHeight="1" x14ac:dyDescent="0.3">
      <c r="A2454" s="667"/>
      <c r="B2454" s="668" t="s">
        <v>8921</v>
      </c>
      <c r="C2454" s="160" t="s">
        <v>8922</v>
      </c>
      <c r="D2454" s="160"/>
      <c r="E2454" s="439"/>
      <c r="F2454" s="161">
        <v>427.89312999999999</v>
      </c>
      <c r="G2454" s="161">
        <v>-87.119</v>
      </c>
      <c r="H2454" s="654">
        <v>6279.1595594</v>
      </c>
      <c r="I2454" s="654">
        <v>1.0383297481892999</v>
      </c>
      <c r="J2454" s="191"/>
      <c r="K2454" s="191">
        <v>199342.54564980901</v>
      </c>
      <c r="L2454" s="191"/>
      <c r="M2454" s="191"/>
      <c r="N2454" s="191"/>
      <c r="O2454" s="191"/>
      <c r="P2454" s="191"/>
      <c r="Q2454" s="191"/>
      <c r="R2454" s="191"/>
      <c r="S2454" s="191"/>
      <c r="T2454" s="191"/>
      <c r="U2454" s="439"/>
      <c r="V2454" s="441"/>
      <c r="W2454" s="178"/>
      <c r="X2454" s="172"/>
      <c r="Y2454" s="172"/>
      <c r="Z2454" s="172"/>
      <c r="AA2454" s="195"/>
      <c r="AB2454" s="172"/>
    </row>
    <row r="2455" spans="1:28" ht="12.6" customHeight="1" x14ac:dyDescent="0.3">
      <c r="A2455" s="667"/>
      <c r="B2455" s="668" t="s">
        <v>8923</v>
      </c>
      <c r="C2455" s="160" t="s">
        <v>8924</v>
      </c>
      <c r="D2455" s="160"/>
      <c r="E2455" s="439"/>
      <c r="F2455" s="161">
        <v>577.88355000000001</v>
      </c>
      <c r="G2455" s="161">
        <v>-21.486999999999998</v>
      </c>
      <c r="H2455" s="654">
        <v>171.75206649999899</v>
      </c>
      <c r="I2455" s="654">
        <v>0.10229174506905001</v>
      </c>
      <c r="J2455" s="191"/>
      <c r="K2455" s="191">
        <v>605215.44135261595</v>
      </c>
      <c r="L2455" s="191"/>
      <c r="M2455" s="191"/>
      <c r="N2455" s="191"/>
      <c r="O2455" s="191"/>
      <c r="P2455" s="191"/>
      <c r="Q2455" s="191"/>
      <c r="R2455" s="191"/>
      <c r="S2455" s="191"/>
      <c r="T2455" s="191"/>
      <c r="U2455" s="439"/>
      <c r="V2455" s="441"/>
      <c r="W2455" s="178"/>
      <c r="X2455" s="172"/>
      <c r="Y2455" s="172"/>
      <c r="Z2455" s="172"/>
      <c r="AA2455" s="195"/>
      <c r="AB2455" s="172"/>
    </row>
    <row r="2456" spans="1:28" ht="12.6" customHeight="1" x14ac:dyDescent="0.3">
      <c r="A2456" s="667"/>
      <c r="B2456" s="668" t="s">
        <v>8925</v>
      </c>
      <c r="C2456" s="160" t="s">
        <v>8926</v>
      </c>
      <c r="D2456" s="160"/>
      <c r="E2456" s="439"/>
      <c r="F2456" s="161">
        <v>487.93065999999999</v>
      </c>
      <c r="G2456" s="161">
        <v>-77.637</v>
      </c>
      <c r="H2456" s="654">
        <v>677.48774198000001</v>
      </c>
      <c r="I2456" s="654">
        <v>0.18170147433872</v>
      </c>
      <c r="J2456" s="191"/>
      <c r="K2456" s="191">
        <v>605354.81340313097</v>
      </c>
      <c r="L2456" s="191"/>
      <c r="M2456" s="191"/>
      <c r="N2456" s="191"/>
      <c r="O2456" s="191"/>
      <c r="P2456" s="191"/>
      <c r="Q2456" s="191"/>
      <c r="R2456" s="191"/>
      <c r="S2456" s="191"/>
      <c r="T2456" s="191"/>
      <c r="U2456" s="439"/>
      <c r="V2456" s="441"/>
      <c r="W2456" s="178"/>
      <c r="X2456" s="172"/>
      <c r="Y2456" s="172"/>
      <c r="Z2456" s="172"/>
      <c r="AA2456" s="195"/>
      <c r="AB2456" s="172"/>
    </row>
    <row r="2457" spans="1:28" ht="12.6" customHeight="1" x14ac:dyDescent="0.3">
      <c r="A2457" s="667"/>
      <c r="B2457" s="668" t="s">
        <v>8927</v>
      </c>
      <c r="C2457" s="160" t="s">
        <v>8928</v>
      </c>
      <c r="D2457" s="160"/>
      <c r="E2457" s="439"/>
      <c r="F2457" s="161">
        <v>391.91198000000003</v>
      </c>
      <c r="G2457" s="161">
        <v>-94.531999999999996</v>
      </c>
      <c r="H2457" s="654">
        <v>16900.563330000001</v>
      </c>
      <c r="I2457" s="654">
        <v>6.3854218901399999</v>
      </c>
      <c r="J2457" s="191"/>
      <c r="K2457" s="191">
        <v>56780.602954866401</v>
      </c>
      <c r="L2457" s="191"/>
      <c r="M2457" s="191"/>
      <c r="N2457" s="191"/>
      <c r="O2457" s="191"/>
      <c r="P2457" s="191"/>
      <c r="Q2457" s="191"/>
      <c r="R2457" s="191"/>
      <c r="S2457" s="191"/>
      <c r="T2457" s="191"/>
      <c r="U2457" s="439"/>
      <c r="V2457" s="441"/>
      <c r="W2457" s="178"/>
      <c r="X2457" s="172"/>
      <c r="Y2457" s="172"/>
      <c r="Z2457" s="172"/>
      <c r="AA2457" s="195"/>
      <c r="AB2457" s="172"/>
    </row>
    <row r="2458" spans="1:28" ht="12.6" customHeight="1" x14ac:dyDescent="0.3">
      <c r="A2458" s="667"/>
      <c r="B2458" s="668" t="s">
        <v>8929</v>
      </c>
      <c r="C2458" s="160" t="s">
        <v>8930</v>
      </c>
      <c r="D2458" s="160"/>
      <c r="E2458" s="439"/>
      <c r="F2458" s="161">
        <v>541.90239999999994</v>
      </c>
      <c r="G2458" s="161">
        <v>-19.942</v>
      </c>
      <c r="H2458" s="654">
        <v>137.37365557999999</v>
      </c>
      <c r="I2458" s="654">
        <v>0.16746409867199999</v>
      </c>
      <c r="J2458" s="191"/>
      <c r="K2458" s="191">
        <v>464761.34514373</v>
      </c>
      <c r="L2458" s="191"/>
      <c r="M2458" s="191"/>
      <c r="N2458" s="191"/>
      <c r="O2458" s="191"/>
      <c r="P2458" s="191"/>
      <c r="Q2458" s="191"/>
      <c r="R2458" s="191"/>
      <c r="S2458" s="191"/>
      <c r="T2458" s="191"/>
      <c r="U2458" s="439"/>
      <c r="V2458" s="441"/>
      <c r="W2458" s="178"/>
      <c r="X2458" s="172"/>
      <c r="Y2458" s="172"/>
      <c r="Z2458" s="172"/>
      <c r="AA2458" s="195"/>
      <c r="AB2458" s="172"/>
    </row>
    <row r="2459" spans="1:28" ht="12.6" customHeight="1" x14ac:dyDescent="0.3">
      <c r="A2459" s="667"/>
      <c r="B2459" s="668" t="s">
        <v>8931</v>
      </c>
      <c r="C2459" s="160" t="s">
        <v>8932</v>
      </c>
      <c r="D2459" s="160"/>
      <c r="E2459" s="439"/>
      <c r="F2459" s="161">
        <v>441.90877999999998</v>
      </c>
      <c r="G2459" s="161"/>
      <c r="H2459" s="654"/>
      <c r="I2459" s="654"/>
      <c r="J2459" s="191"/>
      <c r="K2459" s="191">
        <v>127291.674619356</v>
      </c>
      <c r="L2459" s="191"/>
      <c r="M2459" s="191"/>
      <c r="N2459" s="191"/>
      <c r="O2459" s="191"/>
      <c r="P2459" s="191"/>
      <c r="Q2459" s="191"/>
      <c r="R2459" s="191"/>
      <c r="S2459" s="191"/>
      <c r="T2459" s="191"/>
      <c r="U2459" s="439"/>
      <c r="V2459" s="441"/>
      <c r="W2459" s="178"/>
      <c r="X2459" s="172"/>
      <c r="Y2459" s="172"/>
      <c r="Z2459" s="172"/>
      <c r="AA2459" s="195"/>
      <c r="AB2459" s="172"/>
    </row>
    <row r="2460" spans="1:28" ht="12.6" customHeight="1" x14ac:dyDescent="0.3">
      <c r="A2460" s="667"/>
      <c r="B2460" s="668" t="s">
        <v>8933</v>
      </c>
      <c r="C2460" s="160" t="s">
        <v>8934</v>
      </c>
      <c r="D2460" s="160"/>
      <c r="E2460" s="439"/>
      <c r="F2460" s="161">
        <v>413.99010067199998</v>
      </c>
      <c r="G2460" s="161"/>
      <c r="H2460" s="654"/>
      <c r="I2460" s="654"/>
      <c r="J2460" s="191"/>
      <c r="K2460" s="191">
        <v>18411.111154351602</v>
      </c>
      <c r="L2460" s="191"/>
      <c r="M2460" s="191"/>
      <c r="N2460" s="191"/>
      <c r="O2460" s="191"/>
      <c r="P2460" s="191"/>
      <c r="Q2460" s="191"/>
      <c r="R2460" s="191"/>
      <c r="S2460" s="191"/>
      <c r="T2460" s="191"/>
      <c r="U2460" s="439"/>
      <c r="V2460" s="441"/>
      <c r="W2460" s="178"/>
      <c r="X2460" s="172"/>
      <c r="Y2460" s="172"/>
      <c r="Z2460" s="172"/>
      <c r="AA2460" s="195"/>
      <c r="AB2460" s="172"/>
    </row>
    <row r="2461" spans="1:28" ht="12.6" customHeight="1" x14ac:dyDescent="0.3">
      <c r="A2461" s="667"/>
      <c r="B2461" s="668" t="s">
        <v>8935</v>
      </c>
      <c r="C2461" s="160" t="s">
        <v>8936</v>
      </c>
      <c r="D2461" s="160"/>
      <c r="E2461" s="439"/>
      <c r="F2461" s="161">
        <v>363.99329434600003</v>
      </c>
      <c r="G2461" s="161"/>
      <c r="H2461" s="654"/>
      <c r="I2461" s="654"/>
      <c r="J2461" s="191"/>
      <c r="K2461" s="191">
        <v>7451.2648437258904</v>
      </c>
      <c r="L2461" s="191"/>
      <c r="M2461" s="191"/>
      <c r="N2461" s="191"/>
      <c r="O2461" s="191"/>
      <c r="P2461" s="191"/>
      <c r="Q2461" s="191"/>
      <c r="R2461" s="191"/>
      <c r="S2461" s="191"/>
      <c r="T2461" s="191"/>
      <c r="U2461" s="439"/>
      <c r="V2461" s="441"/>
      <c r="W2461" s="178"/>
      <c r="X2461" s="172"/>
      <c r="Y2461" s="172"/>
      <c r="Z2461" s="172"/>
      <c r="AA2461" s="195"/>
      <c r="AB2461" s="172"/>
    </row>
    <row r="2462" spans="1:28" ht="12.6" customHeight="1" x14ac:dyDescent="0.3">
      <c r="A2462" s="667"/>
      <c r="B2462" s="668" t="s">
        <v>8937</v>
      </c>
      <c r="C2462" s="160" t="s">
        <v>8938</v>
      </c>
      <c r="D2462" s="160"/>
      <c r="E2462" s="439"/>
      <c r="F2462" s="161">
        <v>313.99648802000002</v>
      </c>
      <c r="G2462" s="161"/>
      <c r="H2462" s="654"/>
      <c r="I2462" s="654"/>
      <c r="J2462" s="191"/>
      <c r="K2462" s="191">
        <v>5589.46189775324</v>
      </c>
      <c r="L2462" s="191"/>
      <c r="M2462" s="191"/>
      <c r="N2462" s="191"/>
      <c r="O2462" s="191"/>
      <c r="P2462" s="191"/>
      <c r="Q2462" s="191"/>
      <c r="R2462" s="191"/>
      <c r="S2462" s="191"/>
      <c r="T2462" s="191"/>
      <c r="U2462" s="439"/>
      <c r="V2462" s="441"/>
      <c r="W2462" s="178"/>
      <c r="X2462" s="172"/>
      <c r="Y2462" s="172"/>
      <c r="Z2462" s="172"/>
      <c r="AA2462" s="195"/>
      <c r="AB2462" s="172"/>
    </row>
    <row r="2463" spans="1:28" ht="12.6" customHeight="1" x14ac:dyDescent="0.3">
      <c r="A2463" s="667"/>
      <c r="B2463" s="668" t="s">
        <v>8939</v>
      </c>
      <c r="C2463" s="160" t="s">
        <v>8940</v>
      </c>
      <c r="D2463" s="160"/>
      <c r="E2463" s="439"/>
      <c r="F2463" s="161">
        <v>263.999681694</v>
      </c>
      <c r="G2463" s="161"/>
      <c r="H2463" s="654"/>
      <c r="I2463" s="654"/>
      <c r="J2463" s="191"/>
      <c r="K2463" s="191">
        <v>1728.1442871317599</v>
      </c>
      <c r="L2463" s="191"/>
      <c r="M2463" s="191"/>
      <c r="N2463" s="191"/>
      <c r="O2463" s="191"/>
      <c r="P2463" s="191"/>
      <c r="Q2463" s="191"/>
      <c r="R2463" s="191"/>
      <c r="S2463" s="191"/>
      <c r="T2463" s="191"/>
      <c r="U2463" s="439"/>
      <c r="V2463" s="441"/>
      <c r="W2463" s="178"/>
      <c r="X2463" s="172"/>
      <c r="Y2463" s="172"/>
      <c r="Z2463" s="172"/>
      <c r="AA2463" s="195"/>
      <c r="AB2463" s="172"/>
    </row>
    <row r="2464" spans="1:28" ht="12.6" customHeight="1" x14ac:dyDescent="0.3">
      <c r="A2464" s="667"/>
      <c r="B2464" s="668" t="s">
        <v>8941</v>
      </c>
      <c r="C2464" s="160" t="s">
        <v>8942</v>
      </c>
      <c r="D2464" s="160"/>
      <c r="E2464" s="439"/>
      <c r="F2464" s="161">
        <v>591.94848909999996</v>
      </c>
      <c r="G2464" s="161">
        <v>-72.59</v>
      </c>
      <c r="H2464" s="654">
        <v>34.986625883999999</v>
      </c>
      <c r="I2464" s="654"/>
      <c r="J2464" s="191"/>
      <c r="K2464" s="191">
        <v>2330343810.54984</v>
      </c>
      <c r="L2464" s="191"/>
      <c r="M2464" s="191"/>
      <c r="N2464" s="191"/>
      <c r="O2464" s="191"/>
      <c r="P2464" s="191"/>
      <c r="Q2464" s="191"/>
      <c r="R2464" s="191"/>
      <c r="S2464" s="191"/>
      <c r="T2464" s="191"/>
      <c r="U2464" s="439"/>
      <c r="V2464" s="441"/>
      <c r="W2464" s="178"/>
      <c r="X2464" s="172"/>
      <c r="Y2464" s="172"/>
      <c r="Z2464" s="172"/>
      <c r="AA2464" s="195"/>
      <c r="AB2464" s="172"/>
    </row>
    <row r="2465" spans="1:28" ht="12.6" customHeight="1" x14ac:dyDescent="0.3">
      <c r="A2465" s="667"/>
      <c r="B2465" s="668" t="s">
        <v>8943</v>
      </c>
      <c r="C2465" s="160" t="s">
        <v>8944</v>
      </c>
      <c r="D2465" s="160"/>
      <c r="E2465" s="439"/>
      <c r="F2465" s="161">
        <v>379.9004132</v>
      </c>
      <c r="G2465" s="161">
        <v>-65.197000000000003</v>
      </c>
      <c r="H2465" s="654">
        <v>287.67421228000001</v>
      </c>
      <c r="I2465" s="654">
        <v>0.30596343498218898</v>
      </c>
      <c r="J2465" s="191"/>
      <c r="K2465" s="191">
        <v>1657143.0509327401</v>
      </c>
      <c r="L2465" s="191"/>
      <c r="M2465" s="191"/>
      <c r="N2465" s="191"/>
      <c r="O2465" s="191"/>
      <c r="P2465" s="191"/>
      <c r="Q2465" s="191"/>
      <c r="R2465" s="191"/>
      <c r="S2465" s="191"/>
      <c r="T2465" s="191"/>
      <c r="U2465" s="439"/>
      <c r="V2465" s="441"/>
      <c r="W2465" s="178"/>
      <c r="X2465" s="172"/>
      <c r="Y2465" s="172"/>
      <c r="Z2465" s="172"/>
      <c r="AA2465" s="195"/>
      <c r="AB2465" s="172"/>
    </row>
    <row r="2466" spans="1:28" ht="12.6" customHeight="1" x14ac:dyDescent="0.3">
      <c r="A2466" s="667"/>
      <c r="B2466" s="668" t="s">
        <v>8945</v>
      </c>
      <c r="C2466" s="160" t="s">
        <v>8946</v>
      </c>
      <c r="D2466" s="160"/>
      <c r="E2466" s="439"/>
      <c r="F2466" s="161">
        <v>601.95379200000002</v>
      </c>
      <c r="G2466" s="161">
        <v>-41.811</v>
      </c>
      <c r="H2466" s="654">
        <v>3.3798860186000002</v>
      </c>
      <c r="I2466" s="654">
        <v>1.0152251678976E-2</v>
      </c>
      <c r="J2466" s="191"/>
      <c r="K2466" s="191">
        <v>1696602099.1333499</v>
      </c>
      <c r="L2466" s="191"/>
      <c r="M2466" s="191"/>
      <c r="N2466" s="191"/>
      <c r="O2466" s="191"/>
      <c r="P2466" s="191"/>
      <c r="Q2466" s="191"/>
      <c r="R2466" s="191"/>
      <c r="S2466" s="191"/>
      <c r="T2466" s="191"/>
      <c r="U2466" s="439"/>
      <c r="V2466" s="441"/>
      <c r="W2466" s="178"/>
      <c r="X2466" s="172"/>
      <c r="Y2466" s="172"/>
      <c r="Z2466" s="172"/>
      <c r="AA2466" s="195"/>
      <c r="AB2466" s="172"/>
    </row>
    <row r="2467" spans="1:28" ht="12.6" customHeight="1" x14ac:dyDescent="0.3">
      <c r="A2467" s="667"/>
      <c r="B2467" s="668" t="s">
        <v>8947</v>
      </c>
      <c r="C2467" s="160" t="s">
        <v>8948</v>
      </c>
      <c r="D2467" s="160"/>
      <c r="E2467" s="439"/>
      <c r="F2467" s="161">
        <v>316.012138085</v>
      </c>
      <c r="G2467" s="161"/>
      <c r="H2467" s="654"/>
      <c r="I2467" s="654"/>
      <c r="J2467" s="191"/>
      <c r="K2467" s="191">
        <v>3916.60703808365</v>
      </c>
      <c r="L2467" s="191"/>
      <c r="M2467" s="191"/>
      <c r="N2467" s="191"/>
      <c r="O2467" s="191"/>
      <c r="P2467" s="191"/>
      <c r="Q2467" s="191"/>
      <c r="R2467" s="191"/>
      <c r="S2467" s="191"/>
      <c r="T2467" s="191"/>
      <c r="U2467" s="439"/>
      <c r="V2467" s="441"/>
      <c r="W2467" s="178"/>
      <c r="X2467" s="172"/>
      <c r="Y2467" s="172"/>
      <c r="Z2467" s="172"/>
      <c r="AA2467" s="195"/>
      <c r="AB2467" s="172"/>
    </row>
    <row r="2468" spans="1:28" ht="12.6" customHeight="1" x14ac:dyDescent="0.3">
      <c r="A2468" s="667"/>
      <c r="B2468" s="668" t="s">
        <v>8949</v>
      </c>
      <c r="C2468" s="160" t="s">
        <v>8950</v>
      </c>
      <c r="D2468" s="160"/>
      <c r="E2468" s="439">
        <v>7.75</v>
      </c>
      <c r="F2468" s="161">
        <v>295.00549535099998</v>
      </c>
      <c r="G2468" s="161"/>
      <c r="H2468" s="654"/>
      <c r="I2468" s="654"/>
      <c r="J2468" s="191"/>
      <c r="K2468" s="191">
        <v>630.37647882948704</v>
      </c>
      <c r="L2468" s="191"/>
      <c r="M2468" s="191"/>
      <c r="N2468" s="191"/>
      <c r="O2468" s="191"/>
      <c r="P2468" s="191"/>
      <c r="Q2468" s="191"/>
      <c r="R2468" s="191"/>
      <c r="S2468" s="191"/>
      <c r="T2468" s="191"/>
      <c r="U2468" s="439"/>
      <c r="V2468" s="441"/>
      <c r="W2468" s="178"/>
      <c r="X2468" s="172"/>
      <c r="Y2468" s="172"/>
      <c r="Z2468" s="172"/>
      <c r="AA2468" s="195"/>
      <c r="AB2468" s="172"/>
    </row>
    <row r="2469" spans="1:28" ht="12.6" customHeight="1" x14ac:dyDescent="0.3">
      <c r="A2469" s="667"/>
      <c r="B2469" s="668" t="s">
        <v>8951</v>
      </c>
      <c r="C2469" s="160" t="s">
        <v>8952</v>
      </c>
      <c r="D2469" s="160"/>
      <c r="E2469" s="439"/>
      <c r="F2469" s="161">
        <v>574.004842693</v>
      </c>
      <c r="G2469" s="161">
        <v>-81.385999999999996</v>
      </c>
      <c r="H2469" s="654">
        <v>14.584893511999899</v>
      </c>
      <c r="I2469" s="654">
        <v>3.34900255445017E-2</v>
      </c>
      <c r="J2469" s="191"/>
      <c r="K2469" s="191">
        <v>113972.480401974</v>
      </c>
      <c r="L2469" s="191"/>
      <c r="M2469" s="191"/>
      <c r="N2469" s="191"/>
      <c r="O2469" s="191"/>
      <c r="P2469" s="191"/>
      <c r="Q2469" s="191"/>
      <c r="R2469" s="191"/>
      <c r="S2469" s="191"/>
      <c r="T2469" s="191"/>
      <c r="U2469" s="439"/>
      <c r="V2469" s="441"/>
      <c r="W2469" s="178"/>
      <c r="X2469" s="172"/>
      <c r="Y2469" s="172"/>
      <c r="Z2469" s="172"/>
      <c r="AA2469" s="195"/>
      <c r="AB2469" s="172"/>
    </row>
    <row r="2470" spans="1:28" ht="12.6" customHeight="1" x14ac:dyDescent="0.3">
      <c r="A2470" s="667"/>
      <c r="B2470" s="668" t="s">
        <v>8953</v>
      </c>
      <c r="C2470" s="160" t="s">
        <v>8954</v>
      </c>
      <c r="D2470" s="160"/>
      <c r="E2470" s="439"/>
      <c r="F2470" s="161">
        <v>570.00771824499998</v>
      </c>
      <c r="G2470" s="161"/>
      <c r="H2470" s="654"/>
      <c r="I2470" s="654"/>
      <c r="J2470" s="191"/>
      <c r="K2470" s="191">
        <v>2291659.0270814998</v>
      </c>
      <c r="L2470" s="191"/>
      <c r="M2470" s="191"/>
      <c r="N2470" s="191"/>
      <c r="O2470" s="191"/>
      <c r="P2470" s="191"/>
      <c r="Q2470" s="191"/>
      <c r="R2470" s="191"/>
      <c r="S2470" s="191"/>
      <c r="T2470" s="191"/>
      <c r="U2470" s="439"/>
      <c r="V2470" s="441"/>
      <c r="W2470" s="178"/>
      <c r="X2470" s="172"/>
      <c r="Y2470" s="172"/>
      <c r="Z2470" s="172"/>
      <c r="AA2470" s="195"/>
      <c r="AB2470" s="172"/>
    </row>
    <row r="2471" spans="1:28" ht="12.6" customHeight="1" x14ac:dyDescent="0.3">
      <c r="A2471" s="667"/>
      <c r="B2471" s="668" t="s">
        <v>8955</v>
      </c>
      <c r="C2471" s="160" t="s">
        <v>8956</v>
      </c>
      <c r="D2471" s="160"/>
      <c r="E2471" s="439">
        <v>20</v>
      </c>
      <c r="F2471" s="161">
        <v>611.00297067099996</v>
      </c>
      <c r="G2471" s="161"/>
      <c r="H2471" s="654"/>
      <c r="I2471" s="654"/>
      <c r="J2471" s="191"/>
      <c r="K2471" s="191"/>
      <c r="L2471" s="191"/>
      <c r="M2471" s="191"/>
      <c r="N2471" s="191"/>
      <c r="O2471" s="191"/>
      <c r="P2471" s="191"/>
      <c r="Q2471" s="191"/>
      <c r="R2471" s="191"/>
      <c r="S2471" s="191"/>
      <c r="T2471" s="191"/>
      <c r="U2471" s="439"/>
      <c r="V2471" s="441"/>
      <c r="W2471" s="178"/>
      <c r="X2471" s="172"/>
      <c r="Y2471" s="172"/>
      <c r="Z2471" s="172"/>
      <c r="AA2471" s="195"/>
      <c r="AB2471" s="172"/>
    </row>
    <row r="2472" spans="1:28" ht="12.6" customHeight="1" x14ac:dyDescent="0.3">
      <c r="A2472" s="667"/>
      <c r="B2472" s="668" t="s">
        <v>8957</v>
      </c>
      <c r="C2472" s="160" t="s">
        <v>8958</v>
      </c>
      <c r="D2472" s="160"/>
      <c r="E2472" s="439"/>
      <c r="F2472" s="161">
        <v>653.78339000000005</v>
      </c>
      <c r="G2472" s="161">
        <v>1.8460000000000001</v>
      </c>
      <c r="H2472" s="654">
        <v>20.696773957999898</v>
      </c>
      <c r="I2472" s="654"/>
      <c r="J2472" s="191"/>
      <c r="K2472" s="191">
        <v>12500.575285109</v>
      </c>
      <c r="L2472" s="191"/>
      <c r="M2472" s="191"/>
      <c r="N2472" s="191"/>
      <c r="O2472" s="191"/>
      <c r="P2472" s="191"/>
      <c r="Q2472" s="191"/>
      <c r="R2472" s="191"/>
      <c r="S2472" s="191"/>
      <c r="T2472" s="191"/>
      <c r="U2472" s="439"/>
      <c r="V2472" s="441"/>
      <c r="W2472" s="178"/>
      <c r="X2472" s="172"/>
      <c r="Y2472" s="172"/>
      <c r="Z2472" s="172"/>
      <c r="AA2472" s="195"/>
      <c r="AB2472" s="172"/>
    </row>
    <row r="2473" spans="1:28" ht="12.6" customHeight="1" x14ac:dyDescent="0.3">
      <c r="A2473" s="667"/>
      <c r="B2473" s="668" t="s">
        <v>8959</v>
      </c>
      <c r="C2473" s="160" t="s">
        <v>8960</v>
      </c>
      <c r="D2473" s="160"/>
      <c r="E2473" s="439"/>
      <c r="F2473" s="161">
        <v>488.02688010600002</v>
      </c>
      <c r="G2473" s="161">
        <v>-53.146999999999998</v>
      </c>
      <c r="H2473" s="654">
        <v>9.2024177280000004</v>
      </c>
      <c r="I2473" s="654">
        <v>3.7020645465704898</v>
      </c>
      <c r="J2473" s="191"/>
      <c r="K2473" s="191">
        <v>23334.580622810001</v>
      </c>
      <c r="L2473" s="191"/>
      <c r="M2473" s="191"/>
      <c r="N2473" s="191"/>
      <c r="O2473" s="191"/>
      <c r="P2473" s="191"/>
      <c r="Q2473" s="191"/>
      <c r="R2473" s="191"/>
      <c r="S2473" s="191"/>
      <c r="T2473" s="191"/>
      <c r="U2473" s="439"/>
      <c r="V2473" s="441"/>
      <c r="W2473" s="178"/>
      <c r="X2473" s="172"/>
      <c r="Y2473" s="172"/>
      <c r="Z2473" s="172"/>
      <c r="AA2473" s="195"/>
      <c r="AB2473" s="172"/>
    </row>
    <row r="2474" spans="1:28" ht="12.6" customHeight="1" x14ac:dyDescent="0.3">
      <c r="A2474" s="667"/>
      <c r="B2474" s="668" t="s">
        <v>8961</v>
      </c>
      <c r="C2474" s="160" t="s">
        <v>8962</v>
      </c>
      <c r="D2474" s="160"/>
      <c r="E2474" s="439">
        <v>4.6429999999999998</v>
      </c>
      <c r="F2474" s="161">
        <v>386.01761738900001</v>
      </c>
      <c r="G2474" s="161">
        <v>-2.0329999999999999</v>
      </c>
      <c r="H2474" s="654">
        <v>76.542293352000002</v>
      </c>
      <c r="I2474" s="654">
        <v>5.54124429585735</v>
      </c>
      <c r="J2474" s="191"/>
      <c r="K2474" s="191">
        <v>4931.5109298489397</v>
      </c>
      <c r="L2474" s="191"/>
      <c r="M2474" s="191"/>
      <c r="N2474" s="191"/>
      <c r="O2474" s="191"/>
      <c r="P2474" s="191"/>
      <c r="Q2474" s="191"/>
      <c r="R2474" s="191"/>
      <c r="S2474" s="191"/>
      <c r="T2474" s="191"/>
      <c r="U2474" s="439"/>
      <c r="V2474" s="441"/>
      <c r="W2474" s="178"/>
      <c r="X2474" s="172"/>
      <c r="Y2474" s="172"/>
      <c r="Z2474" s="172"/>
      <c r="AA2474" s="195"/>
      <c r="AB2474" s="172"/>
    </row>
    <row r="2475" spans="1:28" ht="12.6" customHeight="1" x14ac:dyDescent="0.3">
      <c r="A2475" s="667"/>
      <c r="B2475" s="668" t="s">
        <v>8963</v>
      </c>
      <c r="C2475" s="160" t="s">
        <v>8964</v>
      </c>
      <c r="D2475" s="160"/>
      <c r="E2475" s="439"/>
      <c r="F2475" s="161">
        <v>229.99778998799999</v>
      </c>
      <c r="G2475" s="161">
        <v>-59.261000000000003</v>
      </c>
      <c r="H2475" s="654">
        <v>20840.228429999999</v>
      </c>
      <c r="I2475" s="654">
        <v>59.528258002484101</v>
      </c>
      <c r="J2475" s="191"/>
      <c r="K2475" s="191">
        <v>120.93444058487999</v>
      </c>
      <c r="L2475" s="191"/>
      <c r="M2475" s="191"/>
      <c r="N2475" s="191"/>
      <c r="O2475" s="191"/>
      <c r="P2475" s="191"/>
      <c r="Q2475" s="191"/>
      <c r="R2475" s="191"/>
      <c r="S2475" s="191"/>
      <c r="T2475" s="191"/>
      <c r="U2475" s="439"/>
      <c r="V2475" s="441"/>
      <c r="W2475" s="178"/>
      <c r="X2475" s="172"/>
      <c r="Y2475" s="172"/>
      <c r="Z2475" s="172"/>
      <c r="AA2475" s="195"/>
      <c r="AB2475" s="172"/>
    </row>
    <row r="2476" spans="1:28" ht="12.6" customHeight="1" x14ac:dyDescent="0.3">
      <c r="A2476" s="667"/>
      <c r="B2476" s="668" t="s">
        <v>8965</v>
      </c>
      <c r="C2476" s="160" t="s">
        <v>8966</v>
      </c>
      <c r="D2476" s="160"/>
      <c r="E2476" s="439"/>
      <c r="F2476" s="161">
        <v>286.02400473699998</v>
      </c>
      <c r="G2476" s="161">
        <v>-73.549000000000007</v>
      </c>
      <c r="H2476" s="654">
        <v>374.8881318</v>
      </c>
      <c r="I2476" s="654">
        <v>25.316442297679401</v>
      </c>
      <c r="J2476" s="191"/>
      <c r="K2476" s="191">
        <v>214.23972391272301</v>
      </c>
      <c r="L2476" s="191"/>
      <c r="M2476" s="191"/>
      <c r="N2476" s="191"/>
      <c r="O2476" s="191"/>
      <c r="P2476" s="191"/>
      <c r="Q2476" s="191"/>
      <c r="R2476" s="191"/>
      <c r="S2476" s="191"/>
      <c r="T2476" s="191"/>
      <c r="U2476" s="439"/>
      <c r="V2476" s="441"/>
      <c r="W2476" s="178"/>
      <c r="X2476" s="172"/>
      <c r="Y2476" s="172"/>
      <c r="Z2476" s="172"/>
      <c r="AA2476" s="195"/>
      <c r="AB2476" s="172"/>
    </row>
    <row r="2477" spans="1:28" ht="12.6" customHeight="1" x14ac:dyDescent="0.3">
      <c r="A2477" s="667"/>
      <c r="B2477" s="668" t="s">
        <v>8967</v>
      </c>
      <c r="C2477" s="160" t="s">
        <v>8968</v>
      </c>
      <c r="D2477" s="160"/>
      <c r="E2477" s="439"/>
      <c r="F2477" s="161">
        <v>300.00082450999997</v>
      </c>
      <c r="G2477" s="161"/>
      <c r="H2477" s="654"/>
      <c r="I2477" s="654"/>
      <c r="J2477" s="191"/>
      <c r="K2477" s="191">
        <v>1754.0420476450399</v>
      </c>
      <c r="L2477" s="191"/>
      <c r="M2477" s="191"/>
      <c r="N2477" s="191"/>
      <c r="O2477" s="191"/>
      <c r="P2477" s="191"/>
      <c r="Q2477" s="191"/>
      <c r="R2477" s="191"/>
      <c r="S2477" s="191"/>
      <c r="T2477" s="191"/>
      <c r="U2477" s="439"/>
      <c r="V2477" s="441"/>
      <c r="W2477" s="178"/>
      <c r="X2477" s="172"/>
      <c r="Y2477" s="172"/>
      <c r="Z2477" s="172"/>
      <c r="AA2477" s="195"/>
      <c r="AB2477" s="172"/>
    </row>
    <row r="2478" spans="1:28" ht="12.6" customHeight="1" x14ac:dyDescent="0.3">
      <c r="A2478" s="667"/>
      <c r="B2478" s="668" t="s">
        <v>8969</v>
      </c>
      <c r="C2478" s="160" t="s">
        <v>8970</v>
      </c>
      <c r="D2478" s="160"/>
      <c r="E2478" s="439"/>
      <c r="F2478" s="161">
        <v>250.00401818399999</v>
      </c>
      <c r="G2478" s="161"/>
      <c r="H2478" s="654"/>
      <c r="I2478" s="654"/>
      <c r="J2478" s="191"/>
      <c r="K2478" s="191">
        <v>108.75769634777301</v>
      </c>
      <c r="L2478" s="191"/>
      <c r="M2478" s="191"/>
      <c r="N2478" s="191"/>
      <c r="O2478" s="191"/>
      <c r="P2478" s="191"/>
      <c r="Q2478" s="191"/>
      <c r="R2478" s="191"/>
      <c r="S2478" s="191"/>
      <c r="T2478" s="191"/>
      <c r="U2478" s="439"/>
      <c r="V2478" s="441"/>
      <c r="W2478" s="178"/>
      <c r="X2478" s="172"/>
      <c r="Y2478" s="172"/>
      <c r="Z2478" s="172"/>
      <c r="AA2478" s="195"/>
      <c r="AB2478" s="172"/>
    </row>
    <row r="2479" spans="1:28" ht="12.6" customHeight="1" x14ac:dyDescent="0.3">
      <c r="A2479" s="667"/>
      <c r="B2479" s="668" t="s">
        <v>8971</v>
      </c>
      <c r="C2479" s="160" t="s">
        <v>8972</v>
      </c>
      <c r="D2479" s="160"/>
      <c r="E2479" s="439"/>
      <c r="F2479" s="161">
        <v>795.86135999999999</v>
      </c>
      <c r="G2479" s="161">
        <v>-31.280999999999999</v>
      </c>
      <c r="H2479" s="654">
        <v>57.135009777999997</v>
      </c>
      <c r="I2479" s="654"/>
      <c r="J2479" s="191"/>
      <c r="K2479" s="191">
        <v>377902.70449847198</v>
      </c>
      <c r="L2479" s="191"/>
      <c r="M2479" s="191"/>
      <c r="N2479" s="191"/>
      <c r="O2479" s="191"/>
      <c r="P2479" s="191"/>
      <c r="Q2479" s="191"/>
      <c r="R2479" s="191"/>
      <c r="S2479" s="191"/>
      <c r="T2479" s="191"/>
      <c r="U2479" s="439"/>
      <c r="V2479" s="441"/>
      <c r="W2479" s="178"/>
      <c r="X2479" s="172"/>
      <c r="Y2479" s="172"/>
      <c r="Z2479" s="172"/>
      <c r="AA2479" s="195"/>
      <c r="AB2479" s="172"/>
    </row>
    <row r="2480" spans="1:28" ht="12.6" customHeight="1" x14ac:dyDescent="0.3">
      <c r="A2480" s="667"/>
      <c r="B2480" s="668" t="s">
        <v>8973</v>
      </c>
      <c r="C2480" s="160" t="s">
        <v>8974</v>
      </c>
      <c r="D2480" s="160"/>
      <c r="E2480" s="439"/>
      <c r="F2480" s="161">
        <v>895.85496999999998</v>
      </c>
      <c r="G2480" s="161">
        <v>8.5570000000000004</v>
      </c>
      <c r="H2480" s="654">
        <v>31.542918623999999</v>
      </c>
      <c r="I2480" s="654"/>
      <c r="J2480" s="191"/>
      <c r="K2480" s="191">
        <v>333818.19152541202</v>
      </c>
      <c r="L2480" s="191"/>
      <c r="M2480" s="191"/>
      <c r="N2480" s="191"/>
      <c r="O2480" s="191"/>
      <c r="P2480" s="191"/>
      <c r="Q2480" s="191"/>
      <c r="R2480" s="191"/>
      <c r="S2480" s="191"/>
      <c r="T2480" s="191"/>
      <c r="U2480" s="439"/>
      <c r="V2480" s="441"/>
      <c r="W2480" s="178"/>
      <c r="X2480" s="172"/>
      <c r="Y2480" s="172"/>
      <c r="Z2480" s="172"/>
      <c r="AA2480" s="195"/>
      <c r="AB2480" s="172"/>
    </row>
    <row r="2481" spans="1:28" ht="12.6" customHeight="1" x14ac:dyDescent="0.3">
      <c r="A2481" s="667"/>
      <c r="B2481" s="668" t="s">
        <v>8975</v>
      </c>
      <c r="C2481" s="160" t="s">
        <v>8976</v>
      </c>
      <c r="D2481" s="160"/>
      <c r="E2481" s="439"/>
      <c r="F2481" s="161">
        <v>945.85176999999999</v>
      </c>
      <c r="G2481" s="161">
        <v>19.695</v>
      </c>
      <c r="H2481" s="654"/>
      <c r="I2481" s="654"/>
      <c r="J2481" s="191"/>
      <c r="K2481" s="191">
        <v>2982428.2198201702</v>
      </c>
      <c r="L2481" s="191"/>
      <c r="M2481" s="191"/>
      <c r="N2481" s="191"/>
      <c r="O2481" s="191"/>
      <c r="P2481" s="191"/>
      <c r="Q2481" s="191"/>
      <c r="R2481" s="191"/>
      <c r="S2481" s="191"/>
      <c r="T2481" s="191"/>
      <c r="U2481" s="439"/>
      <c r="V2481" s="441"/>
      <c r="W2481" s="178"/>
      <c r="X2481" s="172"/>
      <c r="Y2481" s="172"/>
      <c r="Z2481" s="172"/>
      <c r="AA2481" s="195"/>
      <c r="AB2481" s="172"/>
    </row>
    <row r="2482" spans="1:28" ht="12.6" customHeight="1" x14ac:dyDescent="0.3">
      <c r="A2482" s="667"/>
      <c r="B2482" s="668" t="s">
        <v>8977</v>
      </c>
      <c r="C2482" s="160" t="s">
        <v>8978</v>
      </c>
      <c r="D2482" s="160"/>
      <c r="E2482" s="439"/>
      <c r="F2482" s="161">
        <v>845.85816</v>
      </c>
      <c r="G2482" s="161">
        <v>-5.3419999999999996</v>
      </c>
      <c r="H2482" s="654">
        <v>30.332088219999999</v>
      </c>
      <c r="I2482" s="654"/>
      <c r="J2482" s="191"/>
      <c r="K2482" s="191">
        <v>349236.799842073</v>
      </c>
      <c r="L2482" s="191"/>
      <c r="M2482" s="191"/>
      <c r="N2482" s="191"/>
      <c r="O2482" s="191"/>
      <c r="P2482" s="191"/>
      <c r="Q2482" s="191"/>
      <c r="R2482" s="191"/>
      <c r="S2482" s="191"/>
      <c r="T2482" s="191"/>
      <c r="U2482" s="439"/>
      <c r="V2482" s="441"/>
      <c r="W2482" s="178"/>
      <c r="X2482" s="172"/>
      <c r="Y2482" s="172"/>
      <c r="Z2482" s="172"/>
      <c r="AA2482" s="195"/>
      <c r="AB2482" s="172"/>
    </row>
    <row r="2483" spans="1:28" ht="12.6" customHeight="1" x14ac:dyDescent="0.3">
      <c r="A2483" s="667"/>
      <c r="B2483" s="668" t="s">
        <v>8979</v>
      </c>
      <c r="C2483" s="160" t="s">
        <v>8980</v>
      </c>
      <c r="D2483" s="160"/>
      <c r="E2483" s="439"/>
      <c r="F2483" s="161">
        <v>595.87413000000004</v>
      </c>
      <c r="G2483" s="161">
        <v>-23.285</v>
      </c>
      <c r="H2483" s="654">
        <v>459.09430699999899</v>
      </c>
      <c r="I2483" s="654"/>
      <c r="J2483" s="191"/>
      <c r="K2483" s="191">
        <v>829124.98032366997</v>
      </c>
      <c r="L2483" s="191"/>
      <c r="M2483" s="191"/>
      <c r="N2483" s="191"/>
      <c r="O2483" s="191"/>
      <c r="P2483" s="191"/>
      <c r="Q2483" s="191"/>
      <c r="R2483" s="191"/>
      <c r="S2483" s="191"/>
      <c r="T2483" s="191"/>
      <c r="U2483" s="439"/>
      <c r="V2483" s="441"/>
      <c r="W2483" s="178"/>
      <c r="X2483" s="172"/>
      <c r="Y2483" s="172"/>
      <c r="Z2483" s="172"/>
      <c r="AA2483" s="195"/>
      <c r="AB2483" s="172"/>
    </row>
    <row r="2484" spans="1:28" ht="12.6" customHeight="1" x14ac:dyDescent="0.3">
      <c r="A2484" s="667"/>
      <c r="B2484" s="668" t="s">
        <v>8981</v>
      </c>
      <c r="C2484" s="160" t="s">
        <v>8982</v>
      </c>
      <c r="D2484" s="160"/>
      <c r="E2484" s="439">
        <v>6.7389999999999999</v>
      </c>
      <c r="F2484" s="161">
        <v>553.78977999999995</v>
      </c>
      <c r="G2484" s="161">
        <v>-8.1720000000000006</v>
      </c>
      <c r="H2484" s="654">
        <v>334.11959741999999</v>
      </c>
      <c r="I2484" s="654"/>
      <c r="J2484" s="191"/>
      <c r="K2484" s="191">
        <v>5673.6168012947901</v>
      </c>
      <c r="L2484" s="191"/>
      <c r="M2484" s="191"/>
      <c r="N2484" s="191"/>
      <c r="O2484" s="191"/>
      <c r="P2484" s="191"/>
      <c r="Q2484" s="191"/>
      <c r="R2484" s="191"/>
      <c r="S2484" s="191"/>
      <c r="T2484" s="191"/>
      <c r="U2484" s="439"/>
      <c r="V2484" s="441"/>
      <c r="W2484" s="178"/>
      <c r="X2484" s="172"/>
      <c r="Y2484" s="172"/>
      <c r="Z2484" s="172"/>
      <c r="AA2484" s="195"/>
      <c r="AB2484" s="172"/>
    </row>
    <row r="2485" spans="1:28" ht="12.6" customHeight="1" x14ac:dyDescent="0.3">
      <c r="A2485" s="667"/>
      <c r="B2485" s="668" t="s">
        <v>8983</v>
      </c>
      <c r="C2485" s="160" t="s">
        <v>8984</v>
      </c>
      <c r="D2485" s="160"/>
      <c r="E2485" s="439"/>
      <c r="F2485" s="161">
        <v>395.88690000000003</v>
      </c>
      <c r="G2485" s="161">
        <v>-44.731000000000002</v>
      </c>
      <c r="H2485" s="654">
        <v>15520.413986</v>
      </c>
      <c r="I2485" s="654">
        <v>9.1742434319099999</v>
      </c>
      <c r="J2485" s="191"/>
      <c r="K2485" s="191">
        <v>10058.657023903401</v>
      </c>
      <c r="L2485" s="191"/>
      <c r="M2485" s="191"/>
      <c r="N2485" s="191"/>
      <c r="O2485" s="191"/>
      <c r="P2485" s="191"/>
      <c r="Q2485" s="191"/>
      <c r="R2485" s="191"/>
      <c r="S2485" s="191"/>
      <c r="T2485" s="191"/>
      <c r="U2485" s="439"/>
      <c r="V2485" s="441"/>
      <c r="W2485" s="178"/>
      <c r="X2485" s="172"/>
      <c r="Y2485" s="172"/>
      <c r="Z2485" s="172"/>
      <c r="AA2485" s="195"/>
      <c r="AB2485" s="172"/>
    </row>
    <row r="2486" spans="1:28" ht="12.6" customHeight="1" x14ac:dyDescent="0.3">
      <c r="A2486" s="667"/>
      <c r="B2486" s="668" t="s">
        <v>8985</v>
      </c>
      <c r="C2486" s="160" t="s">
        <v>8986</v>
      </c>
      <c r="D2486" s="160"/>
      <c r="E2486" s="439"/>
      <c r="F2486" s="161">
        <v>357.89010000000002</v>
      </c>
      <c r="G2486" s="161"/>
      <c r="H2486" s="654"/>
      <c r="I2486" s="654"/>
      <c r="J2486" s="191"/>
      <c r="K2486" s="191">
        <v>14954.434676013199</v>
      </c>
      <c r="L2486" s="191"/>
      <c r="M2486" s="191"/>
      <c r="N2486" s="191"/>
      <c r="O2486" s="191"/>
      <c r="P2486" s="191"/>
      <c r="Q2486" s="191"/>
      <c r="R2486" s="191"/>
      <c r="S2486" s="191"/>
      <c r="T2486" s="191"/>
      <c r="U2486" s="439"/>
      <c r="V2486" s="441"/>
      <c r="W2486" s="178"/>
      <c r="X2486" s="172"/>
      <c r="Y2486" s="172"/>
      <c r="Z2486" s="172"/>
      <c r="AA2486" s="195"/>
      <c r="AB2486" s="172"/>
    </row>
    <row r="2487" spans="1:28" ht="12.6" customHeight="1" x14ac:dyDescent="0.3">
      <c r="A2487" s="667"/>
      <c r="B2487" s="668" t="s">
        <v>8987</v>
      </c>
      <c r="C2487" s="160" t="s">
        <v>8988</v>
      </c>
      <c r="D2487" s="160"/>
      <c r="E2487" s="439"/>
      <c r="F2487" s="161">
        <v>357.89010000000002</v>
      </c>
      <c r="G2487" s="161"/>
      <c r="H2487" s="654"/>
      <c r="I2487" s="654"/>
      <c r="J2487" s="191"/>
      <c r="K2487" s="191">
        <v>14954.434676013199</v>
      </c>
      <c r="L2487" s="191"/>
      <c r="M2487" s="191"/>
      <c r="N2487" s="191"/>
      <c r="O2487" s="191"/>
      <c r="P2487" s="191"/>
      <c r="Q2487" s="191"/>
      <c r="R2487" s="191"/>
      <c r="S2487" s="191"/>
      <c r="T2487" s="191"/>
      <c r="U2487" s="439"/>
      <c r="V2487" s="441"/>
      <c r="W2487" s="178"/>
      <c r="X2487" s="172"/>
      <c r="Y2487" s="172"/>
      <c r="Z2487" s="172"/>
      <c r="AA2487" s="195"/>
      <c r="AB2487" s="172"/>
    </row>
    <row r="2488" spans="1:28" ht="12.6" customHeight="1" x14ac:dyDescent="0.3">
      <c r="A2488" s="667"/>
      <c r="B2488" s="668" t="s">
        <v>8989</v>
      </c>
      <c r="C2488" s="160" t="s">
        <v>8990</v>
      </c>
      <c r="D2488" s="160"/>
      <c r="E2488" s="439"/>
      <c r="F2488" s="161">
        <v>357.89010000000002</v>
      </c>
      <c r="G2488" s="161"/>
      <c r="H2488" s="654"/>
      <c r="I2488" s="654"/>
      <c r="J2488" s="191"/>
      <c r="K2488" s="191">
        <v>14954.434676013199</v>
      </c>
      <c r="L2488" s="191"/>
      <c r="M2488" s="191"/>
      <c r="N2488" s="191"/>
      <c r="O2488" s="191"/>
      <c r="P2488" s="191"/>
      <c r="Q2488" s="191"/>
      <c r="R2488" s="191"/>
      <c r="S2488" s="191"/>
      <c r="T2488" s="191"/>
      <c r="U2488" s="439"/>
      <c r="V2488" s="441"/>
      <c r="W2488" s="178"/>
      <c r="X2488" s="172"/>
      <c r="Y2488" s="172"/>
      <c r="Z2488" s="172"/>
      <c r="AA2488" s="195"/>
      <c r="AB2488" s="172"/>
    </row>
    <row r="2489" spans="1:28" ht="12.6" customHeight="1" x14ac:dyDescent="0.3">
      <c r="A2489" s="667"/>
      <c r="B2489" s="668" t="s">
        <v>8991</v>
      </c>
      <c r="C2489" s="160" t="s">
        <v>8992</v>
      </c>
      <c r="D2489" s="160"/>
      <c r="E2489" s="439"/>
      <c r="F2489" s="161">
        <v>607.87413000000004</v>
      </c>
      <c r="G2489" s="161"/>
      <c r="H2489" s="654"/>
      <c r="I2489" s="654"/>
      <c r="J2489" s="191"/>
      <c r="K2489" s="191">
        <v>188260.84341046499</v>
      </c>
      <c r="L2489" s="191"/>
      <c r="M2489" s="191"/>
      <c r="N2489" s="191"/>
      <c r="O2489" s="191"/>
      <c r="P2489" s="191"/>
      <c r="Q2489" s="191"/>
      <c r="R2489" s="191"/>
      <c r="S2489" s="191"/>
      <c r="T2489" s="191"/>
      <c r="U2489" s="439"/>
      <c r="V2489" s="441"/>
      <c r="W2489" s="178"/>
      <c r="X2489" s="172"/>
      <c r="Y2489" s="172"/>
      <c r="Z2489" s="172"/>
      <c r="AA2489" s="195"/>
      <c r="AB2489" s="172"/>
    </row>
    <row r="2490" spans="1:28" ht="12.6" customHeight="1" x14ac:dyDescent="0.3">
      <c r="A2490" s="667" t="s">
        <v>4414</v>
      </c>
      <c r="B2490" s="668" t="s">
        <v>8993</v>
      </c>
      <c r="C2490" s="160" t="s">
        <v>8994</v>
      </c>
      <c r="D2490" s="160"/>
      <c r="E2490" s="439"/>
      <c r="F2490" s="161"/>
      <c r="G2490" s="161"/>
      <c r="H2490" s="654"/>
      <c r="I2490" s="654"/>
      <c r="J2490" s="191"/>
      <c r="K2490" s="191"/>
      <c r="L2490" s="191"/>
      <c r="M2490" s="191"/>
      <c r="N2490" s="191"/>
      <c r="O2490" s="191"/>
      <c r="P2490" s="191"/>
      <c r="Q2490" s="191"/>
      <c r="R2490" s="191"/>
      <c r="S2490" s="191"/>
      <c r="T2490" s="191"/>
      <c r="U2490" s="439"/>
      <c r="V2490" s="441"/>
      <c r="W2490" s="178"/>
      <c r="X2490" s="172"/>
      <c r="Y2490" s="172"/>
      <c r="Z2490" s="172"/>
      <c r="AA2490" s="195"/>
      <c r="AB2490" s="172"/>
    </row>
    <row r="2491" spans="1:28" ht="12.6" customHeight="1" x14ac:dyDescent="0.3">
      <c r="A2491" s="667" t="s">
        <v>4414</v>
      </c>
      <c r="B2491" s="668" t="s">
        <v>8995</v>
      </c>
      <c r="C2491" s="160" t="s">
        <v>8996</v>
      </c>
      <c r="D2491" s="160"/>
      <c r="E2491" s="439"/>
      <c r="F2491" s="161"/>
      <c r="G2491" s="161"/>
      <c r="H2491" s="654"/>
      <c r="I2491" s="654"/>
      <c r="J2491" s="191"/>
      <c r="K2491" s="191"/>
      <c r="L2491" s="191"/>
      <c r="M2491" s="191"/>
      <c r="N2491" s="191"/>
      <c r="O2491" s="191"/>
      <c r="P2491" s="191"/>
      <c r="Q2491" s="191"/>
      <c r="R2491" s="191"/>
      <c r="S2491" s="191"/>
      <c r="T2491" s="191"/>
      <c r="U2491" s="439"/>
      <c r="V2491" s="441"/>
      <c r="W2491" s="178"/>
      <c r="X2491" s="172"/>
      <c r="Y2491" s="172"/>
      <c r="Z2491" s="172"/>
      <c r="AA2491" s="195"/>
      <c r="AB2491" s="172"/>
    </row>
    <row r="2492" spans="1:28" ht="12.6" customHeight="1" x14ac:dyDescent="0.3">
      <c r="A2492" s="667"/>
      <c r="B2492" s="668" t="s">
        <v>8997</v>
      </c>
      <c r="C2492" s="160" t="s">
        <v>8998</v>
      </c>
      <c r="D2492" s="160"/>
      <c r="E2492" s="439"/>
      <c r="F2492" s="161">
        <v>381.98387247699998</v>
      </c>
      <c r="G2492" s="161"/>
      <c r="H2492" s="654"/>
      <c r="I2492" s="654"/>
      <c r="J2492" s="191"/>
      <c r="K2492" s="191">
        <v>14565.318976562099</v>
      </c>
      <c r="L2492" s="191"/>
      <c r="M2492" s="191"/>
      <c r="N2492" s="191"/>
      <c r="O2492" s="191"/>
      <c r="P2492" s="191"/>
      <c r="Q2492" s="191"/>
      <c r="R2492" s="191"/>
      <c r="S2492" s="191"/>
      <c r="T2492" s="191"/>
      <c r="U2492" s="439"/>
      <c r="V2492" s="441"/>
      <c r="W2492" s="178"/>
      <c r="X2492" s="172"/>
      <c r="Y2492" s="172"/>
      <c r="Z2492" s="172"/>
      <c r="AA2492" s="195"/>
      <c r="AB2492" s="172"/>
    </row>
    <row r="2493" spans="1:28" ht="12.6" customHeight="1" x14ac:dyDescent="0.3">
      <c r="A2493" s="667"/>
      <c r="B2493" s="668" t="s">
        <v>8999</v>
      </c>
      <c r="C2493" s="160" t="s">
        <v>9000</v>
      </c>
      <c r="D2493" s="160"/>
      <c r="E2493" s="439"/>
      <c r="F2493" s="161">
        <v>366.011389194</v>
      </c>
      <c r="G2493" s="161">
        <v>1.702</v>
      </c>
      <c r="H2493" s="654">
        <v>76.718811680000002</v>
      </c>
      <c r="I2493" s="654">
        <v>2.2207228623401001</v>
      </c>
      <c r="J2493" s="191"/>
      <c r="K2493" s="191">
        <v>2935.4183176739798</v>
      </c>
      <c r="L2493" s="191"/>
      <c r="M2493" s="191"/>
      <c r="N2493" s="191"/>
      <c r="O2493" s="191"/>
      <c r="P2493" s="191"/>
      <c r="Q2493" s="191"/>
      <c r="R2493" s="191"/>
      <c r="S2493" s="191"/>
      <c r="T2493" s="191"/>
      <c r="U2493" s="439"/>
      <c r="V2493" s="441"/>
      <c r="W2493" s="178"/>
      <c r="X2493" s="172"/>
      <c r="Y2493" s="172"/>
      <c r="Z2493" s="172"/>
      <c r="AA2493" s="195"/>
      <c r="AB2493" s="172"/>
    </row>
    <row r="2494" spans="1:28" ht="12.6" customHeight="1" x14ac:dyDescent="0.3">
      <c r="A2494" s="667"/>
      <c r="B2494" s="668" t="s">
        <v>9001</v>
      </c>
      <c r="C2494" s="160" t="s">
        <v>9002</v>
      </c>
      <c r="D2494" s="160"/>
      <c r="E2494" s="439">
        <v>9.3000000000000007</v>
      </c>
      <c r="F2494" s="161">
        <v>762.96039017400005</v>
      </c>
      <c r="G2494" s="161"/>
      <c r="H2494" s="654"/>
      <c r="I2494" s="654"/>
      <c r="J2494" s="191"/>
      <c r="K2494" s="191">
        <v>966607142.66826904</v>
      </c>
      <c r="L2494" s="191"/>
      <c r="M2494" s="191"/>
      <c r="N2494" s="191"/>
      <c r="O2494" s="191"/>
      <c r="P2494" s="191"/>
      <c r="Q2494" s="191"/>
      <c r="R2494" s="191"/>
      <c r="S2494" s="191"/>
      <c r="T2494" s="191"/>
      <c r="U2494" s="439"/>
      <c r="V2494" s="441"/>
      <c r="W2494" s="178"/>
      <c r="X2494" s="172"/>
      <c r="Y2494" s="172"/>
      <c r="Z2494" s="172"/>
      <c r="AA2494" s="195"/>
      <c r="AB2494" s="172"/>
    </row>
    <row r="2495" spans="1:28" ht="12.6" customHeight="1" x14ac:dyDescent="0.3">
      <c r="A2495" s="667"/>
      <c r="B2495" s="668" t="s">
        <v>9003</v>
      </c>
      <c r="C2495" s="160" t="s">
        <v>9004</v>
      </c>
      <c r="D2495" s="160"/>
      <c r="E2495" s="439"/>
      <c r="F2495" s="161">
        <v>586.004842693</v>
      </c>
      <c r="G2495" s="161"/>
      <c r="H2495" s="654"/>
      <c r="I2495" s="654"/>
      <c r="J2495" s="191"/>
      <c r="K2495" s="191">
        <v>127244.78727086401</v>
      </c>
      <c r="L2495" s="191"/>
      <c r="M2495" s="191"/>
      <c r="N2495" s="191"/>
      <c r="O2495" s="191"/>
      <c r="P2495" s="191"/>
      <c r="Q2495" s="191"/>
      <c r="R2495" s="191"/>
      <c r="S2495" s="191"/>
      <c r="T2495" s="191"/>
      <c r="U2495" s="439"/>
      <c r="V2495" s="441"/>
      <c r="W2495" s="178"/>
      <c r="X2495" s="172"/>
      <c r="Y2495" s="172"/>
      <c r="Z2495" s="172"/>
      <c r="AA2495" s="195"/>
      <c r="AB2495" s="172"/>
    </row>
    <row r="2496" spans="1:28" ht="12.6" customHeight="1" x14ac:dyDescent="0.3">
      <c r="A2496" s="667"/>
      <c r="B2496" s="668" t="s">
        <v>9005</v>
      </c>
      <c r="C2496" s="160" t="s">
        <v>9006</v>
      </c>
      <c r="D2496" s="160"/>
      <c r="E2496" s="439"/>
      <c r="F2496" s="161">
        <v>366.00894441100002</v>
      </c>
      <c r="G2496" s="161">
        <v>-52.167999999999999</v>
      </c>
      <c r="H2496" s="654">
        <v>1415.4796739999999</v>
      </c>
      <c r="I2496" s="654">
        <v>1.05801473542998</v>
      </c>
      <c r="J2496" s="191"/>
      <c r="K2496" s="191">
        <v>15838.717033827599</v>
      </c>
      <c r="L2496" s="191"/>
      <c r="M2496" s="191"/>
      <c r="N2496" s="191"/>
      <c r="O2496" s="191"/>
      <c r="P2496" s="191"/>
      <c r="Q2496" s="191"/>
      <c r="R2496" s="191"/>
      <c r="S2496" s="191"/>
      <c r="T2496" s="191"/>
      <c r="U2496" s="439"/>
      <c r="V2496" s="441"/>
      <c r="W2496" s="178"/>
      <c r="X2496" s="172"/>
      <c r="Y2496" s="172"/>
      <c r="Z2496" s="172"/>
      <c r="AA2496" s="195"/>
      <c r="AB2496" s="172"/>
    </row>
    <row r="2497" spans="1:28" ht="12.6" customHeight="1" x14ac:dyDescent="0.3">
      <c r="A2497" s="667"/>
      <c r="B2497" s="668" t="s">
        <v>9007</v>
      </c>
      <c r="C2497" s="160" t="s">
        <v>9008</v>
      </c>
      <c r="D2497" s="160"/>
      <c r="E2497" s="439">
        <v>1.42</v>
      </c>
      <c r="F2497" s="161">
        <v>257.02867557799999</v>
      </c>
      <c r="G2497" s="161"/>
      <c r="H2497" s="654"/>
      <c r="I2497" s="654"/>
      <c r="J2497" s="191"/>
      <c r="K2497" s="191">
        <v>258.11901551083997</v>
      </c>
      <c r="L2497" s="191"/>
      <c r="M2497" s="191"/>
      <c r="N2497" s="191"/>
      <c r="O2497" s="191"/>
      <c r="P2497" s="191"/>
      <c r="Q2497" s="191"/>
      <c r="R2497" s="191"/>
      <c r="S2497" s="191"/>
      <c r="T2497" s="191"/>
      <c r="U2497" s="439"/>
      <c r="V2497" s="441"/>
      <c r="W2497" s="178"/>
      <c r="X2497" s="172"/>
      <c r="Y2497" s="172"/>
      <c r="Z2497" s="172"/>
      <c r="AA2497" s="195"/>
      <c r="AB2497" s="172"/>
    </row>
    <row r="2498" spans="1:28" ht="12.6" customHeight="1" x14ac:dyDescent="0.3">
      <c r="A2498" s="667"/>
      <c r="B2498" s="668" t="s">
        <v>9009</v>
      </c>
      <c r="C2498" s="160" t="s">
        <v>9010</v>
      </c>
      <c r="D2498" s="160"/>
      <c r="E2498" s="439">
        <v>5.91</v>
      </c>
      <c r="F2498" s="161">
        <v>306.00508081200002</v>
      </c>
      <c r="G2498" s="161"/>
      <c r="H2498" s="654"/>
      <c r="I2498" s="654"/>
      <c r="J2498" s="191"/>
      <c r="K2498" s="191">
        <v>78.261830214190795</v>
      </c>
      <c r="L2498" s="191"/>
      <c r="M2498" s="191"/>
      <c r="N2498" s="191"/>
      <c r="O2498" s="191"/>
      <c r="P2498" s="191"/>
      <c r="Q2498" s="191"/>
      <c r="R2498" s="191"/>
      <c r="S2498" s="191"/>
      <c r="T2498" s="191"/>
      <c r="U2498" s="439"/>
      <c r="V2498" s="441"/>
      <c r="W2498" s="178"/>
      <c r="X2498" s="172"/>
      <c r="Y2498" s="172"/>
      <c r="Z2498" s="172"/>
      <c r="AA2498" s="195"/>
      <c r="AB2498" s="172"/>
    </row>
    <row r="2499" spans="1:28" ht="12.6" customHeight="1" x14ac:dyDescent="0.3">
      <c r="A2499" s="667"/>
      <c r="B2499" s="668" t="s">
        <v>9011</v>
      </c>
      <c r="C2499" s="160" t="s">
        <v>9012</v>
      </c>
      <c r="D2499" s="160"/>
      <c r="E2499" s="439">
        <v>9.86</v>
      </c>
      <c r="F2499" s="161">
        <v>315.049411023</v>
      </c>
      <c r="G2499" s="161"/>
      <c r="H2499" s="654"/>
      <c r="I2499" s="654"/>
      <c r="J2499" s="191"/>
      <c r="K2499" s="191"/>
      <c r="L2499" s="191"/>
      <c r="M2499" s="191"/>
      <c r="N2499" s="191"/>
      <c r="O2499" s="191"/>
      <c r="P2499" s="191"/>
      <c r="Q2499" s="191"/>
      <c r="R2499" s="191"/>
      <c r="S2499" s="191"/>
      <c r="T2499" s="191"/>
      <c r="U2499" s="439"/>
      <c r="V2499" s="441"/>
      <c r="W2499" s="178"/>
      <c r="X2499" s="172"/>
      <c r="Y2499" s="172"/>
      <c r="Z2499" s="172"/>
      <c r="AA2499" s="195"/>
      <c r="AB2499" s="172"/>
    </row>
    <row r="2500" spans="1:28" ht="12.6" customHeight="1" x14ac:dyDescent="0.3">
      <c r="A2500" s="667"/>
      <c r="B2500" s="668" t="s">
        <v>9013</v>
      </c>
      <c r="C2500" s="160" t="s">
        <v>9014</v>
      </c>
      <c r="D2500" s="160"/>
      <c r="E2500" s="439">
        <v>4.59</v>
      </c>
      <c r="F2500" s="161">
        <v>412.00567054999999</v>
      </c>
      <c r="G2500" s="161">
        <v>-5.8780000000000001</v>
      </c>
      <c r="H2500" s="654"/>
      <c r="I2500" s="654"/>
      <c r="J2500" s="191"/>
      <c r="K2500" s="191">
        <v>14979.592530448699</v>
      </c>
      <c r="L2500" s="191"/>
      <c r="M2500" s="191"/>
      <c r="N2500" s="191"/>
      <c r="O2500" s="191"/>
      <c r="P2500" s="191"/>
      <c r="Q2500" s="191"/>
      <c r="R2500" s="191"/>
      <c r="S2500" s="191"/>
      <c r="T2500" s="191"/>
      <c r="U2500" s="439"/>
      <c r="V2500" s="441"/>
      <c r="W2500" s="178"/>
      <c r="X2500" s="172"/>
      <c r="Y2500" s="172"/>
      <c r="Z2500" s="172"/>
      <c r="AA2500" s="195"/>
      <c r="AB2500" s="172"/>
    </row>
    <row r="2501" spans="1:28" ht="12.6" customHeight="1" x14ac:dyDescent="0.3">
      <c r="A2501" s="667"/>
      <c r="B2501" s="668" t="s">
        <v>9015</v>
      </c>
      <c r="C2501" s="160" t="s">
        <v>9016</v>
      </c>
      <c r="D2501" s="160"/>
      <c r="E2501" s="439">
        <v>4.59</v>
      </c>
      <c r="F2501" s="161">
        <v>362.00886422399998</v>
      </c>
      <c r="G2501" s="161"/>
      <c r="H2501" s="654"/>
      <c r="I2501" s="654"/>
      <c r="J2501" s="191"/>
      <c r="K2501" s="191">
        <v>1484.6018588797999</v>
      </c>
      <c r="L2501" s="191"/>
      <c r="M2501" s="191"/>
      <c r="N2501" s="191"/>
      <c r="O2501" s="191"/>
      <c r="P2501" s="191"/>
      <c r="Q2501" s="191"/>
      <c r="R2501" s="191"/>
      <c r="S2501" s="191"/>
      <c r="T2501" s="191"/>
      <c r="U2501" s="439"/>
      <c r="V2501" s="441"/>
      <c r="W2501" s="178"/>
      <c r="X2501" s="172"/>
      <c r="Y2501" s="172"/>
      <c r="Z2501" s="172"/>
      <c r="AA2501" s="195"/>
      <c r="AB2501" s="172"/>
    </row>
    <row r="2502" spans="1:28" ht="12.6" customHeight="1" x14ac:dyDescent="0.3">
      <c r="A2502" s="667"/>
      <c r="B2502" s="668" t="s">
        <v>9017</v>
      </c>
      <c r="C2502" s="160" t="s">
        <v>9018</v>
      </c>
      <c r="D2502" s="160"/>
      <c r="E2502" s="439">
        <v>4.5</v>
      </c>
      <c r="F2502" s="161">
        <v>312.01205789800002</v>
      </c>
      <c r="G2502" s="161"/>
      <c r="H2502" s="654"/>
      <c r="I2502" s="654"/>
      <c r="J2502" s="191"/>
      <c r="K2502" s="191">
        <v>831.28510717138397</v>
      </c>
      <c r="L2502" s="191"/>
      <c r="M2502" s="191"/>
      <c r="N2502" s="191"/>
      <c r="O2502" s="191"/>
      <c r="P2502" s="191"/>
      <c r="Q2502" s="191"/>
      <c r="R2502" s="191"/>
      <c r="S2502" s="191"/>
      <c r="T2502" s="191"/>
      <c r="U2502" s="439"/>
      <c r="V2502" s="441"/>
      <c r="W2502" s="178"/>
      <c r="X2502" s="172"/>
      <c r="Y2502" s="172"/>
      <c r="Z2502" s="172"/>
      <c r="AA2502" s="195"/>
      <c r="AB2502" s="172"/>
    </row>
    <row r="2503" spans="1:28" ht="12.6" customHeight="1" x14ac:dyDescent="0.3">
      <c r="A2503" s="667"/>
      <c r="B2503" s="668" t="s">
        <v>9019</v>
      </c>
      <c r="C2503" s="160" t="s">
        <v>9020</v>
      </c>
      <c r="D2503" s="160"/>
      <c r="E2503" s="439">
        <v>4.63</v>
      </c>
      <c r="F2503" s="161">
        <v>212.018445246</v>
      </c>
      <c r="G2503" s="161">
        <v>107.173</v>
      </c>
      <c r="H2503" s="654"/>
      <c r="I2503" s="654"/>
      <c r="J2503" s="191"/>
      <c r="K2503" s="191">
        <v>86.129118025249198</v>
      </c>
      <c r="L2503" s="191"/>
      <c r="M2503" s="191"/>
      <c r="N2503" s="191"/>
      <c r="O2503" s="191"/>
      <c r="P2503" s="191"/>
      <c r="Q2503" s="191"/>
      <c r="R2503" s="191"/>
      <c r="S2503" s="191"/>
      <c r="T2503" s="191"/>
      <c r="U2503" s="439"/>
      <c r="V2503" s="441"/>
      <c r="W2503" s="178"/>
      <c r="X2503" s="172"/>
      <c r="Y2503" s="172"/>
      <c r="Z2503" s="172"/>
      <c r="AA2503" s="195"/>
      <c r="AB2503" s="172"/>
    </row>
    <row r="2504" spans="1:28" ht="12.6" customHeight="1" x14ac:dyDescent="0.3">
      <c r="A2504" s="667"/>
      <c r="B2504" s="668" t="s">
        <v>9021</v>
      </c>
      <c r="C2504" s="160" t="s">
        <v>9022</v>
      </c>
      <c r="D2504" s="160"/>
      <c r="E2504" s="439">
        <v>3.25</v>
      </c>
      <c r="F2504" s="161">
        <v>407.010341391</v>
      </c>
      <c r="G2504" s="161">
        <v>-18.706</v>
      </c>
      <c r="H2504" s="654"/>
      <c r="I2504" s="654"/>
      <c r="J2504" s="191"/>
      <c r="K2504" s="177">
        <v>18098.392394667</v>
      </c>
      <c r="L2504" s="191"/>
      <c r="M2504" s="191"/>
      <c r="N2504" s="191"/>
      <c r="O2504" s="191"/>
      <c r="P2504" s="191"/>
      <c r="Q2504" s="191"/>
      <c r="R2504" s="191"/>
      <c r="S2504" s="191"/>
      <c r="T2504" s="191"/>
      <c r="U2504" s="439"/>
      <c r="V2504" s="441"/>
      <c r="W2504" s="178"/>
      <c r="X2504" s="172"/>
      <c r="Y2504" s="172"/>
      <c r="Z2504" s="172"/>
      <c r="AA2504" s="195"/>
      <c r="AB2504" s="172"/>
    </row>
    <row r="2505" spans="1:28" ht="12.6" customHeight="1" x14ac:dyDescent="0.3">
      <c r="A2505" s="667"/>
      <c r="B2505" s="668" t="s">
        <v>9023</v>
      </c>
      <c r="C2505" s="160" t="s">
        <v>9024</v>
      </c>
      <c r="D2505" s="160"/>
      <c r="E2505" s="439">
        <v>7.33</v>
      </c>
      <c r="F2505" s="161">
        <v>228.979617383</v>
      </c>
      <c r="G2505" s="161"/>
      <c r="H2505" s="654"/>
      <c r="I2505" s="654"/>
      <c r="J2505" s="191"/>
      <c r="K2505" s="191">
        <v>95.893683232397507</v>
      </c>
      <c r="L2505" s="191"/>
      <c r="M2505" s="191"/>
      <c r="N2505" s="191"/>
      <c r="O2505" s="191"/>
      <c r="P2505" s="191"/>
      <c r="Q2505" s="191"/>
      <c r="R2505" s="191"/>
      <c r="S2505" s="191"/>
      <c r="T2505" s="191"/>
      <c r="U2505" s="439"/>
      <c r="V2505" s="441"/>
      <c r="W2505" s="178"/>
      <c r="X2505" s="172"/>
      <c r="Y2505" s="172"/>
      <c r="Z2505" s="172"/>
      <c r="AA2505" s="195"/>
      <c r="AB2505" s="172"/>
    </row>
    <row r="2506" spans="1:28" ht="12.6" customHeight="1" x14ac:dyDescent="0.3">
      <c r="A2506" s="667"/>
      <c r="B2506" s="668" t="s">
        <v>9025</v>
      </c>
      <c r="C2506" s="160" t="s">
        <v>9026</v>
      </c>
      <c r="D2506" s="160"/>
      <c r="E2506" s="439">
        <v>-0.09</v>
      </c>
      <c r="F2506" s="161">
        <v>243.01302551399999</v>
      </c>
      <c r="G2506" s="161"/>
      <c r="H2506" s="654"/>
      <c r="I2506" s="654"/>
      <c r="J2506" s="191"/>
      <c r="K2506" s="191">
        <v>125.340089362857</v>
      </c>
      <c r="L2506" s="191"/>
      <c r="M2506" s="191"/>
      <c r="N2506" s="191"/>
      <c r="O2506" s="191"/>
      <c r="P2506" s="191"/>
      <c r="Q2506" s="191"/>
      <c r="R2506" s="191"/>
      <c r="S2506" s="191"/>
      <c r="T2506" s="191"/>
      <c r="U2506" s="439"/>
      <c r="V2506" s="441"/>
      <c r="W2506" s="178"/>
      <c r="X2506" s="172"/>
      <c r="Y2506" s="172"/>
      <c r="Z2506" s="172"/>
      <c r="AA2506" s="195"/>
      <c r="AB2506" s="172"/>
    </row>
    <row r="2507" spans="1:28" ht="12.6" customHeight="1" x14ac:dyDescent="0.3">
      <c r="A2507" s="667"/>
      <c r="B2507" s="668" t="s">
        <v>9027</v>
      </c>
      <c r="C2507" s="160" t="s">
        <v>9028</v>
      </c>
      <c r="D2507" s="160"/>
      <c r="E2507" s="439">
        <v>1.42</v>
      </c>
      <c r="F2507" s="161">
        <v>257.02867557799999</v>
      </c>
      <c r="G2507" s="161"/>
      <c r="H2507" s="654"/>
      <c r="I2507" s="654"/>
      <c r="J2507" s="191"/>
      <c r="K2507" s="191">
        <v>258.11901551083997</v>
      </c>
      <c r="L2507" s="191"/>
      <c r="M2507" s="191"/>
      <c r="N2507" s="191"/>
      <c r="O2507" s="191"/>
      <c r="P2507" s="191"/>
      <c r="Q2507" s="191"/>
      <c r="R2507" s="191"/>
      <c r="S2507" s="191"/>
      <c r="T2507" s="191"/>
      <c r="U2507" s="439"/>
      <c r="V2507" s="441"/>
      <c r="W2507" s="178"/>
      <c r="X2507" s="172"/>
      <c r="Y2507" s="172"/>
      <c r="Z2507" s="172"/>
      <c r="AA2507" s="195"/>
      <c r="AB2507" s="172"/>
    </row>
    <row r="2508" spans="1:28" ht="12.6" customHeight="1" x14ac:dyDescent="0.3">
      <c r="A2508" s="667"/>
      <c r="B2508" s="668" t="s">
        <v>9029</v>
      </c>
      <c r="C2508" s="160" t="s">
        <v>9030</v>
      </c>
      <c r="D2508" s="160"/>
      <c r="E2508" s="439">
        <v>2.06</v>
      </c>
      <c r="F2508" s="161">
        <v>257.02867557799999</v>
      </c>
      <c r="G2508" s="161"/>
      <c r="H2508" s="654"/>
      <c r="I2508" s="654"/>
      <c r="J2508" s="191"/>
      <c r="K2508" s="191">
        <v>259.12540864980502</v>
      </c>
      <c r="L2508" s="191"/>
      <c r="M2508" s="191"/>
      <c r="N2508" s="191"/>
      <c r="O2508" s="191"/>
      <c r="P2508" s="191"/>
      <c r="Q2508" s="191"/>
      <c r="R2508" s="191"/>
      <c r="S2508" s="191"/>
      <c r="T2508" s="191"/>
      <c r="U2508" s="439"/>
      <c r="V2508" s="441"/>
      <c r="W2508" s="178"/>
      <c r="X2508" s="172"/>
      <c r="Y2508" s="172"/>
      <c r="Z2508" s="172"/>
      <c r="AA2508" s="195"/>
      <c r="AB2508" s="172"/>
    </row>
    <row r="2509" spans="1:28" ht="12.6" customHeight="1" x14ac:dyDescent="0.3">
      <c r="A2509" s="667"/>
      <c r="B2509" s="668" t="s">
        <v>9031</v>
      </c>
      <c r="C2509" s="160" t="s">
        <v>9032</v>
      </c>
      <c r="D2509" s="160"/>
      <c r="E2509" s="439">
        <v>1.68</v>
      </c>
      <c r="F2509" s="161">
        <v>321.04113196899999</v>
      </c>
      <c r="G2509" s="161"/>
      <c r="H2509" s="654"/>
      <c r="I2509" s="654"/>
      <c r="J2509" s="191"/>
      <c r="K2509" s="191">
        <v>721.33997424114398</v>
      </c>
      <c r="L2509" s="191"/>
      <c r="M2509" s="191"/>
      <c r="N2509" s="191"/>
      <c r="O2509" s="191"/>
      <c r="P2509" s="191"/>
      <c r="Q2509" s="191"/>
      <c r="R2509" s="191"/>
      <c r="S2509" s="191"/>
      <c r="T2509" s="191"/>
      <c r="U2509" s="439"/>
      <c r="V2509" s="441"/>
      <c r="W2509" s="178"/>
      <c r="X2509" s="172"/>
      <c r="Y2509" s="172"/>
      <c r="Z2509" s="172"/>
      <c r="AA2509" s="195"/>
      <c r="AB2509" s="172"/>
    </row>
    <row r="2510" spans="1:28" ht="12.6" customHeight="1" x14ac:dyDescent="0.3">
      <c r="A2510" s="667"/>
      <c r="B2510" s="668" t="s">
        <v>9033</v>
      </c>
      <c r="C2510" s="160" t="s">
        <v>9034</v>
      </c>
      <c r="D2510" s="160"/>
      <c r="E2510" s="439">
        <v>1.35</v>
      </c>
      <c r="F2510" s="161">
        <v>271.04432564299998</v>
      </c>
      <c r="G2510" s="161"/>
      <c r="H2510" s="654"/>
      <c r="I2510" s="654"/>
      <c r="J2510" s="191"/>
      <c r="K2510" s="191">
        <v>497.56520236490502</v>
      </c>
      <c r="L2510" s="191"/>
      <c r="M2510" s="191"/>
      <c r="N2510" s="191"/>
      <c r="O2510" s="191"/>
      <c r="P2510" s="191"/>
      <c r="Q2510" s="191"/>
      <c r="R2510" s="191"/>
      <c r="S2510" s="191"/>
      <c r="T2510" s="191"/>
      <c r="U2510" s="439"/>
      <c r="V2510" s="441"/>
      <c r="W2510" s="178"/>
      <c r="X2510" s="172"/>
      <c r="Y2510" s="172"/>
      <c r="Z2510" s="172"/>
      <c r="AA2510" s="195"/>
      <c r="AB2510" s="172"/>
    </row>
    <row r="2511" spans="1:28" ht="12.6" customHeight="1" x14ac:dyDescent="0.3">
      <c r="A2511" s="667"/>
      <c r="B2511" s="668" t="s">
        <v>9035</v>
      </c>
      <c r="C2511" s="160" t="s">
        <v>9036</v>
      </c>
      <c r="D2511" s="160"/>
      <c r="E2511" s="439">
        <v>1.48</v>
      </c>
      <c r="F2511" s="161">
        <v>285.05997570699998</v>
      </c>
      <c r="G2511" s="161"/>
      <c r="H2511" s="654"/>
      <c r="I2511" s="654"/>
      <c r="J2511" s="191"/>
      <c r="K2511" s="191">
        <v>1772.3520829638101</v>
      </c>
      <c r="L2511" s="191"/>
      <c r="M2511" s="191"/>
      <c r="N2511" s="191"/>
      <c r="O2511" s="191"/>
      <c r="P2511" s="191"/>
      <c r="Q2511" s="191"/>
      <c r="R2511" s="191"/>
      <c r="S2511" s="191"/>
      <c r="T2511" s="191"/>
      <c r="U2511" s="439"/>
      <c r="V2511" s="441"/>
      <c r="W2511" s="178"/>
      <c r="X2511" s="172"/>
      <c r="Y2511" s="172"/>
      <c r="Z2511" s="172"/>
      <c r="AA2511" s="195"/>
      <c r="AB2511" s="172"/>
    </row>
    <row r="2512" spans="1:28" ht="12.6" customHeight="1" x14ac:dyDescent="0.3">
      <c r="A2512" s="667"/>
      <c r="B2512" s="668" t="s">
        <v>9037</v>
      </c>
      <c r="C2512" s="160" t="s">
        <v>9038</v>
      </c>
      <c r="D2512" s="160"/>
      <c r="E2512" s="439"/>
      <c r="F2512" s="161">
        <v>339.06695279299998</v>
      </c>
      <c r="G2512" s="161">
        <v>18.765000000000001</v>
      </c>
      <c r="H2512" s="654">
        <v>1.1773399175999999</v>
      </c>
      <c r="I2512" s="654">
        <v>1.0169160421386501</v>
      </c>
      <c r="J2512" s="191"/>
      <c r="K2512" s="191">
        <v>20898.735044725701</v>
      </c>
      <c r="L2512" s="191"/>
      <c r="M2512" s="191"/>
      <c r="N2512" s="191"/>
      <c r="O2512" s="191"/>
      <c r="P2512" s="191"/>
      <c r="Q2512" s="191"/>
      <c r="R2512" s="191"/>
      <c r="S2512" s="191"/>
      <c r="T2512" s="191"/>
      <c r="U2512" s="439"/>
      <c r="V2512" s="441"/>
      <c r="W2512" s="178"/>
      <c r="X2512" s="172"/>
      <c r="Y2512" s="172"/>
      <c r="Z2512" s="172"/>
      <c r="AA2512" s="195"/>
      <c r="AB2512" s="172"/>
    </row>
    <row r="2513" spans="1:28" ht="12.6" customHeight="1" x14ac:dyDescent="0.3">
      <c r="A2513" s="667"/>
      <c r="B2513" s="668" t="s">
        <v>9039</v>
      </c>
      <c r="C2513" s="160" t="s">
        <v>9040</v>
      </c>
      <c r="D2513" s="160"/>
      <c r="E2513" s="439">
        <v>17</v>
      </c>
      <c r="F2513" s="161">
        <v>291.049411023</v>
      </c>
      <c r="G2513" s="161"/>
      <c r="H2513" s="654"/>
      <c r="I2513" s="654"/>
      <c r="J2513" s="191"/>
      <c r="K2513" s="191">
        <v>4023.09233234048</v>
      </c>
      <c r="L2513" s="191"/>
      <c r="M2513" s="191"/>
      <c r="N2513" s="191"/>
      <c r="O2513" s="191"/>
      <c r="P2513" s="191"/>
      <c r="Q2513" s="191"/>
      <c r="R2513" s="191"/>
      <c r="S2513" s="191"/>
      <c r="T2513" s="191"/>
      <c r="U2513" s="439"/>
      <c r="V2513" s="441"/>
      <c r="W2513" s="178"/>
      <c r="X2513" s="172"/>
      <c r="Y2513" s="172"/>
      <c r="Z2513" s="172"/>
      <c r="AA2513" s="195"/>
      <c r="AB2513" s="172"/>
    </row>
    <row r="2514" spans="1:28" ht="12.6" customHeight="1" x14ac:dyDescent="0.3">
      <c r="A2514" s="667"/>
      <c r="B2514" s="668" t="s">
        <v>9041</v>
      </c>
      <c r="C2514" s="160" t="s">
        <v>9042</v>
      </c>
      <c r="D2514" s="160"/>
      <c r="E2514" s="439">
        <v>4.3499999999999996</v>
      </c>
      <c r="F2514" s="161">
        <v>459.03647595199999</v>
      </c>
      <c r="G2514" s="161"/>
      <c r="H2514" s="654"/>
      <c r="I2514" s="654"/>
      <c r="J2514" s="191"/>
      <c r="K2514" s="191">
        <v>874.13799993103805</v>
      </c>
      <c r="L2514" s="191"/>
      <c r="M2514" s="191"/>
      <c r="N2514" s="191"/>
      <c r="O2514" s="191"/>
      <c r="P2514" s="191"/>
      <c r="Q2514" s="191"/>
      <c r="R2514" s="191"/>
      <c r="S2514" s="191"/>
      <c r="T2514" s="191"/>
      <c r="U2514" s="439"/>
      <c r="V2514" s="441"/>
      <c r="W2514" s="178"/>
      <c r="X2514" s="172"/>
      <c r="Y2514" s="172"/>
      <c r="Z2514" s="172"/>
      <c r="AA2514" s="195"/>
      <c r="AB2514" s="172"/>
    </row>
    <row r="2515" spans="1:28" ht="12.6" customHeight="1" x14ac:dyDescent="0.3">
      <c r="A2515" s="667"/>
      <c r="B2515" s="668" t="s">
        <v>9043</v>
      </c>
      <c r="C2515" s="160" t="s">
        <v>9044</v>
      </c>
      <c r="D2515" s="160"/>
      <c r="E2515" s="439">
        <v>4.59</v>
      </c>
      <c r="F2515" s="161">
        <v>792.00755768700003</v>
      </c>
      <c r="G2515" s="161"/>
      <c r="H2515" s="654"/>
      <c r="I2515" s="654"/>
      <c r="J2515" s="191"/>
      <c r="K2515" s="191">
        <v>19458080.689095698</v>
      </c>
      <c r="L2515" s="191"/>
      <c r="M2515" s="191"/>
      <c r="N2515" s="191"/>
      <c r="O2515" s="191"/>
      <c r="P2515" s="191"/>
      <c r="Q2515" s="191"/>
      <c r="R2515" s="191"/>
      <c r="S2515" s="191"/>
      <c r="T2515" s="191"/>
      <c r="U2515" s="439"/>
      <c r="V2515" s="441"/>
      <c r="W2515" s="178"/>
      <c r="X2515" s="172"/>
      <c r="Y2515" s="172"/>
      <c r="Z2515" s="172"/>
      <c r="AA2515" s="195"/>
      <c r="AB2515" s="172"/>
    </row>
    <row r="2516" spans="1:28" ht="12.6" customHeight="1" x14ac:dyDescent="0.3">
      <c r="A2516" s="667"/>
      <c r="B2516" s="668" t="s">
        <v>9045</v>
      </c>
      <c r="C2516" s="160" t="s">
        <v>9046</v>
      </c>
      <c r="D2516" s="160"/>
      <c r="E2516" s="439">
        <v>8.52</v>
      </c>
      <c r="F2516" s="161">
        <v>199.02319627399999</v>
      </c>
      <c r="G2516" s="161"/>
      <c r="H2516" s="654"/>
      <c r="I2516" s="654"/>
      <c r="J2516" s="191"/>
      <c r="K2516" s="191">
        <v>95.347651402777203</v>
      </c>
      <c r="L2516" s="191"/>
      <c r="M2516" s="191"/>
      <c r="N2516" s="191"/>
      <c r="O2516" s="191"/>
      <c r="P2516" s="191"/>
      <c r="Q2516" s="191"/>
      <c r="R2516" s="191"/>
      <c r="S2516" s="191"/>
      <c r="T2516" s="191"/>
      <c r="U2516" s="439"/>
      <c r="V2516" s="441"/>
      <c r="W2516" s="178"/>
      <c r="X2516" s="172"/>
      <c r="Y2516" s="172"/>
      <c r="Z2516" s="172"/>
      <c r="AA2516" s="195"/>
      <c r="AB2516" s="172"/>
    </row>
    <row r="2517" spans="1:28" ht="12.6" customHeight="1" x14ac:dyDescent="0.3">
      <c r="A2517" s="667"/>
      <c r="B2517" s="668" t="s">
        <v>9047</v>
      </c>
      <c r="C2517" s="160" t="s">
        <v>9048</v>
      </c>
      <c r="D2517" s="160"/>
      <c r="E2517" s="439">
        <v>8.6999999999999993</v>
      </c>
      <c r="F2517" s="161">
        <v>499.00403423</v>
      </c>
      <c r="G2517" s="161"/>
      <c r="H2517" s="654"/>
      <c r="I2517" s="654"/>
      <c r="J2517" s="191"/>
      <c r="K2517" s="191">
        <v>231590.10519541599</v>
      </c>
      <c r="L2517" s="191"/>
      <c r="M2517" s="191"/>
      <c r="N2517" s="191"/>
      <c r="O2517" s="191"/>
      <c r="P2517" s="191"/>
      <c r="Q2517" s="191"/>
      <c r="R2517" s="191"/>
      <c r="S2517" s="191"/>
      <c r="T2517" s="191"/>
      <c r="U2517" s="439"/>
      <c r="V2517" s="441"/>
      <c r="W2517" s="178"/>
      <c r="X2517" s="172"/>
      <c r="Y2517" s="172"/>
      <c r="Z2517" s="172"/>
      <c r="AA2517" s="195"/>
      <c r="AB2517" s="172"/>
    </row>
    <row r="2518" spans="1:28" ht="12.6" customHeight="1" x14ac:dyDescent="0.3">
      <c r="A2518" s="667"/>
      <c r="B2518" s="668" t="s">
        <v>9049</v>
      </c>
      <c r="C2518" s="160" t="s">
        <v>9050</v>
      </c>
      <c r="D2518" s="160"/>
      <c r="E2518" s="439">
        <v>8.57</v>
      </c>
      <c r="F2518" s="161">
        <v>449.00722790399999</v>
      </c>
      <c r="G2518" s="161">
        <v>-18.64</v>
      </c>
      <c r="H2518" s="654">
        <v>214.7350793</v>
      </c>
      <c r="I2518" s="654">
        <v>0.58647977087136705</v>
      </c>
      <c r="J2518" s="191"/>
      <c r="K2518" s="191">
        <v>61487.948022637102</v>
      </c>
      <c r="L2518" s="191"/>
      <c r="M2518" s="191"/>
      <c r="N2518" s="191"/>
      <c r="O2518" s="191"/>
      <c r="P2518" s="191"/>
      <c r="Q2518" s="191"/>
      <c r="R2518" s="191"/>
      <c r="S2518" s="191"/>
      <c r="T2518" s="191"/>
      <c r="U2518" s="439"/>
      <c r="V2518" s="441"/>
      <c r="W2518" s="178"/>
      <c r="X2518" s="172"/>
      <c r="Y2518" s="172"/>
      <c r="Z2518" s="172"/>
      <c r="AA2518" s="195"/>
      <c r="AB2518" s="172"/>
    </row>
    <row r="2519" spans="1:28" ht="12.6" customHeight="1" x14ac:dyDescent="0.3">
      <c r="A2519" s="667"/>
      <c r="B2519" s="668" t="s">
        <v>9051</v>
      </c>
      <c r="C2519" s="160" t="s">
        <v>9052</v>
      </c>
      <c r="D2519" s="160"/>
      <c r="E2519" s="439">
        <v>8.56</v>
      </c>
      <c r="F2519" s="161">
        <v>399.01042157799998</v>
      </c>
      <c r="G2519" s="161">
        <v>-16.856000000000002</v>
      </c>
      <c r="H2519" s="654">
        <v>275.36059236</v>
      </c>
      <c r="I2519" s="654">
        <v>1.2941504013460801</v>
      </c>
      <c r="J2519" s="191"/>
      <c r="K2519" s="191">
        <v>10075.3467125525</v>
      </c>
      <c r="L2519" s="191"/>
      <c r="M2519" s="191"/>
      <c r="N2519" s="191"/>
      <c r="O2519" s="191"/>
      <c r="P2519" s="191"/>
      <c r="Q2519" s="191"/>
      <c r="R2519" s="191"/>
      <c r="S2519" s="191"/>
      <c r="T2519" s="191"/>
      <c r="U2519" s="439"/>
      <c r="V2519" s="441"/>
      <c r="W2519" s="178"/>
      <c r="X2519" s="172"/>
      <c r="Y2519" s="172"/>
      <c r="Z2519" s="172"/>
      <c r="AA2519" s="195"/>
      <c r="AB2519" s="172"/>
    </row>
    <row r="2520" spans="1:28" ht="12.6" customHeight="1" x14ac:dyDescent="0.3">
      <c r="A2520" s="667"/>
      <c r="B2520" s="668" t="s">
        <v>9053</v>
      </c>
      <c r="C2520" s="160" t="s">
        <v>9054</v>
      </c>
      <c r="D2520" s="160"/>
      <c r="E2520" s="439">
        <v>8.56</v>
      </c>
      <c r="F2520" s="161">
        <v>349.01361525200002</v>
      </c>
      <c r="G2520" s="161">
        <v>-25.405999999999999</v>
      </c>
      <c r="H2520" s="654">
        <v>660.54384900000002</v>
      </c>
      <c r="I2520" s="654">
        <v>2.8108788742442501</v>
      </c>
      <c r="J2520" s="191"/>
      <c r="K2520" s="191">
        <v>2768.47113644719</v>
      </c>
      <c r="L2520" s="191"/>
      <c r="M2520" s="191"/>
      <c r="N2520" s="191"/>
      <c r="O2520" s="191"/>
      <c r="P2520" s="191"/>
      <c r="Q2520" s="191"/>
      <c r="R2520" s="191"/>
      <c r="S2520" s="191"/>
      <c r="T2520" s="191"/>
      <c r="U2520" s="439"/>
      <c r="V2520" s="441"/>
      <c r="W2520" s="178"/>
      <c r="X2520" s="172"/>
      <c r="Y2520" s="172"/>
      <c r="Z2520" s="172"/>
      <c r="AA2520" s="195"/>
      <c r="AB2520" s="172"/>
    </row>
    <row r="2521" spans="1:28" ht="12.6" customHeight="1" x14ac:dyDescent="0.3">
      <c r="A2521" s="667"/>
      <c r="B2521" s="668" t="s">
        <v>9055</v>
      </c>
      <c r="C2521" s="160" t="s">
        <v>9056</v>
      </c>
      <c r="D2521" s="160"/>
      <c r="E2521" s="439">
        <v>8.34</v>
      </c>
      <c r="F2521" s="161">
        <v>299.01680892600001</v>
      </c>
      <c r="G2521" s="161">
        <v>-47.305999999999997</v>
      </c>
      <c r="H2521" s="654">
        <v>1392.8415984000001</v>
      </c>
      <c r="I2521" s="654">
        <v>60.9109200454619</v>
      </c>
      <c r="J2521" s="191"/>
      <c r="K2521" s="191">
        <v>1808.3396299014501</v>
      </c>
      <c r="L2521" s="191"/>
      <c r="M2521" s="191"/>
      <c r="N2521" s="191"/>
      <c r="O2521" s="191"/>
      <c r="P2521" s="191"/>
      <c r="Q2521" s="191"/>
      <c r="R2521" s="191"/>
      <c r="S2521" s="191"/>
      <c r="T2521" s="191"/>
      <c r="U2521" s="439"/>
      <c r="V2521" s="441"/>
      <c r="W2521" s="178"/>
      <c r="X2521" s="172"/>
      <c r="Y2521" s="172"/>
      <c r="Z2521" s="172"/>
      <c r="AA2521" s="195"/>
      <c r="AB2521" s="172"/>
    </row>
    <row r="2522" spans="1:28" ht="12.6" customHeight="1" x14ac:dyDescent="0.3">
      <c r="A2522" s="667"/>
      <c r="B2522" s="668" t="s">
        <v>9057</v>
      </c>
      <c r="C2522" s="160" t="s">
        <v>9058</v>
      </c>
      <c r="D2522" s="160"/>
      <c r="E2522" s="439">
        <v>8.0299999999999994</v>
      </c>
      <c r="F2522" s="161">
        <v>249.0200026</v>
      </c>
      <c r="G2522" s="161">
        <v>-18.942</v>
      </c>
      <c r="H2522" s="654">
        <v>12644.498459599999</v>
      </c>
      <c r="I2522" s="654">
        <v>47.559085196561</v>
      </c>
      <c r="J2522" s="191"/>
      <c r="K2522" s="191">
        <v>158.27050934310299</v>
      </c>
      <c r="L2522" s="191"/>
      <c r="M2522" s="191"/>
      <c r="N2522" s="191"/>
      <c r="O2522" s="191"/>
      <c r="P2522" s="191"/>
      <c r="Q2522" s="191"/>
      <c r="R2522" s="191"/>
      <c r="S2522" s="191"/>
      <c r="T2522" s="191"/>
      <c r="U2522" s="439"/>
      <c r="V2522" s="441"/>
      <c r="W2522" s="178"/>
      <c r="X2522" s="172"/>
      <c r="Y2522" s="172"/>
      <c r="Z2522" s="172"/>
      <c r="AA2522" s="195"/>
      <c r="AB2522" s="172"/>
    </row>
    <row r="2523" spans="1:28" ht="12.6" customHeight="1" x14ac:dyDescent="0.3">
      <c r="A2523" s="667"/>
      <c r="B2523" s="668" t="s">
        <v>9059</v>
      </c>
      <c r="C2523" s="160" t="s">
        <v>9060</v>
      </c>
      <c r="D2523" s="160"/>
      <c r="E2523" s="439">
        <v>8.26</v>
      </c>
      <c r="F2523" s="161">
        <v>199.02319627399999</v>
      </c>
      <c r="G2523" s="161">
        <v>-19.164999999999999</v>
      </c>
      <c r="H2523" s="654">
        <v>13119.0314542</v>
      </c>
      <c r="I2523" s="654">
        <v>209.84806791934199</v>
      </c>
      <c r="J2523" s="191"/>
      <c r="K2523" s="191">
        <v>101.80286491559001</v>
      </c>
      <c r="L2523" s="191"/>
      <c r="M2523" s="191"/>
      <c r="N2523" s="191"/>
      <c r="O2523" s="191"/>
      <c r="P2523" s="191"/>
      <c r="Q2523" s="191"/>
      <c r="R2523" s="191"/>
      <c r="S2523" s="191"/>
      <c r="T2523" s="191"/>
      <c r="U2523" s="439"/>
      <c r="V2523" s="441"/>
      <c r="W2523" s="178"/>
      <c r="X2523" s="172"/>
      <c r="Y2523" s="172"/>
      <c r="Z2523" s="172"/>
      <c r="AA2523" s="195"/>
      <c r="AB2523" s="172"/>
    </row>
    <row r="2524" spans="1:28" ht="12.6" customHeight="1" x14ac:dyDescent="0.3">
      <c r="A2524" s="667"/>
      <c r="B2524" s="668" t="s">
        <v>9061</v>
      </c>
      <c r="C2524" s="160" t="s">
        <v>9062</v>
      </c>
      <c r="D2524" s="160"/>
      <c r="E2524" s="439">
        <v>8.5299999999999994</v>
      </c>
      <c r="F2524" s="161">
        <v>443.036636327</v>
      </c>
      <c r="G2524" s="161"/>
      <c r="H2524" s="654"/>
      <c r="I2524" s="654"/>
      <c r="J2524" s="191"/>
      <c r="K2524" s="191">
        <v>13755.931357081499</v>
      </c>
      <c r="L2524" s="191"/>
      <c r="M2524" s="191"/>
      <c r="N2524" s="191"/>
      <c r="O2524" s="191"/>
      <c r="P2524" s="191"/>
      <c r="Q2524" s="191"/>
      <c r="R2524" s="191"/>
      <c r="S2524" s="191"/>
      <c r="T2524" s="191"/>
      <c r="U2524" s="439"/>
      <c r="V2524" s="441"/>
      <c r="W2524" s="178"/>
      <c r="X2524" s="172"/>
      <c r="Y2524" s="172"/>
      <c r="Z2524" s="172"/>
      <c r="AA2524" s="195"/>
      <c r="AB2524" s="172"/>
    </row>
    <row r="2525" spans="1:28" ht="12.6" customHeight="1" x14ac:dyDescent="0.3">
      <c r="A2525" s="667"/>
      <c r="B2525" s="668" t="s">
        <v>9063</v>
      </c>
      <c r="C2525" s="160" t="s">
        <v>9064</v>
      </c>
      <c r="D2525" s="160"/>
      <c r="E2525" s="439">
        <v>8.81</v>
      </c>
      <c r="F2525" s="161">
        <v>543.03024897900002</v>
      </c>
      <c r="G2525" s="161"/>
      <c r="H2525" s="654"/>
      <c r="I2525" s="654"/>
      <c r="J2525" s="191"/>
      <c r="K2525" s="191">
        <v>185127.10085174799</v>
      </c>
      <c r="L2525" s="191"/>
      <c r="M2525" s="191"/>
      <c r="N2525" s="191"/>
      <c r="O2525" s="191"/>
      <c r="P2525" s="191"/>
      <c r="Q2525" s="191"/>
      <c r="R2525" s="191"/>
      <c r="S2525" s="191"/>
      <c r="T2525" s="191"/>
      <c r="U2525" s="439"/>
      <c r="V2525" s="441"/>
      <c r="W2525" s="178"/>
      <c r="X2525" s="172"/>
      <c r="Y2525" s="172"/>
      <c r="Z2525" s="172"/>
      <c r="AA2525" s="195"/>
      <c r="AB2525" s="172"/>
    </row>
    <row r="2526" spans="1:28" ht="12.6" customHeight="1" x14ac:dyDescent="0.3">
      <c r="A2526" s="667"/>
      <c r="B2526" s="668" t="s">
        <v>9065</v>
      </c>
      <c r="C2526" s="160" t="s">
        <v>9066</v>
      </c>
      <c r="D2526" s="160"/>
      <c r="E2526" s="439">
        <v>12.46</v>
      </c>
      <c r="F2526" s="161">
        <v>553.06982816100003</v>
      </c>
      <c r="G2526" s="161">
        <v>-35.277000000000001</v>
      </c>
      <c r="H2526" s="654">
        <v>1.3028719131399999</v>
      </c>
      <c r="I2526" s="654">
        <v>2.63499611300573E-2</v>
      </c>
      <c r="J2526" s="191"/>
      <c r="K2526" s="191">
        <v>567113518.69372404</v>
      </c>
      <c r="L2526" s="191"/>
      <c r="M2526" s="191"/>
      <c r="N2526" s="191"/>
      <c r="O2526" s="191"/>
      <c r="P2526" s="191"/>
      <c r="Q2526" s="191"/>
      <c r="R2526" s="191"/>
      <c r="S2526" s="191"/>
      <c r="T2526" s="191"/>
      <c r="U2526" s="439"/>
      <c r="V2526" s="441"/>
      <c r="W2526" s="178"/>
      <c r="X2526" s="172"/>
      <c r="Y2526" s="172"/>
      <c r="Z2526" s="172"/>
      <c r="AA2526" s="195"/>
      <c r="AB2526" s="172"/>
    </row>
    <row r="2527" spans="1:28" ht="12.6" customHeight="1" x14ac:dyDescent="0.3">
      <c r="A2527" s="667"/>
      <c r="B2527" s="668" t="s">
        <v>9067</v>
      </c>
      <c r="C2527" s="160" t="s">
        <v>9068</v>
      </c>
      <c r="D2527" s="160"/>
      <c r="E2527" s="439">
        <v>8.86</v>
      </c>
      <c r="F2527" s="161">
        <v>463.02287796799999</v>
      </c>
      <c r="G2527" s="161">
        <v>-42.003</v>
      </c>
      <c r="H2527" s="654">
        <v>131.79586306600001</v>
      </c>
      <c r="I2527" s="654">
        <v>0.42520918859298701</v>
      </c>
      <c r="J2527" s="191"/>
      <c r="K2527" s="191">
        <v>66133.270427704207</v>
      </c>
      <c r="L2527" s="191"/>
      <c r="M2527" s="191"/>
      <c r="N2527" s="191"/>
      <c r="O2527" s="191"/>
      <c r="P2527" s="191"/>
      <c r="Q2527" s="191"/>
      <c r="R2527" s="191"/>
      <c r="S2527" s="191"/>
      <c r="T2527" s="191"/>
      <c r="U2527" s="439"/>
      <c r="V2527" s="441"/>
      <c r="W2527" s="178"/>
      <c r="X2527" s="172"/>
      <c r="Y2527" s="172"/>
      <c r="Z2527" s="172"/>
      <c r="AA2527" s="195"/>
      <c r="AB2527" s="172"/>
    </row>
    <row r="2528" spans="1:28" ht="12.6" customHeight="1" x14ac:dyDescent="0.3">
      <c r="A2528" s="667"/>
      <c r="B2528" s="668" t="s">
        <v>9069</v>
      </c>
      <c r="C2528" s="160" t="s">
        <v>9070</v>
      </c>
      <c r="D2528" s="160"/>
      <c r="E2528" s="439">
        <v>8.7200000000000006</v>
      </c>
      <c r="F2528" s="161">
        <v>363.02926531600002</v>
      </c>
      <c r="G2528" s="161">
        <v>-40.103000000000002</v>
      </c>
      <c r="H2528" s="654">
        <v>330.29458923999999</v>
      </c>
      <c r="I2528" s="654">
        <v>4.3847037694131696</v>
      </c>
      <c r="J2528" s="191"/>
      <c r="K2528" s="191">
        <v>3103.4874963884999</v>
      </c>
      <c r="L2528" s="191"/>
      <c r="M2528" s="191"/>
      <c r="N2528" s="191"/>
      <c r="O2528" s="191"/>
      <c r="P2528" s="191"/>
      <c r="Q2528" s="191"/>
      <c r="R2528" s="191"/>
      <c r="S2528" s="191"/>
      <c r="T2528" s="191"/>
      <c r="U2528" s="439"/>
      <c r="V2528" s="441"/>
      <c r="W2528" s="178"/>
      <c r="X2528" s="172"/>
      <c r="Y2528" s="172"/>
      <c r="Z2528" s="172"/>
      <c r="AA2528" s="195"/>
      <c r="AB2528" s="172"/>
    </row>
    <row r="2529" spans="1:28" ht="12.6" customHeight="1" x14ac:dyDescent="0.3">
      <c r="A2529" s="667"/>
      <c r="B2529" s="668" t="s">
        <v>9071</v>
      </c>
      <c r="C2529" s="160" t="s">
        <v>9072</v>
      </c>
      <c r="D2529" s="160"/>
      <c r="E2529" s="439">
        <v>8.8699999999999992</v>
      </c>
      <c r="F2529" s="161">
        <v>313.03245899000001</v>
      </c>
      <c r="G2529" s="161"/>
      <c r="H2529" s="654"/>
      <c r="I2529" s="654"/>
      <c r="J2529" s="191"/>
      <c r="K2529" s="191">
        <v>2226.9476091267302</v>
      </c>
      <c r="L2529" s="191"/>
      <c r="M2529" s="191"/>
      <c r="N2529" s="191"/>
      <c r="O2529" s="191"/>
      <c r="P2529" s="191"/>
      <c r="Q2529" s="191"/>
      <c r="R2529" s="191"/>
      <c r="S2529" s="191"/>
      <c r="T2529" s="191"/>
      <c r="U2529" s="439"/>
      <c r="V2529" s="441"/>
      <c r="W2529" s="178"/>
      <c r="X2529" s="172"/>
      <c r="Y2529" s="172"/>
      <c r="Z2529" s="172"/>
      <c r="AA2529" s="195"/>
      <c r="AB2529" s="172"/>
    </row>
    <row r="2530" spans="1:28" ht="12.6" customHeight="1" x14ac:dyDescent="0.3">
      <c r="A2530" s="667"/>
      <c r="B2530" s="668" t="s">
        <v>9073</v>
      </c>
      <c r="C2530" s="160" t="s">
        <v>9074</v>
      </c>
      <c r="D2530" s="160"/>
      <c r="E2530" s="439">
        <v>8.2100000000000009</v>
      </c>
      <c r="F2530" s="161">
        <v>213.03884633800001</v>
      </c>
      <c r="G2530" s="161"/>
      <c r="H2530" s="654"/>
      <c r="I2530" s="654"/>
      <c r="J2530" s="191"/>
      <c r="K2530" s="191">
        <v>101.835687571978</v>
      </c>
      <c r="L2530" s="191"/>
      <c r="M2530" s="191"/>
      <c r="N2530" s="191"/>
      <c r="O2530" s="191"/>
      <c r="P2530" s="191"/>
      <c r="Q2530" s="191"/>
      <c r="R2530" s="191"/>
      <c r="S2530" s="191"/>
      <c r="T2530" s="191"/>
      <c r="U2530" s="439"/>
      <c r="V2530" s="441"/>
      <c r="W2530" s="178"/>
      <c r="X2530" s="172"/>
      <c r="Y2530" s="172"/>
      <c r="Z2530" s="172"/>
      <c r="AA2530" s="195"/>
      <c r="AB2530" s="172"/>
    </row>
    <row r="2531" spans="1:28" ht="12.6" customHeight="1" x14ac:dyDescent="0.3">
      <c r="A2531" s="667"/>
      <c r="B2531" s="668" t="s">
        <v>9075</v>
      </c>
      <c r="C2531" s="160" t="s">
        <v>9076</v>
      </c>
      <c r="D2531" s="160"/>
      <c r="E2531" s="439">
        <v>9.1300000000000008</v>
      </c>
      <c r="F2531" s="161">
        <v>477.03852803299998</v>
      </c>
      <c r="G2531" s="161">
        <v>-41.2</v>
      </c>
      <c r="H2531" s="654">
        <v>77.786054289999996</v>
      </c>
      <c r="I2531" s="654">
        <v>0.108781003701477</v>
      </c>
      <c r="J2531" s="191"/>
      <c r="K2531" s="191">
        <v>88542.137073214806</v>
      </c>
      <c r="L2531" s="191"/>
      <c r="M2531" s="191"/>
      <c r="N2531" s="191"/>
      <c r="O2531" s="191"/>
      <c r="P2531" s="191"/>
      <c r="Q2531" s="191"/>
      <c r="R2531" s="191"/>
      <c r="S2531" s="191"/>
      <c r="T2531" s="191"/>
      <c r="U2531" s="439"/>
      <c r="V2531" s="441"/>
      <c r="W2531" s="178"/>
      <c r="X2531" s="172"/>
      <c r="Y2531" s="172"/>
      <c r="Z2531" s="172"/>
      <c r="AA2531" s="195"/>
      <c r="AB2531" s="172"/>
    </row>
    <row r="2532" spans="1:28" ht="12.6" customHeight="1" x14ac:dyDescent="0.3">
      <c r="A2532" s="667"/>
      <c r="B2532" s="668" t="s">
        <v>9077</v>
      </c>
      <c r="C2532" s="160" t="s">
        <v>9078</v>
      </c>
      <c r="D2532" s="160"/>
      <c r="E2532" s="439">
        <v>5.27</v>
      </c>
      <c r="F2532" s="161">
        <v>227.02934428200001</v>
      </c>
      <c r="G2532" s="161"/>
      <c r="H2532" s="654"/>
      <c r="I2532" s="654"/>
      <c r="J2532" s="191"/>
      <c r="K2532" s="191">
        <v>80.411840028878601</v>
      </c>
      <c r="L2532" s="191"/>
      <c r="M2532" s="191"/>
      <c r="N2532" s="191"/>
      <c r="O2532" s="191"/>
      <c r="P2532" s="191"/>
      <c r="Q2532" s="191"/>
      <c r="R2532" s="191"/>
      <c r="S2532" s="191"/>
      <c r="T2532" s="191"/>
      <c r="U2532" s="439"/>
      <c r="V2532" s="441"/>
      <c r="W2532" s="178"/>
      <c r="X2532" s="172"/>
      <c r="Y2532" s="172"/>
      <c r="Z2532" s="172"/>
      <c r="AA2532" s="195"/>
      <c r="AB2532" s="172"/>
    </row>
    <row r="2533" spans="1:28" ht="12.6" customHeight="1" x14ac:dyDescent="0.3">
      <c r="A2533" s="667"/>
      <c r="B2533" s="668" t="s">
        <v>9079</v>
      </c>
      <c r="C2533" s="160" t="s">
        <v>9080</v>
      </c>
      <c r="D2533" s="160"/>
      <c r="E2533" s="439">
        <v>9.81</v>
      </c>
      <c r="F2533" s="161">
        <v>426.99116572999998</v>
      </c>
      <c r="G2533" s="161"/>
      <c r="H2533" s="654"/>
      <c r="I2533" s="654"/>
      <c r="J2533" s="191"/>
      <c r="K2533" s="191">
        <v>1491.8666307463</v>
      </c>
      <c r="L2533" s="191"/>
      <c r="M2533" s="191"/>
      <c r="N2533" s="191"/>
      <c r="O2533" s="191"/>
      <c r="P2533" s="191"/>
      <c r="Q2533" s="191"/>
      <c r="R2533" s="191"/>
      <c r="S2533" s="191"/>
      <c r="T2533" s="191"/>
      <c r="U2533" s="439"/>
      <c r="V2533" s="441"/>
      <c r="W2533" s="178"/>
      <c r="X2533" s="172"/>
      <c r="Y2533" s="172"/>
      <c r="Z2533" s="172"/>
      <c r="AA2533" s="195"/>
      <c r="AB2533" s="172"/>
    </row>
    <row r="2534" spans="1:28" ht="12.6" customHeight="1" x14ac:dyDescent="0.3">
      <c r="A2534" s="667"/>
      <c r="B2534" s="668" t="s">
        <v>9081</v>
      </c>
      <c r="C2534" s="160" t="s">
        <v>9082</v>
      </c>
      <c r="D2534" s="160"/>
      <c r="E2534" s="439"/>
      <c r="F2534" s="161">
        <v>265.99893280399999</v>
      </c>
      <c r="G2534" s="161">
        <v>-55.744999999999997</v>
      </c>
      <c r="H2534" s="654">
        <v>24038.223244000001</v>
      </c>
      <c r="I2534" s="654">
        <v>63.662056585846898</v>
      </c>
      <c r="J2534" s="191"/>
      <c r="K2534" s="191">
        <v>50.495188758923099</v>
      </c>
      <c r="L2534" s="191"/>
      <c r="M2534" s="191"/>
      <c r="N2534" s="191"/>
      <c r="O2534" s="191"/>
      <c r="P2534" s="191"/>
      <c r="Q2534" s="191"/>
      <c r="R2534" s="191"/>
      <c r="S2534" s="191"/>
      <c r="T2534" s="191"/>
      <c r="U2534" s="439"/>
      <c r="V2534" s="441"/>
      <c r="W2534" s="178"/>
      <c r="X2534" s="172"/>
      <c r="Y2534" s="172"/>
      <c r="Z2534" s="172"/>
      <c r="AA2534" s="195"/>
      <c r="AB2534" s="172"/>
    </row>
    <row r="2535" spans="1:28" ht="12.6" customHeight="1" x14ac:dyDescent="0.3">
      <c r="A2535" s="667"/>
      <c r="B2535" s="668" t="s">
        <v>9083</v>
      </c>
      <c r="C2535" s="160" t="s">
        <v>9084</v>
      </c>
      <c r="D2535" s="160"/>
      <c r="E2535" s="439"/>
      <c r="F2535" s="161">
        <v>216.00212647800001</v>
      </c>
      <c r="G2535" s="161">
        <v>-51.427999999999997</v>
      </c>
      <c r="H2535" s="654">
        <v>28177.471377999998</v>
      </c>
      <c r="I2535" s="654">
        <v>252.03344119579501</v>
      </c>
      <c r="J2535" s="191"/>
      <c r="K2535" s="191">
        <v>59.649938466716101</v>
      </c>
      <c r="L2535" s="191"/>
      <c r="M2535" s="191"/>
      <c r="N2535" s="191"/>
      <c r="O2535" s="191"/>
      <c r="P2535" s="191"/>
      <c r="Q2535" s="191"/>
      <c r="R2535" s="191"/>
      <c r="S2535" s="191"/>
      <c r="T2535" s="191"/>
      <c r="U2535" s="439"/>
      <c r="V2535" s="441"/>
      <c r="W2535" s="178"/>
      <c r="X2535" s="172"/>
      <c r="Y2535" s="172"/>
      <c r="Z2535" s="172"/>
      <c r="AA2535" s="195"/>
      <c r="AB2535" s="172"/>
    </row>
    <row r="2536" spans="1:28" ht="12.6" customHeight="1" x14ac:dyDescent="0.3">
      <c r="A2536" s="667"/>
      <c r="B2536" s="668" t="s">
        <v>9085</v>
      </c>
      <c r="C2536" s="160" t="s">
        <v>9086</v>
      </c>
      <c r="D2536" s="160"/>
      <c r="E2536" s="439">
        <v>1.97</v>
      </c>
      <c r="F2536" s="161">
        <v>640.03898153</v>
      </c>
      <c r="G2536" s="161">
        <v>31.556999999999999</v>
      </c>
      <c r="H2536" s="654">
        <v>6.0799764913999999E-4</v>
      </c>
      <c r="I2536" s="654">
        <v>0.67796129118565196</v>
      </c>
      <c r="J2536" s="191"/>
      <c r="K2536" s="191">
        <v>46827.395137359897</v>
      </c>
      <c r="L2536" s="191"/>
      <c r="M2536" s="191"/>
      <c r="N2536" s="191"/>
      <c r="O2536" s="191"/>
      <c r="P2536" s="191"/>
      <c r="Q2536" s="191"/>
      <c r="R2536" s="191"/>
      <c r="S2536" s="191"/>
      <c r="T2536" s="191"/>
      <c r="U2536" s="439"/>
      <c r="V2536" s="441"/>
      <c r="W2536" s="178"/>
      <c r="X2536" s="172"/>
      <c r="Y2536" s="172"/>
      <c r="Z2536" s="172"/>
      <c r="AA2536" s="195"/>
      <c r="AB2536" s="172"/>
    </row>
    <row r="2537" spans="1:28" ht="12.6" customHeight="1" x14ac:dyDescent="0.3">
      <c r="A2537" s="667"/>
      <c r="B2537" s="668" t="s">
        <v>9087</v>
      </c>
      <c r="C2537" s="160" t="s">
        <v>9088</v>
      </c>
      <c r="D2537" s="160"/>
      <c r="E2537" s="439">
        <v>3.48</v>
      </c>
      <c r="F2537" s="161">
        <v>425.99568673900001</v>
      </c>
      <c r="G2537" s="161"/>
      <c r="H2537" s="654"/>
      <c r="I2537" s="654"/>
      <c r="J2537" s="191"/>
      <c r="K2537" s="191">
        <v>10620.1340853576</v>
      </c>
      <c r="L2537" s="191"/>
      <c r="M2537" s="191"/>
      <c r="N2537" s="191"/>
      <c r="O2537" s="191"/>
      <c r="P2537" s="191"/>
      <c r="Q2537" s="191"/>
      <c r="R2537" s="191"/>
      <c r="S2537" s="191"/>
      <c r="T2537" s="191"/>
      <c r="U2537" s="439"/>
      <c r="V2537" s="441"/>
      <c r="W2537" s="178"/>
      <c r="X2537" s="172"/>
      <c r="Y2537" s="172"/>
      <c r="Z2537" s="172"/>
      <c r="AA2537" s="195"/>
      <c r="AB2537" s="172"/>
    </row>
    <row r="2538" spans="1:28" ht="12.6" customHeight="1" x14ac:dyDescent="0.3">
      <c r="A2538" s="667"/>
      <c r="B2538" s="668" t="s">
        <v>9089</v>
      </c>
      <c r="C2538" s="160" t="s">
        <v>9090</v>
      </c>
      <c r="D2538" s="160"/>
      <c r="E2538" s="439">
        <v>2.38</v>
      </c>
      <c r="F2538" s="161">
        <v>591.03383657699999</v>
      </c>
      <c r="G2538" s="161"/>
      <c r="H2538" s="654"/>
      <c r="I2538" s="654"/>
      <c r="J2538" s="191"/>
      <c r="K2538" s="191">
        <v>678156.61127460399</v>
      </c>
      <c r="L2538" s="191"/>
      <c r="M2538" s="191"/>
      <c r="N2538" s="191"/>
      <c r="O2538" s="191"/>
      <c r="P2538" s="191"/>
      <c r="Q2538" s="191"/>
      <c r="R2538" s="191"/>
      <c r="S2538" s="191"/>
      <c r="T2538" s="191"/>
      <c r="U2538" s="439"/>
      <c r="V2538" s="441"/>
      <c r="W2538" s="178"/>
      <c r="X2538" s="172"/>
      <c r="Y2538" s="172"/>
      <c r="Z2538" s="172"/>
      <c r="AA2538" s="195"/>
      <c r="AB2538" s="172"/>
    </row>
    <row r="2539" spans="1:28" ht="12.6" customHeight="1" x14ac:dyDescent="0.3">
      <c r="A2539" s="667"/>
      <c r="B2539" s="668" t="s">
        <v>9091</v>
      </c>
      <c r="C2539" s="160" t="s">
        <v>9092</v>
      </c>
      <c r="D2539" s="160"/>
      <c r="E2539" s="439"/>
      <c r="F2539" s="161">
        <v>702.13184586299997</v>
      </c>
      <c r="G2539" s="161"/>
      <c r="H2539" s="654"/>
      <c r="I2539" s="654"/>
      <c r="J2539" s="191"/>
      <c r="K2539" s="191">
        <v>30229432.903512299</v>
      </c>
      <c r="L2539" s="191"/>
      <c r="M2539" s="191"/>
      <c r="N2539" s="191"/>
      <c r="O2539" s="191"/>
      <c r="P2539" s="191"/>
      <c r="Q2539" s="191"/>
      <c r="R2539" s="191"/>
      <c r="S2539" s="191"/>
      <c r="T2539" s="191"/>
      <c r="U2539" s="439"/>
      <c r="V2539" s="441"/>
      <c r="W2539" s="178"/>
      <c r="X2539" s="172"/>
      <c r="Y2539" s="172"/>
      <c r="Z2539" s="172"/>
      <c r="AA2539" s="195"/>
      <c r="AB2539" s="172"/>
    </row>
    <row r="2540" spans="1:28" ht="12.6" customHeight="1" x14ac:dyDescent="0.3">
      <c r="A2540" s="667"/>
      <c r="B2540" s="668" t="s">
        <v>9093</v>
      </c>
      <c r="C2540" s="160" t="s">
        <v>9094</v>
      </c>
      <c r="D2540" s="160"/>
      <c r="E2540" s="439"/>
      <c r="F2540" s="161">
        <v>1266.2797514450001</v>
      </c>
      <c r="G2540" s="161"/>
      <c r="H2540" s="654"/>
      <c r="I2540" s="654"/>
      <c r="J2540" s="191"/>
      <c r="K2540" s="191">
        <v>1531.2637447877701</v>
      </c>
      <c r="L2540" s="191"/>
      <c r="M2540" s="191"/>
      <c r="N2540" s="191"/>
      <c r="O2540" s="191"/>
      <c r="P2540" s="191"/>
      <c r="Q2540" s="191"/>
      <c r="R2540" s="191"/>
      <c r="S2540" s="191"/>
      <c r="T2540" s="191"/>
      <c r="U2540" s="439"/>
      <c r="V2540" s="441"/>
      <c r="W2540" s="178"/>
      <c r="X2540" s="172"/>
      <c r="Y2540" s="172"/>
      <c r="Z2540" s="172"/>
      <c r="AA2540" s="195"/>
      <c r="AB2540" s="172"/>
    </row>
    <row r="2541" spans="1:28" ht="12.6" customHeight="1" x14ac:dyDescent="0.3">
      <c r="A2541" s="667"/>
      <c r="B2541" s="668" t="s">
        <v>9095</v>
      </c>
      <c r="C2541" s="160" t="s">
        <v>9096</v>
      </c>
      <c r="D2541" s="160"/>
      <c r="E2541" s="439"/>
      <c r="F2541" s="161">
        <v>984.20579865399998</v>
      </c>
      <c r="G2541" s="161"/>
      <c r="H2541" s="654"/>
      <c r="I2541" s="654"/>
      <c r="J2541" s="191"/>
      <c r="K2541" s="191">
        <v>84845.731831694298</v>
      </c>
      <c r="L2541" s="191"/>
      <c r="M2541" s="191"/>
      <c r="N2541" s="191"/>
      <c r="O2541" s="191"/>
      <c r="P2541" s="191"/>
      <c r="Q2541" s="191"/>
      <c r="R2541" s="191"/>
      <c r="S2541" s="191"/>
      <c r="T2541" s="191"/>
      <c r="U2541" s="439"/>
      <c r="V2541" s="441"/>
      <c r="W2541" s="178"/>
      <c r="X2541" s="172"/>
      <c r="Y2541" s="172"/>
      <c r="Z2541" s="172"/>
      <c r="AA2541" s="195"/>
      <c r="AB2541" s="172"/>
    </row>
    <row r="2542" spans="1:28" ht="12.6" customHeight="1" x14ac:dyDescent="0.3">
      <c r="A2542" s="667"/>
      <c r="B2542" s="668" t="s">
        <v>9097</v>
      </c>
      <c r="C2542" s="160" t="s">
        <v>9098</v>
      </c>
      <c r="D2542" s="160"/>
      <c r="E2542" s="439"/>
      <c r="F2542" s="161">
        <v>547.96920607499999</v>
      </c>
      <c r="G2542" s="161"/>
      <c r="H2542" s="654"/>
      <c r="I2542" s="654"/>
      <c r="J2542" s="191"/>
      <c r="K2542" s="191">
        <v>124577.61150505301</v>
      </c>
      <c r="L2542" s="191"/>
      <c r="M2542" s="191"/>
      <c r="N2542" s="191"/>
      <c r="O2542" s="191"/>
      <c r="P2542" s="191"/>
      <c r="Q2542" s="191"/>
      <c r="R2542" s="191"/>
      <c r="S2542" s="191"/>
      <c r="T2542" s="191"/>
      <c r="U2542" s="439"/>
      <c r="V2542" s="441"/>
      <c r="W2542" s="178"/>
      <c r="X2542" s="172"/>
      <c r="Y2542" s="172"/>
      <c r="Z2542" s="172"/>
      <c r="AA2542" s="195"/>
      <c r="AB2542" s="172"/>
    </row>
    <row r="2543" spans="1:28" ht="12.6" customHeight="1" x14ac:dyDescent="0.3">
      <c r="A2543" s="667"/>
      <c r="B2543" s="668" t="s">
        <v>9099</v>
      </c>
      <c r="C2543" s="160" t="s">
        <v>9100</v>
      </c>
      <c r="D2543" s="160"/>
      <c r="E2543" s="439"/>
      <c r="F2543" s="161">
        <v>397.97878709700001</v>
      </c>
      <c r="G2543" s="161">
        <v>-25.562000000000001</v>
      </c>
      <c r="H2543" s="654">
        <v>727.61548075999997</v>
      </c>
      <c r="I2543" s="654">
        <v>1.61755692164065</v>
      </c>
      <c r="J2543" s="191"/>
      <c r="K2543" s="191">
        <v>12397.3824764973</v>
      </c>
      <c r="L2543" s="191"/>
      <c r="M2543" s="191"/>
      <c r="N2543" s="191"/>
      <c r="O2543" s="191"/>
      <c r="P2543" s="191"/>
      <c r="Q2543" s="191"/>
      <c r="R2543" s="191"/>
      <c r="S2543" s="191"/>
      <c r="T2543" s="191"/>
      <c r="U2543" s="439"/>
      <c r="V2543" s="441"/>
      <c r="W2543" s="178"/>
      <c r="X2543" s="172"/>
      <c r="Y2543" s="172"/>
      <c r="Z2543" s="172"/>
      <c r="AA2543" s="195"/>
      <c r="AB2543" s="172"/>
    </row>
    <row r="2544" spans="1:28" ht="12.6" customHeight="1" x14ac:dyDescent="0.3">
      <c r="A2544" s="667"/>
      <c r="B2544" s="668" t="s">
        <v>9101</v>
      </c>
      <c r="C2544" s="160" t="s">
        <v>9102</v>
      </c>
      <c r="D2544" s="160"/>
      <c r="E2544" s="439"/>
      <c r="F2544" s="161">
        <v>347.981980771</v>
      </c>
      <c r="G2544" s="161">
        <v>-34.112000000000002</v>
      </c>
      <c r="H2544" s="654">
        <v>1235.6682926000001</v>
      </c>
      <c r="I2544" s="654">
        <v>3.51200814093131</v>
      </c>
      <c r="J2544" s="191"/>
      <c r="K2544" s="191">
        <v>3369.3024673497898</v>
      </c>
      <c r="L2544" s="191"/>
      <c r="M2544" s="191"/>
      <c r="N2544" s="191"/>
      <c r="O2544" s="191"/>
      <c r="P2544" s="191"/>
      <c r="Q2544" s="191"/>
      <c r="R2544" s="191"/>
      <c r="S2544" s="191"/>
      <c r="T2544" s="191"/>
      <c r="U2544" s="439"/>
      <c r="V2544" s="441"/>
      <c r="W2544" s="178"/>
      <c r="X2544" s="172"/>
      <c r="Y2544" s="172"/>
      <c r="Z2544" s="172"/>
      <c r="AA2544" s="195"/>
      <c r="AB2544" s="172"/>
    </row>
    <row r="2545" spans="1:28" ht="12.6" customHeight="1" x14ac:dyDescent="0.3">
      <c r="A2545" s="667"/>
      <c r="B2545" s="668" t="s">
        <v>9103</v>
      </c>
      <c r="C2545" s="160" t="s">
        <v>9104</v>
      </c>
      <c r="D2545" s="160"/>
      <c r="E2545" s="439"/>
      <c r="F2545" s="161">
        <v>361.99763083599998</v>
      </c>
      <c r="G2545" s="161"/>
      <c r="H2545" s="654"/>
      <c r="I2545" s="654"/>
      <c r="J2545" s="191"/>
      <c r="K2545" s="191">
        <v>5830.4221384328503</v>
      </c>
      <c r="L2545" s="191"/>
      <c r="M2545" s="191"/>
      <c r="N2545" s="191"/>
      <c r="O2545" s="191"/>
      <c r="P2545" s="191"/>
      <c r="Q2545" s="191"/>
      <c r="R2545" s="191"/>
      <c r="S2545" s="191"/>
      <c r="T2545" s="191"/>
      <c r="U2545" s="439"/>
      <c r="V2545" s="441"/>
      <c r="W2545" s="178"/>
      <c r="X2545" s="172"/>
      <c r="Y2545" s="172"/>
      <c r="Z2545" s="172"/>
      <c r="AA2545" s="195"/>
      <c r="AB2545" s="172"/>
    </row>
    <row r="2546" spans="1:28" ht="12.6" customHeight="1" x14ac:dyDescent="0.3">
      <c r="A2546" s="667"/>
      <c r="B2546" s="668" t="s">
        <v>9105</v>
      </c>
      <c r="C2546" s="160" t="s">
        <v>9106</v>
      </c>
      <c r="D2546" s="160"/>
      <c r="E2546" s="439">
        <v>0.93</v>
      </c>
      <c r="F2546" s="161">
        <v>327.98156866199997</v>
      </c>
      <c r="G2546" s="161"/>
      <c r="H2546" s="654"/>
      <c r="I2546" s="654"/>
      <c r="J2546" s="191"/>
      <c r="K2546" s="191">
        <v>1816.9793852598</v>
      </c>
      <c r="L2546" s="191"/>
      <c r="M2546" s="191"/>
      <c r="N2546" s="191"/>
      <c r="O2546" s="191"/>
      <c r="P2546" s="191"/>
      <c r="Q2546" s="191"/>
      <c r="R2546" s="191"/>
      <c r="S2546" s="191"/>
      <c r="T2546" s="191"/>
      <c r="U2546" s="439"/>
      <c r="V2546" s="441"/>
      <c r="W2546" s="178"/>
      <c r="X2546" s="172"/>
      <c r="Y2546" s="172"/>
      <c r="Z2546" s="172"/>
      <c r="AA2546" s="195"/>
      <c r="AB2546" s="172"/>
    </row>
    <row r="2547" spans="1:28" ht="12.6" customHeight="1" x14ac:dyDescent="0.3">
      <c r="A2547" s="667"/>
      <c r="B2547" s="668" t="s">
        <v>9107</v>
      </c>
      <c r="C2547" s="160" t="s">
        <v>9108</v>
      </c>
      <c r="D2547" s="160"/>
      <c r="E2547" s="439">
        <v>2.62</v>
      </c>
      <c r="F2547" s="161">
        <v>550.00728747599999</v>
      </c>
      <c r="G2547" s="161"/>
      <c r="H2547" s="654"/>
      <c r="I2547" s="654"/>
      <c r="J2547" s="191"/>
      <c r="K2547" s="191">
        <v>94824.377425360493</v>
      </c>
      <c r="L2547" s="191"/>
      <c r="M2547" s="191"/>
      <c r="N2547" s="191"/>
      <c r="O2547" s="191"/>
      <c r="P2547" s="191"/>
      <c r="Q2547" s="191"/>
      <c r="R2547" s="191"/>
      <c r="S2547" s="191"/>
      <c r="T2547" s="191"/>
      <c r="U2547" s="439"/>
      <c r="V2547" s="441"/>
      <c r="W2547" s="178"/>
      <c r="X2547" s="172"/>
      <c r="Y2547" s="172"/>
      <c r="Z2547" s="172"/>
      <c r="AA2547" s="195"/>
      <c r="AB2547" s="172"/>
    </row>
    <row r="2548" spans="1:28" ht="12.6" customHeight="1" x14ac:dyDescent="0.3">
      <c r="A2548" s="667"/>
      <c r="B2548" s="668" t="s">
        <v>9109</v>
      </c>
      <c r="C2548" s="160" t="s">
        <v>9110</v>
      </c>
      <c r="D2548" s="160"/>
      <c r="E2548" s="439">
        <v>2.4900000000000002</v>
      </c>
      <c r="F2548" s="161">
        <v>450.01367482400002</v>
      </c>
      <c r="G2548" s="161"/>
      <c r="H2548" s="654"/>
      <c r="I2548" s="654"/>
      <c r="J2548" s="191"/>
      <c r="K2548" s="191">
        <v>21764.0642839467</v>
      </c>
      <c r="L2548" s="191"/>
      <c r="M2548" s="191"/>
      <c r="N2548" s="191"/>
      <c r="O2548" s="191"/>
      <c r="P2548" s="191"/>
      <c r="Q2548" s="191"/>
      <c r="R2548" s="191"/>
      <c r="S2548" s="191"/>
      <c r="T2548" s="191"/>
      <c r="U2548" s="439"/>
      <c r="V2548" s="441"/>
      <c r="W2548" s="178"/>
      <c r="X2548" s="172"/>
      <c r="Y2548" s="172"/>
      <c r="Z2548" s="172"/>
      <c r="AA2548" s="195"/>
      <c r="AB2548" s="172"/>
    </row>
    <row r="2549" spans="1:28" ht="12.6" customHeight="1" x14ac:dyDescent="0.3">
      <c r="A2549" s="667"/>
      <c r="B2549" s="668" t="s">
        <v>9111</v>
      </c>
      <c r="C2549" s="160" t="s">
        <v>9112</v>
      </c>
      <c r="D2549" s="160"/>
      <c r="E2549" s="439">
        <v>2.68</v>
      </c>
      <c r="F2549" s="161">
        <v>350.020062172</v>
      </c>
      <c r="G2549" s="161"/>
      <c r="H2549" s="654"/>
      <c r="I2549" s="654"/>
      <c r="J2549" s="191"/>
      <c r="K2549" s="191">
        <v>15180.986707572099</v>
      </c>
      <c r="L2549" s="191"/>
      <c r="M2549" s="191"/>
      <c r="N2549" s="191"/>
      <c r="O2549" s="191"/>
      <c r="P2549" s="191"/>
      <c r="Q2549" s="191"/>
      <c r="R2549" s="191"/>
      <c r="S2549" s="191"/>
      <c r="T2549" s="191"/>
      <c r="U2549" s="439"/>
      <c r="V2549" s="441"/>
      <c r="W2549" s="178"/>
      <c r="X2549" s="172"/>
      <c r="Y2549" s="172"/>
      <c r="Z2549" s="172"/>
      <c r="AA2549" s="195"/>
      <c r="AB2549" s="172"/>
    </row>
    <row r="2550" spans="1:28" ht="12.6" customHeight="1" x14ac:dyDescent="0.3">
      <c r="A2550" s="667"/>
      <c r="B2550" s="668" t="s">
        <v>9113</v>
      </c>
      <c r="C2550" s="160" t="s">
        <v>9114</v>
      </c>
      <c r="D2550" s="160"/>
      <c r="E2550" s="439">
        <v>2.65</v>
      </c>
      <c r="F2550" s="161">
        <v>314.03890591099997</v>
      </c>
      <c r="G2550" s="161">
        <v>82.71</v>
      </c>
      <c r="H2550" s="654">
        <v>0.18361239162000001</v>
      </c>
      <c r="I2550" s="654">
        <v>26.0005999837765</v>
      </c>
      <c r="J2550" s="191"/>
      <c r="K2550" s="191">
        <v>7301.6329943430101</v>
      </c>
      <c r="L2550" s="191"/>
      <c r="M2550" s="191"/>
      <c r="N2550" s="191"/>
      <c r="O2550" s="191"/>
      <c r="P2550" s="191"/>
      <c r="Q2550" s="191"/>
      <c r="R2550" s="191"/>
      <c r="S2550" s="191"/>
      <c r="T2550" s="191"/>
      <c r="U2550" s="439"/>
      <c r="V2550" s="441"/>
      <c r="W2550" s="178"/>
      <c r="X2550" s="172"/>
      <c r="Y2550" s="172"/>
      <c r="Z2550" s="172"/>
      <c r="AA2550" s="195"/>
      <c r="AB2550" s="172"/>
    </row>
    <row r="2551" spans="1:28" ht="12.6" customHeight="1" x14ac:dyDescent="0.3">
      <c r="A2551" s="667"/>
      <c r="B2551" s="668" t="s">
        <v>9115</v>
      </c>
      <c r="C2551" s="160" t="s">
        <v>9116</v>
      </c>
      <c r="D2551" s="160"/>
      <c r="E2551" s="439">
        <v>2.4</v>
      </c>
      <c r="F2551" s="161">
        <v>316.03342660599998</v>
      </c>
      <c r="G2551" s="161"/>
      <c r="H2551" s="654"/>
      <c r="I2551" s="654"/>
      <c r="J2551" s="191"/>
      <c r="K2551" s="191">
        <v>303214.52386123902</v>
      </c>
      <c r="L2551" s="191"/>
      <c r="M2551" s="191"/>
      <c r="N2551" s="191"/>
      <c r="O2551" s="191"/>
      <c r="P2551" s="191"/>
      <c r="Q2551" s="191"/>
      <c r="R2551" s="191"/>
      <c r="S2551" s="191"/>
      <c r="T2551" s="191"/>
      <c r="U2551" s="439"/>
      <c r="V2551" s="441"/>
      <c r="W2551" s="178"/>
      <c r="X2551" s="172"/>
      <c r="Y2551" s="172"/>
      <c r="Z2551" s="172"/>
      <c r="AA2551" s="195"/>
      <c r="AB2551" s="172"/>
    </row>
    <row r="2552" spans="1:28" ht="12.6" customHeight="1" x14ac:dyDescent="0.3">
      <c r="A2552" s="667"/>
      <c r="B2552" s="668" t="s">
        <v>9117</v>
      </c>
      <c r="C2552" s="160" t="s">
        <v>8191</v>
      </c>
      <c r="D2552" s="160"/>
      <c r="E2552" s="439">
        <v>0.56999999999999995</v>
      </c>
      <c r="F2552" s="161">
        <v>557.97354256400001</v>
      </c>
      <c r="G2552" s="161"/>
      <c r="H2552" s="654"/>
      <c r="I2552" s="654"/>
      <c r="J2552" s="191"/>
      <c r="K2552" s="191">
        <v>88760.553137042996</v>
      </c>
      <c r="L2552" s="191"/>
      <c r="M2552" s="191"/>
      <c r="N2552" s="191"/>
      <c r="O2552" s="191"/>
      <c r="P2552" s="191"/>
      <c r="Q2552" s="191"/>
      <c r="R2552" s="191"/>
      <c r="S2552" s="191"/>
      <c r="T2552" s="191"/>
      <c r="U2552" s="439"/>
      <c r="V2552" s="441"/>
      <c r="W2552" s="178"/>
      <c r="X2552" s="172"/>
      <c r="Y2552" s="172"/>
      <c r="Z2552" s="172"/>
      <c r="AA2552" s="195"/>
      <c r="AB2552" s="172"/>
    </row>
    <row r="2553" spans="1:28" ht="12.6" customHeight="1" x14ac:dyDescent="0.3">
      <c r="A2553" s="667"/>
      <c r="B2553" s="668" t="s">
        <v>9118</v>
      </c>
      <c r="C2553" s="160" t="s">
        <v>9119</v>
      </c>
      <c r="D2553" s="160"/>
      <c r="E2553" s="439">
        <v>4.53</v>
      </c>
      <c r="F2553" s="161">
        <v>562.00728747599999</v>
      </c>
      <c r="G2553" s="161"/>
      <c r="H2553" s="654"/>
      <c r="I2553" s="654"/>
      <c r="J2553" s="191"/>
      <c r="K2553" s="191">
        <v>216072.75033932799</v>
      </c>
      <c r="L2553" s="191"/>
      <c r="M2553" s="191"/>
      <c r="N2553" s="191"/>
      <c r="O2553" s="191"/>
      <c r="P2553" s="191"/>
      <c r="Q2553" s="191"/>
      <c r="R2553" s="191"/>
      <c r="S2553" s="191"/>
      <c r="T2553" s="191"/>
      <c r="U2553" s="439"/>
      <c r="V2553" s="441"/>
      <c r="W2553" s="178"/>
      <c r="X2553" s="172"/>
      <c r="Y2553" s="172"/>
      <c r="Z2553" s="172"/>
      <c r="AA2553" s="195"/>
      <c r="AB2553" s="172"/>
    </row>
    <row r="2554" spans="1:28" ht="12.6" customHeight="1" x14ac:dyDescent="0.3">
      <c r="A2554" s="667"/>
      <c r="B2554" s="668" t="s">
        <v>9120</v>
      </c>
      <c r="C2554" s="160" t="s">
        <v>9121</v>
      </c>
      <c r="D2554" s="160"/>
      <c r="E2554" s="439">
        <v>4.53</v>
      </c>
      <c r="F2554" s="161">
        <v>562.00728747599999</v>
      </c>
      <c r="G2554" s="161"/>
      <c r="H2554" s="654"/>
      <c r="I2554" s="654"/>
      <c r="J2554" s="191"/>
      <c r="K2554" s="191">
        <v>216072.75033932799</v>
      </c>
      <c r="L2554" s="191"/>
      <c r="M2554" s="191"/>
      <c r="N2554" s="191"/>
      <c r="O2554" s="191"/>
      <c r="P2554" s="191"/>
      <c r="Q2554" s="191"/>
      <c r="R2554" s="191"/>
      <c r="S2554" s="191"/>
      <c r="T2554" s="191"/>
      <c r="U2554" s="439"/>
      <c r="V2554" s="441"/>
      <c r="W2554" s="178"/>
      <c r="X2554" s="172"/>
      <c r="Y2554" s="172"/>
      <c r="Z2554" s="172"/>
      <c r="AA2554" s="195"/>
      <c r="AB2554" s="172"/>
    </row>
    <row r="2555" spans="1:28" ht="12.6" customHeight="1" x14ac:dyDescent="0.3">
      <c r="A2555" s="667"/>
      <c r="B2555" s="668" t="s">
        <v>9122</v>
      </c>
      <c r="C2555" s="160" t="s">
        <v>9123</v>
      </c>
      <c r="D2555" s="160"/>
      <c r="E2555" s="439">
        <v>1.64</v>
      </c>
      <c r="F2555" s="161">
        <v>240.00212647800001</v>
      </c>
      <c r="G2555" s="161"/>
      <c r="H2555" s="654"/>
      <c r="I2555" s="654"/>
      <c r="J2555" s="191"/>
      <c r="K2555" s="191">
        <v>84.155014663408096</v>
      </c>
      <c r="L2555" s="191"/>
      <c r="M2555" s="191"/>
      <c r="N2555" s="191"/>
      <c r="O2555" s="191"/>
      <c r="P2555" s="191"/>
      <c r="Q2555" s="191"/>
      <c r="R2555" s="191"/>
      <c r="S2555" s="191"/>
      <c r="T2555" s="191"/>
      <c r="U2555" s="439"/>
      <c r="V2555" s="441"/>
      <c r="W2555" s="178"/>
      <c r="X2555" s="172"/>
      <c r="Y2555" s="172"/>
      <c r="Z2555" s="172"/>
      <c r="AA2555" s="195"/>
      <c r="AB2555" s="172"/>
    </row>
    <row r="2556" spans="1:28" ht="12.6" customHeight="1" x14ac:dyDescent="0.3">
      <c r="A2556" s="667"/>
      <c r="B2556" s="668" t="s">
        <v>9124</v>
      </c>
      <c r="C2556" s="160" t="s">
        <v>9125</v>
      </c>
      <c r="D2556" s="160"/>
      <c r="E2556" s="439">
        <v>1.64</v>
      </c>
      <c r="F2556" s="161">
        <v>240.00212647800001</v>
      </c>
      <c r="G2556" s="161"/>
      <c r="H2556" s="654"/>
      <c r="I2556" s="654"/>
      <c r="J2556" s="191"/>
      <c r="K2556" s="191">
        <v>84.155014663408096</v>
      </c>
      <c r="L2556" s="191"/>
      <c r="M2556" s="191"/>
      <c r="N2556" s="191"/>
      <c r="O2556" s="191"/>
      <c r="P2556" s="191"/>
      <c r="Q2556" s="191"/>
      <c r="R2556" s="191"/>
      <c r="S2556" s="191"/>
      <c r="T2556" s="191"/>
      <c r="U2556" s="439"/>
      <c r="V2556" s="441"/>
      <c r="W2556" s="178"/>
      <c r="X2556" s="172"/>
      <c r="Y2556" s="172"/>
      <c r="Z2556" s="172"/>
      <c r="AA2556" s="195"/>
      <c r="AB2556" s="172"/>
    </row>
    <row r="2557" spans="1:28" ht="12.6" customHeight="1" x14ac:dyDescent="0.3">
      <c r="A2557" s="667" t="s">
        <v>4414</v>
      </c>
      <c r="B2557" s="668" t="s">
        <v>9126</v>
      </c>
      <c r="C2557" s="160" t="s">
        <v>9127</v>
      </c>
      <c r="D2557" s="160"/>
      <c r="E2557" s="439"/>
      <c r="F2557" s="161"/>
      <c r="G2557" s="161"/>
      <c r="H2557" s="654"/>
      <c r="I2557" s="654"/>
      <c r="J2557" s="191"/>
      <c r="K2557" s="191"/>
      <c r="L2557" s="191"/>
      <c r="M2557" s="191"/>
      <c r="N2557" s="191"/>
      <c r="O2557" s="191"/>
      <c r="P2557" s="191"/>
      <c r="Q2557" s="191"/>
      <c r="R2557" s="191"/>
      <c r="S2557" s="191"/>
      <c r="T2557" s="191"/>
      <c r="U2557" s="439"/>
      <c r="V2557" s="441"/>
      <c r="W2557" s="178"/>
      <c r="X2557" s="172"/>
      <c r="Y2557" s="172"/>
      <c r="Z2557" s="172"/>
      <c r="AA2557" s="195"/>
      <c r="AB2557" s="172"/>
    </row>
    <row r="2558" spans="1:28" ht="12.6" customHeight="1" x14ac:dyDescent="0.3">
      <c r="A2558" s="667" t="s">
        <v>4414</v>
      </c>
      <c r="B2558" s="668" t="s">
        <v>9128</v>
      </c>
      <c r="C2558" s="160" t="s">
        <v>9129</v>
      </c>
      <c r="D2558" s="160"/>
      <c r="E2558" s="439"/>
      <c r="F2558" s="161"/>
      <c r="G2558" s="161"/>
      <c r="H2558" s="654"/>
      <c r="I2558" s="654"/>
      <c r="J2558" s="191"/>
      <c r="K2558" s="191"/>
      <c r="L2558" s="191"/>
      <c r="M2558" s="191"/>
      <c r="N2558" s="191"/>
      <c r="O2558" s="191"/>
      <c r="P2558" s="191"/>
      <c r="Q2558" s="191"/>
      <c r="R2558" s="191"/>
      <c r="S2558" s="191"/>
      <c r="T2558" s="191"/>
      <c r="U2558" s="439"/>
      <c r="V2558" s="441"/>
      <c r="W2558" s="178"/>
      <c r="X2558" s="172"/>
      <c r="Y2558" s="172"/>
      <c r="Z2558" s="172"/>
      <c r="AA2558" s="195"/>
      <c r="AB2558" s="172"/>
    </row>
    <row r="2559" spans="1:28" ht="12.6" customHeight="1" x14ac:dyDescent="0.3">
      <c r="A2559" s="667"/>
      <c r="B2559" s="668" t="s">
        <v>9130</v>
      </c>
      <c r="C2559" s="160" t="s">
        <v>9131</v>
      </c>
      <c r="D2559" s="160"/>
      <c r="E2559" s="439">
        <v>4.01</v>
      </c>
      <c r="F2559" s="161">
        <v>519.03155094700003</v>
      </c>
      <c r="G2559" s="161"/>
      <c r="H2559" s="654"/>
      <c r="I2559" s="654"/>
      <c r="J2559" s="191"/>
      <c r="K2559" s="191">
        <v>416514.380141103</v>
      </c>
      <c r="L2559" s="191"/>
      <c r="M2559" s="191"/>
      <c r="N2559" s="191"/>
      <c r="O2559" s="191"/>
      <c r="P2559" s="191"/>
      <c r="Q2559" s="191"/>
      <c r="R2559" s="191"/>
      <c r="S2559" s="191"/>
      <c r="T2559" s="191"/>
      <c r="U2559" s="439"/>
      <c r="V2559" s="441"/>
      <c r="W2559" s="178"/>
      <c r="X2559" s="172"/>
      <c r="Y2559" s="172"/>
      <c r="Z2559" s="172"/>
      <c r="AA2559" s="195"/>
      <c r="AB2559" s="172"/>
    </row>
    <row r="2560" spans="1:28" ht="12.6" customHeight="1" x14ac:dyDescent="0.3">
      <c r="A2560" s="667"/>
      <c r="B2560" s="668" t="s">
        <v>9132</v>
      </c>
      <c r="C2560" s="160" t="s">
        <v>9133</v>
      </c>
      <c r="D2560" s="160"/>
      <c r="E2560" s="439">
        <v>2.25</v>
      </c>
      <c r="F2560" s="161">
        <v>520.01556653</v>
      </c>
      <c r="G2560" s="161"/>
      <c r="H2560" s="654"/>
      <c r="I2560" s="654"/>
      <c r="J2560" s="191"/>
      <c r="K2560" s="191">
        <v>637323.59906229901</v>
      </c>
      <c r="L2560" s="191"/>
      <c r="M2560" s="191"/>
      <c r="N2560" s="191"/>
      <c r="O2560" s="191"/>
      <c r="P2560" s="191"/>
      <c r="Q2560" s="191"/>
      <c r="R2560" s="191"/>
      <c r="S2560" s="191"/>
      <c r="T2560" s="191"/>
      <c r="U2560" s="439"/>
      <c r="V2560" s="441"/>
      <c r="W2560" s="178"/>
      <c r="X2560" s="172"/>
      <c r="Y2560" s="172"/>
      <c r="Z2560" s="172"/>
      <c r="AA2560" s="195"/>
      <c r="AB2560" s="172"/>
    </row>
    <row r="2561" spans="1:28" ht="12.6" customHeight="1" x14ac:dyDescent="0.3">
      <c r="A2561" s="667"/>
      <c r="B2561" s="668" t="s">
        <v>9134</v>
      </c>
      <c r="C2561" s="160" t="s">
        <v>9135</v>
      </c>
      <c r="D2561" s="160"/>
      <c r="E2561" s="439">
        <v>2.5499999999999998</v>
      </c>
      <c r="F2561" s="161">
        <v>320.02834122600001</v>
      </c>
      <c r="G2561" s="161"/>
      <c r="H2561" s="654"/>
      <c r="I2561" s="654"/>
      <c r="J2561" s="191"/>
      <c r="K2561" s="191">
        <v>3536.06304897564</v>
      </c>
      <c r="L2561" s="191"/>
      <c r="M2561" s="191"/>
      <c r="N2561" s="191"/>
      <c r="O2561" s="191"/>
      <c r="P2561" s="191"/>
      <c r="Q2561" s="191"/>
      <c r="R2561" s="191"/>
      <c r="S2561" s="191"/>
      <c r="T2561" s="191"/>
      <c r="U2561" s="439"/>
      <c r="V2561" s="441"/>
      <c r="W2561" s="178"/>
      <c r="X2561" s="172"/>
      <c r="Y2561" s="172"/>
      <c r="Z2561" s="172"/>
      <c r="AA2561" s="195"/>
      <c r="AB2561" s="172"/>
    </row>
    <row r="2562" spans="1:28" ht="12.6" customHeight="1" x14ac:dyDescent="0.3">
      <c r="A2562" s="667"/>
      <c r="B2562" s="668" t="s">
        <v>9136</v>
      </c>
      <c r="C2562" s="160" t="s">
        <v>9137</v>
      </c>
      <c r="D2562" s="160"/>
      <c r="E2562" s="439">
        <v>3.33</v>
      </c>
      <c r="F2562" s="161">
        <v>584.028022921</v>
      </c>
      <c r="G2562" s="161"/>
      <c r="H2562" s="654"/>
      <c r="I2562" s="654"/>
      <c r="J2562" s="191"/>
      <c r="K2562" s="191">
        <v>55949988.293977603</v>
      </c>
      <c r="L2562" s="191"/>
      <c r="M2562" s="191"/>
      <c r="N2562" s="191"/>
      <c r="O2562" s="191"/>
      <c r="P2562" s="191"/>
      <c r="Q2562" s="191"/>
      <c r="R2562" s="191"/>
      <c r="S2562" s="191"/>
      <c r="T2562" s="191"/>
      <c r="U2562" s="439"/>
      <c r="V2562" s="441"/>
      <c r="W2562" s="178"/>
      <c r="X2562" s="172"/>
      <c r="Y2562" s="172"/>
      <c r="Z2562" s="172"/>
      <c r="AA2562" s="195"/>
      <c r="AB2562" s="172"/>
    </row>
    <row r="2563" spans="1:28" ht="12.6" customHeight="1" x14ac:dyDescent="0.3">
      <c r="A2563" s="667"/>
      <c r="B2563" s="668" t="s">
        <v>9138</v>
      </c>
      <c r="C2563" s="160" t="s">
        <v>9139</v>
      </c>
      <c r="D2563" s="160"/>
      <c r="E2563" s="439">
        <v>2.73</v>
      </c>
      <c r="F2563" s="161">
        <v>519.01515199100004</v>
      </c>
      <c r="G2563" s="161"/>
      <c r="H2563" s="654"/>
      <c r="I2563" s="654"/>
      <c r="J2563" s="191"/>
      <c r="K2563" s="191">
        <v>441306.17055109103</v>
      </c>
      <c r="L2563" s="191"/>
      <c r="M2563" s="191"/>
      <c r="N2563" s="191"/>
      <c r="O2563" s="191"/>
      <c r="P2563" s="191"/>
      <c r="Q2563" s="191"/>
      <c r="R2563" s="191"/>
      <c r="S2563" s="191"/>
      <c r="T2563" s="191"/>
      <c r="U2563" s="439"/>
      <c r="V2563" s="441"/>
      <c r="W2563" s="178"/>
      <c r="X2563" s="172"/>
      <c r="Y2563" s="172"/>
      <c r="Z2563" s="172"/>
      <c r="AA2563" s="195"/>
      <c r="AB2563" s="172"/>
    </row>
    <row r="2564" spans="1:28" ht="12.6" customHeight="1" x14ac:dyDescent="0.3">
      <c r="A2564" s="667"/>
      <c r="B2564" s="668" t="s">
        <v>9140</v>
      </c>
      <c r="C2564" s="160" t="s">
        <v>9141</v>
      </c>
      <c r="D2564" s="160"/>
      <c r="E2564" s="439">
        <v>2.6</v>
      </c>
      <c r="F2564" s="161">
        <v>301.018504818</v>
      </c>
      <c r="G2564" s="161">
        <v>30.725999999999999</v>
      </c>
      <c r="H2564" s="654">
        <v>5.1630011075999898</v>
      </c>
      <c r="I2564" s="654">
        <v>44.421601774496999</v>
      </c>
      <c r="J2564" s="191"/>
      <c r="K2564" s="191">
        <v>82.233731958001798</v>
      </c>
      <c r="L2564" s="191"/>
      <c r="M2564" s="191"/>
      <c r="N2564" s="191"/>
      <c r="O2564" s="191"/>
      <c r="P2564" s="191"/>
      <c r="Q2564" s="191"/>
      <c r="R2564" s="191"/>
      <c r="S2564" s="191"/>
      <c r="T2564" s="191"/>
      <c r="U2564" s="439"/>
      <c r="V2564" s="441"/>
      <c r="W2564" s="178"/>
      <c r="X2564" s="172"/>
      <c r="Y2564" s="172"/>
      <c r="Z2564" s="172"/>
      <c r="AA2564" s="195"/>
      <c r="AB2564" s="172"/>
    </row>
    <row r="2565" spans="1:28" ht="12.6" customHeight="1" x14ac:dyDescent="0.3">
      <c r="A2565" s="667"/>
      <c r="B2565" s="668" t="s">
        <v>9142</v>
      </c>
      <c r="C2565" s="160" t="s">
        <v>9143</v>
      </c>
      <c r="D2565" s="160"/>
      <c r="E2565" s="439">
        <v>2.06</v>
      </c>
      <c r="F2565" s="161">
        <v>300.02325584599998</v>
      </c>
      <c r="G2565" s="161"/>
      <c r="H2565" s="654"/>
      <c r="I2565" s="654"/>
      <c r="J2565" s="191"/>
      <c r="K2565" s="191">
        <v>4125.4373862054499</v>
      </c>
      <c r="L2565" s="191"/>
      <c r="M2565" s="191"/>
      <c r="N2565" s="191"/>
      <c r="O2565" s="191"/>
      <c r="P2565" s="191"/>
      <c r="Q2565" s="191"/>
      <c r="R2565" s="191"/>
      <c r="S2565" s="191"/>
      <c r="T2565" s="191"/>
      <c r="U2565" s="439"/>
      <c r="V2565" s="441"/>
      <c r="W2565" s="178"/>
      <c r="X2565" s="172"/>
      <c r="Y2565" s="172"/>
      <c r="Z2565" s="172"/>
      <c r="AA2565" s="195"/>
      <c r="AB2565" s="172"/>
    </row>
    <row r="2566" spans="1:28" ht="12.6" customHeight="1" x14ac:dyDescent="0.3">
      <c r="A2566" s="667"/>
      <c r="B2566" s="668" t="s">
        <v>9144</v>
      </c>
      <c r="C2566" s="160" t="s">
        <v>9145</v>
      </c>
      <c r="D2566" s="160"/>
      <c r="E2566" s="439">
        <v>1.24</v>
      </c>
      <c r="F2566" s="161">
        <v>300.02325584599998</v>
      </c>
      <c r="G2566" s="161"/>
      <c r="H2566" s="654"/>
      <c r="I2566" s="654"/>
      <c r="J2566" s="191"/>
      <c r="K2566" s="191">
        <v>4152.7902860766799</v>
      </c>
      <c r="L2566" s="191"/>
      <c r="M2566" s="191"/>
      <c r="N2566" s="191"/>
      <c r="O2566" s="191"/>
      <c r="P2566" s="191"/>
      <c r="Q2566" s="191"/>
      <c r="R2566" s="191"/>
      <c r="S2566" s="191"/>
      <c r="T2566" s="191"/>
      <c r="U2566" s="439"/>
      <c r="V2566" s="441"/>
      <c r="W2566" s="178"/>
      <c r="X2566" s="172"/>
      <c r="Y2566" s="172"/>
      <c r="Z2566" s="172"/>
      <c r="AA2566" s="195"/>
      <c r="AB2566" s="172"/>
    </row>
    <row r="2567" spans="1:28" ht="12.6" customHeight="1" x14ac:dyDescent="0.3">
      <c r="A2567" s="667"/>
      <c r="B2567" s="668" t="s">
        <v>9146</v>
      </c>
      <c r="C2567" s="160" t="s">
        <v>9147</v>
      </c>
      <c r="D2567" s="160"/>
      <c r="E2567" s="439">
        <v>2.14</v>
      </c>
      <c r="F2567" s="161">
        <v>228.00212647800001</v>
      </c>
      <c r="G2567" s="161"/>
      <c r="H2567" s="654"/>
      <c r="I2567" s="654"/>
      <c r="J2567" s="191"/>
      <c r="K2567" s="191">
        <v>251.32170652447499</v>
      </c>
      <c r="L2567" s="191"/>
      <c r="M2567" s="191"/>
      <c r="N2567" s="191"/>
      <c r="O2567" s="191"/>
      <c r="P2567" s="191"/>
      <c r="Q2567" s="191"/>
      <c r="R2567" s="191"/>
      <c r="S2567" s="191"/>
      <c r="T2567" s="191"/>
      <c r="U2567" s="439"/>
      <c r="V2567" s="441"/>
      <c r="W2567" s="178"/>
      <c r="X2567" s="172"/>
      <c r="Y2567" s="172"/>
      <c r="Z2567" s="172"/>
      <c r="AA2567" s="195"/>
      <c r="AB2567" s="172"/>
    </row>
    <row r="2568" spans="1:28" ht="12.6" customHeight="1" x14ac:dyDescent="0.3">
      <c r="A2568" s="667"/>
      <c r="B2568" s="668" t="s">
        <v>9148</v>
      </c>
      <c r="C2568" s="160" t="s">
        <v>9149</v>
      </c>
      <c r="D2568" s="160"/>
      <c r="E2568" s="439">
        <v>2.54</v>
      </c>
      <c r="F2568" s="161">
        <v>427.98935178200003</v>
      </c>
      <c r="G2568" s="161">
        <v>17.033000000000001</v>
      </c>
      <c r="H2568" s="654">
        <v>6.3081437622000003</v>
      </c>
      <c r="I2568" s="654">
        <v>1.42702777607265</v>
      </c>
      <c r="J2568" s="191"/>
      <c r="K2568" s="191">
        <v>14570.3505283828</v>
      </c>
      <c r="L2568" s="191"/>
      <c r="M2568" s="191"/>
      <c r="N2568" s="191"/>
      <c r="O2568" s="191"/>
      <c r="P2568" s="191"/>
      <c r="Q2568" s="191"/>
      <c r="R2568" s="191"/>
      <c r="S2568" s="191"/>
      <c r="T2568" s="191"/>
      <c r="U2568" s="439"/>
      <c r="V2568" s="441"/>
      <c r="W2568" s="178"/>
      <c r="X2568" s="172"/>
      <c r="Y2568" s="172"/>
      <c r="Z2568" s="172"/>
      <c r="AA2568" s="195"/>
      <c r="AB2568" s="172"/>
    </row>
    <row r="2569" spans="1:28" ht="12.6" customHeight="1" x14ac:dyDescent="0.3">
      <c r="A2569" s="667"/>
      <c r="B2569" s="668" t="s">
        <v>9150</v>
      </c>
      <c r="C2569" s="160" t="s">
        <v>9151</v>
      </c>
      <c r="D2569" s="160"/>
      <c r="E2569" s="439">
        <v>2.27</v>
      </c>
      <c r="F2569" s="161">
        <v>327.99573913</v>
      </c>
      <c r="G2569" s="161"/>
      <c r="H2569" s="654"/>
      <c r="I2569" s="654"/>
      <c r="J2569" s="191"/>
      <c r="K2569" s="191">
        <v>1541.6294566547001</v>
      </c>
      <c r="L2569" s="191"/>
      <c r="M2569" s="191"/>
      <c r="N2569" s="191"/>
      <c r="O2569" s="191"/>
      <c r="P2569" s="191"/>
      <c r="Q2569" s="191"/>
      <c r="R2569" s="191"/>
      <c r="S2569" s="191"/>
      <c r="T2569" s="191"/>
      <c r="U2569" s="439"/>
      <c r="V2569" s="441"/>
      <c r="W2569" s="178"/>
      <c r="X2569" s="172"/>
      <c r="Y2569" s="172"/>
      <c r="Z2569" s="172"/>
      <c r="AA2569" s="195"/>
      <c r="AB2569" s="172"/>
    </row>
    <row r="2570" spans="1:28" ht="12.6" customHeight="1" x14ac:dyDescent="0.3">
      <c r="A2570" s="667"/>
      <c r="B2570" s="668" t="s">
        <v>9152</v>
      </c>
      <c r="C2570" s="160" t="s">
        <v>9153</v>
      </c>
      <c r="D2570" s="160"/>
      <c r="E2570" s="439">
        <v>1.22</v>
      </c>
      <c r="F2570" s="161">
        <v>228.00212647800001</v>
      </c>
      <c r="G2570" s="161">
        <v>-13.364000000000001</v>
      </c>
      <c r="H2570" s="654">
        <v>310.38561498000001</v>
      </c>
      <c r="I2570" s="654">
        <v>111.157420717566</v>
      </c>
      <c r="J2570" s="191"/>
      <c r="K2570" s="191">
        <v>113.80202762310201</v>
      </c>
      <c r="L2570" s="191"/>
      <c r="M2570" s="191"/>
      <c r="N2570" s="191"/>
      <c r="O2570" s="191"/>
      <c r="P2570" s="191"/>
      <c r="Q2570" s="191"/>
      <c r="R2570" s="191"/>
      <c r="S2570" s="191"/>
      <c r="T2570" s="191"/>
      <c r="U2570" s="439"/>
      <c r="V2570" s="441"/>
      <c r="W2570" s="178"/>
      <c r="X2570" s="172"/>
      <c r="Y2570" s="172"/>
      <c r="Z2570" s="172"/>
      <c r="AA2570" s="195"/>
      <c r="AB2570" s="172"/>
    </row>
    <row r="2571" spans="1:28" ht="12.6" customHeight="1" x14ac:dyDescent="0.3">
      <c r="A2571" s="667"/>
      <c r="B2571" s="668" t="s">
        <v>9154</v>
      </c>
      <c r="C2571" s="160" t="s">
        <v>9155</v>
      </c>
      <c r="D2571" s="160"/>
      <c r="E2571" s="439">
        <v>3.66</v>
      </c>
      <c r="F2571" s="161">
        <v>392.00819552000002</v>
      </c>
      <c r="G2571" s="161">
        <v>-21.867000000000001</v>
      </c>
      <c r="H2571" s="654">
        <v>62.215911198000001</v>
      </c>
      <c r="I2571" s="654">
        <v>4.1332952127433202</v>
      </c>
      <c r="J2571" s="191"/>
      <c r="K2571" s="191">
        <v>807179.27035432297</v>
      </c>
      <c r="L2571" s="191"/>
      <c r="M2571" s="191"/>
      <c r="N2571" s="191"/>
      <c r="O2571" s="191"/>
      <c r="P2571" s="191"/>
      <c r="Q2571" s="191"/>
      <c r="R2571" s="191"/>
      <c r="S2571" s="191"/>
      <c r="T2571" s="191"/>
      <c r="U2571" s="439"/>
      <c r="V2571" s="441"/>
      <c r="W2571" s="178"/>
      <c r="X2571" s="172"/>
      <c r="Y2571" s="172"/>
      <c r="Z2571" s="172"/>
      <c r="AA2571" s="195"/>
      <c r="AB2571" s="172"/>
    </row>
    <row r="2572" spans="1:28" ht="12.6" customHeight="1" x14ac:dyDescent="0.3">
      <c r="A2572" s="667"/>
      <c r="B2572" s="668" t="s">
        <v>9156</v>
      </c>
      <c r="C2572" s="160" t="s">
        <v>9157</v>
      </c>
      <c r="D2572" s="160"/>
      <c r="E2572" s="439">
        <v>2.67</v>
      </c>
      <c r="F2572" s="161">
        <v>242.01777654200001</v>
      </c>
      <c r="G2572" s="161">
        <v>-27.706</v>
      </c>
      <c r="H2572" s="654">
        <v>886.95526905999998</v>
      </c>
      <c r="I2572" s="654">
        <v>66.810943356631398</v>
      </c>
      <c r="J2572" s="191"/>
      <c r="K2572" s="191">
        <v>7829.4273751335204</v>
      </c>
      <c r="L2572" s="191"/>
      <c r="M2572" s="191"/>
      <c r="N2572" s="191"/>
      <c r="O2572" s="191"/>
      <c r="P2572" s="191"/>
      <c r="Q2572" s="191"/>
      <c r="R2572" s="191"/>
      <c r="S2572" s="191"/>
      <c r="T2572" s="191"/>
      <c r="U2572" s="439"/>
      <c r="V2572" s="441"/>
      <c r="W2572" s="178"/>
      <c r="X2572" s="172"/>
      <c r="Y2572" s="172"/>
      <c r="Z2572" s="172"/>
      <c r="AA2572" s="195"/>
      <c r="AB2572" s="172"/>
    </row>
    <row r="2573" spans="1:28" ht="12.6" customHeight="1" x14ac:dyDescent="0.3">
      <c r="A2573" s="667"/>
      <c r="B2573" s="668" t="s">
        <v>9158</v>
      </c>
      <c r="C2573" s="160" t="s">
        <v>9159</v>
      </c>
      <c r="D2573" s="160"/>
      <c r="E2573" s="439">
        <v>3.49</v>
      </c>
      <c r="F2573" s="161">
        <v>492.00180817199998</v>
      </c>
      <c r="G2573" s="161">
        <v>17.289000000000001</v>
      </c>
      <c r="H2573" s="654">
        <v>2.6478949098000002</v>
      </c>
      <c r="I2573" s="654">
        <v>0.164046194891557</v>
      </c>
      <c r="J2573" s="191"/>
      <c r="K2573" s="191">
        <v>107238.319583031</v>
      </c>
      <c r="L2573" s="191"/>
      <c r="M2573" s="191"/>
      <c r="N2573" s="191"/>
      <c r="O2573" s="191"/>
      <c r="P2573" s="191"/>
      <c r="Q2573" s="191"/>
      <c r="R2573" s="191"/>
      <c r="S2573" s="191"/>
      <c r="T2573" s="191"/>
      <c r="U2573" s="439"/>
      <c r="V2573" s="441"/>
      <c r="W2573" s="178"/>
      <c r="X2573" s="172"/>
      <c r="Y2573" s="172"/>
      <c r="Z2573" s="172"/>
      <c r="AA2573" s="195"/>
      <c r="AB2573" s="172"/>
    </row>
    <row r="2574" spans="1:28" ht="12.6" customHeight="1" x14ac:dyDescent="0.3">
      <c r="A2574" s="667"/>
      <c r="B2574" s="668" t="s">
        <v>9160</v>
      </c>
      <c r="C2574" s="160" t="s">
        <v>9161</v>
      </c>
      <c r="D2574" s="160"/>
      <c r="E2574" s="439">
        <v>3.36</v>
      </c>
      <c r="F2574" s="161">
        <v>442.00500184600003</v>
      </c>
      <c r="G2574" s="161">
        <v>14.558999999999999</v>
      </c>
      <c r="H2574" s="654">
        <v>3.81858205959999</v>
      </c>
      <c r="I2574" s="654">
        <v>1.0361613854774401</v>
      </c>
      <c r="J2574" s="191"/>
      <c r="K2574" s="191">
        <v>27425.212416445502</v>
      </c>
      <c r="L2574" s="191"/>
      <c r="M2574" s="191"/>
      <c r="N2574" s="191"/>
      <c r="O2574" s="191"/>
      <c r="P2574" s="191"/>
      <c r="Q2574" s="191"/>
      <c r="R2574" s="191"/>
      <c r="S2574" s="191"/>
      <c r="T2574" s="191"/>
      <c r="U2574" s="439"/>
      <c r="V2574" s="441"/>
      <c r="W2574" s="178"/>
      <c r="X2574" s="172"/>
      <c r="Y2574" s="172"/>
      <c r="Z2574" s="172"/>
      <c r="AA2574" s="195"/>
      <c r="AB2574" s="172"/>
    </row>
    <row r="2575" spans="1:28" ht="12.6" customHeight="1" x14ac:dyDescent="0.3">
      <c r="A2575" s="667"/>
      <c r="B2575" s="668" t="s">
        <v>9162</v>
      </c>
      <c r="C2575" s="160" t="s">
        <v>9163</v>
      </c>
      <c r="D2575" s="160"/>
      <c r="E2575" s="439">
        <v>3.06</v>
      </c>
      <c r="F2575" s="161">
        <v>242.01777654200001</v>
      </c>
      <c r="G2575" s="161">
        <v>-11.827</v>
      </c>
      <c r="H2575" s="654">
        <v>63.958963025999999</v>
      </c>
      <c r="I2575" s="654">
        <v>82.9559492297482</v>
      </c>
      <c r="J2575" s="191"/>
      <c r="K2575" s="191">
        <v>8631.7727879981394</v>
      </c>
      <c r="L2575" s="191"/>
      <c r="M2575" s="191"/>
      <c r="N2575" s="191"/>
      <c r="O2575" s="191"/>
      <c r="P2575" s="191"/>
      <c r="Q2575" s="191"/>
      <c r="R2575" s="191"/>
      <c r="S2575" s="191"/>
      <c r="T2575" s="191"/>
      <c r="U2575" s="439"/>
      <c r="V2575" s="441"/>
      <c r="W2575" s="178"/>
      <c r="X2575" s="172"/>
      <c r="Y2575" s="172"/>
      <c r="Z2575" s="172"/>
      <c r="AA2575" s="195"/>
      <c r="AB2575" s="172"/>
    </row>
    <row r="2576" spans="1:28" ht="12.6" customHeight="1" x14ac:dyDescent="0.3">
      <c r="A2576" s="667"/>
      <c r="B2576" s="668" t="s">
        <v>9164</v>
      </c>
      <c r="C2576" s="160" t="s">
        <v>9165</v>
      </c>
      <c r="D2576" s="160"/>
      <c r="E2576" s="439">
        <v>3.41</v>
      </c>
      <c r="F2576" s="161">
        <v>306.03023293199999</v>
      </c>
      <c r="G2576" s="161"/>
      <c r="H2576" s="654"/>
      <c r="I2576" s="654"/>
      <c r="J2576" s="191"/>
      <c r="K2576" s="191">
        <v>15661.739639961899</v>
      </c>
      <c r="L2576" s="191"/>
      <c r="M2576" s="191"/>
      <c r="N2576" s="191"/>
      <c r="O2576" s="191"/>
      <c r="P2576" s="191"/>
      <c r="Q2576" s="191"/>
      <c r="R2576" s="191"/>
      <c r="S2576" s="191"/>
      <c r="T2576" s="191"/>
      <c r="U2576" s="439"/>
      <c r="V2576" s="441"/>
      <c r="W2576" s="178"/>
      <c r="X2576" s="172"/>
      <c r="Y2576" s="172"/>
      <c r="Z2576" s="172"/>
      <c r="AA2576" s="195"/>
      <c r="AB2576" s="172"/>
    </row>
    <row r="2577" spans="1:28" ht="12.6" customHeight="1" x14ac:dyDescent="0.3">
      <c r="A2577" s="667"/>
      <c r="B2577" s="668" t="s">
        <v>9166</v>
      </c>
      <c r="C2577" s="160" t="s">
        <v>9167</v>
      </c>
      <c r="D2577" s="160"/>
      <c r="E2577" s="439">
        <v>4.5599999999999996</v>
      </c>
      <c r="F2577" s="161">
        <v>452.01156682300001</v>
      </c>
      <c r="G2577" s="161">
        <v>-0.78600000000000003</v>
      </c>
      <c r="H2577" s="654">
        <v>1.5664001780000001</v>
      </c>
      <c r="I2577" s="654">
        <v>0.84556899782444905</v>
      </c>
      <c r="J2577" s="191"/>
      <c r="K2577" s="191">
        <v>777409.78025503305</v>
      </c>
      <c r="L2577" s="191"/>
      <c r="M2577" s="191"/>
      <c r="N2577" s="191"/>
      <c r="O2577" s="191"/>
      <c r="P2577" s="191"/>
      <c r="Q2577" s="191"/>
      <c r="R2577" s="191"/>
      <c r="S2577" s="191"/>
      <c r="T2577" s="191"/>
      <c r="U2577" s="439"/>
      <c r="V2577" s="441"/>
      <c r="W2577" s="178"/>
      <c r="X2577" s="172"/>
      <c r="Y2577" s="172"/>
      <c r="Z2577" s="172"/>
      <c r="AA2577" s="195"/>
      <c r="AB2577" s="172"/>
    </row>
    <row r="2578" spans="1:28" ht="12.6" customHeight="1" x14ac:dyDescent="0.3">
      <c r="A2578" s="667"/>
      <c r="B2578" s="668" t="s">
        <v>9168</v>
      </c>
      <c r="C2578" s="160" t="s">
        <v>9169</v>
      </c>
      <c r="D2578" s="160"/>
      <c r="E2578" s="439">
        <v>2.98</v>
      </c>
      <c r="F2578" s="161">
        <v>331.99532701999999</v>
      </c>
      <c r="G2578" s="161"/>
      <c r="H2578" s="654"/>
      <c r="I2578" s="654"/>
      <c r="J2578" s="191"/>
      <c r="K2578" s="191"/>
      <c r="L2578" s="191"/>
      <c r="M2578" s="191"/>
      <c r="N2578" s="191"/>
      <c r="O2578" s="191"/>
      <c r="P2578" s="191"/>
      <c r="Q2578" s="191"/>
      <c r="R2578" s="191"/>
      <c r="S2578" s="191"/>
      <c r="T2578" s="191"/>
      <c r="U2578" s="439"/>
      <c r="V2578" s="441"/>
      <c r="W2578" s="178"/>
      <c r="X2578" s="172"/>
      <c r="Y2578" s="172"/>
      <c r="Z2578" s="172"/>
      <c r="AA2578" s="195"/>
      <c r="AB2578" s="172"/>
    </row>
    <row r="2579" spans="1:28" ht="12.6" customHeight="1" x14ac:dyDescent="0.3">
      <c r="A2579" s="667"/>
      <c r="B2579" s="668" t="s">
        <v>9170</v>
      </c>
      <c r="C2579" s="160" t="s">
        <v>9171</v>
      </c>
      <c r="D2579" s="160"/>
      <c r="E2579" s="439">
        <v>8.11</v>
      </c>
      <c r="F2579" s="161">
        <v>399.994437162</v>
      </c>
      <c r="G2579" s="161"/>
      <c r="H2579" s="654"/>
      <c r="I2579" s="654"/>
      <c r="J2579" s="191"/>
      <c r="K2579" s="191">
        <v>7906.6042216120604</v>
      </c>
      <c r="L2579" s="191"/>
      <c r="M2579" s="191"/>
      <c r="N2579" s="191"/>
      <c r="O2579" s="191"/>
      <c r="P2579" s="191"/>
      <c r="Q2579" s="191"/>
      <c r="R2579" s="191"/>
      <c r="S2579" s="191"/>
      <c r="T2579" s="191"/>
      <c r="U2579" s="439"/>
      <c r="V2579" s="441"/>
      <c r="W2579" s="178"/>
      <c r="X2579" s="172"/>
      <c r="Y2579" s="172"/>
      <c r="Z2579" s="172"/>
      <c r="AA2579" s="195"/>
      <c r="AB2579" s="172"/>
    </row>
    <row r="2580" spans="1:28" ht="12.6" customHeight="1" x14ac:dyDescent="0.3">
      <c r="A2580" s="667"/>
      <c r="B2580" s="668" t="s">
        <v>9172</v>
      </c>
      <c r="C2580" s="160" t="s">
        <v>9173</v>
      </c>
      <c r="D2580" s="160"/>
      <c r="E2580" s="439">
        <v>11.03</v>
      </c>
      <c r="F2580" s="161">
        <v>365.99140263999999</v>
      </c>
      <c r="G2580" s="161"/>
      <c r="H2580" s="654"/>
      <c r="I2580" s="654"/>
      <c r="J2580" s="191"/>
      <c r="K2580" s="191">
        <v>76146.509431858096</v>
      </c>
      <c r="L2580" s="191"/>
      <c r="M2580" s="191"/>
      <c r="N2580" s="191"/>
      <c r="O2580" s="191"/>
      <c r="P2580" s="191"/>
      <c r="Q2580" s="191"/>
      <c r="R2580" s="191"/>
      <c r="S2580" s="191"/>
      <c r="T2580" s="191"/>
      <c r="U2580" s="439"/>
      <c r="V2580" s="441"/>
      <c r="W2580" s="178"/>
      <c r="X2580" s="172"/>
      <c r="Y2580" s="172"/>
      <c r="Z2580" s="172"/>
      <c r="AA2580" s="195"/>
      <c r="AB2580" s="172"/>
    </row>
    <row r="2581" spans="1:28" ht="12.6" customHeight="1" x14ac:dyDescent="0.3">
      <c r="A2581" s="667"/>
      <c r="B2581" s="668" t="s">
        <v>9174</v>
      </c>
      <c r="C2581" s="160" t="s">
        <v>9175</v>
      </c>
      <c r="D2581" s="160"/>
      <c r="E2581" s="439">
        <v>22</v>
      </c>
      <c r="F2581" s="161">
        <v>403.945831</v>
      </c>
      <c r="G2581" s="161"/>
      <c r="H2581" s="654"/>
      <c r="I2581" s="654"/>
      <c r="J2581" s="191"/>
      <c r="K2581" s="191">
        <v>299329.83066983899</v>
      </c>
      <c r="L2581" s="191"/>
      <c r="M2581" s="191"/>
      <c r="N2581" s="191"/>
      <c r="O2581" s="191"/>
      <c r="P2581" s="191"/>
      <c r="Q2581" s="191"/>
      <c r="R2581" s="191"/>
      <c r="S2581" s="191"/>
      <c r="T2581" s="191"/>
      <c r="U2581" s="439"/>
      <c r="V2581" s="441"/>
      <c r="W2581" s="178"/>
      <c r="X2581" s="172"/>
      <c r="Y2581" s="172"/>
      <c r="Z2581" s="172"/>
      <c r="AA2581" s="195"/>
      <c r="AB2581" s="172"/>
    </row>
    <row r="2582" spans="1:28" ht="12.6" customHeight="1" x14ac:dyDescent="0.3">
      <c r="A2582" s="667"/>
      <c r="B2582" s="668" t="s">
        <v>9176</v>
      </c>
      <c r="C2582" s="160" t="s">
        <v>9177</v>
      </c>
      <c r="D2582" s="160"/>
      <c r="E2582" s="439">
        <v>10.92</v>
      </c>
      <c r="F2582" s="161">
        <v>706.11644400299997</v>
      </c>
      <c r="G2582" s="161">
        <v>42.116999999999997</v>
      </c>
      <c r="H2582" s="654">
        <v>6.9646879512000001E-4</v>
      </c>
      <c r="I2582" s="654">
        <v>7.4452211739232303E-4</v>
      </c>
      <c r="J2582" s="191"/>
      <c r="K2582" s="191">
        <v>10982469352.4002</v>
      </c>
      <c r="L2582" s="191"/>
      <c r="M2582" s="191"/>
      <c r="N2582" s="191"/>
      <c r="O2582" s="191"/>
      <c r="P2582" s="191"/>
      <c r="Q2582" s="191"/>
      <c r="R2582" s="191"/>
      <c r="S2582" s="191"/>
      <c r="T2582" s="191"/>
      <c r="U2582" s="439"/>
      <c r="V2582" s="441"/>
      <c r="W2582" s="178"/>
      <c r="X2582" s="172"/>
      <c r="Y2582" s="172"/>
      <c r="Z2582" s="172"/>
      <c r="AA2582" s="195"/>
      <c r="AB2582" s="172"/>
    </row>
    <row r="2583" spans="1:28" ht="12.6" customHeight="1" x14ac:dyDescent="0.3">
      <c r="A2583" s="667"/>
      <c r="B2583" s="668" t="s">
        <v>9178</v>
      </c>
      <c r="C2583" s="160" t="s">
        <v>9179</v>
      </c>
      <c r="D2583" s="160"/>
      <c r="E2583" s="439">
        <v>9.83</v>
      </c>
      <c r="F2583" s="161">
        <v>526.02254361600001</v>
      </c>
      <c r="G2583" s="161"/>
      <c r="H2583" s="654"/>
      <c r="I2583" s="654"/>
      <c r="J2583" s="191"/>
      <c r="K2583" s="191">
        <v>1696875581.1219499</v>
      </c>
      <c r="L2583" s="191"/>
      <c r="M2583" s="191"/>
      <c r="N2583" s="191"/>
      <c r="O2583" s="191"/>
      <c r="P2583" s="191"/>
      <c r="Q2583" s="191"/>
      <c r="R2583" s="191"/>
      <c r="S2583" s="191"/>
      <c r="T2583" s="191"/>
      <c r="U2583" s="439"/>
      <c r="V2583" s="441"/>
      <c r="W2583" s="178"/>
      <c r="X2583" s="172"/>
      <c r="Y2583" s="172"/>
      <c r="Z2583" s="172"/>
      <c r="AA2583" s="195"/>
      <c r="AB2583" s="172"/>
    </row>
    <row r="2584" spans="1:28" ht="12.6" customHeight="1" x14ac:dyDescent="0.3">
      <c r="A2584" s="667"/>
      <c r="B2584" s="668" t="s">
        <v>9180</v>
      </c>
      <c r="C2584" s="160" t="s">
        <v>9181</v>
      </c>
      <c r="D2584" s="160"/>
      <c r="E2584" s="439">
        <v>18</v>
      </c>
      <c r="F2584" s="161">
        <v>276.038511986</v>
      </c>
      <c r="G2584" s="161"/>
      <c r="H2584" s="654"/>
      <c r="I2584" s="654"/>
      <c r="J2584" s="191"/>
      <c r="K2584" s="191">
        <v>35906.245835683898</v>
      </c>
      <c r="L2584" s="191"/>
      <c r="M2584" s="191"/>
      <c r="N2584" s="191"/>
      <c r="O2584" s="191"/>
      <c r="P2584" s="191"/>
      <c r="Q2584" s="191"/>
      <c r="R2584" s="191"/>
      <c r="S2584" s="191"/>
      <c r="T2584" s="191"/>
      <c r="U2584" s="439"/>
      <c r="V2584" s="441"/>
      <c r="W2584" s="178"/>
      <c r="X2584" s="172"/>
      <c r="Y2584" s="172"/>
      <c r="Z2584" s="172"/>
      <c r="AA2584" s="195"/>
      <c r="AB2584" s="172"/>
    </row>
    <row r="2585" spans="1:28" ht="12.6" customHeight="1" x14ac:dyDescent="0.3">
      <c r="A2585" s="667"/>
      <c r="B2585" s="668" t="s">
        <v>9182</v>
      </c>
      <c r="C2585" s="160" t="s">
        <v>9183</v>
      </c>
      <c r="D2585" s="160"/>
      <c r="E2585" s="439">
        <v>17</v>
      </c>
      <c r="F2585" s="161">
        <v>265.03376095800002</v>
      </c>
      <c r="G2585" s="161"/>
      <c r="H2585" s="654"/>
      <c r="I2585" s="654"/>
      <c r="J2585" s="191"/>
      <c r="K2585" s="191">
        <v>97.512434681888493</v>
      </c>
      <c r="L2585" s="191"/>
      <c r="M2585" s="191"/>
      <c r="N2585" s="191"/>
      <c r="O2585" s="191"/>
      <c r="P2585" s="191"/>
      <c r="Q2585" s="191"/>
      <c r="R2585" s="191"/>
      <c r="S2585" s="191"/>
      <c r="T2585" s="191"/>
      <c r="U2585" s="439"/>
      <c r="V2585" s="441"/>
      <c r="W2585" s="178"/>
      <c r="X2585" s="172"/>
      <c r="Y2585" s="172"/>
      <c r="Z2585" s="172"/>
      <c r="AA2585" s="195"/>
      <c r="AB2585" s="172"/>
    </row>
    <row r="2586" spans="1:28" ht="12.6" customHeight="1" x14ac:dyDescent="0.3">
      <c r="A2586" s="667"/>
      <c r="B2586" s="668" t="s">
        <v>9184</v>
      </c>
      <c r="C2586" s="160" t="s">
        <v>9185</v>
      </c>
      <c r="D2586" s="160"/>
      <c r="E2586" s="439">
        <v>2.83</v>
      </c>
      <c r="F2586" s="161">
        <v>577.97977075999995</v>
      </c>
      <c r="G2586" s="161"/>
      <c r="H2586" s="654"/>
      <c r="I2586" s="654"/>
      <c r="J2586" s="191"/>
      <c r="K2586" s="191">
        <v>182818.440520737</v>
      </c>
      <c r="L2586" s="191"/>
      <c r="M2586" s="191"/>
      <c r="N2586" s="191"/>
      <c r="O2586" s="191"/>
      <c r="P2586" s="191"/>
      <c r="Q2586" s="191"/>
      <c r="R2586" s="191"/>
      <c r="S2586" s="191"/>
      <c r="T2586" s="191"/>
      <c r="U2586" s="439"/>
      <c r="V2586" s="441"/>
      <c r="W2586" s="178"/>
      <c r="X2586" s="172"/>
      <c r="Y2586" s="172"/>
      <c r="Z2586" s="172"/>
      <c r="AA2586" s="195"/>
      <c r="AB2586" s="172"/>
    </row>
    <row r="2587" spans="1:28" ht="12.6" customHeight="1" x14ac:dyDescent="0.3">
      <c r="A2587" s="667"/>
      <c r="B2587" s="668" t="s">
        <v>9186</v>
      </c>
      <c r="C2587" s="160" t="s">
        <v>9187</v>
      </c>
      <c r="D2587" s="160"/>
      <c r="E2587" s="439">
        <v>11.86</v>
      </c>
      <c r="F2587" s="161">
        <v>359.99634600000002</v>
      </c>
      <c r="G2587" s="161"/>
      <c r="H2587" s="654"/>
      <c r="I2587" s="654"/>
      <c r="J2587" s="191"/>
      <c r="K2587" s="191">
        <v>256342.13670642799</v>
      </c>
      <c r="L2587" s="191"/>
      <c r="M2587" s="191"/>
      <c r="N2587" s="191"/>
      <c r="O2587" s="191"/>
      <c r="P2587" s="191"/>
      <c r="Q2587" s="191"/>
      <c r="R2587" s="191"/>
      <c r="S2587" s="191"/>
      <c r="T2587" s="191"/>
      <c r="U2587" s="439"/>
      <c r="V2587" s="441"/>
      <c r="W2587" s="178"/>
      <c r="X2587" s="172"/>
      <c r="Y2587" s="172"/>
      <c r="Z2587" s="172"/>
      <c r="AA2587" s="195"/>
      <c r="AB2587" s="172"/>
    </row>
    <row r="2588" spans="1:28" ht="12.6" customHeight="1" x14ac:dyDescent="0.3">
      <c r="A2588" s="667"/>
      <c r="B2588" s="668" t="s">
        <v>9188</v>
      </c>
      <c r="C2588" s="160" t="s">
        <v>9189</v>
      </c>
      <c r="D2588" s="160"/>
      <c r="E2588" s="439">
        <v>8.51</v>
      </c>
      <c r="F2588" s="161">
        <v>489.90992999999997</v>
      </c>
      <c r="G2588" s="161">
        <v>24.466999999999999</v>
      </c>
      <c r="H2588" s="654">
        <v>15.520413985999999</v>
      </c>
      <c r="I2588" s="654">
        <v>0.88128427577909996</v>
      </c>
      <c r="J2588" s="191"/>
      <c r="K2588" s="191">
        <v>50338.468683481398</v>
      </c>
      <c r="L2588" s="191"/>
      <c r="M2588" s="191"/>
      <c r="N2588" s="191"/>
      <c r="O2588" s="191"/>
      <c r="P2588" s="191"/>
      <c r="Q2588" s="191"/>
      <c r="R2588" s="191"/>
      <c r="S2588" s="191"/>
      <c r="T2588" s="191"/>
      <c r="U2588" s="439"/>
      <c r="V2588" s="441"/>
      <c r="W2588" s="178"/>
      <c r="X2588" s="172"/>
      <c r="Y2588" s="172"/>
      <c r="Z2588" s="172"/>
      <c r="AA2588" s="195"/>
      <c r="AB2588" s="172"/>
    </row>
    <row r="2589" spans="1:28" ht="12.6" customHeight="1" x14ac:dyDescent="0.3">
      <c r="A2589" s="667"/>
      <c r="B2589" s="668" t="s">
        <v>9190</v>
      </c>
      <c r="C2589" s="160" t="s">
        <v>9191</v>
      </c>
      <c r="D2589" s="160"/>
      <c r="E2589" s="439">
        <v>7.14</v>
      </c>
      <c r="F2589" s="161">
        <v>519.04909271700001</v>
      </c>
      <c r="G2589" s="161"/>
      <c r="H2589" s="654"/>
      <c r="I2589" s="654"/>
      <c r="J2589" s="191"/>
      <c r="K2589" s="191">
        <v>83155.3125025849</v>
      </c>
      <c r="L2589" s="191"/>
      <c r="M2589" s="191"/>
      <c r="N2589" s="191"/>
      <c r="O2589" s="191"/>
      <c r="P2589" s="191"/>
      <c r="Q2589" s="191"/>
      <c r="R2589" s="191"/>
      <c r="S2589" s="191"/>
      <c r="T2589" s="191"/>
      <c r="U2589" s="439"/>
      <c r="V2589" s="441"/>
      <c r="W2589" s="178"/>
      <c r="X2589" s="172"/>
      <c r="Y2589" s="172"/>
      <c r="Z2589" s="172"/>
      <c r="AA2589" s="195"/>
      <c r="AB2589" s="172"/>
    </row>
    <row r="2590" spans="1:28" ht="12.6" customHeight="1" x14ac:dyDescent="0.3">
      <c r="A2590" s="667"/>
      <c r="B2590" s="668" t="s">
        <v>9192</v>
      </c>
      <c r="C2590" s="160" t="s">
        <v>9193</v>
      </c>
      <c r="D2590" s="160"/>
      <c r="E2590" s="439">
        <v>12</v>
      </c>
      <c r="F2590" s="161">
        <v>398.03760394300002</v>
      </c>
      <c r="G2590" s="161"/>
      <c r="H2590" s="654"/>
      <c r="I2590" s="654"/>
      <c r="J2590" s="191"/>
      <c r="K2590" s="191">
        <v>4450.9221683503201</v>
      </c>
      <c r="L2590" s="191"/>
      <c r="M2590" s="191"/>
      <c r="N2590" s="191"/>
      <c r="O2590" s="191"/>
      <c r="P2590" s="191"/>
      <c r="Q2590" s="191"/>
      <c r="R2590" s="191"/>
      <c r="S2590" s="191"/>
      <c r="T2590" s="191"/>
      <c r="U2590" s="439"/>
      <c r="V2590" s="441"/>
      <c r="W2590" s="178"/>
      <c r="X2590" s="172"/>
      <c r="Y2590" s="172"/>
      <c r="Z2590" s="172"/>
      <c r="AA2590" s="195"/>
      <c r="AB2590" s="172"/>
    </row>
    <row r="2591" spans="1:28" ht="12.6" customHeight="1" x14ac:dyDescent="0.3">
      <c r="A2591" s="667"/>
      <c r="B2591" s="668" t="s">
        <v>9194</v>
      </c>
      <c r="C2591" s="160" t="s">
        <v>9195</v>
      </c>
      <c r="D2591" s="160"/>
      <c r="E2591" s="439">
        <v>18</v>
      </c>
      <c r="F2591" s="161">
        <v>548.028022921</v>
      </c>
      <c r="G2591" s="161"/>
      <c r="H2591" s="654"/>
      <c r="I2591" s="654"/>
      <c r="J2591" s="191"/>
      <c r="K2591" s="191"/>
      <c r="L2591" s="191"/>
      <c r="M2591" s="191"/>
      <c r="N2591" s="191"/>
      <c r="O2591" s="191"/>
      <c r="P2591" s="191"/>
      <c r="Q2591" s="191"/>
      <c r="R2591" s="191"/>
      <c r="S2591" s="191"/>
      <c r="T2591" s="191"/>
      <c r="U2591" s="439"/>
      <c r="V2591" s="441"/>
      <c r="W2591" s="178"/>
      <c r="X2591" s="172"/>
      <c r="Y2591" s="172"/>
      <c r="Z2591" s="172"/>
      <c r="AA2591" s="195"/>
      <c r="AB2591" s="172"/>
    </row>
    <row r="2592" spans="1:28" ht="12.6" customHeight="1" x14ac:dyDescent="0.3">
      <c r="A2592" s="667" t="s">
        <v>4414</v>
      </c>
      <c r="B2592" s="668" t="s">
        <v>9196</v>
      </c>
      <c r="C2592" s="160" t="s">
        <v>9197</v>
      </c>
      <c r="D2592" s="160"/>
      <c r="E2592" s="439"/>
      <c r="F2592" s="161"/>
      <c r="G2592" s="161"/>
      <c r="H2592" s="654"/>
      <c r="I2592" s="654"/>
      <c r="J2592" s="191"/>
      <c r="K2592" s="191"/>
      <c r="L2592" s="191"/>
      <c r="M2592" s="191"/>
      <c r="N2592" s="191"/>
      <c r="O2592" s="191"/>
      <c r="P2592" s="191"/>
      <c r="Q2592" s="191"/>
      <c r="R2592" s="191"/>
      <c r="S2592" s="191"/>
      <c r="T2592" s="191"/>
      <c r="U2592" s="439"/>
      <c r="V2592" s="441"/>
      <c r="W2592" s="178"/>
      <c r="X2592" s="172"/>
      <c r="Y2592" s="172"/>
      <c r="Z2592" s="172"/>
      <c r="AA2592" s="195"/>
      <c r="AB2592" s="172"/>
    </row>
    <row r="2593" spans="1:28" ht="12.6" customHeight="1" x14ac:dyDescent="0.3">
      <c r="A2593" s="667"/>
      <c r="B2593" s="668" t="s">
        <v>9198</v>
      </c>
      <c r="C2593" s="160" t="s">
        <v>9199</v>
      </c>
      <c r="D2593" s="160"/>
      <c r="E2593" s="439">
        <v>10</v>
      </c>
      <c r="F2593" s="161">
        <v>348.04079761700001</v>
      </c>
      <c r="G2593" s="161">
        <v>-43.944000000000003</v>
      </c>
      <c r="H2593" s="654">
        <v>10.067037562399999</v>
      </c>
      <c r="I2593" s="685">
        <v>15.157594385177401</v>
      </c>
      <c r="J2593" s="191"/>
      <c r="K2593" s="191">
        <v>614.46903170576104</v>
      </c>
      <c r="L2593" s="191"/>
      <c r="M2593" s="191"/>
      <c r="N2593" s="191"/>
      <c r="O2593" s="191"/>
      <c r="P2593" s="191"/>
      <c r="Q2593" s="191"/>
      <c r="R2593" s="191"/>
      <c r="S2593" s="191"/>
      <c r="T2593" s="191"/>
      <c r="U2593" s="439"/>
      <c r="V2593" s="441"/>
      <c r="W2593" s="178"/>
      <c r="X2593" s="172"/>
      <c r="Y2593" s="172"/>
      <c r="Z2593" s="172"/>
      <c r="AA2593" s="195"/>
      <c r="AB2593" s="172"/>
    </row>
    <row r="2594" spans="1:28" ht="12.6" customHeight="1" x14ac:dyDescent="0.3">
      <c r="A2594" s="667"/>
      <c r="B2594" s="668" t="s">
        <v>9200</v>
      </c>
      <c r="C2594" s="160" t="s">
        <v>9201</v>
      </c>
      <c r="D2594" s="160"/>
      <c r="E2594" s="439">
        <v>9.65</v>
      </c>
      <c r="F2594" s="161">
        <v>520.03310830099997</v>
      </c>
      <c r="G2594" s="161"/>
      <c r="H2594" s="654"/>
      <c r="I2594" s="654"/>
      <c r="J2594" s="191"/>
      <c r="K2594" s="191">
        <v>89495.252976528805</v>
      </c>
      <c r="L2594" s="191"/>
      <c r="M2594" s="191"/>
      <c r="N2594" s="191"/>
      <c r="O2594" s="191"/>
      <c r="P2594" s="191"/>
      <c r="Q2594" s="191"/>
      <c r="R2594" s="191"/>
      <c r="S2594" s="191"/>
      <c r="T2594" s="191"/>
      <c r="U2594" s="439"/>
      <c r="V2594" s="441"/>
      <c r="W2594" s="178"/>
      <c r="X2594" s="172"/>
      <c r="Y2594" s="172"/>
      <c r="Z2594" s="172"/>
      <c r="AA2594" s="195"/>
      <c r="AB2594" s="172"/>
    </row>
    <row r="2595" spans="1:28" ht="12.6" customHeight="1" x14ac:dyDescent="0.3">
      <c r="A2595" s="667"/>
      <c r="B2595" s="668" t="s">
        <v>9202</v>
      </c>
      <c r="C2595" s="160" t="s">
        <v>9203</v>
      </c>
      <c r="D2595" s="160"/>
      <c r="E2595" s="439">
        <v>8.4600000000000009</v>
      </c>
      <c r="F2595" s="161">
        <v>570.04875836500003</v>
      </c>
      <c r="G2595" s="161"/>
      <c r="H2595" s="654"/>
      <c r="I2595" s="654"/>
      <c r="J2595" s="191"/>
      <c r="K2595" s="191">
        <v>59002443.814364798</v>
      </c>
      <c r="L2595" s="191"/>
      <c r="M2595" s="191"/>
      <c r="N2595" s="191"/>
      <c r="O2595" s="191"/>
      <c r="P2595" s="191"/>
      <c r="Q2595" s="191"/>
      <c r="R2595" s="191"/>
      <c r="S2595" s="191"/>
      <c r="T2595" s="191"/>
      <c r="U2595" s="439"/>
      <c r="V2595" s="441"/>
      <c r="W2595" s="178"/>
      <c r="X2595" s="172"/>
      <c r="Y2595" s="172"/>
      <c r="Z2595" s="172"/>
      <c r="AA2595" s="195"/>
      <c r="AB2595" s="172"/>
    </row>
    <row r="2596" spans="1:28" ht="12.6" customHeight="1" x14ac:dyDescent="0.3">
      <c r="A2596" s="667"/>
      <c r="B2596" s="668" t="s">
        <v>9204</v>
      </c>
      <c r="C2596" s="160" t="s">
        <v>9205</v>
      </c>
      <c r="D2596" s="160"/>
      <c r="E2596" s="439">
        <v>7.24</v>
      </c>
      <c r="F2596" s="161">
        <v>456.04063846399998</v>
      </c>
      <c r="G2596" s="161"/>
      <c r="H2596" s="654"/>
      <c r="I2596" s="654"/>
      <c r="J2596" s="191"/>
      <c r="K2596" s="191">
        <v>5823.9816775298204</v>
      </c>
      <c r="L2596" s="191"/>
      <c r="M2596" s="191"/>
      <c r="N2596" s="191"/>
      <c r="O2596" s="191"/>
      <c r="P2596" s="191"/>
      <c r="Q2596" s="191"/>
      <c r="R2596" s="191"/>
      <c r="S2596" s="191"/>
      <c r="T2596" s="191"/>
      <c r="U2596" s="439"/>
      <c r="V2596" s="441"/>
      <c r="W2596" s="178"/>
      <c r="X2596" s="172"/>
      <c r="Y2596" s="172"/>
      <c r="Z2596" s="172"/>
      <c r="AA2596" s="195"/>
      <c r="AB2596" s="172"/>
    </row>
    <row r="2597" spans="1:28" ht="12.6" customHeight="1" x14ac:dyDescent="0.3">
      <c r="A2597" s="667"/>
      <c r="B2597" s="668" t="s">
        <v>9206</v>
      </c>
      <c r="C2597" s="160" t="s">
        <v>9207</v>
      </c>
      <c r="D2597" s="160"/>
      <c r="E2597" s="439">
        <v>5</v>
      </c>
      <c r="F2597" s="161">
        <v>566.12389397899994</v>
      </c>
      <c r="G2597" s="161"/>
      <c r="H2597" s="654"/>
      <c r="I2597" s="654"/>
      <c r="J2597" s="191"/>
      <c r="K2597" s="191">
        <v>727561.98639810295</v>
      </c>
      <c r="L2597" s="191"/>
      <c r="M2597" s="191"/>
      <c r="N2597" s="191"/>
      <c r="O2597" s="191"/>
      <c r="P2597" s="191"/>
      <c r="Q2597" s="191"/>
      <c r="R2597" s="191"/>
      <c r="S2597" s="191"/>
      <c r="T2597" s="191"/>
      <c r="U2597" s="439"/>
      <c r="V2597" s="441"/>
      <c r="W2597" s="178"/>
      <c r="X2597" s="172"/>
      <c r="Y2597" s="172"/>
      <c r="Z2597" s="172"/>
      <c r="AA2597" s="195"/>
      <c r="AB2597" s="172"/>
    </row>
    <row r="2598" spans="1:28" ht="12.6" customHeight="1" x14ac:dyDescent="0.3">
      <c r="A2598" s="667"/>
      <c r="B2598" s="668" t="s">
        <v>9208</v>
      </c>
      <c r="C2598" s="160" t="s">
        <v>9209</v>
      </c>
      <c r="D2598" s="160"/>
      <c r="E2598" s="439">
        <v>7.42</v>
      </c>
      <c r="F2598" s="161">
        <v>584.06555124500005</v>
      </c>
      <c r="G2598" s="161"/>
      <c r="H2598" s="654"/>
      <c r="I2598" s="654"/>
      <c r="J2598" s="191"/>
      <c r="K2598" s="191">
        <v>55733.972631565397</v>
      </c>
      <c r="L2598" s="191"/>
      <c r="M2598" s="191"/>
      <c r="N2598" s="191"/>
      <c r="O2598" s="191"/>
      <c r="P2598" s="191"/>
      <c r="Q2598" s="191"/>
      <c r="R2598" s="191"/>
      <c r="S2598" s="191"/>
      <c r="T2598" s="191"/>
      <c r="U2598" s="439"/>
      <c r="V2598" s="441"/>
      <c r="W2598" s="178"/>
      <c r="X2598" s="172"/>
      <c r="Y2598" s="172"/>
      <c r="Z2598" s="172"/>
      <c r="AA2598" s="195"/>
      <c r="AB2598" s="172"/>
    </row>
    <row r="2599" spans="1:28" ht="12.6" customHeight="1" x14ac:dyDescent="0.3">
      <c r="A2599" s="667"/>
      <c r="B2599" s="668" t="s">
        <v>9210</v>
      </c>
      <c r="C2599" s="160" t="s">
        <v>9211</v>
      </c>
      <c r="D2599" s="160"/>
      <c r="E2599" s="439">
        <v>6.55</v>
      </c>
      <c r="F2599" s="161">
        <v>523.98698280099995</v>
      </c>
      <c r="G2599" s="161"/>
      <c r="H2599" s="654"/>
      <c r="I2599" s="654"/>
      <c r="J2599" s="191"/>
      <c r="K2599" s="191">
        <v>1362.25998547119</v>
      </c>
      <c r="L2599" s="191"/>
      <c r="M2599" s="191"/>
      <c r="N2599" s="191"/>
      <c r="O2599" s="191"/>
      <c r="P2599" s="191"/>
      <c r="Q2599" s="191"/>
      <c r="R2599" s="191"/>
      <c r="S2599" s="191"/>
      <c r="T2599" s="191"/>
      <c r="U2599" s="439"/>
      <c r="V2599" s="441"/>
      <c r="W2599" s="178"/>
      <c r="X2599" s="172"/>
      <c r="Y2599" s="172"/>
      <c r="Z2599" s="172"/>
      <c r="AA2599" s="195"/>
      <c r="AB2599" s="172"/>
    </row>
    <row r="2600" spans="1:28" ht="12.6" customHeight="1" x14ac:dyDescent="0.3">
      <c r="A2600" s="667"/>
      <c r="B2600" s="668" t="s">
        <v>9212</v>
      </c>
      <c r="C2600" s="160" t="s">
        <v>9213</v>
      </c>
      <c r="D2600" s="160"/>
      <c r="E2600" s="439">
        <v>6.25</v>
      </c>
      <c r="F2600" s="161">
        <v>623.98059545299998</v>
      </c>
      <c r="G2600" s="161"/>
      <c r="H2600" s="654"/>
      <c r="I2600" s="654"/>
      <c r="J2600" s="191"/>
      <c r="K2600" s="191">
        <v>475992.37966724898</v>
      </c>
      <c r="L2600" s="191"/>
      <c r="M2600" s="191"/>
      <c r="N2600" s="191"/>
      <c r="O2600" s="191"/>
      <c r="P2600" s="191"/>
      <c r="Q2600" s="191"/>
      <c r="R2600" s="191"/>
      <c r="S2600" s="191"/>
      <c r="T2600" s="191"/>
      <c r="U2600" s="439"/>
      <c r="V2600" s="441"/>
      <c r="W2600" s="178"/>
      <c r="X2600" s="172"/>
      <c r="Y2600" s="172"/>
      <c r="Z2600" s="172"/>
      <c r="AA2600" s="195"/>
      <c r="AB2600" s="172"/>
    </row>
    <row r="2601" spans="1:28" ht="12.6" customHeight="1" x14ac:dyDescent="0.3">
      <c r="A2601" s="667"/>
      <c r="B2601" s="668" t="s">
        <v>9214</v>
      </c>
      <c r="C2601" s="160" t="s">
        <v>9215</v>
      </c>
      <c r="D2601" s="160"/>
      <c r="E2601" s="439">
        <v>6.25</v>
      </c>
      <c r="F2601" s="161">
        <v>573.98378912700002</v>
      </c>
      <c r="G2601" s="161"/>
      <c r="H2601" s="654"/>
      <c r="I2601" s="654"/>
      <c r="J2601" s="191"/>
      <c r="K2601" s="191">
        <v>7126.3967944100204</v>
      </c>
      <c r="L2601" s="191"/>
      <c r="M2601" s="191"/>
      <c r="N2601" s="191"/>
      <c r="O2601" s="191"/>
      <c r="P2601" s="191"/>
      <c r="Q2601" s="191"/>
      <c r="R2601" s="191"/>
      <c r="S2601" s="191"/>
      <c r="T2601" s="191"/>
      <c r="U2601" s="439"/>
      <c r="V2601" s="441"/>
      <c r="W2601" s="178"/>
      <c r="X2601" s="172"/>
      <c r="Y2601" s="172"/>
      <c r="Z2601" s="172"/>
      <c r="AA2601" s="195"/>
      <c r="AB2601" s="172"/>
    </row>
    <row r="2602" spans="1:28" ht="12.6" customHeight="1" x14ac:dyDescent="0.3">
      <c r="A2602" s="667"/>
      <c r="B2602" s="668" t="s">
        <v>9216</v>
      </c>
      <c r="C2602" s="160" t="s">
        <v>8660</v>
      </c>
      <c r="D2602" s="160"/>
      <c r="E2602" s="439"/>
      <c r="F2602" s="161">
        <v>262.00401818400002</v>
      </c>
      <c r="G2602" s="161">
        <v>-86.77</v>
      </c>
      <c r="H2602" s="654">
        <v>4644.0985514000004</v>
      </c>
      <c r="I2602" s="654">
        <v>46.377593262768002</v>
      </c>
      <c r="J2602" s="191"/>
      <c r="K2602" s="191">
        <v>2826.1811798101498</v>
      </c>
      <c r="L2602" s="191"/>
      <c r="M2602" s="191"/>
      <c r="N2602" s="191"/>
      <c r="O2602" s="191"/>
      <c r="P2602" s="191"/>
      <c r="Q2602" s="191"/>
      <c r="R2602" s="191"/>
      <c r="S2602" s="191"/>
      <c r="T2602" s="191"/>
      <c r="U2602" s="439"/>
      <c r="V2602" s="441"/>
      <c r="W2602" s="178"/>
      <c r="X2602" s="172"/>
      <c r="Y2602" s="172"/>
      <c r="Z2602" s="172"/>
      <c r="AA2602" s="195"/>
      <c r="AB2602" s="172"/>
    </row>
    <row r="2603" spans="1:28" ht="12.6" customHeight="1" x14ac:dyDescent="0.3">
      <c r="A2603" s="667"/>
      <c r="B2603" s="668" t="s">
        <v>9217</v>
      </c>
      <c r="C2603" s="160" t="s">
        <v>9218</v>
      </c>
      <c r="D2603" s="160"/>
      <c r="E2603" s="439">
        <v>2.76</v>
      </c>
      <c r="F2603" s="161">
        <v>415.98935178200003</v>
      </c>
      <c r="G2603" s="161">
        <v>-6.0259999999999998</v>
      </c>
      <c r="H2603" s="654">
        <v>39.075211658000001</v>
      </c>
      <c r="I2603" s="654">
        <v>2.7357872511424599</v>
      </c>
      <c r="J2603" s="191"/>
      <c r="K2603" s="191">
        <v>3674.0917722016402</v>
      </c>
      <c r="L2603" s="191"/>
      <c r="M2603" s="191"/>
      <c r="N2603" s="191"/>
      <c r="O2603" s="191"/>
      <c r="P2603" s="191"/>
      <c r="Q2603" s="191"/>
      <c r="R2603" s="191"/>
      <c r="S2603" s="191"/>
      <c r="T2603" s="191"/>
      <c r="U2603" s="439"/>
      <c r="V2603" s="441"/>
      <c r="W2603" s="178"/>
      <c r="X2603" s="172"/>
      <c r="Y2603" s="172"/>
      <c r="Z2603" s="172"/>
      <c r="AA2603" s="195"/>
      <c r="AB2603" s="172"/>
    </row>
    <row r="2604" spans="1:28" ht="12.6" customHeight="1" x14ac:dyDescent="0.3">
      <c r="A2604" s="667"/>
      <c r="B2604" s="668" t="s">
        <v>9219</v>
      </c>
      <c r="C2604" s="160" t="s">
        <v>9220</v>
      </c>
      <c r="D2604" s="160"/>
      <c r="E2604" s="439">
        <v>2.73</v>
      </c>
      <c r="F2604" s="161">
        <v>315.99573913</v>
      </c>
      <c r="G2604" s="161">
        <v>-12.589</v>
      </c>
      <c r="H2604" s="654">
        <v>134.24592146000001</v>
      </c>
      <c r="I2604" s="654">
        <v>80.478742828845697</v>
      </c>
      <c r="J2604" s="191"/>
      <c r="K2604" s="191">
        <v>324.242545334814</v>
      </c>
      <c r="L2604" s="191"/>
      <c r="M2604" s="191"/>
      <c r="N2604" s="191"/>
      <c r="O2604" s="191"/>
      <c r="P2604" s="191"/>
      <c r="Q2604" s="191"/>
      <c r="R2604" s="191"/>
      <c r="S2604" s="191"/>
      <c r="T2604" s="191"/>
      <c r="U2604" s="439"/>
      <c r="V2604" s="441"/>
      <c r="W2604" s="178"/>
      <c r="X2604" s="172"/>
      <c r="Y2604" s="172"/>
      <c r="Z2604" s="172"/>
      <c r="AA2604" s="195"/>
      <c r="AB2604" s="172"/>
    </row>
    <row r="2605" spans="1:28" ht="12.6" customHeight="1" x14ac:dyDescent="0.3">
      <c r="A2605" s="667"/>
      <c r="B2605" s="668" t="s">
        <v>9221</v>
      </c>
      <c r="C2605" s="160" t="s">
        <v>9222</v>
      </c>
      <c r="D2605" s="160"/>
      <c r="E2605" s="439">
        <v>2.74</v>
      </c>
      <c r="F2605" s="161">
        <v>216.00212647800001</v>
      </c>
      <c r="G2605" s="161"/>
      <c r="H2605" s="654"/>
      <c r="I2605" s="654"/>
      <c r="J2605" s="191"/>
      <c r="K2605" s="191">
        <v>46.9104933094575</v>
      </c>
      <c r="L2605" s="191"/>
      <c r="M2605" s="191"/>
      <c r="N2605" s="191"/>
      <c r="O2605" s="191"/>
      <c r="P2605" s="191"/>
      <c r="Q2605" s="191"/>
      <c r="R2605" s="191"/>
      <c r="S2605" s="191"/>
      <c r="T2605" s="191"/>
      <c r="U2605" s="439"/>
      <c r="V2605" s="441"/>
      <c r="W2605" s="178"/>
      <c r="X2605" s="172"/>
      <c r="Y2605" s="172"/>
      <c r="Z2605" s="172"/>
      <c r="AA2605" s="195"/>
      <c r="AB2605" s="172"/>
    </row>
    <row r="2606" spans="1:28" ht="12.6" customHeight="1" x14ac:dyDescent="0.3">
      <c r="A2606" s="667"/>
      <c r="B2606" s="668" t="s">
        <v>9223</v>
      </c>
      <c r="C2606" s="160" t="s">
        <v>9224</v>
      </c>
      <c r="D2606" s="160"/>
      <c r="E2606" s="439">
        <v>8.76</v>
      </c>
      <c r="F2606" s="161">
        <v>572.01026485499995</v>
      </c>
      <c r="G2606" s="161">
        <v>-27.344000000000001</v>
      </c>
      <c r="H2606" s="654">
        <v>0.36804604675999902</v>
      </c>
      <c r="I2606" s="654">
        <v>2.1252183375290199E-2</v>
      </c>
      <c r="J2606" s="191"/>
      <c r="K2606" s="191">
        <v>946498652.48032498</v>
      </c>
      <c r="L2606" s="191"/>
      <c r="M2606" s="191"/>
      <c r="N2606" s="191"/>
      <c r="O2606" s="191"/>
      <c r="P2606" s="191"/>
      <c r="Q2606" s="191"/>
      <c r="R2606" s="191"/>
      <c r="S2606" s="191"/>
      <c r="T2606" s="191"/>
      <c r="U2606" s="439"/>
      <c r="V2606" s="441"/>
      <c r="W2606" s="178"/>
      <c r="X2606" s="172"/>
      <c r="Y2606" s="172"/>
      <c r="Z2606" s="172"/>
      <c r="AA2606" s="195"/>
      <c r="AB2606" s="172"/>
    </row>
    <row r="2607" spans="1:28" ht="12.6" customHeight="1" x14ac:dyDescent="0.3">
      <c r="A2607" s="667"/>
      <c r="B2607" s="668" t="s">
        <v>9225</v>
      </c>
      <c r="C2607" s="160" t="s">
        <v>9226</v>
      </c>
      <c r="D2607" s="160"/>
      <c r="E2607" s="439">
        <v>8.86</v>
      </c>
      <c r="F2607" s="161">
        <v>472.01665220299998</v>
      </c>
      <c r="G2607" s="161">
        <v>-28.777000000000001</v>
      </c>
      <c r="H2607" s="654">
        <v>0.60799764913999998</v>
      </c>
      <c r="I2607" s="654">
        <v>0.14486285459440501</v>
      </c>
      <c r="J2607" s="191"/>
      <c r="K2607" s="191">
        <v>84302411.898290604</v>
      </c>
      <c r="L2607" s="191"/>
      <c r="M2607" s="191"/>
      <c r="N2607" s="191"/>
      <c r="O2607" s="191"/>
      <c r="P2607" s="191"/>
      <c r="Q2607" s="191"/>
      <c r="R2607" s="191"/>
      <c r="S2607" s="191"/>
      <c r="T2607" s="191"/>
      <c r="U2607" s="439"/>
      <c r="V2607" s="441"/>
      <c r="W2607" s="178"/>
      <c r="X2607" s="172"/>
      <c r="Y2607" s="172"/>
      <c r="Z2607" s="172"/>
      <c r="AA2607" s="195"/>
      <c r="AB2607" s="172"/>
    </row>
    <row r="2608" spans="1:28" ht="12.6" customHeight="1" x14ac:dyDescent="0.3">
      <c r="A2608" s="667"/>
      <c r="B2608" s="668" t="s">
        <v>9227</v>
      </c>
      <c r="C2608" s="160" t="s">
        <v>9228</v>
      </c>
      <c r="D2608" s="160"/>
      <c r="E2608" s="439">
        <v>9.2100000000000009</v>
      </c>
      <c r="F2608" s="161">
        <v>372.02303955100001</v>
      </c>
      <c r="G2608" s="161">
        <v>15.82</v>
      </c>
      <c r="H2608" s="654">
        <v>0.59965569159999998</v>
      </c>
      <c r="I2608" s="654">
        <v>1.09035860638963</v>
      </c>
      <c r="J2608" s="191"/>
      <c r="K2608" s="191">
        <v>1480471.3248976199</v>
      </c>
      <c r="L2608" s="191"/>
      <c r="M2608" s="191"/>
      <c r="N2608" s="191"/>
      <c r="O2608" s="191"/>
      <c r="P2608" s="191"/>
      <c r="Q2608" s="191"/>
      <c r="R2608" s="191"/>
      <c r="S2608" s="191"/>
      <c r="T2608" s="191"/>
      <c r="U2608" s="439"/>
      <c r="V2608" s="441"/>
      <c r="W2608" s="178"/>
      <c r="X2608" s="172"/>
      <c r="Y2608" s="172"/>
      <c r="Z2608" s="172"/>
      <c r="AA2608" s="195"/>
      <c r="AB2608" s="172"/>
    </row>
    <row r="2609" spans="1:28" ht="12.6" customHeight="1" x14ac:dyDescent="0.3">
      <c r="A2609" s="667"/>
      <c r="B2609" s="668" t="s">
        <v>9229</v>
      </c>
      <c r="C2609" s="160" t="s">
        <v>9230</v>
      </c>
      <c r="D2609" s="160"/>
      <c r="E2609" s="439">
        <v>9.0299999999999994</v>
      </c>
      <c r="F2609" s="161">
        <v>581.96754999999996</v>
      </c>
      <c r="G2609" s="161"/>
      <c r="H2609" s="654"/>
      <c r="I2609" s="654"/>
      <c r="J2609" s="191"/>
      <c r="K2609" s="191">
        <v>914660659.43184602</v>
      </c>
      <c r="L2609" s="191"/>
      <c r="M2609" s="191"/>
      <c r="N2609" s="191"/>
      <c r="O2609" s="191"/>
      <c r="P2609" s="191"/>
      <c r="Q2609" s="191"/>
      <c r="R2609" s="191"/>
      <c r="S2609" s="191"/>
      <c r="T2609" s="191"/>
      <c r="U2609" s="439"/>
      <c r="V2609" s="441"/>
      <c r="W2609" s="178"/>
      <c r="X2609" s="172"/>
      <c r="Y2609" s="172"/>
      <c r="Z2609" s="172"/>
      <c r="AA2609" s="195"/>
      <c r="AB2609" s="172"/>
    </row>
    <row r="2610" spans="1:28" ht="12.6" customHeight="1" x14ac:dyDescent="0.3">
      <c r="A2610" s="667"/>
      <c r="B2610" s="668" t="s">
        <v>9231</v>
      </c>
      <c r="C2610" s="160" t="s">
        <v>9232</v>
      </c>
      <c r="D2610" s="160"/>
      <c r="E2610" s="439">
        <v>6.07</v>
      </c>
      <c r="F2610" s="161">
        <v>520.01556653</v>
      </c>
      <c r="G2610" s="161"/>
      <c r="H2610" s="654"/>
      <c r="I2610" s="654"/>
      <c r="J2610" s="191"/>
      <c r="K2610" s="191">
        <v>1741445.9515215601</v>
      </c>
      <c r="L2610" s="191"/>
      <c r="M2610" s="191"/>
      <c r="N2610" s="191"/>
      <c r="O2610" s="191"/>
      <c r="P2610" s="191"/>
      <c r="Q2610" s="191"/>
      <c r="R2610" s="191"/>
      <c r="S2610" s="191"/>
      <c r="T2610" s="191"/>
      <c r="U2610" s="439"/>
      <c r="V2610" s="441"/>
      <c r="W2610" s="178"/>
      <c r="X2610" s="172"/>
      <c r="Y2610" s="172"/>
      <c r="Z2610" s="172"/>
      <c r="AA2610" s="195"/>
      <c r="AB2610" s="172"/>
    </row>
    <row r="2611" spans="1:28" ht="12.6" customHeight="1" x14ac:dyDescent="0.3">
      <c r="A2611" s="667"/>
      <c r="B2611" s="668" t="s">
        <v>9233</v>
      </c>
      <c r="C2611" s="160" t="s">
        <v>9234</v>
      </c>
      <c r="D2611" s="160"/>
      <c r="E2611" s="439">
        <v>7.58</v>
      </c>
      <c r="F2611" s="161">
        <v>392.027039258</v>
      </c>
      <c r="G2611" s="161"/>
      <c r="H2611" s="654"/>
      <c r="I2611" s="654"/>
      <c r="J2611" s="191"/>
      <c r="K2611" s="191">
        <v>494731.997625608</v>
      </c>
      <c r="L2611" s="191"/>
      <c r="M2611" s="191"/>
      <c r="N2611" s="191"/>
      <c r="O2611" s="191"/>
      <c r="P2611" s="191"/>
      <c r="Q2611" s="191"/>
      <c r="R2611" s="191"/>
      <c r="S2611" s="191"/>
      <c r="T2611" s="191"/>
      <c r="U2611" s="439"/>
      <c r="V2611" s="441"/>
      <c r="W2611" s="178"/>
      <c r="X2611" s="172"/>
      <c r="Y2611" s="172"/>
      <c r="Z2611" s="172"/>
      <c r="AA2611" s="195"/>
      <c r="AB2611" s="172"/>
    </row>
    <row r="2612" spans="1:28" ht="12.6" customHeight="1" x14ac:dyDescent="0.3">
      <c r="A2612" s="667"/>
      <c r="B2612" s="668" t="s">
        <v>9235</v>
      </c>
      <c r="C2612" s="160" t="s">
        <v>9236</v>
      </c>
      <c r="D2612" s="160"/>
      <c r="E2612" s="439">
        <v>17</v>
      </c>
      <c r="F2612" s="161">
        <v>292.03342660599998</v>
      </c>
      <c r="G2612" s="161"/>
      <c r="H2612" s="654"/>
      <c r="I2612" s="654"/>
      <c r="J2612" s="191"/>
      <c r="K2612" s="191">
        <v>9052.9474622661892</v>
      </c>
      <c r="L2612" s="191"/>
      <c r="M2612" s="191"/>
      <c r="N2612" s="191"/>
      <c r="O2612" s="191"/>
      <c r="P2612" s="191"/>
      <c r="Q2612" s="191"/>
      <c r="R2612" s="191"/>
      <c r="S2612" s="191"/>
      <c r="T2612" s="191"/>
      <c r="U2612" s="439"/>
      <c r="V2612" s="441"/>
      <c r="W2612" s="178"/>
      <c r="X2612" s="172"/>
      <c r="Y2612" s="172"/>
      <c r="Z2612" s="172"/>
      <c r="AA2612" s="195"/>
      <c r="AB2612" s="172"/>
    </row>
    <row r="2613" spans="1:28" ht="12.6" customHeight="1" x14ac:dyDescent="0.3">
      <c r="A2613" s="667"/>
      <c r="B2613" s="668" t="s">
        <v>9237</v>
      </c>
      <c r="C2613" s="160" t="s">
        <v>9238</v>
      </c>
      <c r="D2613" s="160"/>
      <c r="E2613" s="439">
        <v>21</v>
      </c>
      <c r="F2613" s="161">
        <v>356.04588299699998</v>
      </c>
      <c r="G2613" s="161"/>
      <c r="H2613" s="654"/>
      <c r="I2613" s="654"/>
      <c r="J2613" s="191"/>
      <c r="K2613" s="191">
        <v>91482.916167096497</v>
      </c>
      <c r="L2613" s="191"/>
      <c r="M2613" s="191"/>
      <c r="N2613" s="191"/>
      <c r="O2613" s="191"/>
      <c r="P2613" s="191"/>
      <c r="Q2613" s="191"/>
      <c r="R2613" s="191"/>
      <c r="S2613" s="191"/>
      <c r="T2613" s="191"/>
      <c r="U2613" s="439"/>
      <c r="V2613" s="441"/>
      <c r="W2613" s="178"/>
      <c r="X2613" s="172"/>
      <c r="Y2613" s="172"/>
      <c r="Z2613" s="172"/>
      <c r="AA2613" s="195"/>
      <c r="AB2613" s="172"/>
    </row>
    <row r="2614" spans="1:28" ht="12.6" customHeight="1" x14ac:dyDescent="0.3">
      <c r="A2614" s="667"/>
      <c r="B2614" s="668" t="s">
        <v>9239</v>
      </c>
      <c r="C2614" s="160" t="s">
        <v>9240</v>
      </c>
      <c r="D2614" s="160"/>
      <c r="E2614" s="439">
        <v>8.75</v>
      </c>
      <c r="F2614" s="161">
        <v>498.08644584199999</v>
      </c>
      <c r="G2614" s="161"/>
      <c r="H2614" s="654"/>
      <c r="I2614" s="654"/>
      <c r="J2614" s="191"/>
      <c r="K2614" s="191">
        <v>157851967.718299</v>
      </c>
      <c r="L2614" s="191"/>
      <c r="M2614" s="191"/>
      <c r="N2614" s="191"/>
      <c r="O2614" s="191"/>
      <c r="P2614" s="191"/>
      <c r="Q2614" s="191"/>
      <c r="R2614" s="191"/>
      <c r="S2614" s="191"/>
      <c r="T2614" s="191"/>
      <c r="U2614" s="439"/>
      <c r="V2614" s="441"/>
      <c r="W2614" s="178"/>
      <c r="X2614" s="172"/>
      <c r="Y2614" s="172"/>
      <c r="Z2614" s="172"/>
      <c r="AA2614" s="195"/>
      <c r="AB2614" s="172"/>
    </row>
    <row r="2615" spans="1:28" ht="12.6" customHeight="1" x14ac:dyDescent="0.3">
      <c r="A2615" s="667"/>
      <c r="B2615" s="668" t="s">
        <v>9241</v>
      </c>
      <c r="C2615" s="160" t="s">
        <v>9242</v>
      </c>
      <c r="D2615" s="160"/>
      <c r="E2615" s="439">
        <v>9</v>
      </c>
      <c r="F2615" s="161">
        <v>482.18673357599999</v>
      </c>
      <c r="G2615" s="161"/>
      <c r="H2615" s="654"/>
      <c r="I2615" s="654"/>
      <c r="J2615" s="191"/>
      <c r="K2615" s="191">
        <v>795627892.72836006</v>
      </c>
      <c r="L2615" s="191"/>
      <c r="M2615" s="191"/>
      <c r="N2615" s="191"/>
      <c r="O2615" s="191"/>
      <c r="P2615" s="191"/>
      <c r="Q2615" s="191"/>
      <c r="R2615" s="191"/>
      <c r="S2615" s="191"/>
      <c r="T2615" s="191"/>
      <c r="U2615" s="439"/>
      <c r="V2615" s="441"/>
      <c r="W2615" s="178"/>
      <c r="X2615" s="172"/>
      <c r="Y2615" s="172"/>
      <c r="Z2615" s="172"/>
      <c r="AA2615" s="195"/>
      <c r="AB2615" s="172"/>
    </row>
    <row r="2616" spans="1:28" ht="12.6" customHeight="1" x14ac:dyDescent="0.3">
      <c r="A2616" s="667"/>
      <c r="B2616" s="668" t="s">
        <v>9243</v>
      </c>
      <c r="C2616" s="160" t="s">
        <v>9244</v>
      </c>
      <c r="D2616" s="160"/>
      <c r="E2616" s="439">
        <v>7.51</v>
      </c>
      <c r="F2616" s="161">
        <v>441.03983000099998</v>
      </c>
      <c r="G2616" s="161"/>
      <c r="H2616" s="654"/>
      <c r="I2616" s="654"/>
      <c r="J2616" s="191"/>
      <c r="K2616" s="191">
        <v>266385.14335068199</v>
      </c>
      <c r="L2616" s="191"/>
      <c r="M2616" s="191"/>
      <c r="N2616" s="191"/>
      <c r="O2616" s="191"/>
      <c r="P2616" s="191"/>
      <c r="Q2616" s="191"/>
      <c r="R2616" s="191"/>
      <c r="S2616" s="191"/>
      <c r="T2616" s="191"/>
      <c r="U2616" s="439"/>
      <c r="V2616" s="441"/>
      <c r="W2616" s="178"/>
      <c r="X2616" s="172"/>
      <c r="Y2616" s="172"/>
      <c r="Z2616" s="172"/>
      <c r="AA2616" s="195"/>
      <c r="AB2616" s="172"/>
    </row>
    <row r="2617" spans="1:28" ht="12.6" customHeight="1" x14ac:dyDescent="0.3">
      <c r="A2617" s="667"/>
      <c r="B2617" s="668" t="s">
        <v>9245</v>
      </c>
      <c r="C2617" s="160" t="s">
        <v>9246</v>
      </c>
      <c r="D2617" s="160"/>
      <c r="E2617" s="439">
        <v>9.2799999999999994</v>
      </c>
      <c r="F2617" s="161">
        <v>322.06153306099998</v>
      </c>
      <c r="G2617" s="161"/>
      <c r="H2617" s="654"/>
      <c r="I2617" s="654"/>
      <c r="J2617" s="191"/>
      <c r="K2617" s="191">
        <v>1092.01851041131</v>
      </c>
      <c r="L2617" s="191"/>
      <c r="M2617" s="191"/>
      <c r="N2617" s="191"/>
      <c r="O2617" s="191"/>
      <c r="P2617" s="191"/>
      <c r="Q2617" s="191"/>
      <c r="R2617" s="191"/>
      <c r="S2617" s="191"/>
      <c r="T2617" s="191"/>
      <c r="U2617" s="439"/>
      <c r="V2617" s="441"/>
      <c r="W2617" s="178"/>
      <c r="X2617" s="172"/>
      <c r="Y2617" s="172"/>
      <c r="Z2617" s="172"/>
      <c r="AA2617" s="195"/>
      <c r="AB2617" s="172"/>
    </row>
    <row r="2618" spans="1:28" ht="12.6" customHeight="1" x14ac:dyDescent="0.3">
      <c r="A2618" s="667"/>
      <c r="B2618" s="668" t="s">
        <v>9247</v>
      </c>
      <c r="C2618" s="160" t="s">
        <v>9248</v>
      </c>
      <c r="D2618" s="160"/>
      <c r="E2618" s="439">
        <v>8.3699999999999992</v>
      </c>
      <c r="F2618" s="161">
        <v>332.00705270499998</v>
      </c>
      <c r="G2618" s="161"/>
      <c r="H2618" s="654"/>
      <c r="I2618" s="654"/>
      <c r="J2618" s="191"/>
      <c r="K2618" s="191">
        <v>1400.3932217331101</v>
      </c>
      <c r="L2618" s="191"/>
      <c r="M2618" s="191"/>
      <c r="N2618" s="191"/>
      <c r="O2618" s="191"/>
      <c r="P2618" s="191"/>
      <c r="Q2618" s="191"/>
      <c r="R2618" s="191"/>
      <c r="S2618" s="191"/>
      <c r="T2618" s="191"/>
      <c r="U2618" s="439"/>
      <c r="V2618" s="441"/>
      <c r="W2618" s="178"/>
      <c r="X2618" s="172"/>
      <c r="Y2618" s="172"/>
      <c r="Z2618" s="172"/>
      <c r="AA2618" s="195"/>
      <c r="AB2618" s="172"/>
    </row>
    <row r="2619" spans="1:28" ht="12.6" customHeight="1" x14ac:dyDescent="0.3">
      <c r="A2619" s="667"/>
      <c r="B2619" s="668" t="s">
        <v>9249</v>
      </c>
      <c r="C2619" s="160" t="s">
        <v>9250</v>
      </c>
      <c r="D2619" s="160"/>
      <c r="E2619" s="439">
        <v>8.98</v>
      </c>
      <c r="F2619" s="161">
        <v>449.99124348800001</v>
      </c>
      <c r="G2619" s="161">
        <v>-47.783999999999999</v>
      </c>
      <c r="H2619" s="654">
        <v>400.77659776000002</v>
      </c>
      <c r="I2619" s="654">
        <v>0.73317073301499802</v>
      </c>
      <c r="J2619" s="191"/>
      <c r="K2619" s="191">
        <v>10123.0177883661</v>
      </c>
      <c r="L2619" s="191"/>
      <c r="M2619" s="191"/>
      <c r="N2619" s="191"/>
      <c r="O2619" s="191"/>
      <c r="P2619" s="191"/>
      <c r="Q2619" s="191"/>
      <c r="R2619" s="191"/>
      <c r="S2619" s="191"/>
      <c r="T2619" s="191"/>
      <c r="U2619" s="439"/>
      <c r="V2619" s="441"/>
      <c r="W2619" s="178"/>
      <c r="X2619" s="172"/>
      <c r="Y2619" s="172"/>
      <c r="Z2619" s="172"/>
      <c r="AA2619" s="195"/>
      <c r="AB2619" s="172"/>
    </row>
    <row r="2620" spans="1:28" ht="12.6" customHeight="1" x14ac:dyDescent="0.3">
      <c r="A2620" s="667"/>
      <c r="B2620" s="668" t="s">
        <v>9251</v>
      </c>
      <c r="C2620" s="160" t="s">
        <v>9252</v>
      </c>
      <c r="D2620" s="160"/>
      <c r="E2620" s="439">
        <v>8.73</v>
      </c>
      <c r="F2620" s="161">
        <v>499.98804981400002</v>
      </c>
      <c r="G2620" s="161">
        <v>-26.202999999999999</v>
      </c>
      <c r="H2620" s="654">
        <v>248.25756297999999</v>
      </c>
      <c r="I2620" s="654">
        <v>0.324309248703054</v>
      </c>
      <c r="J2620" s="191"/>
      <c r="K2620" s="191">
        <v>59944.590811464303</v>
      </c>
      <c r="L2620" s="191"/>
      <c r="M2620" s="191"/>
      <c r="N2620" s="191"/>
      <c r="O2620" s="191"/>
      <c r="P2620" s="191"/>
      <c r="Q2620" s="191"/>
      <c r="R2620" s="191"/>
      <c r="S2620" s="191"/>
      <c r="T2620" s="191"/>
      <c r="U2620" s="439"/>
      <c r="V2620" s="441"/>
      <c r="W2620" s="178"/>
      <c r="X2620" s="172"/>
      <c r="Y2620" s="172"/>
      <c r="Z2620" s="172"/>
      <c r="AA2620" s="195"/>
      <c r="AB2620" s="172"/>
    </row>
    <row r="2621" spans="1:28" ht="12.6" customHeight="1" x14ac:dyDescent="0.3">
      <c r="A2621" s="667"/>
      <c r="B2621" s="668" t="s">
        <v>9253</v>
      </c>
      <c r="C2621" s="160" t="s">
        <v>9254</v>
      </c>
      <c r="D2621" s="160"/>
      <c r="E2621" s="439">
        <v>8.83</v>
      </c>
      <c r="F2621" s="161">
        <v>250.00401818399999</v>
      </c>
      <c r="G2621" s="161"/>
      <c r="H2621" s="654"/>
      <c r="I2621" s="654"/>
      <c r="J2621" s="191"/>
      <c r="K2621" s="191">
        <v>146.28843707695</v>
      </c>
      <c r="L2621" s="191"/>
      <c r="M2621" s="191"/>
      <c r="N2621" s="191"/>
      <c r="O2621" s="191"/>
      <c r="P2621" s="191"/>
      <c r="Q2621" s="191"/>
      <c r="R2621" s="191"/>
      <c r="S2621" s="191"/>
      <c r="T2621" s="191"/>
      <c r="U2621" s="439"/>
      <c r="V2621" s="441"/>
      <c r="W2621" s="178"/>
      <c r="X2621" s="172"/>
      <c r="Y2621" s="172"/>
      <c r="Z2621" s="172"/>
      <c r="AA2621" s="195"/>
      <c r="AB2621" s="172"/>
    </row>
    <row r="2622" spans="1:28" ht="12.6" customHeight="1" x14ac:dyDescent="0.3">
      <c r="A2622" s="667"/>
      <c r="B2622" s="668" t="s">
        <v>9255</v>
      </c>
      <c r="C2622" s="160" t="s">
        <v>9256</v>
      </c>
      <c r="D2622" s="160"/>
      <c r="E2622" s="439">
        <v>8.3699999999999992</v>
      </c>
      <c r="F2622" s="161">
        <v>799.96888777000004</v>
      </c>
      <c r="G2622" s="161">
        <v>35.194000000000003</v>
      </c>
      <c r="H2622" s="654">
        <v>0.58331308084</v>
      </c>
      <c r="I2622" s="654"/>
      <c r="J2622" s="191"/>
      <c r="K2622" s="191">
        <v>236946.33741271001</v>
      </c>
      <c r="L2622" s="191"/>
      <c r="M2622" s="191"/>
      <c r="N2622" s="191"/>
      <c r="O2622" s="191"/>
      <c r="P2622" s="191"/>
      <c r="Q2622" s="191"/>
      <c r="R2622" s="191"/>
      <c r="S2622" s="191"/>
      <c r="T2622" s="191"/>
      <c r="U2622" s="439"/>
      <c r="V2622" s="441"/>
      <c r="W2622" s="178"/>
      <c r="X2622" s="172"/>
      <c r="Y2622" s="172"/>
      <c r="Z2622" s="172"/>
      <c r="AA2622" s="195"/>
      <c r="AB2622" s="172"/>
    </row>
    <row r="2623" spans="1:28" ht="12.6" customHeight="1" x14ac:dyDescent="0.3">
      <c r="A2623" s="667"/>
      <c r="B2623" s="668" t="s">
        <v>9257</v>
      </c>
      <c r="C2623" s="160" t="s">
        <v>9258</v>
      </c>
      <c r="D2623" s="160"/>
      <c r="E2623" s="439">
        <v>8.3699999999999992</v>
      </c>
      <c r="F2623" s="161">
        <v>699.97527511800001</v>
      </c>
      <c r="G2623" s="161">
        <v>27.03</v>
      </c>
      <c r="H2623" s="654">
        <v>5.0921537967999999</v>
      </c>
      <c r="I2623" s="654"/>
      <c r="J2623" s="191"/>
      <c r="K2623" s="191">
        <v>255699.57135955899</v>
      </c>
      <c r="L2623" s="191"/>
      <c r="M2623" s="191"/>
      <c r="N2623" s="191"/>
      <c r="O2623" s="191"/>
      <c r="P2623" s="191"/>
      <c r="Q2623" s="191"/>
      <c r="R2623" s="191"/>
      <c r="S2623" s="191"/>
      <c r="T2623" s="191"/>
      <c r="U2623" s="439"/>
      <c r="V2623" s="441"/>
      <c r="W2623" s="178"/>
      <c r="X2623" s="172"/>
      <c r="Y2623" s="172"/>
      <c r="Z2623" s="172"/>
      <c r="AA2623" s="195"/>
      <c r="AB2623" s="172"/>
    </row>
    <row r="2624" spans="1:28" ht="12.6" customHeight="1" x14ac:dyDescent="0.3">
      <c r="A2624" s="667"/>
      <c r="B2624" s="668" t="s">
        <v>9259</v>
      </c>
      <c r="C2624" s="160" t="s">
        <v>9260</v>
      </c>
      <c r="D2624" s="160"/>
      <c r="E2624" s="439">
        <v>8.3699999999999992</v>
      </c>
      <c r="F2624" s="161">
        <v>599.98166246599999</v>
      </c>
      <c r="G2624" s="161">
        <v>-11.534000000000001</v>
      </c>
      <c r="H2624" s="654">
        <v>7.6190723238000002</v>
      </c>
      <c r="I2624" s="654"/>
      <c r="J2624" s="191"/>
      <c r="K2624" s="191">
        <v>135222.823526174</v>
      </c>
      <c r="L2624" s="191"/>
      <c r="M2624" s="191"/>
      <c r="N2624" s="191"/>
      <c r="O2624" s="191"/>
      <c r="P2624" s="191"/>
      <c r="Q2624" s="191"/>
      <c r="R2624" s="191"/>
      <c r="S2624" s="191"/>
      <c r="T2624" s="191"/>
      <c r="U2624" s="439"/>
      <c r="V2624" s="441"/>
      <c r="W2624" s="178"/>
      <c r="X2624" s="172"/>
      <c r="Y2624" s="172"/>
      <c r="Z2624" s="172"/>
      <c r="AA2624" s="195"/>
      <c r="AB2624" s="172"/>
    </row>
    <row r="2625" spans="1:28" ht="12.6" customHeight="1" x14ac:dyDescent="0.3">
      <c r="A2625" s="667"/>
      <c r="B2625" s="668" t="s">
        <v>9261</v>
      </c>
      <c r="C2625" s="160" t="s">
        <v>9262</v>
      </c>
      <c r="D2625" s="160"/>
      <c r="E2625" s="439">
        <v>8.3699999999999992</v>
      </c>
      <c r="F2625" s="161">
        <v>549.98485614000003</v>
      </c>
      <c r="G2625" s="161">
        <v>-13.81</v>
      </c>
      <c r="H2625" s="654">
        <v>12.8204035064</v>
      </c>
      <c r="I2625" s="654"/>
      <c r="J2625" s="191"/>
      <c r="K2625" s="191">
        <v>163708.03663431801</v>
      </c>
      <c r="L2625" s="191"/>
      <c r="M2625" s="191"/>
      <c r="N2625" s="191"/>
      <c r="O2625" s="191"/>
      <c r="P2625" s="191"/>
      <c r="Q2625" s="191"/>
      <c r="R2625" s="191"/>
      <c r="S2625" s="191"/>
      <c r="T2625" s="191"/>
      <c r="U2625" s="439"/>
      <c r="V2625" s="441"/>
      <c r="W2625" s="178"/>
      <c r="X2625" s="172"/>
      <c r="Y2625" s="172"/>
      <c r="Z2625" s="172"/>
      <c r="AA2625" s="195"/>
      <c r="AB2625" s="172"/>
    </row>
    <row r="2626" spans="1:28" ht="12.6" customHeight="1" x14ac:dyDescent="0.3">
      <c r="A2626" s="667"/>
      <c r="B2626" s="668" t="s">
        <v>9263</v>
      </c>
      <c r="C2626" s="160" t="s">
        <v>9264</v>
      </c>
      <c r="D2626" s="160"/>
      <c r="E2626" s="439">
        <v>8.23</v>
      </c>
      <c r="F2626" s="161">
        <v>499.98804981400002</v>
      </c>
      <c r="G2626" s="161">
        <v>-7.7939999999999996</v>
      </c>
      <c r="H2626" s="654">
        <v>23.763046635999999</v>
      </c>
      <c r="I2626" s="654"/>
      <c r="J2626" s="191"/>
      <c r="K2626" s="191">
        <v>47579.513821253997</v>
      </c>
      <c r="L2626" s="191"/>
      <c r="M2626" s="191"/>
      <c r="N2626" s="191"/>
      <c r="O2626" s="191"/>
      <c r="P2626" s="191"/>
      <c r="Q2626" s="191"/>
      <c r="R2626" s="191"/>
      <c r="S2626" s="191"/>
      <c r="T2626" s="191"/>
      <c r="U2626" s="439"/>
      <c r="V2626" s="441"/>
      <c r="W2626" s="178"/>
      <c r="X2626" s="172"/>
      <c r="Y2626" s="172"/>
      <c r="Z2626" s="172"/>
      <c r="AA2626" s="195"/>
      <c r="AB2626" s="172"/>
    </row>
    <row r="2627" spans="1:28" ht="12.6" customHeight="1" x14ac:dyDescent="0.3">
      <c r="A2627" s="667"/>
      <c r="B2627" s="668" t="s">
        <v>9265</v>
      </c>
      <c r="C2627" s="160" t="s">
        <v>9266</v>
      </c>
      <c r="D2627" s="160"/>
      <c r="E2627" s="439">
        <v>7.68</v>
      </c>
      <c r="F2627" s="161">
        <v>462.01123004099998</v>
      </c>
      <c r="G2627" s="161">
        <v>30.715</v>
      </c>
      <c r="H2627" s="654">
        <v>5.1987847324000001</v>
      </c>
      <c r="I2627" s="654"/>
      <c r="J2627" s="191"/>
      <c r="K2627" s="191">
        <v>14783.933487438801</v>
      </c>
      <c r="L2627" s="191"/>
      <c r="M2627" s="191"/>
      <c r="N2627" s="191"/>
      <c r="O2627" s="191"/>
      <c r="P2627" s="191"/>
      <c r="Q2627" s="191"/>
      <c r="R2627" s="191"/>
      <c r="S2627" s="191"/>
      <c r="T2627" s="191"/>
      <c r="U2627" s="439"/>
      <c r="V2627" s="441"/>
      <c r="W2627" s="178"/>
      <c r="X2627" s="172"/>
      <c r="Y2627" s="172"/>
      <c r="Z2627" s="172"/>
      <c r="AA2627" s="195"/>
      <c r="AB2627" s="172"/>
    </row>
    <row r="2628" spans="1:28" ht="12.6" customHeight="1" x14ac:dyDescent="0.3">
      <c r="A2628" s="667"/>
      <c r="B2628" s="668" t="s">
        <v>9267</v>
      </c>
      <c r="C2628" s="160" t="s">
        <v>9268</v>
      </c>
      <c r="D2628" s="160"/>
      <c r="E2628" s="439">
        <v>8.07</v>
      </c>
      <c r="F2628" s="161">
        <v>449.99124348800001</v>
      </c>
      <c r="G2628" s="161">
        <v>-3.952</v>
      </c>
      <c r="H2628" s="654">
        <v>60.939886336000001</v>
      </c>
      <c r="I2628" s="654">
        <v>0.70827721742524197</v>
      </c>
      <c r="J2628" s="191"/>
      <c r="K2628" s="191">
        <v>15723.890110274901</v>
      </c>
      <c r="L2628" s="191"/>
      <c r="M2628" s="191"/>
      <c r="N2628" s="191"/>
      <c r="O2628" s="191"/>
      <c r="P2628" s="191"/>
      <c r="Q2628" s="191"/>
      <c r="R2628" s="191"/>
      <c r="S2628" s="191"/>
      <c r="T2628" s="191"/>
      <c r="U2628" s="439"/>
      <c r="V2628" s="441"/>
      <c r="W2628" s="178"/>
      <c r="X2628" s="172"/>
      <c r="Y2628" s="172"/>
      <c r="Z2628" s="172"/>
      <c r="AA2628" s="195"/>
      <c r="AB2628" s="172"/>
    </row>
    <row r="2629" spans="1:28" ht="12.6" customHeight="1" x14ac:dyDescent="0.3">
      <c r="A2629" s="667"/>
      <c r="B2629" s="668" t="s">
        <v>9269</v>
      </c>
      <c r="C2629" s="160" t="s">
        <v>9270</v>
      </c>
      <c r="D2629" s="160"/>
      <c r="E2629" s="439">
        <v>8.5</v>
      </c>
      <c r="F2629" s="161">
        <v>382.00385903099999</v>
      </c>
      <c r="G2629" s="161">
        <v>9.2569999999999997</v>
      </c>
      <c r="H2629" s="654">
        <v>105.657818322</v>
      </c>
      <c r="I2629" s="654">
        <v>2.5296944951593101</v>
      </c>
      <c r="J2629" s="191"/>
      <c r="K2629" s="191">
        <v>6064.5698151013603</v>
      </c>
      <c r="L2629" s="191"/>
      <c r="M2629" s="191"/>
      <c r="N2629" s="191"/>
      <c r="O2629" s="191"/>
      <c r="P2629" s="191"/>
      <c r="Q2629" s="191"/>
      <c r="R2629" s="191"/>
      <c r="S2629" s="191"/>
      <c r="T2629" s="191"/>
      <c r="U2629" s="439"/>
      <c r="V2629" s="441"/>
      <c r="W2629" s="178"/>
      <c r="X2629" s="172"/>
      <c r="Y2629" s="172"/>
      <c r="Z2629" s="172"/>
      <c r="AA2629" s="195"/>
      <c r="AB2629" s="172"/>
    </row>
    <row r="2630" spans="1:28" ht="12.6" customHeight="1" x14ac:dyDescent="0.3">
      <c r="A2630" s="667"/>
      <c r="B2630" s="668" t="s">
        <v>9271</v>
      </c>
      <c r="C2630" s="160" t="s">
        <v>9272</v>
      </c>
      <c r="D2630" s="160"/>
      <c r="E2630" s="439">
        <v>7.61</v>
      </c>
      <c r="F2630" s="161">
        <v>362.01761738900001</v>
      </c>
      <c r="G2630" s="161">
        <v>41.360999999999997</v>
      </c>
      <c r="H2630" s="654">
        <v>27.346475351999999</v>
      </c>
      <c r="I2630" s="654">
        <v>2.0451714671488901</v>
      </c>
      <c r="J2630" s="191"/>
      <c r="K2630" s="191">
        <v>1494.3419899830101</v>
      </c>
      <c r="L2630" s="191"/>
      <c r="M2630" s="191"/>
      <c r="N2630" s="191"/>
      <c r="O2630" s="191"/>
      <c r="P2630" s="191"/>
      <c r="Q2630" s="191"/>
      <c r="R2630" s="191"/>
      <c r="S2630" s="191"/>
      <c r="T2630" s="191"/>
      <c r="U2630" s="439"/>
      <c r="V2630" s="441"/>
      <c r="W2630" s="178"/>
      <c r="X2630" s="172"/>
      <c r="Y2630" s="172"/>
      <c r="Z2630" s="172"/>
      <c r="AA2630" s="195"/>
      <c r="AB2630" s="172"/>
    </row>
    <row r="2631" spans="1:28" ht="12.6" customHeight="1" x14ac:dyDescent="0.3">
      <c r="A2631" s="667"/>
      <c r="B2631" s="668" t="s">
        <v>9273</v>
      </c>
      <c r="C2631" s="160" t="s">
        <v>9274</v>
      </c>
      <c r="D2631" s="160"/>
      <c r="E2631" s="439">
        <v>7.25</v>
      </c>
      <c r="F2631" s="161">
        <v>262.02400473699998</v>
      </c>
      <c r="G2631" s="161">
        <v>46.332999999999998</v>
      </c>
      <c r="H2631" s="654">
        <v>43.742281589999997</v>
      </c>
      <c r="I2631" s="654">
        <v>255.47078437852699</v>
      </c>
      <c r="J2631" s="191"/>
      <c r="K2631" s="191">
        <v>110.057590364692</v>
      </c>
      <c r="L2631" s="191"/>
      <c r="M2631" s="191"/>
      <c r="N2631" s="191"/>
      <c r="O2631" s="191"/>
      <c r="P2631" s="191"/>
      <c r="Q2631" s="191"/>
      <c r="R2631" s="191"/>
      <c r="S2631" s="191"/>
      <c r="T2631" s="191"/>
      <c r="U2631" s="439"/>
      <c r="V2631" s="441"/>
      <c r="W2631" s="178"/>
      <c r="X2631" s="172"/>
      <c r="Y2631" s="172"/>
      <c r="Z2631" s="172"/>
      <c r="AA2631" s="195"/>
      <c r="AB2631" s="172"/>
    </row>
    <row r="2632" spans="1:28" ht="12.6" customHeight="1" x14ac:dyDescent="0.3">
      <c r="A2632" s="667"/>
      <c r="B2632" s="668" t="s">
        <v>9275</v>
      </c>
      <c r="C2632" s="160" t="s">
        <v>9276</v>
      </c>
      <c r="D2632" s="160"/>
      <c r="E2632" s="439">
        <v>7.53</v>
      </c>
      <c r="F2632" s="161">
        <v>250.00401818399999</v>
      </c>
      <c r="G2632" s="161"/>
      <c r="H2632" s="654"/>
      <c r="I2632" s="654"/>
      <c r="J2632" s="191"/>
      <c r="K2632" s="191">
        <v>131.69218396300499</v>
      </c>
      <c r="L2632" s="191"/>
      <c r="M2632" s="191"/>
      <c r="N2632" s="191"/>
      <c r="O2632" s="191"/>
      <c r="P2632" s="191"/>
      <c r="Q2632" s="191"/>
      <c r="R2632" s="191"/>
      <c r="S2632" s="191"/>
      <c r="T2632" s="191"/>
      <c r="U2632" s="439"/>
      <c r="V2632" s="441"/>
      <c r="W2632" s="178"/>
      <c r="X2632" s="172"/>
      <c r="Y2632" s="172"/>
      <c r="Z2632" s="172"/>
      <c r="AA2632" s="195"/>
      <c r="AB2632" s="172"/>
    </row>
    <row r="2633" spans="1:28" ht="12.6" customHeight="1" x14ac:dyDescent="0.3">
      <c r="A2633" s="667"/>
      <c r="B2633" s="668" t="s">
        <v>9277</v>
      </c>
      <c r="C2633" s="160" t="s">
        <v>9278</v>
      </c>
      <c r="D2633" s="160"/>
      <c r="E2633" s="439">
        <v>6.84</v>
      </c>
      <c r="F2633" s="161">
        <v>212.027198411</v>
      </c>
      <c r="G2633" s="161">
        <v>55.968000000000004</v>
      </c>
      <c r="H2633" s="654">
        <v>96.805904131999995</v>
      </c>
      <c r="I2633" s="654">
        <v>698.86284868249697</v>
      </c>
      <c r="J2633" s="191"/>
      <c r="K2633" s="191">
        <v>7.8053431336041399</v>
      </c>
      <c r="L2633" s="191"/>
      <c r="M2633" s="191"/>
      <c r="N2633" s="191"/>
      <c r="O2633" s="191"/>
      <c r="P2633" s="191"/>
      <c r="Q2633" s="191"/>
      <c r="R2633" s="191"/>
      <c r="S2633" s="191"/>
      <c r="T2633" s="191"/>
      <c r="U2633" s="439"/>
      <c r="V2633" s="441"/>
      <c r="W2633" s="178"/>
      <c r="X2633" s="172"/>
      <c r="Y2633" s="172"/>
      <c r="Z2633" s="172"/>
      <c r="AA2633" s="195"/>
      <c r="AB2633" s="172"/>
    </row>
    <row r="2634" spans="1:28" ht="12.6" customHeight="1" x14ac:dyDescent="0.3">
      <c r="A2634" s="667"/>
      <c r="B2634" s="668" t="s">
        <v>9279</v>
      </c>
      <c r="C2634" s="160" t="s">
        <v>9280</v>
      </c>
      <c r="D2634" s="160"/>
      <c r="E2634" s="439">
        <v>8.3800000000000008</v>
      </c>
      <c r="F2634" s="161">
        <v>200.00721185800001</v>
      </c>
      <c r="G2634" s="161">
        <v>-37.408000000000001</v>
      </c>
      <c r="H2634" s="654">
        <v>6964.6879511999996</v>
      </c>
      <c r="I2634" s="654">
        <v>309.77516986990702</v>
      </c>
      <c r="J2634" s="191"/>
      <c r="K2634" s="191">
        <v>87.082321852447095</v>
      </c>
      <c r="L2634" s="191"/>
      <c r="M2634" s="191"/>
      <c r="N2634" s="191"/>
      <c r="O2634" s="191"/>
      <c r="P2634" s="191"/>
      <c r="Q2634" s="191"/>
      <c r="R2634" s="191"/>
      <c r="S2634" s="191"/>
      <c r="T2634" s="191"/>
      <c r="U2634" s="439"/>
      <c r="V2634" s="441"/>
      <c r="W2634" s="178"/>
      <c r="X2634" s="172"/>
      <c r="Y2634" s="172"/>
      <c r="Z2634" s="172"/>
      <c r="AA2634" s="195"/>
      <c r="AB2634" s="172"/>
    </row>
    <row r="2635" spans="1:28" ht="12.6" customHeight="1" x14ac:dyDescent="0.3">
      <c r="A2635" s="667"/>
      <c r="B2635" s="668" t="s">
        <v>9281</v>
      </c>
      <c r="C2635" s="160" t="s">
        <v>9282</v>
      </c>
      <c r="D2635" s="160"/>
      <c r="E2635" s="439">
        <v>7</v>
      </c>
      <c r="F2635" s="161">
        <v>351.91951</v>
      </c>
      <c r="G2635" s="161"/>
      <c r="H2635" s="654"/>
      <c r="I2635" s="654"/>
      <c r="J2635" s="191"/>
      <c r="K2635" s="191">
        <v>3445.2441185675598</v>
      </c>
      <c r="L2635" s="191"/>
      <c r="M2635" s="191"/>
      <c r="N2635" s="191"/>
      <c r="O2635" s="191"/>
      <c r="P2635" s="191"/>
      <c r="Q2635" s="191"/>
      <c r="R2635" s="191"/>
      <c r="S2635" s="191"/>
      <c r="T2635" s="191"/>
      <c r="U2635" s="439"/>
      <c r="V2635" s="441"/>
      <c r="W2635" s="178"/>
      <c r="X2635" s="172"/>
      <c r="Y2635" s="172"/>
      <c r="Z2635" s="172"/>
      <c r="AA2635" s="195"/>
      <c r="AB2635" s="172"/>
    </row>
    <row r="2636" spans="1:28" ht="12.6" customHeight="1" x14ac:dyDescent="0.3">
      <c r="A2636" s="667"/>
      <c r="B2636" s="668" t="s">
        <v>9283</v>
      </c>
      <c r="C2636" s="160" t="s">
        <v>9284</v>
      </c>
      <c r="D2636" s="160"/>
      <c r="E2636" s="439">
        <v>7</v>
      </c>
      <c r="F2636" s="161">
        <v>351.91951</v>
      </c>
      <c r="G2636" s="161"/>
      <c r="H2636" s="654"/>
      <c r="I2636" s="654"/>
      <c r="J2636" s="191"/>
      <c r="K2636" s="191">
        <v>3445.2441185675598</v>
      </c>
      <c r="L2636" s="191"/>
      <c r="M2636" s="191"/>
      <c r="N2636" s="191"/>
      <c r="O2636" s="191"/>
      <c r="P2636" s="191"/>
      <c r="Q2636" s="191"/>
      <c r="R2636" s="191"/>
      <c r="S2636" s="191"/>
      <c r="T2636" s="191"/>
      <c r="U2636" s="439"/>
      <c r="V2636" s="441"/>
      <c r="W2636" s="178"/>
      <c r="X2636" s="172"/>
      <c r="Y2636" s="172"/>
      <c r="Z2636" s="172"/>
      <c r="AA2636" s="195"/>
      <c r="AB2636" s="172"/>
    </row>
    <row r="2637" spans="1:28" ht="12.6" customHeight="1" x14ac:dyDescent="0.3">
      <c r="A2637" s="667"/>
      <c r="B2637" s="668" t="s">
        <v>9285</v>
      </c>
      <c r="C2637" s="160" t="s">
        <v>9286</v>
      </c>
      <c r="D2637" s="160"/>
      <c r="E2637" s="439">
        <v>5.89</v>
      </c>
      <c r="F2637" s="161">
        <v>501.90992999999997</v>
      </c>
      <c r="G2637" s="161"/>
      <c r="H2637" s="654"/>
      <c r="I2637" s="654"/>
      <c r="J2637" s="191"/>
      <c r="K2637" s="191">
        <v>119332.846453577</v>
      </c>
      <c r="L2637" s="191"/>
      <c r="M2637" s="191"/>
      <c r="N2637" s="191"/>
      <c r="O2637" s="191"/>
      <c r="P2637" s="191"/>
      <c r="Q2637" s="191"/>
      <c r="R2637" s="191"/>
      <c r="S2637" s="191"/>
      <c r="T2637" s="191"/>
      <c r="U2637" s="439"/>
      <c r="V2637" s="441"/>
      <c r="W2637" s="178"/>
      <c r="X2637" s="172"/>
      <c r="Y2637" s="172"/>
      <c r="Z2637" s="172"/>
      <c r="AA2637" s="195"/>
      <c r="AB2637" s="172"/>
    </row>
    <row r="2638" spans="1:28" ht="12.6" customHeight="1" x14ac:dyDescent="0.3">
      <c r="A2638" s="667"/>
      <c r="B2638" s="668" t="s">
        <v>9287</v>
      </c>
      <c r="C2638" s="160" t="s">
        <v>9288</v>
      </c>
      <c r="D2638" s="160"/>
      <c r="E2638" s="439">
        <v>5.89</v>
      </c>
      <c r="F2638" s="161">
        <v>501.90992999999997</v>
      </c>
      <c r="G2638" s="161"/>
      <c r="H2638" s="654"/>
      <c r="I2638" s="654"/>
      <c r="J2638" s="191"/>
      <c r="K2638" s="191">
        <v>119332.846453577</v>
      </c>
      <c r="L2638" s="191"/>
      <c r="M2638" s="191"/>
      <c r="N2638" s="191"/>
      <c r="O2638" s="191"/>
      <c r="P2638" s="191"/>
      <c r="Q2638" s="191"/>
      <c r="R2638" s="191"/>
      <c r="S2638" s="191"/>
      <c r="T2638" s="191"/>
      <c r="U2638" s="439"/>
      <c r="V2638" s="441"/>
      <c r="W2638" s="178"/>
      <c r="X2638" s="172"/>
      <c r="Y2638" s="172"/>
      <c r="Z2638" s="172"/>
      <c r="AA2638" s="195"/>
      <c r="AB2638" s="172"/>
    </row>
    <row r="2639" spans="1:28" ht="12.6" customHeight="1" x14ac:dyDescent="0.3">
      <c r="A2639" s="667"/>
      <c r="B2639" s="668" t="s">
        <v>9289</v>
      </c>
      <c r="C2639" s="160" t="s">
        <v>9290</v>
      </c>
      <c r="D2639" s="160"/>
      <c r="E2639" s="439">
        <v>6.76</v>
      </c>
      <c r="F2639" s="161">
        <v>351.91951</v>
      </c>
      <c r="G2639" s="161"/>
      <c r="H2639" s="654"/>
      <c r="I2639" s="654"/>
      <c r="J2639" s="191"/>
      <c r="K2639" s="191"/>
      <c r="L2639" s="191"/>
      <c r="M2639" s="191"/>
      <c r="N2639" s="191"/>
      <c r="O2639" s="191"/>
      <c r="P2639" s="191"/>
      <c r="Q2639" s="191"/>
      <c r="R2639" s="191"/>
      <c r="S2639" s="191"/>
      <c r="T2639" s="191"/>
      <c r="U2639" s="439"/>
      <c r="V2639" s="441"/>
      <c r="W2639" s="178"/>
      <c r="X2639" s="172"/>
      <c r="Y2639" s="172"/>
      <c r="Z2639" s="172"/>
      <c r="AA2639" s="195"/>
      <c r="AB2639" s="172"/>
    </row>
    <row r="2640" spans="1:28" ht="12.6" customHeight="1" x14ac:dyDescent="0.3">
      <c r="A2640" s="667"/>
      <c r="B2640" s="668" t="s">
        <v>9291</v>
      </c>
      <c r="C2640" s="160" t="s">
        <v>9292</v>
      </c>
      <c r="D2640" s="160"/>
      <c r="E2640" s="439">
        <v>6.76</v>
      </c>
      <c r="F2640" s="161">
        <v>351.91951</v>
      </c>
      <c r="G2640" s="161"/>
      <c r="H2640" s="654"/>
      <c r="I2640" s="654"/>
      <c r="J2640" s="191"/>
      <c r="K2640" s="191">
        <v>5229.3775728209403</v>
      </c>
      <c r="L2640" s="191"/>
      <c r="M2640" s="191"/>
      <c r="N2640" s="191"/>
      <c r="O2640" s="191"/>
      <c r="P2640" s="191"/>
      <c r="Q2640" s="191"/>
      <c r="R2640" s="191"/>
      <c r="S2640" s="191"/>
      <c r="T2640" s="191"/>
      <c r="U2640" s="439"/>
      <c r="V2640" s="441"/>
      <c r="W2640" s="178"/>
      <c r="X2640" s="172"/>
      <c r="Y2640" s="172"/>
      <c r="Z2640" s="172"/>
      <c r="AA2640" s="195"/>
      <c r="AB2640" s="172"/>
    </row>
    <row r="2641" spans="1:28" ht="12.6" customHeight="1" x14ac:dyDescent="0.3">
      <c r="A2641" s="667"/>
      <c r="B2641" s="668" t="s">
        <v>9293</v>
      </c>
      <c r="C2641" s="160" t="s">
        <v>9294</v>
      </c>
      <c r="D2641" s="160"/>
      <c r="E2641" s="439">
        <v>9.3699999999999992</v>
      </c>
      <c r="F2641" s="161">
        <v>353.93516</v>
      </c>
      <c r="G2641" s="161">
        <v>-51.674999999999997</v>
      </c>
      <c r="H2641" s="654">
        <v>847.03599581999902</v>
      </c>
      <c r="I2641" s="654">
        <v>23.600644223411901</v>
      </c>
      <c r="J2641" s="191"/>
      <c r="K2641" s="191">
        <v>2470.0742029521798</v>
      </c>
      <c r="L2641" s="191"/>
      <c r="M2641" s="191"/>
      <c r="N2641" s="191"/>
      <c r="O2641" s="191"/>
      <c r="P2641" s="191"/>
      <c r="Q2641" s="191"/>
      <c r="R2641" s="191"/>
      <c r="S2641" s="191"/>
      <c r="T2641" s="191"/>
      <c r="U2641" s="439"/>
      <c r="V2641" s="441"/>
      <c r="W2641" s="178"/>
      <c r="X2641" s="172"/>
      <c r="Y2641" s="172"/>
      <c r="Z2641" s="172"/>
      <c r="AA2641" s="195"/>
      <c r="AB2641" s="172"/>
    </row>
    <row r="2642" spans="1:28" ht="12.6" customHeight="1" x14ac:dyDescent="0.3">
      <c r="A2642" s="667"/>
      <c r="B2642" s="668" t="s">
        <v>9295</v>
      </c>
      <c r="C2642" s="160" t="s">
        <v>9296</v>
      </c>
      <c r="D2642" s="160"/>
      <c r="E2642" s="439">
        <v>9.31</v>
      </c>
      <c r="F2642" s="161">
        <v>553.92237999999998</v>
      </c>
      <c r="G2642" s="161">
        <v>23.329000000000001</v>
      </c>
      <c r="H2642" s="654">
        <v>9.5918379577999993</v>
      </c>
      <c r="I2642" s="654">
        <v>0.285396873925019</v>
      </c>
      <c r="J2642" s="191"/>
      <c r="K2642" s="191">
        <v>525351.52829836297</v>
      </c>
      <c r="L2642" s="191"/>
      <c r="M2642" s="191"/>
      <c r="N2642" s="191"/>
      <c r="O2642" s="191"/>
      <c r="P2642" s="191"/>
      <c r="Q2642" s="191"/>
      <c r="R2642" s="191"/>
      <c r="S2642" s="191"/>
      <c r="T2642" s="191"/>
      <c r="U2642" s="439"/>
      <c r="V2642" s="441"/>
      <c r="W2642" s="178"/>
      <c r="X2642" s="172"/>
      <c r="Y2642" s="172"/>
      <c r="Z2642" s="172"/>
      <c r="AA2642" s="195"/>
      <c r="AB2642" s="172"/>
    </row>
    <row r="2643" spans="1:28" ht="12.6" customHeight="1" x14ac:dyDescent="0.3">
      <c r="A2643" s="667"/>
      <c r="B2643" s="668" t="s">
        <v>9297</v>
      </c>
      <c r="C2643" s="160" t="s">
        <v>9298</v>
      </c>
      <c r="D2643" s="160"/>
      <c r="E2643" s="439">
        <v>9.58</v>
      </c>
      <c r="F2643" s="161">
        <v>653.91598999999997</v>
      </c>
      <c r="G2643" s="161">
        <v>20.199000000000002</v>
      </c>
      <c r="H2643" s="654">
        <v>5.2954431823999997</v>
      </c>
      <c r="I2643" s="654">
        <v>5.4641416299196999E-2</v>
      </c>
      <c r="J2643" s="191"/>
      <c r="K2643" s="191">
        <v>6071276.33084103</v>
      </c>
      <c r="L2643" s="191"/>
      <c r="M2643" s="191"/>
      <c r="N2643" s="191"/>
      <c r="O2643" s="191"/>
      <c r="P2643" s="191"/>
      <c r="Q2643" s="191"/>
      <c r="R2643" s="191"/>
      <c r="S2643" s="191"/>
      <c r="T2643" s="191"/>
      <c r="U2643" s="439"/>
      <c r="V2643" s="441"/>
      <c r="W2643" s="178"/>
      <c r="X2643" s="172"/>
      <c r="Y2643" s="172"/>
      <c r="Z2643" s="172"/>
      <c r="AA2643" s="195"/>
      <c r="AB2643" s="172"/>
    </row>
    <row r="2644" spans="1:28" ht="12.6" customHeight="1" x14ac:dyDescent="0.3">
      <c r="A2644" s="667"/>
      <c r="B2644" s="668" t="s">
        <v>9299</v>
      </c>
      <c r="C2644" s="160" t="s">
        <v>9300</v>
      </c>
      <c r="D2644" s="160"/>
      <c r="E2644" s="439">
        <v>9.0299999999999994</v>
      </c>
      <c r="F2644" s="161">
        <v>803.90641000000005</v>
      </c>
      <c r="G2644" s="161"/>
      <c r="H2644" s="654"/>
      <c r="I2644" s="654"/>
      <c r="J2644" s="191"/>
      <c r="K2644" s="191">
        <v>412192.41898309701</v>
      </c>
      <c r="L2644" s="191"/>
      <c r="M2644" s="191"/>
      <c r="N2644" s="191"/>
      <c r="O2644" s="191"/>
      <c r="P2644" s="191"/>
      <c r="Q2644" s="191"/>
      <c r="R2644" s="191"/>
      <c r="S2644" s="191"/>
      <c r="T2644" s="191"/>
      <c r="U2644" s="439"/>
      <c r="V2644" s="441"/>
      <c r="W2644" s="178"/>
      <c r="X2644" s="172"/>
      <c r="Y2644" s="172"/>
      <c r="Z2644" s="172"/>
      <c r="AA2644" s="195"/>
      <c r="AB2644" s="172"/>
    </row>
    <row r="2645" spans="1:28" ht="12.6" customHeight="1" x14ac:dyDescent="0.3">
      <c r="A2645" s="667"/>
      <c r="B2645" s="668" t="s">
        <v>9301</v>
      </c>
      <c r="C2645" s="160" t="s">
        <v>9302</v>
      </c>
      <c r="D2645" s="160"/>
      <c r="E2645" s="439">
        <v>9.0299999999999994</v>
      </c>
      <c r="F2645" s="161">
        <v>703.91279999999995</v>
      </c>
      <c r="G2645" s="161"/>
      <c r="H2645" s="654"/>
      <c r="I2645" s="654"/>
      <c r="J2645" s="191"/>
      <c r="K2645" s="191">
        <v>130722.396177895</v>
      </c>
      <c r="L2645" s="191"/>
      <c r="M2645" s="191"/>
      <c r="N2645" s="191"/>
      <c r="O2645" s="191"/>
      <c r="P2645" s="191"/>
      <c r="Q2645" s="191"/>
      <c r="R2645" s="191"/>
      <c r="S2645" s="191"/>
      <c r="T2645" s="191"/>
      <c r="U2645" s="439"/>
      <c r="V2645" s="441"/>
      <c r="W2645" s="178"/>
      <c r="X2645" s="172"/>
      <c r="Y2645" s="172"/>
      <c r="Z2645" s="172"/>
      <c r="AA2645" s="195"/>
      <c r="AB2645" s="172"/>
    </row>
    <row r="2646" spans="1:28" ht="12.6" customHeight="1" x14ac:dyDescent="0.3">
      <c r="A2646" s="667"/>
      <c r="B2646" s="668" t="s">
        <v>9303</v>
      </c>
      <c r="C2646" s="160" t="s">
        <v>9304</v>
      </c>
      <c r="D2646" s="160"/>
      <c r="E2646" s="439">
        <v>9.0299999999999994</v>
      </c>
      <c r="F2646" s="161">
        <v>603.91918999999996</v>
      </c>
      <c r="G2646" s="161"/>
      <c r="H2646" s="654"/>
      <c r="I2646" s="654"/>
      <c r="J2646" s="191"/>
      <c r="K2646" s="191">
        <v>670563.63851223805</v>
      </c>
      <c r="L2646" s="191"/>
      <c r="M2646" s="191"/>
      <c r="N2646" s="191"/>
      <c r="O2646" s="191"/>
      <c r="P2646" s="191"/>
      <c r="Q2646" s="191"/>
      <c r="R2646" s="191"/>
      <c r="S2646" s="191"/>
      <c r="T2646" s="191"/>
      <c r="U2646" s="439"/>
      <c r="V2646" s="441"/>
      <c r="W2646" s="178"/>
      <c r="X2646" s="172"/>
      <c r="Y2646" s="172"/>
      <c r="Z2646" s="172"/>
      <c r="AA2646" s="195"/>
      <c r="AB2646" s="172"/>
    </row>
    <row r="2647" spans="1:28" ht="12.6" customHeight="1" x14ac:dyDescent="0.3">
      <c r="A2647" s="667"/>
      <c r="B2647" s="668" t="s">
        <v>9305</v>
      </c>
      <c r="C2647" s="160" t="s">
        <v>9306</v>
      </c>
      <c r="D2647" s="160"/>
      <c r="E2647" s="439">
        <v>8.9</v>
      </c>
      <c r="F2647" s="161">
        <v>553.92237999999998</v>
      </c>
      <c r="G2647" s="161">
        <v>20.917000000000002</v>
      </c>
      <c r="H2647" s="654">
        <v>6.8533374167999996</v>
      </c>
      <c r="I2647" s="654">
        <v>9.9643435171059905E-2</v>
      </c>
      <c r="J2647" s="191"/>
      <c r="K2647" s="191">
        <v>292381.57417382899</v>
      </c>
      <c r="L2647" s="191"/>
      <c r="M2647" s="191"/>
      <c r="N2647" s="191"/>
      <c r="O2647" s="191"/>
      <c r="P2647" s="191"/>
      <c r="Q2647" s="191"/>
      <c r="R2647" s="191"/>
      <c r="S2647" s="191"/>
      <c r="T2647" s="191"/>
      <c r="U2647" s="439"/>
      <c r="V2647" s="441"/>
      <c r="W2647" s="178"/>
      <c r="X2647" s="172"/>
      <c r="Y2647" s="172"/>
      <c r="Z2647" s="172"/>
      <c r="AA2647" s="195"/>
      <c r="AB2647" s="172"/>
    </row>
    <row r="2648" spans="1:28" ht="12.6" customHeight="1" x14ac:dyDescent="0.3">
      <c r="A2648" s="667"/>
      <c r="B2648" s="668" t="s">
        <v>9307</v>
      </c>
      <c r="C2648" s="160" t="s">
        <v>9308</v>
      </c>
      <c r="D2648" s="160"/>
      <c r="E2648" s="439">
        <v>8.75</v>
      </c>
      <c r="F2648" s="161">
        <v>503.92558000000002</v>
      </c>
      <c r="G2648" s="161"/>
      <c r="H2648" s="654"/>
      <c r="I2648" s="654"/>
      <c r="J2648" s="191"/>
      <c r="K2648" s="191">
        <v>86508.742676496302</v>
      </c>
      <c r="L2648" s="191"/>
      <c r="M2648" s="191"/>
      <c r="N2648" s="191"/>
      <c r="O2648" s="191"/>
      <c r="P2648" s="191"/>
      <c r="Q2648" s="191"/>
      <c r="R2648" s="191"/>
      <c r="S2648" s="191"/>
      <c r="T2648" s="191"/>
      <c r="U2648" s="439"/>
      <c r="V2648" s="441"/>
      <c r="W2648" s="178"/>
      <c r="X2648" s="172"/>
      <c r="Y2648" s="172"/>
      <c r="Z2648" s="172"/>
      <c r="AA2648" s="195"/>
      <c r="AB2648" s="172"/>
    </row>
    <row r="2649" spans="1:28" ht="12.6" customHeight="1" x14ac:dyDescent="0.3">
      <c r="A2649" s="667"/>
      <c r="B2649" s="668" t="s">
        <v>9309</v>
      </c>
      <c r="C2649" s="160" t="s">
        <v>9310</v>
      </c>
      <c r="D2649" s="160"/>
      <c r="E2649" s="439">
        <v>9.23</v>
      </c>
      <c r="F2649" s="161">
        <v>403.93196</v>
      </c>
      <c r="G2649" s="161"/>
      <c r="H2649" s="654"/>
      <c r="I2649" s="654"/>
      <c r="J2649" s="191"/>
      <c r="K2649" s="191">
        <v>8265.1359213221203</v>
      </c>
      <c r="L2649" s="191"/>
      <c r="M2649" s="191"/>
      <c r="N2649" s="191"/>
      <c r="O2649" s="191"/>
      <c r="P2649" s="191"/>
      <c r="Q2649" s="191"/>
      <c r="R2649" s="191"/>
      <c r="S2649" s="191"/>
      <c r="T2649" s="191"/>
      <c r="U2649" s="439"/>
      <c r="V2649" s="441"/>
      <c r="W2649" s="178"/>
      <c r="X2649" s="172"/>
      <c r="Y2649" s="172"/>
      <c r="Z2649" s="172"/>
      <c r="AA2649" s="195"/>
      <c r="AB2649" s="172"/>
    </row>
    <row r="2650" spans="1:28" ht="12.6" customHeight="1" x14ac:dyDescent="0.3">
      <c r="A2650" s="667"/>
      <c r="B2650" s="668" t="s">
        <v>9311</v>
      </c>
      <c r="C2650" s="160" t="s">
        <v>9312</v>
      </c>
      <c r="D2650" s="160"/>
      <c r="E2650" s="439">
        <v>9.3800000000000008</v>
      </c>
      <c r="F2650" s="161">
        <v>353.93516</v>
      </c>
      <c r="G2650" s="161">
        <v>-34.624000000000002</v>
      </c>
      <c r="H2650" s="654">
        <v>60.939886336000001</v>
      </c>
      <c r="I2650" s="654">
        <v>26.358683957712</v>
      </c>
      <c r="J2650" s="191"/>
      <c r="K2650" s="191">
        <v>4518.8715855585997</v>
      </c>
      <c r="L2650" s="191"/>
      <c r="M2650" s="191"/>
      <c r="N2650" s="191"/>
      <c r="O2650" s="191"/>
      <c r="P2650" s="191"/>
      <c r="Q2650" s="191"/>
      <c r="R2650" s="191"/>
      <c r="S2650" s="191"/>
      <c r="T2650" s="191"/>
      <c r="U2650" s="439"/>
      <c r="V2650" s="441"/>
      <c r="W2650" s="178"/>
      <c r="X2650" s="172"/>
      <c r="Y2650" s="172"/>
      <c r="Z2650" s="172"/>
      <c r="AA2650" s="195"/>
      <c r="AB2650" s="172"/>
    </row>
    <row r="2651" spans="1:28" ht="12.6" customHeight="1" x14ac:dyDescent="0.3">
      <c r="A2651" s="667"/>
      <c r="B2651" s="668" t="s">
        <v>9313</v>
      </c>
      <c r="C2651" s="160" t="s">
        <v>9314</v>
      </c>
      <c r="D2651" s="160"/>
      <c r="E2651" s="439">
        <v>8.27</v>
      </c>
      <c r="F2651" s="161">
        <v>280.01458286799999</v>
      </c>
      <c r="G2651" s="161"/>
      <c r="H2651" s="654"/>
      <c r="I2651" s="654"/>
      <c r="J2651" s="191"/>
      <c r="K2651" s="191">
        <v>223.62481793857199</v>
      </c>
      <c r="L2651" s="191"/>
      <c r="M2651" s="191"/>
      <c r="N2651" s="191"/>
      <c r="O2651" s="191"/>
      <c r="P2651" s="191"/>
      <c r="Q2651" s="191"/>
      <c r="R2651" s="191"/>
      <c r="S2651" s="191"/>
      <c r="T2651" s="191"/>
      <c r="U2651" s="439"/>
      <c r="V2651" s="441"/>
      <c r="W2651" s="178"/>
      <c r="X2651" s="172"/>
      <c r="Y2651" s="172"/>
      <c r="Z2651" s="172"/>
      <c r="AA2651" s="195"/>
      <c r="AB2651" s="172"/>
    </row>
    <row r="2652" spans="1:28" ht="12.6" customHeight="1" x14ac:dyDescent="0.3">
      <c r="A2652" s="667"/>
      <c r="B2652" s="668" t="s">
        <v>9315</v>
      </c>
      <c r="C2652" s="160" t="s">
        <v>9316</v>
      </c>
      <c r="D2652" s="160"/>
      <c r="E2652" s="439">
        <v>8.57</v>
      </c>
      <c r="F2652" s="161">
        <v>494.01745823599998</v>
      </c>
      <c r="G2652" s="161"/>
      <c r="H2652" s="654"/>
      <c r="I2652" s="654"/>
      <c r="J2652" s="191"/>
      <c r="K2652" s="191">
        <v>22163.074177646999</v>
      </c>
      <c r="L2652" s="191"/>
      <c r="M2652" s="191"/>
      <c r="N2652" s="191"/>
      <c r="O2652" s="191"/>
      <c r="P2652" s="191"/>
      <c r="Q2652" s="191"/>
      <c r="R2652" s="191"/>
      <c r="S2652" s="191"/>
      <c r="T2652" s="191"/>
      <c r="U2652" s="439"/>
      <c r="V2652" s="441"/>
      <c r="W2652" s="178"/>
      <c r="X2652" s="172"/>
      <c r="Y2652" s="172"/>
      <c r="Z2652" s="172"/>
      <c r="AA2652" s="195"/>
      <c r="AB2652" s="172"/>
    </row>
    <row r="2653" spans="1:28" ht="12.6" customHeight="1" x14ac:dyDescent="0.3">
      <c r="A2653" s="667"/>
      <c r="B2653" s="668" t="s">
        <v>9317</v>
      </c>
      <c r="C2653" s="160" t="s">
        <v>9318</v>
      </c>
      <c r="D2653" s="160"/>
      <c r="E2653" s="439">
        <v>8.2899999999999991</v>
      </c>
      <c r="F2653" s="161">
        <v>394.02384558400001</v>
      </c>
      <c r="G2653" s="161">
        <v>-15.691000000000001</v>
      </c>
      <c r="H2653" s="654">
        <v>12.442328978800001</v>
      </c>
      <c r="I2653" s="654">
        <v>3.1880311736663201</v>
      </c>
      <c r="J2653" s="191"/>
      <c r="K2653" s="191">
        <v>2124.8584289569499</v>
      </c>
      <c r="L2653" s="191"/>
      <c r="M2653" s="191"/>
      <c r="N2653" s="191"/>
      <c r="O2653" s="191"/>
      <c r="P2653" s="191"/>
      <c r="Q2653" s="191"/>
      <c r="R2653" s="191"/>
      <c r="S2653" s="191"/>
      <c r="T2653" s="191"/>
      <c r="U2653" s="439"/>
      <c r="V2653" s="441"/>
      <c r="W2653" s="178"/>
      <c r="X2653" s="172"/>
      <c r="Y2653" s="172"/>
      <c r="Z2653" s="172"/>
      <c r="AA2653" s="195"/>
      <c r="AB2653" s="172"/>
    </row>
    <row r="2654" spans="1:28" ht="12.6" customHeight="1" x14ac:dyDescent="0.3">
      <c r="A2654" s="667"/>
      <c r="B2654" s="668" t="s">
        <v>9319</v>
      </c>
      <c r="C2654" s="160" t="s">
        <v>9320</v>
      </c>
      <c r="D2654" s="160"/>
      <c r="E2654" s="439">
        <v>8.67</v>
      </c>
      <c r="F2654" s="161">
        <v>294.03023293199999</v>
      </c>
      <c r="G2654" s="161"/>
      <c r="H2654" s="654"/>
      <c r="I2654" s="654"/>
      <c r="J2654" s="191"/>
      <c r="K2654" s="191">
        <v>250.23035958319801</v>
      </c>
      <c r="L2654" s="191"/>
      <c r="M2654" s="191"/>
      <c r="N2654" s="191"/>
      <c r="O2654" s="191"/>
      <c r="P2654" s="191"/>
      <c r="Q2654" s="191"/>
      <c r="R2654" s="191"/>
      <c r="S2654" s="191"/>
      <c r="T2654" s="191"/>
      <c r="U2654" s="439"/>
      <c r="V2654" s="441"/>
      <c r="W2654" s="178"/>
      <c r="X2654" s="172"/>
      <c r="Y2654" s="172"/>
      <c r="Z2654" s="172"/>
      <c r="AA2654" s="195"/>
      <c r="AB2654" s="172"/>
    </row>
    <row r="2655" spans="1:28" ht="12.6" customHeight="1" x14ac:dyDescent="0.3">
      <c r="A2655" s="667"/>
      <c r="B2655" s="668" t="s">
        <v>9321</v>
      </c>
      <c r="C2655" s="160" t="s">
        <v>9322</v>
      </c>
      <c r="D2655" s="160"/>
      <c r="E2655" s="439">
        <v>8.85</v>
      </c>
      <c r="F2655" s="161">
        <v>244.03342660600001</v>
      </c>
      <c r="G2655" s="161"/>
      <c r="H2655" s="654"/>
      <c r="I2655" s="654"/>
      <c r="J2655" s="191"/>
      <c r="K2655" s="191">
        <v>55.499618777703098</v>
      </c>
      <c r="L2655" s="191"/>
      <c r="M2655" s="191"/>
      <c r="N2655" s="191"/>
      <c r="O2655" s="191"/>
      <c r="P2655" s="191"/>
      <c r="Q2655" s="191"/>
      <c r="R2655" s="191"/>
      <c r="S2655" s="191"/>
      <c r="T2655" s="191"/>
      <c r="U2655" s="439"/>
      <c r="V2655" s="441"/>
      <c r="W2655" s="178"/>
      <c r="X2655" s="172"/>
      <c r="Y2655" s="172"/>
      <c r="Z2655" s="172"/>
      <c r="AA2655" s="195"/>
      <c r="AB2655" s="172"/>
    </row>
    <row r="2656" spans="1:28" ht="12.6" customHeight="1" x14ac:dyDescent="0.3">
      <c r="A2656" s="667"/>
      <c r="B2656" s="668" t="s">
        <v>9323</v>
      </c>
      <c r="C2656" s="160" t="s">
        <v>9324</v>
      </c>
      <c r="D2656" s="160"/>
      <c r="E2656" s="439">
        <v>8.76</v>
      </c>
      <c r="F2656" s="161">
        <v>408.039495649</v>
      </c>
      <c r="G2656" s="161">
        <v>-14.888</v>
      </c>
      <c r="H2656" s="654">
        <v>5.5322497188000002</v>
      </c>
      <c r="I2656" s="654">
        <v>7.0421088317086999</v>
      </c>
      <c r="J2656" s="191"/>
      <c r="K2656" s="191">
        <v>5562.4996927459397</v>
      </c>
      <c r="L2656" s="191"/>
      <c r="M2656" s="191"/>
      <c r="N2656" s="191"/>
      <c r="O2656" s="191"/>
      <c r="P2656" s="191"/>
      <c r="Q2656" s="191"/>
      <c r="R2656" s="191"/>
      <c r="S2656" s="191"/>
      <c r="T2656" s="191"/>
      <c r="U2656" s="439"/>
      <c r="V2656" s="441"/>
      <c r="W2656" s="178"/>
      <c r="X2656" s="172"/>
      <c r="Y2656" s="172"/>
      <c r="Z2656" s="172"/>
      <c r="AA2656" s="195"/>
      <c r="AB2656" s="172"/>
    </row>
    <row r="2657" spans="1:28" ht="12.6" customHeight="1" x14ac:dyDescent="0.3">
      <c r="A2657" s="667"/>
      <c r="B2657" s="668" t="s">
        <v>9325</v>
      </c>
      <c r="C2657" s="160" t="s">
        <v>9326</v>
      </c>
      <c r="D2657" s="160"/>
      <c r="E2657" s="439">
        <v>8.73</v>
      </c>
      <c r="F2657" s="161">
        <v>274.043991291</v>
      </c>
      <c r="G2657" s="161"/>
      <c r="H2657" s="654"/>
      <c r="I2657" s="654"/>
      <c r="J2657" s="191"/>
      <c r="K2657" s="191">
        <v>60.541057120960602</v>
      </c>
      <c r="L2657" s="191"/>
      <c r="M2657" s="191"/>
      <c r="N2657" s="191"/>
      <c r="O2657" s="191"/>
      <c r="P2657" s="191"/>
      <c r="Q2657" s="191"/>
      <c r="R2657" s="191"/>
      <c r="S2657" s="191"/>
      <c r="T2657" s="191"/>
      <c r="U2657" s="439"/>
      <c r="V2657" s="441"/>
      <c r="W2657" s="178"/>
      <c r="X2657" s="172"/>
      <c r="Y2657" s="172"/>
      <c r="Z2657" s="172"/>
      <c r="AA2657" s="195"/>
      <c r="AB2657" s="172"/>
    </row>
    <row r="2658" spans="1:28" ht="12.6" customHeight="1" x14ac:dyDescent="0.3">
      <c r="A2658" s="667"/>
      <c r="B2658" s="668" t="s">
        <v>9327</v>
      </c>
      <c r="C2658" s="160" t="s">
        <v>9328</v>
      </c>
      <c r="D2658" s="160"/>
      <c r="E2658" s="439">
        <v>8.84</v>
      </c>
      <c r="F2658" s="161">
        <v>438.05006033299998</v>
      </c>
      <c r="G2658" s="161">
        <v>-28.224</v>
      </c>
      <c r="H2658" s="654">
        <v>2.0179084631999999</v>
      </c>
      <c r="I2658" s="654">
        <v>4.6081114146790201</v>
      </c>
      <c r="J2658" s="191"/>
      <c r="K2658" s="191">
        <v>4509.30903823886</v>
      </c>
      <c r="L2658" s="191"/>
      <c r="M2658" s="191"/>
      <c r="N2658" s="191"/>
      <c r="O2658" s="191"/>
      <c r="P2658" s="191"/>
      <c r="Q2658" s="191"/>
      <c r="R2658" s="191"/>
      <c r="S2658" s="191"/>
      <c r="T2658" s="191"/>
      <c r="U2658" s="439"/>
      <c r="V2658" s="441"/>
      <c r="W2658" s="178"/>
      <c r="X2658" s="172"/>
      <c r="Y2658" s="172"/>
      <c r="Z2658" s="172"/>
      <c r="AA2658" s="195"/>
      <c r="AB2658" s="172"/>
    </row>
    <row r="2659" spans="1:28" ht="12.6" customHeight="1" x14ac:dyDescent="0.3">
      <c r="A2659" s="667"/>
      <c r="B2659" s="668" t="s">
        <v>9329</v>
      </c>
      <c r="C2659" s="160" t="s">
        <v>9330</v>
      </c>
      <c r="D2659" s="160"/>
      <c r="E2659" s="439">
        <v>9</v>
      </c>
      <c r="F2659" s="161">
        <v>338.05644768100001</v>
      </c>
      <c r="G2659" s="161"/>
      <c r="H2659" s="654"/>
      <c r="I2659" s="654"/>
      <c r="J2659" s="191"/>
      <c r="K2659" s="191">
        <v>567.68837378720104</v>
      </c>
      <c r="L2659" s="191"/>
      <c r="M2659" s="191"/>
      <c r="N2659" s="191"/>
      <c r="O2659" s="191"/>
      <c r="P2659" s="191"/>
      <c r="Q2659" s="191"/>
      <c r="R2659" s="191"/>
      <c r="S2659" s="191"/>
      <c r="T2659" s="191"/>
      <c r="U2659" s="439"/>
      <c r="V2659" s="441"/>
      <c r="W2659" s="178"/>
      <c r="X2659" s="172"/>
      <c r="Y2659" s="172"/>
      <c r="Z2659" s="172"/>
      <c r="AA2659" s="195"/>
      <c r="AB2659" s="172"/>
    </row>
    <row r="2660" spans="1:28" ht="12.6" customHeight="1" x14ac:dyDescent="0.3">
      <c r="A2660" s="667"/>
      <c r="B2660" s="668" t="s">
        <v>9331</v>
      </c>
      <c r="C2660" s="160" t="s">
        <v>9332</v>
      </c>
      <c r="D2660" s="160"/>
      <c r="E2660" s="439">
        <v>6.04</v>
      </c>
      <c r="F2660" s="161">
        <v>274.00401818400002</v>
      </c>
      <c r="G2660" s="161">
        <v>-64.486999999999995</v>
      </c>
      <c r="H2660" s="654">
        <v>139.60546585999899</v>
      </c>
      <c r="I2660" s="654">
        <v>38.085188507485</v>
      </c>
      <c r="J2660" s="191"/>
      <c r="K2660" s="191">
        <v>250.47823825591101</v>
      </c>
      <c r="L2660" s="191"/>
      <c r="M2660" s="191"/>
      <c r="N2660" s="191"/>
      <c r="O2660" s="191"/>
      <c r="P2660" s="191"/>
      <c r="Q2660" s="191"/>
      <c r="R2660" s="191"/>
      <c r="S2660" s="191"/>
      <c r="T2660" s="191"/>
      <c r="U2660" s="439"/>
      <c r="V2660" s="441"/>
      <c r="W2660" s="178"/>
      <c r="X2660" s="172"/>
      <c r="Y2660" s="172"/>
      <c r="Z2660" s="172"/>
      <c r="AA2660" s="195"/>
      <c r="AB2660" s="172"/>
    </row>
    <row r="2661" spans="1:28" ht="12.6" customHeight="1" x14ac:dyDescent="0.3">
      <c r="A2661" s="667"/>
      <c r="B2661" s="668" t="s">
        <v>9333</v>
      </c>
      <c r="C2661" s="160" t="s">
        <v>9334</v>
      </c>
      <c r="D2661" s="160"/>
      <c r="E2661" s="439">
        <v>9.3000000000000007</v>
      </c>
      <c r="F2661" s="161">
        <v>226.022861922</v>
      </c>
      <c r="G2661" s="161"/>
      <c r="H2661" s="654"/>
      <c r="I2661" s="654"/>
      <c r="J2661" s="191"/>
      <c r="K2661" s="191">
        <v>335.83039479155599</v>
      </c>
      <c r="L2661" s="191"/>
      <c r="M2661" s="191"/>
      <c r="N2661" s="191"/>
      <c r="O2661" s="191"/>
      <c r="P2661" s="191"/>
      <c r="Q2661" s="191"/>
      <c r="R2661" s="191"/>
      <c r="S2661" s="191"/>
      <c r="T2661" s="191"/>
      <c r="U2661" s="439"/>
      <c r="V2661" s="441"/>
      <c r="W2661" s="178"/>
      <c r="X2661" s="172"/>
      <c r="Y2661" s="172"/>
      <c r="Z2661" s="172"/>
      <c r="AA2661" s="195"/>
      <c r="AB2661" s="172"/>
    </row>
    <row r="2662" spans="1:28" ht="12.6" customHeight="1" x14ac:dyDescent="0.3">
      <c r="A2662" s="667"/>
      <c r="B2662" s="668" t="s">
        <v>9335</v>
      </c>
      <c r="C2662" s="160" t="s">
        <v>9336</v>
      </c>
      <c r="D2662" s="160"/>
      <c r="E2662" s="439">
        <v>9.08</v>
      </c>
      <c r="F2662" s="161">
        <v>376.01328089999998</v>
      </c>
      <c r="G2662" s="161"/>
      <c r="H2662" s="654"/>
      <c r="I2662" s="654"/>
      <c r="J2662" s="191"/>
      <c r="K2662" s="191">
        <v>3966.2492227360799</v>
      </c>
      <c r="L2662" s="191"/>
      <c r="M2662" s="191"/>
      <c r="N2662" s="191"/>
      <c r="O2662" s="191"/>
      <c r="P2662" s="191"/>
      <c r="Q2662" s="191"/>
      <c r="R2662" s="191"/>
      <c r="S2662" s="191"/>
      <c r="T2662" s="191"/>
      <c r="U2662" s="439"/>
      <c r="V2662" s="441"/>
      <c r="W2662" s="178"/>
      <c r="X2662" s="172"/>
      <c r="Y2662" s="172"/>
      <c r="Z2662" s="172"/>
      <c r="AA2662" s="195"/>
      <c r="AB2662" s="172"/>
    </row>
    <row r="2663" spans="1:28" ht="12.6" customHeight="1" x14ac:dyDescent="0.3">
      <c r="A2663" s="667"/>
      <c r="B2663" s="668" t="s">
        <v>9337</v>
      </c>
      <c r="C2663" s="160" t="s">
        <v>9338</v>
      </c>
      <c r="D2663" s="160"/>
      <c r="E2663" s="439">
        <v>9.3000000000000007</v>
      </c>
      <c r="F2663" s="161">
        <v>226.022861922</v>
      </c>
      <c r="G2663" s="161"/>
      <c r="H2663" s="654"/>
      <c r="I2663" s="654"/>
      <c r="J2663" s="191"/>
      <c r="K2663" s="191">
        <v>335.83039479155599</v>
      </c>
      <c r="L2663" s="191"/>
      <c r="M2663" s="191"/>
      <c r="N2663" s="191"/>
      <c r="O2663" s="191"/>
      <c r="P2663" s="191"/>
      <c r="Q2663" s="191"/>
      <c r="R2663" s="191"/>
      <c r="S2663" s="191"/>
      <c r="T2663" s="191"/>
      <c r="U2663" s="439"/>
      <c r="V2663" s="441"/>
      <c r="W2663" s="178"/>
      <c r="X2663" s="172"/>
      <c r="Y2663" s="172"/>
      <c r="Z2663" s="172"/>
      <c r="AA2663" s="195"/>
      <c r="AB2663" s="172"/>
    </row>
    <row r="2664" spans="1:28" ht="12.6" customHeight="1" x14ac:dyDescent="0.3">
      <c r="A2664" s="667"/>
      <c r="B2664" s="668" t="s">
        <v>9339</v>
      </c>
      <c r="C2664" s="160" t="s">
        <v>9340</v>
      </c>
      <c r="D2664" s="160"/>
      <c r="E2664" s="439">
        <v>9.17</v>
      </c>
      <c r="F2664" s="161">
        <v>476.00689355200001</v>
      </c>
      <c r="G2664" s="161">
        <v>-36.201999999999998</v>
      </c>
      <c r="H2664" s="654">
        <v>21.67215771</v>
      </c>
      <c r="I2664" s="654">
        <v>0.15510065817430299</v>
      </c>
      <c r="J2664" s="191"/>
      <c r="K2664" s="191">
        <v>23091.385942099201</v>
      </c>
      <c r="L2664" s="191"/>
      <c r="M2664" s="191"/>
      <c r="N2664" s="191"/>
      <c r="O2664" s="191"/>
      <c r="P2664" s="191"/>
      <c r="Q2664" s="191"/>
      <c r="R2664" s="191"/>
      <c r="S2664" s="191"/>
      <c r="T2664" s="191"/>
      <c r="U2664" s="439"/>
      <c r="V2664" s="441"/>
      <c r="W2664" s="178"/>
      <c r="X2664" s="172"/>
      <c r="Y2664" s="172"/>
      <c r="Z2664" s="172"/>
      <c r="AA2664" s="195"/>
      <c r="AB2664" s="172"/>
    </row>
    <row r="2665" spans="1:28" ht="12.6" customHeight="1" x14ac:dyDescent="0.3">
      <c r="A2665" s="667"/>
      <c r="B2665" s="668" t="s">
        <v>9341</v>
      </c>
      <c r="C2665" s="160" t="s">
        <v>9342</v>
      </c>
      <c r="D2665" s="160"/>
      <c r="E2665" s="439">
        <v>9.08</v>
      </c>
      <c r="F2665" s="161">
        <v>376.01328089999998</v>
      </c>
      <c r="G2665" s="161"/>
      <c r="H2665" s="654"/>
      <c r="I2665" s="654"/>
      <c r="J2665" s="191"/>
      <c r="K2665" s="191">
        <v>3966.2492227360799</v>
      </c>
      <c r="L2665" s="191"/>
      <c r="M2665" s="191"/>
      <c r="N2665" s="191"/>
      <c r="O2665" s="191"/>
      <c r="P2665" s="191"/>
      <c r="Q2665" s="191"/>
      <c r="R2665" s="191"/>
      <c r="S2665" s="191"/>
      <c r="T2665" s="191"/>
      <c r="U2665" s="439"/>
      <c r="V2665" s="441"/>
      <c r="W2665" s="178"/>
      <c r="X2665" s="172"/>
      <c r="Y2665" s="172"/>
      <c r="Z2665" s="172"/>
      <c r="AA2665" s="195"/>
      <c r="AB2665" s="172"/>
    </row>
    <row r="2666" spans="1:28" ht="12.6" customHeight="1" x14ac:dyDescent="0.3">
      <c r="A2666" s="667"/>
      <c r="B2666" s="668" t="s">
        <v>9343</v>
      </c>
      <c r="C2666" s="160" t="s">
        <v>9344</v>
      </c>
      <c r="D2666" s="160"/>
      <c r="E2666" s="439">
        <v>9.08</v>
      </c>
      <c r="F2666" s="161">
        <v>376.01328089999998</v>
      </c>
      <c r="G2666" s="161">
        <v>-24.634</v>
      </c>
      <c r="H2666" s="654">
        <v>98.378837087999997</v>
      </c>
      <c r="I2666" s="654">
        <v>3.0213644754845301</v>
      </c>
      <c r="J2666" s="191"/>
      <c r="K2666" s="191">
        <v>3966.2492227360799</v>
      </c>
      <c r="L2666" s="191"/>
      <c r="M2666" s="191"/>
      <c r="N2666" s="191"/>
      <c r="O2666" s="191"/>
      <c r="P2666" s="191"/>
      <c r="Q2666" s="191"/>
      <c r="R2666" s="191"/>
      <c r="S2666" s="191"/>
      <c r="T2666" s="191"/>
      <c r="U2666" s="439"/>
      <c r="V2666" s="441"/>
      <c r="W2666" s="178"/>
      <c r="X2666" s="172"/>
      <c r="Y2666" s="172"/>
      <c r="Z2666" s="172"/>
      <c r="AA2666" s="195"/>
      <c r="AB2666" s="172"/>
    </row>
    <row r="2667" spans="1:28" ht="12.6" customHeight="1" x14ac:dyDescent="0.3">
      <c r="A2667" s="667"/>
      <c r="B2667" s="668" t="s">
        <v>9345</v>
      </c>
      <c r="C2667" s="160" t="s">
        <v>9346</v>
      </c>
      <c r="D2667" s="160"/>
      <c r="E2667" s="439">
        <v>8.69</v>
      </c>
      <c r="F2667" s="161">
        <v>276.01966824800002</v>
      </c>
      <c r="G2667" s="161"/>
      <c r="H2667" s="654"/>
      <c r="I2667" s="654"/>
      <c r="J2667" s="191"/>
      <c r="K2667" s="191">
        <v>323.48935947100699</v>
      </c>
      <c r="L2667" s="191"/>
      <c r="M2667" s="191"/>
      <c r="N2667" s="191"/>
      <c r="O2667" s="191"/>
      <c r="P2667" s="191"/>
      <c r="Q2667" s="191"/>
      <c r="R2667" s="191"/>
      <c r="S2667" s="191"/>
      <c r="T2667" s="191"/>
      <c r="U2667" s="439"/>
      <c r="V2667" s="441"/>
      <c r="W2667" s="178"/>
      <c r="X2667" s="172"/>
      <c r="Y2667" s="172"/>
      <c r="Z2667" s="172"/>
      <c r="AA2667" s="195"/>
      <c r="AB2667" s="172"/>
    </row>
    <row r="2668" spans="1:28" ht="12.6" customHeight="1" x14ac:dyDescent="0.3">
      <c r="A2668" s="667"/>
      <c r="B2668" s="668" t="s">
        <v>9347</v>
      </c>
      <c r="C2668" s="160" t="s">
        <v>9348</v>
      </c>
      <c r="D2668" s="160"/>
      <c r="E2668" s="439">
        <v>8.69</v>
      </c>
      <c r="F2668" s="161">
        <v>276.01966824800002</v>
      </c>
      <c r="G2668" s="161"/>
      <c r="H2668" s="654"/>
      <c r="I2668" s="654"/>
      <c r="J2668" s="191"/>
      <c r="K2668" s="191">
        <v>323.48935947100699</v>
      </c>
      <c r="L2668" s="191"/>
      <c r="M2668" s="191"/>
      <c r="N2668" s="191"/>
      <c r="O2668" s="191"/>
      <c r="P2668" s="191"/>
      <c r="Q2668" s="191"/>
      <c r="R2668" s="191"/>
      <c r="S2668" s="191"/>
      <c r="T2668" s="191"/>
      <c r="U2668" s="439"/>
      <c r="V2668" s="441"/>
      <c r="W2668" s="178"/>
      <c r="X2668" s="172"/>
      <c r="Y2668" s="172"/>
      <c r="Z2668" s="172"/>
      <c r="AA2668" s="195"/>
      <c r="AB2668" s="172"/>
    </row>
    <row r="2669" spans="1:28" ht="12.6" customHeight="1" x14ac:dyDescent="0.3">
      <c r="A2669" s="667"/>
      <c r="B2669" s="668" t="s">
        <v>9349</v>
      </c>
      <c r="C2669" s="160" t="s">
        <v>9350</v>
      </c>
      <c r="D2669" s="160"/>
      <c r="E2669" s="439">
        <v>9.2799999999999994</v>
      </c>
      <c r="F2669" s="161">
        <v>226.022861922</v>
      </c>
      <c r="G2669" s="161"/>
      <c r="H2669" s="654"/>
      <c r="I2669" s="654"/>
      <c r="J2669" s="191"/>
      <c r="K2669" s="191">
        <v>115.627197603475</v>
      </c>
      <c r="L2669" s="191"/>
      <c r="M2669" s="191"/>
      <c r="N2669" s="191"/>
      <c r="O2669" s="191"/>
      <c r="P2669" s="191"/>
      <c r="Q2669" s="191"/>
      <c r="R2669" s="191"/>
      <c r="S2669" s="191"/>
      <c r="T2669" s="191"/>
      <c r="U2669" s="439"/>
      <c r="V2669" s="441"/>
      <c r="W2669" s="178"/>
      <c r="X2669" s="172"/>
      <c r="Y2669" s="172"/>
      <c r="Z2669" s="172"/>
      <c r="AA2669" s="195"/>
      <c r="AB2669" s="172"/>
    </row>
    <row r="2670" spans="1:28" ht="12.6" customHeight="1" x14ac:dyDescent="0.3">
      <c r="A2670" s="667"/>
      <c r="B2670" s="668" t="s">
        <v>9351</v>
      </c>
      <c r="C2670" s="160" t="s">
        <v>9352</v>
      </c>
      <c r="D2670" s="160"/>
      <c r="E2670" s="439">
        <v>9.2799999999999994</v>
      </c>
      <c r="F2670" s="161">
        <v>226.022861922</v>
      </c>
      <c r="G2670" s="161"/>
      <c r="H2670" s="654"/>
      <c r="I2670" s="654"/>
      <c r="J2670" s="191"/>
      <c r="K2670" s="191">
        <v>115.627197603475</v>
      </c>
      <c r="L2670" s="191"/>
      <c r="M2670" s="191"/>
      <c r="N2670" s="191"/>
      <c r="O2670" s="191"/>
      <c r="P2670" s="191"/>
      <c r="Q2670" s="191"/>
      <c r="R2670" s="191"/>
      <c r="S2670" s="191"/>
      <c r="T2670" s="191"/>
      <c r="U2670" s="439"/>
      <c r="V2670" s="441"/>
      <c r="W2670" s="178"/>
      <c r="X2670" s="172"/>
      <c r="Y2670" s="172"/>
      <c r="Z2670" s="172"/>
      <c r="AA2670" s="195"/>
      <c r="AB2670" s="172"/>
    </row>
    <row r="2671" spans="1:28" ht="12.6" customHeight="1" x14ac:dyDescent="0.3">
      <c r="A2671" s="667"/>
      <c r="B2671" s="668" t="s">
        <v>9353</v>
      </c>
      <c r="C2671" s="160" t="s">
        <v>9354</v>
      </c>
      <c r="D2671" s="160"/>
      <c r="E2671" s="439">
        <v>8.9700000000000006</v>
      </c>
      <c r="F2671" s="161">
        <v>312.00082450999997</v>
      </c>
      <c r="G2671" s="161">
        <v>-3.0489999999999999</v>
      </c>
      <c r="H2671" s="654">
        <v>213.74849649999999</v>
      </c>
      <c r="I2671" s="654">
        <v>68.731597633781405</v>
      </c>
      <c r="J2671" s="191"/>
      <c r="K2671" s="191">
        <v>17707.204378851799</v>
      </c>
      <c r="L2671" s="191"/>
      <c r="M2671" s="191"/>
      <c r="N2671" s="191"/>
      <c r="O2671" s="191"/>
      <c r="P2671" s="191"/>
      <c r="Q2671" s="191"/>
      <c r="R2671" s="191"/>
      <c r="S2671" s="191"/>
      <c r="T2671" s="191"/>
      <c r="U2671" s="439"/>
      <c r="V2671" s="441"/>
      <c r="W2671" s="178"/>
      <c r="X2671" s="172"/>
      <c r="Y2671" s="172"/>
      <c r="Z2671" s="172"/>
      <c r="AA2671" s="195"/>
      <c r="AB2671" s="172"/>
    </row>
    <row r="2672" spans="1:28" ht="12.6" customHeight="1" x14ac:dyDescent="0.3">
      <c r="A2672" s="667"/>
      <c r="B2672" s="668" t="s">
        <v>9355</v>
      </c>
      <c r="C2672" s="160" t="s">
        <v>9356</v>
      </c>
      <c r="D2672" s="160"/>
      <c r="E2672" s="439">
        <v>10.94</v>
      </c>
      <c r="F2672" s="161">
        <v>554.05384374499999</v>
      </c>
      <c r="G2672" s="161">
        <v>-47.356999999999999</v>
      </c>
      <c r="H2672" s="654">
        <v>1.1321437595999999</v>
      </c>
      <c r="I2672" s="654">
        <v>3.1809117655550397E-2</v>
      </c>
      <c r="J2672" s="191"/>
      <c r="K2672" s="191">
        <v>1696758369.15783</v>
      </c>
      <c r="L2672" s="191"/>
      <c r="M2672" s="191"/>
      <c r="N2672" s="191"/>
      <c r="O2672" s="191"/>
      <c r="P2672" s="191"/>
      <c r="Q2672" s="191"/>
      <c r="R2672" s="191"/>
      <c r="S2672" s="191"/>
      <c r="T2672" s="191"/>
      <c r="U2672" s="439"/>
      <c r="V2672" s="441"/>
      <c r="W2672" s="178"/>
      <c r="X2672" s="172"/>
      <c r="Y2672" s="172"/>
      <c r="Z2672" s="172"/>
      <c r="AA2672" s="195"/>
      <c r="AB2672" s="172"/>
    </row>
    <row r="2673" spans="1:28" ht="12.6" customHeight="1" x14ac:dyDescent="0.3">
      <c r="A2673" s="667"/>
      <c r="B2673" s="668" t="s">
        <v>9357</v>
      </c>
      <c r="C2673" s="160" t="s">
        <v>9358</v>
      </c>
      <c r="D2673" s="160"/>
      <c r="E2673" s="439">
        <v>56.826000000000001</v>
      </c>
      <c r="F2673" s="161">
        <v>454.06023109300003</v>
      </c>
      <c r="G2673" s="161">
        <v>-48.789000000000001</v>
      </c>
      <c r="H2673" s="654">
        <v>1.6745643165999999</v>
      </c>
      <c r="I2673" s="654">
        <v>0.184125510250291</v>
      </c>
      <c r="J2673" s="191"/>
      <c r="K2673" s="191">
        <v>84998253.079534203</v>
      </c>
      <c r="L2673" s="191"/>
      <c r="M2673" s="191"/>
      <c r="N2673" s="191"/>
      <c r="O2673" s="191"/>
      <c r="P2673" s="191"/>
      <c r="Q2673" s="191"/>
      <c r="R2673" s="191"/>
      <c r="S2673" s="191"/>
      <c r="T2673" s="191"/>
      <c r="U2673" s="439"/>
      <c r="V2673" s="441"/>
      <c r="W2673" s="178"/>
      <c r="X2673" s="172"/>
      <c r="Y2673" s="172"/>
      <c r="Z2673" s="172"/>
      <c r="AA2673" s="195"/>
      <c r="AB2673" s="172"/>
    </row>
    <row r="2674" spans="1:28" ht="12.6" customHeight="1" x14ac:dyDescent="0.3">
      <c r="A2674" s="667"/>
      <c r="B2674" s="668" t="s">
        <v>9359</v>
      </c>
      <c r="C2674" s="160" t="s">
        <v>9360</v>
      </c>
      <c r="D2674" s="160"/>
      <c r="E2674" s="439">
        <v>53.999000000000002</v>
      </c>
      <c r="F2674" s="161">
        <v>354.066618441</v>
      </c>
      <c r="G2674" s="161">
        <v>9.5470000000000006</v>
      </c>
      <c r="H2674" s="654">
        <v>1.17192971084</v>
      </c>
      <c r="I2674" s="654">
        <v>1.3806544532812</v>
      </c>
      <c r="J2674" s="191"/>
      <c r="K2674" s="191">
        <v>1058717.27625867</v>
      </c>
      <c r="L2674" s="191"/>
      <c r="M2674" s="191"/>
      <c r="N2674" s="191"/>
      <c r="O2674" s="191"/>
      <c r="P2674" s="191"/>
      <c r="Q2674" s="191"/>
      <c r="R2674" s="191"/>
      <c r="S2674" s="191"/>
      <c r="T2674" s="191"/>
      <c r="U2674" s="439"/>
      <c r="V2674" s="441"/>
      <c r="W2674" s="178"/>
      <c r="X2674" s="172"/>
      <c r="Y2674" s="172"/>
      <c r="Z2674" s="172"/>
      <c r="AA2674" s="195"/>
      <c r="AB2674" s="172"/>
    </row>
    <row r="2675" spans="1:28" ht="12.6" customHeight="1" x14ac:dyDescent="0.3">
      <c r="A2675" s="667"/>
      <c r="B2675" s="668" t="s">
        <v>9361</v>
      </c>
      <c r="C2675" s="160" t="s">
        <v>9362</v>
      </c>
      <c r="D2675" s="160"/>
      <c r="E2675" s="439">
        <v>8.3699999999999992</v>
      </c>
      <c r="F2675" s="161">
        <v>584.06440842999996</v>
      </c>
      <c r="G2675" s="161">
        <v>-5.1820000000000004</v>
      </c>
      <c r="H2675" s="654">
        <v>0.35637103922000002</v>
      </c>
      <c r="I2675" s="654">
        <v>2.88045380563056E-2</v>
      </c>
      <c r="J2675" s="191"/>
      <c r="K2675" s="191">
        <v>24144043.227881301</v>
      </c>
      <c r="L2675" s="191"/>
      <c r="M2675" s="191"/>
      <c r="N2675" s="191"/>
      <c r="O2675" s="191"/>
      <c r="P2675" s="191"/>
      <c r="Q2675" s="191"/>
      <c r="R2675" s="191"/>
      <c r="S2675" s="191"/>
      <c r="T2675" s="191"/>
      <c r="U2675" s="439"/>
      <c r="V2675" s="441"/>
      <c r="W2675" s="178"/>
      <c r="X2675" s="172"/>
      <c r="Y2675" s="172"/>
      <c r="Z2675" s="172"/>
      <c r="AA2675" s="195"/>
      <c r="AB2675" s="172"/>
    </row>
    <row r="2676" spans="1:28" ht="12.6" customHeight="1" x14ac:dyDescent="0.3">
      <c r="A2676" s="667"/>
      <c r="B2676" s="668" t="s">
        <v>9363</v>
      </c>
      <c r="C2676" s="160" t="s">
        <v>9364</v>
      </c>
      <c r="D2676" s="160"/>
      <c r="E2676" s="439">
        <v>8.3699999999999992</v>
      </c>
      <c r="F2676" s="161">
        <v>484.07079577799999</v>
      </c>
      <c r="G2676" s="161">
        <v>-35.780999999999999</v>
      </c>
      <c r="H2676" s="685">
        <v>0.57796553541999995</v>
      </c>
      <c r="I2676" s="654">
        <v>0.22075419349421099</v>
      </c>
      <c r="J2676" s="191"/>
      <c r="K2676" s="191">
        <v>34720022.664272599</v>
      </c>
      <c r="L2676" s="191"/>
      <c r="M2676" s="191"/>
      <c r="N2676" s="191"/>
      <c r="O2676" s="191"/>
      <c r="P2676" s="191"/>
      <c r="Q2676" s="191"/>
      <c r="R2676" s="191"/>
      <c r="S2676" s="191"/>
      <c r="T2676" s="191"/>
      <c r="U2676" s="439"/>
      <c r="V2676" s="441"/>
      <c r="W2676" s="178"/>
      <c r="X2676" s="172"/>
      <c r="Y2676" s="172"/>
      <c r="Z2676" s="172"/>
      <c r="AA2676" s="195"/>
      <c r="AB2676" s="172"/>
    </row>
    <row r="2677" spans="1:28" ht="12.6" customHeight="1" x14ac:dyDescent="0.3">
      <c r="A2677" s="667"/>
      <c r="B2677" s="668" t="s">
        <v>9365</v>
      </c>
      <c r="C2677" s="160" t="s">
        <v>9366</v>
      </c>
      <c r="D2677" s="160"/>
      <c r="E2677" s="439">
        <v>8.64</v>
      </c>
      <c r="F2677" s="161">
        <v>384.07718312600002</v>
      </c>
      <c r="G2677" s="161">
        <v>16.628</v>
      </c>
      <c r="H2677" s="654">
        <v>0.17494512839999901</v>
      </c>
      <c r="I2677" s="654">
        <v>0.57467164448044605</v>
      </c>
      <c r="J2677" s="191"/>
      <c r="K2677" s="191">
        <v>24648.471897472798</v>
      </c>
      <c r="L2677" s="191"/>
      <c r="M2677" s="191"/>
      <c r="N2677" s="191"/>
      <c r="O2677" s="191"/>
      <c r="P2677" s="191"/>
      <c r="Q2677" s="191"/>
      <c r="R2677" s="191"/>
      <c r="S2677" s="191"/>
      <c r="T2677" s="191"/>
      <c r="U2677" s="439"/>
      <c r="V2677" s="441"/>
      <c r="W2677" s="178"/>
      <c r="X2677" s="172"/>
      <c r="Y2677" s="172"/>
      <c r="Z2677" s="172"/>
      <c r="AA2677" s="195"/>
      <c r="AB2677" s="172"/>
    </row>
    <row r="2678" spans="1:28" ht="12.6" customHeight="1" x14ac:dyDescent="0.3">
      <c r="A2678" s="667"/>
      <c r="B2678" s="668" t="s">
        <v>9367</v>
      </c>
      <c r="C2678" s="160" t="s">
        <v>9368</v>
      </c>
      <c r="D2678" s="160"/>
      <c r="E2678" s="439">
        <v>9</v>
      </c>
      <c r="F2678" s="161">
        <v>272.06472673500002</v>
      </c>
      <c r="G2678" s="161">
        <v>-55.584000000000003</v>
      </c>
      <c r="H2678" s="654">
        <v>4.2257341153999999</v>
      </c>
      <c r="I2678" s="654">
        <v>26.648467918966499</v>
      </c>
      <c r="J2678" s="191"/>
      <c r="K2678" s="191">
        <v>231.12131509157899</v>
      </c>
      <c r="L2678" s="191"/>
      <c r="M2678" s="191"/>
      <c r="N2678" s="191"/>
      <c r="O2678" s="191"/>
      <c r="P2678" s="191"/>
      <c r="Q2678" s="191"/>
      <c r="R2678" s="191"/>
      <c r="S2678" s="191"/>
      <c r="T2678" s="191"/>
      <c r="U2678" s="439"/>
      <c r="V2678" s="441"/>
      <c r="W2678" s="178"/>
      <c r="X2678" s="172"/>
      <c r="Y2678" s="172"/>
      <c r="Z2678" s="172"/>
      <c r="AA2678" s="195"/>
      <c r="AB2678" s="172"/>
    </row>
    <row r="2679" spans="1:28" ht="12.6" customHeight="1" x14ac:dyDescent="0.3">
      <c r="A2679" s="667"/>
      <c r="B2679" s="668" t="s">
        <v>9369</v>
      </c>
      <c r="C2679" s="160" t="s">
        <v>9370</v>
      </c>
      <c r="D2679" s="160"/>
      <c r="E2679" s="439">
        <v>9.1</v>
      </c>
      <c r="F2679" s="161">
        <v>508.03310830100003</v>
      </c>
      <c r="G2679" s="161"/>
      <c r="H2679" s="654"/>
      <c r="I2679" s="654"/>
      <c r="J2679" s="191"/>
      <c r="K2679" s="191">
        <v>24262.1900326533</v>
      </c>
      <c r="L2679" s="191"/>
      <c r="M2679" s="191"/>
      <c r="N2679" s="191"/>
      <c r="O2679" s="191"/>
      <c r="P2679" s="191"/>
      <c r="Q2679" s="191"/>
      <c r="R2679" s="191"/>
      <c r="S2679" s="191"/>
      <c r="T2679" s="191"/>
      <c r="U2679" s="439"/>
      <c r="V2679" s="441"/>
      <c r="W2679" s="178"/>
      <c r="X2679" s="172"/>
      <c r="Y2679" s="172"/>
      <c r="Z2679" s="172"/>
      <c r="AA2679" s="195"/>
      <c r="AB2679" s="172"/>
    </row>
    <row r="2680" spans="1:28" ht="12.6" customHeight="1" x14ac:dyDescent="0.3">
      <c r="A2680" s="667"/>
      <c r="B2680" s="668" t="s">
        <v>9371</v>
      </c>
      <c r="C2680" s="160" t="s">
        <v>9372</v>
      </c>
      <c r="D2680" s="160"/>
      <c r="E2680" s="439">
        <v>10.31</v>
      </c>
      <c r="F2680" s="161">
        <v>214.022861922</v>
      </c>
      <c r="G2680" s="161">
        <v>-33.963999999999999</v>
      </c>
      <c r="H2680" s="654">
        <v>7601.5404807999903</v>
      </c>
      <c r="I2680" s="654">
        <v>69.576050113637194</v>
      </c>
      <c r="J2680" s="191"/>
      <c r="K2680" s="191">
        <v>217.76596293098601</v>
      </c>
      <c r="L2680" s="191"/>
      <c r="M2680" s="191"/>
      <c r="N2680" s="191"/>
      <c r="O2680" s="191"/>
      <c r="P2680" s="191"/>
      <c r="Q2680" s="191"/>
      <c r="R2680" s="191"/>
      <c r="S2680" s="191"/>
      <c r="T2680" s="191"/>
      <c r="U2680" s="439"/>
      <c r="V2680" s="441"/>
      <c r="W2680" s="178"/>
      <c r="X2680" s="172"/>
      <c r="Y2680" s="172"/>
      <c r="Z2680" s="172"/>
      <c r="AA2680" s="195"/>
      <c r="AB2680" s="172"/>
    </row>
    <row r="2681" spans="1:28" ht="12.6" customHeight="1" x14ac:dyDescent="0.3">
      <c r="A2681" s="667"/>
      <c r="B2681" s="668" t="s">
        <v>9373</v>
      </c>
      <c r="C2681" s="160" t="s">
        <v>9374</v>
      </c>
      <c r="D2681" s="160"/>
      <c r="E2681" s="439">
        <v>10.34</v>
      </c>
      <c r="F2681" s="161">
        <v>314.01647457399997</v>
      </c>
      <c r="G2681" s="161">
        <v>-38.731000000000002</v>
      </c>
      <c r="H2681" s="654">
        <v>409.16788444000002</v>
      </c>
      <c r="I2681" s="654">
        <v>20.651544663538701</v>
      </c>
      <c r="J2681" s="191"/>
      <c r="K2681" s="191">
        <v>1451.20912330395</v>
      </c>
      <c r="L2681" s="191"/>
      <c r="M2681" s="191"/>
      <c r="N2681" s="191"/>
      <c r="O2681" s="191"/>
      <c r="P2681" s="191"/>
      <c r="Q2681" s="191"/>
      <c r="R2681" s="191"/>
      <c r="S2681" s="191"/>
      <c r="T2681" s="191"/>
      <c r="U2681" s="439"/>
      <c r="V2681" s="441"/>
      <c r="W2681" s="178"/>
      <c r="X2681" s="172"/>
      <c r="Y2681" s="172"/>
      <c r="Z2681" s="172"/>
      <c r="AA2681" s="195"/>
      <c r="AB2681" s="172"/>
    </row>
    <row r="2682" spans="1:28" ht="12.6" customHeight="1" x14ac:dyDescent="0.3">
      <c r="A2682" s="667"/>
      <c r="B2682" s="668" t="s">
        <v>9375</v>
      </c>
      <c r="C2682" s="160" t="s">
        <v>9376</v>
      </c>
      <c r="D2682" s="160"/>
      <c r="E2682" s="439">
        <v>10.29</v>
      </c>
      <c r="F2682" s="161">
        <v>414.010087226</v>
      </c>
      <c r="G2682" s="161">
        <v>-13.64</v>
      </c>
      <c r="H2682" s="654">
        <v>220.75056794</v>
      </c>
      <c r="I2682" s="654">
        <v>1.1534817842220999</v>
      </c>
      <c r="J2682" s="191"/>
      <c r="K2682" s="191">
        <v>16989.476614386302</v>
      </c>
      <c r="L2682" s="191"/>
      <c r="M2682" s="191"/>
      <c r="N2682" s="191"/>
      <c r="O2682" s="191"/>
      <c r="P2682" s="191"/>
      <c r="Q2682" s="191"/>
      <c r="R2682" s="191"/>
      <c r="S2682" s="191"/>
      <c r="T2682" s="191"/>
      <c r="U2682" s="439"/>
      <c r="V2682" s="441"/>
      <c r="W2682" s="178"/>
      <c r="X2682" s="172"/>
      <c r="Y2682" s="172"/>
      <c r="Z2682" s="172"/>
      <c r="AA2682" s="195"/>
      <c r="AB2682" s="172"/>
    </row>
    <row r="2683" spans="1:28" ht="12.6" customHeight="1" x14ac:dyDescent="0.3">
      <c r="A2683" s="667"/>
      <c r="B2683" s="668" t="s">
        <v>9377</v>
      </c>
      <c r="C2683" s="160" t="s">
        <v>9378</v>
      </c>
      <c r="D2683" s="160"/>
      <c r="E2683" s="439">
        <v>10.27</v>
      </c>
      <c r="F2683" s="161">
        <v>514.00369987800002</v>
      </c>
      <c r="G2683" s="161">
        <v>-16.387</v>
      </c>
      <c r="H2683" s="654">
        <v>32.802144914000003</v>
      </c>
      <c r="I2683" s="654">
        <v>0.232255655812073</v>
      </c>
      <c r="J2683" s="191"/>
      <c r="K2683" s="191">
        <v>91297.734309982799</v>
      </c>
      <c r="L2683" s="191"/>
      <c r="M2683" s="191"/>
      <c r="N2683" s="191"/>
      <c r="O2683" s="191"/>
      <c r="P2683" s="191"/>
      <c r="Q2683" s="191"/>
      <c r="R2683" s="191"/>
      <c r="S2683" s="191"/>
      <c r="T2683" s="191"/>
      <c r="U2683" s="439"/>
      <c r="V2683" s="441"/>
      <c r="W2683" s="178"/>
      <c r="X2683" s="172"/>
      <c r="Y2683" s="172"/>
      <c r="Z2683" s="172"/>
      <c r="AA2683" s="195"/>
      <c r="AB2683" s="172"/>
    </row>
    <row r="2684" spans="1:28" ht="12.6" customHeight="1" x14ac:dyDescent="0.3">
      <c r="A2684" s="667"/>
      <c r="B2684" s="668" t="s">
        <v>9379</v>
      </c>
      <c r="C2684" s="160" t="s">
        <v>9380</v>
      </c>
      <c r="D2684" s="160"/>
      <c r="E2684" s="439">
        <v>10.41</v>
      </c>
      <c r="F2684" s="161">
        <v>613.99731253000004</v>
      </c>
      <c r="G2684" s="161"/>
      <c r="H2684" s="654"/>
      <c r="I2684" s="654"/>
      <c r="J2684" s="191"/>
      <c r="K2684" s="191">
        <v>242348.31248582699</v>
      </c>
      <c r="L2684" s="191"/>
      <c r="M2684" s="191"/>
      <c r="N2684" s="191"/>
      <c r="O2684" s="191"/>
      <c r="P2684" s="191"/>
      <c r="Q2684" s="191"/>
      <c r="R2684" s="191"/>
      <c r="S2684" s="191"/>
      <c r="T2684" s="191"/>
      <c r="U2684" s="439"/>
      <c r="V2684" s="441"/>
      <c r="W2684" s="178"/>
      <c r="X2684" s="172"/>
      <c r="Y2684" s="172"/>
      <c r="Z2684" s="172"/>
      <c r="AA2684" s="195"/>
      <c r="AB2684" s="172"/>
    </row>
    <row r="2685" spans="1:28" ht="12.6" customHeight="1" x14ac:dyDescent="0.3">
      <c r="A2685" s="667"/>
      <c r="B2685" s="668" t="s">
        <v>9381</v>
      </c>
      <c r="C2685" s="160" t="s">
        <v>9382</v>
      </c>
      <c r="D2685" s="160"/>
      <c r="E2685" s="439">
        <v>9.8699999999999992</v>
      </c>
      <c r="F2685" s="161">
        <v>713.99092518199996</v>
      </c>
      <c r="G2685" s="161"/>
      <c r="H2685" s="654"/>
      <c r="I2685" s="654"/>
      <c r="J2685" s="191"/>
      <c r="K2685" s="191">
        <v>288117.74032813002</v>
      </c>
      <c r="L2685" s="191"/>
      <c r="M2685" s="191"/>
      <c r="N2685" s="191"/>
      <c r="O2685" s="191"/>
      <c r="P2685" s="191"/>
      <c r="Q2685" s="191"/>
      <c r="R2685" s="191"/>
      <c r="S2685" s="191"/>
      <c r="T2685" s="191"/>
      <c r="U2685" s="439"/>
      <c r="V2685" s="441"/>
      <c r="W2685" s="178"/>
      <c r="X2685" s="172"/>
      <c r="Y2685" s="172"/>
      <c r="Z2685" s="172"/>
      <c r="AA2685" s="195"/>
      <c r="AB2685" s="172"/>
    </row>
    <row r="2686" spans="1:28" ht="12.6" customHeight="1" x14ac:dyDescent="0.3">
      <c r="A2686" s="667"/>
      <c r="B2686" s="668" t="s">
        <v>9383</v>
      </c>
      <c r="C2686" s="160" t="s">
        <v>9384</v>
      </c>
      <c r="D2686" s="160"/>
      <c r="E2686" s="439">
        <v>9.8699999999999992</v>
      </c>
      <c r="F2686" s="161">
        <v>613.99731253000004</v>
      </c>
      <c r="G2686" s="161">
        <v>-2.887</v>
      </c>
      <c r="H2686" s="654">
        <v>5.0222930687999998</v>
      </c>
      <c r="I2686" s="654"/>
      <c r="J2686" s="191"/>
      <c r="K2686" s="191">
        <v>228717.81845315101</v>
      </c>
      <c r="L2686" s="191"/>
      <c r="M2686" s="191"/>
      <c r="N2686" s="191"/>
      <c r="O2686" s="191"/>
      <c r="P2686" s="191"/>
      <c r="Q2686" s="191"/>
      <c r="R2686" s="191"/>
      <c r="S2686" s="191"/>
      <c r="T2686" s="191"/>
      <c r="U2686" s="439"/>
      <c r="V2686" s="441"/>
      <c r="W2686" s="178"/>
      <c r="X2686" s="172"/>
      <c r="Y2686" s="172"/>
      <c r="Z2686" s="172"/>
      <c r="AA2686" s="195"/>
      <c r="AB2686" s="172"/>
    </row>
    <row r="2687" spans="1:28" ht="12.6" customHeight="1" x14ac:dyDescent="0.3">
      <c r="A2687" s="667"/>
      <c r="B2687" s="668" t="s">
        <v>9385</v>
      </c>
      <c r="C2687" s="160" t="s">
        <v>9386</v>
      </c>
      <c r="D2687" s="160"/>
      <c r="E2687" s="439">
        <v>9.8699999999999992</v>
      </c>
      <c r="F2687" s="161">
        <v>564.00050620399998</v>
      </c>
      <c r="G2687" s="161">
        <v>-2.6469999999999998</v>
      </c>
      <c r="H2687" s="654">
        <v>8.2585113002000003</v>
      </c>
      <c r="I2687" s="654"/>
      <c r="J2687" s="191"/>
      <c r="K2687" s="191">
        <v>12436838.649377201</v>
      </c>
      <c r="L2687" s="191"/>
      <c r="M2687" s="191"/>
      <c r="N2687" s="191"/>
      <c r="O2687" s="191"/>
      <c r="P2687" s="191"/>
      <c r="Q2687" s="191"/>
      <c r="R2687" s="191"/>
      <c r="S2687" s="191"/>
      <c r="T2687" s="191"/>
      <c r="U2687" s="439"/>
      <c r="V2687" s="441"/>
      <c r="W2687" s="178"/>
      <c r="X2687" s="172"/>
      <c r="Y2687" s="172"/>
      <c r="Z2687" s="172"/>
      <c r="AA2687" s="195"/>
      <c r="AB2687" s="172"/>
    </row>
    <row r="2688" spans="1:28" ht="12.6" customHeight="1" x14ac:dyDescent="0.3">
      <c r="A2688" s="667"/>
      <c r="B2688" s="668" t="s">
        <v>9387</v>
      </c>
      <c r="C2688" s="160" t="s">
        <v>9388</v>
      </c>
      <c r="D2688" s="160"/>
      <c r="E2688" s="439">
        <v>9.8699999999999992</v>
      </c>
      <c r="F2688" s="161">
        <v>514.00369987800002</v>
      </c>
      <c r="G2688" s="161">
        <v>-9.0999999999999998E-2</v>
      </c>
      <c r="H2688" s="654">
        <v>14.517832545999999</v>
      </c>
      <c r="I2688" s="654"/>
      <c r="J2688" s="191"/>
      <c r="K2688" s="191">
        <v>92282.637828178704</v>
      </c>
      <c r="L2688" s="191"/>
      <c r="M2688" s="191"/>
      <c r="N2688" s="191"/>
      <c r="O2688" s="191"/>
      <c r="P2688" s="191"/>
      <c r="Q2688" s="191"/>
      <c r="R2688" s="191"/>
      <c r="S2688" s="191"/>
      <c r="T2688" s="191"/>
      <c r="U2688" s="439"/>
      <c r="V2688" s="441"/>
      <c r="W2688" s="178"/>
      <c r="X2688" s="172"/>
      <c r="Y2688" s="172"/>
      <c r="Z2688" s="172"/>
      <c r="AA2688" s="195"/>
      <c r="AB2688" s="172"/>
    </row>
    <row r="2689" spans="1:28" ht="12.6" customHeight="1" x14ac:dyDescent="0.3">
      <c r="A2689" s="667"/>
      <c r="B2689" s="668" t="s">
        <v>9389</v>
      </c>
      <c r="C2689" s="160" t="s">
        <v>9390</v>
      </c>
      <c r="D2689" s="160"/>
      <c r="E2689" s="439">
        <v>9.58</v>
      </c>
      <c r="F2689" s="161">
        <v>414.010087226</v>
      </c>
      <c r="G2689" s="161"/>
      <c r="H2689" s="654"/>
      <c r="I2689" s="654"/>
      <c r="J2689" s="191"/>
      <c r="K2689" s="191">
        <v>17640.463826778101</v>
      </c>
      <c r="L2689" s="191"/>
      <c r="M2689" s="191"/>
      <c r="N2689" s="191"/>
      <c r="O2689" s="191"/>
      <c r="P2689" s="191"/>
      <c r="Q2689" s="191"/>
      <c r="R2689" s="191"/>
      <c r="S2689" s="191"/>
      <c r="T2689" s="191"/>
      <c r="U2689" s="439"/>
      <c r="V2689" s="441"/>
      <c r="W2689" s="178"/>
      <c r="X2689" s="172"/>
      <c r="Y2689" s="172"/>
      <c r="Z2689" s="172"/>
      <c r="AA2689" s="195"/>
      <c r="AB2689" s="172"/>
    </row>
    <row r="2690" spans="1:28" ht="12.6" customHeight="1" x14ac:dyDescent="0.3">
      <c r="A2690" s="667"/>
      <c r="B2690" s="668" t="s">
        <v>9391</v>
      </c>
      <c r="C2690" s="160" t="s">
        <v>9392</v>
      </c>
      <c r="D2690" s="160"/>
      <c r="E2690" s="439">
        <v>9.7799999999999994</v>
      </c>
      <c r="F2690" s="161">
        <v>314.01647457399997</v>
      </c>
      <c r="G2690" s="161">
        <v>-11.617000000000001</v>
      </c>
      <c r="H2690" s="654">
        <v>461.21279357999998</v>
      </c>
      <c r="I2690" s="654">
        <v>25.9389540624157</v>
      </c>
      <c r="J2690" s="191"/>
      <c r="K2690" s="191">
        <v>1636.8165214277999</v>
      </c>
      <c r="L2690" s="191"/>
      <c r="M2690" s="191"/>
      <c r="N2690" s="191"/>
      <c r="O2690" s="191"/>
      <c r="P2690" s="191"/>
      <c r="Q2690" s="191"/>
      <c r="R2690" s="191"/>
      <c r="S2690" s="191"/>
      <c r="T2690" s="191"/>
      <c r="U2690" s="439"/>
      <c r="V2690" s="441"/>
      <c r="W2690" s="178"/>
      <c r="X2690" s="172"/>
      <c r="Y2690" s="172"/>
      <c r="Z2690" s="172"/>
      <c r="AA2690" s="195"/>
      <c r="AB2690" s="172"/>
    </row>
    <row r="2691" spans="1:28" ht="12.6" customHeight="1" x14ac:dyDescent="0.3">
      <c r="A2691" s="667"/>
      <c r="B2691" s="668" t="s">
        <v>9393</v>
      </c>
      <c r="C2691" s="160" t="s">
        <v>9394</v>
      </c>
      <c r="D2691" s="160"/>
      <c r="E2691" s="439">
        <v>9.75</v>
      </c>
      <c r="F2691" s="161">
        <v>264.01966824800002</v>
      </c>
      <c r="G2691" s="161">
        <v>-42.021999999999998</v>
      </c>
      <c r="H2691" s="654">
        <v>827.75496817999999</v>
      </c>
      <c r="I2691" s="654">
        <v>42.818973816128803</v>
      </c>
      <c r="J2691" s="191"/>
      <c r="K2691" s="191">
        <v>1851.56942219805</v>
      </c>
      <c r="L2691" s="191"/>
      <c r="M2691" s="191"/>
      <c r="N2691" s="191"/>
      <c r="O2691" s="191"/>
      <c r="P2691" s="191"/>
      <c r="Q2691" s="191"/>
      <c r="R2691" s="191"/>
      <c r="S2691" s="191"/>
      <c r="T2691" s="191"/>
      <c r="U2691" s="439"/>
      <c r="V2691" s="441"/>
      <c r="W2691" s="178"/>
      <c r="X2691" s="172"/>
      <c r="Y2691" s="172"/>
      <c r="Z2691" s="172"/>
      <c r="AA2691" s="195"/>
      <c r="AB2691" s="172"/>
    </row>
    <row r="2692" spans="1:28" ht="12.6" customHeight="1" x14ac:dyDescent="0.3">
      <c r="A2692" s="667"/>
      <c r="B2692" s="668" t="s">
        <v>9395</v>
      </c>
      <c r="C2692" s="160" t="s">
        <v>9396</v>
      </c>
      <c r="D2692" s="160"/>
      <c r="E2692" s="439">
        <v>9.08</v>
      </c>
      <c r="F2692" s="161">
        <v>214.022861922</v>
      </c>
      <c r="G2692" s="161">
        <v>-36.298999999999999</v>
      </c>
      <c r="H2692" s="654">
        <v>2666.2533491999998</v>
      </c>
      <c r="I2692" s="654">
        <v>86.190644884641998</v>
      </c>
      <c r="J2692" s="191"/>
      <c r="K2692" s="191">
        <v>139.559691256126</v>
      </c>
      <c r="L2692" s="191"/>
      <c r="M2692" s="191"/>
      <c r="N2692" s="191"/>
      <c r="O2692" s="191"/>
      <c r="P2692" s="191"/>
      <c r="Q2692" s="191"/>
      <c r="R2692" s="191"/>
      <c r="S2692" s="191"/>
      <c r="T2692" s="191"/>
      <c r="U2692" s="439"/>
      <c r="V2692" s="441"/>
      <c r="W2692" s="178"/>
      <c r="X2692" s="172"/>
      <c r="Y2692" s="172"/>
      <c r="Z2692" s="172"/>
      <c r="AA2692" s="195"/>
      <c r="AB2692" s="172"/>
    </row>
    <row r="2693" spans="1:28" ht="12.6" customHeight="1" x14ac:dyDescent="0.3">
      <c r="A2693" s="667"/>
      <c r="B2693" s="668" t="s">
        <v>9397</v>
      </c>
      <c r="C2693" s="160" t="s">
        <v>9398</v>
      </c>
      <c r="D2693" s="160"/>
      <c r="E2693" s="439">
        <v>9.1999999999999993</v>
      </c>
      <c r="F2693" s="161">
        <v>517.94123000000002</v>
      </c>
      <c r="G2693" s="161"/>
      <c r="H2693" s="654"/>
      <c r="I2693" s="654"/>
      <c r="J2693" s="191"/>
      <c r="K2693" s="191">
        <v>318265.81979138398</v>
      </c>
      <c r="L2693" s="191"/>
      <c r="M2693" s="191"/>
      <c r="N2693" s="191"/>
      <c r="O2693" s="191"/>
      <c r="P2693" s="191"/>
      <c r="Q2693" s="191"/>
      <c r="R2693" s="191"/>
      <c r="S2693" s="191"/>
      <c r="T2693" s="191"/>
      <c r="U2693" s="439"/>
      <c r="V2693" s="441"/>
      <c r="W2693" s="178"/>
      <c r="X2693" s="172"/>
      <c r="Y2693" s="172"/>
      <c r="Z2693" s="172"/>
      <c r="AA2693" s="195"/>
      <c r="AB2693" s="172"/>
    </row>
    <row r="2694" spans="1:28" ht="12.6" customHeight="1" x14ac:dyDescent="0.3">
      <c r="A2694" s="667"/>
      <c r="B2694" s="668" t="s">
        <v>9399</v>
      </c>
      <c r="C2694" s="160" t="s">
        <v>9400</v>
      </c>
      <c r="D2694" s="160"/>
      <c r="E2694" s="439">
        <v>9.52</v>
      </c>
      <c r="F2694" s="161">
        <v>417.94761</v>
      </c>
      <c r="G2694" s="161"/>
      <c r="H2694" s="654"/>
      <c r="I2694" s="654"/>
      <c r="J2694" s="191"/>
      <c r="K2694" s="191">
        <v>8516.2813368937404</v>
      </c>
      <c r="L2694" s="191"/>
      <c r="M2694" s="191"/>
      <c r="N2694" s="191"/>
      <c r="O2694" s="191"/>
      <c r="P2694" s="191"/>
      <c r="Q2694" s="191"/>
      <c r="R2694" s="191"/>
      <c r="S2694" s="191"/>
      <c r="T2694" s="191"/>
      <c r="U2694" s="439"/>
      <c r="V2694" s="441"/>
      <c r="W2694" s="178"/>
      <c r="X2694" s="172"/>
      <c r="Y2694" s="172"/>
      <c r="Z2694" s="172"/>
      <c r="AA2694" s="195"/>
      <c r="AB2694" s="172"/>
    </row>
    <row r="2695" spans="1:28" ht="12.6" customHeight="1" x14ac:dyDescent="0.3">
      <c r="A2695" s="667"/>
      <c r="B2695" s="668" t="s">
        <v>9401</v>
      </c>
      <c r="C2695" s="160" t="s">
        <v>9402</v>
      </c>
      <c r="D2695" s="160"/>
      <c r="E2695" s="439">
        <v>50.978999999999999</v>
      </c>
      <c r="F2695" s="161">
        <v>367.95080999999999</v>
      </c>
      <c r="G2695" s="161">
        <v>-33.820999999999998</v>
      </c>
      <c r="H2695" s="654">
        <v>36.216121368000003</v>
      </c>
      <c r="I2695" s="654">
        <v>5.0209831630980002</v>
      </c>
      <c r="J2695" s="191"/>
      <c r="K2695" s="191">
        <v>5225.5258442341201</v>
      </c>
      <c r="L2695" s="191"/>
      <c r="M2695" s="191"/>
      <c r="N2695" s="191"/>
      <c r="O2695" s="191"/>
      <c r="P2695" s="191"/>
      <c r="Q2695" s="191"/>
      <c r="R2695" s="191"/>
      <c r="S2695" s="191"/>
      <c r="T2695" s="191"/>
      <c r="U2695" s="439"/>
      <c r="V2695" s="441"/>
      <c r="W2695" s="178"/>
      <c r="X2695" s="172"/>
      <c r="Y2695" s="172"/>
      <c r="Z2695" s="172"/>
      <c r="AA2695" s="195"/>
      <c r="AB2695" s="172"/>
    </row>
    <row r="2696" spans="1:28" ht="12.6" customHeight="1" x14ac:dyDescent="0.3">
      <c r="A2696" s="667"/>
      <c r="B2696" s="668" t="s">
        <v>9403</v>
      </c>
      <c r="C2696" s="160" t="s">
        <v>9404</v>
      </c>
      <c r="D2696" s="160"/>
      <c r="E2696" s="439">
        <v>10.58</v>
      </c>
      <c r="F2696" s="161">
        <v>378.02893096399998</v>
      </c>
      <c r="G2696" s="161">
        <v>-37.737000000000002</v>
      </c>
      <c r="H2696" s="654">
        <v>311.81882647999998</v>
      </c>
      <c r="I2696" s="654">
        <v>3.5935619191903299</v>
      </c>
      <c r="J2696" s="191"/>
      <c r="K2696" s="191">
        <v>584211.36325086898</v>
      </c>
      <c r="L2696" s="191"/>
      <c r="M2696" s="191"/>
      <c r="N2696" s="191"/>
      <c r="O2696" s="191"/>
      <c r="P2696" s="191"/>
      <c r="Q2696" s="191"/>
      <c r="R2696" s="191"/>
      <c r="S2696" s="191"/>
      <c r="T2696" s="191"/>
      <c r="U2696" s="439"/>
      <c r="V2696" s="441"/>
      <c r="W2696" s="178"/>
      <c r="X2696" s="172"/>
      <c r="Y2696" s="172"/>
      <c r="Z2696" s="172"/>
      <c r="AA2696" s="195"/>
      <c r="AB2696" s="172"/>
    </row>
    <row r="2697" spans="1:28" ht="12.6" customHeight="1" x14ac:dyDescent="0.3">
      <c r="A2697" s="667"/>
      <c r="B2697" s="668" t="s">
        <v>9405</v>
      </c>
      <c r="C2697" s="160" t="s">
        <v>9406</v>
      </c>
      <c r="D2697" s="160"/>
      <c r="E2697" s="439">
        <v>9.93</v>
      </c>
      <c r="F2697" s="161">
        <v>228.038511986</v>
      </c>
      <c r="G2697" s="161">
        <v>-59.168999999999997</v>
      </c>
      <c r="H2697" s="654">
        <v>4612.1279358000002</v>
      </c>
      <c r="I2697" s="654">
        <v>48.529787889788601</v>
      </c>
      <c r="J2697" s="191"/>
      <c r="K2697" s="191">
        <v>2752.4535587712498</v>
      </c>
      <c r="L2697" s="191"/>
      <c r="M2697" s="191"/>
      <c r="N2697" s="191"/>
      <c r="O2697" s="191"/>
      <c r="P2697" s="191"/>
      <c r="Q2697" s="191"/>
      <c r="R2697" s="191"/>
      <c r="S2697" s="191"/>
      <c r="T2697" s="191"/>
      <c r="U2697" s="439"/>
      <c r="V2697" s="441"/>
      <c r="W2697" s="178"/>
      <c r="X2697" s="172"/>
      <c r="Y2697" s="172"/>
      <c r="Z2697" s="172"/>
      <c r="AA2697" s="195"/>
      <c r="AB2697" s="172"/>
    </row>
    <row r="2698" spans="1:28" ht="12.6" customHeight="1" x14ac:dyDescent="0.3">
      <c r="A2698" s="667"/>
      <c r="B2698" s="668" t="s">
        <v>9407</v>
      </c>
      <c r="C2698" s="160" t="s">
        <v>9408</v>
      </c>
      <c r="D2698" s="160"/>
      <c r="E2698" s="439">
        <v>9.9499999999999993</v>
      </c>
      <c r="F2698" s="161">
        <v>478.02254361600001</v>
      </c>
      <c r="G2698" s="161">
        <v>-1.89</v>
      </c>
      <c r="H2698" s="654">
        <v>23.708384616</v>
      </c>
      <c r="I2698" s="654">
        <v>0.13165840303034901</v>
      </c>
      <c r="J2698" s="191"/>
      <c r="K2698" s="191">
        <v>134369.283075065</v>
      </c>
      <c r="L2698" s="191"/>
      <c r="M2698" s="191"/>
      <c r="N2698" s="191"/>
      <c r="O2698" s="191"/>
      <c r="P2698" s="191"/>
      <c r="Q2698" s="191"/>
      <c r="R2698" s="191"/>
      <c r="S2698" s="191"/>
      <c r="T2698" s="191"/>
      <c r="U2698" s="439"/>
      <c r="V2698" s="441"/>
      <c r="W2698" s="178"/>
      <c r="X2698" s="172"/>
      <c r="Y2698" s="172"/>
      <c r="Z2698" s="172"/>
      <c r="AA2698" s="195"/>
      <c r="AB2698" s="172"/>
    </row>
    <row r="2699" spans="1:28" ht="12.6" customHeight="1" x14ac:dyDescent="0.3">
      <c r="A2699" s="667"/>
      <c r="B2699" s="668" t="s">
        <v>9409</v>
      </c>
      <c r="C2699" s="160" t="s">
        <v>9410</v>
      </c>
      <c r="D2699" s="160"/>
      <c r="E2699" s="439">
        <v>9.82</v>
      </c>
      <c r="F2699" s="161">
        <v>428.02573729</v>
      </c>
      <c r="G2699" s="161">
        <v>-1.867</v>
      </c>
      <c r="H2699" s="654">
        <v>34.111633597999997</v>
      </c>
      <c r="I2699" s="654">
        <v>0.82883759820310099</v>
      </c>
      <c r="J2699" s="191"/>
      <c r="K2699" s="191">
        <v>25502.925369434699</v>
      </c>
      <c r="L2699" s="191"/>
      <c r="M2699" s="191"/>
      <c r="N2699" s="191"/>
      <c r="O2699" s="191"/>
      <c r="P2699" s="191"/>
      <c r="Q2699" s="191"/>
      <c r="R2699" s="191"/>
      <c r="S2699" s="191"/>
      <c r="T2699" s="191"/>
      <c r="U2699" s="439"/>
      <c r="V2699" s="441"/>
      <c r="W2699" s="178"/>
      <c r="X2699" s="172"/>
      <c r="Y2699" s="172"/>
      <c r="Z2699" s="172"/>
      <c r="AA2699" s="195"/>
      <c r="AB2699" s="172"/>
    </row>
    <row r="2700" spans="1:28" ht="12.6" customHeight="1" x14ac:dyDescent="0.3">
      <c r="A2700" s="667"/>
      <c r="B2700" s="668" t="s">
        <v>9411</v>
      </c>
      <c r="C2700" s="160" t="s">
        <v>9412</v>
      </c>
      <c r="D2700" s="160"/>
      <c r="E2700" s="439">
        <v>9.67</v>
      </c>
      <c r="F2700" s="161">
        <v>378.02893096399998</v>
      </c>
      <c r="G2700" s="161">
        <v>-7.8639999999999999</v>
      </c>
      <c r="H2700" s="654">
        <v>50.222930687999998</v>
      </c>
      <c r="I2700" s="654">
        <v>2.84135239177954</v>
      </c>
      <c r="J2700" s="191"/>
      <c r="K2700" s="191">
        <v>7931.5853145975898</v>
      </c>
      <c r="L2700" s="191"/>
      <c r="M2700" s="191"/>
      <c r="N2700" s="191"/>
      <c r="O2700" s="191"/>
      <c r="P2700" s="191"/>
      <c r="Q2700" s="191"/>
      <c r="R2700" s="191"/>
      <c r="S2700" s="191"/>
      <c r="T2700" s="191"/>
      <c r="U2700" s="439"/>
      <c r="V2700" s="441"/>
      <c r="W2700" s="178"/>
      <c r="X2700" s="172"/>
      <c r="Y2700" s="172"/>
      <c r="Z2700" s="172"/>
      <c r="AA2700" s="195"/>
      <c r="AB2700" s="172"/>
    </row>
    <row r="2701" spans="1:28" ht="12.6" customHeight="1" x14ac:dyDescent="0.3">
      <c r="A2701" s="667"/>
      <c r="B2701" s="668" t="s">
        <v>9413</v>
      </c>
      <c r="C2701" s="160" t="s">
        <v>9414</v>
      </c>
      <c r="D2701" s="160"/>
      <c r="E2701" s="439">
        <v>9.99</v>
      </c>
      <c r="F2701" s="161">
        <v>328.03212463800003</v>
      </c>
      <c r="G2701" s="161"/>
      <c r="H2701" s="654"/>
      <c r="I2701" s="654"/>
      <c r="J2701" s="191"/>
      <c r="K2701" s="191">
        <v>2191.0889063745199</v>
      </c>
      <c r="L2701" s="191"/>
      <c r="M2701" s="191"/>
      <c r="N2701" s="191"/>
      <c r="O2701" s="191"/>
      <c r="P2701" s="191"/>
      <c r="Q2701" s="191"/>
      <c r="R2701" s="191"/>
      <c r="S2701" s="191"/>
      <c r="T2701" s="191"/>
      <c r="U2701" s="439"/>
      <c r="V2701" s="441"/>
      <c r="W2701" s="178"/>
      <c r="X2701" s="172"/>
      <c r="Y2701" s="172"/>
      <c r="Z2701" s="172"/>
      <c r="AA2701" s="195"/>
      <c r="AB2701" s="172"/>
    </row>
    <row r="2702" spans="1:28" ht="12.6" customHeight="1" x14ac:dyDescent="0.3">
      <c r="A2702" s="667"/>
      <c r="B2702" s="668" t="s">
        <v>9415</v>
      </c>
      <c r="C2702" s="160" t="s">
        <v>9416</v>
      </c>
      <c r="D2702" s="160"/>
      <c r="E2702" s="439">
        <v>10.039999999999999</v>
      </c>
      <c r="F2702" s="161">
        <v>278.03531831200002</v>
      </c>
      <c r="G2702" s="161">
        <v>-55.994999999999997</v>
      </c>
      <c r="H2702" s="654">
        <v>696.46879511999998</v>
      </c>
      <c r="I2702" s="654">
        <v>1.9638134995949501</v>
      </c>
      <c r="J2702" s="191"/>
      <c r="K2702" s="191">
        <v>2001.65856856751</v>
      </c>
      <c r="L2702" s="191"/>
      <c r="M2702" s="191"/>
      <c r="N2702" s="191"/>
      <c r="O2702" s="191"/>
      <c r="P2702" s="191"/>
      <c r="Q2702" s="191"/>
      <c r="R2702" s="191"/>
      <c r="S2702" s="191"/>
      <c r="T2702" s="191"/>
      <c r="U2702" s="439"/>
      <c r="V2702" s="441"/>
      <c r="W2702" s="178"/>
      <c r="X2702" s="172"/>
      <c r="Y2702" s="172"/>
      <c r="Z2702" s="172"/>
      <c r="AA2702" s="195"/>
      <c r="AB2702" s="172"/>
    </row>
    <row r="2703" spans="1:28" ht="12.6" customHeight="1" x14ac:dyDescent="0.3">
      <c r="A2703" s="667"/>
      <c r="B2703" s="668" t="s">
        <v>9417</v>
      </c>
      <c r="C2703" s="160" t="s">
        <v>9418</v>
      </c>
      <c r="D2703" s="160"/>
      <c r="E2703" s="439">
        <v>10.07</v>
      </c>
      <c r="F2703" s="161">
        <v>228.038511986</v>
      </c>
      <c r="G2703" s="161">
        <v>-48.854999999999997</v>
      </c>
      <c r="H2703" s="654">
        <v>494.19932282000002</v>
      </c>
      <c r="I2703" s="654">
        <v>90.1589023683688</v>
      </c>
      <c r="J2703" s="191"/>
      <c r="K2703" s="191">
        <v>205.77850134773701</v>
      </c>
      <c r="L2703" s="191"/>
      <c r="M2703" s="191"/>
      <c r="N2703" s="191"/>
      <c r="O2703" s="191"/>
      <c r="P2703" s="191"/>
      <c r="Q2703" s="191"/>
      <c r="R2703" s="191"/>
      <c r="S2703" s="191"/>
      <c r="T2703" s="191"/>
      <c r="U2703" s="439"/>
      <c r="V2703" s="441"/>
      <c r="W2703" s="178"/>
      <c r="X2703" s="172"/>
      <c r="Y2703" s="172"/>
      <c r="Z2703" s="172"/>
      <c r="AA2703" s="195"/>
      <c r="AB2703" s="172"/>
    </row>
    <row r="2704" spans="1:28" ht="12.6" customHeight="1" x14ac:dyDescent="0.3">
      <c r="A2704" s="667"/>
      <c r="B2704" s="668" t="s">
        <v>9419</v>
      </c>
      <c r="C2704" s="160" t="s">
        <v>9420</v>
      </c>
      <c r="D2704" s="160"/>
      <c r="E2704" s="439">
        <v>9.91</v>
      </c>
      <c r="F2704" s="161">
        <v>531.95687999999996</v>
      </c>
      <c r="G2704" s="161">
        <v>24.873000000000001</v>
      </c>
      <c r="H2704" s="654">
        <v>3.2651357731999999</v>
      </c>
      <c r="I2704" s="654">
        <v>0.11772684515592</v>
      </c>
      <c r="J2704" s="191"/>
      <c r="K2704" s="191">
        <v>564923.96680749604</v>
      </c>
      <c r="L2704" s="191"/>
      <c r="M2704" s="191"/>
      <c r="N2704" s="191"/>
      <c r="O2704" s="191"/>
      <c r="P2704" s="191"/>
      <c r="Q2704" s="191"/>
      <c r="R2704" s="191"/>
      <c r="S2704" s="191"/>
      <c r="T2704" s="191"/>
      <c r="U2704" s="439"/>
      <c r="V2704" s="441"/>
      <c r="W2704" s="178"/>
      <c r="X2704" s="172"/>
      <c r="Y2704" s="172"/>
      <c r="Z2704" s="172"/>
      <c r="AA2704" s="195"/>
      <c r="AB2704" s="172"/>
    </row>
    <row r="2705" spans="1:28" ht="12.6" customHeight="1" x14ac:dyDescent="0.3">
      <c r="A2705" s="667"/>
      <c r="B2705" s="668" t="s">
        <v>9421</v>
      </c>
      <c r="C2705" s="160" t="s">
        <v>9422</v>
      </c>
      <c r="D2705" s="160"/>
      <c r="E2705" s="439">
        <v>9.7799999999999994</v>
      </c>
      <c r="F2705" s="161">
        <v>392.04458102900003</v>
      </c>
      <c r="G2705" s="161"/>
      <c r="H2705" s="654"/>
      <c r="I2705" s="654"/>
      <c r="J2705" s="191"/>
      <c r="K2705" s="191">
        <v>20873.2464093118</v>
      </c>
      <c r="L2705" s="191"/>
      <c r="M2705" s="191"/>
      <c r="N2705" s="191"/>
      <c r="O2705" s="191"/>
      <c r="P2705" s="191"/>
      <c r="Q2705" s="191"/>
      <c r="R2705" s="191"/>
      <c r="S2705" s="191"/>
      <c r="T2705" s="191"/>
      <c r="U2705" s="439"/>
      <c r="V2705" s="441"/>
      <c r="W2705" s="178"/>
      <c r="X2705" s="172"/>
      <c r="Y2705" s="172"/>
      <c r="Z2705" s="172"/>
      <c r="AA2705" s="195"/>
      <c r="AB2705" s="172"/>
    </row>
    <row r="2706" spans="1:28" ht="12.6" customHeight="1" x14ac:dyDescent="0.3">
      <c r="A2706" s="667"/>
      <c r="B2706" s="668" t="s">
        <v>9423</v>
      </c>
      <c r="C2706" s="160" t="s">
        <v>9424</v>
      </c>
      <c r="D2706" s="160"/>
      <c r="E2706" s="439">
        <v>8</v>
      </c>
      <c r="F2706" s="161">
        <v>242.05416205099999</v>
      </c>
      <c r="G2706" s="161"/>
      <c r="H2706" s="654"/>
      <c r="I2706" s="654"/>
      <c r="J2706" s="191"/>
      <c r="K2706" s="191">
        <v>3864.38155036945</v>
      </c>
      <c r="L2706" s="191"/>
      <c r="M2706" s="191"/>
      <c r="N2706" s="191"/>
      <c r="O2706" s="191"/>
      <c r="P2706" s="191"/>
      <c r="Q2706" s="191"/>
      <c r="R2706" s="191"/>
      <c r="S2706" s="191"/>
      <c r="T2706" s="191"/>
      <c r="U2706" s="439"/>
      <c r="V2706" s="441"/>
      <c r="W2706" s="178"/>
      <c r="X2706" s="172"/>
      <c r="Y2706" s="172"/>
      <c r="Z2706" s="172"/>
      <c r="AA2706" s="195"/>
      <c r="AB2706" s="172"/>
    </row>
    <row r="2707" spans="1:28" ht="12.6" customHeight="1" x14ac:dyDescent="0.3">
      <c r="A2707" s="667"/>
      <c r="B2707" s="668" t="s">
        <v>9425</v>
      </c>
      <c r="C2707" s="160" t="s">
        <v>9426</v>
      </c>
      <c r="D2707" s="160"/>
      <c r="E2707" s="439">
        <v>21</v>
      </c>
      <c r="F2707" s="161">
        <v>443.96325999999999</v>
      </c>
      <c r="G2707" s="161"/>
      <c r="H2707" s="654"/>
      <c r="I2707" s="654"/>
      <c r="J2707" s="191"/>
      <c r="K2707" s="191">
        <v>289048.02081698802</v>
      </c>
      <c r="L2707" s="191"/>
      <c r="M2707" s="191"/>
      <c r="N2707" s="191"/>
      <c r="O2707" s="191"/>
      <c r="P2707" s="191"/>
      <c r="Q2707" s="191"/>
      <c r="R2707" s="191"/>
      <c r="S2707" s="191"/>
      <c r="T2707" s="191"/>
      <c r="U2707" s="439"/>
      <c r="V2707" s="441"/>
      <c r="W2707" s="178"/>
      <c r="X2707" s="172"/>
      <c r="Y2707" s="172"/>
      <c r="Z2707" s="172"/>
      <c r="AA2707" s="195"/>
      <c r="AB2707" s="172"/>
    </row>
    <row r="2708" spans="1:28" ht="12.6" customHeight="1" x14ac:dyDescent="0.3">
      <c r="A2708" s="667"/>
      <c r="B2708" s="668" t="s">
        <v>9427</v>
      </c>
      <c r="C2708" s="160" t="s">
        <v>9428</v>
      </c>
      <c r="D2708" s="160"/>
      <c r="E2708" s="439">
        <v>10.09</v>
      </c>
      <c r="F2708" s="161">
        <v>406.06023109300003</v>
      </c>
      <c r="G2708" s="161">
        <v>-6.9009999999999998</v>
      </c>
      <c r="H2708" s="654">
        <v>13.3937947639999</v>
      </c>
      <c r="I2708" s="654">
        <v>1.57250072972613</v>
      </c>
      <c r="J2708" s="191"/>
      <c r="K2708" s="191">
        <v>50662.894673638701</v>
      </c>
      <c r="L2708" s="191"/>
      <c r="M2708" s="191"/>
      <c r="N2708" s="191"/>
      <c r="O2708" s="191"/>
      <c r="P2708" s="191"/>
      <c r="Q2708" s="191"/>
      <c r="R2708" s="191"/>
      <c r="S2708" s="191"/>
      <c r="T2708" s="191"/>
      <c r="U2708" s="439"/>
      <c r="V2708" s="441"/>
      <c r="W2708" s="178"/>
      <c r="X2708" s="172"/>
      <c r="Y2708" s="172"/>
      <c r="Z2708" s="172"/>
      <c r="AA2708" s="195"/>
      <c r="AB2708" s="172"/>
    </row>
    <row r="2709" spans="1:28" ht="12.6" customHeight="1" x14ac:dyDescent="0.3">
      <c r="A2709" s="667"/>
      <c r="B2709" s="668" t="s">
        <v>9429</v>
      </c>
      <c r="C2709" s="160" t="s">
        <v>9430</v>
      </c>
      <c r="D2709" s="160"/>
      <c r="E2709" s="439">
        <v>9</v>
      </c>
      <c r="F2709" s="161">
        <v>306.066618441</v>
      </c>
      <c r="G2709" s="161"/>
      <c r="H2709" s="654"/>
      <c r="I2709" s="654"/>
      <c r="J2709" s="191"/>
      <c r="K2709" s="191">
        <v>20135.851515235499</v>
      </c>
      <c r="L2709" s="191"/>
      <c r="M2709" s="191"/>
      <c r="N2709" s="191"/>
      <c r="O2709" s="191"/>
      <c r="P2709" s="191"/>
      <c r="Q2709" s="191"/>
      <c r="R2709" s="191"/>
      <c r="S2709" s="191"/>
      <c r="T2709" s="191"/>
      <c r="U2709" s="439"/>
      <c r="V2709" s="441"/>
      <c r="W2709" s="178"/>
      <c r="X2709" s="172"/>
      <c r="Y2709" s="172"/>
      <c r="Z2709" s="172"/>
      <c r="AA2709" s="195"/>
      <c r="AB2709" s="172"/>
    </row>
    <row r="2710" spans="1:28" ht="12.6" customHeight="1" x14ac:dyDescent="0.3">
      <c r="A2710" s="667"/>
      <c r="B2710" s="668" t="s">
        <v>9431</v>
      </c>
      <c r="C2710" s="160" t="s">
        <v>9432</v>
      </c>
      <c r="D2710" s="160"/>
      <c r="E2710" s="439">
        <v>9</v>
      </c>
      <c r="F2710" s="161">
        <v>270.08546217999998</v>
      </c>
      <c r="G2710" s="161"/>
      <c r="H2710" s="654"/>
      <c r="I2710" s="654"/>
      <c r="J2710" s="191"/>
      <c r="K2710" s="191">
        <v>63126.251318022099</v>
      </c>
      <c r="L2710" s="191"/>
      <c r="M2710" s="191"/>
      <c r="N2710" s="191"/>
      <c r="O2710" s="191"/>
      <c r="P2710" s="191"/>
      <c r="Q2710" s="191"/>
      <c r="R2710" s="191"/>
      <c r="S2710" s="191"/>
      <c r="T2710" s="191"/>
      <c r="U2710" s="439"/>
      <c r="V2710" s="441"/>
      <c r="W2710" s="178"/>
      <c r="X2710" s="172"/>
      <c r="Y2710" s="172"/>
      <c r="Z2710" s="172"/>
      <c r="AA2710" s="195"/>
      <c r="AB2710" s="172"/>
    </row>
    <row r="2711" spans="1:28" ht="12.6" customHeight="1" x14ac:dyDescent="0.3">
      <c r="A2711" s="667"/>
      <c r="B2711" s="668" t="s">
        <v>9433</v>
      </c>
      <c r="C2711" s="160" t="s">
        <v>9434</v>
      </c>
      <c r="D2711" s="160"/>
      <c r="E2711" s="439">
        <v>10.4</v>
      </c>
      <c r="F2711" s="161">
        <v>570.066300136</v>
      </c>
      <c r="G2711" s="161"/>
      <c r="H2711" s="654"/>
      <c r="I2711" s="654"/>
      <c r="J2711" s="191"/>
      <c r="K2711" s="191">
        <v>623619.94986136805</v>
      </c>
      <c r="L2711" s="191"/>
      <c r="M2711" s="191"/>
      <c r="N2711" s="191"/>
      <c r="O2711" s="191"/>
      <c r="P2711" s="191"/>
      <c r="Q2711" s="191"/>
      <c r="R2711" s="191"/>
      <c r="S2711" s="191"/>
      <c r="T2711" s="191"/>
      <c r="U2711" s="439"/>
      <c r="V2711" s="441"/>
      <c r="W2711" s="178"/>
      <c r="X2711" s="172"/>
      <c r="Y2711" s="172"/>
      <c r="Z2711" s="172"/>
      <c r="AA2711" s="195"/>
      <c r="AB2711" s="172"/>
    </row>
    <row r="2712" spans="1:28" ht="12.6" customHeight="1" x14ac:dyDescent="0.3">
      <c r="A2712" s="667"/>
      <c r="B2712" s="668" t="s">
        <v>9435</v>
      </c>
      <c r="C2712" s="160" t="s">
        <v>9436</v>
      </c>
      <c r="D2712" s="160"/>
      <c r="E2712" s="439">
        <v>9.84</v>
      </c>
      <c r="F2712" s="161">
        <v>520.06949381000004</v>
      </c>
      <c r="G2712" s="161">
        <v>-14.457000000000001</v>
      </c>
      <c r="H2712" s="654">
        <v>4.7742074911999897</v>
      </c>
      <c r="I2712" s="654">
        <v>4.9895519243080701E-2</v>
      </c>
      <c r="J2712" s="191"/>
      <c r="K2712" s="191">
        <v>157391.03815456</v>
      </c>
      <c r="L2712" s="191"/>
      <c r="M2712" s="191"/>
      <c r="N2712" s="191"/>
      <c r="O2712" s="191"/>
      <c r="P2712" s="191"/>
      <c r="Q2712" s="191"/>
      <c r="R2712" s="191"/>
      <c r="S2712" s="191"/>
      <c r="T2712" s="191"/>
      <c r="U2712" s="439"/>
      <c r="V2712" s="441"/>
      <c r="W2712" s="178"/>
      <c r="X2712" s="172"/>
      <c r="Y2712" s="172"/>
      <c r="Z2712" s="172"/>
      <c r="AA2712" s="195"/>
      <c r="AB2712" s="172"/>
    </row>
    <row r="2713" spans="1:28" ht="12.6" customHeight="1" x14ac:dyDescent="0.3">
      <c r="A2713" s="667"/>
      <c r="B2713" s="668" t="s">
        <v>9437</v>
      </c>
      <c r="C2713" s="160" t="s">
        <v>9438</v>
      </c>
      <c r="D2713" s="160"/>
      <c r="E2713" s="439">
        <v>9.84</v>
      </c>
      <c r="F2713" s="161">
        <v>420.07588115800002</v>
      </c>
      <c r="G2713" s="161">
        <v>-0.55200000000000005</v>
      </c>
      <c r="H2713" s="654">
        <v>7.4285151891999996</v>
      </c>
      <c r="I2713" s="654">
        <v>0.40024661926381699</v>
      </c>
      <c r="J2713" s="191"/>
      <c r="K2713" s="191">
        <v>472247.861538906</v>
      </c>
      <c r="L2713" s="191"/>
      <c r="M2713" s="191"/>
      <c r="N2713" s="191"/>
      <c r="O2713" s="191"/>
      <c r="P2713" s="191"/>
      <c r="Q2713" s="191"/>
      <c r="R2713" s="191"/>
      <c r="S2713" s="191"/>
      <c r="T2713" s="191"/>
      <c r="U2713" s="439"/>
      <c r="V2713" s="441"/>
      <c r="W2713" s="178"/>
      <c r="X2713" s="172"/>
      <c r="Y2713" s="172"/>
      <c r="Z2713" s="172"/>
      <c r="AA2713" s="195"/>
      <c r="AB2713" s="172"/>
    </row>
    <row r="2714" spans="1:28" ht="12.6" customHeight="1" x14ac:dyDescent="0.3">
      <c r="A2714" s="667"/>
      <c r="B2714" s="668" t="s">
        <v>9439</v>
      </c>
      <c r="C2714" s="160" t="s">
        <v>9440</v>
      </c>
      <c r="D2714" s="160"/>
      <c r="E2714" s="439">
        <v>10</v>
      </c>
      <c r="F2714" s="161">
        <v>320.08226850599999</v>
      </c>
      <c r="G2714" s="161">
        <v>-45.401000000000003</v>
      </c>
      <c r="H2714" s="654">
        <v>17.056950036</v>
      </c>
      <c r="I2714" s="654">
        <v>2.6993657991050699</v>
      </c>
      <c r="J2714" s="191"/>
      <c r="K2714" s="191">
        <v>100126.722405186</v>
      </c>
      <c r="L2714" s="191"/>
      <c r="M2714" s="191"/>
      <c r="N2714" s="191"/>
      <c r="O2714" s="191"/>
      <c r="P2714" s="191"/>
      <c r="Q2714" s="191"/>
      <c r="R2714" s="191"/>
      <c r="S2714" s="191"/>
      <c r="T2714" s="191"/>
      <c r="U2714" s="439"/>
      <c r="V2714" s="441"/>
      <c r="W2714" s="178"/>
      <c r="X2714" s="172"/>
      <c r="Y2714" s="172"/>
      <c r="Z2714" s="172"/>
      <c r="AA2714" s="195"/>
      <c r="AB2714" s="172"/>
    </row>
    <row r="2715" spans="1:28" ht="12.6" customHeight="1" x14ac:dyDescent="0.3">
      <c r="A2715" s="667"/>
      <c r="B2715" s="668" t="s">
        <v>9441</v>
      </c>
      <c r="C2715" s="160" t="s">
        <v>9442</v>
      </c>
      <c r="D2715" s="160"/>
      <c r="E2715" s="439">
        <v>9.36</v>
      </c>
      <c r="F2715" s="161">
        <v>474.01020999999997</v>
      </c>
      <c r="G2715" s="161"/>
      <c r="H2715" s="654"/>
      <c r="I2715" s="654"/>
      <c r="J2715" s="191"/>
      <c r="K2715" s="191">
        <v>708076.20482871798</v>
      </c>
      <c r="L2715" s="191"/>
      <c r="M2715" s="191"/>
      <c r="N2715" s="191"/>
      <c r="O2715" s="191"/>
      <c r="P2715" s="191"/>
      <c r="Q2715" s="191"/>
      <c r="R2715" s="191"/>
      <c r="S2715" s="191"/>
      <c r="T2715" s="191"/>
      <c r="U2715" s="439"/>
      <c r="V2715" s="441"/>
      <c r="W2715" s="178"/>
      <c r="X2715" s="172"/>
      <c r="Y2715" s="172"/>
      <c r="Z2715" s="172"/>
      <c r="AA2715" s="195"/>
      <c r="AB2715" s="172"/>
    </row>
    <row r="2716" spans="1:28" ht="12.6" customHeight="1" x14ac:dyDescent="0.3">
      <c r="A2716" s="667"/>
      <c r="B2716" s="668" t="s">
        <v>9443</v>
      </c>
      <c r="C2716" s="160" t="s">
        <v>9444</v>
      </c>
      <c r="D2716" s="160"/>
      <c r="E2716" s="439">
        <v>9.7799999999999994</v>
      </c>
      <c r="F2716" s="161">
        <v>348.11356863399999</v>
      </c>
      <c r="G2716" s="161">
        <v>-37.344999999999999</v>
      </c>
      <c r="H2716" s="654">
        <v>4.8406285116000003</v>
      </c>
      <c r="I2716" s="654">
        <v>1.14741713357452</v>
      </c>
      <c r="J2716" s="191"/>
      <c r="K2716" s="191">
        <v>891990.02962394804</v>
      </c>
      <c r="L2716" s="191"/>
      <c r="M2716" s="191"/>
      <c r="N2716" s="191"/>
      <c r="O2716" s="191"/>
      <c r="P2716" s="191"/>
      <c r="Q2716" s="191"/>
      <c r="R2716" s="191"/>
      <c r="S2716" s="191"/>
      <c r="T2716" s="191"/>
      <c r="U2716" s="439"/>
      <c r="V2716" s="441"/>
      <c r="W2716" s="178"/>
      <c r="X2716" s="172"/>
      <c r="Y2716" s="172"/>
      <c r="Z2716" s="172"/>
      <c r="AA2716" s="195"/>
      <c r="AB2716" s="172"/>
    </row>
    <row r="2717" spans="1:28" ht="12.6" customHeight="1" x14ac:dyDescent="0.3">
      <c r="A2717" s="667"/>
      <c r="B2717" s="668" t="s">
        <v>9445</v>
      </c>
      <c r="C2717" s="160" t="s">
        <v>9446</v>
      </c>
      <c r="D2717" s="160"/>
      <c r="E2717" s="439">
        <v>8.1199999999999992</v>
      </c>
      <c r="F2717" s="161">
        <v>588.13209406700003</v>
      </c>
      <c r="G2717" s="161"/>
      <c r="H2717" s="654"/>
      <c r="I2717" s="654"/>
      <c r="J2717" s="191"/>
      <c r="K2717" s="191">
        <v>27984657.757061999</v>
      </c>
      <c r="L2717" s="191"/>
      <c r="M2717" s="191"/>
      <c r="N2717" s="191"/>
      <c r="O2717" s="191"/>
      <c r="P2717" s="191"/>
      <c r="Q2717" s="191"/>
      <c r="R2717" s="191"/>
      <c r="S2717" s="191"/>
      <c r="T2717" s="191"/>
      <c r="U2717" s="439"/>
      <c r="V2717" s="441"/>
      <c r="W2717" s="178"/>
      <c r="X2717" s="172"/>
      <c r="Y2717" s="172"/>
      <c r="Z2717" s="172"/>
      <c r="AA2717" s="195"/>
      <c r="AB2717" s="172"/>
    </row>
    <row r="2718" spans="1:28" ht="12.6" customHeight="1" x14ac:dyDescent="0.3">
      <c r="A2718" s="667"/>
      <c r="B2718" s="668" t="s">
        <v>9447</v>
      </c>
      <c r="C2718" s="160" t="s">
        <v>9448</v>
      </c>
      <c r="D2718" s="160"/>
      <c r="E2718" s="439">
        <v>8.23</v>
      </c>
      <c r="F2718" s="161">
        <v>488.138481415</v>
      </c>
      <c r="G2718" s="161"/>
      <c r="H2718" s="654"/>
      <c r="I2718" s="654"/>
      <c r="J2718" s="191"/>
      <c r="K2718" s="191">
        <v>617831433.22790599</v>
      </c>
      <c r="L2718" s="191"/>
      <c r="M2718" s="191"/>
      <c r="N2718" s="191"/>
      <c r="O2718" s="191"/>
      <c r="P2718" s="191"/>
      <c r="Q2718" s="191"/>
      <c r="R2718" s="191"/>
      <c r="S2718" s="191"/>
      <c r="T2718" s="191"/>
      <c r="U2718" s="439"/>
      <c r="V2718" s="441"/>
      <c r="W2718" s="178"/>
      <c r="X2718" s="172"/>
      <c r="Y2718" s="172"/>
      <c r="Z2718" s="172"/>
      <c r="AA2718" s="195"/>
      <c r="AB2718" s="172"/>
    </row>
    <row r="2719" spans="1:28" ht="12.6" customHeight="1" x14ac:dyDescent="0.3">
      <c r="A2719" s="667"/>
      <c r="B2719" s="668" t="s">
        <v>9449</v>
      </c>
      <c r="C2719" s="160" t="s">
        <v>9450</v>
      </c>
      <c r="D2719" s="160"/>
      <c r="E2719" s="439">
        <v>8.23</v>
      </c>
      <c r="F2719" s="161">
        <v>488.138481415</v>
      </c>
      <c r="G2719" s="161"/>
      <c r="H2719" s="654"/>
      <c r="I2719" s="654"/>
      <c r="J2719" s="191"/>
      <c r="K2719" s="191">
        <v>617831433.22790599</v>
      </c>
      <c r="L2719" s="191"/>
      <c r="M2719" s="191"/>
      <c r="N2719" s="191"/>
      <c r="O2719" s="191"/>
      <c r="P2719" s="191"/>
      <c r="Q2719" s="191"/>
      <c r="R2719" s="191"/>
      <c r="S2719" s="191"/>
      <c r="T2719" s="191"/>
      <c r="U2719" s="439"/>
      <c r="V2719" s="441"/>
      <c r="W2719" s="178"/>
      <c r="X2719" s="172"/>
      <c r="Y2719" s="172"/>
      <c r="Z2719" s="172"/>
      <c r="AA2719" s="195"/>
      <c r="AB2719" s="172"/>
    </row>
    <row r="2720" spans="1:28" ht="12.6" customHeight="1" x14ac:dyDescent="0.3">
      <c r="A2720" s="667"/>
      <c r="B2720" s="668" t="s">
        <v>9451</v>
      </c>
      <c r="C2720" s="160" t="s">
        <v>9452</v>
      </c>
      <c r="D2720" s="160"/>
      <c r="E2720" s="439">
        <v>9.61</v>
      </c>
      <c r="F2720" s="161">
        <v>590.14774413199996</v>
      </c>
      <c r="G2720" s="161"/>
      <c r="H2720" s="654"/>
      <c r="I2720" s="654"/>
      <c r="J2720" s="191"/>
      <c r="K2720" s="191">
        <v>34723220.643807396</v>
      </c>
      <c r="L2720" s="191"/>
      <c r="M2720" s="191"/>
      <c r="N2720" s="191"/>
      <c r="O2720" s="191"/>
      <c r="P2720" s="191"/>
      <c r="Q2720" s="191"/>
      <c r="R2720" s="191"/>
      <c r="S2720" s="191"/>
      <c r="T2720" s="191"/>
      <c r="U2720" s="439"/>
      <c r="V2720" s="441"/>
      <c r="W2720" s="178"/>
      <c r="X2720" s="172"/>
      <c r="Y2720" s="172"/>
      <c r="Z2720" s="172"/>
      <c r="AA2720" s="195"/>
      <c r="AB2720" s="172"/>
    </row>
    <row r="2721" spans="1:28" ht="12.6" customHeight="1" x14ac:dyDescent="0.3">
      <c r="A2721" s="667"/>
      <c r="B2721" s="668" t="s">
        <v>9453</v>
      </c>
      <c r="C2721" s="160" t="s">
        <v>9454</v>
      </c>
      <c r="D2721" s="160"/>
      <c r="E2721" s="439">
        <v>9.61</v>
      </c>
      <c r="F2721" s="161">
        <v>490.15413147999999</v>
      </c>
      <c r="G2721" s="161"/>
      <c r="H2721" s="654"/>
      <c r="I2721" s="654"/>
      <c r="J2721" s="191"/>
      <c r="K2721" s="191">
        <v>979196832.61140001</v>
      </c>
      <c r="L2721" s="191"/>
      <c r="M2721" s="191"/>
      <c r="N2721" s="191"/>
      <c r="O2721" s="191"/>
      <c r="P2721" s="191"/>
      <c r="Q2721" s="191"/>
      <c r="R2721" s="191"/>
      <c r="S2721" s="191"/>
      <c r="T2721" s="191"/>
      <c r="U2721" s="439"/>
      <c r="V2721" s="441"/>
      <c r="W2721" s="178"/>
      <c r="X2721" s="172"/>
      <c r="Y2721" s="172"/>
      <c r="Z2721" s="172"/>
      <c r="AA2721" s="195"/>
      <c r="AB2721" s="172"/>
    </row>
    <row r="2722" spans="1:28" ht="12.6" customHeight="1" x14ac:dyDescent="0.3">
      <c r="A2722" s="667"/>
      <c r="B2722" s="668" t="s">
        <v>9455</v>
      </c>
      <c r="C2722" s="160" t="s">
        <v>9456</v>
      </c>
      <c r="D2722" s="160"/>
      <c r="E2722" s="439">
        <v>9.7799999999999994</v>
      </c>
      <c r="F2722" s="161">
        <v>390.16051882800002</v>
      </c>
      <c r="G2722" s="161">
        <v>-17.035</v>
      </c>
      <c r="H2722" s="654">
        <v>1.02306236564</v>
      </c>
      <c r="I2722" s="654">
        <v>9.6881928911737095E-2</v>
      </c>
      <c r="J2722" s="191"/>
      <c r="K2722" s="191">
        <v>58736761.8163592</v>
      </c>
      <c r="L2722" s="191"/>
      <c r="M2722" s="191"/>
      <c r="N2722" s="191"/>
      <c r="O2722" s="191"/>
      <c r="P2722" s="191"/>
      <c r="Q2722" s="191"/>
      <c r="R2722" s="191"/>
      <c r="S2722" s="191"/>
      <c r="T2722" s="191"/>
      <c r="U2722" s="439"/>
      <c r="V2722" s="441"/>
      <c r="W2722" s="178"/>
      <c r="X2722" s="172"/>
      <c r="Y2722" s="172"/>
      <c r="Z2722" s="172"/>
      <c r="AA2722" s="195"/>
      <c r="AB2722" s="172"/>
    </row>
    <row r="2723" spans="1:28" ht="12.6" customHeight="1" x14ac:dyDescent="0.3">
      <c r="A2723" s="667"/>
      <c r="B2723" s="668" t="s">
        <v>9457</v>
      </c>
      <c r="C2723" s="160" t="s">
        <v>9458</v>
      </c>
      <c r="D2723" s="160"/>
      <c r="E2723" s="439">
        <v>9</v>
      </c>
      <c r="F2723" s="161">
        <v>300.09602686400001</v>
      </c>
      <c r="G2723" s="161"/>
      <c r="H2723" s="654"/>
      <c r="I2723" s="654"/>
      <c r="J2723" s="191"/>
      <c r="K2723" s="191">
        <v>2188.87015630626</v>
      </c>
      <c r="L2723" s="191"/>
      <c r="M2723" s="191"/>
      <c r="N2723" s="191"/>
      <c r="O2723" s="191"/>
      <c r="P2723" s="191"/>
      <c r="Q2723" s="191"/>
      <c r="R2723" s="191"/>
      <c r="S2723" s="191"/>
      <c r="T2723" s="191"/>
      <c r="U2723" s="439"/>
      <c r="V2723" s="441"/>
      <c r="W2723" s="178"/>
      <c r="X2723" s="172"/>
      <c r="Y2723" s="172"/>
      <c r="Z2723" s="172"/>
      <c r="AA2723" s="195"/>
      <c r="AB2723" s="172"/>
    </row>
    <row r="2724" spans="1:28" ht="12.6" customHeight="1" x14ac:dyDescent="0.3">
      <c r="A2724" s="667"/>
      <c r="B2724" s="668" t="s">
        <v>9459</v>
      </c>
      <c r="C2724" s="160" t="s">
        <v>9460</v>
      </c>
      <c r="D2724" s="160"/>
      <c r="E2724" s="439">
        <v>11.2</v>
      </c>
      <c r="F2724" s="161">
        <v>538.025914919</v>
      </c>
      <c r="G2724" s="161">
        <v>-56.658999999999999</v>
      </c>
      <c r="H2724" s="654">
        <v>7.0453344290000004</v>
      </c>
      <c r="I2724" s="654">
        <v>4.8284005879984299E-2</v>
      </c>
      <c r="J2724" s="191"/>
      <c r="K2724" s="191">
        <v>22619343.714437701</v>
      </c>
      <c r="L2724" s="191"/>
      <c r="M2724" s="191"/>
      <c r="N2724" s="191"/>
      <c r="O2724" s="191"/>
      <c r="P2724" s="191"/>
      <c r="Q2724" s="191"/>
      <c r="R2724" s="191"/>
      <c r="S2724" s="191"/>
      <c r="T2724" s="191"/>
      <c r="U2724" s="439"/>
      <c r="V2724" s="441"/>
      <c r="W2724" s="178"/>
      <c r="X2724" s="172"/>
      <c r="Y2724" s="172"/>
      <c r="Z2724" s="172"/>
      <c r="AA2724" s="195"/>
      <c r="AB2724" s="172"/>
    </row>
    <row r="2725" spans="1:28" ht="12.6" customHeight="1" x14ac:dyDescent="0.3">
      <c r="A2725" s="667"/>
      <c r="B2725" s="668" t="s">
        <v>9461</v>
      </c>
      <c r="C2725" s="160" t="s">
        <v>9462</v>
      </c>
      <c r="D2725" s="160"/>
      <c r="E2725" s="439">
        <v>7.5119999999999996</v>
      </c>
      <c r="F2725" s="161">
        <v>331.10184052</v>
      </c>
      <c r="G2725" s="161">
        <v>27.266999999999999</v>
      </c>
      <c r="H2725" s="654">
        <v>0.51987847324000003</v>
      </c>
      <c r="I2725" s="654">
        <v>163.66728188928101</v>
      </c>
      <c r="J2725" s="191"/>
      <c r="K2725" s="191">
        <v>37.587202178679398</v>
      </c>
      <c r="L2725" s="191"/>
      <c r="M2725" s="191"/>
      <c r="N2725" s="191"/>
      <c r="O2725" s="191"/>
      <c r="P2725" s="191"/>
      <c r="Q2725" s="191"/>
      <c r="R2725" s="191"/>
      <c r="S2725" s="191"/>
      <c r="T2725" s="191"/>
      <c r="U2725" s="439"/>
      <c r="V2725" s="441"/>
      <c r="W2725" s="178"/>
      <c r="X2725" s="172"/>
      <c r="Y2725" s="172"/>
      <c r="Z2725" s="172"/>
      <c r="AA2725" s="195"/>
      <c r="AB2725" s="172"/>
    </row>
    <row r="2726" spans="1:28" ht="12.6" customHeight="1" x14ac:dyDescent="0.3">
      <c r="A2726" s="667"/>
      <c r="B2726" s="668" t="s">
        <v>9463</v>
      </c>
      <c r="C2726" s="160" t="s">
        <v>9464</v>
      </c>
      <c r="D2726" s="160"/>
      <c r="E2726" s="439">
        <v>7.51</v>
      </c>
      <c r="F2726" s="161">
        <v>551.07530746600003</v>
      </c>
      <c r="G2726" s="161">
        <v>-45.276000000000003</v>
      </c>
      <c r="H2726" s="654">
        <v>0.55834453667999995</v>
      </c>
      <c r="I2726" s="654">
        <v>0.31204033102424</v>
      </c>
      <c r="J2726" s="191"/>
      <c r="K2726" s="191">
        <v>69908.502617689999</v>
      </c>
      <c r="L2726" s="191"/>
      <c r="M2726" s="191"/>
      <c r="N2726" s="191"/>
      <c r="O2726" s="191"/>
      <c r="P2726" s="191"/>
      <c r="Q2726" s="191"/>
      <c r="R2726" s="191"/>
      <c r="S2726" s="191"/>
      <c r="T2726" s="191"/>
      <c r="U2726" s="439"/>
      <c r="V2726" s="441"/>
      <c r="W2726" s="178"/>
      <c r="X2726" s="172"/>
      <c r="Y2726" s="172"/>
      <c r="Z2726" s="172"/>
      <c r="AA2726" s="195"/>
      <c r="AB2726" s="172"/>
    </row>
    <row r="2727" spans="1:28" ht="12.6" customHeight="1" x14ac:dyDescent="0.3">
      <c r="A2727" s="667"/>
      <c r="B2727" s="668" t="s">
        <v>9465</v>
      </c>
      <c r="C2727" s="160" t="s">
        <v>9466</v>
      </c>
      <c r="D2727" s="160"/>
      <c r="E2727" s="439">
        <v>3.89</v>
      </c>
      <c r="F2727" s="161">
        <v>800.096687836</v>
      </c>
      <c r="G2727" s="161">
        <v>35.679000000000002</v>
      </c>
      <c r="H2727" s="654">
        <v>4.6655367290000002E-4</v>
      </c>
      <c r="I2727" s="654"/>
      <c r="J2727" s="191"/>
      <c r="K2727" s="191">
        <v>11687.187188551001</v>
      </c>
      <c r="L2727" s="191"/>
      <c r="M2727" s="191"/>
      <c r="N2727" s="191"/>
      <c r="O2727" s="191"/>
      <c r="P2727" s="191"/>
      <c r="Q2727" s="191"/>
      <c r="R2727" s="191"/>
      <c r="S2727" s="191"/>
      <c r="T2727" s="191"/>
      <c r="U2727" s="439"/>
      <c r="V2727" s="441"/>
      <c r="W2727" s="178"/>
      <c r="X2727" s="172"/>
      <c r="Y2727" s="172"/>
      <c r="Z2727" s="172"/>
      <c r="AA2727" s="195"/>
      <c r="AB2727" s="172"/>
    </row>
    <row r="2728" spans="1:28" ht="12.6" customHeight="1" x14ac:dyDescent="0.3">
      <c r="A2728" s="667"/>
      <c r="B2728" s="668" t="s">
        <v>9467</v>
      </c>
      <c r="C2728" s="160" t="s">
        <v>9468</v>
      </c>
      <c r="D2728" s="160"/>
      <c r="E2728" s="439">
        <v>8.4</v>
      </c>
      <c r="F2728" s="161">
        <v>507.04909271700001</v>
      </c>
      <c r="G2728" s="161">
        <v>-21.550999999999998</v>
      </c>
      <c r="H2728" s="654">
        <v>11.638623966200001</v>
      </c>
      <c r="I2728" s="654">
        <v>0.19012971944337101</v>
      </c>
      <c r="J2728" s="191"/>
      <c r="K2728" s="191">
        <v>68800.247411824093</v>
      </c>
      <c r="L2728" s="191"/>
      <c r="M2728" s="191"/>
      <c r="N2728" s="191"/>
      <c r="O2728" s="191"/>
      <c r="P2728" s="191"/>
      <c r="Q2728" s="191"/>
      <c r="R2728" s="191"/>
      <c r="S2728" s="191"/>
      <c r="T2728" s="191"/>
      <c r="U2728" s="439"/>
      <c r="V2728" s="441"/>
      <c r="W2728" s="178"/>
      <c r="X2728" s="172"/>
      <c r="Y2728" s="172"/>
      <c r="Z2728" s="172"/>
      <c r="AA2728" s="195"/>
      <c r="AB2728" s="172"/>
    </row>
    <row r="2729" spans="1:28" ht="12.6" customHeight="1" x14ac:dyDescent="0.3">
      <c r="A2729" s="667"/>
      <c r="B2729" s="668" t="s">
        <v>9469</v>
      </c>
      <c r="C2729" s="160" t="s">
        <v>9470</v>
      </c>
      <c r="D2729" s="160"/>
      <c r="E2729" s="439">
        <v>7.52</v>
      </c>
      <c r="F2729" s="161">
        <v>363.073911694</v>
      </c>
      <c r="G2729" s="161"/>
      <c r="H2729" s="654"/>
      <c r="I2729" s="654"/>
      <c r="J2729" s="191"/>
      <c r="K2729" s="191">
        <v>501.14107470288297</v>
      </c>
      <c r="L2729" s="191"/>
      <c r="M2729" s="191"/>
      <c r="N2729" s="191"/>
      <c r="O2729" s="191"/>
      <c r="P2729" s="191"/>
      <c r="Q2729" s="191"/>
      <c r="R2729" s="191"/>
      <c r="S2729" s="191"/>
      <c r="T2729" s="191"/>
      <c r="U2729" s="439"/>
      <c r="V2729" s="441"/>
      <c r="W2729" s="178"/>
      <c r="X2729" s="172"/>
      <c r="Y2729" s="172"/>
      <c r="Z2729" s="172"/>
      <c r="AA2729" s="195"/>
      <c r="AB2729" s="172"/>
    </row>
    <row r="2730" spans="1:28" ht="12.6" customHeight="1" x14ac:dyDescent="0.3">
      <c r="A2730" s="667"/>
      <c r="B2730" s="668" t="s">
        <v>9471</v>
      </c>
      <c r="C2730" s="160" t="s">
        <v>9472</v>
      </c>
      <c r="D2730" s="160"/>
      <c r="E2730" s="439">
        <v>4.29</v>
      </c>
      <c r="F2730" s="161">
        <v>549.05859038799997</v>
      </c>
      <c r="G2730" s="161"/>
      <c r="H2730" s="654"/>
      <c r="I2730" s="654"/>
      <c r="J2730" s="191"/>
      <c r="K2730" s="191">
        <v>3.5246500182721201</v>
      </c>
      <c r="L2730" s="191"/>
      <c r="M2730" s="191"/>
      <c r="N2730" s="191"/>
      <c r="O2730" s="191"/>
      <c r="P2730" s="191"/>
      <c r="Q2730" s="191"/>
      <c r="R2730" s="191"/>
      <c r="S2730" s="191"/>
      <c r="T2730" s="191"/>
      <c r="U2730" s="439"/>
      <c r="V2730" s="441"/>
      <c r="W2730" s="178"/>
      <c r="X2730" s="172"/>
      <c r="Y2730" s="172"/>
      <c r="Z2730" s="172"/>
      <c r="AA2730" s="195"/>
      <c r="AB2730" s="172"/>
    </row>
    <row r="2731" spans="1:28" ht="12.6" customHeight="1" x14ac:dyDescent="0.3">
      <c r="A2731" s="667"/>
      <c r="B2731" s="668" t="s">
        <v>9473</v>
      </c>
      <c r="C2731" s="160" t="s">
        <v>9474</v>
      </c>
      <c r="D2731" s="160"/>
      <c r="E2731" s="439">
        <v>8.41</v>
      </c>
      <c r="F2731" s="161">
        <v>394.02384558400001</v>
      </c>
      <c r="G2731" s="161"/>
      <c r="H2731" s="654"/>
      <c r="I2731" s="654"/>
      <c r="J2731" s="191"/>
      <c r="K2731" s="191">
        <v>3058.6515233752898</v>
      </c>
      <c r="L2731" s="191"/>
      <c r="M2731" s="191"/>
      <c r="N2731" s="191"/>
      <c r="O2731" s="191"/>
      <c r="P2731" s="191"/>
      <c r="Q2731" s="191"/>
      <c r="R2731" s="191"/>
      <c r="S2731" s="191"/>
      <c r="T2731" s="191"/>
      <c r="U2731" s="439"/>
      <c r="V2731" s="441"/>
      <c r="W2731" s="178"/>
      <c r="X2731" s="172"/>
      <c r="Y2731" s="172"/>
      <c r="Z2731" s="172"/>
      <c r="AA2731" s="195"/>
      <c r="AB2731" s="172"/>
    </row>
    <row r="2732" spans="1:28" ht="12.6" customHeight="1" x14ac:dyDescent="0.3">
      <c r="A2732" s="667"/>
      <c r="B2732" s="668" t="s">
        <v>9475</v>
      </c>
      <c r="C2732" s="160" t="s">
        <v>9476</v>
      </c>
      <c r="D2732" s="160"/>
      <c r="E2732" s="439">
        <v>8.39</v>
      </c>
      <c r="F2732" s="161">
        <v>344.027039258</v>
      </c>
      <c r="G2732" s="161"/>
      <c r="H2732" s="654"/>
      <c r="I2732" s="654"/>
      <c r="J2732" s="191"/>
      <c r="K2732" s="191">
        <v>1371.19745970092</v>
      </c>
      <c r="L2732" s="191"/>
      <c r="M2732" s="191"/>
      <c r="N2732" s="191"/>
      <c r="O2732" s="191"/>
      <c r="P2732" s="191"/>
      <c r="Q2732" s="191"/>
      <c r="R2732" s="191"/>
      <c r="S2732" s="191"/>
      <c r="T2732" s="191"/>
      <c r="U2732" s="439"/>
      <c r="V2732" s="441"/>
      <c r="W2732" s="178"/>
      <c r="X2732" s="172"/>
      <c r="Y2732" s="172"/>
      <c r="Z2732" s="172"/>
      <c r="AA2732" s="195"/>
      <c r="AB2732" s="172"/>
    </row>
    <row r="2733" spans="1:28" ht="12.6" customHeight="1" x14ac:dyDescent="0.3">
      <c r="A2733" s="667"/>
      <c r="B2733" s="668" t="s">
        <v>9477</v>
      </c>
      <c r="C2733" s="160" t="s">
        <v>9478</v>
      </c>
      <c r="D2733" s="160"/>
      <c r="E2733" s="439">
        <v>8.52</v>
      </c>
      <c r="F2733" s="161">
        <v>244.03342660600001</v>
      </c>
      <c r="G2733" s="161"/>
      <c r="H2733" s="654"/>
      <c r="I2733" s="654"/>
      <c r="J2733" s="191"/>
      <c r="K2733" s="191">
        <v>83.266440557914606</v>
      </c>
      <c r="L2733" s="191"/>
      <c r="M2733" s="191"/>
      <c r="N2733" s="191"/>
      <c r="O2733" s="191"/>
      <c r="P2733" s="191"/>
      <c r="Q2733" s="191"/>
      <c r="R2733" s="191"/>
      <c r="S2733" s="191"/>
      <c r="T2733" s="191"/>
      <c r="U2733" s="439"/>
      <c r="V2733" s="441"/>
      <c r="W2733" s="178"/>
      <c r="X2733" s="172"/>
      <c r="Y2733" s="172"/>
      <c r="Z2733" s="172"/>
      <c r="AA2733" s="195"/>
      <c r="AB2733" s="172"/>
    </row>
    <row r="2734" spans="1:28" ht="12.6" customHeight="1" x14ac:dyDescent="0.3">
      <c r="A2734" s="667"/>
      <c r="B2734" s="668" t="s">
        <v>9479</v>
      </c>
      <c r="C2734" s="160" t="s">
        <v>9480</v>
      </c>
      <c r="D2734" s="160"/>
      <c r="E2734" s="439">
        <v>9.01</v>
      </c>
      <c r="F2734" s="161">
        <v>408.039495649</v>
      </c>
      <c r="G2734" s="161">
        <v>-19.866</v>
      </c>
      <c r="H2734" s="654">
        <v>15.378026090000001</v>
      </c>
      <c r="I2734" s="654">
        <v>5.4038302566779599</v>
      </c>
      <c r="J2734" s="191"/>
      <c r="K2734" s="191">
        <v>5364.3857478078799</v>
      </c>
      <c r="L2734" s="191"/>
      <c r="M2734" s="191"/>
      <c r="N2734" s="191"/>
      <c r="O2734" s="191"/>
      <c r="P2734" s="191"/>
      <c r="Q2734" s="191"/>
      <c r="R2734" s="191"/>
      <c r="S2734" s="191"/>
      <c r="T2734" s="191"/>
      <c r="U2734" s="439"/>
      <c r="V2734" s="441"/>
      <c r="W2734" s="178"/>
      <c r="X2734" s="172"/>
      <c r="Y2734" s="172"/>
      <c r="Z2734" s="172"/>
      <c r="AA2734" s="195"/>
      <c r="AB2734" s="172"/>
    </row>
    <row r="2735" spans="1:28" ht="12.6" customHeight="1" x14ac:dyDescent="0.3">
      <c r="A2735" s="667"/>
      <c r="B2735" s="668" t="s">
        <v>9481</v>
      </c>
      <c r="C2735" s="160" t="s">
        <v>9482</v>
      </c>
      <c r="D2735" s="160"/>
      <c r="E2735" s="439">
        <v>8.89</v>
      </c>
      <c r="F2735" s="161">
        <v>308.04588299699998</v>
      </c>
      <c r="G2735" s="161"/>
      <c r="H2735" s="654"/>
      <c r="I2735" s="654"/>
      <c r="J2735" s="191"/>
      <c r="K2735" s="191">
        <v>391.46235099069099</v>
      </c>
      <c r="L2735" s="191"/>
      <c r="M2735" s="191"/>
      <c r="N2735" s="191"/>
      <c r="O2735" s="191"/>
      <c r="P2735" s="191"/>
      <c r="Q2735" s="191"/>
      <c r="R2735" s="191"/>
      <c r="S2735" s="191"/>
      <c r="T2735" s="191"/>
      <c r="U2735" s="439"/>
      <c r="V2735" s="441"/>
      <c r="W2735" s="178"/>
      <c r="X2735" s="172"/>
      <c r="Y2735" s="172"/>
      <c r="Z2735" s="172"/>
      <c r="AA2735" s="195"/>
      <c r="AB2735" s="172"/>
    </row>
    <row r="2736" spans="1:28" ht="12.6" customHeight="1" x14ac:dyDescent="0.3">
      <c r="A2736" s="667"/>
      <c r="B2736" s="668" t="s">
        <v>9483</v>
      </c>
      <c r="C2736" s="160" t="s">
        <v>9484</v>
      </c>
      <c r="D2736" s="160"/>
      <c r="E2736" s="439">
        <v>7.04</v>
      </c>
      <c r="F2736" s="161">
        <v>288.059641355</v>
      </c>
      <c r="G2736" s="161"/>
      <c r="H2736" s="654"/>
      <c r="I2736" s="654"/>
      <c r="J2736" s="191"/>
      <c r="K2736" s="191">
        <v>125.536495315313</v>
      </c>
      <c r="L2736" s="191"/>
      <c r="M2736" s="191"/>
      <c r="N2736" s="191"/>
      <c r="O2736" s="191"/>
      <c r="P2736" s="191"/>
      <c r="Q2736" s="191"/>
      <c r="R2736" s="191"/>
      <c r="S2736" s="191"/>
      <c r="T2736" s="191"/>
      <c r="U2736" s="439"/>
      <c r="V2736" s="441"/>
      <c r="W2736" s="178"/>
      <c r="X2736" s="172"/>
      <c r="Y2736" s="172"/>
      <c r="Z2736" s="172"/>
      <c r="AA2736" s="195"/>
      <c r="AB2736" s="172"/>
    </row>
    <row r="2737" spans="1:28" ht="12.6" customHeight="1" x14ac:dyDescent="0.3">
      <c r="A2737" s="667"/>
      <c r="B2737" s="668" t="s">
        <v>9485</v>
      </c>
      <c r="C2737" s="160" t="s">
        <v>9486</v>
      </c>
      <c r="D2737" s="160"/>
      <c r="E2737" s="439">
        <v>38</v>
      </c>
      <c r="F2737" s="161">
        <v>606.109860841</v>
      </c>
      <c r="G2737" s="161"/>
      <c r="H2737" s="654"/>
      <c r="I2737" s="654"/>
      <c r="J2737" s="191"/>
      <c r="K2737" s="191">
        <v>52303.409484959899</v>
      </c>
      <c r="L2737" s="191"/>
      <c r="M2737" s="191"/>
      <c r="N2737" s="191"/>
      <c r="O2737" s="191"/>
      <c r="P2737" s="191"/>
      <c r="Q2737" s="191"/>
      <c r="R2737" s="191"/>
      <c r="S2737" s="191"/>
      <c r="T2737" s="191"/>
      <c r="U2737" s="439"/>
      <c r="V2737" s="441"/>
      <c r="W2737" s="178"/>
      <c r="X2737" s="172"/>
      <c r="Y2737" s="172"/>
      <c r="Z2737" s="172"/>
      <c r="AA2737" s="195"/>
      <c r="AB2737" s="172"/>
    </row>
    <row r="2738" spans="1:28" ht="12.6" customHeight="1" x14ac:dyDescent="0.3">
      <c r="A2738" s="667"/>
      <c r="B2738" s="668" t="s">
        <v>9487</v>
      </c>
      <c r="C2738" s="160" t="s">
        <v>9488</v>
      </c>
      <c r="D2738" s="160"/>
      <c r="E2738" s="439">
        <v>6.99</v>
      </c>
      <c r="F2738" s="161">
        <v>340.01795417099999</v>
      </c>
      <c r="G2738" s="161">
        <v>63.665999999999997</v>
      </c>
      <c r="H2738" s="654">
        <v>2.1923069713999999</v>
      </c>
      <c r="I2738" s="654">
        <v>18.685380655308499</v>
      </c>
      <c r="J2738" s="191"/>
      <c r="K2738" s="191">
        <v>1257.44790022641</v>
      </c>
      <c r="L2738" s="191"/>
      <c r="M2738" s="191"/>
      <c r="N2738" s="191"/>
      <c r="O2738" s="191"/>
      <c r="P2738" s="191"/>
      <c r="Q2738" s="191"/>
      <c r="R2738" s="191"/>
      <c r="S2738" s="191"/>
      <c r="T2738" s="191"/>
      <c r="U2738" s="439"/>
      <c r="V2738" s="441"/>
      <c r="W2738" s="178"/>
      <c r="X2738" s="172"/>
      <c r="Y2738" s="172"/>
      <c r="Z2738" s="172"/>
      <c r="AA2738" s="195"/>
      <c r="AB2738" s="172"/>
    </row>
    <row r="2739" spans="1:28" ht="12.6" customHeight="1" x14ac:dyDescent="0.3">
      <c r="A2739" s="667"/>
      <c r="B2739" s="668" t="s">
        <v>9489</v>
      </c>
      <c r="C2739" s="160" t="s">
        <v>9490</v>
      </c>
      <c r="D2739" s="160"/>
      <c r="E2739" s="439">
        <v>9.3800000000000008</v>
      </c>
      <c r="F2739" s="161">
        <v>324.02303955100001</v>
      </c>
      <c r="G2739" s="161"/>
      <c r="H2739" s="654"/>
      <c r="I2739" s="654"/>
      <c r="J2739" s="191"/>
      <c r="K2739" s="191">
        <v>36916.455843014599</v>
      </c>
      <c r="L2739" s="191"/>
      <c r="M2739" s="191"/>
      <c r="N2739" s="191"/>
      <c r="O2739" s="191"/>
      <c r="P2739" s="191"/>
      <c r="Q2739" s="191"/>
      <c r="R2739" s="191"/>
      <c r="S2739" s="191"/>
      <c r="T2739" s="191"/>
      <c r="U2739" s="439"/>
      <c r="V2739" s="441"/>
      <c r="W2739" s="178"/>
      <c r="X2739" s="172"/>
      <c r="Y2739" s="172"/>
      <c r="Z2739" s="172"/>
      <c r="AA2739" s="195"/>
      <c r="AB2739" s="172"/>
    </row>
    <row r="2740" spans="1:28" ht="12.6" customHeight="1" x14ac:dyDescent="0.3">
      <c r="A2740" s="667"/>
      <c r="B2740" s="668" t="s">
        <v>9491</v>
      </c>
      <c r="C2740" s="160" t="s">
        <v>9492</v>
      </c>
      <c r="D2740" s="160"/>
      <c r="E2740" s="439">
        <v>3.1</v>
      </c>
      <c r="F2740" s="161">
        <v>428.00058517000002</v>
      </c>
      <c r="G2740" s="161"/>
      <c r="H2740" s="654"/>
      <c r="I2740" s="654"/>
      <c r="J2740" s="191"/>
      <c r="K2740" s="191">
        <v>25712.837193531199</v>
      </c>
      <c r="L2740" s="191"/>
      <c r="M2740" s="191"/>
      <c r="N2740" s="191"/>
      <c r="O2740" s="191"/>
      <c r="P2740" s="191"/>
      <c r="Q2740" s="191"/>
      <c r="R2740" s="191"/>
      <c r="S2740" s="191"/>
      <c r="T2740" s="191"/>
      <c r="U2740" s="439"/>
      <c r="V2740" s="441"/>
      <c r="W2740" s="178"/>
      <c r="X2740" s="172"/>
      <c r="Y2740" s="172"/>
      <c r="Z2740" s="172"/>
      <c r="AA2740" s="195"/>
      <c r="AB2740" s="172"/>
    </row>
    <row r="2741" spans="1:28" ht="12.6" customHeight="1" x14ac:dyDescent="0.3">
      <c r="A2741" s="667"/>
      <c r="B2741" s="668" t="s">
        <v>9493</v>
      </c>
      <c r="C2741" s="160" t="s">
        <v>9494</v>
      </c>
      <c r="D2741" s="160"/>
      <c r="E2741" s="439">
        <v>3.15</v>
      </c>
      <c r="F2741" s="161">
        <v>228.013359866</v>
      </c>
      <c r="G2741" s="161"/>
      <c r="H2741" s="654"/>
      <c r="I2741" s="654"/>
      <c r="J2741" s="191"/>
      <c r="K2741" s="191">
        <v>85.628828023096503</v>
      </c>
      <c r="L2741" s="191"/>
      <c r="M2741" s="191"/>
      <c r="N2741" s="191"/>
      <c r="O2741" s="191"/>
      <c r="P2741" s="191"/>
      <c r="Q2741" s="191"/>
      <c r="R2741" s="191"/>
      <c r="S2741" s="191"/>
      <c r="T2741" s="191"/>
      <c r="U2741" s="439"/>
      <c r="V2741" s="441"/>
      <c r="W2741" s="178"/>
      <c r="X2741" s="172"/>
      <c r="Y2741" s="172"/>
      <c r="Z2741" s="172"/>
      <c r="AA2741" s="195"/>
      <c r="AB2741" s="172"/>
    </row>
    <row r="2742" spans="1:28" ht="12.6" customHeight="1" x14ac:dyDescent="0.3">
      <c r="A2742" s="667"/>
      <c r="B2742" s="668" t="s">
        <v>9495</v>
      </c>
      <c r="C2742" s="160" t="s">
        <v>9496</v>
      </c>
      <c r="D2742" s="160"/>
      <c r="E2742" s="439">
        <v>3.89</v>
      </c>
      <c r="F2742" s="161">
        <v>278.96626629600001</v>
      </c>
      <c r="G2742" s="161"/>
      <c r="H2742" s="654"/>
      <c r="I2742" s="654"/>
      <c r="J2742" s="191"/>
      <c r="K2742" s="191">
        <v>54.556939555268997</v>
      </c>
      <c r="L2742" s="191"/>
      <c r="M2742" s="191"/>
      <c r="N2742" s="191"/>
      <c r="O2742" s="191"/>
      <c r="P2742" s="191"/>
      <c r="Q2742" s="191"/>
      <c r="R2742" s="191"/>
      <c r="S2742" s="191"/>
      <c r="T2742" s="191"/>
      <c r="U2742" s="439"/>
      <c r="V2742" s="441"/>
      <c r="W2742" s="178"/>
      <c r="X2742" s="172"/>
      <c r="Y2742" s="172"/>
      <c r="Z2742" s="172"/>
      <c r="AA2742" s="195"/>
      <c r="AB2742" s="172"/>
    </row>
    <row r="2743" spans="1:28" ht="12.6" customHeight="1" x14ac:dyDescent="0.3">
      <c r="A2743" s="667"/>
      <c r="B2743" s="668" t="s">
        <v>9497</v>
      </c>
      <c r="C2743" s="160" t="s">
        <v>9498</v>
      </c>
      <c r="D2743" s="160"/>
      <c r="E2743" s="439">
        <v>6.21</v>
      </c>
      <c r="F2743" s="161">
        <v>416.04122838500001</v>
      </c>
      <c r="G2743" s="161"/>
      <c r="H2743" s="654"/>
      <c r="I2743" s="654"/>
      <c r="J2743" s="191"/>
      <c r="K2743" s="191">
        <v>86906.0477811991</v>
      </c>
      <c r="L2743" s="191"/>
      <c r="M2743" s="191"/>
      <c r="N2743" s="191"/>
      <c r="O2743" s="191"/>
      <c r="P2743" s="191"/>
      <c r="Q2743" s="191"/>
      <c r="R2743" s="191"/>
      <c r="S2743" s="191"/>
      <c r="T2743" s="191"/>
      <c r="U2743" s="439"/>
      <c r="V2743" s="441"/>
      <c r="W2743" s="178"/>
      <c r="X2743" s="172"/>
      <c r="Y2743" s="172"/>
      <c r="Z2743" s="172"/>
      <c r="AA2743" s="195"/>
      <c r="AB2743" s="172"/>
    </row>
    <row r="2744" spans="1:28" ht="12.6" customHeight="1" x14ac:dyDescent="0.3">
      <c r="A2744" s="667"/>
      <c r="B2744" s="668" t="s">
        <v>9499</v>
      </c>
      <c r="C2744" s="160" t="s">
        <v>9500</v>
      </c>
      <c r="D2744" s="160"/>
      <c r="E2744" s="439">
        <v>1.07</v>
      </c>
      <c r="F2744" s="161">
        <v>611.97700785400002</v>
      </c>
      <c r="G2744" s="161"/>
      <c r="H2744" s="654"/>
      <c r="I2744" s="654"/>
      <c r="J2744" s="191"/>
      <c r="K2744" s="191">
        <v>2263549.5196958701</v>
      </c>
      <c r="L2744" s="191"/>
      <c r="M2744" s="191"/>
      <c r="N2744" s="191"/>
      <c r="O2744" s="191"/>
      <c r="P2744" s="191"/>
      <c r="Q2744" s="191"/>
      <c r="R2744" s="191"/>
      <c r="S2744" s="191"/>
      <c r="T2744" s="191"/>
      <c r="U2744" s="439"/>
      <c r="V2744" s="441"/>
      <c r="W2744" s="178"/>
      <c r="X2744" s="172"/>
      <c r="Y2744" s="172"/>
      <c r="Z2744" s="172"/>
      <c r="AA2744" s="195"/>
      <c r="AB2744" s="172"/>
    </row>
    <row r="2745" spans="1:28" ht="12.6" customHeight="1" x14ac:dyDescent="0.3">
      <c r="A2745" s="667"/>
      <c r="B2745" s="668" t="s">
        <v>9501</v>
      </c>
      <c r="C2745" s="160" t="s">
        <v>9502</v>
      </c>
      <c r="D2745" s="160"/>
      <c r="E2745" s="439">
        <v>0.93</v>
      </c>
      <c r="F2745" s="161">
        <v>511.983395202</v>
      </c>
      <c r="G2745" s="161"/>
      <c r="H2745" s="654"/>
      <c r="I2745" s="654"/>
      <c r="J2745" s="191"/>
      <c r="K2745" s="191">
        <v>304298.63203130598</v>
      </c>
      <c r="L2745" s="191"/>
      <c r="M2745" s="191"/>
      <c r="N2745" s="191"/>
      <c r="O2745" s="191"/>
      <c r="P2745" s="191"/>
      <c r="Q2745" s="191"/>
      <c r="R2745" s="191"/>
      <c r="S2745" s="191"/>
      <c r="T2745" s="191"/>
      <c r="U2745" s="439"/>
      <c r="V2745" s="441"/>
      <c r="W2745" s="178"/>
      <c r="X2745" s="172"/>
      <c r="Y2745" s="172"/>
      <c r="Z2745" s="172"/>
      <c r="AA2745" s="195"/>
      <c r="AB2745" s="172"/>
    </row>
    <row r="2746" spans="1:28" ht="12.6" customHeight="1" x14ac:dyDescent="0.3">
      <c r="A2746" s="667" t="s">
        <v>4414</v>
      </c>
      <c r="B2746" s="668" t="s">
        <v>9503</v>
      </c>
      <c r="C2746" s="160" t="s">
        <v>9504</v>
      </c>
      <c r="D2746" s="160"/>
      <c r="E2746" s="439"/>
      <c r="F2746" s="161"/>
      <c r="G2746" s="161"/>
      <c r="H2746" s="654"/>
      <c r="I2746" s="654"/>
      <c r="J2746" s="191"/>
      <c r="K2746" s="191"/>
      <c r="L2746" s="191"/>
      <c r="M2746" s="191"/>
      <c r="N2746" s="191"/>
      <c r="O2746" s="191"/>
      <c r="P2746" s="191"/>
      <c r="Q2746" s="191"/>
      <c r="R2746" s="191"/>
      <c r="S2746" s="191"/>
      <c r="T2746" s="191"/>
      <c r="U2746" s="439"/>
      <c r="V2746" s="441"/>
      <c r="W2746" s="178"/>
      <c r="X2746" s="172"/>
      <c r="Y2746" s="172"/>
      <c r="Z2746" s="172"/>
      <c r="AA2746" s="195"/>
      <c r="AB2746" s="172"/>
    </row>
    <row r="2747" spans="1:28" ht="12.6" customHeight="1" x14ac:dyDescent="0.3">
      <c r="A2747" s="667"/>
      <c r="B2747" s="668" t="s">
        <v>9505</v>
      </c>
      <c r="C2747" s="160" t="s">
        <v>9506</v>
      </c>
      <c r="D2747" s="160"/>
      <c r="E2747" s="439">
        <v>0.04</v>
      </c>
      <c r="F2747" s="161">
        <v>727.96553512599996</v>
      </c>
      <c r="G2747" s="161"/>
      <c r="H2747" s="654"/>
      <c r="I2747" s="654"/>
      <c r="J2747" s="191"/>
      <c r="K2747" s="191">
        <v>3453424.7723901798</v>
      </c>
      <c r="L2747" s="191"/>
      <c r="M2747" s="191"/>
      <c r="N2747" s="191"/>
      <c r="O2747" s="191"/>
      <c r="P2747" s="191"/>
      <c r="Q2747" s="191"/>
      <c r="R2747" s="191"/>
      <c r="S2747" s="191"/>
      <c r="T2747" s="191"/>
      <c r="U2747" s="439"/>
      <c r="V2747" s="441"/>
      <c r="W2747" s="178"/>
      <c r="X2747" s="172"/>
      <c r="Y2747" s="172"/>
      <c r="Z2747" s="172"/>
      <c r="AA2747" s="195"/>
      <c r="AB2747" s="172"/>
    </row>
    <row r="2748" spans="1:28" ht="12.6" customHeight="1" x14ac:dyDescent="0.3">
      <c r="A2748" s="667"/>
      <c r="B2748" s="668" t="s">
        <v>9507</v>
      </c>
      <c r="C2748" s="160" t="s">
        <v>9508</v>
      </c>
      <c r="D2748" s="160"/>
      <c r="E2748" s="439">
        <v>0.04</v>
      </c>
      <c r="F2748" s="161">
        <v>627.97192247400005</v>
      </c>
      <c r="G2748" s="161"/>
      <c r="H2748" s="654"/>
      <c r="I2748" s="654"/>
      <c r="J2748" s="191"/>
      <c r="K2748" s="191">
        <v>1933392.36845544</v>
      </c>
      <c r="L2748" s="191"/>
      <c r="M2748" s="191"/>
      <c r="N2748" s="191"/>
      <c r="O2748" s="191"/>
      <c r="P2748" s="191"/>
      <c r="Q2748" s="191"/>
      <c r="R2748" s="191"/>
      <c r="S2748" s="191"/>
      <c r="T2748" s="191"/>
      <c r="U2748" s="439"/>
      <c r="V2748" s="441"/>
      <c r="W2748" s="178"/>
      <c r="X2748" s="172"/>
      <c r="Y2748" s="172"/>
      <c r="Z2748" s="172"/>
      <c r="AA2748" s="195"/>
      <c r="AB2748" s="172"/>
    </row>
    <row r="2749" spans="1:28" ht="12.6" customHeight="1" x14ac:dyDescent="0.3">
      <c r="A2749" s="667"/>
      <c r="B2749" s="668" t="s">
        <v>9509</v>
      </c>
      <c r="C2749" s="160" t="s">
        <v>9510</v>
      </c>
      <c r="D2749" s="160"/>
      <c r="E2749" s="439">
        <v>-0.1</v>
      </c>
      <c r="F2749" s="161">
        <v>527.97830982200003</v>
      </c>
      <c r="G2749" s="161">
        <v>6.5679999999999996</v>
      </c>
      <c r="H2749" s="654"/>
      <c r="I2749" s="654">
        <v>0.23802159769902401</v>
      </c>
      <c r="J2749" s="191"/>
      <c r="K2749" s="191">
        <v>100159.004649968</v>
      </c>
      <c r="L2749" s="191"/>
      <c r="M2749" s="191"/>
      <c r="N2749" s="191"/>
      <c r="O2749" s="191"/>
      <c r="P2749" s="191"/>
      <c r="Q2749" s="191"/>
      <c r="R2749" s="191"/>
      <c r="S2749" s="191"/>
      <c r="T2749" s="191"/>
      <c r="U2749" s="439"/>
      <c r="V2749" s="441"/>
      <c r="W2749" s="178"/>
      <c r="X2749" s="172"/>
      <c r="Y2749" s="172"/>
      <c r="Z2749" s="172"/>
      <c r="AA2749" s="195"/>
      <c r="AB2749" s="172"/>
    </row>
    <row r="2750" spans="1:28" ht="12.6" customHeight="1" x14ac:dyDescent="0.3">
      <c r="A2750" s="667"/>
      <c r="B2750" s="668" t="s">
        <v>9511</v>
      </c>
      <c r="C2750" s="160" t="s">
        <v>9512</v>
      </c>
      <c r="D2750" s="160"/>
      <c r="E2750" s="439">
        <v>-0.23</v>
      </c>
      <c r="F2750" s="161">
        <v>427.98469717</v>
      </c>
      <c r="G2750" s="161">
        <v>8.468</v>
      </c>
      <c r="H2750" s="654"/>
      <c r="I2750" s="654">
        <v>3.3762000820952598</v>
      </c>
      <c r="J2750" s="191"/>
      <c r="K2750" s="191">
        <v>1882.0449858439299</v>
      </c>
      <c r="L2750" s="191"/>
      <c r="M2750" s="191"/>
      <c r="N2750" s="191"/>
      <c r="O2750" s="191"/>
      <c r="P2750" s="191"/>
      <c r="Q2750" s="191"/>
      <c r="R2750" s="191"/>
      <c r="S2750" s="191"/>
      <c r="T2750" s="191"/>
      <c r="U2750" s="439"/>
      <c r="V2750" s="441"/>
      <c r="W2750" s="178"/>
      <c r="X2750" s="172"/>
      <c r="Y2750" s="172"/>
      <c r="Z2750" s="172"/>
      <c r="AA2750" s="195"/>
      <c r="AB2750" s="172"/>
    </row>
    <row r="2751" spans="1:28" ht="12.6" customHeight="1" x14ac:dyDescent="0.3">
      <c r="A2751" s="667"/>
      <c r="B2751" s="668" t="s">
        <v>9513</v>
      </c>
      <c r="C2751" s="160" t="s">
        <v>9514</v>
      </c>
      <c r="D2751" s="160"/>
      <c r="E2751" s="439">
        <v>-0.56999999999999995</v>
      </c>
      <c r="F2751" s="161">
        <v>327.99108451799998</v>
      </c>
      <c r="G2751" s="161"/>
      <c r="H2751" s="654"/>
      <c r="I2751" s="654"/>
      <c r="J2751" s="191"/>
      <c r="K2751" s="191">
        <v>1603.7253716860801</v>
      </c>
      <c r="L2751" s="191"/>
      <c r="M2751" s="191"/>
      <c r="N2751" s="191"/>
      <c r="O2751" s="191"/>
      <c r="P2751" s="191"/>
      <c r="Q2751" s="191"/>
      <c r="R2751" s="191"/>
      <c r="S2751" s="191"/>
      <c r="T2751" s="191"/>
      <c r="U2751" s="439"/>
      <c r="V2751" s="441"/>
      <c r="W2751" s="178"/>
      <c r="X2751" s="172"/>
      <c r="Y2751" s="172"/>
      <c r="Z2751" s="172"/>
      <c r="AA2751" s="195"/>
      <c r="AB2751" s="172"/>
    </row>
    <row r="2752" spans="1:28" ht="12.6" customHeight="1" x14ac:dyDescent="0.3">
      <c r="A2752" s="667" t="s">
        <v>4414</v>
      </c>
      <c r="B2752" s="668" t="s">
        <v>9515</v>
      </c>
      <c r="C2752" s="160" t="s">
        <v>9516</v>
      </c>
      <c r="D2752" s="160"/>
      <c r="E2752" s="439"/>
      <c r="F2752" s="161"/>
      <c r="G2752" s="161"/>
      <c r="H2752" s="654"/>
      <c r="I2752" s="654"/>
      <c r="J2752" s="191"/>
      <c r="K2752" s="191"/>
      <c r="L2752" s="191"/>
      <c r="M2752" s="191"/>
      <c r="N2752" s="191"/>
      <c r="O2752" s="191"/>
      <c r="P2752" s="191"/>
      <c r="Q2752" s="191"/>
      <c r="R2752" s="191"/>
      <c r="S2752" s="191"/>
      <c r="T2752" s="191"/>
      <c r="U2752" s="439"/>
      <c r="V2752" s="441"/>
      <c r="W2752" s="178"/>
      <c r="X2752" s="172"/>
      <c r="Y2752" s="172"/>
      <c r="Z2752" s="172"/>
      <c r="AA2752" s="195"/>
      <c r="AB2752" s="172"/>
    </row>
    <row r="2753" spans="1:28" ht="12.6" customHeight="1" x14ac:dyDescent="0.3">
      <c r="A2753" s="667" t="s">
        <v>4414</v>
      </c>
      <c r="B2753" s="668" t="s">
        <v>9517</v>
      </c>
      <c r="C2753" s="160" t="s">
        <v>9518</v>
      </c>
      <c r="D2753" s="160"/>
      <c r="E2753" s="439"/>
      <c r="F2753" s="161"/>
      <c r="G2753" s="161"/>
      <c r="H2753" s="654"/>
      <c r="I2753" s="654"/>
      <c r="J2753" s="191"/>
      <c r="K2753" s="191"/>
      <c r="L2753" s="191"/>
      <c r="M2753" s="191"/>
      <c r="N2753" s="191"/>
      <c r="O2753" s="191"/>
      <c r="P2753" s="191"/>
      <c r="Q2753" s="191"/>
      <c r="R2753" s="191"/>
      <c r="S2753" s="191"/>
      <c r="T2753" s="191"/>
      <c r="U2753" s="439"/>
      <c r="V2753" s="441"/>
      <c r="W2753" s="178"/>
      <c r="X2753" s="172"/>
      <c r="Y2753" s="172"/>
      <c r="Z2753" s="172"/>
      <c r="AA2753" s="195"/>
      <c r="AB2753" s="172"/>
    </row>
    <row r="2754" spans="1:28" ht="12.6" customHeight="1" x14ac:dyDescent="0.3">
      <c r="A2754" s="667" t="s">
        <v>4414</v>
      </c>
      <c r="B2754" s="668" t="s">
        <v>9519</v>
      </c>
      <c r="C2754" s="160" t="s">
        <v>9520</v>
      </c>
      <c r="D2754" s="160"/>
      <c r="E2754" s="439"/>
      <c r="F2754" s="161"/>
      <c r="G2754" s="161"/>
      <c r="H2754" s="654"/>
      <c r="I2754" s="654"/>
      <c r="J2754" s="191"/>
      <c r="K2754" s="191"/>
      <c r="L2754" s="191"/>
      <c r="M2754" s="191"/>
      <c r="N2754" s="191"/>
      <c r="O2754" s="191"/>
      <c r="P2754" s="191"/>
      <c r="Q2754" s="191"/>
      <c r="R2754" s="191"/>
      <c r="S2754" s="191"/>
      <c r="T2754" s="191"/>
      <c r="U2754" s="439"/>
      <c r="V2754" s="441"/>
      <c r="W2754" s="178"/>
      <c r="X2754" s="172"/>
      <c r="Y2754" s="172"/>
      <c r="Z2754" s="172"/>
      <c r="AA2754" s="195"/>
      <c r="AB2754" s="172"/>
    </row>
    <row r="2755" spans="1:28" ht="12.6" customHeight="1" x14ac:dyDescent="0.3">
      <c r="A2755" s="667"/>
      <c r="B2755" s="668" t="s">
        <v>9521</v>
      </c>
      <c r="C2755" s="160" t="s">
        <v>9522</v>
      </c>
      <c r="D2755" s="160"/>
      <c r="E2755" s="439"/>
      <c r="F2755" s="161">
        <v>739.98552168000003</v>
      </c>
      <c r="G2755" s="161"/>
      <c r="H2755" s="654"/>
      <c r="I2755" s="654"/>
      <c r="J2755" s="191"/>
      <c r="K2755" s="191">
        <v>668359.30693320604</v>
      </c>
      <c r="L2755" s="191"/>
      <c r="M2755" s="191"/>
      <c r="N2755" s="191"/>
      <c r="O2755" s="191"/>
      <c r="P2755" s="191"/>
      <c r="Q2755" s="191"/>
      <c r="R2755" s="191"/>
      <c r="S2755" s="191"/>
      <c r="T2755" s="191"/>
      <c r="U2755" s="439"/>
      <c r="V2755" s="441"/>
      <c r="W2755" s="178"/>
      <c r="X2755" s="172"/>
      <c r="Y2755" s="172"/>
      <c r="Z2755" s="172"/>
      <c r="AA2755" s="195"/>
      <c r="AB2755" s="172"/>
    </row>
    <row r="2756" spans="1:28" ht="12.6" customHeight="1" x14ac:dyDescent="0.3">
      <c r="A2756" s="667"/>
      <c r="B2756" s="668" t="s">
        <v>9523</v>
      </c>
      <c r="C2756" s="160" t="s">
        <v>9524</v>
      </c>
      <c r="D2756" s="160"/>
      <c r="E2756" s="439"/>
      <c r="F2756" s="161">
        <v>687.04888100000005</v>
      </c>
      <c r="G2756" s="161"/>
      <c r="H2756" s="654"/>
      <c r="I2756" s="654"/>
      <c r="J2756" s="191"/>
      <c r="K2756" s="191"/>
      <c r="L2756" s="191"/>
      <c r="M2756" s="191"/>
      <c r="N2756" s="191"/>
      <c r="O2756" s="191"/>
      <c r="P2756" s="191"/>
      <c r="Q2756" s="191"/>
      <c r="R2756" s="191"/>
      <c r="S2756" s="191"/>
      <c r="T2756" s="191"/>
      <c r="U2756" s="439"/>
      <c r="V2756" s="441"/>
      <c r="W2756" s="178"/>
      <c r="X2756" s="172"/>
      <c r="Y2756" s="172"/>
      <c r="Z2756" s="172"/>
      <c r="AA2756" s="195"/>
      <c r="AB2756" s="172"/>
    </row>
    <row r="2757" spans="1:28" ht="12.6" customHeight="1" x14ac:dyDescent="0.3">
      <c r="A2757" s="667"/>
      <c r="B2757" s="668" t="s">
        <v>9525</v>
      </c>
      <c r="C2757" s="160" t="s">
        <v>9526</v>
      </c>
      <c r="D2757" s="160"/>
      <c r="E2757" s="439">
        <v>2.37</v>
      </c>
      <c r="F2757" s="161">
        <v>523.97230137700001</v>
      </c>
      <c r="G2757" s="161"/>
      <c r="H2757" s="654"/>
      <c r="I2757" s="654"/>
      <c r="J2757" s="191"/>
      <c r="K2757" s="191">
        <v>80602.776114647102</v>
      </c>
      <c r="L2757" s="191"/>
      <c r="M2757" s="191"/>
      <c r="N2757" s="191"/>
      <c r="O2757" s="191"/>
      <c r="P2757" s="191"/>
      <c r="Q2757" s="191"/>
      <c r="R2757" s="191"/>
      <c r="S2757" s="191"/>
      <c r="T2757" s="191"/>
      <c r="U2757" s="439"/>
      <c r="V2757" s="441"/>
      <c r="W2757" s="178"/>
      <c r="X2757" s="172"/>
      <c r="Y2757" s="172"/>
      <c r="Z2757" s="172"/>
      <c r="AA2757" s="195"/>
      <c r="AB2757" s="172"/>
    </row>
    <row r="2758" spans="1:28" ht="12.6" customHeight="1" x14ac:dyDescent="0.3">
      <c r="A2758" s="667"/>
      <c r="B2758" s="668" t="s">
        <v>9527</v>
      </c>
      <c r="C2758" s="160" t="s">
        <v>9528</v>
      </c>
      <c r="D2758" s="160"/>
      <c r="E2758" s="439"/>
      <c r="F2758" s="161">
        <v>332.02589644300002</v>
      </c>
      <c r="G2758" s="161">
        <v>-40.247999999999998</v>
      </c>
      <c r="H2758" s="654">
        <v>35.719230273999997</v>
      </c>
      <c r="I2758" s="654">
        <v>3.7859252841913</v>
      </c>
      <c r="J2758" s="191"/>
      <c r="K2758" s="191">
        <v>247309.044774562</v>
      </c>
      <c r="L2758" s="191"/>
      <c r="M2758" s="191"/>
      <c r="N2758" s="191"/>
      <c r="O2758" s="191"/>
      <c r="P2758" s="191"/>
      <c r="Q2758" s="191"/>
      <c r="R2758" s="191"/>
      <c r="S2758" s="191"/>
      <c r="T2758" s="191"/>
      <c r="U2758" s="439"/>
      <c r="V2758" s="441"/>
      <c r="W2758" s="178"/>
      <c r="X2758" s="172"/>
      <c r="Y2758" s="172"/>
      <c r="Z2758" s="172"/>
      <c r="AA2758" s="195"/>
      <c r="AB2758" s="172"/>
    </row>
    <row r="2759" spans="1:28" ht="12.6" customHeight="1" x14ac:dyDescent="0.3">
      <c r="A2759" s="667"/>
      <c r="B2759" s="668" t="s">
        <v>9529</v>
      </c>
      <c r="C2759" s="160" t="s">
        <v>9530</v>
      </c>
      <c r="D2759" s="160"/>
      <c r="E2759" s="439"/>
      <c r="F2759" s="161">
        <v>358.04154650800001</v>
      </c>
      <c r="G2759" s="161">
        <v>-34.078000000000003</v>
      </c>
      <c r="H2759" s="654">
        <v>8.8900042853999999</v>
      </c>
      <c r="I2759" s="654">
        <v>1.7657678165753601</v>
      </c>
      <c r="J2759" s="191"/>
      <c r="K2759" s="191">
        <v>275289.723762393</v>
      </c>
      <c r="L2759" s="191"/>
      <c r="M2759" s="191"/>
      <c r="N2759" s="191"/>
      <c r="O2759" s="191"/>
      <c r="P2759" s="191"/>
      <c r="Q2759" s="191"/>
      <c r="R2759" s="191"/>
      <c r="S2759" s="191"/>
      <c r="T2759" s="191"/>
      <c r="U2759" s="439"/>
      <c r="V2759" s="441"/>
      <c r="W2759" s="178"/>
      <c r="X2759" s="172"/>
      <c r="Y2759" s="172"/>
      <c r="Z2759" s="172"/>
      <c r="AA2759" s="195"/>
      <c r="AB2759" s="172"/>
    </row>
    <row r="2760" spans="1:28" ht="12.6" customHeight="1" x14ac:dyDescent="0.3">
      <c r="A2760" s="667"/>
      <c r="B2760" s="668" t="s">
        <v>9531</v>
      </c>
      <c r="C2760" s="160" t="s">
        <v>9532</v>
      </c>
      <c r="D2760" s="160"/>
      <c r="E2760" s="439">
        <v>7.74</v>
      </c>
      <c r="F2760" s="161">
        <v>916.01004999999998</v>
      </c>
      <c r="G2760" s="161"/>
      <c r="H2760" s="654"/>
      <c r="I2760" s="654"/>
      <c r="J2760" s="191"/>
      <c r="K2760" s="191">
        <v>2080.5109218153402</v>
      </c>
      <c r="L2760" s="191"/>
      <c r="M2760" s="191"/>
      <c r="N2760" s="191"/>
      <c r="O2760" s="191"/>
      <c r="P2760" s="191"/>
      <c r="Q2760" s="191"/>
      <c r="R2760" s="191"/>
      <c r="S2760" s="191"/>
      <c r="T2760" s="191"/>
      <c r="U2760" s="439"/>
      <c r="V2760" s="441"/>
      <c r="W2760" s="178"/>
      <c r="X2760" s="172"/>
      <c r="Y2760" s="172"/>
      <c r="Z2760" s="172"/>
      <c r="AA2760" s="195"/>
      <c r="AB2760" s="172"/>
    </row>
    <row r="2761" spans="1:28" ht="12.6" customHeight="1" x14ac:dyDescent="0.3">
      <c r="A2761" s="667"/>
      <c r="B2761" s="668" t="s">
        <v>9533</v>
      </c>
      <c r="C2761" s="160" t="s">
        <v>9534</v>
      </c>
      <c r="D2761" s="160"/>
      <c r="E2761" s="439">
        <v>-0.73</v>
      </c>
      <c r="F2761" s="161">
        <v>367.93088513999999</v>
      </c>
      <c r="G2761" s="161"/>
      <c r="H2761" s="654"/>
      <c r="I2761" s="654"/>
      <c r="J2761" s="191"/>
      <c r="K2761" s="191">
        <v>2.69871485735771</v>
      </c>
      <c r="L2761" s="191"/>
      <c r="M2761" s="191"/>
      <c r="N2761" s="191"/>
      <c r="O2761" s="191"/>
      <c r="P2761" s="191"/>
      <c r="Q2761" s="191"/>
      <c r="R2761" s="191"/>
      <c r="S2761" s="191"/>
      <c r="T2761" s="191"/>
      <c r="U2761" s="439"/>
      <c r="V2761" s="441"/>
      <c r="W2761" s="178"/>
      <c r="X2761" s="172"/>
      <c r="Y2761" s="172"/>
      <c r="Z2761" s="172"/>
      <c r="AA2761" s="195"/>
      <c r="AB2761" s="172"/>
    </row>
    <row r="2762" spans="1:28" ht="12.6" customHeight="1" x14ac:dyDescent="0.3">
      <c r="A2762" s="667"/>
      <c r="B2762" s="668" t="s">
        <v>9535</v>
      </c>
      <c r="C2762" s="160" t="s">
        <v>9536</v>
      </c>
      <c r="D2762" s="160"/>
      <c r="E2762" s="439">
        <v>0.18</v>
      </c>
      <c r="F2762" s="161">
        <v>433.92260608999999</v>
      </c>
      <c r="G2762" s="161"/>
      <c r="H2762" s="654"/>
      <c r="I2762" s="654"/>
      <c r="J2762" s="191"/>
      <c r="K2762" s="191">
        <v>2.3176561286394799</v>
      </c>
      <c r="L2762" s="191"/>
      <c r="M2762" s="191"/>
      <c r="N2762" s="191"/>
      <c r="O2762" s="191"/>
      <c r="P2762" s="191"/>
      <c r="Q2762" s="191"/>
      <c r="R2762" s="191"/>
      <c r="S2762" s="191"/>
      <c r="T2762" s="191"/>
      <c r="U2762" s="439"/>
      <c r="V2762" s="441"/>
      <c r="W2762" s="178"/>
      <c r="X2762" s="172"/>
      <c r="Y2762" s="172"/>
      <c r="Z2762" s="172"/>
      <c r="AA2762" s="195"/>
      <c r="AB2762" s="172"/>
    </row>
    <row r="2763" spans="1:28" ht="12.6" customHeight="1" x14ac:dyDescent="0.3">
      <c r="A2763" s="667"/>
      <c r="B2763" s="668" t="s">
        <v>9537</v>
      </c>
      <c r="C2763" s="160" t="s">
        <v>9538</v>
      </c>
      <c r="D2763" s="160"/>
      <c r="E2763" s="439">
        <v>-1.29</v>
      </c>
      <c r="F2763" s="161">
        <v>533.91621873999998</v>
      </c>
      <c r="G2763" s="161"/>
      <c r="H2763" s="654"/>
      <c r="I2763" s="654"/>
      <c r="J2763" s="191"/>
      <c r="K2763" s="191">
        <v>304.298632031306</v>
      </c>
      <c r="L2763" s="191"/>
      <c r="M2763" s="191"/>
      <c r="N2763" s="191"/>
      <c r="O2763" s="191"/>
      <c r="P2763" s="191"/>
      <c r="Q2763" s="191"/>
      <c r="R2763" s="191"/>
      <c r="S2763" s="191"/>
      <c r="T2763" s="191"/>
      <c r="U2763" s="439"/>
      <c r="V2763" s="441"/>
      <c r="W2763" s="178"/>
      <c r="X2763" s="172"/>
      <c r="Y2763" s="172"/>
      <c r="Z2763" s="172"/>
      <c r="AA2763" s="195"/>
      <c r="AB2763" s="172"/>
    </row>
    <row r="2764" spans="1:28" ht="12.6" customHeight="1" x14ac:dyDescent="0.3">
      <c r="A2764" s="667"/>
      <c r="B2764" s="668" t="s">
        <v>9539</v>
      </c>
      <c r="C2764" s="160" t="s">
        <v>9540</v>
      </c>
      <c r="D2764" s="160"/>
      <c r="E2764" s="439">
        <v>2.31</v>
      </c>
      <c r="F2764" s="161">
        <v>519.88639821000004</v>
      </c>
      <c r="G2764" s="161"/>
      <c r="H2764" s="654"/>
      <c r="I2764" s="654"/>
      <c r="J2764" s="191"/>
      <c r="K2764" s="191">
        <v>1.7517777261977301</v>
      </c>
      <c r="L2764" s="191"/>
      <c r="M2764" s="191"/>
      <c r="N2764" s="191"/>
      <c r="O2764" s="191"/>
      <c r="P2764" s="191"/>
      <c r="Q2764" s="191"/>
      <c r="R2764" s="191"/>
      <c r="S2764" s="191"/>
      <c r="T2764" s="191"/>
      <c r="U2764" s="439"/>
      <c r="V2764" s="441"/>
      <c r="W2764" s="178"/>
      <c r="X2764" s="172"/>
      <c r="Y2764" s="172"/>
      <c r="Z2764" s="172"/>
      <c r="AA2764" s="195"/>
      <c r="AB2764" s="172"/>
    </row>
    <row r="2765" spans="1:28" ht="12.6" customHeight="1" x14ac:dyDescent="0.3">
      <c r="A2765" s="667"/>
      <c r="B2765" s="668" t="s">
        <v>9541</v>
      </c>
      <c r="C2765" s="160" t="s">
        <v>9542</v>
      </c>
      <c r="D2765" s="160"/>
      <c r="E2765" s="439">
        <v>1.58</v>
      </c>
      <c r="F2765" s="161">
        <v>569.85873949999996</v>
      </c>
      <c r="G2765" s="161"/>
      <c r="H2765" s="654"/>
      <c r="I2765" s="654"/>
      <c r="J2765" s="191"/>
      <c r="K2765" s="191">
        <v>0.93342214477853003</v>
      </c>
      <c r="L2765" s="191"/>
      <c r="M2765" s="191"/>
      <c r="N2765" s="191"/>
      <c r="O2765" s="191"/>
      <c r="P2765" s="191"/>
      <c r="Q2765" s="191"/>
      <c r="R2765" s="191"/>
      <c r="S2765" s="191"/>
      <c r="T2765" s="191"/>
      <c r="U2765" s="439"/>
      <c r="V2765" s="441"/>
      <c r="W2765" s="178"/>
      <c r="X2765" s="172"/>
      <c r="Y2765" s="172"/>
      <c r="Z2765" s="172"/>
      <c r="AA2765" s="195"/>
      <c r="AB2765" s="172"/>
    </row>
    <row r="2766" spans="1:28" ht="12.6" customHeight="1" x14ac:dyDescent="0.3">
      <c r="A2766" s="667"/>
      <c r="B2766" s="668" t="s">
        <v>9543</v>
      </c>
      <c r="C2766" s="160" t="s">
        <v>9544</v>
      </c>
      <c r="D2766" s="160"/>
      <c r="E2766" s="439">
        <v>1.24</v>
      </c>
      <c r="F2766" s="161">
        <v>553.88828992000003</v>
      </c>
      <c r="G2766" s="161"/>
      <c r="H2766" s="654"/>
      <c r="I2766" s="654"/>
      <c r="J2766" s="191"/>
      <c r="K2766" s="191">
        <v>0.92107798031923804</v>
      </c>
      <c r="L2766" s="191"/>
      <c r="M2766" s="191"/>
      <c r="N2766" s="191"/>
      <c r="O2766" s="191"/>
      <c r="P2766" s="191"/>
      <c r="Q2766" s="191"/>
      <c r="R2766" s="191"/>
      <c r="S2766" s="191"/>
      <c r="T2766" s="191"/>
      <c r="U2766" s="439"/>
      <c r="V2766" s="441"/>
      <c r="W2766" s="178"/>
      <c r="X2766" s="172"/>
      <c r="Y2766" s="172"/>
      <c r="Z2766" s="172"/>
      <c r="AA2766" s="195"/>
      <c r="AB2766" s="172"/>
    </row>
    <row r="2767" spans="1:28" ht="12.6" customHeight="1" x14ac:dyDescent="0.3">
      <c r="A2767" s="667"/>
      <c r="B2767" s="668" t="s">
        <v>9545</v>
      </c>
      <c r="C2767" s="160" t="s">
        <v>9546</v>
      </c>
      <c r="D2767" s="160"/>
      <c r="E2767" s="439">
        <v>1.17</v>
      </c>
      <c r="F2767" s="161">
        <v>353.90106460999999</v>
      </c>
      <c r="G2767" s="161">
        <v>2.637</v>
      </c>
      <c r="H2767" s="654">
        <v>39.255596323999903</v>
      </c>
      <c r="I2767" s="654">
        <v>1492.3866334177801</v>
      </c>
      <c r="J2767" s="191"/>
      <c r="K2767" s="191">
        <v>1.94959319371303</v>
      </c>
      <c r="L2767" s="191"/>
      <c r="M2767" s="191"/>
      <c r="N2767" s="191"/>
      <c r="O2767" s="191"/>
      <c r="P2767" s="191"/>
      <c r="Q2767" s="191"/>
      <c r="R2767" s="191"/>
      <c r="S2767" s="191"/>
      <c r="T2767" s="191"/>
      <c r="U2767" s="439"/>
      <c r="V2767" s="441"/>
      <c r="W2767" s="178"/>
      <c r="X2767" s="172"/>
      <c r="Y2767" s="172"/>
      <c r="Z2767" s="172"/>
      <c r="AA2767" s="195"/>
      <c r="AB2767" s="172"/>
    </row>
    <row r="2768" spans="1:28" ht="12.6" customHeight="1" x14ac:dyDescent="0.3">
      <c r="A2768" s="667"/>
      <c r="B2768" s="668" t="s">
        <v>9547</v>
      </c>
      <c r="C2768" s="160" t="s">
        <v>9548</v>
      </c>
      <c r="D2768" s="160"/>
      <c r="E2768" s="439">
        <v>7.85</v>
      </c>
      <c r="F2768" s="161">
        <v>457.97868645</v>
      </c>
      <c r="G2768" s="161">
        <v>-77.837999999999994</v>
      </c>
      <c r="H2768" s="654">
        <v>129.98761678</v>
      </c>
      <c r="I2768" s="654">
        <v>2.05515645651005</v>
      </c>
      <c r="J2768" s="191"/>
      <c r="K2768" s="191">
        <v>35781.620065645802</v>
      </c>
      <c r="L2768" s="191"/>
      <c r="M2768" s="191"/>
      <c r="N2768" s="191"/>
      <c r="O2768" s="191"/>
      <c r="P2768" s="191"/>
      <c r="Q2768" s="191"/>
      <c r="R2768" s="191"/>
      <c r="S2768" s="191"/>
      <c r="T2768" s="191"/>
      <c r="U2768" s="439"/>
      <c r="V2768" s="441"/>
      <c r="W2768" s="178"/>
      <c r="X2768" s="172"/>
      <c r="Y2768" s="172"/>
      <c r="Z2768" s="172"/>
      <c r="AA2768" s="195"/>
      <c r="AB2768" s="172"/>
    </row>
    <row r="2769" spans="1:28" ht="12.6" customHeight="1" x14ac:dyDescent="0.3">
      <c r="A2769" s="667"/>
      <c r="B2769" s="668" t="s">
        <v>9549</v>
      </c>
      <c r="C2769" s="160" t="s">
        <v>9550</v>
      </c>
      <c r="D2769" s="160"/>
      <c r="E2769" s="439">
        <v>0.54</v>
      </c>
      <c r="F2769" s="161">
        <v>351.95694793000001</v>
      </c>
      <c r="G2769" s="161"/>
      <c r="H2769" s="654"/>
      <c r="I2769" s="654"/>
      <c r="J2769" s="191"/>
      <c r="K2769" s="191">
        <v>78.198784038949597</v>
      </c>
      <c r="L2769" s="191"/>
      <c r="M2769" s="191"/>
      <c r="N2769" s="191"/>
      <c r="O2769" s="191"/>
      <c r="P2769" s="191"/>
      <c r="Q2769" s="191"/>
      <c r="R2769" s="191"/>
      <c r="S2769" s="191"/>
      <c r="T2769" s="191"/>
      <c r="U2769" s="439"/>
      <c r="V2769" s="441"/>
      <c r="W2769" s="178"/>
      <c r="X2769" s="172"/>
      <c r="Y2769" s="172"/>
      <c r="Z2769" s="172"/>
      <c r="AA2769" s="195"/>
      <c r="AB2769" s="172"/>
    </row>
    <row r="2770" spans="1:28" ht="12.6" customHeight="1" x14ac:dyDescent="0.3">
      <c r="A2770" s="667"/>
      <c r="B2770" s="668" t="s">
        <v>9551</v>
      </c>
      <c r="C2770" s="160" t="s">
        <v>9552</v>
      </c>
      <c r="D2770" s="160"/>
      <c r="E2770" s="439">
        <v>-0.73</v>
      </c>
      <c r="F2770" s="161">
        <v>351.95694793000001</v>
      </c>
      <c r="G2770" s="161"/>
      <c r="H2770" s="654"/>
      <c r="I2770" s="654"/>
      <c r="J2770" s="191"/>
      <c r="K2770" s="191">
        <v>77.056627936972404</v>
      </c>
      <c r="L2770" s="191"/>
      <c r="M2770" s="191"/>
      <c r="N2770" s="191"/>
      <c r="O2770" s="191"/>
      <c r="P2770" s="191"/>
      <c r="Q2770" s="191"/>
      <c r="R2770" s="191"/>
      <c r="S2770" s="191"/>
      <c r="T2770" s="191"/>
      <c r="U2770" s="439"/>
      <c r="V2770" s="441"/>
      <c r="W2770" s="178"/>
      <c r="X2770" s="172"/>
      <c r="Y2770" s="172"/>
      <c r="Z2770" s="172"/>
      <c r="AA2770" s="195"/>
      <c r="AB2770" s="172"/>
    </row>
    <row r="2771" spans="1:28" ht="12.6" customHeight="1" x14ac:dyDescent="0.3">
      <c r="A2771" s="667"/>
      <c r="B2771" s="668" t="s">
        <v>9553</v>
      </c>
      <c r="C2771" s="160" t="s">
        <v>9554</v>
      </c>
      <c r="D2771" s="160"/>
      <c r="E2771" s="439">
        <v>1.17</v>
      </c>
      <c r="F2771" s="161">
        <v>337.92712740000002</v>
      </c>
      <c r="G2771" s="161">
        <v>2.637</v>
      </c>
      <c r="H2771" s="654">
        <v>39.255596323999903</v>
      </c>
      <c r="I2771" s="654">
        <v>1425.0251791607</v>
      </c>
      <c r="J2771" s="191"/>
      <c r="K2771" s="191">
        <v>9.4544441349351693</v>
      </c>
      <c r="L2771" s="191"/>
      <c r="M2771" s="191"/>
      <c r="N2771" s="191"/>
      <c r="O2771" s="191"/>
      <c r="P2771" s="191"/>
      <c r="Q2771" s="191"/>
      <c r="R2771" s="191"/>
      <c r="S2771" s="191"/>
      <c r="T2771" s="191"/>
      <c r="U2771" s="439"/>
      <c r="V2771" s="441"/>
      <c r="W2771" s="178"/>
      <c r="X2771" s="172"/>
      <c r="Y2771" s="172"/>
      <c r="Z2771" s="172"/>
      <c r="AA2771" s="195"/>
      <c r="AB2771" s="172"/>
    </row>
    <row r="2772" spans="1:28" ht="12.6" customHeight="1" x14ac:dyDescent="0.3">
      <c r="A2772" s="667"/>
      <c r="B2772" s="668" t="s">
        <v>9555</v>
      </c>
      <c r="C2772" s="160" t="s">
        <v>9556</v>
      </c>
      <c r="D2772" s="160"/>
      <c r="E2772" s="439">
        <v>-0.22</v>
      </c>
      <c r="F2772" s="161">
        <v>395.00269560100003</v>
      </c>
      <c r="G2772" s="161"/>
      <c r="H2772" s="654"/>
      <c r="I2772" s="654"/>
      <c r="J2772" s="191"/>
      <c r="K2772" s="191">
        <v>162.27813205480399</v>
      </c>
      <c r="L2772" s="191"/>
      <c r="M2772" s="191"/>
      <c r="N2772" s="191"/>
      <c r="O2772" s="191"/>
      <c r="P2772" s="191"/>
      <c r="Q2772" s="191"/>
      <c r="R2772" s="191"/>
      <c r="S2772" s="191"/>
      <c r="T2772" s="191"/>
      <c r="U2772" s="439"/>
      <c r="V2772" s="441"/>
      <c r="W2772" s="178"/>
      <c r="X2772" s="172"/>
      <c r="Y2772" s="172"/>
      <c r="Z2772" s="172"/>
      <c r="AA2772" s="195"/>
      <c r="AB2772" s="172"/>
    </row>
    <row r="2773" spans="1:28" ht="12.6" customHeight="1" x14ac:dyDescent="0.3">
      <c r="A2773" s="667"/>
      <c r="B2773" s="668" t="s">
        <v>9557</v>
      </c>
      <c r="C2773" s="160" t="s">
        <v>9558</v>
      </c>
      <c r="D2773" s="160"/>
      <c r="E2773" s="439">
        <v>-1.96</v>
      </c>
      <c r="F2773" s="161">
        <v>356.98949032000002</v>
      </c>
      <c r="G2773" s="161"/>
      <c r="H2773" s="654"/>
      <c r="I2773" s="654"/>
      <c r="J2773" s="191"/>
      <c r="K2773" s="191">
        <v>2109.2108659241298</v>
      </c>
      <c r="L2773" s="191"/>
      <c r="M2773" s="191"/>
      <c r="N2773" s="191"/>
      <c r="O2773" s="191"/>
      <c r="P2773" s="191"/>
      <c r="Q2773" s="191"/>
      <c r="R2773" s="191"/>
      <c r="S2773" s="191"/>
      <c r="T2773" s="191"/>
      <c r="U2773" s="439"/>
      <c r="V2773" s="441"/>
      <c r="W2773" s="178"/>
      <c r="X2773" s="172"/>
      <c r="Y2773" s="172"/>
      <c r="Z2773" s="172"/>
      <c r="AA2773" s="195"/>
      <c r="AB2773" s="172"/>
    </row>
    <row r="2774" spans="1:28" ht="12.6" customHeight="1" x14ac:dyDescent="0.3">
      <c r="A2774" s="667"/>
      <c r="B2774" s="668" t="s">
        <v>9559</v>
      </c>
      <c r="C2774" s="160" t="s">
        <v>9560</v>
      </c>
      <c r="D2774" s="160"/>
      <c r="E2774" s="439">
        <v>-0.97</v>
      </c>
      <c r="F2774" s="161">
        <v>446.99516543800002</v>
      </c>
      <c r="G2774" s="161"/>
      <c r="H2774" s="654"/>
      <c r="I2774" s="654"/>
      <c r="J2774" s="191"/>
      <c r="K2774" s="191">
        <v>851.19683476587898</v>
      </c>
      <c r="L2774" s="191"/>
      <c r="M2774" s="191"/>
      <c r="N2774" s="191"/>
      <c r="O2774" s="191"/>
      <c r="P2774" s="191"/>
      <c r="Q2774" s="191"/>
      <c r="R2774" s="191"/>
      <c r="S2774" s="191"/>
      <c r="T2774" s="191"/>
      <c r="U2774" s="439"/>
      <c r="V2774" s="441"/>
      <c r="W2774" s="178"/>
      <c r="X2774" s="172"/>
      <c r="Y2774" s="172"/>
      <c r="Z2774" s="172"/>
      <c r="AA2774" s="195"/>
      <c r="AB2774" s="172"/>
    </row>
    <row r="2775" spans="1:28" ht="12.6" customHeight="1" x14ac:dyDescent="0.3">
      <c r="A2775" s="667"/>
      <c r="B2775" s="668" t="s">
        <v>9561</v>
      </c>
      <c r="C2775" s="160" t="s">
        <v>9562</v>
      </c>
      <c r="D2775" s="160"/>
      <c r="E2775" s="439">
        <v>-0.84</v>
      </c>
      <c r="F2775" s="161">
        <v>396.998359112</v>
      </c>
      <c r="G2775" s="161"/>
      <c r="H2775" s="654"/>
      <c r="I2775" s="654"/>
      <c r="J2775" s="191"/>
      <c r="K2775" s="191">
        <v>327.78569766872101</v>
      </c>
      <c r="L2775" s="191"/>
      <c r="M2775" s="191"/>
      <c r="N2775" s="191"/>
      <c r="O2775" s="191"/>
      <c r="P2775" s="191"/>
      <c r="Q2775" s="191"/>
      <c r="R2775" s="191"/>
      <c r="S2775" s="191"/>
      <c r="T2775" s="191"/>
      <c r="U2775" s="439"/>
      <c r="V2775" s="441"/>
      <c r="W2775" s="178"/>
      <c r="X2775" s="172"/>
      <c r="Y2775" s="172"/>
      <c r="Z2775" s="172"/>
      <c r="AA2775" s="195"/>
      <c r="AB2775" s="172"/>
    </row>
    <row r="2776" spans="1:28" ht="12.6" customHeight="1" x14ac:dyDescent="0.3">
      <c r="A2776" s="667"/>
      <c r="B2776" s="668" t="s">
        <v>9563</v>
      </c>
      <c r="C2776" s="160" t="s">
        <v>9564</v>
      </c>
      <c r="D2776" s="160"/>
      <c r="E2776" s="439">
        <v>-0.73</v>
      </c>
      <c r="F2776" s="161">
        <v>347.00155278599999</v>
      </c>
      <c r="G2776" s="161"/>
      <c r="H2776" s="654"/>
      <c r="I2776" s="654"/>
      <c r="J2776" s="191"/>
      <c r="K2776" s="191">
        <v>142.600155796308</v>
      </c>
      <c r="L2776" s="191"/>
      <c r="M2776" s="191"/>
      <c r="N2776" s="191"/>
      <c r="O2776" s="191"/>
      <c r="P2776" s="191"/>
      <c r="Q2776" s="191"/>
      <c r="R2776" s="191"/>
      <c r="S2776" s="191"/>
      <c r="T2776" s="191"/>
      <c r="U2776" s="439"/>
      <c r="V2776" s="441"/>
      <c r="W2776" s="178"/>
      <c r="X2776" s="172"/>
      <c r="Y2776" s="172"/>
      <c r="Z2776" s="172"/>
      <c r="AA2776" s="195"/>
      <c r="AB2776" s="172"/>
    </row>
    <row r="2777" spans="1:28" ht="12.6" customHeight="1" x14ac:dyDescent="0.3">
      <c r="A2777" s="667"/>
      <c r="B2777" s="668" t="s">
        <v>9565</v>
      </c>
      <c r="C2777" s="160" t="s">
        <v>9566</v>
      </c>
      <c r="D2777" s="160"/>
      <c r="E2777" s="439">
        <v>-1.1000000000000001</v>
      </c>
      <c r="F2777" s="161">
        <v>412.99327373199998</v>
      </c>
      <c r="G2777" s="161"/>
      <c r="H2777" s="654"/>
      <c r="I2777" s="654"/>
      <c r="J2777" s="191"/>
      <c r="K2777" s="191">
        <v>519.18244579103703</v>
      </c>
      <c r="L2777" s="191"/>
      <c r="M2777" s="191"/>
      <c r="N2777" s="191"/>
      <c r="O2777" s="191"/>
      <c r="P2777" s="191"/>
      <c r="Q2777" s="191"/>
      <c r="R2777" s="191"/>
      <c r="S2777" s="191"/>
      <c r="T2777" s="191"/>
      <c r="U2777" s="439"/>
      <c r="V2777" s="441"/>
      <c r="W2777" s="178"/>
      <c r="X2777" s="172"/>
      <c r="Y2777" s="172"/>
      <c r="Z2777" s="172"/>
      <c r="AA2777" s="195"/>
      <c r="AB2777" s="172"/>
    </row>
    <row r="2778" spans="1:28" ht="12.6" customHeight="1" x14ac:dyDescent="0.3">
      <c r="A2778" s="667"/>
      <c r="B2778" s="668" t="s">
        <v>9567</v>
      </c>
      <c r="C2778" s="160" t="s">
        <v>9568</v>
      </c>
      <c r="D2778" s="160"/>
      <c r="E2778" s="439">
        <v>2.31</v>
      </c>
      <c r="F2778" s="161">
        <v>498.95706585200003</v>
      </c>
      <c r="G2778" s="161"/>
      <c r="H2778" s="654"/>
      <c r="I2778" s="654"/>
      <c r="J2778" s="191"/>
      <c r="K2778" s="191">
        <v>605926.57444641797</v>
      </c>
      <c r="L2778" s="191"/>
      <c r="M2778" s="191"/>
      <c r="N2778" s="191"/>
      <c r="O2778" s="191"/>
      <c r="P2778" s="191"/>
      <c r="Q2778" s="191"/>
      <c r="R2778" s="191"/>
      <c r="S2778" s="191"/>
      <c r="T2778" s="191"/>
      <c r="U2778" s="439"/>
      <c r="V2778" s="441"/>
      <c r="W2778" s="178"/>
      <c r="X2778" s="172"/>
      <c r="Y2778" s="172"/>
      <c r="Z2778" s="172"/>
      <c r="AA2778" s="195"/>
      <c r="AB2778" s="172"/>
    </row>
    <row r="2779" spans="1:28" ht="12.6" customHeight="1" x14ac:dyDescent="0.3">
      <c r="A2779" s="667"/>
      <c r="B2779" s="668" t="s">
        <v>9569</v>
      </c>
      <c r="C2779" s="160" t="s">
        <v>9570</v>
      </c>
      <c r="D2779" s="160"/>
      <c r="E2779" s="439">
        <v>6.5</v>
      </c>
      <c r="F2779" s="161">
        <v>494.992444654</v>
      </c>
      <c r="G2779" s="161"/>
      <c r="H2779" s="654"/>
      <c r="I2779" s="654"/>
      <c r="J2779" s="191"/>
      <c r="K2779" s="191">
        <v>37538.766683310903</v>
      </c>
      <c r="L2779" s="191"/>
      <c r="M2779" s="191"/>
      <c r="N2779" s="191"/>
      <c r="O2779" s="191"/>
      <c r="P2779" s="191"/>
      <c r="Q2779" s="191"/>
      <c r="R2779" s="191"/>
      <c r="S2779" s="191"/>
      <c r="T2779" s="191"/>
      <c r="U2779" s="439"/>
      <c r="V2779" s="441"/>
      <c r="W2779" s="178"/>
      <c r="X2779" s="172"/>
      <c r="Y2779" s="172"/>
      <c r="Z2779" s="172"/>
      <c r="AA2779" s="195"/>
      <c r="AB2779" s="172"/>
    </row>
    <row r="2780" spans="1:28" ht="12.6" customHeight="1" x14ac:dyDescent="0.3">
      <c r="A2780" s="667"/>
      <c r="B2780" s="668" t="s">
        <v>9571</v>
      </c>
      <c r="C2780" s="160" t="s">
        <v>9572</v>
      </c>
      <c r="D2780" s="160"/>
      <c r="E2780" s="439"/>
      <c r="F2780" s="161">
        <v>265.97894624999998</v>
      </c>
      <c r="G2780" s="161">
        <v>-68.674000000000007</v>
      </c>
      <c r="H2780" s="654">
        <v>176158.35860000001</v>
      </c>
      <c r="I2780" s="654">
        <v>34.343733497692398</v>
      </c>
      <c r="J2780" s="191"/>
      <c r="K2780" s="191">
        <v>637.47036514058095</v>
      </c>
      <c r="L2780" s="191"/>
      <c r="M2780" s="191"/>
      <c r="N2780" s="191"/>
      <c r="O2780" s="191"/>
      <c r="P2780" s="191"/>
      <c r="Q2780" s="191"/>
      <c r="R2780" s="191"/>
      <c r="S2780" s="191"/>
      <c r="T2780" s="191"/>
      <c r="U2780" s="439"/>
      <c r="V2780" s="441"/>
      <c r="W2780" s="178"/>
      <c r="X2780" s="172"/>
      <c r="Y2780" s="172"/>
      <c r="Z2780" s="172"/>
      <c r="AA2780" s="195"/>
      <c r="AB2780" s="172"/>
    </row>
    <row r="2781" spans="1:28" ht="12.6" customHeight="1" x14ac:dyDescent="0.3">
      <c r="A2781" s="667"/>
      <c r="B2781" s="668" t="s">
        <v>9573</v>
      </c>
      <c r="C2781" s="160" t="s">
        <v>9574</v>
      </c>
      <c r="D2781" s="160"/>
      <c r="E2781" s="439"/>
      <c r="F2781" s="161">
        <v>215.98213992399999</v>
      </c>
      <c r="G2781" s="161">
        <v>-114.901</v>
      </c>
      <c r="H2781" s="654">
        <v>374888.13179999997</v>
      </c>
      <c r="I2781" s="654">
        <v>28.275949794570199</v>
      </c>
      <c r="J2781" s="191"/>
      <c r="K2781" s="191">
        <v>270.32735804706499</v>
      </c>
      <c r="L2781" s="191"/>
      <c r="M2781" s="191"/>
      <c r="N2781" s="191"/>
      <c r="O2781" s="191"/>
      <c r="P2781" s="191"/>
      <c r="Q2781" s="191"/>
      <c r="R2781" s="191"/>
      <c r="S2781" s="191"/>
      <c r="T2781" s="191"/>
      <c r="U2781" s="439"/>
      <c r="V2781" s="441"/>
      <c r="W2781" s="178"/>
      <c r="X2781" s="172"/>
      <c r="Y2781" s="172"/>
      <c r="Z2781" s="172"/>
      <c r="AA2781" s="195"/>
      <c r="AB2781" s="172"/>
    </row>
    <row r="2782" spans="1:28" ht="12.6" customHeight="1" x14ac:dyDescent="0.3">
      <c r="A2782" s="667"/>
      <c r="B2782" s="668" t="s">
        <v>9575</v>
      </c>
      <c r="C2782" s="160" t="s">
        <v>9576</v>
      </c>
      <c r="D2782" s="160"/>
      <c r="E2782" s="439"/>
      <c r="F2782" s="161">
        <v>165.98533359800001</v>
      </c>
      <c r="G2782" s="161">
        <v>-121.30500000000001</v>
      </c>
      <c r="H2782" s="654">
        <v>450715.01929999999</v>
      </c>
      <c r="I2782" s="654">
        <v>230.181821220362</v>
      </c>
      <c r="J2782" s="191"/>
      <c r="K2782" s="191">
        <v>86.256136151548802</v>
      </c>
      <c r="L2782" s="191"/>
      <c r="M2782" s="191"/>
      <c r="N2782" s="191"/>
      <c r="O2782" s="191"/>
      <c r="P2782" s="191"/>
      <c r="Q2782" s="191"/>
      <c r="R2782" s="191"/>
      <c r="S2782" s="191"/>
      <c r="T2782" s="191"/>
      <c r="U2782" s="439"/>
      <c r="V2782" s="441"/>
      <c r="W2782" s="178"/>
      <c r="X2782" s="172"/>
      <c r="Y2782" s="172"/>
      <c r="Z2782" s="172"/>
      <c r="AA2782" s="195"/>
      <c r="AB2782" s="172"/>
    </row>
    <row r="2783" spans="1:28" ht="12.6" customHeight="1" x14ac:dyDescent="0.3">
      <c r="A2783" s="667"/>
      <c r="B2783" s="668" t="s">
        <v>9577</v>
      </c>
      <c r="C2783" s="160" t="s">
        <v>9578</v>
      </c>
      <c r="D2783" s="160"/>
      <c r="E2783" s="439"/>
      <c r="F2783" s="161">
        <v>347.981980771</v>
      </c>
      <c r="G2783" s="161"/>
      <c r="H2783" s="654"/>
      <c r="I2783" s="654"/>
      <c r="J2783" s="191"/>
      <c r="K2783" s="191">
        <v>3406.7479244608699</v>
      </c>
      <c r="L2783" s="191"/>
      <c r="M2783" s="191"/>
      <c r="N2783" s="191"/>
      <c r="O2783" s="191"/>
      <c r="P2783" s="191"/>
      <c r="Q2783" s="191"/>
      <c r="R2783" s="191"/>
      <c r="S2783" s="191"/>
      <c r="T2783" s="191"/>
      <c r="U2783" s="439"/>
      <c r="V2783" s="441"/>
      <c r="W2783" s="178"/>
      <c r="X2783" s="172"/>
      <c r="Y2783" s="172"/>
      <c r="Z2783" s="172"/>
      <c r="AA2783" s="195"/>
      <c r="AB2783" s="172"/>
    </row>
    <row r="2784" spans="1:28" ht="12.6" customHeight="1" x14ac:dyDescent="0.3">
      <c r="A2784" s="667"/>
      <c r="B2784" s="668" t="s">
        <v>9579</v>
      </c>
      <c r="C2784" s="160" t="s">
        <v>9580</v>
      </c>
      <c r="D2784" s="160"/>
      <c r="E2784" s="439">
        <v>10.63</v>
      </c>
      <c r="F2784" s="161">
        <v>480.07185840599999</v>
      </c>
      <c r="G2784" s="161"/>
      <c r="H2784" s="654"/>
      <c r="I2784" s="654"/>
      <c r="J2784" s="191"/>
      <c r="K2784" s="191">
        <v>237957.83009563899</v>
      </c>
      <c r="L2784" s="191"/>
      <c r="M2784" s="191"/>
      <c r="N2784" s="191"/>
      <c r="O2784" s="191"/>
      <c r="P2784" s="191"/>
      <c r="Q2784" s="191"/>
      <c r="R2784" s="191"/>
      <c r="S2784" s="191"/>
      <c r="T2784" s="191"/>
      <c r="U2784" s="439"/>
      <c r="V2784" s="441"/>
      <c r="W2784" s="178"/>
      <c r="X2784" s="172"/>
      <c r="Y2784" s="172"/>
      <c r="Z2784" s="172"/>
      <c r="AA2784" s="195"/>
      <c r="AB2784" s="172"/>
    </row>
    <row r="2785" spans="1:28" ht="12.6" customHeight="1" x14ac:dyDescent="0.3">
      <c r="A2785" s="667"/>
      <c r="B2785" s="668" t="s">
        <v>9581</v>
      </c>
      <c r="C2785" s="160" t="s">
        <v>9582</v>
      </c>
      <c r="D2785" s="160"/>
      <c r="E2785" s="439">
        <v>-1.29</v>
      </c>
      <c r="F2785" s="161">
        <v>527.002536448</v>
      </c>
      <c r="G2785" s="161"/>
      <c r="H2785" s="654"/>
      <c r="I2785" s="654"/>
      <c r="J2785" s="191"/>
      <c r="K2785" s="191">
        <v>21.255435128015399</v>
      </c>
      <c r="L2785" s="191"/>
      <c r="M2785" s="191"/>
      <c r="N2785" s="191"/>
      <c r="O2785" s="191"/>
      <c r="P2785" s="191"/>
      <c r="Q2785" s="191"/>
      <c r="R2785" s="191"/>
      <c r="S2785" s="191"/>
      <c r="T2785" s="191"/>
      <c r="U2785" s="439"/>
      <c r="V2785" s="441"/>
      <c r="W2785" s="178"/>
      <c r="X2785" s="172"/>
      <c r="Y2785" s="172"/>
      <c r="Z2785" s="172"/>
      <c r="AA2785" s="195"/>
      <c r="AB2785" s="172"/>
    </row>
    <row r="2786" spans="1:28" ht="12.6" customHeight="1" x14ac:dyDescent="0.3">
      <c r="A2786" s="667"/>
      <c r="B2786" s="668" t="s">
        <v>9583</v>
      </c>
      <c r="C2786" s="160" t="s">
        <v>9584</v>
      </c>
      <c r="D2786" s="160"/>
      <c r="E2786" s="439"/>
      <c r="F2786" s="161">
        <v>402.01453047799998</v>
      </c>
      <c r="G2786" s="161"/>
      <c r="H2786" s="654"/>
      <c r="I2786" s="654"/>
      <c r="J2786" s="191"/>
      <c r="K2786" s="191">
        <v>33875054.297260202</v>
      </c>
      <c r="L2786" s="191"/>
      <c r="M2786" s="191"/>
      <c r="N2786" s="191"/>
      <c r="O2786" s="191"/>
      <c r="P2786" s="191"/>
      <c r="Q2786" s="191"/>
      <c r="R2786" s="191"/>
      <c r="S2786" s="191"/>
      <c r="T2786" s="191"/>
      <c r="U2786" s="439"/>
      <c r="V2786" s="441"/>
      <c r="W2786" s="178"/>
      <c r="X2786" s="172"/>
      <c r="Y2786" s="172"/>
      <c r="Z2786" s="172"/>
      <c r="AA2786" s="195"/>
      <c r="AB2786" s="172"/>
    </row>
    <row r="2787" spans="1:28" ht="12.6" customHeight="1" x14ac:dyDescent="0.3">
      <c r="A2787" s="667"/>
      <c r="B2787" s="668" t="s">
        <v>9585</v>
      </c>
      <c r="C2787" s="160" t="s">
        <v>9586</v>
      </c>
      <c r="D2787" s="160"/>
      <c r="E2787" s="439"/>
      <c r="F2787" s="161">
        <v>387.98470994600001</v>
      </c>
      <c r="G2787" s="161">
        <v>-41.183999999999997</v>
      </c>
      <c r="H2787" s="654">
        <v>18.875595438000001</v>
      </c>
      <c r="I2787" s="654">
        <v>2.25847063613696</v>
      </c>
      <c r="J2787" s="191"/>
      <c r="K2787" s="191">
        <v>1083477.7569958901</v>
      </c>
      <c r="L2787" s="191"/>
      <c r="M2787" s="191"/>
      <c r="N2787" s="191"/>
      <c r="O2787" s="191"/>
      <c r="P2787" s="191"/>
      <c r="Q2787" s="191"/>
      <c r="R2787" s="191"/>
      <c r="S2787" s="191"/>
      <c r="T2787" s="191"/>
      <c r="U2787" s="439"/>
      <c r="V2787" s="441"/>
      <c r="W2787" s="178"/>
      <c r="X2787" s="172"/>
      <c r="Y2787" s="172"/>
      <c r="Z2787" s="172"/>
      <c r="AA2787" s="195"/>
      <c r="AB2787" s="172"/>
    </row>
    <row r="2788" spans="1:28" ht="12.6" customHeight="1" x14ac:dyDescent="0.3">
      <c r="A2788" s="667"/>
      <c r="B2788" s="668" t="s">
        <v>9587</v>
      </c>
      <c r="C2788" s="160" t="s">
        <v>9588</v>
      </c>
      <c r="D2788" s="160"/>
      <c r="E2788" s="439"/>
      <c r="F2788" s="161">
        <v>397.97878709700001</v>
      </c>
      <c r="G2788" s="161"/>
      <c r="H2788" s="654"/>
      <c r="I2788" s="654"/>
      <c r="J2788" s="191"/>
      <c r="K2788" s="191">
        <v>894313.93935602496</v>
      </c>
      <c r="L2788" s="191"/>
      <c r="M2788" s="191"/>
      <c r="N2788" s="191"/>
      <c r="O2788" s="191"/>
      <c r="P2788" s="191"/>
      <c r="Q2788" s="191"/>
      <c r="R2788" s="191"/>
      <c r="S2788" s="191"/>
      <c r="T2788" s="191"/>
      <c r="U2788" s="439"/>
      <c r="V2788" s="441"/>
      <c r="W2788" s="178"/>
      <c r="X2788" s="172"/>
      <c r="Y2788" s="172"/>
      <c r="Z2788" s="172"/>
      <c r="AA2788" s="195"/>
      <c r="AB2788" s="172"/>
    </row>
    <row r="2789" spans="1:28" ht="12.6" customHeight="1" x14ac:dyDescent="0.3">
      <c r="A2789" s="667"/>
      <c r="B2789" s="668" t="s">
        <v>9589</v>
      </c>
      <c r="C2789" s="160" t="s">
        <v>9590</v>
      </c>
      <c r="D2789" s="160"/>
      <c r="E2789" s="439">
        <v>-0.35</v>
      </c>
      <c r="F2789" s="161">
        <v>266.06898303700001</v>
      </c>
      <c r="G2789" s="161">
        <v>-5.6470000000000002</v>
      </c>
      <c r="H2789" s="654">
        <v>872.77380791999997</v>
      </c>
      <c r="I2789" s="654">
        <v>4385.2425508226197</v>
      </c>
      <c r="J2789" s="191"/>
      <c r="K2789" s="191">
        <v>4.2142762437851697</v>
      </c>
      <c r="L2789" s="191"/>
      <c r="M2789" s="191"/>
      <c r="N2789" s="191"/>
      <c r="O2789" s="191"/>
      <c r="P2789" s="191"/>
      <c r="Q2789" s="191"/>
      <c r="R2789" s="191"/>
      <c r="S2789" s="191"/>
      <c r="T2789" s="191"/>
      <c r="U2789" s="439"/>
      <c r="V2789" s="441"/>
      <c r="W2789" s="178"/>
      <c r="X2789" s="172"/>
      <c r="Y2789" s="172"/>
      <c r="Z2789" s="172"/>
      <c r="AA2789" s="195"/>
      <c r="AB2789" s="172"/>
    </row>
    <row r="2790" spans="1:28" ht="12.6" customHeight="1" x14ac:dyDescent="0.3">
      <c r="A2790" s="667"/>
      <c r="B2790" s="668" t="s">
        <v>9591</v>
      </c>
      <c r="C2790" s="160" t="s">
        <v>9592</v>
      </c>
      <c r="D2790" s="160"/>
      <c r="E2790" s="439">
        <v>12</v>
      </c>
      <c r="F2790" s="161">
        <v>370.00630381399998</v>
      </c>
      <c r="G2790" s="161"/>
      <c r="H2790" s="654"/>
      <c r="I2790" s="654"/>
      <c r="J2790" s="191"/>
      <c r="K2790" s="191">
        <v>2113.14841310364</v>
      </c>
      <c r="L2790" s="191"/>
      <c r="M2790" s="191"/>
      <c r="N2790" s="191"/>
      <c r="O2790" s="191"/>
      <c r="P2790" s="191"/>
      <c r="Q2790" s="191"/>
      <c r="R2790" s="191"/>
      <c r="S2790" s="191"/>
      <c r="T2790" s="191"/>
      <c r="U2790" s="439"/>
      <c r="V2790" s="441"/>
      <c r="W2790" s="178"/>
      <c r="X2790" s="172"/>
      <c r="Y2790" s="172"/>
      <c r="Z2790" s="172"/>
      <c r="AA2790" s="195"/>
      <c r="AB2790" s="172"/>
    </row>
    <row r="2791" spans="1:28" ht="12.6" customHeight="1" x14ac:dyDescent="0.3">
      <c r="A2791" s="667"/>
      <c r="B2791" s="668" t="s">
        <v>9593</v>
      </c>
      <c r="C2791" s="160" t="s">
        <v>9594</v>
      </c>
      <c r="D2791" s="160"/>
      <c r="E2791" s="439"/>
      <c r="F2791" s="161">
        <v>262.06283502899998</v>
      </c>
      <c r="G2791" s="161">
        <v>-17.727</v>
      </c>
      <c r="H2791" s="654">
        <v>20.318939409999999</v>
      </c>
      <c r="I2791" s="654">
        <v>46.4949261280101</v>
      </c>
      <c r="J2791" s="191"/>
      <c r="K2791" s="191">
        <v>4334.9091493348296</v>
      </c>
      <c r="L2791" s="191"/>
      <c r="M2791" s="191"/>
      <c r="N2791" s="191"/>
      <c r="O2791" s="191"/>
      <c r="P2791" s="191"/>
      <c r="Q2791" s="191"/>
      <c r="R2791" s="191"/>
      <c r="S2791" s="191"/>
      <c r="T2791" s="191"/>
      <c r="U2791" s="439"/>
      <c r="V2791" s="441"/>
      <c r="W2791" s="178"/>
      <c r="X2791" s="172"/>
      <c r="Y2791" s="172"/>
      <c r="Z2791" s="172"/>
      <c r="AA2791" s="195"/>
      <c r="AB2791" s="172"/>
    </row>
    <row r="2792" spans="1:28" ht="12.6" customHeight="1" x14ac:dyDescent="0.3">
      <c r="A2792" s="667"/>
      <c r="B2792" s="668" t="s">
        <v>9595</v>
      </c>
      <c r="C2792" s="160" t="s">
        <v>9596</v>
      </c>
      <c r="D2792" s="160"/>
      <c r="E2792" s="439"/>
      <c r="F2792" s="161">
        <v>400.05325400700002</v>
      </c>
      <c r="G2792" s="161"/>
      <c r="H2792" s="654"/>
      <c r="I2792" s="654"/>
      <c r="J2792" s="191"/>
      <c r="K2792" s="191">
        <v>7101.6620256412698</v>
      </c>
      <c r="L2792" s="191"/>
      <c r="M2792" s="191"/>
      <c r="N2792" s="191"/>
      <c r="O2792" s="191"/>
      <c r="P2792" s="191"/>
      <c r="Q2792" s="191"/>
      <c r="R2792" s="191"/>
      <c r="S2792" s="191"/>
      <c r="T2792" s="191"/>
      <c r="U2792" s="439"/>
      <c r="V2792" s="441"/>
      <c r="W2792" s="178"/>
      <c r="X2792" s="172"/>
      <c r="Y2792" s="172"/>
      <c r="Z2792" s="172"/>
      <c r="AA2792" s="195"/>
      <c r="AB2792" s="172"/>
    </row>
    <row r="2793" spans="1:28" ht="12.6" customHeight="1" x14ac:dyDescent="0.3">
      <c r="A2793" s="667"/>
      <c r="B2793" s="668" t="s">
        <v>9597</v>
      </c>
      <c r="C2793" s="160" t="s">
        <v>9598</v>
      </c>
      <c r="D2793" s="160"/>
      <c r="E2793" s="439"/>
      <c r="F2793" s="161">
        <v>386.03760394300002</v>
      </c>
      <c r="G2793" s="161"/>
      <c r="H2793" s="654"/>
      <c r="I2793" s="654"/>
      <c r="J2793" s="191"/>
      <c r="K2793" s="191">
        <v>4066.3054634042801</v>
      </c>
      <c r="L2793" s="191"/>
      <c r="M2793" s="191"/>
      <c r="N2793" s="191"/>
      <c r="O2793" s="191"/>
      <c r="P2793" s="191"/>
      <c r="Q2793" s="191"/>
      <c r="R2793" s="191"/>
      <c r="S2793" s="191"/>
      <c r="T2793" s="191"/>
      <c r="U2793" s="439"/>
      <c r="V2793" s="441"/>
      <c r="W2793" s="178"/>
      <c r="X2793" s="172"/>
      <c r="Y2793" s="172"/>
      <c r="Z2793" s="172"/>
      <c r="AA2793" s="195"/>
      <c r="AB2793" s="172"/>
    </row>
    <row r="2794" spans="1:28" ht="12.6" customHeight="1" x14ac:dyDescent="0.3">
      <c r="A2794" s="667"/>
      <c r="B2794" s="668" t="s">
        <v>9599</v>
      </c>
      <c r="C2794" s="160" t="s">
        <v>9600</v>
      </c>
      <c r="D2794" s="160"/>
      <c r="E2794" s="439"/>
      <c r="F2794" s="161">
        <v>552.02293754100003</v>
      </c>
      <c r="G2794" s="161"/>
      <c r="H2794" s="654"/>
      <c r="I2794" s="654"/>
      <c r="J2794" s="191"/>
      <c r="K2794" s="191">
        <v>108332.80793515799</v>
      </c>
      <c r="L2794" s="191"/>
      <c r="M2794" s="191"/>
      <c r="N2794" s="191"/>
      <c r="O2794" s="191"/>
      <c r="P2794" s="191"/>
      <c r="Q2794" s="191"/>
      <c r="R2794" s="191"/>
      <c r="S2794" s="191"/>
      <c r="T2794" s="191"/>
      <c r="U2794" s="439"/>
      <c r="V2794" s="441"/>
      <c r="W2794" s="178"/>
      <c r="X2794" s="172"/>
      <c r="Y2794" s="172"/>
      <c r="Z2794" s="172"/>
      <c r="AA2794" s="195"/>
      <c r="AB2794" s="172"/>
    </row>
    <row r="2795" spans="1:28" ht="12.6" customHeight="1" x14ac:dyDescent="0.3">
      <c r="A2795" s="667"/>
      <c r="B2795" s="668" t="s">
        <v>9601</v>
      </c>
      <c r="C2795" s="160" t="s">
        <v>9602</v>
      </c>
      <c r="D2795" s="160"/>
      <c r="E2795" s="439"/>
      <c r="F2795" s="161">
        <v>372.02195387799998</v>
      </c>
      <c r="G2795" s="161"/>
      <c r="H2795" s="654"/>
      <c r="I2795" s="654"/>
      <c r="J2795" s="191"/>
      <c r="K2795" s="191">
        <v>2529.93870920883</v>
      </c>
      <c r="L2795" s="191"/>
      <c r="M2795" s="191"/>
      <c r="N2795" s="191"/>
      <c r="O2795" s="191"/>
      <c r="P2795" s="191"/>
      <c r="Q2795" s="191"/>
      <c r="R2795" s="191"/>
      <c r="S2795" s="191"/>
      <c r="T2795" s="191"/>
      <c r="U2795" s="439"/>
      <c r="V2795" s="441"/>
      <c r="W2795" s="178"/>
      <c r="X2795" s="172"/>
      <c r="Y2795" s="172"/>
      <c r="Z2795" s="172"/>
      <c r="AA2795" s="195"/>
      <c r="AB2795" s="172"/>
    </row>
    <row r="2796" spans="1:28" ht="12.6" customHeight="1" x14ac:dyDescent="0.3">
      <c r="A2796" s="667"/>
      <c r="B2796" s="668" t="s">
        <v>9603</v>
      </c>
      <c r="C2796" s="160" t="s">
        <v>9604</v>
      </c>
      <c r="D2796" s="160"/>
      <c r="E2796" s="439"/>
      <c r="F2796" s="161">
        <v>538.00728747599999</v>
      </c>
      <c r="G2796" s="161"/>
      <c r="H2796" s="654"/>
      <c r="I2796" s="654"/>
      <c r="J2796" s="191"/>
      <c r="K2796" s="191">
        <v>39986.187673469904</v>
      </c>
      <c r="L2796" s="191"/>
      <c r="M2796" s="191"/>
      <c r="N2796" s="191"/>
      <c r="O2796" s="191"/>
      <c r="P2796" s="191"/>
      <c r="Q2796" s="191"/>
      <c r="R2796" s="191"/>
      <c r="S2796" s="191"/>
      <c r="T2796" s="191"/>
      <c r="U2796" s="439"/>
      <c r="V2796" s="441"/>
      <c r="W2796" s="178"/>
      <c r="X2796" s="172"/>
      <c r="Y2796" s="172"/>
      <c r="Z2796" s="172"/>
      <c r="AA2796" s="195"/>
      <c r="AB2796" s="172"/>
    </row>
    <row r="2797" spans="1:28" ht="12.6" customHeight="1" x14ac:dyDescent="0.3">
      <c r="A2797" s="667"/>
      <c r="B2797" s="668" t="s">
        <v>9605</v>
      </c>
      <c r="C2797" s="160" t="s">
        <v>9606</v>
      </c>
      <c r="D2797" s="160"/>
      <c r="E2797" s="439">
        <v>10.72</v>
      </c>
      <c r="F2797" s="161">
        <v>433.053588359</v>
      </c>
      <c r="G2797" s="161"/>
      <c r="H2797" s="654"/>
      <c r="I2797" s="654"/>
      <c r="J2797" s="191"/>
      <c r="K2797" s="191">
        <v>217996.74047154601</v>
      </c>
      <c r="L2797" s="191"/>
      <c r="M2797" s="191"/>
      <c r="N2797" s="191"/>
      <c r="O2797" s="191"/>
      <c r="P2797" s="191"/>
      <c r="Q2797" s="191"/>
      <c r="R2797" s="191"/>
      <c r="S2797" s="191"/>
      <c r="T2797" s="191"/>
      <c r="U2797" s="439"/>
      <c r="V2797" s="441"/>
      <c r="W2797" s="178"/>
      <c r="X2797" s="172"/>
      <c r="Y2797" s="172"/>
      <c r="Z2797" s="172"/>
      <c r="AA2797" s="195"/>
      <c r="AB2797" s="172"/>
    </row>
    <row r="2798" spans="1:28" ht="12.6" customHeight="1" x14ac:dyDescent="0.3">
      <c r="A2798" s="667"/>
      <c r="B2798" s="668" t="s">
        <v>9607</v>
      </c>
      <c r="C2798" s="160" t="s">
        <v>9608</v>
      </c>
      <c r="D2798" s="160"/>
      <c r="E2798" s="439"/>
      <c r="F2798" s="161">
        <v>580.05423767000002</v>
      </c>
      <c r="G2798" s="161"/>
      <c r="H2798" s="654"/>
      <c r="I2798" s="654"/>
      <c r="J2798" s="191"/>
      <c r="K2798" s="191">
        <v>210644.43984051299</v>
      </c>
      <c r="L2798" s="191"/>
      <c r="M2798" s="191"/>
      <c r="N2798" s="191"/>
      <c r="O2798" s="191"/>
      <c r="P2798" s="191"/>
      <c r="Q2798" s="191"/>
      <c r="R2798" s="191"/>
      <c r="S2798" s="191"/>
      <c r="T2798" s="191"/>
      <c r="U2798" s="439"/>
      <c r="V2798" s="441"/>
      <c r="W2798" s="178"/>
      <c r="X2798" s="172"/>
      <c r="Y2798" s="172"/>
      <c r="Z2798" s="172"/>
      <c r="AA2798" s="195"/>
      <c r="AB2798" s="172"/>
    </row>
    <row r="2799" spans="1:28" ht="12.6" customHeight="1" x14ac:dyDescent="0.3">
      <c r="A2799" s="667"/>
      <c r="B2799" s="668" t="s">
        <v>9609</v>
      </c>
      <c r="C2799" s="160" t="s">
        <v>9610</v>
      </c>
      <c r="D2799" s="160"/>
      <c r="E2799" s="439">
        <v>-0.73</v>
      </c>
      <c r="F2799" s="161">
        <v>431.09545317200002</v>
      </c>
      <c r="G2799" s="161"/>
      <c r="H2799" s="654"/>
      <c r="I2799" s="654"/>
      <c r="J2799" s="191"/>
      <c r="K2799" s="191">
        <v>3.8261060200049202</v>
      </c>
      <c r="L2799" s="191"/>
      <c r="M2799" s="191"/>
      <c r="N2799" s="191"/>
      <c r="O2799" s="191"/>
      <c r="P2799" s="191"/>
      <c r="Q2799" s="191"/>
      <c r="R2799" s="191"/>
      <c r="S2799" s="191"/>
      <c r="T2799" s="191"/>
      <c r="U2799" s="439"/>
      <c r="V2799" s="441"/>
      <c r="W2799" s="178"/>
      <c r="X2799" s="172"/>
      <c r="Y2799" s="172"/>
      <c r="Z2799" s="172"/>
      <c r="AA2799" s="195"/>
      <c r="AB2799" s="172"/>
    </row>
    <row r="2800" spans="1:28" ht="12.6" customHeight="1" x14ac:dyDescent="0.3">
      <c r="A2800" s="667"/>
      <c r="B2800" s="668" t="s">
        <v>9611</v>
      </c>
      <c r="C2800" s="160" t="s">
        <v>9612</v>
      </c>
      <c r="D2800" s="160"/>
      <c r="E2800" s="439">
        <v>-1.29</v>
      </c>
      <c r="F2800" s="161">
        <v>597.08078677000003</v>
      </c>
      <c r="G2800" s="161"/>
      <c r="H2800" s="654"/>
      <c r="I2800" s="654"/>
      <c r="J2800" s="191"/>
      <c r="K2800" s="191">
        <v>4.2517918977292899</v>
      </c>
      <c r="L2800" s="191"/>
      <c r="M2800" s="191"/>
      <c r="N2800" s="191"/>
      <c r="O2800" s="191"/>
      <c r="P2800" s="191"/>
      <c r="Q2800" s="191"/>
      <c r="R2800" s="191"/>
      <c r="S2800" s="191"/>
      <c r="T2800" s="191"/>
      <c r="U2800" s="439"/>
      <c r="V2800" s="441"/>
      <c r="W2800" s="178"/>
      <c r="X2800" s="172"/>
      <c r="Y2800" s="172"/>
      <c r="Z2800" s="172"/>
      <c r="AA2800" s="195"/>
      <c r="AB2800" s="172"/>
    </row>
    <row r="2801" spans="1:28" ht="12.6" customHeight="1" x14ac:dyDescent="0.3">
      <c r="A2801" s="667"/>
      <c r="B2801" s="668" t="s">
        <v>9613</v>
      </c>
      <c r="C2801" s="160" t="s">
        <v>9614</v>
      </c>
      <c r="D2801" s="160"/>
      <c r="E2801" s="439">
        <v>6.57</v>
      </c>
      <c r="F2801" s="161">
        <v>415.97949599999998</v>
      </c>
      <c r="G2801" s="161"/>
      <c r="H2801" s="654"/>
      <c r="I2801" s="654"/>
      <c r="J2801" s="191"/>
      <c r="K2801" s="191">
        <v>837.24005971070301</v>
      </c>
      <c r="L2801" s="191"/>
      <c r="M2801" s="191"/>
      <c r="N2801" s="191"/>
      <c r="O2801" s="191"/>
      <c r="P2801" s="191"/>
      <c r="Q2801" s="191"/>
      <c r="R2801" s="191"/>
      <c r="S2801" s="191"/>
      <c r="T2801" s="191"/>
      <c r="U2801" s="439"/>
      <c r="V2801" s="441"/>
      <c r="W2801" s="178"/>
      <c r="X2801" s="172"/>
      <c r="Y2801" s="172"/>
      <c r="Z2801" s="172"/>
      <c r="AA2801" s="195"/>
      <c r="AB2801" s="172"/>
    </row>
    <row r="2802" spans="1:28" ht="12.6" customHeight="1" x14ac:dyDescent="0.3">
      <c r="A2802" s="667"/>
      <c r="B2802" s="668" t="s">
        <v>9615</v>
      </c>
      <c r="C2802" s="160" t="s">
        <v>9616</v>
      </c>
      <c r="D2802" s="160"/>
      <c r="E2802" s="439"/>
      <c r="F2802" s="161">
        <v>386.03760394300002</v>
      </c>
      <c r="G2802" s="161"/>
      <c r="H2802" s="654"/>
      <c r="I2802" s="654"/>
      <c r="J2802" s="191"/>
      <c r="K2802" s="191">
        <v>8498.0640490606693</v>
      </c>
      <c r="L2802" s="191"/>
      <c r="M2802" s="191"/>
      <c r="N2802" s="191"/>
      <c r="O2802" s="191"/>
      <c r="P2802" s="191"/>
      <c r="Q2802" s="191"/>
      <c r="R2802" s="191"/>
      <c r="S2802" s="191"/>
      <c r="T2802" s="191"/>
      <c r="U2802" s="439"/>
      <c r="V2802" s="441"/>
      <c r="W2802" s="178"/>
      <c r="X2802" s="172"/>
      <c r="Y2802" s="172"/>
      <c r="Z2802" s="172"/>
      <c r="AA2802" s="195"/>
      <c r="AB2802" s="172"/>
    </row>
    <row r="2803" spans="1:28" ht="12.6" customHeight="1" x14ac:dyDescent="0.3">
      <c r="A2803" s="667"/>
      <c r="B2803" s="668" t="s">
        <v>9617</v>
      </c>
      <c r="C2803" s="160" t="s">
        <v>9618</v>
      </c>
      <c r="D2803" s="160"/>
      <c r="E2803" s="439"/>
      <c r="F2803" s="161">
        <v>552.02293754100003</v>
      </c>
      <c r="G2803" s="161"/>
      <c r="H2803" s="654"/>
      <c r="I2803" s="654"/>
      <c r="J2803" s="191"/>
      <c r="K2803" s="191">
        <v>109716.008636039</v>
      </c>
      <c r="L2803" s="191"/>
      <c r="M2803" s="191"/>
      <c r="N2803" s="191"/>
      <c r="O2803" s="191"/>
      <c r="P2803" s="191"/>
      <c r="Q2803" s="191"/>
      <c r="R2803" s="191"/>
      <c r="S2803" s="191"/>
      <c r="T2803" s="191"/>
      <c r="U2803" s="439"/>
      <c r="V2803" s="441"/>
      <c r="W2803" s="178"/>
      <c r="X2803" s="172"/>
      <c r="Y2803" s="172"/>
      <c r="Z2803" s="172"/>
      <c r="AA2803" s="195"/>
      <c r="AB2803" s="172"/>
    </row>
    <row r="2804" spans="1:28" ht="12.6" customHeight="1" x14ac:dyDescent="0.3">
      <c r="A2804" s="667"/>
      <c r="B2804" s="668" t="s">
        <v>9619</v>
      </c>
      <c r="C2804" s="160" t="s">
        <v>9620</v>
      </c>
      <c r="D2804" s="160"/>
      <c r="E2804" s="439"/>
      <c r="F2804" s="161">
        <v>442.10020420000001</v>
      </c>
      <c r="G2804" s="161"/>
      <c r="H2804" s="654"/>
      <c r="I2804" s="654"/>
      <c r="J2804" s="191"/>
      <c r="K2804" s="191">
        <v>43568.238359073301</v>
      </c>
      <c r="L2804" s="191"/>
      <c r="M2804" s="191"/>
      <c r="N2804" s="191"/>
      <c r="O2804" s="191"/>
      <c r="P2804" s="191"/>
      <c r="Q2804" s="191"/>
      <c r="R2804" s="191"/>
      <c r="S2804" s="191"/>
      <c r="T2804" s="191"/>
      <c r="U2804" s="439"/>
      <c r="V2804" s="441"/>
      <c r="W2804" s="178"/>
      <c r="X2804" s="172"/>
      <c r="Y2804" s="172"/>
      <c r="Z2804" s="172"/>
      <c r="AA2804" s="195"/>
      <c r="AB2804" s="172"/>
    </row>
    <row r="2805" spans="1:28" ht="12.6" customHeight="1" x14ac:dyDescent="0.3">
      <c r="A2805" s="667"/>
      <c r="B2805" s="668" t="s">
        <v>9621</v>
      </c>
      <c r="C2805" s="160" t="s">
        <v>9622</v>
      </c>
      <c r="D2805" s="160"/>
      <c r="E2805" s="439"/>
      <c r="F2805" s="161">
        <v>414.06890407200001</v>
      </c>
      <c r="G2805" s="161"/>
      <c r="H2805" s="654"/>
      <c r="I2805" s="654"/>
      <c r="J2805" s="191"/>
      <c r="K2805" s="191">
        <v>9217.6454650755004</v>
      </c>
      <c r="L2805" s="191"/>
      <c r="M2805" s="191"/>
      <c r="N2805" s="191"/>
      <c r="O2805" s="191"/>
      <c r="P2805" s="191"/>
      <c r="Q2805" s="191"/>
      <c r="R2805" s="191"/>
      <c r="S2805" s="191"/>
      <c r="T2805" s="191"/>
      <c r="U2805" s="439"/>
      <c r="V2805" s="441"/>
      <c r="W2805" s="178"/>
      <c r="X2805" s="172"/>
      <c r="Y2805" s="172"/>
      <c r="Z2805" s="172"/>
      <c r="AA2805" s="195"/>
      <c r="AB2805" s="172"/>
    </row>
    <row r="2806" spans="1:28" ht="12.6" customHeight="1" x14ac:dyDescent="0.3">
      <c r="A2806" s="667"/>
      <c r="B2806" s="668" t="s">
        <v>9623</v>
      </c>
      <c r="C2806" s="160" t="s">
        <v>9624</v>
      </c>
      <c r="D2806" s="160"/>
      <c r="E2806" s="439"/>
      <c r="F2806" s="161">
        <v>400.05325400700002</v>
      </c>
      <c r="G2806" s="161"/>
      <c r="H2806" s="654"/>
      <c r="I2806" s="654"/>
      <c r="J2806" s="191"/>
      <c r="K2806" s="191">
        <v>7524.3675188888801</v>
      </c>
      <c r="L2806" s="191"/>
      <c r="M2806" s="191"/>
      <c r="N2806" s="191"/>
      <c r="O2806" s="191"/>
      <c r="P2806" s="191"/>
      <c r="Q2806" s="191"/>
      <c r="R2806" s="191"/>
      <c r="S2806" s="191"/>
      <c r="T2806" s="191"/>
      <c r="U2806" s="439"/>
      <c r="V2806" s="441"/>
      <c r="W2806" s="178"/>
      <c r="X2806" s="172"/>
      <c r="Y2806" s="172"/>
      <c r="Z2806" s="172"/>
      <c r="AA2806" s="195"/>
      <c r="AB2806" s="172"/>
    </row>
    <row r="2807" spans="1:28" ht="12.6" customHeight="1" x14ac:dyDescent="0.3">
      <c r="A2807" s="667"/>
      <c r="B2807" s="668" t="s">
        <v>9625</v>
      </c>
      <c r="C2807" s="160" t="s">
        <v>9626</v>
      </c>
      <c r="D2807" s="160"/>
      <c r="E2807" s="439">
        <v>9.9600000000000009</v>
      </c>
      <c r="F2807" s="161">
        <v>607.10152221500005</v>
      </c>
      <c r="G2807" s="161"/>
      <c r="H2807" s="654"/>
      <c r="I2807" s="654"/>
      <c r="J2807" s="191"/>
      <c r="K2807" s="191">
        <v>81688.326684546497</v>
      </c>
      <c r="L2807" s="191"/>
      <c r="M2807" s="191"/>
      <c r="N2807" s="191"/>
      <c r="O2807" s="191"/>
      <c r="P2807" s="191"/>
      <c r="Q2807" s="191"/>
      <c r="R2807" s="191"/>
      <c r="S2807" s="191"/>
      <c r="T2807" s="191"/>
      <c r="U2807" s="439"/>
      <c r="V2807" s="441"/>
      <c r="W2807" s="178"/>
      <c r="X2807" s="172"/>
      <c r="Y2807" s="172"/>
      <c r="Z2807" s="172"/>
      <c r="AA2807" s="195"/>
      <c r="AB2807" s="172"/>
    </row>
    <row r="2808" spans="1:28" ht="12.6" customHeight="1" x14ac:dyDescent="0.3">
      <c r="A2808" s="667"/>
      <c r="B2808" s="668" t="s">
        <v>9627</v>
      </c>
      <c r="C2808" s="160" t="s">
        <v>9628</v>
      </c>
      <c r="D2808" s="160"/>
      <c r="E2808" s="439">
        <v>10.23</v>
      </c>
      <c r="F2808" s="161">
        <v>551.03892195699996</v>
      </c>
      <c r="G2808" s="161"/>
      <c r="H2808" s="654"/>
      <c r="I2808" s="654"/>
      <c r="J2808" s="191"/>
      <c r="K2808" s="191">
        <v>48361.5264302043</v>
      </c>
      <c r="L2808" s="191"/>
      <c r="M2808" s="191"/>
      <c r="N2808" s="191"/>
      <c r="O2808" s="191"/>
      <c r="P2808" s="191"/>
      <c r="Q2808" s="191"/>
      <c r="R2808" s="191"/>
      <c r="S2808" s="191"/>
      <c r="T2808" s="191"/>
      <c r="U2808" s="439"/>
      <c r="V2808" s="441"/>
      <c r="W2808" s="178"/>
      <c r="X2808" s="172"/>
      <c r="Y2808" s="172"/>
      <c r="Z2808" s="172"/>
      <c r="AA2808" s="195"/>
      <c r="AB2808" s="172"/>
    </row>
    <row r="2809" spans="1:28" ht="12.6" customHeight="1" x14ac:dyDescent="0.3">
      <c r="A2809" s="667"/>
      <c r="B2809" s="668" t="s">
        <v>9629</v>
      </c>
      <c r="C2809" s="160" t="s">
        <v>9630</v>
      </c>
      <c r="D2809" s="160"/>
      <c r="E2809" s="439"/>
      <c r="F2809" s="161">
        <v>386.03760394300002</v>
      </c>
      <c r="G2809" s="161"/>
      <c r="H2809" s="654"/>
      <c r="I2809" s="654"/>
      <c r="J2809" s="191"/>
      <c r="K2809" s="191">
        <v>2939.9503764593801</v>
      </c>
      <c r="L2809" s="191"/>
      <c r="M2809" s="191"/>
      <c r="N2809" s="191"/>
      <c r="O2809" s="191"/>
      <c r="P2809" s="191"/>
      <c r="Q2809" s="191"/>
      <c r="R2809" s="191"/>
      <c r="S2809" s="191"/>
      <c r="T2809" s="191"/>
      <c r="U2809" s="439"/>
      <c r="V2809" s="441"/>
      <c r="W2809" s="178"/>
      <c r="X2809" s="172"/>
      <c r="Y2809" s="172"/>
      <c r="Z2809" s="172"/>
      <c r="AA2809" s="195"/>
      <c r="AB2809" s="172"/>
    </row>
    <row r="2810" spans="1:28" ht="12.6" customHeight="1" x14ac:dyDescent="0.3">
      <c r="A2810" s="667"/>
      <c r="B2810" s="668" t="s">
        <v>9631</v>
      </c>
      <c r="C2810" s="160" t="s">
        <v>9632</v>
      </c>
      <c r="D2810" s="160"/>
      <c r="E2810" s="439"/>
      <c r="F2810" s="161">
        <v>552.02293754100003</v>
      </c>
      <c r="G2810" s="161"/>
      <c r="H2810" s="654"/>
      <c r="I2810" s="654"/>
      <c r="J2810" s="191"/>
      <c r="K2810" s="191">
        <v>108682.595134692</v>
      </c>
      <c r="L2810" s="191"/>
      <c r="M2810" s="191"/>
      <c r="N2810" s="191"/>
      <c r="O2810" s="191"/>
      <c r="P2810" s="191"/>
      <c r="Q2810" s="191"/>
      <c r="R2810" s="191"/>
      <c r="S2810" s="191"/>
      <c r="T2810" s="191"/>
      <c r="U2810" s="439"/>
      <c r="V2810" s="441"/>
      <c r="W2810" s="178"/>
      <c r="X2810" s="172"/>
      <c r="Y2810" s="172"/>
      <c r="Z2810" s="172"/>
      <c r="AA2810" s="195"/>
      <c r="AB2810" s="172"/>
    </row>
    <row r="2811" spans="1:28" ht="12.6" customHeight="1" x14ac:dyDescent="0.3">
      <c r="A2811" s="667"/>
      <c r="B2811" s="668" t="s">
        <v>9633</v>
      </c>
      <c r="C2811" s="160" t="s">
        <v>9634</v>
      </c>
      <c r="D2811" s="160"/>
      <c r="E2811" s="439">
        <v>12</v>
      </c>
      <c r="F2811" s="161">
        <v>431.09545317200002</v>
      </c>
      <c r="G2811" s="161"/>
      <c r="H2811" s="654"/>
      <c r="I2811" s="654"/>
      <c r="J2811" s="191"/>
      <c r="K2811" s="191"/>
      <c r="L2811" s="191"/>
      <c r="M2811" s="191"/>
      <c r="N2811" s="191"/>
      <c r="O2811" s="191"/>
      <c r="P2811" s="191"/>
      <c r="Q2811" s="191"/>
      <c r="R2811" s="191"/>
      <c r="S2811" s="191"/>
      <c r="T2811" s="191"/>
      <c r="U2811" s="439"/>
      <c r="V2811" s="441"/>
      <c r="W2811" s="178"/>
      <c r="X2811" s="172"/>
      <c r="Y2811" s="172"/>
      <c r="Z2811" s="172"/>
      <c r="AA2811" s="195"/>
      <c r="AB2811" s="172"/>
    </row>
    <row r="2812" spans="1:28" ht="12.6" customHeight="1" x14ac:dyDescent="0.3">
      <c r="A2812" s="667"/>
      <c r="B2812" s="668" t="s">
        <v>9635</v>
      </c>
      <c r="C2812" s="160" t="s">
        <v>9636</v>
      </c>
      <c r="D2812" s="160"/>
      <c r="E2812" s="439">
        <v>7.97</v>
      </c>
      <c r="F2812" s="161">
        <v>717.06064106400004</v>
      </c>
      <c r="G2812" s="161"/>
      <c r="H2812" s="654"/>
      <c r="I2812" s="654"/>
      <c r="J2812" s="191"/>
      <c r="K2812" s="191">
        <v>259968.06401850999</v>
      </c>
      <c r="L2812" s="191"/>
      <c r="M2812" s="191"/>
      <c r="N2812" s="191"/>
      <c r="O2812" s="191"/>
      <c r="P2812" s="191"/>
      <c r="Q2812" s="191"/>
      <c r="R2812" s="191"/>
      <c r="S2812" s="191"/>
      <c r="T2812" s="191"/>
      <c r="U2812" s="439"/>
      <c r="V2812" s="441"/>
      <c r="W2812" s="178"/>
      <c r="X2812" s="172"/>
      <c r="Y2812" s="172"/>
      <c r="Z2812" s="172"/>
      <c r="AA2812" s="195"/>
      <c r="AB2812" s="172"/>
    </row>
    <row r="2813" spans="1:28" ht="12.6" customHeight="1" x14ac:dyDescent="0.3">
      <c r="A2813" s="667"/>
      <c r="B2813" s="668" t="s">
        <v>9637</v>
      </c>
      <c r="C2813" s="160" t="s">
        <v>9638</v>
      </c>
      <c r="D2813" s="160"/>
      <c r="E2813" s="439"/>
      <c r="F2813" s="161">
        <v>372.02195387799998</v>
      </c>
      <c r="G2813" s="161"/>
      <c r="H2813" s="654"/>
      <c r="I2813" s="654"/>
      <c r="J2813" s="191"/>
      <c r="K2813" s="191">
        <v>2505.24382302406</v>
      </c>
      <c r="L2813" s="191"/>
      <c r="M2813" s="191"/>
      <c r="N2813" s="191"/>
      <c r="O2813" s="191"/>
      <c r="P2813" s="191"/>
      <c r="Q2813" s="191"/>
      <c r="R2813" s="191"/>
      <c r="S2813" s="191"/>
      <c r="T2813" s="191"/>
      <c r="U2813" s="439"/>
      <c r="V2813" s="441"/>
      <c r="W2813" s="178"/>
      <c r="X2813" s="172"/>
      <c r="Y2813" s="172"/>
      <c r="Z2813" s="172"/>
      <c r="AA2813" s="195"/>
      <c r="AB2813" s="172"/>
    </row>
    <row r="2814" spans="1:28" ht="12.6" customHeight="1" x14ac:dyDescent="0.3">
      <c r="A2814" s="667"/>
      <c r="B2814" s="668" t="s">
        <v>9639</v>
      </c>
      <c r="C2814" s="160" t="s">
        <v>9640</v>
      </c>
      <c r="D2814" s="160"/>
      <c r="E2814" s="439"/>
      <c r="F2814" s="161">
        <v>538.00728747599999</v>
      </c>
      <c r="G2814" s="161"/>
      <c r="H2814" s="654"/>
      <c r="I2814" s="654"/>
      <c r="J2814" s="191"/>
      <c r="K2814" s="191">
        <v>40564.861732459503</v>
      </c>
      <c r="L2814" s="191"/>
      <c r="M2814" s="191"/>
      <c r="N2814" s="191"/>
      <c r="O2814" s="191"/>
      <c r="P2814" s="191"/>
      <c r="Q2814" s="191"/>
      <c r="R2814" s="191"/>
      <c r="S2814" s="191"/>
      <c r="T2814" s="191"/>
      <c r="U2814" s="439"/>
      <c r="V2814" s="441"/>
      <c r="W2814" s="178"/>
      <c r="X2814" s="172"/>
      <c r="Y2814" s="172"/>
      <c r="Z2814" s="172"/>
      <c r="AA2814" s="195"/>
      <c r="AB2814" s="172"/>
    </row>
    <row r="2815" spans="1:28" ht="12.6" customHeight="1" x14ac:dyDescent="0.3">
      <c r="A2815" s="667"/>
      <c r="B2815" s="668" t="s">
        <v>9641</v>
      </c>
      <c r="C2815" s="160" t="s">
        <v>9642</v>
      </c>
      <c r="D2815" s="160"/>
      <c r="E2815" s="439">
        <v>8.32</v>
      </c>
      <c r="F2815" s="161">
        <v>385.053588359</v>
      </c>
      <c r="G2815" s="161"/>
      <c r="H2815" s="654"/>
      <c r="I2815" s="654"/>
      <c r="J2815" s="191"/>
      <c r="K2815" s="191">
        <v>11119.6213827634</v>
      </c>
      <c r="L2815" s="191"/>
      <c r="M2815" s="191"/>
      <c r="N2815" s="191"/>
      <c r="O2815" s="191"/>
      <c r="P2815" s="191"/>
      <c r="Q2815" s="191"/>
      <c r="R2815" s="191"/>
      <c r="S2815" s="191"/>
      <c r="T2815" s="191"/>
      <c r="U2815" s="439"/>
      <c r="V2815" s="441"/>
      <c r="W2815" s="178"/>
      <c r="X2815" s="172"/>
      <c r="Y2815" s="172"/>
      <c r="Z2815" s="172"/>
      <c r="AA2815" s="195"/>
      <c r="AB2815" s="172"/>
    </row>
    <row r="2816" spans="1:28" ht="12.6" customHeight="1" x14ac:dyDescent="0.3">
      <c r="A2816" s="667"/>
      <c r="B2816" s="668" t="s">
        <v>9643</v>
      </c>
      <c r="C2816" s="160" t="s">
        <v>9644</v>
      </c>
      <c r="D2816" s="160"/>
      <c r="E2816" s="439">
        <v>8.89</v>
      </c>
      <c r="F2816" s="161">
        <v>551.03892195699996</v>
      </c>
      <c r="G2816" s="161"/>
      <c r="H2816" s="654"/>
      <c r="I2816" s="654"/>
      <c r="J2816" s="191"/>
      <c r="K2816" s="191">
        <v>48012.022394839601</v>
      </c>
      <c r="L2816" s="191"/>
      <c r="M2816" s="191"/>
      <c r="N2816" s="191"/>
      <c r="O2816" s="191"/>
      <c r="P2816" s="191"/>
      <c r="Q2816" s="191"/>
      <c r="R2816" s="191"/>
      <c r="S2816" s="191"/>
      <c r="T2816" s="191"/>
      <c r="U2816" s="439"/>
      <c r="V2816" s="441"/>
      <c r="W2816" s="178"/>
      <c r="X2816" s="172"/>
      <c r="Y2816" s="172"/>
      <c r="Z2816" s="172"/>
      <c r="AA2816" s="195"/>
      <c r="AB2816" s="172"/>
    </row>
    <row r="2817" spans="1:28" ht="12.6" customHeight="1" x14ac:dyDescent="0.3">
      <c r="A2817" s="667"/>
      <c r="B2817" s="668" t="s">
        <v>9645</v>
      </c>
      <c r="C2817" s="160" t="s">
        <v>9646</v>
      </c>
      <c r="D2817" s="160"/>
      <c r="E2817" s="439"/>
      <c r="F2817" s="161">
        <v>358.00630381399998</v>
      </c>
      <c r="G2817" s="161">
        <v>-82.242999999999995</v>
      </c>
      <c r="H2817" s="654">
        <v>384.50464765999999</v>
      </c>
      <c r="I2817" s="654">
        <v>9.8376194218745194</v>
      </c>
      <c r="J2817" s="191"/>
      <c r="K2817" s="191">
        <v>2382.6486216930098</v>
      </c>
      <c r="L2817" s="191"/>
      <c r="M2817" s="191"/>
      <c r="N2817" s="191"/>
      <c r="O2817" s="191"/>
      <c r="P2817" s="191"/>
      <c r="Q2817" s="191"/>
      <c r="R2817" s="191"/>
      <c r="S2817" s="191"/>
      <c r="T2817" s="191"/>
      <c r="U2817" s="439"/>
      <c r="V2817" s="441"/>
      <c r="W2817" s="178"/>
      <c r="X2817" s="172"/>
      <c r="Y2817" s="172"/>
      <c r="Z2817" s="172"/>
      <c r="AA2817" s="195"/>
      <c r="AB2817" s="172"/>
    </row>
    <row r="2818" spans="1:28" ht="12.6" customHeight="1" x14ac:dyDescent="0.3">
      <c r="A2818" s="667"/>
      <c r="B2818" s="668" t="s">
        <v>9647</v>
      </c>
      <c r="C2818" s="160" t="s">
        <v>9648</v>
      </c>
      <c r="D2818" s="160"/>
      <c r="E2818" s="439"/>
      <c r="F2818" s="161">
        <v>523.99163741200005</v>
      </c>
      <c r="G2818" s="161"/>
      <c r="H2818" s="654"/>
      <c r="I2818" s="654"/>
      <c r="J2818" s="191"/>
      <c r="K2818" s="191">
        <v>42890.390466803299</v>
      </c>
      <c r="L2818" s="191"/>
      <c r="M2818" s="191"/>
      <c r="N2818" s="191"/>
      <c r="O2818" s="191"/>
      <c r="P2818" s="191"/>
      <c r="Q2818" s="191"/>
      <c r="R2818" s="191"/>
      <c r="S2818" s="191"/>
      <c r="T2818" s="191"/>
      <c r="U2818" s="439"/>
      <c r="V2818" s="441"/>
      <c r="W2818" s="178"/>
      <c r="X2818" s="172"/>
      <c r="Y2818" s="172"/>
      <c r="Z2818" s="172"/>
      <c r="AA2818" s="195"/>
      <c r="AB2818" s="172"/>
    </row>
    <row r="2819" spans="1:28" ht="12.6" customHeight="1" x14ac:dyDescent="0.3">
      <c r="A2819" s="667"/>
      <c r="B2819" s="668" t="s">
        <v>9649</v>
      </c>
      <c r="C2819" s="160" t="s">
        <v>9650</v>
      </c>
      <c r="D2819" s="160"/>
      <c r="E2819" s="439">
        <v>-1.29</v>
      </c>
      <c r="F2819" s="161">
        <v>541.01818651300005</v>
      </c>
      <c r="G2819" s="161"/>
      <c r="H2819" s="654"/>
      <c r="I2819" s="654"/>
      <c r="J2819" s="191"/>
      <c r="K2819" s="191">
        <v>8.1110672086784597</v>
      </c>
      <c r="L2819" s="191"/>
      <c r="M2819" s="191"/>
      <c r="N2819" s="191"/>
      <c r="O2819" s="191"/>
      <c r="P2819" s="191"/>
      <c r="Q2819" s="191"/>
      <c r="R2819" s="191"/>
      <c r="S2819" s="191"/>
      <c r="T2819" s="191"/>
      <c r="U2819" s="439"/>
      <c r="V2819" s="441"/>
      <c r="W2819" s="178"/>
      <c r="X2819" s="172"/>
      <c r="Y2819" s="172"/>
      <c r="Z2819" s="172"/>
      <c r="AA2819" s="195"/>
      <c r="AB2819" s="172"/>
    </row>
    <row r="2820" spans="1:28" ht="12.6" customHeight="1" x14ac:dyDescent="0.3">
      <c r="A2820" s="667"/>
      <c r="B2820" s="668" t="s">
        <v>9651</v>
      </c>
      <c r="C2820" s="160" t="s">
        <v>9652</v>
      </c>
      <c r="D2820" s="160"/>
      <c r="E2820" s="439"/>
      <c r="F2820" s="161">
        <v>305.99384742400002</v>
      </c>
      <c r="G2820" s="161"/>
      <c r="H2820" s="654"/>
      <c r="I2820" s="654"/>
      <c r="J2820" s="191"/>
      <c r="K2820" s="191">
        <v>523.02205168315197</v>
      </c>
      <c r="L2820" s="191"/>
      <c r="M2820" s="191"/>
      <c r="N2820" s="191"/>
      <c r="O2820" s="191"/>
      <c r="P2820" s="191"/>
      <c r="Q2820" s="191"/>
      <c r="R2820" s="191"/>
      <c r="S2820" s="191"/>
      <c r="T2820" s="191"/>
      <c r="U2820" s="439"/>
      <c r="V2820" s="441"/>
      <c r="W2820" s="178"/>
      <c r="X2820" s="172"/>
      <c r="Y2820" s="172"/>
      <c r="Z2820" s="172"/>
      <c r="AA2820" s="195"/>
      <c r="AB2820" s="172"/>
    </row>
    <row r="2821" spans="1:28" ht="12.6" customHeight="1" x14ac:dyDescent="0.3">
      <c r="A2821" s="667"/>
      <c r="B2821" s="668" t="s">
        <v>9653</v>
      </c>
      <c r="C2821" s="160" t="s">
        <v>9654</v>
      </c>
      <c r="D2821" s="160"/>
      <c r="E2821" s="439"/>
      <c r="F2821" s="161">
        <v>343.99065374999998</v>
      </c>
      <c r="G2821" s="161">
        <v>-97.396000000000001</v>
      </c>
      <c r="H2821" s="654">
        <v>546.89217687999997</v>
      </c>
      <c r="I2821" s="654">
        <v>15.7959820220692</v>
      </c>
      <c r="J2821" s="191"/>
      <c r="K2821" s="191">
        <v>578.06942571188802</v>
      </c>
      <c r="L2821" s="191"/>
      <c r="M2821" s="191"/>
      <c r="N2821" s="191"/>
      <c r="O2821" s="191"/>
      <c r="P2821" s="191"/>
      <c r="Q2821" s="191"/>
      <c r="R2821" s="191"/>
      <c r="S2821" s="191"/>
      <c r="T2821" s="191"/>
      <c r="U2821" s="439"/>
      <c r="V2821" s="441"/>
      <c r="W2821" s="178"/>
      <c r="X2821" s="172"/>
      <c r="Y2821" s="172"/>
      <c r="Z2821" s="172"/>
      <c r="AA2821" s="195"/>
      <c r="AB2821" s="172"/>
    </row>
    <row r="2822" spans="1:28" ht="12.6" customHeight="1" x14ac:dyDescent="0.3">
      <c r="A2822" s="667"/>
      <c r="B2822" s="668" t="s">
        <v>9655</v>
      </c>
      <c r="C2822" s="160" t="s">
        <v>9656</v>
      </c>
      <c r="D2822" s="160"/>
      <c r="E2822" s="439"/>
      <c r="F2822" s="161">
        <v>487.97409564200001</v>
      </c>
      <c r="G2822" s="161"/>
      <c r="H2822" s="654"/>
      <c r="I2822" s="654"/>
      <c r="J2822" s="191"/>
      <c r="K2822" s="191">
        <v>33748.929362375296</v>
      </c>
      <c r="L2822" s="191"/>
      <c r="M2822" s="191"/>
      <c r="N2822" s="191"/>
      <c r="O2822" s="191"/>
      <c r="P2822" s="191"/>
      <c r="Q2822" s="191"/>
      <c r="R2822" s="191"/>
      <c r="S2822" s="191"/>
      <c r="T2822" s="191"/>
      <c r="U2822" s="439"/>
      <c r="V2822" s="441"/>
      <c r="W2822" s="178"/>
      <c r="X2822" s="172"/>
      <c r="Y2822" s="172"/>
      <c r="Z2822" s="172"/>
      <c r="AA2822" s="195"/>
      <c r="AB2822" s="172"/>
    </row>
    <row r="2823" spans="1:28" ht="12.6" customHeight="1" x14ac:dyDescent="0.3">
      <c r="A2823" s="667"/>
      <c r="B2823" s="668" t="s">
        <v>9657</v>
      </c>
      <c r="C2823" s="160" t="s">
        <v>9658</v>
      </c>
      <c r="D2823" s="160"/>
      <c r="E2823" s="439"/>
      <c r="F2823" s="161">
        <v>421.98237469600002</v>
      </c>
      <c r="G2823" s="161">
        <v>-70.007999999999996</v>
      </c>
      <c r="H2823" s="654">
        <v>171.35743338</v>
      </c>
      <c r="I2823" s="654">
        <v>4.3580651729103996</v>
      </c>
      <c r="J2823" s="191"/>
      <c r="K2823" s="191">
        <v>30175.883890474699</v>
      </c>
      <c r="L2823" s="191"/>
      <c r="M2823" s="191"/>
      <c r="N2823" s="191"/>
      <c r="O2823" s="191"/>
      <c r="P2823" s="191"/>
      <c r="Q2823" s="191"/>
      <c r="R2823" s="191"/>
      <c r="S2823" s="191"/>
      <c r="T2823" s="191"/>
      <c r="U2823" s="439"/>
      <c r="V2823" s="441"/>
      <c r="W2823" s="178"/>
      <c r="X2823" s="172"/>
      <c r="Y2823" s="172"/>
      <c r="Z2823" s="172"/>
      <c r="AA2823" s="195"/>
      <c r="AB2823" s="172"/>
    </row>
    <row r="2824" spans="1:28" ht="12.6" customHeight="1" x14ac:dyDescent="0.3">
      <c r="A2824" s="667"/>
      <c r="B2824" s="668" t="s">
        <v>9659</v>
      </c>
      <c r="C2824" s="160" t="s">
        <v>9660</v>
      </c>
      <c r="D2824" s="160"/>
      <c r="E2824" s="439">
        <v>3.1</v>
      </c>
      <c r="F2824" s="161">
        <v>243.99704109800001</v>
      </c>
      <c r="G2824" s="161">
        <v>-71.608000000000004</v>
      </c>
      <c r="H2824" s="654">
        <v>1729.4263195999999</v>
      </c>
      <c r="I2824" s="654">
        <v>201.55082783450899</v>
      </c>
      <c r="J2824" s="191"/>
      <c r="K2824" s="191">
        <v>39.494807373573003</v>
      </c>
      <c r="L2824" s="191"/>
      <c r="M2824" s="191"/>
      <c r="N2824" s="191"/>
      <c r="O2824" s="191"/>
      <c r="P2824" s="191"/>
      <c r="Q2824" s="191"/>
      <c r="R2824" s="191"/>
      <c r="S2824" s="191"/>
      <c r="T2824" s="191"/>
      <c r="U2824" s="439"/>
      <c r="V2824" s="441"/>
      <c r="W2824" s="178"/>
      <c r="X2824" s="172"/>
      <c r="Y2824" s="172"/>
      <c r="Z2824" s="172"/>
      <c r="AA2824" s="195"/>
      <c r="AB2824" s="172"/>
    </row>
    <row r="2825" spans="1:28" ht="12.6" customHeight="1" x14ac:dyDescent="0.3">
      <c r="A2825" s="667"/>
      <c r="B2825" s="668" t="s">
        <v>9661</v>
      </c>
      <c r="C2825" s="160" t="s">
        <v>9662</v>
      </c>
      <c r="D2825" s="160"/>
      <c r="E2825" s="439"/>
      <c r="F2825" s="161">
        <v>391.99179656500002</v>
      </c>
      <c r="G2825" s="161"/>
      <c r="H2825" s="654"/>
      <c r="I2825" s="654"/>
      <c r="J2825" s="191"/>
      <c r="K2825" s="191">
        <v>1475.4686966532099</v>
      </c>
      <c r="L2825" s="191"/>
      <c r="M2825" s="191"/>
      <c r="N2825" s="191"/>
      <c r="O2825" s="191"/>
      <c r="P2825" s="191"/>
      <c r="Q2825" s="191"/>
      <c r="R2825" s="191"/>
      <c r="S2825" s="191"/>
      <c r="T2825" s="191"/>
      <c r="U2825" s="439"/>
      <c r="V2825" s="441"/>
      <c r="W2825" s="178"/>
      <c r="X2825" s="172"/>
      <c r="Y2825" s="172"/>
      <c r="Z2825" s="172"/>
      <c r="AA2825" s="195"/>
      <c r="AB2825" s="172"/>
    </row>
    <row r="2826" spans="1:28" ht="12.6" customHeight="1" x14ac:dyDescent="0.3">
      <c r="A2826" s="667"/>
      <c r="B2826" s="668" t="s">
        <v>9663</v>
      </c>
      <c r="C2826" s="160" t="s">
        <v>9664</v>
      </c>
      <c r="D2826" s="160"/>
      <c r="E2826" s="439"/>
      <c r="F2826" s="161">
        <v>459.97918102199998</v>
      </c>
      <c r="G2826" s="161">
        <v>-85.835999999999999</v>
      </c>
      <c r="H2826" s="654">
        <v>34.506533361999999</v>
      </c>
      <c r="I2826" s="654">
        <v>5.0319882487082701</v>
      </c>
      <c r="J2826" s="191"/>
      <c r="K2826" s="191">
        <v>29712.555092621998</v>
      </c>
      <c r="L2826" s="191"/>
      <c r="M2826" s="191"/>
      <c r="N2826" s="191"/>
      <c r="O2826" s="191"/>
      <c r="P2826" s="191"/>
      <c r="Q2826" s="191"/>
      <c r="R2826" s="191"/>
      <c r="S2826" s="191"/>
      <c r="T2826" s="191"/>
      <c r="U2826" s="439"/>
      <c r="V2826" s="441"/>
      <c r="W2826" s="178"/>
      <c r="X2826" s="172"/>
      <c r="Y2826" s="172"/>
      <c r="Z2826" s="172"/>
      <c r="AA2826" s="195"/>
      <c r="AB2826" s="172"/>
    </row>
    <row r="2827" spans="1:28" ht="12.6" customHeight="1" x14ac:dyDescent="0.3">
      <c r="A2827" s="667"/>
      <c r="B2827" s="668" t="s">
        <v>9665</v>
      </c>
      <c r="C2827" s="160" t="s">
        <v>9666</v>
      </c>
      <c r="D2827" s="160"/>
      <c r="E2827" s="439"/>
      <c r="F2827" s="161">
        <v>575.96770829399998</v>
      </c>
      <c r="G2827" s="161">
        <v>-95.242999999999995</v>
      </c>
      <c r="H2827" s="654">
        <v>12.8795851422</v>
      </c>
      <c r="I2827" s="654"/>
      <c r="J2827" s="191"/>
      <c r="K2827" s="191">
        <v>42927.935223921799</v>
      </c>
      <c r="L2827" s="191"/>
      <c r="M2827" s="191"/>
      <c r="N2827" s="191"/>
      <c r="O2827" s="191"/>
      <c r="P2827" s="191"/>
      <c r="Q2827" s="191"/>
      <c r="R2827" s="191"/>
      <c r="S2827" s="191"/>
      <c r="T2827" s="191"/>
      <c r="U2827" s="439"/>
      <c r="V2827" s="441"/>
      <c r="W2827" s="178"/>
      <c r="X2827" s="172"/>
      <c r="Y2827" s="172"/>
      <c r="Z2827" s="172"/>
      <c r="AA2827" s="195"/>
      <c r="AB2827" s="172"/>
    </row>
    <row r="2828" spans="1:28" ht="12.6" customHeight="1" x14ac:dyDescent="0.3">
      <c r="A2828" s="667"/>
      <c r="B2828" s="668" t="s">
        <v>9667</v>
      </c>
      <c r="C2828" s="160" t="s">
        <v>9668</v>
      </c>
      <c r="D2828" s="160"/>
      <c r="E2828" s="439"/>
      <c r="F2828" s="161">
        <v>425.977289316</v>
      </c>
      <c r="G2828" s="161">
        <v>-89.891999999999996</v>
      </c>
      <c r="H2828" s="654">
        <v>36.383307156000001</v>
      </c>
      <c r="I2828" s="654">
        <v>18.766642469461001</v>
      </c>
      <c r="J2828" s="191"/>
      <c r="K2828" s="191">
        <v>88240.914430605801</v>
      </c>
      <c r="L2828" s="191"/>
      <c r="M2828" s="191"/>
      <c r="N2828" s="191"/>
      <c r="O2828" s="191"/>
      <c r="P2828" s="191"/>
      <c r="Q2828" s="191"/>
      <c r="R2828" s="191"/>
      <c r="S2828" s="191"/>
      <c r="T2828" s="191"/>
      <c r="U2828" s="439"/>
      <c r="V2828" s="441"/>
      <c r="W2828" s="178"/>
      <c r="X2828" s="172"/>
      <c r="Y2828" s="172"/>
      <c r="Z2828" s="172"/>
      <c r="AA2828" s="195"/>
      <c r="AB2828" s="172"/>
    </row>
    <row r="2829" spans="1:28" ht="12.6" customHeight="1" x14ac:dyDescent="0.3">
      <c r="A2829" s="667"/>
      <c r="B2829" s="668" t="s">
        <v>9669</v>
      </c>
      <c r="C2829" s="160" t="s">
        <v>9670</v>
      </c>
      <c r="D2829" s="160"/>
      <c r="E2829" s="439"/>
      <c r="F2829" s="161">
        <v>309.988762044</v>
      </c>
      <c r="G2829" s="161">
        <v>-90.034999999999997</v>
      </c>
      <c r="H2829" s="654">
        <v>356.37103922</v>
      </c>
      <c r="I2829" s="654">
        <v>63.437340219732299</v>
      </c>
      <c r="J2829" s="191"/>
      <c r="K2829" s="191">
        <v>157.21355922863799</v>
      </c>
      <c r="L2829" s="191"/>
      <c r="M2829" s="191"/>
      <c r="N2829" s="191"/>
      <c r="O2829" s="191"/>
      <c r="P2829" s="191"/>
      <c r="Q2829" s="191"/>
      <c r="R2829" s="191"/>
      <c r="S2829" s="191"/>
      <c r="T2829" s="191"/>
      <c r="U2829" s="439"/>
      <c r="V2829" s="441"/>
      <c r="W2829" s="178"/>
      <c r="X2829" s="172"/>
      <c r="Y2829" s="172"/>
      <c r="Z2829" s="172"/>
      <c r="AA2829" s="195"/>
      <c r="AB2829" s="172"/>
    </row>
    <row r="2830" spans="1:28" ht="12.6" customHeight="1" x14ac:dyDescent="0.3">
      <c r="A2830" s="667"/>
      <c r="B2830" s="668" t="s">
        <v>9671</v>
      </c>
      <c r="C2830" s="160" t="s">
        <v>9672</v>
      </c>
      <c r="D2830" s="160"/>
      <c r="E2830" s="439"/>
      <c r="F2830" s="161">
        <v>443.984266402</v>
      </c>
      <c r="G2830" s="161"/>
      <c r="H2830" s="654"/>
      <c r="I2830" s="654"/>
      <c r="J2830" s="191"/>
      <c r="K2830" s="191">
        <v>10256.7554303166</v>
      </c>
      <c r="L2830" s="191"/>
      <c r="M2830" s="191"/>
      <c r="N2830" s="191"/>
      <c r="O2830" s="191"/>
      <c r="P2830" s="191"/>
      <c r="Q2830" s="191"/>
      <c r="R2830" s="191"/>
      <c r="S2830" s="191"/>
      <c r="T2830" s="191"/>
      <c r="U2830" s="439"/>
      <c r="V2830" s="441"/>
      <c r="W2830" s="178"/>
      <c r="X2830" s="172"/>
      <c r="Y2830" s="172"/>
      <c r="Z2830" s="172"/>
      <c r="AA2830" s="195"/>
      <c r="AB2830" s="172"/>
    </row>
    <row r="2831" spans="1:28" ht="12.6" customHeight="1" x14ac:dyDescent="0.3">
      <c r="A2831" s="667"/>
      <c r="B2831" s="668" t="s">
        <v>9673</v>
      </c>
      <c r="C2831" s="160" t="s">
        <v>9674</v>
      </c>
      <c r="D2831" s="160"/>
      <c r="E2831" s="439"/>
      <c r="F2831" s="161">
        <v>343.99065374999998</v>
      </c>
      <c r="G2831" s="161"/>
      <c r="H2831" s="654"/>
      <c r="I2831" s="654"/>
      <c r="J2831" s="191"/>
      <c r="K2831" s="191">
        <v>577.55054764861097</v>
      </c>
      <c r="L2831" s="191"/>
      <c r="M2831" s="191"/>
      <c r="N2831" s="191"/>
      <c r="O2831" s="191"/>
      <c r="P2831" s="191"/>
      <c r="Q2831" s="191"/>
      <c r="R2831" s="191"/>
      <c r="S2831" s="191"/>
      <c r="T2831" s="191"/>
      <c r="U2831" s="439"/>
      <c r="V2831" s="441"/>
      <c r="W2831" s="178"/>
      <c r="X2831" s="172"/>
      <c r="Y2831" s="172"/>
      <c r="Z2831" s="172"/>
      <c r="AA2831" s="195"/>
      <c r="AB2831" s="172"/>
    </row>
    <row r="2832" spans="1:28" ht="12.6" customHeight="1" x14ac:dyDescent="0.3">
      <c r="A2832" s="667"/>
      <c r="B2832" s="668" t="s">
        <v>9675</v>
      </c>
      <c r="C2832" s="160" t="s">
        <v>9676</v>
      </c>
      <c r="D2832" s="160"/>
      <c r="E2832" s="439"/>
      <c r="F2832" s="161">
        <v>293.99384742400002</v>
      </c>
      <c r="G2832" s="161"/>
      <c r="H2832" s="654"/>
      <c r="I2832" s="654"/>
      <c r="J2832" s="191"/>
      <c r="K2832" s="191">
        <v>424.30680792703401</v>
      </c>
      <c r="L2832" s="191"/>
      <c r="M2832" s="191"/>
      <c r="N2832" s="191"/>
      <c r="O2832" s="191"/>
      <c r="P2832" s="191"/>
      <c r="Q2832" s="191"/>
      <c r="R2832" s="191"/>
      <c r="S2832" s="191"/>
      <c r="T2832" s="191"/>
      <c r="U2832" s="439"/>
      <c r="V2832" s="441"/>
      <c r="W2832" s="178"/>
      <c r="X2832" s="172"/>
      <c r="Y2832" s="172"/>
      <c r="Z2832" s="172"/>
      <c r="AA2832" s="195"/>
      <c r="AB2832" s="172"/>
    </row>
    <row r="2833" spans="1:28" ht="12.6" customHeight="1" x14ac:dyDescent="0.3">
      <c r="A2833" s="667"/>
      <c r="B2833" s="668" t="s">
        <v>9677</v>
      </c>
      <c r="C2833" s="160" t="s">
        <v>9678</v>
      </c>
      <c r="D2833" s="160"/>
      <c r="E2833" s="439"/>
      <c r="F2833" s="161">
        <v>509.97598734799999</v>
      </c>
      <c r="G2833" s="161"/>
      <c r="H2833" s="654"/>
      <c r="I2833" s="654"/>
      <c r="J2833" s="191"/>
      <c r="K2833" s="191">
        <v>44021.009735837702</v>
      </c>
      <c r="L2833" s="191"/>
      <c r="M2833" s="191"/>
      <c r="N2833" s="191"/>
      <c r="O2833" s="191"/>
      <c r="P2833" s="191"/>
      <c r="Q2833" s="191"/>
      <c r="R2833" s="191"/>
      <c r="S2833" s="191"/>
      <c r="T2833" s="191"/>
      <c r="U2833" s="439"/>
      <c r="V2833" s="441"/>
      <c r="W2833" s="178"/>
      <c r="X2833" s="172"/>
      <c r="Y2833" s="172"/>
      <c r="Z2833" s="172"/>
      <c r="AA2833" s="195"/>
      <c r="AB2833" s="172"/>
    </row>
    <row r="2834" spans="1:28" ht="12.6" customHeight="1" x14ac:dyDescent="0.3">
      <c r="A2834" s="667"/>
      <c r="B2834" s="668" t="s">
        <v>9679</v>
      </c>
      <c r="C2834" s="160" t="s">
        <v>9680</v>
      </c>
      <c r="D2834" s="160"/>
      <c r="E2834" s="439"/>
      <c r="F2834" s="161">
        <v>675.961320946</v>
      </c>
      <c r="G2834" s="161"/>
      <c r="H2834" s="654"/>
      <c r="I2834" s="654"/>
      <c r="J2834" s="191"/>
      <c r="K2834" s="191">
        <v>78386.270163381996</v>
      </c>
      <c r="L2834" s="191"/>
      <c r="M2834" s="191"/>
      <c r="N2834" s="191"/>
      <c r="O2834" s="191"/>
      <c r="P2834" s="191"/>
      <c r="Q2834" s="191"/>
      <c r="R2834" s="191"/>
      <c r="S2834" s="191"/>
      <c r="T2834" s="191"/>
      <c r="U2834" s="439"/>
      <c r="V2834" s="441"/>
      <c r="W2834" s="178"/>
      <c r="X2834" s="172"/>
      <c r="Y2834" s="172"/>
      <c r="Z2834" s="172"/>
      <c r="AA2834" s="195"/>
      <c r="AB2834" s="172"/>
    </row>
    <row r="2835" spans="1:28" ht="12.6" customHeight="1" x14ac:dyDescent="0.3">
      <c r="A2835" s="667"/>
      <c r="B2835" s="668" t="s">
        <v>9681</v>
      </c>
      <c r="C2835" s="160" t="s">
        <v>9682</v>
      </c>
      <c r="D2835" s="160"/>
      <c r="E2835" s="439"/>
      <c r="F2835" s="161">
        <v>841.94665454400001</v>
      </c>
      <c r="G2835" s="161"/>
      <c r="H2835" s="654"/>
      <c r="I2835" s="654"/>
      <c r="J2835" s="191"/>
      <c r="K2835" s="191">
        <v>267836.64731405501</v>
      </c>
      <c r="L2835" s="191"/>
      <c r="M2835" s="191"/>
      <c r="N2835" s="191"/>
      <c r="O2835" s="191"/>
      <c r="P2835" s="191"/>
      <c r="Q2835" s="191"/>
      <c r="R2835" s="191"/>
      <c r="S2835" s="191"/>
      <c r="T2835" s="191"/>
      <c r="U2835" s="439"/>
      <c r="V2835" s="441"/>
      <c r="W2835" s="178"/>
      <c r="X2835" s="172"/>
      <c r="Y2835" s="172"/>
      <c r="Z2835" s="172"/>
      <c r="AA2835" s="195"/>
      <c r="AB2835" s="172"/>
    </row>
    <row r="2836" spans="1:28" ht="12.6" customHeight="1" x14ac:dyDescent="0.3">
      <c r="A2836" s="667"/>
      <c r="B2836" s="668" t="s">
        <v>9683</v>
      </c>
      <c r="C2836" s="160" t="s">
        <v>9684</v>
      </c>
      <c r="D2836" s="160"/>
      <c r="E2836" s="439"/>
      <c r="F2836" s="161">
        <v>527.982964434</v>
      </c>
      <c r="G2836" s="161"/>
      <c r="H2836" s="654"/>
      <c r="I2836" s="654"/>
      <c r="J2836" s="191"/>
      <c r="K2836" s="191">
        <v>110986.460139619</v>
      </c>
      <c r="L2836" s="191"/>
      <c r="M2836" s="191"/>
      <c r="N2836" s="191"/>
      <c r="O2836" s="191"/>
      <c r="P2836" s="191"/>
      <c r="Q2836" s="191"/>
      <c r="R2836" s="191"/>
      <c r="S2836" s="191"/>
      <c r="T2836" s="191"/>
      <c r="U2836" s="439"/>
      <c r="V2836" s="441"/>
      <c r="W2836" s="178"/>
      <c r="X2836" s="172"/>
      <c r="Y2836" s="172"/>
      <c r="Z2836" s="172"/>
      <c r="AA2836" s="195"/>
      <c r="AB2836" s="172"/>
    </row>
    <row r="2837" spans="1:28" ht="12.6" customHeight="1" x14ac:dyDescent="0.3">
      <c r="A2837" s="667"/>
      <c r="B2837" s="668" t="s">
        <v>9685</v>
      </c>
      <c r="C2837" s="160" t="s">
        <v>9686</v>
      </c>
      <c r="D2837" s="160"/>
      <c r="E2837" s="439"/>
      <c r="F2837" s="161">
        <v>388.01686849800001</v>
      </c>
      <c r="G2837" s="161"/>
      <c r="H2837" s="654"/>
      <c r="I2837" s="654"/>
      <c r="J2837" s="191"/>
      <c r="K2837" s="191">
        <v>2737.97828873758</v>
      </c>
      <c r="L2837" s="191"/>
      <c r="M2837" s="191"/>
      <c r="N2837" s="191"/>
      <c r="O2837" s="191"/>
      <c r="P2837" s="191"/>
      <c r="Q2837" s="191"/>
      <c r="R2837" s="191"/>
      <c r="S2837" s="191"/>
      <c r="T2837" s="191"/>
      <c r="U2837" s="439"/>
      <c r="V2837" s="441"/>
      <c r="W2837" s="178"/>
      <c r="X2837" s="172"/>
      <c r="Y2837" s="172"/>
      <c r="Z2837" s="172"/>
      <c r="AA2837" s="195"/>
      <c r="AB2837" s="172"/>
    </row>
    <row r="2838" spans="1:28" ht="12.6" customHeight="1" x14ac:dyDescent="0.3">
      <c r="A2838" s="667"/>
      <c r="B2838" s="668" t="s">
        <v>9687</v>
      </c>
      <c r="C2838" s="160" t="s">
        <v>9688</v>
      </c>
      <c r="D2838" s="160"/>
      <c r="E2838" s="439"/>
      <c r="F2838" s="161">
        <v>387.99688194499998</v>
      </c>
      <c r="G2838" s="161">
        <v>-88.727000000000004</v>
      </c>
      <c r="H2838" s="654">
        <v>150.28055839999999</v>
      </c>
      <c r="I2838" s="654">
        <v>5.2580949444304403</v>
      </c>
      <c r="J2838" s="191"/>
      <c r="K2838" s="191">
        <v>1911.21700111831</v>
      </c>
      <c r="L2838" s="191"/>
      <c r="M2838" s="191"/>
      <c r="N2838" s="191"/>
      <c r="O2838" s="191"/>
      <c r="P2838" s="191"/>
      <c r="Q2838" s="191"/>
      <c r="R2838" s="191"/>
      <c r="S2838" s="191"/>
      <c r="T2838" s="191"/>
      <c r="U2838" s="439"/>
      <c r="V2838" s="441"/>
      <c r="W2838" s="178"/>
      <c r="X2838" s="172"/>
      <c r="Y2838" s="172"/>
      <c r="Z2838" s="172"/>
      <c r="AA2838" s="195"/>
      <c r="AB2838" s="172"/>
    </row>
    <row r="2839" spans="1:28" ht="12.6" customHeight="1" x14ac:dyDescent="0.3">
      <c r="A2839" s="667"/>
      <c r="B2839" s="668" t="s">
        <v>9689</v>
      </c>
      <c r="C2839" s="160" t="s">
        <v>9690</v>
      </c>
      <c r="D2839" s="160"/>
      <c r="E2839" s="439"/>
      <c r="F2839" s="161">
        <v>231.977054544</v>
      </c>
      <c r="G2839" s="161">
        <v>-87.046000000000006</v>
      </c>
      <c r="H2839" s="654">
        <v>31110.155412</v>
      </c>
      <c r="I2839" s="654"/>
      <c r="J2839" s="191"/>
      <c r="K2839" s="191">
        <v>85.887507604202995</v>
      </c>
      <c r="L2839" s="191"/>
      <c r="M2839" s="191"/>
      <c r="N2839" s="191"/>
      <c r="O2839" s="191"/>
      <c r="P2839" s="191"/>
      <c r="Q2839" s="191"/>
      <c r="R2839" s="191"/>
      <c r="S2839" s="191"/>
      <c r="T2839" s="191"/>
      <c r="U2839" s="439"/>
      <c r="V2839" s="441"/>
      <c r="W2839" s="178"/>
      <c r="X2839" s="172"/>
      <c r="Y2839" s="172"/>
      <c r="Z2839" s="172"/>
      <c r="AA2839" s="195"/>
      <c r="AB2839" s="172"/>
    </row>
    <row r="2840" spans="1:28" ht="12.6" customHeight="1" x14ac:dyDescent="0.3">
      <c r="A2840" s="667"/>
      <c r="B2840" s="668" t="s">
        <v>9691</v>
      </c>
      <c r="C2840" s="160" t="s">
        <v>9692</v>
      </c>
      <c r="D2840" s="160"/>
      <c r="E2840" s="439"/>
      <c r="F2840" s="161">
        <v>447.95919446800002</v>
      </c>
      <c r="G2840" s="161"/>
      <c r="H2840" s="654"/>
      <c r="I2840" s="654"/>
      <c r="J2840" s="191"/>
      <c r="K2840" s="191">
        <v>28005.2852134153</v>
      </c>
      <c r="L2840" s="191"/>
      <c r="M2840" s="191"/>
      <c r="N2840" s="191"/>
      <c r="O2840" s="191"/>
      <c r="P2840" s="191"/>
      <c r="Q2840" s="191"/>
      <c r="R2840" s="191"/>
      <c r="S2840" s="191"/>
      <c r="T2840" s="191"/>
      <c r="U2840" s="439"/>
      <c r="V2840" s="441"/>
      <c r="W2840" s="178"/>
      <c r="X2840" s="172"/>
      <c r="Y2840" s="172"/>
      <c r="Z2840" s="172"/>
      <c r="AA2840" s="195"/>
      <c r="AB2840" s="172"/>
    </row>
    <row r="2841" spans="1:28" ht="12.6" customHeight="1" x14ac:dyDescent="0.3">
      <c r="A2841" s="667"/>
      <c r="B2841" s="668" t="s">
        <v>9693</v>
      </c>
      <c r="C2841" s="160" t="s">
        <v>9694</v>
      </c>
      <c r="D2841" s="160"/>
      <c r="E2841" s="439"/>
      <c r="F2841" s="161">
        <v>497.95600079399998</v>
      </c>
      <c r="G2841" s="161"/>
      <c r="H2841" s="654"/>
      <c r="I2841" s="654"/>
      <c r="J2841" s="191"/>
      <c r="K2841" s="191">
        <v>39335.076578390202</v>
      </c>
      <c r="L2841" s="191"/>
      <c r="M2841" s="191"/>
      <c r="N2841" s="191"/>
      <c r="O2841" s="191"/>
      <c r="P2841" s="191"/>
      <c r="Q2841" s="191"/>
      <c r="R2841" s="191"/>
      <c r="S2841" s="191"/>
      <c r="T2841" s="191"/>
      <c r="U2841" s="439"/>
      <c r="V2841" s="441"/>
      <c r="W2841" s="178"/>
      <c r="X2841" s="172"/>
      <c r="Y2841" s="172"/>
      <c r="Z2841" s="172"/>
      <c r="AA2841" s="195"/>
      <c r="AB2841" s="172"/>
    </row>
    <row r="2842" spans="1:28" ht="12.6" customHeight="1" x14ac:dyDescent="0.3">
      <c r="A2842" s="667"/>
      <c r="B2842" s="668" t="s">
        <v>9695</v>
      </c>
      <c r="C2842" s="160" t="s">
        <v>9696</v>
      </c>
      <c r="D2842" s="160"/>
      <c r="E2842" s="439"/>
      <c r="F2842" s="161">
        <v>331.97066719600002</v>
      </c>
      <c r="G2842" s="161">
        <v>-106.681</v>
      </c>
      <c r="H2842" s="654">
        <v>2420.4875744000001</v>
      </c>
      <c r="I2842" s="654"/>
      <c r="J2842" s="191"/>
      <c r="K2842" s="191">
        <v>2355.2119705561699</v>
      </c>
      <c r="L2842" s="191"/>
      <c r="M2842" s="191"/>
      <c r="N2842" s="191"/>
      <c r="O2842" s="191"/>
      <c r="P2842" s="191"/>
      <c r="Q2842" s="191"/>
      <c r="R2842" s="191"/>
      <c r="S2842" s="191"/>
      <c r="T2842" s="191"/>
      <c r="U2842" s="439"/>
      <c r="V2842" s="441"/>
      <c r="W2842" s="178"/>
      <c r="X2842" s="172"/>
      <c r="Y2842" s="172"/>
      <c r="Z2842" s="172"/>
      <c r="AA2842" s="195"/>
      <c r="AB2842" s="172"/>
    </row>
    <row r="2843" spans="1:28" ht="12.6" customHeight="1" x14ac:dyDescent="0.3">
      <c r="A2843" s="667"/>
      <c r="B2843" s="668" t="s">
        <v>9697</v>
      </c>
      <c r="C2843" s="160" t="s">
        <v>9698</v>
      </c>
      <c r="D2843" s="160"/>
      <c r="E2843" s="439"/>
      <c r="F2843" s="161">
        <v>397.96238814200001</v>
      </c>
      <c r="G2843" s="161"/>
      <c r="H2843" s="654"/>
      <c r="I2843" s="654"/>
      <c r="J2843" s="191"/>
      <c r="K2843" s="191">
        <v>2124.6138096714699</v>
      </c>
      <c r="L2843" s="191"/>
      <c r="M2843" s="191"/>
      <c r="N2843" s="191"/>
      <c r="O2843" s="191"/>
      <c r="P2843" s="191"/>
      <c r="Q2843" s="191"/>
      <c r="R2843" s="191"/>
      <c r="S2843" s="191"/>
      <c r="T2843" s="191"/>
      <c r="U2843" s="439"/>
      <c r="V2843" s="441"/>
      <c r="W2843" s="178"/>
      <c r="X2843" s="172"/>
      <c r="Y2843" s="172"/>
      <c r="Z2843" s="172"/>
      <c r="AA2843" s="195"/>
      <c r="AB2843" s="172"/>
    </row>
    <row r="2844" spans="1:28" ht="12.6" customHeight="1" x14ac:dyDescent="0.3">
      <c r="A2844" s="667"/>
      <c r="B2844" s="668" t="s">
        <v>9699</v>
      </c>
      <c r="C2844" s="160" t="s">
        <v>9700</v>
      </c>
      <c r="D2844" s="160"/>
      <c r="E2844" s="439"/>
      <c r="F2844" s="161">
        <v>281.97386087000001</v>
      </c>
      <c r="G2844" s="161">
        <v>-107.048</v>
      </c>
      <c r="H2844" s="654">
        <v>12909.275951600001</v>
      </c>
      <c r="I2844" s="654"/>
      <c r="J2844" s="191"/>
      <c r="K2844" s="191">
        <v>572.59822840674894</v>
      </c>
      <c r="L2844" s="191"/>
      <c r="M2844" s="191"/>
      <c r="N2844" s="191"/>
      <c r="O2844" s="191"/>
      <c r="P2844" s="191"/>
      <c r="Q2844" s="191"/>
      <c r="R2844" s="191"/>
      <c r="S2844" s="191"/>
      <c r="T2844" s="191"/>
      <c r="U2844" s="439"/>
      <c r="V2844" s="441"/>
      <c r="W2844" s="178"/>
      <c r="X2844" s="172"/>
      <c r="Y2844" s="172"/>
      <c r="Z2844" s="172"/>
      <c r="AA2844" s="195"/>
      <c r="AB2844" s="172"/>
    </row>
    <row r="2845" spans="1:28" ht="12.6" customHeight="1" x14ac:dyDescent="0.3">
      <c r="A2845" s="667"/>
      <c r="B2845" s="668" t="s">
        <v>9701</v>
      </c>
      <c r="C2845" s="160" t="s">
        <v>9702</v>
      </c>
      <c r="D2845" s="160"/>
      <c r="E2845" s="439"/>
      <c r="F2845" s="161">
        <v>425.95730276199998</v>
      </c>
      <c r="G2845" s="161"/>
      <c r="H2845" s="654"/>
      <c r="I2845" s="654"/>
      <c r="J2845" s="191"/>
      <c r="K2845" s="191">
        <v>11946.206015514201</v>
      </c>
      <c r="L2845" s="191"/>
      <c r="M2845" s="191"/>
      <c r="N2845" s="191"/>
      <c r="O2845" s="191"/>
      <c r="P2845" s="191"/>
      <c r="Q2845" s="191"/>
      <c r="R2845" s="191"/>
      <c r="S2845" s="191"/>
      <c r="T2845" s="191"/>
      <c r="U2845" s="439"/>
      <c r="V2845" s="441"/>
      <c r="W2845" s="178"/>
      <c r="X2845" s="172"/>
      <c r="Y2845" s="172"/>
      <c r="Z2845" s="172"/>
      <c r="AA2845" s="195"/>
      <c r="AB2845" s="172"/>
    </row>
    <row r="2846" spans="1:28" ht="12.6" customHeight="1" x14ac:dyDescent="0.3">
      <c r="A2846" s="667"/>
      <c r="B2846" s="668" t="s">
        <v>9703</v>
      </c>
      <c r="C2846" s="160" t="s">
        <v>9704</v>
      </c>
      <c r="D2846" s="160"/>
      <c r="E2846" s="439"/>
      <c r="F2846" s="161">
        <v>361.9062108</v>
      </c>
      <c r="G2846" s="161"/>
      <c r="H2846" s="654"/>
      <c r="I2846" s="654"/>
      <c r="J2846" s="191"/>
      <c r="K2846" s="191">
        <v>9310.2212121245902</v>
      </c>
      <c r="L2846" s="191"/>
      <c r="M2846" s="191"/>
      <c r="N2846" s="191"/>
      <c r="O2846" s="191"/>
      <c r="P2846" s="191"/>
      <c r="Q2846" s="191"/>
      <c r="R2846" s="191"/>
      <c r="S2846" s="191"/>
      <c r="T2846" s="191"/>
      <c r="U2846" s="439"/>
      <c r="V2846" s="441"/>
      <c r="W2846" s="178"/>
      <c r="X2846" s="172"/>
      <c r="Y2846" s="172"/>
      <c r="Z2846" s="172"/>
      <c r="AA2846" s="195"/>
      <c r="AB2846" s="172"/>
    </row>
    <row r="2847" spans="1:28" ht="12.6" customHeight="1" x14ac:dyDescent="0.3">
      <c r="A2847" s="667"/>
      <c r="B2847" s="668" t="s">
        <v>9705</v>
      </c>
      <c r="C2847" s="160" t="s">
        <v>9706</v>
      </c>
      <c r="D2847" s="160"/>
      <c r="E2847" s="439"/>
      <c r="F2847" s="161">
        <v>345.93576128400002</v>
      </c>
      <c r="G2847" s="161"/>
      <c r="H2847" s="654"/>
      <c r="I2847" s="654"/>
      <c r="J2847" s="191"/>
      <c r="K2847" s="191">
        <v>8567.2215897484803</v>
      </c>
      <c r="L2847" s="191"/>
      <c r="M2847" s="191"/>
      <c r="N2847" s="191"/>
      <c r="O2847" s="191"/>
      <c r="P2847" s="191"/>
      <c r="Q2847" s="191"/>
      <c r="R2847" s="191"/>
      <c r="S2847" s="191"/>
      <c r="T2847" s="191"/>
      <c r="U2847" s="439"/>
      <c r="V2847" s="441"/>
      <c r="W2847" s="178"/>
      <c r="X2847" s="172"/>
      <c r="Y2847" s="172"/>
      <c r="Z2847" s="172"/>
      <c r="AA2847" s="195"/>
      <c r="AB2847" s="172"/>
    </row>
    <row r="2848" spans="1:28" ht="12.6" customHeight="1" x14ac:dyDescent="0.3">
      <c r="A2848" s="667"/>
      <c r="B2848" s="668" t="s">
        <v>9707</v>
      </c>
      <c r="C2848" s="160" t="s">
        <v>9708</v>
      </c>
      <c r="D2848" s="160"/>
      <c r="E2848" s="439"/>
      <c r="F2848" s="161">
        <v>497.95600079399998</v>
      </c>
      <c r="G2848" s="161">
        <v>-101.873</v>
      </c>
      <c r="H2848" s="654">
        <v>1153.1926369600001</v>
      </c>
      <c r="I2848" s="654"/>
      <c r="J2848" s="191"/>
      <c r="K2848" s="191">
        <v>39355.007545577697</v>
      </c>
      <c r="L2848" s="191"/>
      <c r="M2848" s="191"/>
      <c r="N2848" s="191"/>
      <c r="O2848" s="191"/>
      <c r="P2848" s="191"/>
      <c r="Q2848" s="191"/>
      <c r="R2848" s="191"/>
      <c r="S2848" s="191"/>
      <c r="T2848" s="191"/>
      <c r="U2848" s="439"/>
      <c r="V2848" s="441"/>
      <c r="W2848" s="178"/>
      <c r="X2848" s="172"/>
      <c r="Y2848" s="172"/>
      <c r="Z2848" s="172"/>
      <c r="AA2848" s="195"/>
      <c r="AB2848" s="172"/>
    </row>
    <row r="2849" spans="1:28" ht="12.6" customHeight="1" x14ac:dyDescent="0.3">
      <c r="A2849" s="667"/>
      <c r="B2849" s="668" t="s">
        <v>9709</v>
      </c>
      <c r="C2849" s="160" t="s">
        <v>9710</v>
      </c>
      <c r="D2849" s="160"/>
      <c r="E2849" s="439"/>
      <c r="F2849" s="161">
        <v>511.92109488199998</v>
      </c>
      <c r="G2849" s="161">
        <v>-46.148000000000003</v>
      </c>
      <c r="H2849" s="654">
        <v>4.8406285116000003</v>
      </c>
      <c r="I2849" s="654"/>
      <c r="J2849" s="191"/>
      <c r="K2849" s="191">
        <v>1262001.8745496301</v>
      </c>
      <c r="L2849" s="191"/>
      <c r="M2849" s="191"/>
      <c r="N2849" s="191"/>
      <c r="O2849" s="191"/>
      <c r="P2849" s="191"/>
      <c r="Q2849" s="191"/>
      <c r="R2849" s="191"/>
      <c r="S2849" s="191"/>
      <c r="T2849" s="191"/>
      <c r="U2849" s="439"/>
      <c r="V2849" s="441"/>
      <c r="W2849" s="178"/>
      <c r="X2849" s="172"/>
      <c r="Y2849" s="172"/>
      <c r="Z2849" s="172"/>
      <c r="AA2849" s="195"/>
      <c r="AB2849" s="172"/>
    </row>
    <row r="2850" spans="1:28" ht="12.6" customHeight="1" x14ac:dyDescent="0.3">
      <c r="A2850" s="667"/>
      <c r="B2850" s="668" t="s">
        <v>9711</v>
      </c>
      <c r="C2850" s="160" t="s">
        <v>9712</v>
      </c>
      <c r="D2850" s="160"/>
      <c r="E2850" s="439"/>
      <c r="F2850" s="161">
        <v>663.94133439200004</v>
      </c>
      <c r="G2850" s="161"/>
      <c r="H2850" s="654"/>
      <c r="I2850" s="654"/>
      <c r="J2850" s="191"/>
      <c r="K2850" s="191">
        <v>241974.72223494301</v>
      </c>
      <c r="L2850" s="191"/>
      <c r="M2850" s="191"/>
      <c r="N2850" s="191"/>
      <c r="O2850" s="191"/>
      <c r="P2850" s="191"/>
      <c r="Q2850" s="191"/>
      <c r="R2850" s="191"/>
      <c r="S2850" s="191"/>
      <c r="T2850" s="191"/>
      <c r="U2850" s="439"/>
      <c r="V2850" s="441"/>
      <c r="W2850" s="178"/>
      <c r="X2850" s="172"/>
      <c r="Y2850" s="172"/>
      <c r="Z2850" s="172"/>
      <c r="AA2850" s="195"/>
      <c r="AB2850" s="172"/>
    </row>
    <row r="2851" spans="1:28" ht="12.6" customHeight="1" x14ac:dyDescent="0.3">
      <c r="A2851" s="667"/>
      <c r="B2851" s="668" t="s">
        <v>9713</v>
      </c>
      <c r="C2851" s="160" t="s">
        <v>9714</v>
      </c>
      <c r="D2851" s="160"/>
      <c r="E2851" s="439"/>
      <c r="F2851" s="161">
        <v>829.92666799000006</v>
      </c>
      <c r="G2851" s="161"/>
      <c r="H2851" s="654"/>
      <c r="I2851" s="654"/>
      <c r="J2851" s="191"/>
      <c r="K2851" s="191">
        <v>268003.21258663101</v>
      </c>
      <c r="L2851" s="191"/>
      <c r="M2851" s="191"/>
      <c r="N2851" s="191"/>
      <c r="O2851" s="191"/>
      <c r="P2851" s="191"/>
      <c r="Q2851" s="191"/>
      <c r="R2851" s="191"/>
      <c r="S2851" s="191"/>
      <c r="T2851" s="191"/>
      <c r="U2851" s="439"/>
      <c r="V2851" s="441"/>
      <c r="W2851" s="178"/>
      <c r="X2851" s="172"/>
      <c r="Y2851" s="172"/>
      <c r="Z2851" s="172"/>
      <c r="AA2851" s="195"/>
      <c r="AB2851" s="172"/>
    </row>
    <row r="2852" spans="1:28" ht="12.6" customHeight="1" x14ac:dyDescent="0.3">
      <c r="A2852" s="667"/>
      <c r="B2852" s="668" t="s">
        <v>9715</v>
      </c>
      <c r="C2852" s="160" t="s">
        <v>9716</v>
      </c>
      <c r="D2852" s="160"/>
      <c r="E2852" s="439"/>
      <c r="F2852" s="161">
        <v>495.95919446800002</v>
      </c>
      <c r="G2852" s="161"/>
      <c r="H2852" s="654"/>
      <c r="I2852" s="654"/>
      <c r="J2852" s="191"/>
      <c r="K2852" s="191">
        <v>61543.189503256901</v>
      </c>
      <c r="L2852" s="191"/>
      <c r="M2852" s="191"/>
      <c r="N2852" s="191"/>
      <c r="O2852" s="191"/>
      <c r="P2852" s="191"/>
      <c r="Q2852" s="191"/>
      <c r="R2852" s="191"/>
      <c r="S2852" s="191"/>
      <c r="T2852" s="191"/>
      <c r="U2852" s="439"/>
      <c r="V2852" s="441"/>
      <c r="W2852" s="178"/>
      <c r="X2852" s="172"/>
      <c r="Y2852" s="172"/>
      <c r="Z2852" s="172"/>
      <c r="AA2852" s="195"/>
      <c r="AB2852" s="172"/>
    </row>
    <row r="2853" spans="1:28" ht="12.6" customHeight="1" x14ac:dyDescent="0.3">
      <c r="A2853" s="667"/>
      <c r="B2853" s="668" t="s">
        <v>9717</v>
      </c>
      <c r="C2853" s="160" t="s">
        <v>9718</v>
      </c>
      <c r="D2853" s="160"/>
      <c r="E2853" s="439"/>
      <c r="F2853" s="161">
        <v>231.977054544</v>
      </c>
      <c r="G2853" s="161">
        <v>-91.930999999999997</v>
      </c>
      <c r="H2853" s="654">
        <v>86079.882587999993</v>
      </c>
      <c r="I2853" s="654"/>
      <c r="J2853" s="191"/>
      <c r="K2853" s="191">
        <v>85.359133929136505</v>
      </c>
      <c r="L2853" s="191"/>
      <c r="M2853" s="191"/>
      <c r="N2853" s="191"/>
      <c r="O2853" s="191"/>
      <c r="P2853" s="191"/>
      <c r="Q2853" s="191"/>
      <c r="R2853" s="191"/>
      <c r="S2853" s="191"/>
      <c r="T2853" s="191"/>
      <c r="U2853" s="439"/>
      <c r="V2853" s="441"/>
      <c r="W2853" s="178"/>
      <c r="X2853" s="172"/>
      <c r="Y2853" s="172"/>
      <c r="Z2853" s="172"/>
      <c r="AA2853" s="195"/>
      <c r="AB2853" s="172"/>
    </row>
    <row r="2854" spans="1:28" ht="12.6" customHeight="1" x14ac:dyDescent="0.3">
      <c r="A2854" s="667"/>
      <c r="B2854" s="668" t="s">
        <v>9719</v>
      </c>
      <c r="C2854" s="160" t="s">
        <v>9720</v>
      </c>
      <c r="D2854" s="160"/>
      <c r="E2854" s="439">
        <v>-1.44</v>
      </c>
      <c r="F2854" s="161">
        <v>362.99646740600002</v>
      </c>
      <c r="G2854" s="161"/>
      <c r="H2854" s="654"/>
      <c r="I2854" s="654"/>
      <c r="J2854" s="191"/>
      <c r="K2854" s="191">
        <v>165.20759156487699</v>
      </c>
      <c r="L2854" s="191"/>
      <c r="M2854" s="191"/>
      <c r="N2854" s="191"/>
      <c r="O2854" s="191"/>
      <c r="P2854" s="191"/>
      <c r="Q2854" s="191"/>
      <c r="R2854" s="191"/>
      <c r="S2854" s="191"/>
      <c r="T2854" s="191"/>
      <c r="U2854" s="439"/>
      <c r="V2854" s="441"/>
      <c r="W2854" s="178"/>
      <c r="X2854" s="172"/>
      <c r="Y2854" s="172"/>
      <c r="Z2854" s="172"/>
      <c r="AA2854" s="195"/>
      <c r="AB2854" s="172"/>
    </row>
    <row r="2855" spans="1:28" ht="12.6" customHeight="1" x14ac:dyDescent="0.3">
      <c r="A2855" s="667"/>
      <c r="B2855" s="668" t="s">
        <v>9721</v>
      </c>
      <c r="C2855" s="160" t="s">
        <v>9722</v>
      </c>
      <c r="D2855" s="160"/>
      <c r="E2855" s="439"/>
      <c r="F2855" s="161">
        <v>349.88174570000001</v>
      </c>
      <c r="G2855" s="161"/>
      <c r="H2855" s="654"/>
      <c r="I2855" s="654"/>
      <c r="J2855" s="191"/>
      <c r="K2855" s="191">
        <v>2182.9309579556498</v>
      </c>
      <c r="L2855" s="191"/>
      <c r="M2855" s="191"/>
      <c r="N2855" s="191"/>
      <c r="O2855" s="191"/>
      <c r="P2855" s="191"/>
      <c r="Q2855" s="191"/>
      <c r="R2855" s="191"/>
      <c r="S2855" s="191"/>
      <c r="T2855" s="191"/>
      <c r="U2855" s="439"/>
      <c r="V2855" s="441"/>
      <c r="W2855" s="178"/>
      <c r="X2855" s="172"/>
      <c r="Y2855" s="172"/>
      <c r="Z2855" s="172"/>
      <c r="AA2855" s="195"/>
      <c r="AB2855" s="172"/>
    </row>
    <row r="2856" spans="1:28" ht="12.6" customHeight="1" x14ac:dyDescent="0.3">
      <c r="A2856" s="667"/>
      <c r="B2856" s="668" t="s">
        <v>9723</v>
      </c>
      <c r="C2856" s="160" t="s">
        <v>9724</v>
      </c>
      <c r="D2856" s="160"/>
      <c r="E2856" s="439"/>
      <c r="F2856" s="161">
        <v>633.89213419999999</v>
      </c>
      <c r="G2856" s="161">
        <v>10.805</v>
      </c>
      <c r="H2856" s="654">
        <v>1.9856445391999999</v>
      </c>
      <c r="I2856" s="654"/>
      <c r="J2856" s="191"/>
      <c r="K2856" s="191">
        <v>287051.61855378398</v>
      </c>
      <c r="L2856" s="191"/>
      <c r="M2856" s="191"/>
      <c r="N2856" s="191"/>
      <c r="O2856" s="191"/>
      <c r="P2856" s="191"/>
      <c r="Q2856" s="191"/>
      <c r="R2856" s="191"/>
      <c r="S2856" s="191"/>
      <c r="T2856" s="191"/>
      <c r="U2856" s="439"/>
      <c r="V2856" s="441"/>
      <c r="W2856" s="178"/>
      <c r="X2856" s="172"/>
      <c r="Y2856" s="172"/>
      <c r="Z2856" s="172"/>
      <c r="AA2856" s="195"/>
      <c r="AB2856" s="172"/>
    </row>
    <row r="2857" spans="1:28" ht="12.6" customHeight="1" x14ac:dyDescent="0.3">
      <c r="A2857" s="667"/>
      <c r="B2857" s="668" t="s">
        <v>9725</v>
      </c>
      <c r="C2857" s="160" t="s">
        <v>9726</v>
      </c>
      <c r="D2857" s="160"/>
      <c r="E2857" s="439">
        <v>1.58</v>
      </c>
      <c r="F2857" s="161">
        <v>531.90285800000004</v>
      </c>
      <c r="G2857" s="161"/>
      <c r="H2857" s="654"/>
      <c r="I2857" s="654"/>
      <c r="J2857" s="191"/>
      <c r="K2857" s="191">
        <v>234849.694729568</v>
      </c>
      <c r="L2857" s="191"/>
      <c r="M2857" s="191"/>
      <c r="N2857" s="191"/>
      <c r="O2857" s="191"/>
      <c r="P2857" s="191"/>
      <c r="Q2857" s="191"/>
      <c r="R2857" s="191"/>
      <c r="S2857" s="191"/>
      <c r="T2857" s="191"/>
      <c r="U2857" s="439"/>
      <c r="V2857" s="441"/>
      <c r="W2857" s="178"/>
      <c r="X2857" s="172"/>
      <c r="Y2857" s="172"/>
      <c r="Z2857" s="172"/>
      <c r="AA2857" s="195"/>
      <c r="AB2857" s="172"/>
    </row>
    <row r="2858" spans="1:28" ht="12.6" customHeight="1" x14ac:dyDescent="0.3">
      <c r="A2858" s="667"/>
      <c r="B2858" s="668" t="s">
        <v>9727</v>
      </c>
      <c r="C2858" s="160" t="s">
        <v>9728</v>
      </c>
      <c r="D2858" s="160"/>
      <c r="E2858" s="439"/>
      <c r="F2858" s="161">
        <v>471.99557997699998</v>
      </c>
      <c r="G2858" s="161"/>
      <c r="H2858" s="654"/>
      <c r="I2858" s="654"/>
      <c r="J2858" s="191"/>
      <c r="K2858" s="191">
        <v>108872.952347115</v>
      </c>
      <c r="L2858" s="191"/>
      <c r="M2858" s="191"/>
      <c r="N2858" s="191"/>
      <c r="O2858" s="191"/>
      <c r="P2858" s="191"/>
      <c r="Q2858" s="191"/>
      <c r="R2858" s="191"/>
      <c r="S2858" s="191"/>
      <c r="T2858" s="191"/>
      <c r="U2858" s="439"/>
      <c r="V2858" s="441"/>
      <c r="W2858" s="178"/>
      <c r="X2858" s="172"/>
      <c r="Y2858" s="172"/>
      <c r="Z2858" s="172"/>
      <c r="AA2858" s="195"/>
      <c r="AB2858" s="172"/>
    </row>
    <row r="2859" spans="1:28" ht="12.6" customHeight="1" x14ac:dyDescent="0.3">
      <c r="A2859" s="667"/>
      <c r="B2859" s="668" t="s">
        <v>9729</v>
      </c>
      <c r="C2859" s="160" t="s">
        <v>9730</v>
      </c>
      <c r="D2859" s="160"/>
      <c r="E2859" s="439"/>
      <c r="F2859" s="161">
        <v>503.96297787999998</v>
      </c>
      <c r="G2859" s="161"/>
      <c r="H2859" s="654"/>
      <c r="I2859" s="654"/>
      <c r="J2859" s="191"/>
      <c r="K2859" s="191">
        <v>25423.772870233999</v>
      </c>
      <c r="L2859" s="191"/>
      <c r="M2859" s="191"/>
      <c r="N2859" s="191"/>
      <c r="O2859" s="191"/>
      <c r="P2859" s="191"/>
      <c r="Q2859" s="191"/>
      <c r="R2859" s="191"/>
      <c r="S2859" s="191"/>
      <c r="T2859" s="191"/>
      <c r="U2859" s="439"/>
      <c r="V2859" s="441"/>
      <c r="W2859" s="178"/>
      <c r="X2859" s="172"/>
      <c r="Y2859" s="172"/>
      <c r="Z2859" s="172"/>
      <c r="AA2859" s="195"/>
      <c r="AB2859" s="172"/>
    </row>
    <row r="2860" spans="1:28" ht="12.6" customHeight="1" x14ac:dyDescent="0.3">
      <c r="A2860" s="667"/>
      <c r="B2860" s="668" t="s">
        <v>9731</v>
      </c>
      <c r="C2860" s="160" t="s">
        <v>9732</v>
      </c>
      <c r="D2860" s="160"/>
      <c r="E2860" s="439"/>
      <c r="F2860" s="161">
        <v>415.96936522800002</v>
      </c>
      <c r="G2860" s="161"/>
      <c r="H2860" s="654"/>
      <c r="I2860" s="654"/>
      <c r="J2860" s="191"/>
      <c r="K2860" s="191">
        <v>9949.2421251063697</v>
      </c>
      <c r="L2860" s="191"/>
      <c r="M2860" s="191"/>
      <c r="N2860" s="191"/>
      <c r="O2860" s="191"/>
      <c r="P2860" s="191"/>
      <c r="Q2860" s="191"/>
      <c r="R2860" s="191"/>
      <c r="S2860" s="191"/>
      <c r="T2860" s="191"/>
      <c r="U2860" s="439"/>
      <c r="V2860" s="441"/>
      <c r="W2860" s="178"/>
      <c r="X2860" s="172"/>
      <c r="Y2860" s="172"/>
      <c r="Z2860" s="172"/>
      <c r="AA2860" s="195"/>
      <c r="AB2860" s="172"/>
    </row>
    <row r="2861" spans="1:28" ht="12.6" customHeight="1" x14ac:dyDescent="0.3">
      <c r="A2861" s="667"/>
      <c r="B2861" s="668" t="s">
        <v>9733</v>
      </c>
      <c r="C2861" s="160" t="s">
        <v>9734</v>
      </c>
      <c r="D2861" s="160"/>
      <c r="E2861" s="439">
        <v>7.383</v>
      </c>
      <c r="F2861" s="161">
        <v>453.96617155400003</v>
      </c>
      <c r="G2861" s="161">
        <v>-86.683000000000007</v>
      </c>
      <c r="H2861" s="654">
        <v>972.52799475999996</v>
      </c>
      <c r="I2861" s="654">
        <v>0.84143991796048501</v>
      </c>
      <c r="J2861" s="191"/>
      <c r="K2861" s="191">
        <v>19806.147089717299</v>
      </c>
      <c r="L2861" s="191"/>
      <c r="M2861" s="191"/>
      <c r="N2861" s="191"/>
      <c r="O2861" s="191"/>
      <c r="P2861" s="191"/>
      <c r="Q2861" s="191"/>
      <c r="R2861" s="191"/>
      <c r="S2861" s="191"/>
      <c r="T2861" s="191"/>
      <c r="U2861" s="439"/>
      <c r="V2861" s="441"/>
      <c r="W2861" s="178"/>
      <c r="X2861" s="172"/>
      <c r="Y2861" s="172"/>
      <c r="Z2861" s="172"/>
      <c r="AA2861" s="195"/>
      <c r="AB2861" s="172"/>
    </row>
    <row r="2862" spans="1:28" ht="12.6" customHeight="1" x14ac:dyDescent="0.3">
      <c r="A2862" s="667"/>
      <c r="B2862" s="668" t="s">
        <v>9735</v>
      </c>
      <c r="C2862" s="160" t="s">
        <v>9736</v>
      </c>
      <c r="D2862" s="160"/>
      <c r="E2862" s="439"/>
      <c r="F2862" s="161">
        <v>595.87274200000002</v>
      </c>
      <c r="G2862" s="161">
        <v>-91.126000000000005</v>
      </c>
      <c r="H2862" s="654">
        <v>77.428618008000001</v>
      </c>
      <c r="I2862" s="654"/>
      <c r="J2862" s="191"/>
      <c r="K2862" s="191">
        <v>42646.166680727998</v>
      </c>
      <c r="L2862" s="191"/>
      <c r="M2862" s="191"/>
      <c r="N2862" s="191"/>
      <c r="O2862" s="191"/>
      <c r="P2862" s="191"/>
      <c r="Q2862" s="191"/>
      <c r="R2862" s="191"/>
      <c r="S2862" s="191"/>
      <c r="T2862" s="191"/>
      <c r="U2862" s="439"/>
      <c r="V2862" s="441"/>
      <c r="W2862" s="178"/>
      <c r="X2862" s="172"/>
      <c r="Y2862" s="172"/>
      <c r="Z2862" s="172"/>
      <c r="AA2862" s="195"/>
      <c r="AB2862" s="172"/>
    </row>
    <row r="2863" spans="1:28" ht="12.6" customHeight="1" x14ac:dyDescent="0.3">
      <c r="A2863" s="667"/>
      <c r="B2863" s="668" t="s">
        <v>9737</v>
      </c>
      <c r="C2863" s="160" t="s">
        <v>9738</v>
      </c>
      <c r="D2863" s="160"/>
      <c r="E2863" s="439"/>
      <c r="F2863" s="161">
        <v>415.96936522800002</v>
      </c>
      <c r="G2863" s="161">
        <v>-56.472000000000001</v>
      </c>
      <c r="H2863" s="654">
        <v>408.22663111999998</v>
      </c>
      <c r="I2863" s="654">
        <v>1.56336678319195</v>
      </c>
      <c r="J2863" s="191"/>
      <c r="K2863" s="191">
        <v>10242.5949829656</v>
      </c>
      <c r="L2863" s="191"/>
      <c r="M2863" s="191"/>
      <c r="N2863" s="191"/>
      <c r="O2863" s="191"/>
      <c r="P2863" s="191"/>
      <c r="Q2863" s="191"/>
      <c r="R2863" s="191"/>
      <c r="S2863" s="191"/>
      <c r="T2863" s="191"/>
      <c r="U2863" s="439"/>
      <c r="V2863" s="441"/>
      <c r="W2863" s="178"/>
      <c r="X2863" s="172"/>
      <c r="Y2863" s="172"/>
      <c r="Z2863" s="172"/>
      <c r="AA2863" s="195"/>
      <c r="AB2863" s="172"/>
    </row>
    <row r="2864" spans="1:28" ht="12.6" customHeight="1" x14ac:dyDescent="0.3">
      <c r="A2864" s="667"/>
      <c r="B2864" s="668" t="s">
        <v>9739</v>
      </c>
      <c r="C2864" s="160" t="s">
        <v>9740</v>
      </c>
      <c r="D2864" s="160"/>
      <c r="E2864" s="439"/>
      <c r="F2864" s="161">
        <v>365.972558902</v>
      </c>
      <c r="G2864" s="161">
        <v>-75.760999999999996</v>
      </c>
      <c r="H2864" s="654">
        <v>2843.8249209999999</v>
      </c>
      <c r="I2864" s="654">
        <v>3.4154535448552701</v>
      </c>
      <c r="J2864" s="191"/>
      <c r="K2864" s="191">
        <v>10927.4794893295</v>
      </c>
      <c r="L2864" s="191"/>
      <c r="M2864" s="191"/>
      <c r="N2864" s="191"/>
      <c r="O2864" s="191"/>
      <c r="P2864" s="191"/>
      <c r="Q2864" s="191"/>
      <c r="R2864" s="191"/>
      <c r="S2864" s="191"/>
      <c r="T2864" s="191"/>
      <c r="U2864" s="439"/>
      <c r="V2864" s="441"/>
      <c r="W2864" s="178"/>
      <c r="X2864" s="172"/>
      <c r="Y2864" s="172"/>
      <c r="Z2864" s="172"/>
      <c r="AA2864" s="195"/>
      <c r="AB2864" s="172"/>
    </row>
    <row r="2865" spans="1:28" ht="12.6" customHeight="1" x14ac:dyDescent="0.3">
      <c r="A2865" s="667"/>
      <c r="B2865" s="668" t="s">
        <v>9741</v>
      </c>
      <c r="C2865" s="160" t="s">
        <v>9742</v>
      </c>
      <c r="D2865" s="160"/>
      <c r="E2865" s="439"/>
      <c r="F2865" s="161">
        <v>597.94961344599994</v>
      </c>
      <c r="G2865" s="161">
        <v>-94.747</v>
      </c>
      <c r="H2865" s="654">
        <v>116.654616848</v>
      </c>
      <c r="I2865" s="654">
        <v>0.57499552368503404</v>
      </c>
      <c r="J2865" s="191"/>
      <c r="K2865" s="191">
        <v>213776.518498469</v>
      </c>
      <c r="L2865" s="191"/>
      <c r="M2865" s="191"/>
      <c r="N2865" s="191"/>
      <c r="O2865" s="191"/>
      <c r="P2865" s="191"/>
      <c r="Q2865" s="191"/>
      <c r="R2865" s="191"/>
      <c r="S2865" s="191"/>
      <c r="T2865" s="191"/>
      <c r="U2865" s="439"/>
      <c r="V2865" s="441"/>
      <c r="W2865" s="178"/>
      <c r="X2865" s="172"/>
      <c r="Y2865" s="172"/>
      <c r="Z2865" s="172"/>
      <c r="AA2865" s="195"/>
      <c r="AB2865" s="172"/>
    </row>
    <row r="2866" spans="1:28" ht="12.6" customHeight="1" x14ac:dyDescent="0.3">
      <c r="A2866" s="667"/>
      <c r="B2866" s="668" t="s">
        <v>9743</v>
      </c>
      <c r="C2866" s="160" t="s">
        <v>9744</v>
      </c>
      <c r="D2866" s="160"/>
      <c r="E2866" s="439">
        <v>12</v>
      </c>
      <c r="F2866" s="161">
        <v>639.96017813000003</v>
      </c>
      <c r="G2866" s="161"/>
      <c r="H2866" s="654"/>
      <c r="I2866" s="654"/>
      <c r="J2866" s="191"/>
      <c r="K2866" s="191">
        <v>215873.83160128101</v>
      </c>
      <c r="L2866" s="191"/>
      <c r="M2866" s="191"/>
      <c r="N2866" s="191"/>
      <c r="O2866" s="191"/>
      <c r="P2866" s="191"/>
      <c r="Q2866" s="191"/>
      <c r="R2866" s="191"/>
      <c r="S2866" s="191"/>
      <c r="T2866" s="191"/>
      <c r="U2866" s="439"/>
      <c r="V2866" s="441"/>
      <c r="W2866" s="178"/>
      <c r="X2866" s="172"/>
      <c r="Y2866" s="172"/>
      <c r="Z2866" s="172"/>
      <c r="AA2866" s="195"/>
      <c r="AB2866" s="172"/>
    </row>
    <row r="2867" spans="1:28" ht="12.6" customHeight="1" x14ac:dyDescent="0.3">
      <c r="A2867" s="667"/>
      <c r="B2867" s="668" t="s">
        <v>9745</v>
      </c>
      <c r="C2867" s="160" t="s">
        <v>9746</v>
      </c>
      <c r="D2867" s="160"/>
      <c r="E2867" s="439">
        <v>9.34</v>
      </c>
      <c r="F2867" s="161">
        <v>397.053588359</v>
      </c>
      <c r="G2867" s="161"/>
      <c r="H2867" s="654"/>
      <c r="I2867" s="654"/>
      <c r="J2867" s="191"/>
      <c r="K2867" s="191">
        <v>19471.5264985389</v>
      </c>
      <c r="L2867" s="191"/>
      <c r="M2867" s="191"/>
      <c r="N2867" s="191"/>
      <c r="O2867" s="191"/>
      <c r="P2867" s="191"/>
      <c r="Q2867" s="191"/>
      <c r="R2867" s="191"/>
      <c r="S2867" s="191"/>
      <c r="T2867" s="191"/>
      <c r="U2867" s="439"/>
      <c r="V2867" s="441"/>
      <c r="W2867" s="178"/>
      <c r="X2867" s="172"/>
      <c r="Y2867" s="172"/>
      <c r="Z2867" s="172"/>
      <c r="AA2867" s="195"/>
      <c r="AB2867" s="172"/>
    </row>
    <row r="2868" spans="1:28" ht="12.6" customHeight="1" x14ac:dyDescent="0.3">
      <c r="A2868" s="667"/>
      <c r="B2868" s="668" t="s">
        <v>9747</v>
      </c>
      <c r="C2868" s="160" t="s">
        <v>9748</v>
      </c>
      <c r="D2868" s="160"/>
      <c r="E2868" s="439">
        <v>6.65</v>
      </c>
      <c r="F2868" s="161">
        <v>399.03285291499998</v>
      </c>
      <c r="G2868" s="161"/>
      <c r="H2868" s="654"/>
      <c r="I2868" s="654"/>
      <c r="J2868" s="191"/>
      <c r="K2868" s="191">
        <v>4165.3356177882797</v>
      </c>
      <c r="L2868" s="191"/>
      <c r="M2868" s="191"/>
      <c r="N2868" s="191"/>
      <c r="O2868" s="191"/>
      <c r="P2868" s="191"/>
      <c r="Q2868" s="191"/>
      <c r="R2868" s="191"/>
      <c r="S2868" s="191"/>
      <c r="T2868" s="191"/>
      <c r="U2868" s="439"/>
      <c r="V2868" s="441"/>
      <c r="W2868" s="178"/>
      <c r="X2868" s="172"/>
      <c r="Y2868" s="172"/>
      <c r="Z2868" s="172"/>
      <c r="AA2868" s="195"/>
      <c r="AB2868" s="172"/>
    </row>
    <row r="2869" spans="1:28" ht="12.6" customHeight="1" x14ac:dyDescent="0.3">
      <c r="A2869" s="667"/>
      <c r="B2869" s="668" t="s">
        <v>9749</v>
      </c>
      <c r="C2869" s="160" t="s">
        <v>9750</v>
      </c>
      <c r="D2869" s="160"/>
      <c r="E2869" s="439">
        <v>10.46</v>
      </c>
      <c r="F2869" s="161">
        <v>419.037938295</v>
      </c>
      <c r="G2869" s="161"/>
      <c r="H2869" s="654"/>
      <c r="I2869" s="654"/>
      <c r="J2869" s="191"/>
      <c r="K2869" s="191">
        <v>137031.37009492199</v>
      </c>
      <c r="L2869" s="191"/>
      <c r="M2869" s="191"/>
      <c r="N2869" s="191"/>
      <c r="O2869" s="191"/>
      <c r="P2869" s="191"/>
      <c r="Q2869" s="191"/>
      <c r="R2869" s="191"/>
      <c r="S2869" s="191"/>
      <c r="T2869" s="191"/>
      <c r="U2869" s="439"/>
      <c r="V2869" s="441"/>
      <c r="W2869" s="178"/>
      <c r="X2869" s="172"/>
      <c r="Y2869" s="172"/>
      <c r="Z2869" s="172"/>
      <c r="AA2869" s="195"/>
      <c r="AB2869" s="172"/>
    </row>
    <row r="2870" spans="1:28" ht="12.6" customHeight="1" x14ac:dyDescent="0.3">
      <c r="A2870" s="667"/>
      <c r="B2870" s="668" t="s">
        <v>9751</v>
      </c>
      <c r="C2870" s="160" t="s">
        <v>9752</v>
      </c>
      <c r="D2870" s="160"/>
      <c r="E2870" s="439"/>
      <c r="F2870" s="161">
        <v>412.05325400700002</v>
      </c>
      <c r="G2870" s="161"/>
      <c r="H2870" s="654"/>
      <c r="I2870" s="654"/>
      <c r="J2870" s="191"/>
      <c r="K2870" s="191">
        <v>26921.546240752901</v>
      </c>
      <c r="L2870" s="191"/>
      <c r="M2870" s="191"/>
      <c r="N2870" s="191"/>
      <c r="O2870" s="191"/>
      <c r="P2870" s="191"/>
      <c r="Q2870" s="191"/>
      <c r="R2870" s="191"/>
      <c r="S2870" s="191"/>
      <c r="T2870" s="191"/>
      <c r="U2870" s="439"/>
      <c r="V2870" s="441"/>
      <c r="W2870" s="178"/>
      <c r="X2870" s="172"/>
      <c r="Y2870" s="172"/>
      <c r="Z2870" s="172"/>
      <c r="AA2870" s="195"/>
      <c r="AB2870" s="172"/>
    </row>
    <row r="2871" spans="1:28" ht="12.6" customHeight="1" x14ac:dyDescent="0.3">
      <c r="A2871" s="667"/>
      <c r="B2871" s="668" t="s">
        <v>9753</v>
      </c>
      <c r="C2871" s="160" t="s">
        <v>9754</v>
      </c>
      <c r="D2871" s="160"/>
      <c r="E2871" s="439"/>
      <c r="F2871" s="161">
        <v>406.00630381399998</v>
      </c>
      <c r="G2871" s="161"/>
      <c r="H2871" s="654"/>
      <c r="I2871" s="654"/>
      <c r="J2871" s="191"/>
      <c r="K2871" s="191">
        <v>13583.447232701699</v>
      </c>
      <c r="L2871" s="191"/>
      <c r="M2871" s="191"/>
      <c r="N2871" s="191"/>
      <c r="O2871" s="191"/>
      <c r="P2871" s="191"/>
      <c r="Q2871" s="191"/>
      <c r="R2871" s="191"/>
      <c r="S2871" s="191"/>
      <c r="T2871" s="191"/>
      <c r="U2871" s="439"/>
      <c r="V2871" s="441"/>
      <c r="W2871" s="178"/>
      <c r="X2871" s="172"/>
      <c r="Y2871" s="172"/>
      <c r="Z2871" s="172"/>
      <c r="AA2871" s="195"/>
      <c r="AB2871" s="172"/>
    </row>
    <row r="2872" spans="1:28" ht="12.6" customHeight="1" x14ac:dyDescent="0.3">
      <c r="A2872" s="667"/>
      <c r="B2872" s="668" t="s">
        <v>9755</v>
      </c>
      <c r="C2872" s="160" t="s">
        <v>9756</v>
      </c>
      <c r="D2872" s="160"/>
      <c r="E2872" s="439"/>
      <c r="F2872" s="161">
        <v>370.00630381399998</v>
      </c>
      <c r="G2872" s="161"/>
      <c r="H2872" s="654"/>
      <c r="I2872" s="654"/>
      <c r="J2872" s="191"/>
      <c r="K2872" s="191">
        <v>2287.9682843279702</v>
      </c>
      <c r="L2872" s="191"/>
      <c r="M2872" s="191"/>
      <c r="N2872" s="191"/>
      <c r="O2872" s="191"/>
      <c r="P2872" s="191"/>
      <c r="Q2872" s="191"/>
      <c r="R2872" s="191"/>
      <c r="S2872" s="191"/>
      <c r="T2872" s="191"/>
      <c r="U2872" s="439"/>
      <c r="V2872" s="441"/>
      <c r="W2872" s="178"/>
      <c r="X2872" s="172"/>
      <c r="Y2872" s="172"/>
      <c r="Z2872" s="172"/>
      <c r="AA2872" s="195"/>
      <c r="AB2872" s="172"/>
    </row>
    <row r="2873" spans="1:28" ht="12.6" customHeight="1" x14ac:dyDescent="0.3">
      <c r="A2873" s="667"/>
      <c r="B2873" s="668" t="s">
        <v>9757</v>
      </c>
      <c r="C2873" s="160" t="s">
        <v>9758</v>
      </c>
      <c r="D2873" s="160"/>
      <c r="E2873" s="439"/>
      <c r="F2873" s="161">
        <v>420.02195387799998</v>
      </c>
      <c r="G2873" s="161"/>
      <c r="H2873" s="654"/>
      <c r="I2873" s="654"/>
      <c r="J2873" s="191"/>
      <c r="K2873" s="191">
        <v>12604.046594501</v>
      </c>
      <c r="L2873" s="191"/>
      <c r="M2873" s="191"/>
      <c r="N2873" s="191"/>
      <c r="O2873" s="191"/>
      <c r="P2873" s="191"/>
      <c r="Q2873" s="191"/>
      <c r="R2873" s="191"/>
      <c r="S2873" s="191"/>
      <c r="T2873" s="191"/>
      <c r="U2873" s="439"/>
      <c r="V2873" s="441"/>
      <c r="W2873" s="178"/>
      <c r="X2873" s="172"/>
      <c r="Y2873" s="172"/>
      <c r="Z2873" s="172"/>
      <c r="AA2873" s="195"/>
      <c r="AB2873" s="172"/>
    </row>
    <row r="2874" spans="1:28" ht="12.6" customHeight="1" x14ac:dyDescent="0.3">
      <c r="A2874" s="667"/>
      <c r="B2874" s="668" t="s">
        <v>9759</v>
      </c>
      <c r="C2874" s="160" t="s">
        <v>9760</v>
      </c>
      <c r="D2874" s="160"/>
      <c r="E2874" s="439"/>
      <c r="F2874" s="161">
        <v>657.93435730600004</v>
      </c>
      <c r="G2874" s="161">
        <v>-107.848</v>
      </c>
      <c r="H2874" s="654">
        <v>6.4106417157999998</v>
      </c>
      <c r="I2874" s="654">
        <v>0.30491770409039298</v>
      </c>
      <c r="J2874" s="191"/>
      <c r="K2874" s="191">
        <v>78249.216914078002</v>
      </c>
      <c r="L2874" s="191"/>
      <c r="M2874" s="191"/>
      <c r="N2874" s="191"/>
      <c r="O2874" s="191"/>
      <c r="P2874" s="191"/>
      <c r="Q2874" s="191"/>
      <c r="R2874" s="191"/>
      <c r="S2874" s="191"/>
      <c r="T2874" s="191"/>
      <c r="U2874" s="439"/>
      <c r="V2874" s="441"/>
      <c r="W2874" s="178"/>
      <c r="X2874" s="172"/>
      <c r="Y2874" s="172"/>
      <c r="Z2874" s="172"/>
      <c r="AA2874" s="195"/>
      <c r="AB2874" s="172"/>
    </row>
    <row r="2875" spans="1:28" ht="12.6" customHeight="1" x14ac:dyDescent="0.3">
      <c r="A2875" s="667"/>
      <c r="B2875" s="668" t="s">
        <v>9761</v>
      </c>
      <c r="C2875" s="160" t="s">
        <v>9762</v>
      </c>
      <c r="D2875" s="160"/>
      <c r="E2875" s="439"/>
      <c r="F2875" s="161">
        <v>347.94111670000001</v>
      </c>
      <c r="G2875" s="161">
        <v>-99.367000000000004</v>
      </c>
      <c r="H2875" s="654">
        <v>1108.9244000799999</v>
      </c>
      <c r="I2875" s="654"/>
      <c r="J2875" s="191"/>
      <c r="K2875" s="191">
        <v>4406.5631669247005</v>
      </c>
      <c r="L2875" s="191"/>
      <c r="M2875" s="191"/>
      <c r="N2875" s="191"/>
      <c r="O2875" s="191"/>
      <c r="P2875" s="191"/>
      <c r="Q2875" s="191"/>
      <c r="R2875" s="191"/>
      <c r="S2875" s="191"/>
      <c r="T2875" s="191"/>
      <c r="U2875" s="439"/>
      <c r="V2875" s="441"/>
      <c r="W2875" s="178"/>
      <c r="X2875" s="172"/>
      <c r="Y2875" s="172"/>
      <c r="Z2875" s="172"/>
      <c r="AA2875" s="195"/>
      <c r="AB2875" s="172"/>
    </row>
    <row r="2876" spans="1:28" ht="12.6" customHeight="1" x14ac:dyDescent="0.3">
      <c r="A2876" s="667"/>
      <c r="B2876" s="668" t="s">
        <v>9763</v>
      </c>
      <c r="C2876" s="160" t="s">
        <v>9764</v>
      </c>
      <c r="D2876" s="160"/>
      <c r="E2876" s="439"/>
      <c r="F2876" s="161">
        <v>589.80095600000004</v>
      </c>
      <c r="G2876" s="161"/>
      <c r="H2876" s="654"/>
      <c r="I2876" s="654"/>
      <c r="J2876" s="191"/>
      <c r="K2876" s="191">
        <v>742095.84503795998</v>
      </c>
      <c r="L2876" s="191"/>
      <c r="M2876" s="191"/>
      <c r="N2876" s="191"/>
      <c r="O2876" s="191"/>
      <c r="P2876" s="191"/>
      <c r="Q2876" s="191"/>
      <c r="R2876" s="191"/>
      <c r="S2876" s="191"/>
      <c r="T2876" s="191"/>
      <c r="U2876" s="439"/>
      <c r="V2876" s="441"/>
      <c r="W2876" s="178"/>
      <c r="X2876" s="172"/>
      <c r="Y2876" s="172"/>
      <c r="Z2876" s="172"/>
      <c r="AA2876" s="195"/>
      <c r="AB2876" s="172"/>
    </row>
    <row r="2877" spans="1:28" ht="12.6" customHeight="1" x14ac:dyDescent="0.3">
      <c r="A2877" s="667"/>
      <c r="B2877" s="668" t="s">
        <v>9765</v>
      </c>
      <c r="C2877" s="160" t="s">
        <v>9766</v>
      </c>
      <c r="D2877" s="160"/>
      <c r="E2877" s="439"/>
      <c r="F2877" s="686">
        <v>633.90723600000001</v>
      </c>
      <c r="G2877" s="161">
        <v>-43.442</v>
      </c>
      <c r="H2877" s="654">
        <v>0.35637103922000002</v>
      </c>
      <c r="I2877" s="654">
        <v>9.5285132272104001E-2</v>
      </c>
      <c r="J2877" s="191"/>
      <c r="K2877" s="191">
        <v>1073915.2263432399</v>
      </c>
      <c r="L2877" s="191"/>
      <c r="M2877" s="191"/>
      <c r="N2877" s="191"/>
      <c r="O2877" s="191"/>
      <c r="P2877" s="191"/>
      <c r="Q2877" s="191"/>
      <c r="R2877" s="191"/>
      <c r="S2877" s="191"/>
      <c r="T2877" s="191"/>
      <c r="U2877" s="439"/>
      <c r="V2877" s="441"/>
      <c r="W2877" s="178"/>
      <c r="X2877" s="172"/>
      <c r="Y2877" s="172"/>
      <c r="Z2877" s="172"/>
      <c r="AA2877" s="195"/>
      <c r="AB2877" s="172"/>
    </row>
    <row r="2878" spans="1:28" ht="12.6" customHeight="1" x14ac:dyDescent="0.3">
      <c r="A2878" s="667"/>
      <c r="B2878" s="668" t="s">
        <v>9767</v>
      </c>
      <c r="C2878" s="160" t="s">
        <v>9768</v>
      </c>
      <c r="D2878" s="160"/>
      <c r="E2878" s="439">
        <v>9.94</v>
      </c>
      <c r="F2878" s="161">
        <v>563.03892195699996</v>
      </c>
      <c r="G2878" s="161"/>
      <c r="H2878" s="654"/>
      <c r="I2878" s="654"/>
      <c r="J2878" s="191"/>
      <c r="K2878" s="191">
        <v>51069.3111617178</v>
      </c>
      <c r="L2878" s="191"/>
      <c r="M2878" s="191"/>
      <c r="N2878" s="191"/>
      <c r="O2878" s="191"/>
      <c r="P2878" s="191"/>
      <c r="Q2878" s="191"/>
      <c r="R2878" s="191"/>
      <c r="S2878" s="191"/>
      <c r="T2878" s="191"/>
      <c r="U2878" s="439"/>
      <c r="V2878" s="441"/>
      <c r="W2878" s="178"/>
      <c r="X2878" s="172"/>
      <c r="Y2878" s="172"/>
      <c r="Z2878" s="172"/>
      <c r="AA2878" s="195"/>
      <c r="AB2878" s="172"/>
    </row>
    <row r="2879" spans="1:28" ht="12.6" customHeight="1" x14ac:dyDescent="0.3">
      <c r="A2879" s="667"/>
      <c r="B2879" s="668" t="s">
        <v>9769</v>
      </c>
      <c r="C2879" s="160" t="s">
        <v>9770</v>
      </c>
      <c r="D2879" s="160"/>
      <c r="E2879" s="439">
        <v>7.19</v>
      </c>
      <c r="F2879" s="161">
        <v>565.01818651300005</v>
      </c>
      <c r="G2879" s="161"/>
      <c r="H2879" s="654"/>
      <c r="I2879" s="654"/>
      <c r="J2879" s="191"/>
      <c r="K2879" s="191">
        <v>135278.88031255099</v>
      </c>
      <c r="L2879" s="191"/>
      <c r="M2879" s="191"/>
      <c r="N2879" s="191"/>
      <c r="O2879" s="191"/>
      <c r="P2879" s="191"/>
      <c r="Q2879" s="191"/>
      <c r="R2879" s="191"/>
      <c r="S2879" s="191"/>
      <c r="T2879" s="191"/>
      <c r="U2879" s="439"/>
      <c r="V2879" s="441"/>
      <c r="W2879" s="178"/>
      <c r="X2879" s="172"/>
      <c r="Y2879" s="172"/>
      <c r="Z2879" s="172"/>
      <c r="AA2879" s="195"/>
      <c r="AB2879" s="172"/>
    </row>
    <row r="2880" spans="1:28" ht="12.6" customHeight="1" x14ac:dyDescent="0.3">
      <c r="A2880" s="667"/>
      <c r="B2880" s="668" t="s">
        <v>9771</v>
      </c>
      <c r="C2880" s="160" t="s">
        <v>9772</v>
      </c>
      <c r="D2880" s="160"/>
      <c r="E2880" s="439">
        <v>8.1999999999999993</v>
      </c>
      <c r="F2880" s="161">
        <v>572.00287079999998</v>
      </c>
      <c r="G2880" s="161"/>
      <c r="H2880" s="654"/>
      <c r="I2880" s="654"/>
      <c r="J2880" s="191"/>
      <c r="K2880" s="191">
        <v>2789716.0432322701</v>
      </c>
      <c r="L2880" s="191"/>
      <c r="M2880" s="191"/>
      <c r="N2880" s="191"/>
      <c r="O2880" s="191"/>
      <c r="P2880" s="191"/>
      <c r="Q2880" s="191"/>
      <c r="R2880" s="191"/>
      <c r="S2880" s="191"/>
      <c r="T2880" s="191"/>
      <c r="U2880" s="439"/>
      <c r="V2880" s="441"/>
      <c r="W2880" s="178"/>
      <c r="X2880" s="172"/>
      <c r="Y2880" s="172"/>
      <c r="Z2880" s="172"/>
      <c r="AA2880" s="195"/>
      <c r="AB2880" s="172"/>
    </row>
    <row r="2881" spans="1:28" ht="12.6" customHeight="1" x14ac:dyDescent="0.3">
      <c r="A2881" s="667"/>
      <c r="B2881" s="668" t="s">
        <v>9773</v>
      </c>
      <c r="C2881" s="160" t="s">
        <v>9774</v>
      </c>
      <c r="D2881" s="160"/>
      <c r="E2881" s="439">
        <v>9.32</v>
      </c>
      <c r="F2881" s="161">
        <v>572.998119772</v>
      </c>
      <c r="G2881" s="161"/>
      <c r="H2881" s="654"/>
      <c r="I2881" s="654"/>
      <c r="J2881" s="191"/>
      <c r="K2881" s="191">
        <v>499114.285165618</v>
      </c>
      <c r="L2881" s="191"/>
      <c r="M2881" s="191"/>
      <c r="N2881" s="191"/>
      <c r="O2881" s="191"/>
      <c r="P2881" s="191"/>
      <c r="Q2881" s="191"/>
      <c r="R2881" s="191"/>
      <c r="S2881" s="191"/>
      <c r="T2881" s="191"/>
      <c r="U2881" s="439"/>
      <c r="V2881" s="441"/>
      <c r="W2881" s="178"/>
      <c r="X2881" s="172"/>
      <c r="Y2881" s="172"/>
      <c r="Z2881" s="172"/>
      <c r="AA2881" s="195"/>
      <c r="AB2881" s="172"/>
    </row>
    <row r="2882" spans="1:28" ht="12.6" customHeight="1" x14ac:dyDescent="0.3">
      <c r="A2882" s="667"/>
      <c r="B2882" s="668" t="s">
        <v>9775</v>
      </c>
      <c r="C2882" s="160" t="s">
        <v>9776</v>
      </c>
      <c r="D2882" s="160"/>
      <c r="E2882" s="439">
        <v>8.42</v>
      </c>
      <c r="F2882" s="161">
        <v>571.00762182799997</v>
      </c>
      <c r="G2882" s="161"/>
      <c r="H2882" s="654"/>
      <c r="I2882" s="654"/>
      <c r="J2882" s="191"/>
      <c r="K2882" s="191">
        <v>434130.20168162597</v>
      </c>
      <c r="L2882" s="191"/>
      <c r="M2882" s="191"/>
      <c r="N2882" s="191"/>
      <c r="O2882" s="191"/>
      <c r="P2882" s="191"/>
      <c r="Q2882" s="191"/>
      <c r="R2882" s="191"/>
      <c r="S2882" s="191"/>
      <c r="T2882" s="191"/>
      <c r="U2882" s="439"/>
      <c r="V2882" s="441"/>
      <c r="W2882" s="178"/>
      <c r="X2882" s="172"/>
      <c r="Y2882" s="172"/>
      <c r="Z2882" s="172"/>
      <c r="AA2882" s="195"/>
      <c r="AB2882" s="172"/>
    </row>
    <row r="2883" spans="1:28" ht="12.6" customHeight="1" x14ac:dyDescent="0.3">
      <c r="A2883" s="667"/>
      <c r="B2883" s="668" t="s">
        <v>9777</v>
      </c>
      <c r="C2883" s="160" t="s">
        <v>9778</v>
      </c>
      <c r="D2883" s="160"/>
      <c r="E2883" s="439">
        <v>8.1300000000000008</v>
      </c>
      <c r="F2883" s="161">
        <v>535.00762182799997</v>
      </c>
      <c r="G2883" s="161"/>
      <c r="H2883" s="654"/>
      <c r="I2883" s="654"/>
      <c r="J2883" s="191"/>
      <c r="K2883" s="191">
        <v>49708.424675358801</v>
      </c>
      <c r="L2883" s="191"/>
      <c r="M2883" s="191"/>
      <c r="N2883" s="191"/>
      <c r="O2883" s="191"/>
      <c r="P2883" s="191"/>
      <c r="Q2883" s="191"/>
      <c r="R2883" s="191"/>
      <c r="S2883" s="191"/>
      <c r="T2883" s="191"/>
      <c r="U2883" s="439"/>
      <c r="V2883" s="441"/>
      <c r="W2883" s="178"/>
      <c r="X2883" s="172"/>
      <c r="Y2883" s="172"/>
      <c r="Z2883" s="172"/>
      <c r="AA2883" s="195"/>
      <c r="AB2883" s="172"/>
    </row>
    <row r="2884" spans="1:28" ht="12.6" customHeight="1" x14ac:dyDescent="0.3">
      <c r="A2884" s="667"/>
      <c r="B2884" s="668" t="s">
        <v>9779</v>
      </c>
      <c r="C2884" s="160" t="s">
        <v>9780</v>
      </c>
      <c r="D2884" s="160"/>
      <c r="E2884" s="439"/>
      <c r="F2884" s="161">
        <v>578.03858760499998</v>
      </c>
      <c r="G2884" s="161"/>
      <c r="H2884" s="654"/>
      <c r="I2884" s="654"/>
      <c r="J2884" s="191"/>
      <c r="K2884" s="191">
        <v>119398.810446427</v>
      </c>
      <c r="L2884" s="191"/>
      <c r="M2884" s="191"/>
      <c r="N2884" s="191"/>
      <c r="O2884" s="191"/>
      <c r="P2884" s="191"/>
      <c r="Q2884" s="191"/>
      <c r="R2884" s="191"/>
      <c r="S2884" s="191"/>
      <c r="T2884" s="191"/>
      <c r="U2884" s="439"/>
      <c r="V2884" s="441"/>
      <c r="W2884" s="178"/>
      <c r="X2884" s="172"/>
      <c r="Y2884" s="172"/>
      <c r="Z2884" s="172"/>
      <c r="AA2884" s="195"/>
      <c r="AB2884" s="172"/>
    </row>
    <row r="2885" spans="1:28" ht="12.6" customHeight="1" x14ac:dyDescent="0.3">
      <c r="A2885" s="667"/>
      <c r="B2885" s="668" t="s">
        <v>9781</v>
      </c>
      <c r="C2885" s="160" t="s">
        <v>9782</v>
      </c>
      <c r="D2885" s="160"/>
      <c r="E2885" s="439"/>
      <c r="F2885" s="161">
        <v>571.99163741200005</v>
      </c>
      <c r="G2885" s="161"/>
      <c r="H2885" s="654"/>
      <c r="I2885" s="654"/>
      <c r="J2885" s="191"/>
      <c r="K2885" s="191">
        <v>122213.73025318301</v>
      </c>
      <c r="L2885" s="191"/>
      <c r="M2885" s="191"/>
      <c r="N2885" s="191"/>
      <c r="O2885" s="191"/>
      <c r="P2885" s="191"/>
      <c r="Q2885" s="191"/>
      <c r="R2885" s="191"/>
      <c r="S2885" s="191"/>
      <c r="T2885" s="191"/>
      <c r="U2885" s="439"/>
      <c r="V2885" s="441"/>
      <c r="W2885" s="178"/>
      <c r="X2885" s="172"/>
      <c r="Y2885" s="172"/>
      <c r="Z2885" s="172"/>
      <c r="AA2885" s="195"/>
      <c r="AB2885" s="172"/>
    </row>
    <row r="2886" spans="1:28" ht="12.6" customHeight="1" x14ac:dyDescent="0.3">
      <c r="A2886" s="667"/>
      <c r="B2886" s="668" t="s">
        <v>9783</v>
      </c>
      <c r="C2886" s="160" t="s">
        <v>9784</v>
      </c>
      <c r="D2886" s="160"/>
      <c r="E2886" s="439"/>
      <c r="F2886" s="161">
        <v>535.99163741200005</v>
      </c>
      <c r="G2886" s="161"/>
      <c r="H2886" s="654"/>
      <c r="I2886" s="654"/>
      <c r="J2886" s="191"/>
      <c r="K2886" s="191">
        <v>41763.799295097298</v>
      </c>
      <c r="L2886" s="191"/>
      <c r="M2886" s="191"/>
      <c r="N2886" s="191"/>
      <c r="O2886" s="191"/>
      <c r="P2886" s="191"/>
      <c r="Q2886" s="191"/>
      <c r="R2886" s="191"/>
      <c r="S2886" s="191"/>
      <c r="T2886" s="191"/>
      <c r="U2886" s="439"/>
      <c r="V2886" s="441"/>
      <c r="W2886" s="178"/>
      <c r="X2886" s="172"/>
      <c r="Y2886" s="172"/>
      <c r="Z2886" s="172"/>
      <c r="AA2886" s="195"/>
      <c r="AB2886" s="172"/>
    </row>
    <row r="2887" spans="1:28" ht="12.6" customHeight="1" x14ac:dyDescent="0.3">
      <c r="A2887" s="667"/>
      <c r="B2887" s="668" t="s">
        <v>9785</v>
      </c>
      <c r="C2887" s="160" t="s">
        <v>9786</v>
      </c>
      <c r="D2887" s="160"/>
      <c r="E2887" s="439"/>
      <c r="F2887" s="161">
        <v>586.00728747599999</v>
      </c>
      <c r="G2887" s="161"/>
      <c r="H2887" s="654"/>
      <c r="I2887" s="654"/>
      <c r="J2887" s="191"/>
      <c r="K2887" s="191">
        <v>115236.484271291</v>
      </c>
      <c r="L2887" s="191"/>
      <c r="M2887" s="191"/>
      <c r="N2887" s="191"/>
      <c r="O2887" s="191"/>
      <c r="P2887" s="191"/>
      <c r="Q2887" s="191"/>
      <c r="R2887" s="191"/>
      <c r="S2887" s="191"/>
      <c r="T2887" s="191"/>
      <c r="U2887" s="439"/>
      <c r="V2887" s="441"/>
      <c r="W2887" s="178"/>
      <c r="X2887" s="172"/>
      <c r="Y2887" s="172"/>
      <c r="Z2887" s="172"/>
      <c r="AA2887" s="195"/>
      <c r="AB2887" s="172"/>
    </row>
    <row r="2888" spans="1:28" ht="12.6" customHeight="1" x14ac:dyDescent="0.3">
      <c r="A2888" s="667"/>
      <c r="B2888" s="668" t="s">
        <v>9787</v>
      </c>
      <c r="C2888" s="160" t="s">
        <v>9788</v>
      </c>
      <c r="D2888" s="160"/>
      <c r="E2888" s="439">
        <v>10.199999999999999</v>
      </c>
      <c r="F2888" s="161">
        <v>568.00795617999995</v>
      </c>
      <c r="G2888" s="161">
        <v>-15.153</v>
      </c>
      <c r="H2888" s="654">
        <v>0.14285718944</v>
      </c>
      <c r="I2888" s="654">
        <v>0.10124060209360999</v>
      </c>
      <c r="J2888" s="191"/>
      <c r="K2888" s="191">
        <v>204818.88613991701</v>
      </c>
      <c r="L2888" s="191"/>
      <c r="M2888" s="191"/>
      <c r="N2888" s="191"/>
      <c r="O2888" s="191"/>
      <c r="P2888" s="191"/>
      <c r="Q2888" s="191"/>
      <c r="R2888" s="191"/>
      <c r="S2888" s="191"/>
      <c r="T2888" s="191"/>
      <c r="U2888" s="439"/>
      <c r="V2888" s="441"/>
      <c r="W2888" s="178"/>
      <c r="X2888" s="172"/>
      <c r="Y2888" s="172"/>
      <c r="Z2888" s="172"/>
      <c r="AA2888" s="195"/>
      <c r="AB2888" s="172"/>
    </row>
    <row r="2889" spans="1:28" ht="12.6" customHeight="1" x14ac:dyDescent="0.3">
      <c r="A2889" s="667"/>
      <c r="B2889" s="668" t="s">
        <v>9789</v>
      </c>
      <c r="C2889" s="160" t="s">
        <v>9790</v>
      </c>
      <c r="D2889" s="160"/>
      <c r="E2889" s="439"/>
      <c r="F2889" s="161">
        <v>535.99163741200005</v>
      </c>
      <c r="G2889" s="161"/>
      <c r="H2889" s="654"/>
      <c r="I2889" s="654"/>
      <c r="J2889" s="191"/>
      <c r="K2889" s="191">
        <v>43741.130168474599</v>
      </c>
      <c r="L2889" s="191"/>
      <c r="M2889" s="191"/>
      <c r="N2889" s="191"/>
      <c r="O2889" s="191"/>
      <c r="P2889" s="191"/>
      <c r="Q2889" s="191"/>
      <c r="R2889" s="191"/>
      <c r="S2889" s="191"/>
      <c r="T2889" s="191"/>
      <c r="U2889" s="439"/>
      <c r="V2889" s="441"/>
      <c r="W2889" s="178"/>
      <c r="X2889" s="172"/>
      <c r="Y2889" s="172"/>
      <c r="Z2889" s="172"/>
      <c r="AA2889" s="195"/>
      <c r="AB2889" s="172"/>
    </row>
    <row r="2890" spans="1:28" ht="12.6" customHeight="1" x14ac:dyDescent="0.3">
      <c r="A2890" s="667"/>
      <c r="B2890" s="668" t="s">
        <v>9791</v>
      </c>
      <c r="C2890" s="160" t="s">
        <v>9792</v>
      </c>
      <c r="D2890" s="160"/>
      <c r="E2890" s="439"/>
      <c r="F2890" s="161">
        <v>505.98107272800002</v>
      </c>
      <c r="G2890" s="161"/>
      <c r="H2890" s="654"/>
      <c r="I2890" s="654"/>
      <c r="J2890" s="191"/>
      <c r="K2890" s="191">
        <v>92299.638484045397</v>
      </c>
      <c r="L2890" s="191"/>
      <c r="M2890" s="191"/>
      <c r="N2890" s="191"/>
      <c r="O2890" s="191"/>
      <c r="P2890" s="191"/>
      <c r="Q2890" s="191"/>
      <c r="R2890" s="191"/>
      <c r="S2890" s="191"/>
      <c r="T2890" s="191"/>
      <c r="U2890" s="439"/>
      <c r="V2890" s="441"/>
      <c r="W2890" s="178"/>
      <c r="X2890" s="172"/>
      <c r="Y2890" s="172"/>
      <c r="Z2890" s="172"/>
      <c r="AA2890" s="195"/>
      <c r="AB2890" s="172"/>
    </row>
    <row r="2891" spans="1:28" ht="12.6" customHeight="1" x14ac:dyDescent="0.3">
      <c r="A2891" s="667"/>
      <c r="B2891" s="668" t="s">
        <v>9793</v>
      </c>
      <c r="C2891" s="160" t="s">
        <v>9794</v>
      </c>
      <c r="D2891" s="160"/>
      <c r="E2891" s="439"/>
      <c r="F2891" s="161">
        <v>310.980423417</v>
      </c>
      <c r="G2891" s="161"/>
      <c r="H2891" s="654"/>
      <c r="I2891" s="654"/>
      <c r="J2891" s="191"/>
      <c r="K2891" s="191">
        <v>644.703458526394</v>
      </c>
      <c r="L2891" s="191"/>
      <c r="M2891" s="191"/>
      <c r="N2891" s="191"/>
      <c r="O2891" s="191"/>
      <c r="P2891" s="191"/>
      <c r="Q2891" s="191"/>
      <c r="R2891" s="191"/>
      <c r="S2891" s="191"/>
      <c r="T2891" s="191"/>
      <c r="U2891" s="439"/>
      <c r="V2891" s="441"/>
      <c r="W2891" s="178"/>
      <c r="X2891" s="172"/>
      <c r="Y2891" s="172"/>
      <c r="Z2891" s="172"/>
      <c r="AA2891" s="195"/>
      <c r="AB2891" s="172"/>
    </row>
    <row r="2892" spans="1:28" ht="12.6" customHeight="1" x14ac:dyDescent="0.3">
      <c r="A2892" s="667"/>
      <c r="B2892" s="668" t="s">
        <v>9795</v>
      </c>
      <c r="C2892" s="160" t="s">
        <v>9796</v>
      </c>
      <c r="D2892" s="160"/>
      <c r="E2892" s="439"/>
      <c r="F2892" s="161">
        <v>312.00082450999997</v>
      </c>
      <c r="G2892" s="161">
        <v>-116.02</v>
      </c>
      <c r="H2892" s="654">
        <v>1124.3510887</v>
      </c>
      <c r="I2892" s="654">
        <v>11.224198461664701</v>
      </c>
      <c r="J2892" s="191"/>
      <c r="K2892" s="191">
        <v>2429.3495035368801</v>
      </c>
      <c r="L2892" s="191"/>
      <c r="M2892" s="191"/>
      <c r="N2892" s="191"/>
      <c r="O2892" s="191"/>
      <c r="P2892" s="191"/>
      <c r="Q2892" s="191"/>
      <c r="R2892" s="191"/>
      <c r="S2892" s="191"/>
      <c r="T2892" s="191"/>
      <c r="U2892" s="439"/>
      <c r="V2892" s="441"/>
      <c r="W2892" s="178"/>
      <c r="X2892" s="172"/>
      <c r="Y2892" s="172"/>
      <c r="Z2892" s="172"/>
      <c r="AA2892" s="195"/>
      <c r="AB2892" s="172"/>
    </row>
    <row r="2893" spans="1:28" ht="12.6" customHeight="1" x14ac:dyDescent="0.3">
      <c r="A2893" s="667"/>
      <c r="B2893" s="668" t="s">
        <v>9797</v>
      </c>
      <c r="C2893" s="160" t="s">
        <v>9798</v>
      </c>
      <c r="D2893" s="160"/>
      <c r="E2893" s="439"/>
      <c r="F2893" s="161">
        <v>439.91311999999999</v>
      </c>
      <c r="G2893" s="161"/>
      <c r="H2893" s="654"/>
      <c r="I2893" s="654"/>
      <c r="J2893" s="191"/>
      <c r="K2893" s="191">
        <v>38405.197250053199</v>
      </c>
      <c r="L2893" s="191"/>
      <c r="M2893" s="191"/>
      <c r="N2893" s="191"/>
      <c r="O2893" s="191"/>
      <c r="P2893" s="191"/>
      <c r="Q2893" s="191"/>
      <c r="R2893" s="191"/>
      <c r="S2893" s="191"/>
      <c r="T2893" s="191"/>
      <c r="U2893" s="439"/>
      <c r="V2893" s="441"/>
      <c r="W2893" s="178"/>
      <c r="X2893" s="172"/>
      <c r="Y2893" s="172"/>
      <c r="Z2893" s="172"/>
      <c r="AA2893" s="195"/>
      <c r="AB2893" s="172"/>
    </row>
    <row r="2894" spans="1:28" ht="12.6" customHeight="1" x14ac:dyDescent="0.3">
      <c r="A2894" s="667"/>
      <c r="B2894" s="668" t="s">
        <v>9799</v>
      </c>
      <c r="C2894" s="160" t="s">
        <v>9800</v>
      </c>
      <c r="D2894" s="160"/>
      <c r="E2894" s="439"/>
      <c r="F2894" s="161">
        <v>335.91665169999999</v>
      </c>
      <c r="G2894" s="161"/>
      <c r="H2894" s="654"/>
      <c r="I2894" s="654"/>
      <c r="J2894" s="191"/>
      <c r="K2894" s="191">
        <v>3108.5653372468701</v>
      </c>
      <c r="L2894" s="191"/>
      <c r="M2894" s="191"/>
      <c r="N2894" s="191"/>
      <c r="O2894" s="191"/>
      <c r="P2894" s="191"/>
      <c r="Q2894" s="191"/>
      <c r="R2894" s="191"/>
      <c r="S2894" s="191"/>
      <c r="T2894" s="191"/>
      <c r="U2894" s="439"/>
      <c r="V2894" s="441"/>
      <c r="W2894" s="178"/>
      <c r="X2894" s="172"/>
      <c r="Y2894" s="172"/>
      <c r="Z2894" s="172"/>
      <c r="AA2894" s="195"/>
      <c r="AB2894" s="172"/>
    </row>
    <row r="2895" spans="1:28" ht="12.6" customHeight="1" x14ac:dyDescent="0.3">
      <c r="A2895" s="667"/>
      <c r="B2895" s="668" t="s">
        <v>9801</v>
      </c>
      <c r="C2895" s="160" t="s">
        <v>9802</v>
      </c>
      <c r="D2895" s="160"/>
      <c r="E2895" s="439"/>
      <c r="F2895" s="161">
        <v>356.027039258</v>
      </c>
      <c r="G2895" s="161"/>
      <c r="H2895" s="654"/>
      <c r="I2895" s="654"/>
      <c r="J2895" s="191"/>
      <c r="K2895" s="191">
        <v>4400.88479616308</v>
      </c>
      <c r="L2895" s="191"/>
      <c r="M2895" s="191"/>
      <c r="N2895" s="191"/>
      <c r="O2895" s="191"/>
      <c r="P2895" s="191"/>
      <c r="Q2895" s="191"/>
      <c r="R2895" s="191"/>
      <c r="S2895" s="191"/>
      <c r="T2895" s="191"/>
      <c r="U2895" s="439"/>
      <c r="V2895" s="441"/>
      <c r="W2895" s="178"/>
      <c r="X2895" s="172"/>
      <c r="Y2895" s="172"/>
      <c r="Z2895" s="172"/>
      <c r="AA2895" s="195"/>
      <c r="AB2895" s="172"/>
    </row>
    <row r="2896" spans="1:28" ht="12.6" customHeight="1" x14ac:dyDescent="0.3">
      <c r="A2896" s="667"/>
      <c r="B2896" s="668" t="s">
        <v>9803</v>
      </c>
      <c r="C2896" s="160" t="s">
        <v>9804</v>
      </c>
      <c r="D2896" s="160"/>
      <c r="E2896" s="439"/>
      <c r="F2896" s="161">
        <v>312.00082450999997</v>
      </c>
      <c r="G2896" s="161"/>
      <c r="H2896" s="654"/>
      <c r="I2896" s="654"/>
      <c r="J2896" s="191"/>
      <c r="K2896" s="191">
        <v>4018.2781885445702</v>
      </c>
      <c r="L2896" s="191"/>
      <c r="M2896" s="191"/>
      <c r="N2896" s="191"/>
      <c r="O2896" s="191"/>
      <c r="P2896" s="191"/>
      <c r="Q2896" s="191"/>
      <c r="R2896" s="191"/>
      <c r="S2896" s="191"/>
      <c r="T2896" s="191"/>
      <c r="U2896" s="439"/>
      <c r="V2896" s="441"/>
      <c r="W2896" s="178"/>
      <c r="X2896" s="172"/>
      <c r="Y2896" s="172"/>
      <c r="Z2896" s="172"/>
      <c r="AA2896" s="195"/>
      <c r="AB2896" s="172"/>
    </row>
    <row r="2897" spans="1:28" ht="12.6" customHeight="1" x14ac:dyDescent="0.3">
      <c r="A2897" s="667"/>
      <c r="B2897" s="668" t="s">
        <v>9805</v>
      </c>
      <c r="C2897" s="160" t="s">
        <v>9806</v>
      </c>
      <c r="D2897" s="160"/>
      <c r="E2897" s="439"/>
      <c r="F2897" s="161">
        <v>411.88182</v>
      </c>
      <c r="G2897" s="161">
        <v>-70.128</v>
      </c>
      <c r="H2897" s="654">
        <v>4314.2199268000004</v>
      </c>
      <c r="I2897" s="654">
        <v>16.625403723390001</v>
      </c>
      <c r="J2897" s="191"/>
      <c r="K2897" s="191">
        <v>3350.8115210362598</v>
      </c>
      <c r="L2897" s="191"/>
      <c r="M2897" s="191"/>
      <c r="N2897" s="191"/>
      <c r="O2897" s="191"/>
      <c r="P2897" s="191"/>
      <c r="Q2897" s="191"/>
      <c r="R2897" s="191"/>
      <c r="S2897" s="191"/>
      <c r="T2897" s="191"/>
      <c r="U2897" s="439"/>
      <c r="V2897" s="441"/>
      <c r="W2897" s="178"/>
      <c r="X2897" s="172"/>
      <c r="Y2897" s="172"/>
      <c r="Z2897" s="172"/>
      <c r="AA2897" s="195"/>
      <c r="AB2897" s="172"/>
    </row>
    <row r="2898" spans="1:28" ht="12.6" customHeight="1" x14ac:dyDescent="0.3">
      <c r="A2898" s="667"/>
      <c r="B2898" s="668" t="s">
        <v>9807</v>
      </c>
      <c r="C2898" s="160" t="s">
        <v>9808</v>
      </c>
      <c r="D2898" s="160"/>
      <c r="E2898" s="439"/>
      <c r="F2898" s="161">
        <v>565.95978420599999</v>
      </c>
      <c r="G2898" s="161"/>
      <c r="H2898" s="654"/>
      <c r="I2898" s="654"/>
      <c r="J2898" s="191"/>
      <c r="K2898" s="191">
        <v>250564.76531637399</v>
      </c>
      <c r="L2898" s="191"/>
      <c r="M2898" s="191"/>
      <c r="N2898" s="191"/>
      <c r="O2898" s="191"/>
      <c r="P2898" s="191"/>
      <c r="Q2898" s="191"/>
      <c r="R2898" s="191"/>
      <c r="S2898" s="191"/>
      <c r="T2898" s="191"/>
      <c r="U2898" s="439"/>
      <c r="V2898" s="441"/>
      <c r="W2898" s="178"/>
      <c r="X2898" s="172"/>
      <c r="Y2898" s="172"/>
      <c r="Z2898" s="172"/>
      <c r="AA2898" s="195"/>
      <c r="AB2898" s="172"/>
    </row>
    <row r="2899" spans="1:28" ht="12.6" customHeight="1" x14ac:dyDescent="0.3">
      <c r="A2899" s="667"/>
      <c r="B2899" s="668" t="s">
        <v>9809</v>
      </c>
      <c r="C2899" s="160" t="s">
        <v>9810</v>
      </c>
      <c r="D2899" s="160"/>
      <c r="E2899" s="439"/>
      <c r="F2899" s="161">
        <v>631.95150515199998</v>
      </c>
      <c r="G2899" s="161"/>
      <c r="H2899" s="654"/>
      <c r="I2899" s="654"/>
      <c r="J2899" s="191"/>
      <c r="K2899" s="191">
        <v>227441.65139828299</v>
      </c>
      <c r="L2899" s="191"/>
      <c r="M2899" s="191"/>
      <c r="N2899" s="191"/>
      <c r="O2899" s="191"/>
      <c r="P2899" s="191"/>
      <c r="Q2899" s="191"/>
      <c r="R2899" s="191"/>
      <c r="S2899" s="191"/>
      <c r="T2899" s="191"/>
      <c r="U2899" s="439"/>
      <c r="V2899" s="441"/>
      <c r="W2899" s="178"/>
      <c r="X2899" s="172"/>
      <c r="Y2899" s="172"/>
      <c r="Z2899" s="172"/>
      <c r="AA2899" s="195"/>
      <c r="AB2899" s="172"/>
    </row>
    <row r="2900" spans="1:28" ht="12.6" customHeight="1" x14ac:dyDescent="0.3">
      <c r="A2900" s="667"/>
      <c r="B2900" s="668" t="s">
        <v>9811</v>
      </c>
      <c r="C2900" s="160" t="s">
        <v>9812</v>
      </c>
      <c r="D2900" s="160"/>
      <c r="E2900" s="439">
        <v>6.32</v>
      </c>
      <c r="F2900" s="161">
        <v>348.97722974300001</v>
      </c>
      <c r="G2900" s="161">
        <v>-76.760000000000005</v>
      </c>
      <c r="H2900" s="654">
        <v>2084.0228430000002</v>
      </c>
      <c r="I2900" s="654">
        <v>15.3743663449427</v>
      </c>
      <c r="J2900" s="191"/>
      <c r="K2900" s="191">
        <v>3063.4443822980002</v>
      </c>
      <c r="L2900" s="191"/>
      <c r="M2900" s="191"/>
      <c r="N2900" s="191"/>
      <c r="O2900" s="191"/>
      <c r="P2900" s="191"/>
      <c r="Q2900" s="191"/>
      <c r="R2900" s="191"/>
      <c r="S2900" s="191"/>
      <c r="T2900" s="191"/>
      <c r="U2900" s="439"/>
      <c r="V2900" s="441"/>
      <c r="W2900" s="178"/>
      <c r="X2900" s="172"/>
      <c r="Y2900" s="172"/>
      <c r="Z2900" s="172"/>
      <c r="AA2900" s="195"/>
      <c r="AB2900" s="172"/>
    </row>
    <row r="2901" spans="1:28" ht="12.6" customHeight="1" x14ac:dyDescent="0.3">
      <c r="A2901" s="667"/>
      <c r="B2901" s="668" t="s">
        <v>9813</v>
      </c>
      <c r="C2901" s="160" t="s">
        <v>9814</v>
      </c>
      <c r="D2901" s="160"/>
      <c r="E2901" s="439"/>
      <c r="F2901" s="161">
        <v>403.96936522800002</v>
      </c>
      <c r="G2901" s="161">
        <v>-116.232</v>
      </c>
      <c r="H2901" s="654">
        <v>7941.4849163999997</v>
      </c>
      <c r="I2901" s="654">
        <v>1.88082480879043</v>
      </c>
      <c r="J2901" s="191"/>
      <c r="K2901" s="191">
        <v>4730.0964892240299</v>
      </c>
      <c r="L2901" s="191"/>
      <c r="M2901" s="191"/>
      <c r="N2901" s="191"/>
      <c r="O2901" s="191"/>
      <c r="P2901" s="191"/>
      <c r="Q2901" s="191"/>
      <c r="R2901" s="191"/>
      <c r="S2901" s="191"/>
      <c r="T2901" s="191"/>
      <c r="U2901" s="439"/>
      <c r="V2901" s="441"/>
      <c r="W2901" s="178"/>
      <c r="X2901" s="172"/>
      <c r="Y2901" s="172"/>
      <c r="Z2901" s="172"/>
      <c r="AA2901" s="195"/>
      <c r="AB2901" s="172"/>
    </row>
    <row r="2902" spans="1:28" ht="12.6" customHeight="1" x14ac:dyDescent="0.3">
      <c r="A2902" s="667"/>
      <c r="B2902" s="668" t="s">
        <v>9815</v>
      </c>
      <c r="C2902" s="160" t="s">
        <v>9816</v>
      </c>
      <c r="D2902" s="160"/>
      <c r="E2902" s="439"/>
      <c r="F2902" s="161">
        <v>453.96617155400003</v>
      </c>
      <c r="G2902" s="161"/>
      <c r="H2902" s="654"/>
      <c r="I2902" s="654"/>
      <c r="J2902" s="191"/>
      <c r="K2902" s="191">
        <v>19905.816672029101</v>
      </c>
      <c r="L2902" s="191"/>
      <c r="M2902" s="191"/>
      <c r="N2902" s="191"/>
      <c r="O2902" s="191"/>
      <c r="P2902" s="191"/>
      <c r="Q2902" s="191"/>
      <c r="R2902" s="191"/>
      <c r="S2902" s="191"/>
      <c r="T2902" s="191"/>
      <c r="U2902" s="439"/>
      <c r="V2902" s="441"/>
      <c r="W2902" s="178"/>
      <c r="X2902" s="172"/>
      <c r="Y2902" s="172"/>
      <c r="Z2902" s="172"/>
      <c r="AA2902" s="195"/>
      <c r="AB2902" s="172"/>
    </row>
    <row r="2903" spans="1:28" ht="12.6" customHeight="1" x14ac:dyDescent="0.3">
      <c r="A2903" s="667" t="s">
        <v>4414</v>
      </c>
      <c r="B2903" s="668" t="s">
        <v>9817</v>
      </c>
      <c r="C2903" s="160" t="s">
        <v>9818</v>
      </c>
      <c r="D2903" s="160"/>
      <c r="E2903" s="439"/>
      <c r="F2903" s="161"/>
      <c r="G2903" s="161"/>
      <c r="H2903" s="654"/>
      <c r="I2903" s="654"/>
      <c r="J2903" s="191"/>
      <c r="K2903" s="191"/>
      <c r="L2903" s="191"/>
      <c r="M2903" s="191"/>
      <c r="N2903" s="191"/>
      <c r="O2903" s="191"/>
      <c r="P2903" s="191"/>
      <c r="Q2903" s="191"/>
      <c r="R2903" s="191"/>
      <c r="S2903" s="191"/>
      <c r="T2903" s="191"/>
      <c r="U2903" s="439"/>
      <c r="V2903" s="441"/>
      <c r="W2903" s="178"/>
      <c r="X2903" s="172"/>
      <c r="Y2903" s="172"/>
      <c r="Z2903" s="172"/>
      <c r="AA2903" s="195"/>
      <c r="AB2903" s="172"/>
    </row>
    <row r="2904" spans="1:28" ht="12.6" customHeight="1" x14ac:dyDescent="0.3">
      <c r="A2904" s="667"/>
      <c r="B2904" s="668" t="s">
        <v>9819</v>
      </c>
      <c r="C2904" s="160" t="s">
        <v>9820</v>
      </c>
      <c r="D2904" s="160"/>
      <c r="E2904" s="439">
        <v>3.8420000000000001</v>
      </c>
      <c r="F2904" s="161">
        <v>253.97894625000001</v>
      </c>
      <c r="G2904" s="161">
        <v>-108.32299999999999</v>
      </c>
      <c r="H2904" s="654">
        <v>90552.835687999905</v>
      </c>
      <c r="I2904" s="654">
        <v>60.785289163904999</v>
      </c>
      <c r="J2904" s="191"/>
      <c r="K2904" s="191">
        <v>310.89232446595901</v>
      </c>
      <c r="L2904" s="191"/>
      <c r="M2904" s="191"/>
      <c r="N2904" s="191"/>
      <c r="O2904" s="191"/>
      <c r="P2904" s="191"/>
      <c r="Q2904" s="191"/>
      <c r="R2904" s="191"/>
      <c r="S2904" s="191"/>
      <c r="T2904" s="191"/>
      <c r="U2904" s="439"/>
      <c r="V2904" s="441"/>
      <c r="W2904" s="178"/>
      <c r="X2904" s="172"/>
      <c r="Y2904" s="172"/>
      <c r="Z2904" s="172"/>
      <c r="AA2904" s="195"/>
      <c r="AB2904" s="172"/>
    </row>
    <row r="2905" spans="1:28" ht="12.6" customHeight="1" x14ac:dyDescent="0.3">
      <c r="A2905" s="667"/>
      <c r="B2905" s="668" t="s">
        <v>9821</v>
      </c>
      <c r="C2905" s="160" t="s">
        <v>9822</v>
      </c>
      <c r="D2905" s="160"/>
      <c r="E2905" s="439"/>
      <c r="F2905" s="161">
        <v>317.94084666399999</v>
      </c>
      <c r="G2905" s="161">
        <v>-48.707999999999998</v>
      </c>
      <c r="H2905" s="654">
        <v>387.16975444000002</v>
      </c>
      <c r="I2905" s="654">
        <v>93.831020608326298</v>
      </c>
      <c r="J2905" s="191"/>
      <c r="K2905" s="191">
        <v>3281.7084854452501</v>
      </c>
      <c r="L2905" s="191"/>
      <c r="M2905" s="191"/>
      <c r="N2905" s="191"/>
      <c r="O2905" s="191"/>
      <c r="P2905" s="191"/>
      <c r="Q2905" s="191"/>
      <c r="R2905" s="191"/>
      <c r="S2905" s="191"/>
      <c r="T2905" s="191"/>
      <c r="U2905" s="439"/>
      <c r="V2905" s="441"/>
      <c r="W2905" s="178"/>
      <c r="X2905" s="172"/>
      <c r="Y2905" s="172"/>
      <c r="Z2905" s="172"/>
      <c r="AA2905" s="195"/>
      <c r="AB2905" s="172"/>
    </row>
    <row r="2906" spans="1:28" ht="12.6" customHeight="1" x14ac:dyDescent="0.3">
      <c r="A2906" s="667"/>
      <c r="B2906" s="668" t="s">
        <v>9823</v>
      </c>
      <c r="C2906" s="160" t="s">
        <v>9824</v>
      </c>
      <c r="D2906" s="160"/>
      <c r="E2906" s="439"/>
      <c r="F2906" s="161">
        <v>479.88421499999998</v>
      </c>
      <c r="G2906" s="161"/>
      <c r="H2906" s="654"/>
      <c r="I2906" s="654"/>
      <c r="J2906" s="191"/>
      <c r="K2906" s="191">
        <v>53469.977333713498</v>
      </c>
      <c r="L2906" s="191"/>
      <c r="M2906" s="191"/>
      <c r="N2906" s="191"/>
      <c r="O2906" s="191"/>
      <c r="P2906" s="191"/>
      <c r="Q2906" s="191"/>
      <c r="R2906" s="191"/>
      <c r="S2906" s="191"/>
      <c r="T2906" s="191"/>
      <c r="U2906" s="439"/>
      <c r="V2906" s="441"/>
      <c r="W2906" s="178"/>
      <c r="X2906" s="172"/>
      <c r="Y2906" s="172"/>
      <c r="Z2906" s="172"/>
      <c r="AA2906" s="195"/>
      <c r="AB2906" s="172"/>
    </row>
    <row r="2907" spans="1:28" ht="12.6" customHeight="1" x14ac:dyDescent="0.3">
      <c r="A2907" s="667"/>
      <c r="B2907" s="668" t="s">
        <v>9825</v>
      </c>
      <c r="C2907" s="160" t="s">
        <v>9826</v>
      </c>
      <c r="D2907" s="160"/>
      <c r="E2907" s="439"/>
      <c r="F2907" s="161">
        <v>419.96427984799999</v>
      </c>
      <c r="G2907" s="161">
        <v>-105.506</v>
      </c>
      <c r="H2907" s="654">
        <v>4148.6073384000001</v>
      </c>
      <c r="I2907" s="654">
        <v>3.7862761574684098</v>
      </c>
      <c r="J2907" s="191"/>
      <c r="K2907" s="191">
        <v>24507.555792438201</v>
      </c>
      <c r="L2907" s="191"/>
      <c r="M2907" s="191"/>
      <c r="N2907" s="191"/>
      <c r="O2907" s="191"/>
      <c r="P2907" s="191"/>
      <c r="Q2907" s="191"/>
      <c r="R2907" s="191"/>
      <c r="S2907" s="191"/>
      <c r="T2907" s="191"/>
      <c r="U2907" s="439"/>
      <c r="V2907" s="441"/>
      <c r="W2907" s="178"/>
      <c r="X2907" s="172"/>
      <c r="Y2907" s="172"/>
      <c r="Z2907" s="172"/>
      <c r="AA2907" s="195"/>
      <c r="AB2907" s="172"/>
    </row>
    <row r="2908" spans="1:28" ht="12.6" customHeight="1" x14ac:dyDescent="0.3">
      <c r="A2908" s="667"/>
      <c r="B2908" s="668" t="s">
        <v>9827</v>
      </c>
      <c r="C2908" s="160" t="s">
        <v>9828</v>
      </c>
      <c r="D2908" s="160"/>
      <c r="E2908" s="439">
        <v>41.991</v>
      </c>
      <c r="F2908" s="161">
        <v>483.926180262</v>
      </c>
      <c r="G2908" s="161"/>
      <c r="H2908" s="654"/>
      <c r="I2908" s="654"/>
      <c r="J2908" s="191"/>
      <c r="K2908" s="191"/>
      <c r="L2908" s="191"/>
      <c r="M2908" s="191"/>
      <c r="N2908" s="191"/>
      <c r="O2908" s="191"/>
      <c r="P2908" s="191"/>
      <c r="Q2908" s="191"/>
      <c r="R2908" s="191"/>
      <c r="S2908" s="191"/>
      <c r="T2908" s="191"/>
      <c r="U2908" s="439"/>
      <c r="V2908" s="441"/>
      <c r="W2908" s="178"/>
      <c r="X2908" s="172"/>
      <c r="Y2908" s="172"/>
      <c r="Z2908" s="172"/>
      <c r="AA2908" s="195"/>
      <c r="AB2908" s="172"/>
    </row>
    <row r="2909" spans="1:28" ht="12.6" customHeight="1" x14ac:dyDescent="0.3">
      <c r="A2909" s="667"/>
      <c r="B2909" s="668" t="s">
        <v>9829</v>
      </c>
      <c r="C2909" s="160" t="s">
        <v>9830</v>
      </c>
      <c r="D2909" s="160"/>
      <c r="E2909" s="439"/>
      <c r="F2909" s="161">
        <v>811.85488199999998</v>
      </c>
      <c r="G2909" s="161"/>
      <c r="H2909" s="654"/>
      <c r="I2909" s="654"/>
      <c r="J2909" s="191"/>
      <c r="K2909" s="191">
        <v>264478.27277803997</v>
      </c>
      <c r="L2909" s="191"/>
      <c r="M2909" s="191"/>
      <c r="N2909" s="191"/>
      <c r="O2909" s="191"/>
      <c r="P2909" s="191"/>
      <c r="Q2909" s="191"/>
      <c r="R2909" s="191"/>
      <c r="S2909" s="191"/>
      <c r="T2909" s="191"/>
      <c r="U2909" s="439"/>
      <c r="V2909" s="441"/>
      <c r="W2909" s="178"/>
      <c r="X2909" s="172"/>
      <c r="Y2909" s="172"/>
      <c r="Z2909" s="172"/>
      <c r="AA2909" s="195"/>
      <c r="AB2909" s="172"/>
    </row>
    <row r="2910" spans="1:28" ht="12.6" customHeight="1" x14ac:dyDescent="0.3">
      <c r="A2910" s="667"/>
      <c r="B2910" s="668" t="s">
        <v>9831</v>
      </c>
      <c r="C2910" s="160" t="s">
        <v>9832</v>
      </c>
      <c r="D2910" s="160"/>
      <c r="E2910" s="439"/>
      <c r="F2910" s="161">
        <v>351.9115663</v>
      </c>
      <c r="G2910" s="161"/>
      <c r="H2910" s="654"/>
      <c r="I2910" s="654"/>
      <c r="J2910" s="191"/>
      <c r="K2910" s="191">
        <v>1146.4364878987799</v>
      </c>
      <c r="L2910" s="191"/>
      <c r="M2910" s="191"/>
      <c r="N2910" s="191"/>
      <c r="O2910" s="191"/>
      <c r="P2910" s="191"/>
      <c r="Q2910" s="191"/>
      <c r="R2910" s="191"/>
      <c r="S2910" s="191"/>
      <c r="T2910" s="191"/>
      <c r="U2910" s="439"/>
      <c r="V2910" s="441"/>
      <c r="W2910" s="178"/>
      <c r="X2910" s="172"/>
      <c r="Y2910" s="172"/>
      <c r="Z2910" s="172"/>
      <c r="AA2910" s="195"/>
      <c r="AB2910" s="172"/>
    </row>
    <row r="2911" spans="1:28" ht="12.6" customHeight="1" x14ac:dyDescent="0.3">
      <c r="A2911" s="667"/>
      <c r="B2911" s="668" t="s">
        <v>9833</v>
      </c>
      <c r="C2911" s="160" t="s">
        <v>9834</v>
      </c>
      <c r="D2911" s="160"/>
      <c r="E2911" s="439"/>
      <c r="F2911" s="161">
        <v>447.95919446800002</v>
      </c>
      <c r="G2911" s="161"/>
      <c r="H2911" s="654"/>
      <c r="I2911" s="654"/>
      <c r="J2911" s="191"/>
      <c r="K2911" s="191">
        <v>7417.2001769450699</v>
      </c>
      <c r="L2911" s="191"/>
      <c r="M2911" s="191"/>
      <c r="N2911" s="191"/>
      <c r="O2911" s="191"/>
      <c r="P2911" s="191"/>
      <c r="Q2911" s="191"/>
      <c r="R2911" s="191"/>
      <c r="S2911" s="191"/>
      <c r="T2911" s="191"/>
      <c r="U2911" s="439"/>
      <c r="V2911" s="441"/>
      <c r="W2911" s="178"/>
      <c r="X2911" s="172"/>
      <c r="Y2911" s="172"/>
      <c r="Z2911" s="172"/>
      <c r="AA2911" s="195"/>
      <c r="AB2911" s="172"/>
    </row>
    <row r="2912" spans="1:28" ht="12.6" customHeight="1" x14ac:dyDescent="0.3">
      <c r="A2912" s="667"/>
      <c r="B2912" s="668" t="s">
        <v>9835</v>
      </c>
      <c r="C2912" s="160" t="s">
        <v>9836</v>
      </c>
      <c r="D2912" s="160"/>
      <c r="E2912" s="439"/>
      <c r="F2912" s="161">
        <v>461.87862999999999</v>
      </c>
      <c r="G2912" s="161"/>
      <c r="H2912" s="654"/>
      <c r="I2912" s="654"/>
      <c r="J2912" s="191"/>
      <c r="K2912" s="191">
        <v>12877.4537865983</v>
      </c>
      <c r="L2912" s="191"/>
      <c r="M2912" s="191"/>
      <c r="N2912" s="191"/>
      <c r="O2912" s="191"/>
      <c r="P2912" s="191"/>
      <c r="Q2912" s="191"/>
      <c r="R2912" s="191"/>
      <c r="S2912" s="191"/>
      <c r="T2912" s="191"/>
      <c r="U2912" s="439"/>
      <c r="V2912" s="441"/>
      <c r="W2912" s="178"/>
      <c r="X2912" s="172"/>
      <c r="Y2912" s="172"/>
      <c r="Z2912" s="172"/>
      <c r="AA2912" s="195"/>
      <c r="AB2912" s="172"/>
    </row>
    <row r="2913" spans="1:28" ht="12.6" customHeight="1" x14ac:dyDescent="0.3">
      <c r="A2913" s="667"/>
      <c r="B2913" s="668" t="s">
        <v>9837</v>
      </c>
      <c r="C2913" s="160" t="s">
        <v>9838</v>
      </c>
      <c r="D2913" s="160"/>
      <c r="E2913" s="439">
        <v>5.75</v>
      </c>
      <c r="F2913" s="161">
        <v>398.97403606900002</v>
      </c>
      <c r="G2913" s="161"/>
      <c r="H2913" s="654"/>
      <c r="I2913" s="654"/>
      <c r="J2913" s="191"/>
      <c r="K2913" s="191">
        <v>18390.3502249427</v>
      </c>
      <c r="L2913" s="191"/>
      <c r="M2913" s="191"/>
      <c r="N2913" s="191"/>
      <c r="O2913" s="191"/>
      <c r="P2913" s="191"/>
      <c r="Q2913" s="191"/>
      <c r="R2913" s="191"/>
      <c r="S2913" s="191"/>
      <c r="T2913" s="191"/>
      <c r="U2913" s="439"/>
      <c r="V2913" s="441"/>
      <c r="W2913" s="178"/>
      <c r="X2913" s="172"/>
      <c r="Y2913" s="172"/>
      <c r="Z2913" s="172"/>
      <c r="AA2913" s="195"/>
      <c r="AB2913" s="172"/>
    </row>
    <row r="2914" spans="1:28" ht="12.6" customHeight="1" x14ac:dyDescent="0.3">
      <c r="A2914" s="667"/>
      <c r="B2914" s="668" t="s">
        <v>9839</v>
      </c>
      <c r="C2914" s="160" t="s">
        <v>9840</v>
      </c>
      <c r="D2914" s="160"/>
      <c r="E2914" s="439"/>
      <c r="F2914" s="161">
        <v>335.91665169999999</v>
      </c>
      <c r="G2914" s="161"/>
      <c r="H2914" s="654"/>
      <c r="I2914" s="654"/>
      <c r="J2914" s="191"/>
      <c r="K2914" s="191">
        <v>3195.0672231369999</v>
      </c>
      <c r="L2914" s="191"/>
      <c r="M2914" s="191"/>
      <c r="N2914" s="191"/>
      <c r="O2914" s="191"/>
      <c r="P2914" s="191"/>
      <c r="Q2914" s="191"/>
      <c r="R2914" s="191"/>
      <c r="S2914" s="191"/>
      <c r="T2914" s="191"/>
      <c r="U2914" s="439"/>
      <c r="V2914" s="441"/>
      <c r="W2914" s="178"/>
      <c r="X2914" s="172"/>
      <c r="Y2914" s="172"/>
      <c r="Z2914" s="172"/>
      <c r="AA2914" s="195"/>
      <c r="AB2914" s="172"/>
    </row>
    <row r="2915" spans="1:28" ht="12.6" customHeight="1" x14ac:dyDescent="0.3">
      <c r="A2915" s="667"/>
      <c r="B2915" s="668" t="s">
        <v>9841</v>
      </c>
      <c r="C2915" s="160" t="s">
        <v>9842</v>
      </c>
      <c r="D2915" s="160"/>
      <c r="E2915" s="439"/>
      <c r="F2915" s="161">
        <v>427.85226999999998</v>
      </c>
      <c r="G2915" s="161"/>
      <c r="H2915" s="654"/>
      <c r="I2915" s="654"/>
      <c r="J2915" s="191"/>
      <c r="K2915" s="191">
        <v>3186.03102083562</v>
      </c>
      <c r="L2915" s="191"/>
      <c r="M2915" s="191"/>
      <c r="N2915" s="191"/>
      <c r="O2915" s="191"/>
      <c r="P2915" s="191"/>
      <c r="Q2915" s="191"/>
      <c r="R2915" s="191"/>
      <c r="S2915" s="191"/>
      <c r="T2915" s="191"/>
      <c r="U2915" s="439"/>
      <c r="V2915" s="441"/>
      <c r="W2915" s="178"/>
      <c r="X2915" s="172"/>
      <c r="Y2915" s="172"/>
      <c r="Z2915" s="172"/>
      <c r="AA2915" s="195"/>
      <c r="AB2915" s="172"/>
    </row>
    <row r="2916" spans="1:28" ht="12.6" customHeight="1" x14ac:dyDescent="0.3">
      <c r="A2916" s="667"/>
      <c r="B2916" s="668" t="s">
        <v>9843</v>
      </c>
      <c r="C2916" s="160" t="s">
        <v>9844</v>
      </c>
      <c r="D2916" s="160"/>
      <c r="E2916" s="439"/>
      <c r="F2916" s="161">
        <v>363.89568700000001</v>
      </c>
      <c r="G2916" s="161">
        <v>-97.929000000000002</v>
      </c>
      <c r="H2916" s="654">
        <v>8431.4432663999996</v>
      </c>
      <c r="I2916" s="654">
        <v>26.422684170482199</v>
      </c>
      <c r="J2916" s="191"/>
      <c r="K2916" s="191">
        <v>3331.4246893987302</v>
      </c>
      <c r="L2916" s="191"/>
      <c r="M2916" s="191"/>
      <c r="N2916" s="191"/>
      <c r="O2916" s="191"/>
      <c r="P2916" s="191"/>
      <c r="Q2916" s="191"/>
      <c r="R2916" s="191"/>
      <c r="S2916" s="191"/>
      <c r="T2916" s="191"/>
      <c r="U2916" s="439"/>
      <c r="V2916" s="441"/>
      <c r="W2916" s="178"/>
      <c r="X2916" s="172"/>
      <c r="Y2916" s="172"/>
      <c r="Z2916" s="172"/>
      <c r="AA2916" s="195"/>
      <c r="AB2916" s="172"/>
    </row>
    <row r="2917" spans="1:28" ht="12.6" customHeight="1" x14ac:dyDescent="0.3">
      <c r="A2917" s="667"/>
      <c r="B2917" s="668" t="s">
        <v>9845</v>
      </c>
      <c r="C2917" s="160" t="s">
        <v>9846</v>
      </c>
      <c r="D2917" s="160"/>
      <c r="E2917" s="439">
        <v>44.174999999999997</v>
      </c>
      <c r="F2917" s="161">
        <v>711.86266000000001</v>
      </c>
      <c r="G2917" s="161">
        <v>-56.427</v>
      </c>
      <c r="H2917" s="654">
        <v>232.22159282000001</v>
      </c>
      <c r="I2917" s="654"/>
      <c r="J2917" s="191"/>
      <c r="K2917" s="191">
        <v>111193.653469668</v>
      </c>
      <c r="L2917" s="191"/>
      <c r="M2917" s="191"/>
      <c r="N2917" s="191"/>
      <c r="O2917" s="191"/>
      <c r="P2917" s="191"/>
      <c r="Q2917" s="191"/>
      <c r="R2917" s="191"/>
      <c r="S2917" s="191"/>
      <c r="T2917" s="191"/>
      <c r="U2917" s="439"/>
      <c r="V2917" s="441"/>
      <c r="W2917" s="178"/>
      <c r="X2917" s="172"/>
      <c r="Y2917" s="172"/>
      <c r="Z2917" s="172"/>
      <c r="AA2917" s="195"/>
      <c r="AB2917" s="172"/>
    </row>
    <row r="2918" spans="1:28" ht="12.6" customHeight="1" x14ac:dyDescent="0.3">
      <c r="A2918" s="667"/>
      <c r="B2918" s="668" t="s">
        <v>9847</v>
      </c>
      <c r="C2918" s="160" t="s">
        <v>9848</v>
      </c>
      <c r="D2918" s="160"/>
      <c r="E2918" s="439"/>
      <c r="F2918" s="161">
        <v>639.90034000000003</v>
      </c>
      <c r="G2918" s="161">
        <v>-27.867999999999999</v>
      </c>
      <c r="H2918" s="654">
        <v>43.341249013999999</v>
      </c>
      <c r="I2918" s="654">
        <v>8.7521089202819993E-2</v>
      </c>
      <c r="J2918" s="191"/>
      <c r="K2918" s="191">
        <v>129735.849530318</v>
      </c>
      <c r="L2918" s="191"/>
      <c r="M2918" s="191"/>
      <c r="N2918" s="191"/>
      <c r="O2918" s="191"/>
      <c r="P2918" s="191"/>
      <c r="Q2918" s="191"/>
      <c r="R2918" s="191"/>
      <c r="S2918" s="191"/>
      <c r="T2918" s="191"/>
      <c r="U2918" s="439"/>
      <c r="V2918" s="441"/>
      <c r="W2918" s="178"/>
      <c r="X2918" s="172"/>
      <c r="Y2918" s="172"/>
      <c r="Z2918" s="172"/>
      <c r="AA2918" s="195"/>
      <c r="AB2918" s="172"/>
    </row>
    <row r="2919" spans="1:28" ht="12.6" customHeight="1" x14ac:dyDescent="0.3">
      <c r="A2919" s="667"/>
      <c r="B2919" s="668" t="s">
        <v>9849</v>
      </c>
      <c r="C2919" s="160" t="s">
        <v>9850</v>
      </c>
      <c r="D2919" s="160"/>
      <c r="E2919" s="439">
        <v>8.9649999999999999</v>
      </c>
      <c r="F2919" s="161">
        <v>611.86904000000004</v>
      </c>
      <c r="G2919" s="161">
        <v>-47.058999999999997</v>
      </c>
      <c r="H2919" s="654">
        <v>420.63090999999997</v>
      </c>
      <c r="I2919" s="654">
        <v>0.16891134344431999</v>
      </c>
      <c r="J2919" s="191"/>
      <c r="K2919" s="191">
        <v>500264.86242100602</v>
      </c>
      <c r="L2919" s="191"/>
      <c r="M2919" s="191"/>
      <c r="N2919" s="191"/>
      <c r="O2919" s="191"/>
      <c r="P2919" s="191"/>
      <c r="Q2919" s="191"/>
      <c r="R2919" s="191"/>
      <c r="S2919" s="191"/>
      <c r="T2919" s="191"/>
      <c r="U2919" s="439"/>
      <c r="V2919" s="441"/>
      <c r="W2919" s="178"/>
      <c r="X2919" s="172"/>
      <c r="Y2919" s="172"/>
      <c r="Z2919" s="172"/>
      <c r="AA2919" s="195"/>
      <c r="AB2919" s="172"/>
    </row>
    <row r="2920" spans="1:28" ht="12.6" customHeight="1" x14ac:dyDescent="0.3">
      <c r="A2920" s="667"/>
      <c r="B2920" s="668" t="s">
        <v>9851</v>
      </c>
      <c r="C2920" s="160" t="s">
        <v>9852</v>
      </c>
      <c r="D2920" s="160"/>
      <c r="E2920" s="439"/>
      <c r="F2920" s="161">
        <v>539.90673000000004</v>
      </c>
      <c r="G2920" s="161">
        <v>-53.381</v>
      </c>
      <c r="H2920" s="654">
        <v>269.713072439999</v>
      </c>
      <c r="I2920" s="654">
        <v>0.45637182082767003</v>
      </c>
      <c r="J2920" s="191"/>
      <c r="K2920" s="191">
        <v>94332.208014741394</v>
      </c>
      <c r="L2920" s="191"/>
      <c r="M2920" s="191"/>
      <c r="N2920" s="191"/>
      <c r="O2920" s="191"/>
      <c r="P2920" s="191"/>
      <c r="Q2920" s="191"/>
      <c r="R2920" s="191"/>
      <c r="S2920" s="191"/>
      <c r="T2920" s="191"/>
      <c r="U2920" s="439"/>
      <c r="V2920" s="441"/>
      <c r="W2920" s="178"/>
      <c r="X2920" s="172"/>
      <c r="Y2920" s="172"/>
      <c r="Z2920" s="172"/>
      <c r="AA2920" s="195"/>
      <c r="AB2920" s="172"/>
    </row>
    <row r="2921" spans="1:28" ht="12.6" customHeight="1" x14ac:dyDescent="0.3">
      <c r="A2921" s="667"/>
      <c r="B2921" s="668" t="s">
        <v>9853</v>
      </c>
      <c r="C2921" s="160" t="s">
        <v>9854</v>
      </c>
      <c r="D2921" s="160"/>
      <c r="E2921" s="439">
        <v>37.250999999999998</v>
      </c>
      <c r="F2921" s="161">
        <v>511.87542999999999</v>
      </c>
      <c r="G2921" s="161">
        <v>-55.511000000000003</v>
      </c>
      <c r="H2921" s="654">
        <v>761.90723237999998</v>
      </c>
      <c r="I2921" s="654">
        <v>0.87330043361440002</v>
      </c>
      <c r="J2921" s="191"/>
      <c r="K2921" s="191">
        <v>19175.204309445198</v>
      </c>
      <c r="L2921" s="191"/>
      <c r="M2921" s="191"/>
      <c r="N2921" s="191"/>
      <c r="O2921" s="191"/>
      <c r="P2921" s="191"/>
      <c r="Q2921" s="191"/>
      <c r="R2921" s="191"/>
      <c r="S2921" s="191"/>
      <c r="T2921" s="191"/>
      <c r="U2921" s="439"/>
      <c r="V2921" s="441"/>
      <c r="W2921" s="178"/>
      <c r="X2921" s="172"/>
      <c r="Y2921" s="172"/>
      <c r="Z2921" s="172"/>
      <c r="AA2921" s="195"/>
      <c r="AB2921" s="172"/>
    </row>
    <row r="2922" spans="1:28" ht="12.6" customHeight="1" x14ac:dyDescent="0.3">
      <c r="A2922" s="667"/>
      <c r="B2922" s="668" t="s">
        <v>9855</v>
      </c>
      <c r="C2922" s="160" t="s">
        <v>9856</v>
      </c>
      <c r="D2922" s="160"/>
      <c r="E2922" s="439"/>
      <c r="F2922" s="161">
        <v>569.95469882600003</v>
      </c>
      <c r="G2922" s="161"/>
      <c r="H2922" s="654"/>
      <c r="I2922" s="654"/>
      <c r="J2922" s="191"/>
      <c r="K2922" s="191">
        <v>54471.583439109498</v>
      </c>
      <c r="L2922" s="191"/>
      <c r="M2922" s="191"/>
      <c r="N2922" s="191"/>
      <c r="O2922" s="191"/>
      <c r="P2922" s="191"/>
      <c r="Q2922" s="191"/>
      <c r="R2922" s="191"/>
      <c r="S2922" s="191"/>
      <c r="T2922" s="191"/>
      <c r="U2922" s="439"/>
      <c r="V2922" s="441"/>
      <c r="W2922" s="178"/>
      <c r="X2922" s="172"/>
      <c r="Y2922" s="172"/>
      <c r="Z2922" s="172"/>
      <c r="AA2922" s="195"/>
      <c r="AB2922" s="172"/>
    </row>
    <row r="2923" spans="1:28" ht="12.6" customHeight="1" x14ac:dyDescent="0.3">
      <c r="A2923" s="667"/>
      <c r="B2923" s="668" t="s">
        <v>9857</v>
      </c>
      <c r="C2923" s="160" t="s">
        <v>9858</v>
      </c>
      <c r="D2923" s="160"/>
      <c r="E2923" s="439">
        <v>6.59</v>
      </c>
      <c r="F2923" s="161">
        <v>500.107020912</v>
      </c>
      <c r="G2923" s="161"/>
      <c r="H2923" s="654"/>
      <c r="I2923" s="654"/>
      <c r="J2923" s="191"/>
      <c r="K2923" s="191">
        <v>614525.62900142395</v>
      </c>
      <c r="L2923" s="191"/>
      <c r="M2923" s="191"/>
      <c r="N2923" s="191"/>
      <c r="O2923" s="191"/>
      <c r="P2923" s="191"/>
      <c r="Q2923" s="191"/>
      <c r="R2923" s="191"/>
      <c r="S2923" s="191"/>
      <c r="T2923" s="191"/>
      <c r="U2923" s="439"/>
      <c r="V2923" s="441"/>
      <c r="W2923" s="178"/>
      <c r="X2923" s="172"/>
      <c r="Y2923" s="172"/>
      <c r="Z2923" s="172"/>
      <c r="AA2923" s="195"/>
      <c r="AB2923" s="172"/>
    </row>
    <row r="2924" spans="1:28" ht="12.6" customHeight="1" x14ac:dyDescent="0.3">
      <c r="A2924" s="667"/>
      <c r="B2924" s="668" t="s">
        <v>9859</v>
      </c>
      <c r="C2924" s="160" t="s">
        <v>9860</v>
      </c>
      <c r="D2924" s="160"/>
      <c r="E2924" s="439"/>
      <c r="F2924" s="161">
        <v>411.88182</v>
      </c>
      <c r="G2924" s="161">
        <v>-70.207999999999998</v>
      </c>
      <c r="H2924" s="654">
        <v>4314.2199268000004</v>
      </c>
      <c r="I2924" s="654">
        <v>16.625403723390001</v>
      </c>
      <c r="J2924" s="191"/>
      <c r="K2924" s="191">
        <v>3382.4392092497501</v>
      </c>
      <c r="L2924" s="191"/>
      <c r="M2924" s="191"/>
      <c r="N2924" s="191"/>
      <c r="O2924" s="191"/>
      <c r="P2924" s="191"/>
      <c r="Q2924" s="191"/>
      <c r="R2924" s="191"/>
      <c r="S2924" s="191"/>
      <c r="T2924" s="191"/>
      <c r="U2924" s="439"/>
      <c r="V2924" s="441"/>
      <c r="W2924" s="178"/>
      <c r="X2924" s="172"/>
      <c r="Y2924" s="172"/>
      <c r="Z2924" s="172"/>
      <c r="AA2924" s="195"/>
      <c r="AB2924" s="172"/>
    </row>
    <row r="2925" spans="1:28" ht="12.6" customHeight="1" x14ac:dyDescent="0.3">
      <c r="A2925" s="667"/>
      <c r="B2925" s="668" t="s">
        <v>9861</v>
      </c>
      <c r="C2925" s="160" t="s">
        <v>9862</v>
      </c>
      <c r="D2925" s="160"/>
      <c r="E2925" s="439"/>
      <c r="F2925" s="161">
        <v>885.91649723</v>
      </c>
      <c r="G2925" s="161"/>
      <c r="H2925" s="654"/>
      <c r="I2925" s="654"/>
      <c r="J2925" s="191"/>
      <c r="K2925" s="191">
        <v>269736.67517132597</v>
      </c>
      <c r="L2925" s="191"/>
      <c r="M2925" s="191"/>
      <c r="N2925" s="191"/>
      <c r="O2925" s="191"/>
      <c r="P2925" s="191"/>
      <c r="Q2925" s="191"/>
      <c r="R2925" s="191"/>
      <c r="S2925" s="191"/>
      <c r="T2925" s="191"/>
      <c r="U2925" s="439"/>
      <c r="V2925" s="441"/>
      <c r="W2925" s="178"/>
      <c r="X2925" s="172"/>
      <c r="Y2925" s="172"/>
      <c r="Z2925" s="172"/>
      <c r="AA2925" s="195"/>
      <c r="AB2925" s="172"/>
    </row>
    <row r="2926" spans="1:28" ht="12.6" customHeight="1" x14ac:dyDescent="0.3">
      <c r="A2926" s="667"/>
      <c r="B2926" s="668" t="s">
        <v>9863</v>
      </c>
      <c r="C2926" s="160" t="s">
        <v>9864</v>
      </c>
      <c r="D2926" s="160"/>
      <c r="E2926" s="439"/>
      <c r="F2926" s="161">
        <v>857.92158260999997</v>
      </c>
      <c r="G2926" s="161"/>
      <c r="H2926" s="654"/>
      <c r="I2926" s="654"/>
      <c r="J2926" s="191"/>
      <c r="K2926" s="191">
        <v>263608.85819131101</v>
      </c>
      <c r="L2926" s="191"/>
      <c r="M2926" s="191"/>
      <c r="N2926" s="191"/>
      <c r="O2926" s="191"/>
      <c r="P2926" s="191"/>
      <c r="Q2926" s="191"/>
      <c r="R2926" s="191"/>
      <c r="S2926" s="191"/>
      <c r="T2926" s="191"/>
      <c r="U2926" s="439"/>
      <c r="V2926" s="441"/>
      <c r="W2926" s="178"/>
      <c r="X2926" s="172"/>
      <c r="Y2926" s="172"/>
      <c r="Z2926" s="172"/>
      <c r="AA2926" s="195"/>
      <c r="AB2926" s="172"/>
    </row>
    <row r="2927" spans="1:28" ht="12.6" customHeight="1" x14ac:dyDescent="0.3">
      <c r="A2927" s="667"/>
      <c r="B2927" s="668" t="s">
        <v>9865</v>
      </c>
      <c r="C2927" s="160" t="s">
        <v>9866</v>
      </c>
      <c r="D2927" s="160"/>
      <c r="E2927" s="439"/>
      <c r="F2927" s="161">
        <v>309.96877548999998</v>
      </c>
      <c r="G2927" s="161"/>
      <c r="H2927" s="654"/>
      <c r="I2927" s="654"/>
      <c r="J2927" s="191"/>
      <c r="K2927" s="191">
        <v>1589.38825714174</v>
      </c>
      <c r="L2927" s="191"/>
      <c r="M2927" s="191"/>
      <c r="N2927" s="191"/>
      <c r="O2927" s="191"/>
      <c r="P2927" s="191"/>
      <c r="Q2927" s="191"/>
      <c r="R2927" s="191"/>
      <c r="S2927" s="191"/>
      <c r="T2927" s="191"/>
      <c r="U2927" s="439"/>
      <c r="V2927" s="441"/>
      <c r="W2927" s="178"/>
      <c r="X2927" s="172"/>
      <c r="Y2927" s="172"/>
      <c r="Z2927" s="172"/>
      <c r="AA2927" s="195"/>
      <c r="AB2927" s="172"/>
    </row>
    <row r="2928" spans="1:28" ht="12.6" customHeight="1" x14ac:dyDescent="0.3">
      <c r="A2928" s="667"/>
      <c r="B2928" s="668" t="s">
        <v>9867</v>
      </c>
      <c r="C2928" s="160" t="s">
        <v>9868</v>
      </c>
      <c r="D2928" s="160"/>
      <c r="E2928" s="439">
        <v>6.41</v>
      </c>
      <c r="F2928" s="161">
        <v>298.980423417</v>
      </c>
      <c r="G2928" s="161">
        <v>-75.183000000000007</v>
      </c>
      <c r="H2928" s="654">
        <v>14753.679163999999</v>
      </c>
      <c r="I2928" s="654">
        <v>51.718231603519399</v>
      </c>
      <c r="J2928" s="191"/>
      <c r="K2928" s="191">
        <v>16049.4443044445</v>
      </c>
      <c r="L2928" s="191"/>
      <c r="M2928" s="191"/>
      <c r="N2928" s="191"/>
      <c r="O2928" s="191"/>
      <c r="P2928" s="191"/>
      <c r="Q2928" s="191"/>
      <c r="R2928" s="191"/>
      <c r="S2928" s="191"/>
      <c r="T2928" s="191"/>
      <c r="U2928" s="439"/>
      <c r="V2928" s="441"/>
      <c r="W2928" s="178"/>
      <c r="X2928" s="172"/>
      <c r="Y2928" s="172"/>
      <c r="Z2928" s="172"/>
      <c r="AA2928" s="195"/>
      <c r="AB2928" s="172"/>
    </row>
    <row r="2929" spans="1:28" ht="12.6" customHeight="1" x14ac:dyDescent="0.3">
      <c r="A2929" s="667"/>
      <c r="B2929" s="668" t="s">
        <v>9869</v>
      </c>
      <c r="C2929" s="160" t="s">
        <v>9870</v>
      </c>
      <c r="D2929" s="160"/>
      <c r="E2929" s="439"/>
      <c r="F2929" s="161">
        <v>303.97575257599999</v>
      </c>
      <c r="G2929" s="161"/>
      <c r="H2929" s="654"/>
      <c r="I2929" s="654"/>
      <c r="J2929" s="191"/>
      <c r="K2929" s="191">
        <v>1224.6725962237199</v>
      </c>
      <c r="L2929" s="191"/>
      <c r="M2929" s="191"/>
      <c r="N2929" s="191"/>
      <c r="O2929" s="191"/>
      <c r="P2929" s="191"/>
      <c r="Q2929" s="191"/>
      <c r="R2929" s="191"/>
      <c r="S2929" s="191"/>
      <c r="T2929" s="191"/>
      <c r="U2929" s="439"/>
      <c r="V2929" s="441"/>
      <c r="W2929" s="178"/>
      <c r="X2929" s="172"/>
      <c r="Y2929" s="172"/>
      <c r="Z2929" s="172"/>
      <c r="AA2929" s="195"/>
      <c r="AB2929" s="172"/>
    </row>
    <row r="2930" spans="1:28" ht="12.6" customHeight="1" x14ac:dyDescent="0.3">
      <c r="A2930" s="667"/>
      <c r="B2930" s="668" t="s">
        <v>9871</v>
      </c>
      <c r="C2930" s="160" t="s">
        <v>9872</v>
      </c>
      <c r="D2930" s="160"/>
      <c r="E2930" s="439"/>
      <c r="F2930" s="161">
        <v>212.00721185800001</v>
      </c>
      <c r="G2930" s="161"/>
      <c r="H2930" s="654"/>
      <c r="I2930" s="654"/>
      <c r="J2930" s="191"/>
      <c r="K2930" s="191">
        <v>121.531819515941</v>
      </c>
      <c r="L2930" s="191"/>
      <c r="M2930" s="191"/>
      <c r="N2930" s="191"/>
      <c r="O2930" s="191"/>
      <c r="P2930" s="191"/>
      <c r="Q2930" s="191"/>
      <c r="R2930" s="191"/>
      <c r="S2930" s="191"/>
      <c r="T2930" s="191"/>
      <c r="U2930" s="439"/>
      <c r="V2930" s="441"/>
      <c r="W2930" s="178"/>
      <c r="X2930" s="172"/>
      <c r="Y2930" s="172"/>
      <c r="Z2930" s="172"/>
      <c r="AA2930" s="195"/>
      <c r="AB2930" s="172"/>
    </row>
    <row r="2931" spans="1:28" ht="12.6" customHeight="1" x14ac:dyDescent="0.3">
      <c r="A2931" s="667"/>
      <c r="B2931" s="668" t="s">
        <v>9873</v>
      </c>
      <c r="C2931" s="160" t="s">
        <v>9874</v>
      </c>
      <c r="D2931" s="160"/>
      <c r="E2931" s="439"/>
      <c r="F2931" s="161">
        <v>242.01777654200001</v>
      </c>
      <c r="G2931" s="161"/>
      <c r="H2931" s="654"/>
      <c r="I2931" s="654"/>
      <c r="J2931" s="191"/>
      <c r="K2931" s="191">
        <v>976.76479909309603</v>
      </c>
      <c r="L2931" s="191"/>
      <c r="M2931" s="191"/>
      <c r="N2931" s="191"/>
      <c r="O2931" s="191"/>
      <c r="P2931" s="191"/>
      <c r="Q2931" s="191"/>
      <c r="R2931" s="191"/>
      <c r="S2931" s="191"/>
      <c r="T2931" s="191"/>
      <c r="U2931" s="439"/>
      <c r="V2931" s="441"/>
      <c r="W2931" s="178"/>
      <c r="X2931" s="172"/>
      <c r="Y2931" s="172"/>
      <c r="Z2931" s="172"/>
      <c r="AA2931" s="195"/>
      <c r="AB2931" s="172"/>
    </row>
    <row r="2932" spans="1:28" ht="12.6" customHeight="1" x14ac:dyDescent="0.3">
      <c r="A2932" s="667"/>
      <c r="B2932" s="668" t="s">
        <v>9875</v>
      </c>
      <c r="C2932" s="160" t="s">
        <v>9876</v>
      </c>
      <c r="D2932" s="160"/>
      <c r="E2932" s="439"/>
      <c r="F2932" s="161">
        <v>373.81881600000003</v>
      </c>
      <c r="G2932" s="161">
        <v>-43.857999999999997</v>
      </c>
      <c r="H2932" s="654">
        <v>4424.8771868000003</v>
      </c>
      <c r="I2932" s="654">
        <v>24.869156517676799</v>
      </c>
      <c r="J2932" s="191"/>
      <c r="K2932" s="191">
        <v>3598.3218003888001</v>
      </c>
      <c r="L2932" s="191"/>
      <c r="M2932" s="191"/>
      <c r="N2932" s="191"/>
      <c r="O2932" s="191"/>
      <c r="P2932" s="191"/>
      <c r="Q2932" s="191"/>
      <c r="R2932" s="191"/>
      <c r="S2932" s="191"/>
      <c r="T2932" s="191"/>
      <c r="U2932" s="439"/>
      <c r="V2932" s="441"/>
      <c r="W2932" s="178"/>
      <c r="X2932" s="172"/>
      <c r="Y2932" s="172"/>
      <c r="Z2932" s="172"/>
      <c r="AA2932" s="195"/>
      <c r="AB2932" s="172"/>
    </row>
    <row r="2933" spans="1:28" ht="12.6" customHeight="1" x14ac:dyDescent="0.3">
      <c r="A2933" s="667"/>
      <c r="B2933" s="668" t="s">
        <v>9877</v>
      </c>
      <c r="C2933" s="160" t="s">
        <v>9878</v>
      </c>
      <c r="D2933" s="160"/>
      <c r="E2933" s="439"/>
      <c r="F2933" s="161">
        <v>441.95221738200001</v>
      </c>
      <c r="G2933" s="161"/>
      <c r="H2933" s="654"/>
      <c r="I2933" s="654"/>
      <c r="J2933" s="191"/>
      <c r="K2933" s="191">
        <v>18064.252702124799</v>
      </c>
      <c r="L2933" s="191"/>
      <c r="M2933" s="191"/>
      <c r="N2933" s="191"/>
      <c r="O2933" s="191"/>
      <c r="P2933" s="191"/>
      <c r="Q2933" s="191"/>
      <c r="R2933" s="191"/>
      <c r="S2933" s="191"/>
      <c r="T2933" s="191"/>
      <c r="U2933" s="439"/>
      <c r="V2933" s="441"/>
      <c r="W2933" s="178"/>
      <c r="X2933" s="172"/>
      <c r="Y2933" s="172"/>
      <c r="Z2933" s="172"/>
      <c r="AA2933" s="195"/>
      <c r="AB2933" s="172"/>
    </row>
    <row r="2934" spans="1:28" ht="12.6" customHeight="1" x14ac:dyDescent="0.3">
      <c r="A2934" s="667"/>
      <c r="B2934" s="668" t="s">
        <v>9879</v>
      </c>
      <c r="C2934" s="160" t="s">
        <v>9880</v>
      </c>
      <c r="D2934" s="160"/>
      <c r="E2934" s="439"/>
      <c r="F2934" s="161">
        <v>453.96617155400003</v>
      </c>
      <c r="G2934" s="161"/>
      <c r="H2934" s="654"/>
      <c r="I2934" s="654"/>
      <c r="J2934" s="191"/>
      <c r="K2934" s="191">
        <v>20068.272983923998</v>
      </c>
      <c r="L2934" s="191"/>
      <c r="M2934" s="191"/>
      <c r="N2934" s="191"/>
      <c r="O2934" s="191"/>
      <c r="P2934" s="191"/>
      <c r="Q2934" s="191"/>
      <c r="R2934" s="191"/>
      <c r="S2934" s="191"/>
      <c r="T2934" s="191"/>
      <c r="U2934" s="439"/>
      <c r="V2934" s="441"/>
      <c r="W2934" s="178"/>
      <c r="X2934" s="172"/>
      <c r="Y2934" s="172"/>
      <c r="Z2934" s="172"/>
      <c r="AA2934" s="195"/>
      <c r="AB2934" s="172"/>
    </row>
    <row r="2935" spans="1:28" ht="12.6" customHeight="1" x14ac:dyDescent="0.3">
      <c r="A2935" s="667"/>
      <c r="B2935" s="668" t="s">
        <v>9881</v>
      </c>
      <c r="C2935" s="160" t="s">
        <v>9882</v>
      </c>
      <c r="D2935" s="160"/>
      <c r="E2935" s="439"/>
      <c r="F2935" s="161">
        <v>219.95258949999999</v>
      </c>
      <c r="G2935" s="161"/>
      <c r="H2935" s="654"/>
      <c r="I2935" s="654"/>
      <c r="J2935" s="191"/>
      <c r="K2935" s="191">
        <v>471.54158612898101</v>
      </c>
      <c r="L2935" s="191"/>
      <c r="M2935" s="191"/>
      <c r="N2935" s="191"/>
      <c r="O2935" s="191"/>
      <c r="P2935" s="191"/>
      <c r="Q2935" s="191"/>
      <c r="R2935" s="191"/>
      <c r="S2935" s="191"/>
      <c r="T2935" s="191"/>
      <c r="U2935" s="439"/>
      <c r="V2935" s="441"/>
      <c r="W2935" s="178"/>
      <c r="X2935" s="172"/>
      <c r="Y2935" s="172"/>
      <c r="Z2935" s="172"/>
      <c r="AA2935" s="195"/>
      <c r="AB2935" s="172"/>
    </row>
    <row r="2936" spans="1:28" ht="12.6" customHeight="1" x14ac:dyDescent="0.3">
      <c r="A2936" s="667"/>
      <c r="B2936" s="668" t="s">
        <v>9883</v>
      </c>
      <c r="C2936" s="160" t="s">
        <v>9884</v>
      </c>
      <c r="D2936" s="160"/>
      <c r="E2936" s="439"/>
      <c r="F2936" s="161">
        <v>311.88821000000002</v>
      </c>
      <c r="G2936" s="161">
        <v>-53.792999999999999</v>
      </c>
      <c r="H2936" s="654">
        <v>13992.677188</v>
      </c>
      <c r="I2936" s="654">
        <v>15.031389903308</v>
      </c>
      <c r="J2936" s="191"/>
      <c r="K2936" s="191">
        <v>348.26513564742902</v>
      </c>
      <c r="L2936" s="191"/>
      <c r="M2936" s="191"/>
      <c r="N2936" s="191"/>
      <c r="O2936" s="191"/>
      <c r="P2936" s="191"/>
      <c r="Q2936" s="191"/>
      <c r="R2936" s="191"/>
      <c r="S2936" s="191"/>
      <c r="T2936" s="191"/>
      <c r="U2936" s="439"/>
      <c r="V2936" s="441"/>
      <c r="W2936" s="178"/>
      <c r="X2936" s="172"/>
      <c r="Y2936" s="172"/>
      <c r="Z2936" s="172"/>
      <c r="AA2936" s="195"/>
      <c r="AB2936" s="172"/>
    </row>
    <row r="2937" spans="1:28" ht="12.6" customHeight="1" x14ac:dyDescent="0.3">
      <c r="A2937" s="667"/>
      <c r="B2937" s="668" t="s">
        <v>9885</v>
      </c>
      <c r="C2937" s="160" t="s">
        <v>9886</v>
      </c>
      <c r="D2937" s="160"/>
      <c r="E2937" s="439">
        <v>7.9</v>
      </c>
      <c r="F2937" s="161">
        <v>336.97722974300001</v>
      </c>
      <c r="G2937" s="161"/>
      <c r="H2937" s="654"/>
      <c r="I2937" s="654"/>
      <c r="J2937" s="191"/>
      <c r="K2937" s="191">
        <v>50248.141108739699</v>
      </c>
      <c r="L2937" s="191"/>
      <c r="M2937" s="191"/>
      <c r="N2937" s="191"/>
      <c r="O2937" s="191"/>
      <c r="P2937" s="191"/>
      <c r="Q2937" s="191"/>
      <c r="R2937" s="191"/>
      <c r="S2937" s="191"/>
      <c r="T2937" s="191"/>
      <c r="U2937" s="439"/>
      <c r="V2937" s="441"/>
      <c r="W2937" s="178"/>
      <c r="X2937" s="172"/>
      <c r="Y2937" s="172"/>
      <c r="Z2937" s="172"/>
      <c r="AA2937" s="195"/>
      <c r="AB2937" s="172"/>
    </row>
    <row r="2938" spans="1:28" ht="12.6" customHeight="1" x14ac:dyDescent="0.3">
      <c r="A2938" s="667"/>
      <c r="B2938" s="668" t="s">
        <v>9887</v>
      </c>
      <c r="C2938" s="160" t="s">
        <v>9888</v>
      </c>
      <c r="D2938" s="160"/>
      <c r="E2938" s="439"/>
      <c r="F2938" s="161">
        <v>329.89379600000001</v>
      </c>
      <c r="G2938" s="161">
        <v>-75.793000000000006</v>
      </c>
      <c r="H2938" s="654">
        <v>5307.6421454000001</v>
      </c>
      <c r="I2938" s="654">
        <v>114.12312989444401</v>
      </c>
      <c r="J2938" s="191"/>
      <c r="K2938" s="191">
        <v>3965.4273715260401</v>
      </c>
      <c r="L2938" s="191"/>
      <c r="M2938" s="191"/>
      <c r="N2938" s="191"/>
      <c r="O2938" s="191"/>
      <c r="P2938" s="191"/>
      <c r="Q2938" s="191"/>
      <c r="R2938" s="191"/>
      <c r="S2938" s="191"/>
      <c r="T2938" s="191"/>
      <c r="U2938" s="439"/>
      <c r="V2938" s="441"/>
      <c r="W2938" s="178"/>
      <c r="X2938" s="172"/>
      <c r="Y2938" s="172"/>
      <c r="Z2938" s="172"/>
      <c r="AA2938" s="195"/>
      <c r="AB2938" s="172"/>
    </row>
    <row r="2939" spans="1:28" ht="12.6" customHeight="1" x14ac:dyDescent="0.3">
      <c r="A2939" s="667"/>
      <c r="B2939" s="668" t="s">
        <v>9889</v>
      </c>
      <c r="C2939" s="160" t="s">
        <v>9890</v>
      </c>
      <c r="D2939" s="160"/>
      <c r="E2939" s="439"/>
      <c r="F2939" s="161">
        <v>313.93922500000002</v>
      </c>
      <c r="G2939" s="161">
        <v>-89.506</v>
      </c>
      <c r="H2939" s="654">
        <v>698.07399199999998</v>
      </c>
      <c r="I2939" s="654"/>
      <c r="J2939" s="191"/>
      <c r="K2939" s="191">
        <v>1240.99490936339</v>
      </c>
      <c r="L2939" s="191"/>
      <c r="M2939" s="191"/>
      <c r="N2939" s="191"/>
      <c r="O2939" s="191"/>
      <c r="P2939" s="191"/>
      <c r="Q2939" s="191"/>
      <c r="R2939" s="191"/>
      <c r="S2939" s="191"/>
      <c r="T2939" s="191"/>
      <c r="U2939" s="439"/>
      <c r="V2939" s="441"/>
      <c r="W2939" s="178"/>
      <c r="X2939" s="172"/>
      <c r="Y2939" s="172"/>
      <c r="Z2939" s="172"/>
      <c r="AA2939" s="195"/>
      <c r="AB2939" s="172"/>
    </row>
    <row r="2940" spans="1:28" ht="12.6" customHeight="1" x14ac:dyDescent="0.3">
      <c r="A2940" s="667"/>
      <c r="B2940" s="668" t="s">
        <v>9891</v>
      </c>
      <c r="C2940" s="160" t="s">
        <v>9892</v>
      </c>
      <c r="D2940" s="160"/>
      <c r="E2940" s="439"/>
      <c r="F2940" s="161">
        <v>445.88232299999999</v>
      </c>
      <c r="G2940" s="161">
        <v>-88.108000000000004</v>
      </c>
      <c r="H2940" s="654">
        <v>347.45713030000002</v>
      </c>
      <c r="I2940" s="654">
        <v>5.0958998931023904</v>
      </c>
      <c r="J2940" s="191"/>
      <c r="K2940" s="191">
        <v>146069.653818669</v>
      </c>
      <c r="L2940" s="191"/>
      <c r="M2940" s="191"/>
      <c r="N2940" s="191"/>
      <c r="O2940" s="191"/>
      <c r="P2940" s="191"/>
      <c r="Q2940" s="191"/>
      <c r="R2940" s="191"/>
      <c r="S2940" s="191"/>
      <c r="T2940" s="191"/>
      <c r="U2940" s="439"/>
      <c r="V2940" s="441"/>
      <c r="W2940" s="178"/>
      <c r="X2940" s="172"/>
      <c r="Y2940" s="172"/>
      <c r="Z2940" s="172"/>
      <c r="AA2940" s="195"/>
      <c r="AB2940" s="172"/>
    </row>
    <row r="2941" spans="1:28" ht="12.6" customHeight="1" x14ac:dyDescent="0.3">
      <c r="A2941" s="667"/>
      <c r="B2941" s="668" t="s">
        <v>9893</v>
      </c>
      <c r="C2941" s="160" t="s">
        <v>9894</v>
      </c>
      <c r="D2941" s="160"/>
      <c r="E2941" s="439"/>
      <c r="F2941" s="161">
        <v>617.93944268600001</v>
      </c>
      <c r="G2941" s="161"/>
      <c r="H2941" s="654"/>
      <c r="I2941" s="654"/>
      <c r="J2941" s="191"/>
      <c r="K2941" s="191">
        <v>81923.783275390597</v>
      </c>
      <c r="L2941" s="191"/>
      <c r="M2941" s="191"/>
      <c r="N2941" s="191"/>
      <c r="O2941" s="191"/>
      <c r="P2941" s="191"/>
      <c r="Q2941" s="191"/>
      <c r="R2941" s="191"/>
      <c r="S2941" s="191"/>
      <c r="T2941" s="191"/>
      <c r="U2941" s="439"/>
      <c r="V2941" s="441"/>
      <c r="W2941" s="178"/>
      <c r="X2941" s="172"/>
      <c r="Y2941" s="172"/>
      <c r="Z2941" s="172"/>
      <c r="AA2941" s="195"/>
      <c r="AB2941" s="172"/>
    </row>
    <row r="2942" spans="1:28" ht="12.6" customHeight="1" x14ac:dyDescent="0.3">
      <c r="A2942" s="667"/>
      <c r="B2942" s="668" t="s">
        <v>9895</v>
      </c>
      <c r="C2942" s="160" t="s">
        <v>9896</v>
      </c>
      <c r="D2942" s="160"/>
      <c r="E2942" s="439">
        <v>39.700000000000003</v>
      </c>
      <c r="F2942" s="161">
        <v>501.95091541400001</v>
      </c>
      <c r="G2942" s="161">
        <v>-106.01900000000001</v>
      </c>
      <c r="H2942" s="654">
        <v>350.67285693999997</v>
      </c>
      <c r="I2942" s="654">
        <v>6.7711170685686897</v>
      </c>
      <c r="J2942" s="191"/>
      <c r="K2942" s="191">
        <v>163843.795500398</v>
      </c>
      <c r="L2942" s="191"/>
      <c r="M2942" s="191"/>
      <c r="N2942" s="191"/>
      <c r="O2942" s="191"/>
      <c r="P2942" s="191"/>
      <c r="Q2942" s="191"/>
      <c r="R2942" s="191"/>
      <c r="S2942" s="191"/>
      <c r="T2942" s="191"/>
      <c r="U2942" s="439"/>
      <c r="V2942" s="441"/>
      <c r="W2942" s="178"/>
      <c r="X2942" s="172"/>
      <c r="Y2942" s="172"/>
      <c r="Z2942" s="172"/>
      <c r="AA2942" s="195"/>
      <c r="AB2942" s="172"/>
    </row>
    <row r="2943" spans="1:28" ht="12.6" customHeight="1" x14ac:dyDescent="0.3">
      <c r="A2943" s="667"/>
      <c r="B2943" s="668" t="s">
        <v>9897</v>
      </c>
      <c r="C2943" s="160" t="s">
        <v>9898</v>
      </c>
      <c r="D2943" s="160"/>
      <c r="E2943" s="439"/>
      <c r="F2943" s="161">
        <v>567.99786560699999</v>
      </c>
      <c r="G2943" s="161"/>
      <c r="H2943" s="654"/>
      <c r="I2943" s="654"/>
      <c r="J2943" s="191"/>
      <c r="K2943" s="191">
        <v>108905.546826046</v>
      </c>
      <c r="L2943" s="191"/>
      <c r="M2943" s="191"/>
      <c r="N2943" s="191"/>
      <c r="O2943" s="191"/>
      <c r="P2943" s="191"/>
      <c r="Q2943" s="191"/>
      <c r="R2943" s="191"/>
      <c r="S2943" s="191"/>
      <c r="T2943" s="191"/>
      <c r="U2943" s="439"/>
      <c r="V2943" s="441"/>
      <c r="W2943" s="178"/>
      <c r="X2943" s="172"/>
      <c r="Y2943" s="172"/>
      <c r="Z2943" s="172"/>
      <c r="AA2943" s="195"/>
      <c r="AB2943" s="172"/>
    </row>
    <row r="2944" spans="1:28" ht="12.6" customHeight="1" x14ac:dyDescent="0.3">
      <c r="A2944" s="667"/>
      <c r="B2944" s="668" t="s">
        <v>9899</v>
      </c>
      <c r="C2944" s="160" t="s">
        <v>9900</v>
      </c>
      <c r="D2944" s="160"/>
      <c r="E2944" s="439"/>
      <c r="F2944" s="161">
        <v>285.94431040000001</v>
      </c>
      <c r="G2944" s="161"/>
      <c r="H2944" s="654"/>
      <c r="I2944" s="654"/>
      <c r="J2944" s="191"/>
      <c r="K2944" s="191">
        <v>511.68183554030702</v>
      </c>
      <c r="L2944" s="191"/>
      <c r="M2944" s="191"/>
      <c r="N2944" s="191"/>
      <c r="O2944" s="191"/>
      <c r="P2944" s="191"/>
      <c r="Q2944" s="191"/>
      <c r="R2944" s="191"/>
      <c r="S2944" s="191"/>
      <c r="T2944" s="191"/>
      <c r="U2944" s="439"/>
      <c r="V2944" s="441"/>
      <c r="W2944" s="178"/>
      <c r="X2944" s="172"/>
      <c r="Y2944" s="172"/>
      <c r="Z2944" s="172"/>
      <c r="AA2944" s="195"/>
      <c r="AB2944" s="172"/>
    </row>
    <row r="2945" spans="1:28" ht="12.6" customHeight="1" x14ac:dyDescent="0.3">
      <c r="A2945" s="667"/>
      <c r="B2945" s="668" t="s">
        <v>9901</v>
      </c>
      <c r="C2945" s="160" t="s">
        <v>9902</v>
      </c>
      <c r="D2945" s="160"/>
      <c r="E2945" s="439"/>
      <c r="F2945" s="161">
        <v>377.87993</v>
      </c>
      <c r="G2945" s="161"/>
      <c r="H2945" s="654"/>
      <c r="I2945" s="654"/>
      <c r="J2945" s="191"/>
      <c r="K2945" s="191">
        <v>1968.1581820261899</v>
      </c>
      <c r="L2945" s="191"/>
      <c r="M2945" s="191"/>
      <c r="N2945" s="191"/>
      <c r="O2945" s="191"/>
      <c r="P2945" s="191"/>
      <c r="Q2945" s="191"/>
      <c r="R2945" s="191"/>
      <c r="S2945" s="191"/>
      <c r="T2945" s="191"/>
      <c r="U2945" s="439"/>
      <c r="V2945" s="441"/>
      <c r="W2945" s="178"/>
      <c r="X2945" s="172"/>
      <c r="Y2945" s="172"/>
      <c r="Z2945" s="172"/>
      <c r="AA2945" s="195"/>
      <c r="AB2945" s="172"/>
    </row>
    <row r="2946" spans="1:28" ht="12.6" customHeight="1" x14ac:dyDescent="0.3">
      <c r="A2946" s="667"/>
      <c r="B2946" s="668" t="s">
        <v>9903</v>
      </c>
      <c r="C2946" s="160" t="s">
        <v>9904</v>
      </c>
      <c r="D2946" s="160"/>
      <c r="E2946" s="439"/>
      <c r="F2946" s="161">
        <v>417.90328720000002</v>
      </c>
      <c r="G2946" s="161"/>
      <c r="H2946" s="654"/>
      <c r="I2946" s="654"/>
      <c r="J2946" s="191"/>
      <c r="K2946" s="177">
        <v>156257.186383622</v>
      </c>
      <c r="L2946" s="191"/>
      <c r="M2946" s="191"/>
      <c r="N2946" s="191"/>
      <c r="O2946" s="191"/>
      <c r="P2946" s="191"/>
      <c r="Q2946" s="191"/>
      <c r="R2946" s="191"/>
      <c r="S2946" s="191"/>
      <c r="T2946" s="191"/>
      <c r="U2946" s="439"/>
      <c r="V2946" s="441"/>
      <c r="W2946" s="178"/>
      <c r="X2946" s="172"/>
      <c r="Y2946" s="172"/>
      <c r="Z2946" s="172"/>
      <c r="AA2946" s="195"/>
      <c r="AB2946" s="172"/>
    </row>
    <row r="2947" spans="1:28" ht="12.6" customHeight="1" x14ac:dyDescent="0.3">
      <c r="A2947" s="667"/>
      <c r="B2947" s="668" t="s">
        <v>9905</v>
      </c>
      <c r="C2947" s="160" t="s">
        <v>9906</v>
      </c>
      <c r="D2947" s="160"/>
      <c r="E2947" s="439"/>
      <c r="F2947" s="161">
        <v>319.97066719600002</v>
      </c>
      <c r="G2947" s="161">
        <v>-124.934</v>
      </c>
      <c r="H2947" s="654">
        <v>23115.36836</v>
      </c>
      <c r="I2947" s="654">
        <v>21.782611113635301</v>
      </c>
      <c r="J2947" s="191"/>
      <c r="K2947" s="191">
        <v>706.98467518572602</v>
      </c>
      <c r="L2947" s="191"/>
      <c r="M2947" s="191"/>
      <c r="N2947" s="191"/>
      <c r="O2947" s="191"/>
      <c r="P2947" s="191"/>
      <c r="Q2947" s="191"/>
      <c r="R2947" s="191"/>
      <c r="S2947" s="191"/>
      <c r="T2947" s="191"/>
      <c r="U2947" s="439"/>
      <c r="V2947" s="441"/>
      <c r="W2947" s="178"/>
      <c r="X2947" s="172"/>
      <c r="Y2947" s="172"/>
      <c r="Z2947" s="172"/>
      <c r="AA2947" s="195"/>
      <c r="AB2947" s="172"/>
    </row>
    <row r="2948" spans="1:28" ht="12.6" customHeight="1" x14ac:dyDescent="0.3">
      <c r="A2948" s="667"/>
      <c r="B2948" s="668" t="s">
        <v>9907</v>
      </c>
      <c r="C2948" s="160" t="s">
        <v>9908</v>
      </c>
      <c r="D2948" s="160"/>
      <c r="E2948" s="439"/>
      <c r="F2948" s="161">
        <v>301.91475989999998</v>
      </c>
      <c r="G2948" s="161"/>
      <c r="H2948" s="654"/>
      <c r="I2948" s="654"/>
      <c r="J2948" s="191"/>
      <c r="K2948" s="191">
        <v>1900.33426848416</v>
      </c>
      <c r="L2948" s="191"/>
      <c r="M2948" s="191"/>
      <c r="N2948" s="191"/>
      <c r="O2948" s="191"/>
      <c r="P2948" s="191"/>
      <c r="Q2948" s="191"/>
      <c r="R2948" s="191"/>
      <c r="S2948" s="191"/>
      <c r="T2948" s="191"/>
      <c r="U2948" s="439"/>
      <c r="V2948" s="441"/>
      <c r="W2948" s="178"/>
      <c r="X2948" s="172"/>
      <c r="Y2948" s="172"/>
      <c r="Z2948" s="172"/>
      <c r="AA2948" s="195"/>
      <c r="AB2948" s="172"/>
    </row>
    <row r="2949" spans="1:28" ht="12.6" customHeight="1" x14ac:dyDescent="0.3">
      <c r="A2949" s="667"/>
      <c r="B2949" s="668" t="s">
        <v>9909</v>
      </c>
      <c r="C2949" s="160" t="s">
        <v>9910</v>
      </c>
      <c r="D2949" s="160"/>
      <c r="E2949" s="439">
        <v>30.763999999999999</v>
      </c>
      <c r="F2949" s="161">
        <v>311.88821000000002</v>
      </c>
      <c r="G2949" s="161"/>
      <c r="H2949" s="654"/>
      <c r="I2949" s="654"/>
      <c r="J2949" s="191"/>
      <c r="K2949" s="191">
        <v>375.08526198822102</v>
      </c>
      <c r="L2949" s="191"/>
      <c r="M2949" s="191"/>
      <c r="N2949" s="191"/>
      <c r="O2949" s="191"/>
      <c r="P2949" s="191"/>
      <c r="Q2949" s="191"/>
      <c r="R2949" s="191"/>
      <c r="S2949" s="191"/>
      <c r="T2949" s="191"/>
      <c r="U2949" s="439"/>
      <c r="V2949" s="441"/>
      <c r="W2949" s="178"/>
      <c r="X2949" s="172"/>
      <c r="Y2949" s="172"/>
      <c r="Z2949" s="172"/>
      <c r="AA2949" s="195"/>
      <c r="AB2949" s="172"/>
    </row>
    <row r="2950" spans="1:28" ht="12.6" customHeight="1" x14ac:dyDescent="0.3">
      <c r="A2950" s="667"/>
      <c r="B2950" s="668" t="s">
        <v>9911</v>
      </c>
      <c r="C2950" s="160" t="s">
        <v>9912</v>
      </c>
      <c r="D2950" s="160"/>
      <c r="E2950" s="439"/>
      <c r="F2950" s="161">
        <v>601.94452806599998</v>
      </c>
      <c r="G2950" s="161"/>
      <c r="H2950" s="654"/>
      <c r="I2950" s="654"/>
      <c r="J2950" s="191"/>
      <c r="K2950" s="191">
        <v>79621.434905644099</v>
      </c>
      <c r="L2950" s="191"/>
      <c r="M2950" s="191"/>
      <c r="N2950" s="191"/>
      <c r="O2950" s="191"/>
      <c r="P2950" s="191"/>
      <c r="Q2950" s="191"/>
      <c r="R2950" s="191"/>
      <c r="S2950" s="191"/>
      <c r="T2950" s="191"/>
      <c r="U2950" s="439"/>
      <c r="V2950" s="441"/>
      <c r="W2950" s="178"/>
      <c r="X2950" s="172"/>
      <c r="Y2950" s="172"/>
      <c r="Z2950" s="172"/>
      <c r="AA2950" s="195"/>
      <c r="AB2950" s="172"/>
    </row>
    <row r="2951" spans="1:28" ht="12.6" customHeight="1" x14ac:dyDescent="0.3">
      <c r="A2951" s="667"/>
      <c r="B2951" s="668" t="s">
        <v>9913</v>
      </c>
      <c r="C2951" s="160" t="s">
        <v>9914</v>
      </c>
      <c r="D2951" s="160"/>
      <c r="E2951" s="439">
        <v>26.116</v>
      </c>
      <c r="F2951" s="161">
        <v>351.96049643600003</v>
      </c>
      <c r="G2951" s="161">
        <v>-139.76900000000001</v>
      </c>
      <c r="H2951" s="654">
        <v>7462.8056076000003</v>
      </c>
      <c r="I2951" s="654">
        <v>252.63513257878199</v>
      </c>
      <c r="J2951" s="191"/>
      <c r="K2951" s="191">
        <v>142843.34117564899</v>
      </c>
      <c r="L2951" s="191"/>
      <c r="M2951" s="191"/>
      <c r="N2951" s="191"/>
      <c r="O2951" s="191"/>
      <c r="P2951" s="191"/>
      <c r="Q2951" s="191"/>
      <c r="R2951" s="191"/>
      <c r="S2951" s="191"/>
      <c r="T2951" s="191"/>
      <c r="U2951" s="439"/>
      <c r="V2951" s="441"/>
      <c r="W2951" s="178"/>
      <c r="X2951" s="172"/>
      <c r="Y2951" s="172"/>
      <c r="Z2951" s="172"/>
      <c r="AA2951" s="195"/>
      <c r="AB2951" s="172"/>
    </row>
    <row r="2952" spans="1:28" ht="12.6" customHeight="1" x14ac:dyDescent="0.3">
      <c r="A2952" s="667"/>
      <c r="B2952" s="668" t="s">
        <v>9915</v>
      </c>
      <c r="C2952" s="160" t="s">
        <v>9916</v>
      </c>
      <c r="D2952" s="160"/>
      <c r="E2952" s="439"/>
      <c r="F2952" s="161">
        <v>365.972558902</v>
      </c>
      <c r="G2952" s="161">
        <v>-69.703999999999994</v>
      </c>
      <c r="H2952" s="654">
        <v>2943.7497599999901</v>
      </c>
      <c r="I2952" s="654">
        <v>3.4154535448552701</v>
      </c>
      <c r="J2952" s="191"/>
      <c r="K2952" s="191">
        <v>11536.3918750423</v>
      </c>
      <c r="L2952" s="191"/>
      <c r="M2952" s="191"/>
      <c r="N2952" s="191"/>
      <c r="O2952" s="191"/>
      <c r="P2952" s="191"/>
      <c r="Q2952" s="191"/>
      <c r="R2952" s="191"/>
      <c r="S2952" s="191"/>
      <c r="T2952" s="191"/>
      <c r="U2952" s="439"/>
      <c r="V2952" s="441"/>
      <c r="W2952" s="178"/>
      <c r="X2952" s="172"/>
      <c r="Y2952" s="172"/>
      <c r="Z2952" s="172"/>
      <c r="AA2952" s="195"/>
      <c r="AB2952" s="172"/>
    </row>
    <row r="2953" spans="1:28" ht="12.6" customHeight="1" x14ac:dyDescent="0.3">
      <c r="A2953" s="667"/>
      <c r="B2953" s="668" t="s">
        <v>9917</v>
      </c>
      <c r="C2953" s="160" t="s">
        <v>9918</v>
      </c>
      <c r="D2953" s="160"/>
      <c r="E2953" s="439"/>
      <c r="F2953" s="161">
        <v>425.84690999999998</v>
      </c>
      <c r="G2953" s="161"/>
      <c r="H2953" s="654"/>
      <c r="I2953" s="654"/>
      <c r="J2953" s="191"/>
      <c r="K2953" s="191">
        <v>2128.4330795679498</v>
      </c>
      <c r="L2953" s="191"/>
      <c r="M2953" s="191"/>
      <c r="N2953" s="191"/>
      <c r="O2953" s="191"/>
      <c r="P2953" s="191"/>
      <c r="Q2953" s="191"/>
      <c r="R2953" s="191"/>
      <c r="S2953" s="191"/>
      <c r="T2953" s="191"/>
      <c r="U2953" s="439"/>
      <c r="V2953" s="441"/>
      <c r="W2953" s="178"/>
      <c r="X2953" s="172"/>
      <c r="Y2953" s="172"/>
      <c r="Z2953" s="172"/>
      <c r="AA2953" s="195"/>
      <c r="AB2953" s="172"/>
    </row>
    <row r="2954" spans="1:28" ht="12.6" customHeight="1" x14ac:dyDescent="0.3">
      <c r="A2954" s="667"/>
      <c r="B2954" s="668" t="s">
        <v>9919</v>
      </c>
      <c r="C2954" s="160" t="s">
        <v>9920</v>
      </c>
      <c r="D2954" s="160"/>
      <c r="E2954" s="439"/>
      <c r="F2954" s="161">
        <v>265.97894624999998</v>
      </c>
      <c r="G2954" s="161">
        <v>-64.924999999999997</v>
      </c>
      <c r="H2954" s="654">
        <v>357192.30274000001</v>
      </c>
      <c r="I2954" s="654">
        <v>30.750091954908701</v>
      </c>
      <c r="J2954" s="191"/>
      <c r="K2954" s="191">
        <v>660.60217613951295</v>
      </c>
      <c r="L2954" s="191"/>
      <c r="M2954" s="191"/>
      <c r="N2954" s="191"/>
      <c r="O2954" s="191"/>
      <c r="P2954" s="191"/>
      <c r="Q2954" s="191"/>
      <c r="R2954" s="191"/>
      <c r="S2954" s="191"/>
      <c r="T2954" s="191"/>
      <c r="U2954" s="439"/>
      <c r="V2954" s="441"/>
      <c r="W2954" s="178"/>
      <c r="X2954" s="172"/>
      <c r="Y2954" s="172"/>
      <c r="Z2954" s="172"/>
      <c r="AA2954" s="195"/>
      <c r="AB2954" s="172"/>
    </row>
    <row r="2955" spans="1:28" ht="12.6" customHeight="1" x14ac:dyDescent="0.3">
      <c r="A2955" s="667"/>
      <c r="B2955" s="668" t="s">
        <v>9921</v>
      </c>
      <c r="C2955" s="160" t="s">
        <v>9922</v>
      </c>
      <c r="D2955" s="160"/>
      <c r="E2955" s="439"/>
      <c r="F2955" s="161">
        <v>275.90207500000002</v>
      </c>
      <c r="G2955" s="161">
        <v>-53.98</v>
      </c>
      <c r="H2955" s="654">
        <v>88491.544246000005</v>
      </c>
      <c r="I2955" s="654">
        <v>47.616283711800001</v>
      </c>
      <c r="J2955" s="191"/>
      <c r="K2955" s="191">
        <v>737.51354351650605</v>
      </c>
      <c r="L2955" s="191"/>
      <c r="M2955" s="191"/>
      <c r="N2955" s="191"/>
      <c r="O2955" s="191"/>
      <c r="P2955" s="191"/>
      <c r="Q2955" s="191"/>
      <c r="R2955" s="191"/>
      <c r="S2955" s="191"/>
      <c r="T2955" s="191"/>
      <c r="U2955" s="439"/>
      <c r="V2955" s="441"/>
      <c r="W2955" s="178"/>
      <c r="X2955" s="172"/>
      <c r="Y2955" s="172"/>
      <c r="Z2955" s="172"/>
      <c r="AA2955" s="195"/>
      <c r="AB2955" s="172"/>
    </row>
    <row r="2956" spans="1:28" ht="12.6" customHeight="1" x14ac:dyDescent="0.3">
      <c r="A2956" s="667"/>
      <c r="B2956" s="668" t="s">
        <v>9923</v>
      </c>
      <c r="C2956" s="160" t="s">
        <v>9924</v>
      </c>
      <c r="D2956" s="160"/>
      <c r="E2956" s="439"/>
      <c r="F2956" s="161">
        <v>381.96747352199998</v>
      </c>
      <c r="G2956" s="161"/>
      <c r="H2956" s="654"/>
      <c r="I2956" s="654"/>
      <c r="J2956" s="191"/>
      <c r="K2956" s="191">
        <v>25447.1998172532</v>
      </c>
      <c r="L2956" s="191"/>
      <c r="M2956" s="191"/>
      <c r="N2956" s="191"/>
      <c r="O2956" s="191"/>
      <c r="P2956" s="191"/>
      <c r="Q2956" s="191"/>
      <c r="R2956" s="191"/>
      <c r="S2956" s="191"/>
      <c r="T2956" s="191"/>
      <c r="U2956" s="439"/>
      <c r="V2956" s="441"/>
      <c r="W2956" s="178"/>
      <c r="X2956" s="172"/>
      <c r="Y2956" s="172"/>
      <c r="Z2956" s="172"/>
      <c r="AA2956" s="195"/>
      <c r="AB2956" s="172"/>
    </row>
    <row r="2957" spans="1:28" ht="12.6" customHeight="1" x14ac:dyDescent="0.3">
      <c r="A2957" s="667"/>
      <c r="B2957" s="668" t="s">
        <v>9925</v>
      </c>
      <c r="C2957" s="160" t="s">
        <v>9926</v>
      </c>
      <c r="D2957" s="160"/>
      <c r="E2957" s="439"/>
      <c r="F2957" s="161">
        <v>281.94939579999999</v>
      </c>
      <c r="G2957" s="161"/>
      <c r="H2957" s="654"/>
      <c r="I2957" s="654"/>
      <c r="J2957" s="191"/>
      <c r="K2957" s="191">
        <v>1259.12834295009</v>
      </c>
      <c r="L2957" s="191"/>
      <c r="M2957" s="191"/>
      <c r="N2957" s="191"/>
      <c r="O2957" s="191"/>
      <c r="P2957" s="191"/>
      <c r="Q2957" s="191"/>
      <c r="R2957" s="191"/>
      <c r="S2957" s="191"/>
      <c r="T2957" s="191"/>
      <c r="U2957" s="439"/>
      <c r="V2957" s="441"/>
      <c r="W2957" s="178"/>
      <c r="X2957" s="172"/>
      <c r="Y2957" s="172"/>
      <c r="Z2957" s="172"/>
      <c r="AA2957" s="195"/>
      <c r="AB2957" s="172"/>
    </row>
    <row r="2958" spans="1:28" ht="12.6" customHeight="1" x14ac:dyDescent="0.3">
      <c r="A2958" s="667"/>
      <c r="B2958" s="668" t="s">
        <v>9927</v>
      </c>
      <c r="C2958" s="160" t="s">
        <v>9928</v>
      </c>
      <c r="D2958" s="160"/>
      <c r="E2958" s="439"/>
      <c r="F2958" s="161">
        <v>331.97066719600002</v>
      </c>
      <c r="G2958" s="161"/>
      <c r="H2958" s="654"/>
      <c r="I2958" s="654"/>
      <c r="J2958" s="191"/>
      <c r="K2958" s="191">
        <v>1855.79499878301</v>
      </c>
      <c r="L2958" s="191"/>
      <c r="M2958" s="191"/>
      <c r="N2958" s="191"/>
      <c r="O2958" s="191"/>
      <c r="P2958" s="191"/>
      <c r="Q2958" s="191"/>
      <c r="R2958" s="191"/>
      <c r="S2958" s="191"/>
      <c r="T2958" s="191"/>
      <c r="U2958" s="439"/>
      <c r="V2958" s="441"/>
      <c r="W2958" s="178"/>
      <c r="X2958" s="172"/>
      <c r="Y2958" s="172"/>
      <c r="Z2958" s="172"/>
      <c r="AA2958" s="195"/>
      <c r="AB2958" s="172"/>
    </row>
    <row r="2959" spans="1:28" ht="12.6" customHeight="1" x14ac:dyDescent="0.3">
      <c r="A2959" s="667"/>
      <c r="B2959" s="668" t="s">
        <v>9929</v>
      </c>
      <c r="C2959" s="160" t="s">
        <v>9930</v>
      </c>
      <c r="D2959" s="160"/>
      <c r="E2959" s="439">
        <v>5.3150000000000004</v>
      </c>
      <c r="F2959" s="161">
        <v>343.97066719600002</v>
      </c>
      <c r="G2959" s="161">
        <v>-77.549000000000007</v>
      </c>
      <c r="H2959" s="654"/>
      <c r="I2959" s="654"/>
      <c r="J2959" s="191"/>
      <c r="K2959" s="191">
        <v>26245.811176195301</v>
      </c>
      <c r="L2959" s="191"/>
      <c r="M2959" s="191"/>
      <c r="N2959" s="191"/>
      <c r="O2959" s="191"/>
      <c r="P2959" s="191"/>
      <c r="Q2959" s="191"/>
      <c r="R2959" s="191"/>
      <c r="S2959" s="191"/>
      <c r="T2959" s="191"/>
      <c r="U2959" s="439"/>
      <c r="V2959" s="441"/>
      <c r="W2959" s="178"/>
      <c r="X2959" s="172"/>
      <c r="Y2959" s="172"/>
      <c r="Z2959" s="172"/>
      <c r="AA2959" s="195"/>
      <c r="AB2959" s="172"/>
    </row>
    <row r="2960" spans="1:28" ht="12.6" customHeight="1" x14ac:dyDescent="0.3">
      <c r="A2960" s="667"/>
      <c r="B2960" s="668" t="s">
        <v>9931</v>
      </c>
      <c r="C2960" s="160" t="s">
        <v>9932</v>
      </c>
      <c r="D2960" s="160"/>
      <c r="E2960" s="439"/>
      <c r="F2960" s="161">
        <v>247.988368119</v>
      </c>
      <c r="G2960" s="161">
        <v>-65.001000000000005</v>
      </c>
      <c r="H2960" s="654">
        <v>114789.442068</v>
      </c>
      <c r="I2960" s="654">
        <v>82.685769628445698</v>
      </c>
      <c r="J2960" s="191"/>
      <c r="K2960" s="191">
        <v>285.70642042230901</v>
      </c>
      <c r="L2960" s="191"/>
      <c r="M2960" s="191"/>
      <c r="N2960" s="191"/>
      <c r="O2960" s="191"/>
      <c r="P2960" s="191"/>
      <c r="Q2960" s="191"/>
      <c r="R2960" s="191"/>
      <c r="S2960" s="191"/>
      <c r="T2960" s="191"/>
      <c r="U2960" s="439"/>
      <c r="V2960" s="441"/>
      <c r="W2960" s="178"/>
      <c r="X2960" s="172"/>
      <c r="Y2960" s="172"/>
      <c r="Z2960" s="172"/>
      <c r="AA2960" s="195"/>
      <c r="AB2960" s="172"/>
    </row>
    <row r="2961" spans="1:28" ht="12.6" customHeight="1" x14ac:dyDescent="0.3">
      <c r="A2961" s="667"/>
      <c r="B2961" s="668" t="s">
        <v>9933</v>
      </c>
      <c r="C2961" s="160" t="s">
        <v>9934</v>
      </c>
      <c r="D2961" s="160"/>
      <c r="E2961" s="439">
        <v>3.734</v>
      </c>
      <c r="F2961" s="161">
        <v>323.88821000000002</v>
      </c>
      <c r="G2961" s="161">
        <v>-38.969000000000001</v>
      </c>
      <c r="H2961" s="654">
        <v>45279.484250000001</v>
      </c>
      <c r="I2961" s="654">
        <v>37.617996150449997</v>
      </c>
      <c r="J2961" s="191"/>
      <c r="K2961" s="191">
        <v>864.07213493894199</v>
      </c>
      <c r="L2961" s="191"/>
      <c r="M2961" s="191"/>
      <c r="N2961" s="191"/>
      <c r="O2961" s="191"/>
      <c r="P2961" s="191"/>
      <c r="Q2961" s="191"/>
      <c r="R2961" s="191"/>
      <c r="S2961" s="191"/>
      <c r="T2961" s="191"/>
      <c r="U2961" s="439"/>
      <c r="V2961" s="441"/>
      <c r="W2961" s="178"/>
      <c r="X2961" s="172"/>
      <c r="Y2961" s="172"/>
      <c r="Z2961" s="172"/>
      <c r="AA2961" s="195"/>
      <c r="AB2961" s="172"/>
    </row>
    <row r="2962" spans="1:28" ht="12.6" customHeight="1" x14ac:dyDescent="0.3">
      <c r="A2962" s="667"/>
      <c r="B2962" s="668" t="s">
        <v>9935</v>
      </c>
      <c r="C2962" s="160" t="s">
        <v>9936</v>
      </c>
      <c r="D2962" s="160"/>
      <c r="E2962" s="439">
        <v>4.5670000000000002</v>
      </c>
      <c r="F2962" s="161">
        <v>293.97386087000001</v>
      </c>
      <c r="G2962" s="161">
        <v>-92.484999999999999</v>
      </c>
      <c r="H2962" s="654"/>
      <c r="I2962" s="654"/>
      <c r="J2962" s="191"/>
      <c r="K2962" s="191">
        <v>4189.3823627331503</v>
      </c>
      <c r="L2962" s="191"/>
      <c r="M2962" s="191"/>
      <c r="N2962" s="191"/>
      <c r="O2962" s="191"/>
      <c r="P2962" s="191"/>
      <c r="Q2962" s="191"/>
      <c r="R2962" s="191"/>
      <c r="S2962" s="191"/>
      <c r="T2962" s="191"/>
      <c r="U2962" s="439"/>
      <c r="V2962" s="441"/>
      <c r="W2962" s="178"/>
      <c r="X2962" s="172"/>
      <c r="Y2962" s="172"/>
      <c r="Z2962" s="172"/>
      <c r="AA2962" s="195"/>
      <c r="AB2962" s="172"/>
    </row>
    <row r="2963" spans="1:28" ht="12.6" customHeight="1" x14ac:dyDescent="0.3">
      <c r="A2963" s="667"/>
      <c r="B2963" s="668" t="s">
        <v>9937</v>
      </c>
      <c r="C2963" s="160" t="s">
        <v>9938</v>
      </c>
      <c r="D2963" s="160"/>
      <c r="E2963" s="439"/>
      <c r="F2963" s="161">
        <v>279.94404033799998</v>
      </c>
      <c r="G2963" s="161"/>
      <c r="H2963" s="654"/>
      <c r="I2963" s="654"/>
      <c r="J2963" s="191"/>
      <c r="K2963" s="191">
        <v>3721.6026303618701</v>
      </c>
      <c r="L2963" s="191"/>
      <c r="M2963" s="191"/>
      <c r="N2963" s="191"/>
      <c r="O2963" s="191"/>
      <c r="P2963" s="191"/>
      <c r="Q2963" s="191"/>
      <c r="R2963" s="191"/>
      <c r="S2963" s="191"/>
      <c r="T2963" s="191"/>
      <c r="U2963" s="439"/>
      <c r="V2963" s="441"/>
      <c r="W2963" s="178"/>
      <c r="X2963" s="172"/>
      <c r="Y2963" s="172"/>
      <c r="Z2963" s="172"/>
      <c r="AA2963" s="195"/>
      <c r="AB2963" s="172"/>
    </row>
    <row r="2964" spans="1:28" ht="12.6" customHeight="1" x14ac:dyDescent="0.3">
      <c r="A2964" s="667"/>
      <c r="B2964" s="668" t="s">
        <v>9939</v>
      </c>
      <c r="C2964" s="160" t="s">
        <v>9940</v>
      </c>
      <c r="D2964" s="160"/>
      <c r="E2964" s="439"/>
      <c r="F2964" s="161">
        <v>431.96427984799999</v>
      </c>
      <c r="G2964" s="161"/>
      <c r="H2964" s="654"/>
      <c r="I2964" s="654"/>
      <c r="J2964" s="191"/>
      <c r="K2964" s="191">
        <v>37503.344562368002</v>
      </c>
      <c r="L2964" s="191"/>
      <c r="M2964" s="191"/>
      <c r="N2964" s="191"/>
      <c r="O2964" s="191"/>
      <c r="P2964" s="191"/>
      <c r="Q2964" s="191"/>
      <c r="R2964" s="191"/>
      <c r="S2964" s="191"/>
      <c r="T2964" s="191"/>
      <c r="U2964" s="439"/>
      <c r="V2964" s="441"/>
      <c r="W2964" s="178"/>
      <c r="X2964" s="172"/>
      <c r="Y2964" s="172"/>
      <c r="Z2964" s="172"/>
      <c r="AA2964" s="195"/>
      <c r="AB2964" s="172"/>
    </row>
    <row r="2965" spans="1:28" ht="12.6" customHeight="1" x14ac:dyDescent="0.3">
      <c r="A2965" s="667"/>
      <c r="B2965" s="668" t="s">
        <v>9941</v>
      </c>
      <c r="C2965" s="160" t="s">
        <v>9942</v>
      </c>
      <c r="D2965" s="160"/>
      <c r="E2965" s="439"/>
      <c r="F2965" s="161">
        <v>388.97214436299998</v>
      </c>
      <c r="G2965" s="161"/>
      <c r="H2965" s="654"/>
      <c r="I2965" s="654"/>
      <c r="J2965" s="191"/>
      <c r="K2965" s="191">
        <v>60823.302895979599</v>
      </c>
      <c r="L2965" s="191"/>
      <c r="M2965" s="191"/>
      <c r="N2965" s="191"/>
      <c r="O2965" s="191"/>
      <c r="P2965" s="191"/>
      <c r="Q2965" s="191"/>
      <c r="R2965" s="191"/>
      <c r="S2965" s="191"/>
      <c r="T2965" s="191"/>
      <c r="U2965" s="439"/>
      <c r="V2965" s="441"/>
      <c r="W2965" s="178"/>
      <c r="X2965" s="172"/>
      <c r="Y2965" s="172"/>
      <c r="Z2965" s="172"/>
      <c r="AA2965" s="195"/>
      <c r="AB2965" s="172"/>
    </row>
    <row r="2966" spans="1:28" ht="12.6" customHeight="1" x14ac:dyDescent="0.3">
      <c r="A2966" s="667"/>
      <c r="B2966" s="668" t="s">
        <v>9943</v>
      </c>
      <c r="C2966" s="160" t="s">
        <v>9944</v>
      </c>
      <c r="D2966" s="160"/>
      <c r="E2966" s="439"/>
      <c r="F2966" s="161">
        <v>445.92937393599999</v>
      </c>
      <c r="G2966" s="161">
        <v>-46.487000000000002</v>
      </c>
      <c r="H2966" s="654">
        <v>15.484683690000001</v>
      </c>
      <c r="I2966" s="654">
        <v>3.4855088469084698</v>
      </c>
      <c r="J2966" s="191"/>
      <c r="K2966" s="191">
        <v>951875.17385120597</v>
      </c>
      <c r="L2966" s="191"/>
      <c r="M2966" s="191"/>
      <c r="N2966" s="191"/>
      <c r="O2966" s="191"/>
      <c r="P2966" s="191"/>
      <c r="Q2966" s="191"/>
      <c r="R2966" s="191"/>
      <c r="S2966" s="191"/>
      <c r="T2966" s="191"/>
      <c r="U2966" s="439"/>
      <c r="V2966" s="441"/>
      <c r="W2966" s="178"/>
      <c r="X2966" s="172"/>
      <c r="Y2966" s="172"/>
      <c r="Z2966" s="172"/>
      <c r="AA2966" s="195"/>
      <c r="AB2966" s="172"/>
    </row>
    <row r="2967" spans="1:28" ht="12.6" customHeight="1" x14ac:dyDescent="0.3">
      <c r="A2967" s="667"/>
      <c r="B2967" s="668" t="s">
        <v>9945</v>
      </c>
      <c r="C2967" s="160" t="s">
        <v>9946</v>
      </c>
      <c r="D2967" s="160"/>
      <c r="E2967" s="439"/>
      <c r="F2967" s="161">
        <v>597.94961344599994</v>
      </c>
      <c r="G2967" s="161"/>
      <c r="H2967" s="654"/>
      <c r="I2967" s="654"/>
      <c r="J2967" s="191"/>
      <c r="K2967" s="191">
        <v>241969.15062520499</v>
      </c>
      <c r="L2967" s="191"/>
      <c r="M2967" s="191"/>
      <c r="N2967" s="191"/>
      <c r="O2967" s="191"/>
      <c r="P2967" s="191"/>
      <c r="Q2967" s="191"/>
      <c r="R2967" s="191"/>
      <c r="S2967" s="191"/>
      <c r="T2967" s="191"/>
      <c r="U2967" s="439"/>
      <c r="V2967" s="441"/>
      <c r="W2967" s="178"/>
      <c r="X2967" s="172"/>
      <c r="Y2967" s="172"/>
      <c r="Z2967" s="172"/>
      <c r="AA2967" s="195"/>
      <c r="AB2967" s="172"/>
    </row>
    <row r="2968" spans="1:28" ht="12.6" customHeight="1" x14ac:dyDescent="0.3">
      <c r="A2968" s="667"/>
      <c r="B2968" s="668" t="s">
        <v>9947</v>
      </c>
      <c r="C2968" s="160" t="s">
        <v>9948</v>
      </c>
      <c r="D2968" s="160"/>
      <c r="E2968" s="439"/>
      <c r="F2968" s="161">
        <v>227.98213992399999</v>
      </c>
      <c r="G2968" s="161"/>
      <c r="H2968" s="654"/>
      <c r="I2968" s="654"/>
      <c r="J2968" s="191"/>
      <c r="K2968" s="191">
        <v>561.57788901739696</v>
      </c>
      <c r="L2968" s="191"/>
      <c r="M2968" s="191"/>
      <c r="N2968" s="191"/>
      <c r="O2968" s="191"/>
      <c r="P2968" s="191"/>
      <c r="Q2968" s="191"/>
      <c r="R2968" s="191"/>
      <c r="S2968" s="191"/>
      <c r="T2968" s="191"/>
      <c r="U2968" s="439"/>
      <c r="V2968" s="441"/>
      <c r="W2968" s="178"/>
      <c r="X2968" s="172"/>
      <c r="Y2968" s="172"/>
      <c r="Z2968" s="172"/>
      <c r="AA2968" s="195"/>
      <c r="AB2968" s="172"/>
    </row>
    <row r="2969" spans="1:28" ht="12.6" customHeight="1" x14ac:dyDescent="0.3">
      <c r="A2969" s="667"/>
      <c r="B2969" s="668" t="s">
        <v>9949</v>
      </c>
      <c r="C2969" s="160" t="s">
        <v>9950</v>
      </c>
      <c r="D2969" s="160"/>
      <c r="E2969" s="439">
        <v>30.331</v>
      </c>
      <c r="F2969" s="161">
        <v>281.97386087000001</v>
      </c>
      <c r="G2969" s="161">
        <v>-63.627000000000002</v>
      </c>
      <c r="H2969" s="654">
        <v>115319.26369599999</v>
      </c>
      <c r="I2969" s="654">
        <v>70.665751246491496</v>
      </c>
      <c r="J2969" s="191"/>
      <c r="K2969" s="191">
        <v>681.67913309880203</v>
      </c>
      <c r="L2969" s="191"/>
      <c r="M2969" s="191"/>
      <c r="N2969" s="191"/>
      <c r="O2969" s="191"/>
      <c r="P2969" s="191"/>
      <c r="Q2969" s="191"/>
      <c r="R2969" s="191"/>
      <c r="S2969" s="191"/>
      <c r="T2969" s="191"/>
      <c r="U2969" s="439"/>
      <c r="V2969" s="441"/>
      <c r="W2969" s="178"/>
      <c r="X2969" s="172"/>
      <c r="Y2969" s="172"/>
      <c r="Z2969" s="172"/>
      <c r="AA2969" s="195"/>
      <c r="AB2969" s="172"/>
    </row>
    <row r="2970" spans="1:28" ht="12.6" customHeight="1" x14ac:dyDescent="0.3">
      <c r="A2970" s="667"/>
      <c r="B2970" s="668" t="s">
        <v>9951</v>
      </c>
      <c r="C2970" s="160" t="s">
        <v>9952</v>
      </c>
      <c r="D2970" s="160"/>
      <c r="E2970" s="439"/>
      <c r="F2970" s="161">
        <v>347.965581816</v>
      </c>
      <c r="G2970" s="161"/>
      <c r="H2970" s="654"/>
      <c r="I2970" s="654"/>
      <c r="J2970" s="191"/>
      <c r="K2970" s="191">
        <v>11620.3711642445</v>
      </c>
      <c r="L2970" s="191"/>
      <c r="M2970" s="191"/>
      <c r="N2970" s="191"/>
      <c r="O2970" s="191"/>
      <c r="P2970" s="191"/>
      <c r="Q2970" s="191"/>
      <c r="R2970" s="191"/>
      <c r="S2970" s="191"/>
      <c r="T2970" s="191"/>
      <c r="U2970" s="439"/>
      <c r="V2970" s="441"/>
      <c r="W2970" s="178"/>
      <c r="X2970" s="172"/>
      <c r="Y2970" s="172"/>
      <c r="Z2970" s="172"/>
      <c r="AA2970" s="195"/>
      <c r="AB2970" s="172"/>
    </row>
    <row r="2971" spans="1:28" ht="12.6" customHeight="1" x14ac:dyDescent="0.3">
      <c r="A2971" s="667"/>
      <c r="B2971" s="668" t="s">
        <v>9953</v>
      </c>
      <c r="C2971" s="160" t="s">
        <v>9954</v>
      </c>
      <c r="D2971" s="160"/>
      <c r="E2971" s="439"/>
      <c r="F2971" s="161">
        <v>231.977054544</v>
      </c>
      <c r="G2971" s="161">
        <v>-81.697999999999993</v>
      </c>
      <c r="H2971" s="654">
        <v>258167.38724000001</v>
      </c>
      <c r="I2971" s="654">
        <v>242.35106842320701</v>
      </c>
      <c r="J2971" s="191"/>
      <c r="K2971" s="191">
        <v>281.94863735248401</v>
      </c>
      <c r="L2971" s="191"/>
      <c r="M2971" s="191"/>
      <c r="N2971" s="191"/>
      <c r="O2971" s="191"/>
      <c r="P2971" s="191"/>
      <c r="Q2971" s="191"/>
      <c r="R2971" s="191"/>
      <c r="S2971" s="191"/>
      <c r="T2971" s="191"/>
      <c r="U2971" s="439"/>
      <c r="V2971" s="441"/>
      <c r="W2971" s="178"/>
      <c r="X2971" s="172"/>
      <c r="Y2971" s="172"/>
      <c r="Z2971" s="172"/>
      <c r="AA2971" s="195"/>
      <c r="AB2971" s="172"/>
    </row>
    <row r="2972" spans="1:28" ht="12.6" customHeight="1" x14ac:dyDescent="0.3">
      <c r="A2972" s="667"/>
      <c r="B2972" s="668" t="s">
        <v>9955</v>
      </c>
      <c r="C2972" s="160" t="s">
        <v>9956</v>
      </c>
      <c r="D2972" s="160"/>
      <c r="E2972" s="439"/>
      <c r="F2972" s="161">
        <v>243.977054544</v>
      </c>
      <c r="G2972" s="161"/>
      <c r="H2972" s="654"/>
      <c r="I2972" s="654"/>
      <c r="J2972" s="191"/>
      <c r="K2972" s="191">
        <v>642.65812113535503</v>
      </c>
      <c r="L2972" s="191"/>
      <c r="M2972" s="191"/>
      <c r="N2972" s="191"/>
      <c r="O2972" s="191"/>
      <c r="P2972" s="191"/>
      <c r="Q2972" s="191"/>
      <c r="R2972" s="191"/>
      <c r="S2972" s="191"/>
      <c r="T2972" s="191"/>
      <c r="U2972" s="439"/>
      <c r="V2972" s="441"/>
      <c r="W2972" s="178"/>
      <c r="X2972" s="172"/>
      <c r="Y2972" s="172"/>
      <c r="Z2972" s="172"/>
      <c r="AA2972" s="195"/>
      <c r="AB2972" s="172"/>
    </row>
    <row r="2973" spans="1:28" ht="12.6" customHeight="1" x14ac:dyDescent="0.3">
      <c r="A2973" s="667"/>
      <c r="B2973" s="668" t="s">
        <v>9957</v>
      </c>
      <c r="C2973" s="160" t="s">
        <v>9958</v>
      </c>
      <c r="D2973" s="160"/>
      <c r="E2973" s="439"/>
      <c r="F2973" s="161">
        <v>409.96238814200001</v>
      </c>
      <c r="G2973" s="161"/>
      <c r="H2973" s="654"/>
      <c r="I2973" s="654"/>
      <c r="J2973" s="191"/>
      <c r="K2973" s="191">
        <v>8913.5355309683691</v>
      </c>
      <c r="L2973" s="191"/>
      <c r="M2973" s="191"/>
      <c r="N2973" s="191"/>
      <c r="O2973" s="191"/>
      <c r="P2973" s="191"/>
      <c r="Q2973" s="191"/>
      <c r="R2973" s="191"/>
      <c r="S2973" s="191"/>
      <c r="T2973" s="191"/>
      <c r="U2973" s="439"/>
      <c r="V2973" s="441"/>
      <c r="W2973" s="178"/>
      <c r="X2973" s="172"/>
      <c r="Y2973" s="172"/>
      <c r="Z2973" s="172"/>
      <c r="AA2973" s="195"/>
      <c r="AB2973" s="172"/>
    </row>
    <row r="2974" spans="1:28" ht="12.6" customHeight="1" x14ac:dyDescent="0.3">
      <c r="A2974" s="667"/>
      <c r="B2974" s="668" t="s">
        <v>9959</v>
      </c>
      <c r="C2974" s="160" t="s">
        <v>9960</v>
      </c>
      <c r="D2974" s="160"/>
      <c r="E2974" s="439"/>
      <c r="F2974" s="161">
        <v>235.988368119</v>
      </c>
      <c r="G2974" s="161">
        <v>-89.751000000000005</v>
      </c>
      <c r="H2974" s="654">
        <v>54941.729555999998</v>
      </c>
      <c r="I2974" s="654">
        <v>22.074493546872102</v>
      </c>
      <c r="J2974" s="191"/>
      <c r="K2974" s="191">
        <v>45.6162941018043</v>
      </c>
      <c r="L2974" s="191"/>
      <c r="M2974" s="191"/>
      <c r="N2974" s="191"/>
      <c r="O2974" s="191"/>
      <c r="P2974" s="191"/>
      <c r="Q2974" s="191"/>
      <c r="R2974" s="191"/>
      <c r="S2974" s="191"/>
      <c r="T2974" s="191"/>
      <c r="U2974" s="439"/>
      <c r="V2974" s="441"/>
      <c r="W2974" s="178"/>
      <c r="X2974" s="172"/>
      <c r="Y2974" s="172"/>
      <c r="Z2974" s="172"/>
      <c r="AA2974" s="195"/>
      <c r="AB2974" s="172"/>
    </row>
    <row r="2975" spans="1:28" ht="12.6" customHeight="1" x14ac:dyDescent="0.3">
      <c r="A2975" s="667"/>
      <c r="B2975" s="668" t="s">
        <v>9961</v>
      </c>
      <c r="C2975" s="160" t="s">
        <v>9962</v>
      </c>
      <c r="D2975" s="160"/>
      <c r="E2975" s="439"/>
      <c r="F2975" s="161">
        <v>299.95026853299998</v>
      </c>
      <c r="G2975" s="161">
        <v>56.228999999999999</v>
      </c>
      <c r="H2975" s="654">
        <v>53.691035874000001</v>
      </c>
      <c r="I2975" s="654">
        <v>131.23484138909501</v>
      </c>
      <c r="J2975" s="191"/>
      <c r="K2975" s="191">
        <v>1434.7624434588799</v>
      </c>
      <c r="L2975" s="191"/>
      <c r="M2975" s="191"/>
      <c r="N2975" s="191"/>
      <c r="O2975" s="191"/>
      <c r="P2975" s="191"/>
      <c r="Q2975" s="191"/>
      <c r="R2975" s="191"/>
      <c r="S2975" s="191"/>
      <c r="T2975" s="191"/>
      <c r="U2975" s="439"/>
      <c r="V2975" s="441"/>
      <c r="W2975" s="178"/>
      <c r="X2975" s="172"/>
      <c r="Y2975" s="172"/>
      <c r="Z2975" s="172"/>
      <c r="AA2975" s="195"/>
      <c r="AB2975" s="172"/>
    </row>
    <row r="2976" spans="1:28" ht="12.6" customHeight="1" x14ac:dyDescent="0.3">
      <c r="A2976" s="667"/>
      <c r="B2976" s="668" t="s">
        <v>9963</v>
      </c>
      <c r="C2976" s="160" t="s">
        <v>9964</v>
      </c>
      <c r="D2976" s="160"/>
      <c r="E2976" s="439"/>
      <c r="F2976" s="161">
        <v>185.99156179299999</v>
      </c>
      <c r="G2976" s="161"/>
      <c r="H2976" s="654"/>
      <c r="I2976" s="654"/>
      <c r="J2976" s="191"/>
      <c r="K2976" s="191">
        <v>77.533609038082005</v>
      </c>
      <c r="L2976" s="191"/>
      <c r="M2976" s="191"/>
      <c r="N2976" s="191"/>
      <c r="O2976" s="191"/>
      <c r="P2976" s="191"/>
      <c r="Q2976" s="191"/>
      <c r="R2976" s="191"/>
      <c r="S2976" s="191"/>
      <c r="T2976" s="191"/>
      <c r="U2976" s="439"/>
      <c r="V2976" s="441"/>
      <c r="W2976" s="178"/>
      <c r="X2976" s="172"/>
      <c r="Y2976" s="172"/>
      <c r="Z2976" s="172"/>
      <c r="AA2976" s="195"/>
      <c r="AB2976" s="172"/>
    </row>
    <row r="2977" spans="1:28" ht="12.6" customHeight="1" x14ac:dyDescent="0.3">
      <c r="A2977" s="667"/>
      <c r="B2977" s="668" t="s">
        <v>9965</v>
      </c>
      <c r="C2977" s="160" t="s">
        <v>9966</v>
      </c>
      <c r="D2977" s="160"/>
      <c r="E2977" s="439"/>
      <c r="F2977" s="161">
        <v>439.91311999999999</v>
      </c>
      <c r="G2977" s="161">
        <v>-66.257999999999996</v>
      </c>
      <c r="H2977" s="654">
        <v>403.55369502000002</v>
      </c>
      <c r="I2977" s="654">
        <v>2.01542676623039</v>
      </c>
      <c r="J2977" s="191"/>
      <c r="K2977" s="191">
        <v>228565.14318386599</v>
      </c>
      <c r="L2977" s="191"/>
      <c r="M2977" s="191"/>
      <c r="N2977" s="191"/>
      <c r="O2977" s="191"/>
      <c r="P2977" s="191"/>
      <c r="Q2977" s="191"/>
      <c r="R2977" s="191"/>
      <c r="S2977" s="191"/>
      <c r="T2977" s="191"/>
      <c r="U2977" s="439"/>
      <c r="V2977" s="441"/>
      <c r="W2977" s="178"/>
      <c r="X2977" s="172"/>
      <c r="Y2977" s="172"/>
      <c r="Z2977" s="172"/>
      <c r="AA2977" s="195"/>
      <c r="AB2977" s="172"/>
    </row>
    <row r="2978" spans="1:28" ht="12.6" customHeight="1" x14ac:dyDescent="0.3">
      <c r="A2978" s="667"/>
      <c r="B2978" s="668" t="s">
        <v>9967</v>
      </c>
      <c r="C2978" s="160" t="s">
        <v>9968</v>
      </c>
      <c r="D2978" s="160"/>
      <c r="E2978" s="439"/>
      <c r="F2978" s="161">
        <v>324.01966824800002</v>
      </c>
      <c r="G2978" s="161"/>
      <c r="H2978" s="654"/>
      <c r="I2978" s="654"/>
      <c r="J2978" s="191"/>
      <c r="K2978" s="191"/>
      <c r="L2978" s="191"/>
      <c r="M2978" s="191"/>
      <c r="N2978" s="191"/>
      <c r="O2978" s="191"/>
      <c r="P2978" s="191"/>
      <c r="Q2978" s="191"/>
      <c r="R2978" s="191"/>
      <c r="S2978" s="191"/>
      <c r="T2978" s="191"/>
      <c r="U2978" s="439"/>
      <c r="V2978" s="441"/>
      <c r="W2978" s="178"/>
      <c r="X2978" s="172"/>
      <c r="Y2978" s="172"/>
      <c r="Z2978" s="172"/>
      <c r="AA2978" s="195"/>
      <c r="AB2978" s="172"/>
    </row>
    <row r="2979" spans="1:28" ht="12.6" customHeight="1" x14ac:dyDescent="0.3">
      <c r="A2979" s="667"/>
      <c r="B2979" s="668" t="s">
        <v>9969</v>
      </c>
      <c r="C2979" s="160" t="s">
        <v>9970</v>
      </c>
      <c r="D2979" s="160"/>
      <c r="E2979" s="439"/>
      <c r="F2979" s="161">
        <v>285.98517444499998</v>
      </c>
      <c r="G2979" s="161">
        <v>-116.97499999999999</v>
      </c>
      <c r="H2979" s="654">
        <v>70778.516648000004</v>
      </c>
      <c r="I2979" s="654">
        <v>38.667197481185099</v>
      </c>
      <c r="J2979" s="191"/>
      <c r="K2979" s="191">
        <v>781.51982617551801</v>
      </c>
      <c r="L2979" s="191"/>
      <c r="M2979" s="191"/>
      <c r="N2979" s="191"/>
      <c r="O2979" s="191"/>
      <c r="P2979" s="191"/>
      <c r="Q2979" s="191"/>
      <c r="R2979" s="191"/>
      <c r="S2979" s="191"/>
      <c r="T2979" s="191"/>
      <c r="U2979" s="439"/>
      <c r="V2979" s="441"/>
      <c r="W2979" s="178"/>
      <c r="X2979" s="172"/>
      <c r="Y2979" s="172"/>
      <c r="Z2979" s="172"/>
      <c r="AA2979" s="195"/>
      <c r="AB2979" s="172"/>
    </row>
    <row r="2980" spans="1:28" ht="12.6" customHeight="1" x14ac:dyDescent="0.3">
      <c r="A2980" s="667"/>
      <c r="B2980" s="668" t="s">
        <v>9971</v>
      </c>
      <c r="C2980" s="160" t="s">
        <v>9972</v>
      </c>
      <c r="D2980" s="160"/>
      <c r="E2980" s="439"/>
      <c r="F2980" s="161">
        <v>386.03646112799998</v>
      </c>
      <c r="G2980" s="161"/>
      <c r="H2980" s="654"/>
      <c r="I2980" s="654"/>
      <c r="J2980" s="191"/>
      <c r="K2980" s="191">
        <v>160261.79399832399</v>
      </c>
      <c r="L2980" s="191"/>
      <c r="M2980" s="191"/>
      <c r="N2980" s="191"/>
      <c r="O2980" s="191"/>
      <c r="P2980" s="191"/>
      <c r="Q2980" s="191"/>
      <c r="R2980" s="191"/>
      <c r="S2980" s="191"/>
      <c r="T2980" s="191"/>
      <c r="U2980" s="439"/>
      <c r="V2980" s="441"/>
      <c r="W2980" s="178"/>
      <c r="X2980" s="172"/>
      <c r="Y2980" s="172"/>
      <c r="Z2980" s="172"/>
      <c r="AA2980" s="195"/>
      <c r="AB2980" s="172"/>
    </row>
    <row r="2981" spans="1:28" ht="12.6" customHeight="1" x14ac:dyDescent="0.3">
      <c r="A2981" s="667"/>
      <c r="B2981" s="668" t="s">
        <v>9973</v>
      </c>
      <c r="C2981" s="160" t="s">
        <v>9974</v>
      </c>
      <c r="D2981" s="160"/>
      <c r="E2981" s="439"/>
      <c r="F2981" s="161">
        <v>386.03646112799998</v>
      </c>
      <c r="G2981" s="161"/>
      <c r="H2981" s="654"/>
      <c r="I2981" s="654"/>
      <c r="J2981" s="191"/>
      <c r="K2981" s="191">
        <v>157906.49727284201</v>
      </c>
      <c r="L2981" s="191"/>
      <c r="M2981" s="191"/>
      <c r="N2981" s="191"/>
      <c r="O2981" s="191"/>
      <c r="P2981" s="191"/>
      <c r="Q2981" s="191"/>
      <c r="R2981" s="191"/>
      <c r="S2981" s="191"/>
      <c r="T2981" s="191"/>
      <c r="U2981" s="439"/>
      <c r="V2981" s="441"/>
      <c r="W2981" s="178"/>
      <c r="X2981" s="172"/>
      <c r="Y2981" s="172"/>
      <c r="Z2981" s="172"/>
      <c r="AA2981" s="195"/>
      <c r="AB2981" s="172"/>
    </row>
    <row r="2982" spans="1:28" ht="12.6" customHeight="1" x14ac:dyDescent="0.3">
      <c r="A2982" s="667"/>
      <c r="B2982" s="668" t="s">
        <v>9975</v>
      </c>
      <c r="C2982" s="160" t="s">
        <v>9976</v>
      </c>
      <c r="D2982" s="160"/>
      <c r="E2982" s="439"/>
      <c r="F2982" s="161">
        <v>451.970508043</v>
      </c>
      <c r="G2982" s="161"/>
      <c r="H2982" s="654"/>
      <c r="I2982" s="654"/>
      <c r="J2982" s="191"/>
      <c r="K2982" s="191">
        <v>24499.092644161199</v>
      </c>
      <c r="L2982" s="191"/>
      <c r="M2982" s="191"/>
      <c r="N2982" s="191"/>
      <c r="O2982" s="191"/>
      <c r="P2982" s="191"/>
      <c r="Q2982" s="191"/>
      <c r="R2982" s="191"/>
      <c r="S2982" s="191"/>
      <c r="T2982" s="191"/>
      <c r="U2982" s="439"/>
      <c r="V2982" s="441"/>
      <c r="W2982" s="178"/>
      <c r="X2982" s="172"/>
      <c r="Y2982" s="172"/>
      <c r="Z2982" s="172"/>
      <c r="AA2982" s="195"/>
      <c r="AB2982" s="172"/>
    </row>
    <row r="2983" spans="1:28" ht="12.6" customHeight="1" x14ac:dyDescent="0.3">
      <c r="A2983" s="667"/>
      <c r="B2983" s="668" t="s">
        <v>9977</v>
      </c>
      <c r="C2983" s="160" t="s">
        <v>9978</v>
      </c>
      <c r="D2983" s="160"/>
      <c r="E2983" s="439"/>
      <c r="F2983" s="161">
        <v>617.95584164100001</v>
      </c>
      <c r="G2983" s="161"/>
      <c r="H2983" s="654"/>
      <c r="I2983" s="654"/>
      <c r="J2983" s="191"/>
      <c r="K2983" s="191">
        <v>87478.232596128495</v>
      </c>
      <c r="L2983" s="191"/>
      <c r="M2983" s="191"/>
      <c r="N2983" s="191"/>
      <c r="O2983" s="191"/>
      <c r="P2983" s="191"/>
      <c r="Q2983" s="191"/>
      <c r="R2983" s="191"/>
      <c r="S2983" s="191"/>
      <c r="T2983" s="191"/>
      <c r="U2983" s="439"/>
      <c r="V2983" s="441"/>
      <c r="W2983" s="178"/>
      <c r="X2983" s="172"/>
      <c r="Y2983" s="172"/>
      <c r="Z2983" s="172"/>
      <c r="AA2983" s="195"/>
      <c r="AB2983" s="172"/>
    </row>
    <row r="2984" spans="1:28" ht="12.6" customHeight="1" x14ac:dyDescent="0.3">
      <c r="A2984" s="667"/>
      <c r="B2984" s="668" t="s">
        <v>9979</v>
      </c>
      <c r="C2984" s="160" t="s">
        <v>9980</v>
      </c>
      <c r="D2984" s="160"/>
      <c r="E2984" s="439"/>
      <c r="F2984" s="161">
        <v>783.94117523900002</v>
      </c>
      <c r="G2984" s="161"/>
      <c r="H2984" s="654"/>
      <c r="I2984" s="654"/>
      <c r="J2984" s="191"/>
      <c r="K2984" s="191">
        <v>262542.73189936997</v>
      </c>
      <c r="L2984" s="191"/>
      <c r="M2984" s="191"/>
      <c r="N2984" s="191"/>
      <c r="O2984" s="191"/>
      <c r="P2984" s="191"/>
      <c r="Q2984" s="191"/>
      <c r="R2984" s="191"/>
      <c r="S2984" s="191"/>
      <c r="T2984" s="191"/>
      <c r="U2984" s="439"/>
      <c r="V2984" s="441"/>
      <c r="W2984" s="178"/>
      <c r="X2984" s="172"/>
      <c r="Y2984" s="172"/>
      <c r="Z2984" s="172"/>
      <c r="AA2984" s="195"/>
      <c r="AB2984" s="172"/>
    </row>
    <row r="2985" spans="1:28" ht="12.6" customHeight="1" x14ac:dyDescent="0.3">
      <c r="A2985" s="667"/>
      <c r="B2985" s="668" t="s">
        <v>9981</v>
      </c>
      <c r="C2985" s="160" t="s">
        <v>9982</v>
      </c>
      <c r="D2985" s="160"/>
      <c r="E2985" s="439"/>
      <c r="F2985" s="161">
        <v>215.98213992399999</v>
      </c>
      <c r="G2985" s="161"/>
      <c r="H2985" s="654"/>
      <c r="I2985" s="654"/>
      <c r="J2985" s="191"/>
      <c r="K2985" s="191">
        <v>383.40696673016799</v>
      </c>
      <c r="L2985" s="191"/>
      <c r="M2985" s="191"/>
      <c r="N2985" s="191"/>
      <c r="O2985" s="191"/>
      <c r="P2985" s="191"/>
      <c r="Q2985" s="191"/>
      <c r="R2985" s="191"/>
      <c r="S2985" s="191"/>
      <c r="T2985" s="191"/>
      <c r="U2985" s="439"/>
      <c r="V2985" s="441"/>
      <c r="W2985" s="178"/>
      <c r="X2985" s="172"/>
      <c r="Y2985" s="172"/>
      <c r="Z2985" s="172"/>
      <c r="AA2985" s="195"/>
      <c r="AB2985" s="172"/>
    </row>
    <row r="2986" spans="1:28" ht="12.6" customHeight="1" x14ac:dyDescent="0.3">
      <c r="A2986" s="667"/>
      <c r="B2986" s="668" t="s">
        <v>9983</v>
      </c>
      <c r="C2986" s="160" t="s">
        <v>9984</v>
      </c>
      <c r="D2986" s="160"/>
      <c r="E2986" s="439"/>
      <c r="F2986" s="161">
        <v>215.98213992399999</v>
      </c>
      <c r="G2986" s="161"/>
      <c r="H2986" s="654"/>
      <c r="I2986" s="654"/>
      <c r="J2986" s="191"/>
      <c r="K2986" s="191">
        <v>383.40696673016799</v>
      </c>
      <c r="L2986" s="191"/>
      <c r="M2986" s="191"/>
      <c r="N2986" s="191"/>
      <c r="O2986" s="191"/>
      <c r="P2986" s="191"/>
      <c r="Q2986" s="191"/>
      <c r="R2986" s="191"/>
      <c r="S2986" s="191"/>
      <c r="T2986" s="191"/>
      <c r="U2986" s="439"/>
      <c r="V2986" s="441"/>
      <c r="W2986" s="178"/>
      <c r="X2986" s="172"/>
      <c r="Y2986" s="172"/>
      <c r="Z2986" s="172"/>
      <c r="AA2986" s="195"/>
      <c r="AB2986" s="172"/>
    </row>
    <row r="2987" spans="1:28" ht="12.6" customHeight="1" x14ac:dyDescent="0.3">
      <c r="A2987" s="667"/>
      <c r="B2987" s="668" t="s">
        <v>9985</v>
      </c>
      <c r="C2987" s="160" t="s">
        <v>9986</v>
      </c>
      <c r="D2987" s="160"/>
      <c r="E2987" s="439"/>
      <c r="F2987" s="161">
        <v>215.98213992399999</v>
      </c>
      <c r="G2987" s="161">
        <v>-56.868000000000002</v>
      </c>
      <c r="H2987" s="654">
        <v>58735.673710000003</v>
      </c>
      <c r="I2987" s="654">
        <v>91.710336254528798</v>
      </c>
      <c r="J2987" s="191"/>
      <c r="K2987" s="191">
        <v>110.718450698232</v>
      </c>
      <c r="L2987" s="191"/>
      <c r="M2987" s="191"/>
      <c r="N2987" s="191"/>
      <c r="O2987" s="191"/>
      <c r="P2987" s="191"/>
      <c r="Q2987" s="191"/>
      <c r="R2987" s="191"/>
      <c r="S2987" s="191"/>
      <c r="T2987" s="191"/>
      <c r="U2987" s="439"/>
      <c r="V2987" s="441"/>
      <c r="W2987" s="178"/>
      <c r="X2987" s="172"/>
      <c r="Y2987" s="172"/>
      <c r="Z2987" s="172"/>
      <c r="AA2987" s="195"/>
      <c r="AB2987" s="172"/>
    </row>
    <row r="2988" spans="1:28" ht="12.6" customHeight="1" x14ac:dyDescent="0.3">
      <c r="A2988" s="667"/>
      <c r="B2988" s="668" t="s">
        <v>9987</v>
      </c>
      <c r="C2988" s="160" t="s">
        <v>9988</v>
      </c>
      <c r="D2988" s="160"/>
      <c r="E2988" s="439"/>
      <c r="F2988" s="161">
        <v>579.94263636000005</v>
      </c>
      <c r="G2988" s="161">
        <v>-89.331999999999994</v>
      </c>
      <c r="H2988" s="654">
        <v>16.553926130000001</v>
      </c>
      <c r="I2988" s="654">
        <v>6.7047748132215895E-2</v>
      </c>
      <c r="J2988" s="191"/>
      <c r="K2988" s="191">
        <v>42584.347780267803</v>
      </c>
      <c r="L2988" s="191"/>
      <c r="M2988" s="191"/>
      <c r="N2988" s="191"/>
      <c r="O2988" s="191"/>
      <c r="P2988" s="191"/>
      <c r="Q2988" s="191"/>
      <c r="R2988" s="191"/>
      <c r="S2988" s="191"/>
      <c r="T2988" s="191"/>
      <c r="U2988" s="439"/>
      <c r="V2988" s="441"/>
      <c r="W2988" s="178"/>
      <c r="X2988" s="172"/>
      <c r="Y2988" s="172"/>
      <c r="Z2988" s="172"/>
      <c r="AA2988" s="195"/>
      <c r="AB2988" s="172"/>
    </row>
    <row r="2989" spans="1:28" ht="12.6" customHeight="1" x14ac:dyDescent="0.3">
      <c r="A2989" s="667"/>
      <c r="B2989" s="668" t="s">
        <v>9989</v>
      </c>
      <c r="C2989" s="160" t="s">
        <v>9990</v>
      </c>
      <c r="D2989" s="160"/>
      <c r="E2989" s="439"/>
      <c r="F2989" s="161">
        <v>727.87144000000001</v>
      </c>
      <c r="G2989" s="161"/>
      <c r="H2989" s="654"/>
      <c r="I2989" s="654"/>
      <c r="J2989" s="191"/>
      <c r="K2989" s="191">
        <v>287719.96579596697</v>
      </c>
      <c r="L2989" s="191"/>
      <c r="M2989" s="191"/>
      <c r="N2989" s="191"/>
      <c r="O2989" s="191"/>
      <c r="P2989" s="191"/>
      <c r="Q2989" s="191"/>
      <c r="R2989" s="191"/>
      <c r="S2989" s="191"/>
      <c r="T2989" s="191"/>
      <c r="U2989" s="439"/>
      <c r="V2989" s="441"/>
      <c r="W2989" s="178"/>
      <c r="X2989" s="172"/>
      <c r="Y2989" s="172"/>
      <c r="Z2989" s="172"/>
      <c r="AA2989" s="195"/>
      <c r="AB2989" s="172"/>
    </row>
    <row r="2990" spans="1:28" ht="12.6" customHeight="1" x14ac:dyDescent="0.3">
      <c r="A2990" s="667"/>
      <c r="B2990" s="668" t="s">
        <v>9991</v>
      </c>
      <c r="C2990" s="160" t="s">
        <v>9992</v>
      </c>
      <c r="D2990" s="160"/>
      <c r="E2990" s="439"/>
      <c r="F2990" s="161">
        <v>645.94961344599994</v>
      </c>
      <c r="G2990" s="161"/>
      <c r="H2990" s="654"/>
      <c r="I2990" s="654"/>
      <c r="J2990" s="191"/>
      <c r="K2990" s="191">
        <v>1371513.2259364801</v>
      </c>
      <c r="L2990" s="191"/>
      <c r="M2990" s="191"/>
      <c r="N2990" s="191"/>
      <c r="O2990" s="191"/>
      <c r="P2990" s="191"/>
      <c r="Q2990" s="191"/>
      <c r="R2990" s="191"/>
      <c r="S2990" s="191"/>
      <c r="T2990" s="191"/>
      <c r="U2990" s="439"/>
      <c r="V2990" s="441"/>
      <c r="W2990" s="178"/>
      <c r="X2990" s="172"/>
      <c r="Y2990" s="172"/>
      <c r="Z2990" s="172"/>
      <c r="AA2990" s="195"/>
      <c r="AB2990" s="172"/>
    </row>
    <row r="2991" spans="1:28" ht="12.6" customHeight="1" x14ac:dyDescent="0.3">
      <c r="A2991" s="667"/>
      <c r="B2991" s="668" t="s">
        <v>9993</v>
      </c>
      <c r="C2991" s="160" t="s">
        <v>9994</v>
      </c>
      <c r="D2991" s="160"/>
      <c r="E2991" s="439"/>
      <c r="F2991" s="161">
        <v>301.97894624999998</v>
      </c>
      <c r="G2991" s="161"/>
      <c r="H2991" s="654"/>
      <c r="I2991" s="654"/>
      <c r="J2991" s="191"/>
      <c r="K2991" s="191">
        <v>63190.2392955717</v>
      </c>
      <c r="L2991" s="191"/>
      <c r="M2991" s="191"/>
      <c r="N2991" s="191"/>
      <c r="O2991" s="191"/>
      <c r="P2991" s="191"/>
      <c r="Q2991" s="191"/>
      <c r="R2991" s="191"/>
      <c r="S2991" s="191"/>
      <c r="T2991" s="191"/>
      <c r="U2991" s="439"/>
      <c r="V2991" s="441"/>
      <c r="W2991" s="178"/>
      <c r="X2991" s="172"/>
      <c r="Y2991" s="172"/>
      <c r="Z2991" s="172"/>
      <c r="AA2991" s="195"/>
      <c r="AB2991" s="172"/>
    </row>
    <row r="2992" spans="1:28" ht="12.6" customHeight="1" x14ac:dyDescent="0.3">
      <c r="A2992" s="667"/>
      <c r="B2992" s="668" t="s">
        <v>9995</v>
      </c>
      <c r="C2992" s="160" t="s">
        <v>9996</v>
      </c>
      <c r="D2992" s="160"/>
      <c r="E2992" s="439">
        <v>7.29</v>
      </c>
      <c r="F2992" s="161">
        <v>478.98140707900001</v>
      </c>
      <c r="G2992" s="161">
        <v>-19.963000000000001</v>
      </c>
      <c r="H2992" s="654">
        <v>9.6583256391999992</v>
      </c>
      <c r="I2992" s="654">
        <v>1.3655855712103699</v>
      </c>
      <c r="J2992" s="191"/>
      <c r="K2992" s="191">
        <v>39763.078447858199</v>
      </c>
      <c r="L2992" s="191"/>
      <c r="M2992" s="191"/>
      <c r="N2992" s="191"/>
      <c r="O2992" s="191"/>
      <c r="P2992" s="191"/>
      <c r="Q2992" s="191"/>
      <c r="R2992" s="191"/>
      <c r="S2992" s="191"/>
      <c r="T2992" s="191"/>
      <c r="U2992" s="439"/>
      <c r="V2992" s="441"/>
      <c r="W2992" s="178"/>
      <c r="X2992" s="172"/>
      <c r="Y2992" s="172"/>
      <c r="Z2992" s="172"/>
      <c r="AA2992" s="195"/>
      <c r="AB2992" s="172"/>
    </row>
    <row r="2993" spans="1:28" ht="12.6" customHeight="1" x14ac:dyDescent="0.3">
      <c r="A2993" s="667"/>
      <c r="B2993" s="668" t="s">
        <v>9997</v>
      </c>
      <c r="C2993" s="160" t="s">
        <v>9998</v>
      </c>
      <c r="D2993" s="160"/>
      <c r="E2993" s="439">
        <v>7</v>
      </c>
      <c r="F2993" s="161">
        <v>406.98270904700001</v>
      </c>
      <c r="G2993" s="161"/>
      <c r="H2993" s="654"/>
      <c r="I2993" s="654"/>
      <c r="J2993" s="191"/>
      <c r="K2993" s="191">
        <v>21648.110696414798</v>
      </c>
      <c r="L2993" s="191"/>
      <c r="M2993" s="191"/>
      <c r="N2993" s="191"/>
      <c r="O2993" s="191"/>
      <c r="P2993" s="191"/>
      <c r="Q2993" s="191"/>
      <c r="R2993" s="191"/>
      <c r="S2993" s="191"/>
      <c r="T2993" s="191"/>
      <c r="U2993" s="439"/>
      <c r="V2993" s="441"/>
      <c r="W2993" s="178"/>
      <c r="X2993" s="172"/>
      <c r="Y2993" s="172"/>
      <c r="Z2993" s="172"/>
      <c r="AA2993" s="195"/>
      <c r="AB2993" s="172"/>
    </row>
    <row r="2994" spans="1:28" ht="12.6" customHeight="1" x14ac:dyDescent="0.3">
      <c r="A2994" s="667"/>
      <c r="B2994" s="668" t="s">
        <v>9999</v>
      </c>
      <c r="C2994" s="160" t="s">
        <v>10000</v>
      </c>
      <c r="D2994" s="160"/>
      <c r="E2994" s="439">
        <v>6.3</v>
      </c>
      <c r="F2994" s="161">
        <v>328.99098810100003</v>
      </c>
      <c r="G2994" s="161"/>
      <c r="H2994" s="654"/>
      <c r="I2994" s="654"/>
      <c r="J2994" s="191"/>
      <c r="K2994" s="191">
        <v>220.348450054138</v>
      </c>
      <c r="L2994" s="191"/>
      <c r="M2994" s="191"/>
      <c r="N2994" s="191"/>
      <c r="O2994" s="191"/>
      <c r="P2994" s="191"/>
      <c r="Q2994" s="191"/>
      <c r="R2994" s="191"/>
      <c r="S2994" s="191"/>
      <c r="T2994" s="191"/>
      <c r="U2994" s="439"/>
      <c r="V2994" s="441"/>
      <c r="W2994" s="178"/>
      <c r="X2994" s="172"/>
      <c r="Y2994" s="172"/>
      <c r="Z2994" s="172"/>
      <c r="AA2994" s="195"/>
      <c r="AB2994" s="172"/>
    </row>
    <row r="2995" spans="1:28" ht="12.6" customHeight="1" x14ac:dyDescent="0.3">
      <c r="A2995" s="667"/>
      <c r="B2995" s="668" t="s">
        <v>10001</v>
      </c>
      <c r="C2995" s="160" t="s">
        <v>10002</v>
      </c>
      <c r="D2995" s="160"/>
      <c r="E2995" s="439">
        <v>6.65</v>
      </c>
      <c r="F2995" s="161">
        <v>494.97632169899998</v>
      </c>
      <c r="G2995" s="161"/>
      <c r="H2995" s="654"/>
      <c r="I2995" s="654"/>
      <c r="J2995" s="191"/>
      <c r="K2995" s="191">
        <v>36099.401358641597</v>
      </c>
      <c r="L2995" s="191"/>
      <c r="M2995" s="191"/>
      <c r="N2995" s="191"/>
      <c r="O2995" s="191"/>
      <c r="P2995" s="191"/>
      <c r="Q2995" s="191"/>
      <c r="R2995" s="191"/>
      <c r="S2995" s="191"/>
      <c r="T2995" s="191"/>
      <c r="U2995" s="439"/>
      <c r="V2995" s="441"/>
      <c r="W2995" s="178"/>
      <c r="X2995" s="172"/>
      <c r="Y2995" s="172"/>
      <c r="Z2995" s="172"/>
      <c r="AA2995" s="195"/>
      <c r="AB2995" s="172"/>
    </row>
    <row r="2996" spans="1:28" ht="12.6" customHeight="1" x14ac:dyDescent="0.3">
      <c r="A2996" s="667"/>
      <c r="B2996" s="668" t="s">
        <v>10003</v>
      </c>
      <c r="C2996" s="160" t="s">
        <v>10004</v>
      </c>
      <c r="D2996" s="160"/>
      <c r="E2996" s="439">
        <v>6.63</v>
      </c>
      <c r="F2996" s="161">
        <v>660.96165529699999</v>
      </c>
      <c r="G2996" s="161"/>
      <c r="H2996" s="654"/>
      <c r="I2996" s="654"/>
      <c r="J2996" s="191"/>
      <c r="K2996" s="191">
        <v>82256.457117295693</v>
      </c>
      <c r="L2996" s="191"/>
      <c r="M2996" s="191"/>
      <c r="N2996" s="191"/>
      <c r="O2996" s="191"/>
      <c r="P2996" s="191"/>
      <c r="Q2996" s="191"/>
      <c r="R2996" s="191"/>
      <c r="S2996" s="191"/>
      <c r="T2996" s="191"/>
      <c r="U2996" s="439"/>
      <c r="V2996" s="441"/>
      <c r="W2996" s="178"/>
      <c r="X2996" s="172"/>
      <c r="Y2996" s="172"/>
      <c r="Z2996" s="172"/>
      <c r="AA2996" s="195"/>
      <c r="AB2996" s="172"/>
    </row>
    <row r="2997" spans="1:28" ht="12.6" customHeight="1" x14ac:dyDescent="0.3">
      <c r="A2997" s="667"/>
      <c r="B2997" s="668" t="s">
        <v>10005</v>
      </c>
      <c r="C2997" s="160" t="s">
        <v>10006</v>
      </c>
      <c r="D2997" s="160"/>
      <c r="E2997" s="439">
        <v>7.67</v>
      </c>
      <c r="F2997" s="161">
        <v>228.997375449</v>
      </c>
      <c r="G2997" s="161"/>
      <c r="H2997" s="654"/>
      <c r="I2997" s="654"/>
      <c r="J2997" s="191"/>
      <c r="K2997" s="191">
        <v>120.09087246415901</v>
      </c>
      <c r="L2997" s="191"/>
      <c r="M2997" s="191"/>
      <c r="N2997" s="191"/>
      <c r="O2997" s="191"/>
      <c r="P2997" s="191"/>
      <c r="Q2997" s="191"/>
      <c r="R2997" s="191"/>
      <c r="S2997" s="191"/>
      <c r="T2997" s="191"/>
      <c r="U2997" s="439"/>
      <c r="V2997" s="441"/>
      <c r="W2997" s="178"/>
      <c r="X2997" s="172"/>
      <c r="Y2997" s="172"/>
      <c r="Z2997" s="172"/>
      <c r="AA2997" s="195"/>
      <c r="AB2997" s="172"/>
    </row>
    <row r="2998" spans="1:28" ht="12.6" customHeight="1" x14ac:dyDescent="0.3">
      <c r="A2998" s="667"/>
      <c r="B2998" s="668" t="s">
        <v>10007</v>
      </c>
      <c r="C2998" s="160" t="s">
        <v>10008</v>
      </c>
      <c r="D2998" s="160"/>
      <c r="E2998" s="439">
        <v>-0.73</v>
      </c>
      <c r="F2998" s="161">
        <v>329.97500368499999</v>
      </c>
      <c r="G2998" s="161"/>
      <c r="H2998" s="654"/>
      <c r="I2998" s="654"/>
      <c r="J2998" s="191"/>
      <c r="K2998" s="191">
        <v>1007.65067464855</v>
      </c>
      <c r="L2998" s="191"/>
      <c r="M2998" s="191"/>
      <c r="N2998" s="191"/>
      <c r="O2998" s="191"/>
      <c r="P2998" s="191"/>
      <c r="Q2998" s="191"/>
      <c r="R2998" s="191"/>
      <c r="S2998" s="191"/>
      <c r="T2998" s="191"/>
      <c r="U2998" s="439"/>
      <c r="V2998" s="441"/>
      <c r="W2998" s="178"/>
      <c r="X2998" s="172"/>
      <c r="Y2998" s="172"/>
      <c r="Z2998" s="172"/>
      <c r="AA2998" s="195"/>
      <c r="AB2998" s="172"/>
    </row>
    <row r="2999" spans="1:28" ht="12.6" customHeight="1" x14ac:dyDescent="0.3">
      <c r="A2999" s="667"/>
      <c r="B2999" s="668" t="s">
        <v>10009</v>
      </c>
      <c r="C2999" s="160" t="s">
        <v>10010</v>
      </c>
      <c r="D2999" s="160"/>
      <c r="E2999" s="439"/>
      <c r="F2999" s="161">
        <v>287.966883784</v>
      </c>
      <c r="G2999" s="161"/>
      <c r="H2999" s="654"/>
      <c r="I2999" s="654"/>
      <c r="J2999" s="191"/>
      <c r="K2999" s="191">
        <v>1274.9113867527201</v>
      </c>
      <c r="L2999" s="191"/>
      <c r="M2999" s="191"/>
      <c r="N2999" s="191"/>
      <c r="O2999" s="191"/>
      <c r="P2999" s="191"/>
      <c r="Q2999" s="191"/>
      <c r="R2999" s="191"/>
      <c r="S2999" s="191"/>
      <c r="T2999" s="191"/>
      <c r="U2999" s="439"/>
      <c r="V2999" s="441"/>
      <c r="W2999" s="178"/>
      <c r="X2999" s="172"/>
      <c r="Y2999" s="172"/>
      <c r="Z2999" s="172"/>
      <c r="AA2999" s="195"/>
      <c r="AB2999" s="172"/>
    </row>
    <row r="3000" spans="1:28" ht="12.6" customHeight="1" x14ac:dyDescent="0.3">
      <c r="A3000" s="667"/>
      <c r="B3000" s="668" t="s">
        <v>10011</v>
      </c>
      <c r="C3000" s="160" t="s">
        <v>10012</v>
      </c>
      <c r="D3000" s="160"/>
      <c r="E3000" s="439"/>
      <c r="F3000" s="161">
        <v>309.96877548999998</v>
      </c>
      <c r="G3000" s="161"/>
      <c r="H3000" s="654"/>
      <c r="I3000" s="654"/>
      <c r="J3000" s="191"/>
      <c r="K3000" s="191">
        <v>530.078268600304</v>
      </c>
      <c r="L3000" s="191"/>
      <c r="M3000" s="191"/>
      <c r="N3000" s="191"/>
      <c r="O3000" s="191"/>
      <c r="P3000" s="191"/>
      <c r="Q3000" s="191"/>
      <c r="R3000" s="191"/>
      <c r="S3000" s="191"/>
      <c r="T3000" s="191"/>
      <c r="U3000" s="439"/>
      <c r="V3000" s="441"/>
      <c r="W3000" s="178"/>
      <c r="X3000" s="172"/>
      <c r="Y3000" s="172"/>
      <c r="Z3000" s="172"/>
      <c r="AA3000" s="195"/>
      <c r="AB3000" s="172"/>
    </row>
    <row r="3001" spans="1:28" ht="12.6" customHeight="1" x14ac:dyDescent="0.3">
      <c r="A3001" s="667"/>
      <c r="B3001" s="668" t="s">
        <v>10013</v>
      </c>
      <c r="C3001" s="160" t="s">
        <v>10014</v>
      </c>
      <c r="D3001" s="160"/>
      <c r="E3001" s="439">
        <v>0.54</v>
      </c>
      <c r="F3001" s="161">
        <v>329.97500368499999</v>
      </c>
      <c r="G3001" s="161">
        <v>13.962999999999999</v>
      </c>
      <c r="H3001" s="654">
        <v>54.437905717999897</v>
      </c>
      <c r="I3001" s="654">
        <v>45.970797613379403</v>
      </c>
      <c r="J3001" s="191"/>
      <c r="K3001" s="191">
        <v>946.17179987585803</v>
      </c>
      <c r="L3001" s="191"/>
      <c r="M3001" s="191"/>
      <c r="N3001" s="191"/>
      <c r="O3001" s="191"/>
      <c r="P3001" s="191"/>
      <c r="Q3001" s="191"/>
      <c r="R3001" s="191"/>
      <c r="S3001" s="191"/>
      <c r="T3001" s="191"/>
      <c r="U3001" s="439"/>
      <c r="V3001" s="441"/>
      <c r="W3001" s="178"/>
      <c r="X3001" s="172"/>
      <c r="Y3001" s="172"/>
      <c r="Z3001" s="172"/>
      <c r="AA3001" s="195"/>
      <c r="AB3001" s="172"/>
    </row>
    <row r="3002" spans="1:28" ht="12.6" customHeight="1" x14ac:dyDescent="0.3">
      <c r="A3002" s="667"/>
      <c r="B3002" s="668" t="s">
        <v>10015</v>
      </c>
      <c r="C3002" s="160" t="s">
        <v>10016</v>
      </c>
      <c r="D3002" s="160"/>
      <c r="E3002" s="439">
        <v>-0.22</v>
      </c>
      <c r="F3002" s="161">
        <v>377.97614650000003</v>
      </c>
      <c r="G3002" s="161"/>
      <c r="H3002" s="654"/>
      <c r="I3002" s="654"/>
      <c r="J3002" s="191"/>
      <c r="K3002" s="191">
        <v>620.154643653785</v>
      </c>
      <c r="L3002" s="191"/>
      <c r="M3002" s="191"/>
      <c r="N3002" s="191"/>
      <c r="O3002" s="191"/>
      <c r="P3002" s="191"/>
      <c r="Q3002" s="191"/>
      <c r="R3002" s="191"/>
      <c r="S3002" s="191"/>
      <c r="T3002" s="191"/>
      <c r="U3002" s="439"/>
      <c r="V3002" s="441"/>
      <c r="W3002" s="178"/>
      <c r="X3002" s="172"/>
      <c r="Y3002" s="172"/>
      <c r="Z3002" s="172"/>
      <c r="AA3002" s="195"/>
      <c r="AB3002" s="172"/>
    </row>
    <row r="3003" spans="1:28" ht="12.6" customHeight="1" x14ac:dyDescent="0.3">
      <c r="A3003" s="667"/>
      <c r="B3003" s="668" t="s">
        <v>10017</v>
      </c>
      <c r="C3003" s="160" t="s">
        <v>10018</v>
      </c>
      <c r="D3003" s="160"/>
      <c r="E3003" s="439">
        <v>-1.96</v>
      </c>
      <c r="F3003" s="161">
        <v>339.96294121900002</v>
      </c>
      <c r="G3003" s="161"/>
      <c r="H3003" s="654"/>
      <c r="I3003" s="654"/>
      <c r="J3003" s="191"/>
      <c r="K3003" s="191">
        <v>2103.2456530664099</v>
      </c>
      <c r="L3003" s="191"/>
      <c r="M3003" s="191"/>
      <c r="N3003" s="191"/>
      <c r="O3003" s="191"/>
      <c r="P3003" s="191"/>
      <c r="Q3003" s="191"/>
      <c r="R3003" s="191"/>
      <c r="S3003" s="191"/>
      <c r="T3003" s="191"/>
      <c r="U3003" s="439"/>
      <c r="V3003" s="441"/>
      <c r="W3003" s="178"/>
      <c r="X3003" s="172"/>
      <c r="Y3003" s="172"/>
      <c r="Z3003" s="172"/>
      <c r="AA3003" s="195"/>
      <c r="AB3003" s="172"/>
    </row>
    <row r="3004" spans="1:28" ht="12.6" customHeight="1" x14ac:dyDescent="0.3">
      <c r="A3004" s="667"/>
      <c r="B3004" s="668" t="s">
        <v>10019</v>
      </c>
      <c r="C3004" s="160" t="s">
        <v>10020</v>
      </c>
      <c r="D3004" s="160"/>
      <c r="E3004" s="439"/>
      <c r="F3004" s="161">
        <v>471.97918102199998</v>
      </c>
      <c r="G3004" s="161"/>
      <c r="H3004" s="654"/>
      <c r="I3004" s="654"/>
      <c r="J3004" s="191"/>
      <c r="K3004" s="191">
        <v>43584.292448351996</v>
      </c>
      <c r="L3004" s="191"/>
      <c r="M3004" s="191"/>
      <c r="N3004" s="191"/>
      <c r="O3004" s="191"/>
      <c r="P3004" s="191"/>
      <c r="Q3004" s="191"/>
      <c r="R3004" s="191"/>
      <c r="S3004" s="191"/>
      <c r="T3004" s="191"/>
      <c r="U3004" s="439"/>
      <c r="V3004" s="441"/>
      <c r="W3004" s="178"/>
      <c r="X3004" s="172"/>
      <c r="Y3004" s="172"/>
      <c r="Z3004" s="172"/>
      <c r="AA3004" s="195"/>
      <c r="AB3004" s="172"/>
    </row>
    <row r="3005" spans="1:28" ht="12.6" customHeight="1" x14ac:dyDescent="0.3">
      <c r="A3005" s="667"/>
      <c r="B3005" s="668" t="s">
        <v>10021</v>
      </c>
      <c r="C3005" s="160" t="s">
        <v>10022</v>
      </c>
      <c r="D3005" s="160"/>
      <c r="E3005" s="439">
        <v>7.82</v>
      </c>
      <c r="F3005" s="161">
        <v>485.991894006</v>
      </c>
      <c r="G3005" s="161"/>
      <c r="H3005" s="654"/>
      <c r="I3005" s="654"/>
      <c r="J3005" s="191"/>
      <c r="K3005" s="191">
        <v>57191.304149550902</v>
      </c>
      <c r="L3005" s="191"/>
      <c r="M3005" s="191"/>
      <c r="N3005" s="191"/>
      <c r="O3005" s="191"/>
      <c r="P3005" s="191"/>
      <c r="Q3005" s="191"/>
      <c r="R3005" s="191"/>
      <c r="S3005" s="191"/>
      <c r="T3005" s="191"/>
      <c r="U3005" s="439"/>
      <c r="V3005" s="441"/>
      <c r="W3005" s="178"/>
      <c r="X3005" s="172"/>
      <c r="Y3005" s="172"/>
      <c r="Z3005" s="172"/>
      <c r="AA3005" s="195"/>
      <c r="AB3005" s="172"/>
    </row>
    <row r="3006" spans="1:28" ht="12.6" customHeight="1" x14ac:dyDescent="0.3">
      <c r="A3006" s="667"/>
      <c r="B3006" s="668" t="s">
        <v>10023</v>
      </c>
      <c r="C3006" s="160" t="s">
        <v>10024</v>
      </c>
      <c r="D3006" s="160"/>
      <c r="E3006" s="439"/>
      <c r="F3006" s="161">
        <v>515.96297788000004</v>
      </c>
      <c r="G3006" s="161"/>
      <c r="H3006" s="654"/>
      <c r="I3006" s="654"/>
      <c r="J3006" s="191"/>
      <c r="K3006" s="191">
        <v>197069.76558803601</v>
      </c>
      <c r="L3006" s="191"/>
      <c r="M3006" s="191"/>
      <c r="N3006" s="191"/>
      <c r="O3006" s="191"/>
      <c r="P3006" s="191"/>
      <c r="Q3006" s="191"/>
      <c r="R3006" s="191"/>
      <c r="S3006" s="191"/>
      <c r="T3006" s="191"/>
      <c r="U3006" s="439"/>
      <c r="V3006" s="441"/>
      <c r="W3006" s="178"/>
      <c r="X3006" s="172"/>
      <c r="Y3006" s="172"/>
      <c r="Z3006" s="172"/>
      <c r="AA3006" s="195"/>
      <c r="AB3006" s="172"/>
    </row>
    <row r="3007" spans="1:28" ht="12.6" customHeight="1" x14ac:dyDescent="0.3">
      <c r="A3007" s="667"/>
      <c r="B3007" s="668" t="s">
        <v>10025</v>
      </c>
      <c r="C3007" s="160" t="s">
        <v>10026</v>
      </c>
      <c r="D3007" s="160"/>
      <c r="E3007" s="439"/>
      <c r="F3007" s="161">
        <v>315.97575257599999</v>
      </c>
      <c r="G3007" s="161"/>
      <c r="H3007" s="654"/>
      <c r="I3007" s="654"/>
      <c r="J3007" s="191"/>
      <c r="K3007" s="191">
        <v>1695.54765285127</v>
      </c>
      <c r="L3007" s="191"/>
      <c r="M3007" s="191"/>
      <c r="N3007" s="191"/>
      <c r="O3007" s="191"/>
      <c r="P3007" s="191"/>
      <c r="Q3007" s="191"/>
      <c r="R3007" s="191"/>
      <c r="S3007" s="191"/>
      <c r="T3007" s="191"/>
      <c r="U3007" s="439"/>
      <c r="V3007" s="441"/>
      <c r="W3007" s="178"/>
      <c r="X3007" s="172"/>
      <c r="Y3007" s="172"/>
      <c r="Z3007" s="172"/>
      <c r="AA3007" s="195"/>
      <c r="AB3007" s="172"/>
    </row>
    <row r="3008" spans="1:28" ht="12.6" customHeight="1" x14ac:dyDescent="0.3">
      <c r="A3008" s="667"/>
      <c r="B3008" s="668" t="s">
        <v>10027</v>
      </c>
      <c r="C3008" s="160" t="s">
        <v>10028</v>
      </c>
      <c r="D3008" s="160"/>
      <c r="E3008" s="439"/>
      <c r="F3008" s="161">
        <v>715.95020318399997</v>
      </c>
      <c r="G3008" s="161"/>
      <c r="H3008" s="654"/>
      <c r="I3008" s="654"/>
      <c r="J3008" s="191"/>
      <c r="K3008" s="191">
        <v>296920.37474042998</v>
      </c>
      <c r="L3008" s="191"/>
      <c r="M3008" s="191"/>
      <c r="N3008" s="191"/>
      <c r="O3008" s="191"/>
      <c r="P3008" s="191"/>
      <c r="Q3008" s="191"/>
      <c r="R3008" s="191"/>
      <c r="S3008" s="191"/>
      <c r="T3008" s="191"/>
      <c r="U3008" s="439"/>
      <c r="V3008" s="441"/>
      <c r="W3008" s="178"/>
      <c r="X3008" s="172"/>
      <c r="Y3008" s="172"/>
      <c r="Z3008" s="172"/>
      <c r="AA3008" s="195"/>
      <c r="AB3008" s="172"/>
    </row>
    <row r="3009" spans="1:28" ht="12.6" customHeight="1" x14ac:dyDescent="0.3">
      <c r="A3009" s="667"/>
      <c r="B3009" s="668" t="s">
        <v>10029</v>
      </c>
      <c r="C3009" s="160" t="s">
        <v>10030</v>
      </c>
      <c r="D3009" s="160"/>
      <c r="E3009" s="439"/>
      <c r="F3009" s="161">
        <v>315.97575257599999</v>
      </c>
      <c r="G3009" s="161">
        <v>-70.156000000000006</v>
      </c>
      <c r="H3009" s="654">
        <v>3853.9123896000001</v>
      </c>
      <c r="I3009" s="654">
        <v>31.3078886876383</v>
      </c>
      <c r="J3009" s="191"/>
      <c r="K3009" s="191">
        <v>1746.3046080587901</v>
      </c>
      <c r="L3009" s="191"/>
      <c r="M3009" s="191"/>
      <c r="N3009" s="191"/>
      <c r="O3009" s="191"/>
      <c r="P3009" s="191"/>
      <c r="Q3009" s="191"/>
      <c r="R3009" s="191"/>
      <c r="S3009" s="191"/>
      <c r="T3009" s="191"/>
      <c r="U3009" s="439"/>
      <c r="V3009" s="441"/>
      <c r="W3009" s="178"/>
      <c r="X3009" s="172"/>
      <c r="Y3009" s="172"/>
      <c r="Z3009" s="172"/>
      <c r="AA3009" s="195"/>
      <c r="AB3009" s="172"/>
    </row>
    <row r="3010" spans="1:28" ht="12.6" customHeight="1" x14ac:dyDescent="0.3">
      <c r="A3010" s="667"/>
      <c r="B3010" s="668" t="s">
        <v>10031</v>
      </c>
      <c r="C3010" s="160" t="s">
        <v>10032</v>
      </c>
      <c r="D3010" s="160"/>
      <c r="E3010" s="439">
        <v>6.34</v>
      </c>
      <c r="F3010" s="161">
        <v>369.02228823000002</v>
      </c>
      <c r="G3010" s="161"/>
      <c r="H3010" s="654"/>
      <c r="I3010" s="654"/>
      <c r="J3010" s="191"/>
      <c r="K3010" s="191">
        <v>3056.0467950915299</v>
      </c>
      <c r="L3010" s="191"/>
      <c r="M3010" s="191"/>
      <c r="N3010" s="191"/>
      <c r="O3010" s="191"/>
      <c r="P3010" s="191"/>
      <c r="Q3010" s="191"/>
      <c r="R3010" s="191"/>
      <c r="S3010" s="191"/>
      <c r="T3010" s="191"/>
      <c r="U3010" s="439"/>
      <c r="V3010" s="441"/>
      <c r="W3010" s="178"/>
      <c r="X3010" s="172"/>
      <c r="Y3010" s="172"/>
      <c r="Z3010" s="172"/>
      <c r="AA3010" s="195"/>
      <c r="AB3010" s="172"/>
    </row>
    <row r="3011" spans="1:28" ht="12.6" customHeight="1" x14ac:dyDescent="0.3">
      <c r="A3011" s="667"/>
      <c r="B3011" s="668" t="s">
        <v>10033</v>
      </c>
      <c r="C3011" s="160" t="s">
        <v>10034</v>
      </c>
      <c r="D3011" s="160"/>
      <c r="E3011" s="439">
        <v>0.93</v>
      </c>
      <c r="F3011" s="161">
        <v>529.96222898899998</v>
      </c>
      <c r="G3011" s="161">
        <v>-27.783999999999999</v>
      </c>
      <c r="H3011" s="654">
        <v>3.6804604676000001</v>
      </c>
      <c r="I3011" s="654">
        <v>0.79660742488252501</v>
      </c>
      <c r="J3011" s="191"/>
      <c r="K3011" s="191">
        <v>81086.7697886034</v>
      </c>
      <c r="L3011" s="191"/>
      <c r="M3011" s="191"/>
      <c r="N3011" s="191"/>
      <c r="O3011" s="191"/>
      <c r="P3011" s="191"/>
      <c r="Q3011" s="191"/>
      <c r="R3011" s="191"/>
      <c r="S3011" s="191"/>
      <c r="T3011" s="191"/>
      <c r="U3011" s="439"/>
      <c r="V3011" s="441"/>
      <c r="W3011" s="178"/>
      <c r="X3011" s="172"/>
      <c r="Y3011" s="172"/>
      <c r="Z3011" s="172"/>
      <c r="AA3011" s="195"/>
      <c r="AB3011" s="172"/>
    </row>
    <row r="3012" spans="1:28" ht="12.6" customHeight="1" x14ac:dyDescent="0.3">
      <c r="A3012" s="667"/>
      <c r="B3012" s="668" t="s">
        <v>10035</v>
      </c>
      <c r="C3012" s="160" t="s">
        <v>10036</v>
      </c>
      <c r="D3012" s="160"/>
      <c r="E3012" s="439">
        <v>0.34</v>
      </c>
      <c r="F3012" s="161">
        <v>379.971810011</v>
      </c>
      <c r="G3012" s="161">
        <v>-32.128999999999998</v>
      </c>
      <c r="H3012" s="654">
        <v>75.666234489999994</v>
      </c>
      <c r="I3012" s="654">
        <v>17.569174548469601</v>
      </c>
      <c r="J3012" s="191"/>
      <c r="K3012" s="191">
        <v>2426.2748696656099</v>
      </c>
      <c r="L3012" s="191"/>
      <c r="M3012" s="191"/>
      <c r="N3012" s="191"/>
      <c r="O3012" s="191"/>
      <c r="P3012" s="191"/>
      <c r="Q3012" s="191"/>
      <c r="R3012" s="191"/>
      <c r="S3012" s="191"/>
      <c r="T3012" s="191"/>
      <c r="U3012" s="439"/>
      <c r="V3012" s="441"/>
      <c r="W3012" s="178"/>
      <c r="X3012" s="172"/>
      <c r="Y3012" s="172"/>
      <c r="Z3012" s="172"/>
      <c r="AA3012" s="195"/>
      <c r="AB3012" s="172"/>
    </row>
    <row r="3013" spans="1:28" ht="12.6" customHeight="1" x14ac:dyDescent="0.3">
      <c r="A3013" s="667"/>
      <c r="B3013" s="668" t="s">
        <v>10037</v>
      </c>
      <c r="C3013" s="160" t="s">
        <v>10038</v>
      </c>
      <c r="D3013" s="160"/>
      <c r="E3013" s="439">
        <v>-1.23</v>
      </c>
      <c r="F3013" s="161">
        <v>361.91590280000003</v>
      </c>
      <c r="G3013" s="161">
        <v>55.808</v>
      </c>
      <c r="H3013" s="654">
        <v>9.9747387417999995</v>
      </c>
      <c r="I3013" s="654">
        <v>240.21914707217999</v>
      </c>
      <c r="J3013" s="191"/>
      <c r="K3013" s="191">
        <v>1316.0427590326101</v>
      </c>
      <c r="L3013" s="191"/>
      <c r="M3013" s="191"/>
      <c r="N3013" s="191"/>
      <c r="O3013" s="191"/>
      <c r="P3013" s="191"/>
      <c r="Q3013" s="191"/>
      <c r="R3013" s="191"/>
      <c r="S3013" s="191"/>
      <c r="T3013" s="191"/>
      <c r="U3013" s="439"/>
      <c r="V3013" s="441"/>
      <c r="W3013" s="178"/>
      <c r="X3013" s="172"/>
      <c r="Y3013" s="172"/>
      <c r="Z3013" s="172"/>
      <c r="AA3013" s="195"/>
      <c r="AB3013" s="172"/>
    </row>
    <row r="3014" spans="1:28" ht="12.6" customHeight="1" x14ac:dyDescent="0.3">
      <c r="A3014" s="667"/>
      <c r="B3014" s="668" t="s">
        <v>10039</v>
      </c>
      <c r="C3014" s="160" t="s">
        <v>10040</v>
      </c>
      <c r="D3014" s="160"/>
      <c r="E3014" s="439">
        <v>-0.28999999999999998</v>
      </c>
      <c r="F3014" s="161">
        <v>279.97819735899998</v>
      </c>
      <c r="G3014" s="161">
        <v>13.368</v>
      </c>
      <c r="H3014" s="654">
        <v>87.882396028000002</v>
      </c>
      <c r="I3014" s="654">
        <v>151.05131723535101</v>
      </c>
      <c r="J3014" s="191"/>
      <c r="K3014" s="191">
        <v>122.78632468705401</v>
      </c>
      <c r="L3014" s="191"/>
      <c r="M3014" s="191"/>
      <c r="N3014" s="191"/>
      <c r="O3014" s="191"/>
      <c r="P3014" s="191"/>
      <c r="Q3014" s="191"/>
      <c r="R3014" s="191"/>
      <c r="S3014" s="191"/>
      <c r="T3014" s="191"/>
      <c r="U3014" s="439"/>
      <c r="V3014" s="441"/>
      <c r="W3014" s="178"/>
      <c r="X3014" s="172"/>
      <c r="Y3014" s="172"/>
      <c r="Z3014" s="172"/>
      <c r="AA3014" s="195"/>
      <c r="AB3014" s="172"/>
    </row>
    <row r="3015" spans="1:28" ht="12.6" customHeight="1" x14ac:dyDescent="0.3">
      <c r="A3015" s="667"/>
      <c r="B3015" s="668" t="s">
        <v>10041</v>
      </c>
      <c r="C3015" s="160" t="s">
        <v>10042</v>
      </c>
      <c r="D3015" s="160"/>
      <c r="E3015" s="439">
        <v>1.92</v>
      </c>
      <c r="F3015" s="161">
        <v>407.96672463099998</v>
      </c>
      <c r="G3015" s="161"/>
      <c r="H3015" s="654"/>
      <c r="I3015" s="654"/>
      <c r="J3015" s="191"/>
      <c r="K3015" s="191">
        <v>28020.7657830026</v>
      </c>
      <c r="L3015" s="191"/>
      <c r="M3015" s="191"/>
      <c r="N3015" s="191"/>
      <c r="O3015" s="191"/>
      <c r="P3015" s="191"/>
      <c r="Q3015" s="191"/>
      <c r="R3015" s="191"/>
      <c r="S3015" s="191"/>
      <c r="T3015" s="191"/>
      <c r="U3015" s="439"/>
      <c r="V3015" s="441"/>
      <c r="W3015" s="178"/>
      <c r="X3015" s="172"/>
      <c r="Y3015" s="172"/>
      <c r="Z3015" s="172"/>
      <c r="AA3015" s="195"/>
      <c r="AB3015" s="172"/>
    </row>
    <row r="3016" spans="1:28" ht="12.6" customHeight="1" x14ac:dyDescent="0.3">
      <c r="A3016" s="667"/>
      <c r="B3016" s="668" t="s">
        <v>10043</v>
      </c>
      <c r="C3016" s="160" t="s">
        <v>10044</v>
      </c>
      <c r="D3016" s="160"/>
      <c r="E3016" s="439">
        <v>1.26</v>
      </c>
      <c r="F3016" s="161">
        <v>279.97819735899998</v>
      </c>
      <c r="G3016" s="161"/>
      <c r="H3016" s="654"/>
      <c r="I3016" s="654"/>
      <c r="J3016" s="191"/>
      <c r="K3016" s="191">
        <v>340.11046881745898</v>
      </c>
      <c r="L3016" s="191"/>
      <c r="M3016" s="191"/>
      <c r="N3016" s="191"/>
      <c r="O3016" s="191"/>
      <c r="P3016" s="191"/>
      <c r="Q3016" s="191"/>
      <c r="R3016" s="191"/>
      <c r="S3016" s="191"/>
      <c r="T3016" s="191"/>
      <c r="U3016" s="439"/>
      <c r="V3016" s="441"/>
      <c r="W3016" s="178"/>
      <c r="X3016" s="172"/>
      <c r="Y3016" s="172"/>
      <c r="Z3016" s="172"/>
      <c r="AA3016" s="195"/>
      <c r="AB3016" s="172"/>
    </row>
    <row r="3017" spans="1:28" ht="12.6" customHeight="1" x14ac:dyDescent="0.3">
      <c r="A3017" s="667"/>
      <c r="B3017" s="668" t="s">
        <v>10045</v>
      </c>
      <c r="C3017" s="160" t="s">
        <v>10046</v>
      </c>
      <c r="D3017" s="160"/>
      <c r="E3017" s="439">
        <v>0.89</v>
      </c>
      <c r="F3017" s="161">
        <v>229.98139103299999</v>
      </c>
      <c r="G3017" s="161">
        <v>3.577</v>
      </c>
      <c r="H3017" s="654">
        <v>341.90160256000001</v>
      </c>
      <c r="I3017" s="654">
        <v>308.80981262347098</v>
      </c>
      <c r="J3017" s="191"/>
      <c r="K3017" s="191">
        <v>55.548201215039199</v>
      </c>
      <c r="L3017" s="191"/>
      <c r="M3017" s="191"/>
      <c r="N3017" s="191"/>
      <c r="O3017" s="191"/>
      <c r="P3017" s="191"/>
      <c r="Q3017" s="191"/>
      <c r="R3017" s="191"/>
      <c r="S3017" s="191"/>
      <c r="T3017" s="191"/>
      <c r="U3017" s="439"/>
      <c r="V3017" s="441"/>
      <c r="W3017" s="178"/>
      <c r="X3017" s="172"/>
      <c r="Y3017" s="172"/>
      <c r="Z3017" s="172"/>
      <c r="AA3017" s="195"/>
      <c r="AB3017" s="172"/>
    </row>
    <row r="3018" spans="1:28" ht="12.6" customHeight="1" x14ac:dyDescent="0.3">
      <c r="A3018" s="667"/>
      <c r="B3018" s="668" t="s">
        <v>10047</v>
      </c>
      <c r="C3018" s="160" t="s">
        <v>10048</v>
      </c>
      <c r="D3018" s="160"/>
      <c r="E3018" s="439">
        <v>-1.71</v>
      </c>
      <c r="F3018" s="161">
        <v>295.94864690000003</v>
      </c>
      <c r="G3018" s="161"/>
      <c r="H3018" s="654"/>
      <c r="I3018" s="654"/>
      <c r="J3018" s="191"/>
      <c r="K3018" s="191">
        <v>247.22933460623301</v>
      </c>
      <c r="L3018" s="191"/>
      <c r="M3018" s="191"/>
      <c r="N3018" s="191"/>
      <c r="O3018" s="191"/>
      <c r="P3018" s="191"/>
      <c r="Q3018" s="191"/>
      <c r="R3018" s="191"/>
      <c r="S3018" s="191"/>
      <c r="T3018" s="191"/>
      <c r="U3018" s="439"/>
      <c r="V3018" s="441"/>
      <c r="W3018" s="178"/>
      <c r="X3018" s="172"/>
      <c r="Y3018" s="172"/>
      <c r="Z3018" s="172"/>
      <c r="AA3018" s="195"/>
      <c r="AB3018" s="172"/>
    </row>
    <row r="3019" spans="1:28" ht="12.6" customHeight="1" x14ac:dyDescent="0.3">
      <c r="A3019" s="667"/>
      <c r="B3019" s="668" t="s">
        <v>10049</v>
      </c>
      <c r="C3019" s="160" t="s">
        <v>10050</v>
      </c>
      <c r="D3019" s="160"/>
      <c r="E3019" s="439">
        <v>-2.3199999999999998</v>
      </c>
      <c r="F3019" s="161">
        <v>445.96353095699999</v>
      </c>
      <c r="G3019" s="161">
        <v>-47.74</v>
      </c>
      <c r="H3019" s="654">
        <v>3.1908220904000002</v>
      </c>
      <c r="I3019" s="654">
        <v>7.93048027830213</v>
      </c>
      <c r="J3019" s="191"/>
      <c r="K3019" s="191">
        <v>11025.797196461999</v>
      </c>
      <c r="L3019" s="191"/>
      <c r="M3019" s="191"/>
      <c r="N3019" s="191"/>
      <c r="O3019" s="191"/>
      <c r="P3019" s="191"/>
      <c r="Q3019" s="191"/>
      <c r="R3019" s="191"/>
      <c r="S3019" s="191"/>
      <c r="T3019" s="191"/>
      <c r="U3019" s="439"/>
      <c r="V3019" s="441"/>
      <c r="W3019" s="178"/>
      <c r="X3019" s="172"/>
      <c r="Y3019" s="172"/>
      <c r="Z3019" s="172"/>
      <c r="AA3019" s="195"/>
      <c r="AB3019" s="172"/>
    </row>
    <row r="3020" spans="1:28" ht="12.6" customHeight="1" x14ac:dyDescent="0.3">
      <c r="A3020" s="667"/>
      <c r="B3020" s="668" t="s">
        <v>10051</v>
      </c>
      <c r="C3020" s="160" t="s">
        <v>10052</v>
      </c>
      <c r="D3020" s="160"/>
      <c r="E3020" s="439">
        <v>-1.44</v>
      </c>
      <c r="F3020" s="161">
        <v>345.96991830500002</v>
      </c>
      <c r="G3020" s="161"/>
      <c r="H3020" s="654"/>
      <c r="I3020" s="654"/>
      <c r="J3020" s="191"/>
      <c r="K3020" s="191">
        <v>635.68212572913205</v>
      </c>
      <c r="L3020" s="191"/>
      <c r="M3020" s="191"/>
      <c r="N3020" s="191"/>
      <c r="O3020" s="191"/>
      <c r="P3020" s="191"/>
      <c r="Q3020" s="191"/>
      <c r="R3020" s="191"/>
      <c r="S3020" s="191"/>
      <c r="T3020" s="191"/>
      <c r="U3020" s="439"/>
      <c r="V3020" s="441"/>
      <c r="W3020" s="178"/>
      <c r="X3020" s="172"/>
      <c r="Y3020" s="172"/>
      <c r="Z3020" s="172"/>
      <c r="AA3020" s="195"/>
      <c r="AB3020" s="172"/>
    </row>
    <row r="3021" spans="1:28" ht="12.6" customHeight="1" x14ac:dyDescent="0.3">
      <c r="A3021" s="667"/>
      <c r="B3021" s="668" t="s">
        <v>10053</v>
      </c>
      <c r="C3021" s="160" t="s">
        <v>10054</v>
      </c>
      <c r="D3021" s="160"/>
      <c r="E3021" s="439">
        <v>-2.1800000000000002</v>
      </c>
      <c r="F3021" s="161">
        <v>561.95205822900004</v>
      </c>
      <c r="G3021" s="161">
        <v>-58.210999999999999</v>
      </c>
      <c r="H3021" s="654">
        <v>1.12953998094</v>
      </c>
      <c r="I3021" s="654"/>
      <c r="J3021" s="191"/>
      <c r="K3021" s="191">
        <v>42377.955442077502</v>
      </c>
      <c r="L3021" s="191"/>
      <c r="M3021" s="191"/>
      <c r="N3021" s="191"/>
      <c r="O3021" s="191"/>
      <c r="P3021" s="191"/>
      <c r="Q3021" s="191"/>
      <c r="R3021" s="191"/>
      <c r="S3021" s="191"/>
      <c r="T3021" s="191"/>
      <c r="U3021" s="439"/>
      <c r="V3021" s="441"/>
      <c r="W3021" s="178"/>
      <c r="X3021" s="172"/>
      <c r="Y3021" s="172"/>
      <c r="Z3021" s="172"/>
      <c r="AA3021" s="195"/>
      <c r="AB3021" s="172"/>
    </row>
    <row r="3022" spans="1:28" ht="12.6" customHeight="1" x14ac:dyDescent="0.3">
      <c r="A3022" s="667"/>
      <c r="B3022" s="668" t="s">
        <v>10055</v>
      </c>
      <c r="C3022" s="160" t="s">
        <v>10056</v>
      </c>
      <c r="D3022" s="160"/>
      <c r="E3022" s="439">
        <v>-1.25</v>
      </c>
      <c r="F3022" s="161">
        <v>411.96163925100001</v>
      </c>
      <c r="G3022" s="161">
        <v>-28.765999999999998</v>
      </c>
      <c r="H3022" s="654">
        <v>3.3876720234</v>
      </c>
      <c r="I3022" s="654">
        <v>31.178616331925198</v>
      </c>
      <c r="J3022" s="191"/>
      <c r="K3022" s="191">
        <v>11367.8935980318</v>
      </c>
      <c r="L3022" s="191"/>
      <c r="M3022" s="191"/>
      <c r="N3022" s="191"/>
      <c r="O3022" s="191"/>
      <c r="P3022" s="191"/>
      <c r="Q3022" s="191"/>
      <c r="R3022" s="191"/>
      <c r="S3022" s="191"/>
      <c r="T3022" s="191"/>
      <c r="U3022" s="439"/>
      <c r="V3022" s="441"/>
      <c r="W3022" s="178"/>
      <c r="X3022" s="172"/>
      <c r="Y3022" s="172"/>
      <c r="Z3022" s="172"/>
      <c r="AA3022" s="195"/>
      <c r="AB3022" s="172"/>
    </row>
    <row r="3023" spans="1:28" ht="12.6" customHeight="1" x14ac:dyDescent="0.3">
      <c r="A3023" s="667"/>
      <c r="B3023" s="668" t="s">
        <v>10057</v>
      </c>
      <c r="C3023" s="160" t="s">
        <v>10058</v>
      </c>
      <c r="D3023" s="160"/>
      <c r="E3023" s="439">
        <v>-1.91</v>
      </c>
      <c r="F3023" s="161">
        <v>295.97311197900001</v>
      </c>
      <c r="G3023" s="161">
        <v>23.959</v>
      </c>
      <c r="H3023" s="654">
        <v>25.580092174000001</v>
      </c>
      <c r="I3023" s="654">
        <v>289.90270345230999</v>
      </c>
      <c r="J3023" s="191"/>
      <c r="K3023" s="191">
        <v>69.945535586534305</v>
      </c>
      <c r="L3023" s="191"/>
      <c r="M3023" s="191"/>
      <c r="N3023" s="191"/>
      <c r="O3023" s="191"/>
      <c r="P3023" s="191"/>
      <c r="Q3023" s="191"/>
      <c r="R3023" s="191"/>
      <c r="S3023" s="191"/>
      <c r="T3023" s="191"/>
      <c r="U3023" s="439"/>
      <c r="V3023" s="441"/>
      <c r="W3023" s="178"/>
      <c r="X3023" s="172"/>
      <c r="Y3023" s="172"/>
      <c r="Z3023" s="172"/>
      <c r="AA3023" s="195"/>
      <c r="AB3023" s="172"/>
    </row>
    <row r="3024" spans="1:28" ht="12.6" customHeight="1" x14ac:dyDescent="0.3">
      <c r="A3024" s="667"/>
      <c r="B3024" s="668" t="s">
        <v>10059</v>
      </c>
      <c r="C3024" s="160" t="s">
        <v>10060</v>
      </c>
      <c r="D3024" s="160"/>
      <c r="E3024" s="439">
        <v>-1.41</v>
      </c>
      <c r="F3024" s="161">
        <v>352.98582253400002</v>
      </c>
      <c r="G3024" s="161"/>
      <c r="H3024" s="654"/>
      <c r="I3024" s="654"/>
      <c r="J3024" s="191"/>
      <c r="K3024" s="191">
        <v>250.76677804966101</v>
      </c>
      <c r="L3024" s="191"/>
      <c r="M3024" s="191"/>
      <c r="N3024" s="191"/>
      <c r="O3024" s="191"/>
      <c r="P3024" s="191"/>
      <c r="Q3024" s="191"/>
      <c r="R3024" s="191"/>
      <c r="S3024" s="191"/>
      <c r="T3024" s="191"/>
      <c r="U3024" s="439"/>
      <c r="V3024" s="441"/>
      <c r="W3024" s="178"/>
      <c r="X3024" s="172"/>
      <c r="Y3024" s="172"/>
      <c r="Z3024" s="172"/>
      <c r="AA3024" s="195"/>
      <c r="AB3024" s="172"/>
    </row>
    <row r="3025" spans="1:28" ht="12.6" customHeight="1" x14ac:dyDescent="0.3">
      <c r="A3025" s="667"/>
      <c r="B3025" s="668" t="s">
        <v>10061</v>
      </c>
      <c r="C3025" s="160" t="s">
        <v>10062</v>
      </c>
      <c r="D3025" s="160"/>
      <c r="E3025" s="439">
        <v>-1.29</v>
      </c>
      <c r="F3025" s="161">
        <v>495.960337283</v>
      </c>
      <c r="G3025" s="161"/>
      <c r="H3025" s="654"/>
      <c r="I3025" s="654"/>
      <c r="J3025" s="191"/>
      <c r="K3025" s="191">
        <v>28693.927721041</v>
      </c>
      <c r="L3025" s="191"/>
      <c r="M3025" s="191"/>
      <c r="N3025" s="191"/>
      <c r="O3025" s="191"/>
      <c r="P3025" s="191"/>
      <c r="Q3025" s="191"/>
      <c r="R3025" s="191"/>
      <c r="S3025" s="191"/>
      <c r="T3025" s="191"/>
      <c r="U3025" s="439"/>
      <c r="V3025" s="441"/>
      <c r="W3025" s="178"/>
      <c r="X3025" s="172"/>
      <c r="Y3025" s="172"/>
      <c r="Z3025" s="172"/>
      <c r="AA3025" s="195"/>
      <c r="AB3025" s="172"/>
    </row>
    <row r="3026" spans="1:28" ht="12.6" customHeight="1" x14ac:dyDescent="0.3">
      <c r="A3026" s="667"/>
      <c r="B3026" s="668" t="s">
        <v>10063</v>
      </c>
      <c r="C3026" s="160" t="s">
        <v>10064</v>
      </c>
      <c r="D3026" s="160"/>
      <c r="E3026" s="439">
        <v>-0.97</v>
      </c>
      <c r="F3026" s="161">
        <v>661.94567088099996</v>
      </c>
      <c r="G3026" s="161"/>
      <c r="H3026" s="654"/>
      <c r="I3026" s="654"/>
      <c r="J3026" s="191"/>
      <c r="K3026" s="191">
        <v>76780.334530756707</v>
      </c>
      <c r="L3026" s="191"/>
      <c r="M3026" s="191"/>
      <c r="N3026" s="191"/>
      <c r="O3026" s="191"/>
      <c r="P3026" s="191"/>
      <c r="Q3026" s="191"/>
      <c r="R3026" s="191"/>
      <c r="S3026" s="191"/>
      <c r="T3026" s="191"/>
      <c r="U3026" s="439"/>
      <c r="V3026" s="441"/>
      <c r="W3026" s="178"/>
      <c r="X3026" s="172"/>
      <c r="Y3026" s="172"/>
      <c r="Z3026" s="172"/>
      <c r="AA3026" s="195"/>
      <c r="AB3026" s="172"/>
    </row>
    <row r="3027" spans="1:28" ht="12.6" customHeight="1" x14ac:dyDescent="0.3">
      <c r="A3027" s="667"/>
      <c r="B3027" s="668" t="s">
        <v>10065</v>
      </c>
      <c r="C3027" s="160" t="s">
        <v>10066</v>
      </c>
      <c r="D3027" s="160"/>
      <c r="E3027" s="439">
        <v>-0.97</v>
      </c>
      <c r="F3027" s="161">
        <v>827.93100447899997</v>
      </c>
      <c r="G3027" s="161"/>
      <c r="H3027" s="654"/>
      <c r="I3027" s="654"/>
      <c r="J3027" s="191"/>
      <c r="K3027" s="191">
        <v>265613.41156851401</v>
      </c>
      <c r="L3027" s="191"/>
      <c r="M3027" s="191"/>
      <c r="N3027" s="191"/>
      <c r="O3027" s="191"/>
      <c r="P3027" s="191"/>
      <c r="Q3027" s="191"/>
      <c r="R3027" s="191"/>
      <c r="S3027" s="191"/>
      <c r="T3027" s="191"/>
      <c r="U3027" s="439"/>
      <c r="V3027" s="441"/>
      <c r="W3027" s="178"/>
      <c r="X3027" s="172"/>
      <c r="Y3027" s="172"/>
      <c r="Z3027" s="172"/>
      <c r="AA3027" s="195"/>
      <c r="AB3027" s="172"/>
    </row>
    <row r="3028" spans="1:28" ht="12.6" customHeight="1" x14ac:dyDescent="0.3">
      <c r="A3028" s="667"/>
      <c r="B3028" s="668" t="s">
        <v>10067</v>
      </c>
      <c r="C3028" s="160" t="s">
        <v>10068</v>
      </c>
      <c r="D3028" s="160"/>
      <c r="E3028" s="439">
        <v>2.85</v>
      </c>
      <c r="F3028" s="161">
        <v>448.00046954300001</v>
      </c>
      <c r="G3028" s="161"/>
      <c r="H3028" s="654"/>
      <c r="I3028" s="654"/>
      <c r="J3028" s="191"/>
      <c r="K3028" s="191">
        <v>3738.5225106972798</v>
      </c>
      <c r="L3028" s="191"/>
      <c r="M3028" s="191"/>
      <c r="N3028" s="191"/>
      <c r="O3028" s="191"/>
      <c r="P3028" s="191"/>
      <c r="Q3028" s="191"/>
      <c r="R3028" s="191"/>
      <c r="S3028" s="191"/>
      <c r="T3028" s="191"/>
      <c r="U3028" s="439"/>
      <c r="V3028" s="441"/>
      <c r="W3028" s="178"/>
      <c r="X3028" s="172"/>
      <c r="Y3028" s="172"/>
      <c r="Z3028" s="172"/>
      <c r="AA3028" s="195"/>
      <c r="AB3028" s="172"/>
    </row>
    <row r="3029" spans="1:28" ht="12.6" customHeight="1" x14ac:dyDescent="0.3">
      <c r="A3029" s="667"/>
      <c r="B3029" s="668" t="s">
        <v>10069</v>
      </c>
      <c r="C3029" s="160" t="s">
        <v>10070</v>
      </c>
      <c r="D3029" s="160"/>
      <c r="E3029" s="439">
        <v>1.41</v>
      </c>
      <c r="F3029" s="161">
        <v>357.95574783799998</v>
      </c>
      <c r="G3029" s="161"/>
      <c r="H3029" s="654"/>
      <c r="I3029" s="654"/>
      <c r="J3029" s="191"/>
      <c r="K3029" s="191">
        <v>2543.0213129854101</v>
      </c>
      <c r="L3029" s="191"/>
      <c r="M3029" s="191"/>
      <c r="N3029" s="191"/>
      <c r="O3029" s="191"/>
      <c r="P3029" s="191"/>
      <c r="Q3029" s="191"/>
      <c r="R3029" s="191"/>
      <c r="S3029" s="191"/>
      <c r="T3029" s="191"/>
      <c r="U3029" s="439"/>
      <c r="V3029" s="441"/>
      <c r="W3029" s="178"/>
      <c r="X3029" s="172"/>
      <c r="Y3029" s="172"/>
      <c r="Z3029" s="172"/>
      <c r="AA3029" s="195"/>
      <c r="AB3029" s="172"/>
    </row>
    <row r="3030" spans="1:28" ht="12.6" customHeight="1" x14ac:dyDescent="0.3">
      <c r="A3030" s="667"/>
      <c r="B3030" s="668" t="s">
        <v>10071</v>
      </c>
      <c r="C3030" s="160" t="s">
        <v>10072</v>
      </c>
      <c r="D3030" s="160"/>
      <c r="E3030" s="439">
        <v>2.17</v>
      </c>
      <c r="F3030" s="161">
        <v>358.00630381399998</v>
      </c>
      <c r="G3030" s="161"/>
      <c r="H3030" s="654"/>
      <c r="I3030" s="654"/>
      <c r="J3030" s="191"/>
      <c r="K3030" s="191">
        <v>2966.1970592694302</v>
      </c>
      <c r="L3030" s="191"/>
      <c r="M3030" s="191"/>
      <c r="N3030" s="191"/>
      <c r="O3030" s="191"/>
      <c r="P3030" s="191"/>
      <c r="Q3030" s="191"/>
      <c r="R3030" s="191"/>
      <c r="S3030" s="191"/>
      <c r="T3030" s="191"/>
      <c r="U3030" s="439"/>
      <c r="V3030" s="441"/>
      <c r="W3030" s="178"/>
      <c r="X3030" s="172"/>
      <c r="Y3030" s="172"/>
      <c r="Z3030" s="172"/>
      <c r="AA3030" s="195"/>
      <c r="AB3030" s="172"/>
    </row>
    <row r="3031" spans="1:28" ht="12.6" customHeight="1" x14ac:dyDescent="0.3">
      <c r="A3031" s="667"/>
      <c r="B3031" s="668" t="s">
        <v>10073</v>
      </c>
      <c r="C3031" s="160" t="s">
        <v>10074</v>
      </c>
      <c r="D3031" s="160"/>
      <c r="E3031" s="439">
        <v>1.84</v>
      </c>
      <c r="F3031" s="161">
        <v>358.00630381399998</v>
      </c>
      <c r="G3031" s="161"/>
      <c r="H3031" s="654"/>
      <c r="I3031" s="654"/>
      <c r="J3031" s="191"/>
      <c r="K3031" s="191">
        <v>2985.31387873421</v>
      </c>
      <c r="L3031" s="191"/>
      <c r="M3031" s="191"/>
      <c r="N3031" s="191"/>
      <c r="O3031" s="191"/>
      <c r="P3031" s="191"/>
      <c r="Q3031" s="191"/>
      <c r="R3031" s="191"/>
      <c r="S3031" s="191"/>
      <c r="T3031" s="191"/>
      <c r="U3031" s="439"/>
      <c r="V3031" s="441"/>
      <c r="W3031" s="178"/>
      <c r="X3031" s="172"/>
      <c r="Y3031" s="172"/>
      <c r="Z3031" s="172"/>
      <c r="AA3031" s="195"/>
      <c r="AB3031" s="172"/>
    </row>
    <row r="3032" spans="1:28" ht="12.6" customHeight="1" x14ac:dyDescent="0.3">
      <c r="A3032" s="667"/>
      <c r="B3032" s="668" t="s">
        <v>10075</v>
      </c>
      <c r="C3032" s="160" t="s">
        <v>10076</v>
      </c>
      <c r="D3032" s="160"/>
      <c r="E3032" s="439">
        <v>9.83</v>
      </c>
      <c r="F3032" s="161">
        <v>663.95903531500005</v>
      </c>
      <c r="G3032" s="161"/>
      <c r="H3032" s="654"/>
      <c r="I3032" s="654"/>
      <c r="J3032" s="191"/>
      <c r="K3032" s="191">
        <v>4182153799.1402202</v>
      </c>
      <c r="L3032" s="191"/>
      <c r="M3032" s="191"/>
      <c r="N3032" s="191"/>
      <c r="O3032" s="191"/>
      <c r="P3032" s="191"/>
      <c r="Q3032" s="191"/>
      <c r="R3032" s="191"/>
      <c r="S3032" s="191"/>
      <c r="T3032" s="191"/>
      <c r="U3032" s="439"/>
      <c r="V3032" s="441"/>
      <c r="W3032" s="178"/>
      <c r="X3032" s="172"/>
      <c r="Y3032" s="172"/>
      <c r="Z3032" s="172"/>
      <c r="AA3032" s="195"/>
      <c r="AB3032" s="172"/>
    </row>
    <row r="3033" spans="1:28" ht="12.6" customHeight="1" x14ac:dyDescent="0.3">
      <c r="A3033" s="667"/>
      <c r="B3033" s="668" t="s">
        <v>10077</v>
      </c>
      <c r="C3033" s="160" t="s">
        <v>10078</v>
      </c>
      <c r="D3033" s="160"/>
      <c r="E3033" s="439">
        <v>6.26</v>
      </c>
      <c r="F3033" s="161">
        <v>528.03906049499994</v>
      </c>
      <c r="G3033" s="161"/>
      <c r="H3033" s="654"/>
      <c r="I3033" s="654"/>
      <c r="J3033" s="191"/>
      <c r="K3033" s="191">
        <v>14253.778313237901</v>
      </c>
      <c r="L3033" s="191"/>
      <c r="M3033" s="191"/>
      <c r="N3033" s="191"/>
      <c r="O3033" s="191"/>
      <c r="P3033" s="191"/>
      <c r="Q3033" s="191"/>
      <c r="R3033" s="191"/>
      <c r="S3033" s="191"/>
      <c r="T3033" s="191"/>
      <c r="U3033" s="439"/>
      <c r="V3033" s="441"/>
      <c r="W3033" s="178"/>
      <c r="X3033" s="172"/>
      <c r="Y3033" s="172"/>
      <c r="Z3033" s="172"/>
      <c r="AA3033" s="195"/>
      <c r="AB3033" s="172"/>
    </row>
    <row r="3034" spans="1:28" ht="12.6" customHeight="1" x14ac:dyDescent="0.3">
      <c r="A3034" s="667"/>
      <c r="B3034" s="668" t="s">
        <v>10079</v>
      </c>
      <c r="C3034" s="160" t="s">
        <v>10080</v>
      </c>
      <c r="D3034" s="160"/>
      <c r="E3034" s="439">
        <v>5.63</v>
      </c>
      <c r="F3034" s="161">
        <v>593.03080205599997</v>
      </c>
      <c r="G3034" s="161"/>
      <c r="H3034" s="654"/>
      <c r="I3034" s="654"/>
      <c r="J3034" s="191"/>
      <c r="K3034" s="191">
        <v>11963272.6314409</v>
      </c>
      <c r="L3034" s="191"/>
      <c r="M3034" s="191"/>
      <c r="N3034" s="191"/>
      <c r="O3034" s="191"/>
      <c r="P3034" s="191"/>
      <c r="Q3034" s="191"/>
      <c r="R3034" s="191"/>
      <c r="S3034" s="191"/>
      <c r="T3034" s="191"/>
      <c r="U3034" s="439"/>
      <c r="V3034" s="441"/>
      <c r="W3034" s="178"/>
      <c r="X3034" s="172"/>
      <c r="Y3034" s="172"/>
      <c r="Z3034" s="172"/>
      <c r="AA3034" s="195"/>
      <c r="AB3034" s="172"/>
    </row>
    <row r="3035" spans="1:28" ht="12.6" customHeight="1" x14ac:dyDescent="0.3">
      <c r="A3035" s="667"/>
      <c r="B3035" s="668" t="s">
        <v>10081</v>
      </c>
      <c r="C3035" s="160" t="s">
        <v>10082</v>
      </c>
      <c r="D3035" s="160"/>
      <c r="E3035" s="439">
        <v>7.92</v>
      </c>
      <c r="F3035" s="161">
        <v>298.005160999</v>
      </c>
      <c r="G3035" s="161"/>
      <c r="H3035" s="654"/>
      <c r="I3035" s="654"/>
      <c r="J3035" s="191"/>
      <c r="K3035" s="191">
        <v>212.52988146474101</v>
      </c>
      <c r="L3035" s="191"/>
      <c r="M3035" s="191"/>
      <c r="N3035" s="191"/>
      <c r="O3035" s="191"/>
      <c r="P3035" s="191"/>
      <c r="Q3035" s="191"/>
      <c r="R3035" s="191"/>
      <c r="S3035" s="191"/>
      <c r="T3035" s="191"/>
      <c r="U3035" s="439"/>
      <c r="V3035" s="441"/>
      <c r="W3035" s="178"/>
      <c r="X3035" s="172"/>
      <c r="Y3035" s="172"/>
      <c r="Z3035" s="172"/>
      <c r="AA3035" s="195"/>
      <c r="AB3035" s="172"/>
    </row>
    <row r="3036" spans="1:28" ht="12.6" customHeight="1" x14ac:dyDescent="0.3">
      <c r="A3036" s="667"/>
      <c r="B3036" s="668" t="s">
        <v>10083</v>
      </c>
      <c r="C3036" s="160" t="s">
        <v>10084</v>
      </c>
      <c r="D3036" s="160"/>
      <c r="E3036" s="439">
        <v>5.35</v>
      </c>
      <c r="F3036" s="161">
        <v>431.984266402</v>
      </c>
      <c r="G3036" s="161">
        <v>-57.097000000000001</v>
      </c>
      <c r="H3036" s="654">
        <v>28.438115887999999</v>
      </c>
      <c r="I3036" s="654">
        <v>6.3455464844588896</v>
      </c>
      <c r="J3036" s="191"/>
      <c r="K3036" s="191">
        <v>4618.7026131706998</v>
      </c>
      <c r="L3036" s="191"/>
      <c r="M3036" s="191"/>
      <c r="N3036" s="191"/>
      <c r="O3036" s="191"/>
      <c r="P3036" s="191"/>
      <c r="Q3036" s="191"/>
      <c r="R3036" s="191"/>
      <c r="S3036" s="191"/>
      <c r="T3036" s="191"/>
      <c r="U3036" s="439"/>
      <c r="V3036" s="441"/>
      <c r="W3036" s="178"/>
      <c r="X3036" s="172"/>
      <c r="Y3036" s="172"/>
      <c r="Z3036" s="172"/>
      <c r="AA3036" s="195"/>
      <c r="AB3036" s="172"/>
    </row>
    <row r="3037" spans="1:28" ht="12.6" customHeight="1" x14ac:dyDescent="0.3">
      <c r="A3037" s="667"/>
      <c r="B3037" s="668" t="s">
        <v>10085</v>
      </c>
      <c r="C3037" s="160" t="s">
        <v>10086</v>
      </c>
      <c r="D3037" s="160"/>
      <c r="E3037" s="439">
        <v>5.22</v>
      </c>
      <c r="F3037" s="161">
        <v>547.97279367399994</v>
      </c>
      <c r="G3037" s="161">
        <v>-86.715999999999994</v>
      </c>
      <c r="H3037" s="654">
        <v>9.0970800157999996</v>
      </c>
      <c r="I3037" s="654"/>
      <c r="J3037" s="191"/>
      <c r="K3037" s="191">
        <v>44268.010063181297</v>
      </c>
      <c r="L3037" s="191"/>
      <c r="M3037" s="191"/>
      <c r="N3037" s="191"/>
      <c r="O3037" s="191"/>
      <c r="P3037" s="191"/>
      <c r="Q3037" s="191"/>
      <c r="R3037" s="191"/>
      <c r="S3037" s="191"/>
      <c r="T3037" s="191"/>
      <c r="U3037" s="439"/>
      <c r="V3037" s="441"/>
      <c r="W3037" s="178"/>
      <c r="X3037" s="172"/>
      <c r="Y3037" s="172"/>
      <c r="Z3037" s="172"/>
      <c r="AA3037" s="195"/>
      <c r="AB3037" s="172"/>
    </row>
    <row r="3038" spans="1:28" ht="12.6" customHeight="1" x14ac:dyDescent="0.3">
      <c r="A3038" s="667"/>
      <c r="B3038" s="668" t="s">
        <v>10087</v>
      </c>
      <c r="C3038" s="160" t="s">
        <v>10088</v>
      </c>
      <c r="D3038" s="160"/>
      <c r="E3038" s="439">
        <v>6.48</v>
      </c>
      <c r="F3038" s="161">
        <v>410.00236124899999</v>
      </c>
      <c r="G3038" s="161">
        <v>-33.027000000000001</v>
      </c>
      <c r="H3038" s="654">
        <v>4.2746632894000003</v>
      </c>
      <c r="I3038" s="654">
        <v>16.8572470827526</v>
      </c>
      <c r="J3038" s="191"/>
      <c r="K3038" s="191">
        <v>4100.2468156511404</v>
      </c>
      <c r="L3038" s="191"/>
      <c r="M3038" s="191"/>
      <c r="N3038" s="191"/>
      <c r="O3038" s="191"/>
      <c r="P3038" s="191"/>
      <c r="Q3038" s="191"/>
      <c r="R3038" s="191"/>
      <c r="S3038" s="191"/>
      <c r="T3038" s="191"/>
      <c r="U3038" s="439"/>
      <c r="V3038" s="441"/>
      <c r="W3038" s="178"/>
      <c r="X3038" s="172"/>
      <c r="Y3038" s="172"/>
      <c r="Z3038" s="172"/>
      <c r="AA3038" s="195"/>
      <c r="AB3038" s="172"/>
    </row>
    <row r="3039" spans="1:28" ht="12.6" customHeight="1" x14ac:dyDescent="0.3">
      <c r="A3039" s="667"/>
      <c r="B3039" s="668" t="s">
        <v>10089</v>
      </c>
      <c r="C3039" s="160" t="s">
        <v>10090</v>
      </c>
      <c r="D3039" s="160"/>
      <c r="E3039" s="439">
        <v>6.65</v>
      </c>
      <c r="F3039" s="161">
        <v>397.98237469600002</v>
      </c>
      <c r="G3039" s="161">
        <v>-59.572000000000003</v>
      </c>
      <c r="H3039" s="654">
        <v>27.472731285999998</v>
      </c>
      <c r="I3039" s="654">
        <v>23.760940707662598</v>
      </c>
      <c r="J3039" s="191"/>
      <c r="K3039" s="191">
        <v>2127.7470643872098</v>
      </c>
      <c r="L3039" s="191"/>
      <c r="M3039" s="191"/>
      <c r="N3039" s="191"/>
      <c r="O3039" s="191"/>
      <c r="P3039" s="191"/>
      <c r="Q3039" s="191"/>
      <c r="R3039" s="191"/>
      <c r="S3039" s="191"/>
      <c r="T3039" s="191"/>
      <c r="U3039" s="439"/>
      <c r="V3039" s="441"/>
      <c r="W3039" s="178"/>
      <c r="X3039" s="172"/>
      <c r="Y3039" s="172"/>
      <c r="Z3039" s="172"/>
      <c r="AA3039" s="195"/>
      <c r="AB3039" s="172"/>
    </row>
    <row r="3040" spans="1:28" ht="12.6" customHeight="1" x14ac:dyDescent="0.3">
      <c r="A3040" s="667"/>
      <c r="B3040" s="668" t="s">
        <v>10091</v>
      </c>
      <c r="C3040" s="160" t="s">
        <v>10092</v>
      </c>
      <c r="D3040" s="160"/>
      <c r="E3040" s="439">
        <v>6.32</v>
      </c>
      <c r="F3040" s="161">
        <v>281.99384742400002</v>
      </c>
      <c r="G3040" s="161">
        <v>-44.447000000000003</v>
      </c>
      <c r="H3040" s="654">
        <v>298.470627839999</v>
      </c>
      <c r="I3040" s="654">
        <v>243.915654218642</v>
      </c>
      <c r="J3040" s="191"/>
      <c r="K3040" s="191">
        <v>378.92215626269501</v>
      </c>
      <c r="L3040" s="191"/>
      <c r="M3040" s="191"/>
      <c r="N3040" s="191"/>
      <c r="O3040" s="191"/>
      <c r="P3040" s="191"/>
      <c r="Q3040" s="191"/>
      <c r="R3040" s="191"/>
      <c r="S3040" s="191"/>
      <c r="T3040" s="191"/>
      <c r="U3040" s="439"/>
      <c r="V3040" s="441"/>
      <c r="W3040" s="178"/>
      <c r="X3040" s="172"/>
      <c r="Y3040" s="172"/>
      <c r="Z3040" s="172"/>
      <c r="AA3040" s="195"/>
      <c r="AB3040" s="172"/>
    </row>
    <row r="3041" spans="1:28" ht="12.6" customHeight="1" x14ac:dyDescent="0.3">
      <c r="A3041" s="667"/>
      <c r="B3041" s="668" t="s">
        <v>10093</v>
      </c>
      <c r="C3041" s="160" t="s">
        <v>10094</v>
      </c>
      <c r="D3041" s="160"/>
      <c r="E3041" s="439">
        <v>8.34</v>
      </c>
      <c r="F3041" s="161">
        <v>415.98935178200003</v>
      </c>
      <c r="G3041" s="161"/>
      <c r="H3041" s="654"/>
      <c r="I3041" s="654"/>
      <c r="J3041" s="191"/>
      <c r="K3041" s="191">
        <v>8143.10434802691</v>
      </c>
      <c r="L3041" s="191"/>
      <c r="M3041" s="191"/>
      <c r="N3041" s="191"/>
      <c r="O3041" s="191"/>
      <c r="P3041" s="191"/>
      <c r="Q3041" s="191"/>
      <c r="R3041" s="191"/>
      <c r="S3041" s="191"/>
      <c r="T3041" s="191"/>
      <c r="U3041" s="439"/>
      <c r="V3041" s="441"/>
      <c r="W3041" s="178"/>
      <c r="X3041" s="172"/>
      <c r="Y3041" s="172"/>
      <c r="Z3041" s="172"/>
      <c r="AA3041" s="195"/>
      <c r="AB3041" s="172"/>
    </row>
    <row r="3042" spans="1:28" ht="12.6" customHeight="1" x14ac:dyDescent="0.3">
      <c r="A3042" s="667"/>
      <c r="B3042" s="668" t="s">
        <v>10095</v>
      </c>
      <c r="C3042" s="160" t="s">
        <v>10096</v>
      </c>
      <c r="D3042" s="160"/>
      <c r="E3042" s="439">
        <v>8</v>
      </c>
      <c r="F3042" s="161">
        <v>315.99573913</v>
      </c>
      <c r="G3042" s="161"/>
      <c r="H3042" s="654"/>
      <c r="I3042" s="654"/>
      <c r="J3042" s="191"/>
      <c r="K3042" s="191">
        <v>1567.1840392413001</v>
      </c>
      <c r="L3042" s="191"/>
      <c r="M3042" s="191"/>
      <c r="N3042" s="191"/>
      <c r="O3042" s="191"/>
      <c r="P3042" s="191"/>
      <c r="Q3042" s="191"/>
      <c r="R3042" s="191"/>
      <c r="S3042" s="191"/>
      <c r="T3042" s="191"/>
      <c r="U3042" s="439"/>
      <c r="V3042" s="441"/>
      <c r="W3042" s="178"/>
      <c r="X3042" s="172"/>
      <c r="Y3042" s="172"/>
      <c r="Z3042" s="172"/>
      <c r="AA3042" s="195"/>
      <c r="AB3042" s="172"/>
    </row>
    <row r="3043" spans="1:28" ht="12.6" customHeight="1" x14ac:dyDescent="0.3">
      <c r="A3043" s="667"/>
      <c r="B3043" s="668" t="s">
        <v>10097</v>
      </c>
      <c r="C3043" s="160" t="s">
        <v>10098</v>
      </c>
      <c r="D3043" s="160"/>
      <c r="E3043" s="439">
        <v>6.71</v>
      </c>
      <c r="F3043" s="161">
        <v>481.98107272800002</v>
      </c>
      <c r="G3043" s="161"/>
      <c r="H3043" s="654"/>
      <c r="I3043" s="654"/>
      <c r="J3043" s="191"/>
      <c r="K3043" s="191">
        <v>27261.5158066154</v>
      </c>
      <c r="L3043" s="191"/>
      <c r="M3043" s="191"/>
      <c r="N3043" s="191"/>
      <c r="O3043" s="191"/>
      <c r="P3043" s="191"/>
      <c r="Q3043" s="191"/>
      <c r="R3043" s="191"/>
      <c r="S3043" s="191"/>
      <c r="T3043" s="191"/>
      <c r="U3043" s="439"/>
      <c r="V3043" s="441"/>
      <c r="W3043" s="178"/>
      <c r="X3043" s="172"/>
      <c r="Y3043" s="172"/>
      <c r="Z3043" s="172"/>
      <c r="AA3043" s="195"/>
      <c r="AB3043" s="172"/>
    </row>
    <row r="3044" spans="1:28" ht="12.6" customHeight="1" x14ac:dyDescent="0.3">
      <c r="A3044" s="667"/>
      <c r="B3044" s="668" t="s">
        <v>10099</v>
      </c>
      <c r="C3044" s="160" t="s">
        <v>10100</v>
      </c>
      <c r="D3044" s="160"/>
      <c r="E3044" s="439">
        <v>6.74</v>
      </c>
      <c r="F3044" s="161">
        <v>647.96640632599997</v>
      </c>
      <c r="G3044" s="161"/>
      <c r="H3044" s="654"/>
      <c r="I3044" s="654"/>
      <c r="J3044" s="191"/>
      <c r="K3044" s="191">
        <v>77115.201904083995</v>
      </c>
      <c r="L3044" s="191"/>
      <c r="M3044" s="191"/>
      <c r="N3044" s="191"/>
      <c r="O3044" s="191"/>
      <c r="P3044" s="191"/>
      <c r="Q3044" s="191"/>
      <c r="R3044" s="191"/>
      <c r="S3044" s="191"/>
      <c r="T3044" s="191"/>
      <c r="U3044" s="439"/>
      <c r="V3044" s="441"/>
      <c r="W3044" s="178"/>
      <c r="X3044" s="172"/>
      <c r="Y3044" s="172"/>
      <c r="Z3044" s="172"/>
      <c r="AA3044" s="195"/>
      <c r="AB3044" s="172"/>
    </row>
    <row r="3045" spans="1:28" ht="12.6" customHeight="1" x14ac:dyDescent="0.3">
      <c r="A3045" s="667"/>
      <c r="B3045" s="668" t="s">
        <v>10101</v>
      </c>
      <c r="C3045" s="160" t="s">
        <v>10102</v>
      </c>
      <c r="D3045" s="160"/>
      <c r="E3045" s="439">
        <v>6.74</v>
      </c>
      <c r="F3045" s="161">
        <v>813.95173992399998</v>
      </c>
      <c r="G3045" s="161">
        <v>-111.351</v>
      </c>
      <c r="H3045" s="654">
        <v>8.7076731182000007</v>
      </c>
      <c r="I3045" s="654"/>
      <c r="J3045" s="191"/>
      <c r="K3045" s="191">
        <v>262331.23269166698</v>
      </c>
      <c r="L3045" s="191"/>
      <c r="M3045" s="191"/>
      <c r="N3045" s="191"/>
      <c r="O3045" s="191"/>
      <c r="P3045" s="191"/>
      <c r="Q3045" s="191"/>
      <c r="R3045" s="191"/>
      <c r="S3045" s="191"/>
      <c r="T3045" s="191"/>
      <c r="U3045" s="439"/>
      <c r="V3045" s="441"/>
      <c r="W3045" s="178"/>
      <c r="X3045" s="172"/>
      <c r="Y3045" s="172"/>
      <c r="Z3045" s="172"/>
      <c r="AA3045" s="195"/>
      <c r="AB3045" s="172"/>
    </row>
    <row r="3046" spans="1:28" ht="12.6" customHeight="1" x14ac:dyDescent="0.3">
      <c r="A3046" s="667"/>
      <c r="B3046" s="668" t="s">
        <v>10103</v>
      </c>
      <c r="C3046" s="160" t="s">
        <v>10104</v>
      </c>
      <c r="D3046" s="160"/>
      <c r="E3046" s="439">
        <v>7.91</v>
      </c>
      <c r="F3046" s="161">
        <v>344.027039258</v>
      </c>
      <c r="G3046" s="161"/>
      <c r="H3046" s="654"/>
      <c r="I3046" s="654"/>
      <c r="J3046" s="191"/>
      <c r="K3046" s="191">
        <v>2384.3499667034098</v>
      </c>
      <c r="L3046" s="191"/>
      <c r="M3046" s="191"/>
      <c r="N3046" s="191"/>
      <c r="O3046" s="191"/>
      <c r="P3046" s="191"/>
      <c r="Q3046" s="191"/>
      <c r="R3046" s="191"/>
      <c r="S3046" s="191"/>
      <c r="T3046" s="191"/>
      <c r="U3046" s="439"/>
      <c r="V3046" s="441"/>
      <c r="W3046" s="178"/>
      <c r="X3046" s="172"/>
      <c r="Y3046" s="172"/>
      <c r="Z3046" s="172"/>
      <c r="AA3046" s="195"/>
      <c r="AB3046" s="172"/>
    </row>
    <row r="3047" spans="1:28" ht="12.6" customHeight="1" x14ac:dyDescent="0.3">
      <c r="A3047" s="667"/>
      <c r="B3047" s="668" t="s">
        <v>10105</v>
      </c>
      <c r="C3047" s="160" t="s">
        <v>10106</v>
      </c>
      <c r="D3047" s="160"/>
      <c r="E3047" s="439">
        <v>7.66</v>
      </c>
      <c r="F3047" s="161">
        <v>539.002536448</v>
      </c>
      <c r="G3047" s="161"/>
      <c r="H3047" s="654"/>
      <c r="I3047" s="654"/>
      <c r="J3047" s="191"/>
      <c r="K3047" s="191">
        <v>113584.743072989</v>
      </c>
      <c r="L3047" s="191"/>
      <c r="M3047" s="191"/>
      <c r="N3047" s="191"/>
      <c r="O3047" s="191"/>
      <c r="P3047" s="191"/>
      <c r="Q3047" s="191"/>
      <c r="R3047" s="191"/>
      <c r="S3047" s="191"/>
      <c r="T3047" s="191"/>
      <c r="U3047" s="439"/>
      <c r="V3047" s="441"/>
      <c r="W3047" s="178"/>
      <c r="X3047" s="172"/>
      <c r="Y3047" s="172"/>
      <c r="Z3047" s="172"/>
      <c r="AA3047" s="195"/>
      <c r="AB3047" s="172"/>
    </row>
    <row r="3048" spans="1:28" ht="12.6" customHeight="1" x14ac:dyDescent="0.3">
      <c r="A3048" s="667"/>
      <c r="B3048" s="668" t="s">
        <v>10107</v>
      </c>
      <c r="C3048" s="160" t="s">
        <v>10108</v>
      </c>
      <c r="D3048" s="160"/>
      <c r="E3048" s="439">
        <v>1.17</v>
      </c>
      <c r="F3048" s="161">
        <v>315.94518315300002</v>
      </c>
      <c r="G3048" s="161">
        <v>2.637</v>
      </c>
      <c r="H3048" s="654">
        <v>39.255596323999903</v>
      </c>
      <c r="I3048" s="654">
        <v>1332.3281995488701</v>
      </c>
      <c r="J3048" s="191"/>
      <c r="K3048" s="191">
        <v>965.76174839968303</v>
      </c>
      <c r="L3048" s="191"/>
      <c r="M3048" s="191"/>
      <c r="N3048" s="191"/>
      <c r="O3048" s="191"/>
      <c r="P3048" s="191"/>
      <c r="Q3048" s="191"/>
      <c r="R3048" s="191"/>
      <c r="S3048" s="191"/>
      <c r="T3048" s="191"/>
      <c r="U3048" s="439"/>
      <c r="V3048" s="441"/>
      <c r="W3048" s="178"/>
      <c r="X3048" s="172"/>
      <c r="Y3048" s="172"/>
      <c r="Z3048" s="172"/>
      <c r="AA3048" s="195"/>
      <c r="AB3048" s="172"/>
    </row>
    <row r="3049" spans="1:28" ht="12.6" customHeight="1" x14ac:dyDescent="0.3">
      <c r="A3049" s="667"/>
      <c r="B3049" s="668" t="s">
        <v>10109</v>
      </c>
      <c r="C3049" s="160" t="s">
        <v>10110</v>
      </c>
      <c r="D3049" s="160"/>
      <c r="E3049" s="439"/>
      <c r="F3049" s="161">
        <v>551.87462200000004</v>
      </c>
      <c r="G3049" s="161"/>
      <c r="H3049" s="654"/>
      <c r="I3049" s="654"/>
      <c r="J3049" s="191"/>
      <c r="K3049" s="191"/>
      <c r="L3049" s="191"/>
      <c r="M3049" s="191"/>
      <c r="N3049" s="191"/>
      <c r="O3049" s="191"/>
      <c r="P3049" s="191"/>
      <c r="Q3049" s="191"/>
      <c r="R3049" s="191"/>
      <c r="S3049" s="191"/>
      <c r="T3049" s="191"/>
      <c r="U3049" s="439"/>
      <c r="V3049" s="441"/>
      <c r="W3049" s="178"/>
      <c r="X3049" s="172"/>
      <c r="Y3049" s="172"/>
      <c r="Z3049" s="172"/>
      <c r="AA3049" s="195"/>
      <c r="AB3049" s="172"/>
    </row>
    <row r="3050" spans="1:28" ht="12.6" customHeight="1" x14ac:dyDescent="0.3">
      <c r="A3050" s="667"/>
      <c r="B3050" s="668" t="s">
        <v>10111</v>
      </c>
      <c r="C3050" s="160" t="s">
        <v>10112</v>
      </c>
      <c r="D3050" s="160"/>
      <c r="E3050" s="439">
        <v>23</v>
      </c>
      <c r="F3050" s="161">
        <v>533.97598734799999</v>
      </c>
      <c r="G3050" s="161"/>
      <c r="H3050" s="654"/>
      <c r="I3050" s="654"/>
      <c r="J3050" s="191"/>
      <c r="K3050" s="191"/>
      <c r="L3050" s="191"/>
      <c r="M3050" s="191"/>
      <c r="N3050" s="191"/>
      <c r="O3050" s="191"/>
      <c r="P3050" s="191"/>
      <c r="Q3050" s="191"/>
      <c r="R3050" s="191"/>
      <c r="S3050" s="191"/>
      <c r="T3050" s="191"/>
      <c r="U3050" s="439"/>
      <c r="V3050" s="441"/>
      <c r="W3050" s="178"/>
      <c r="X3050" s="172"/>
      <c r="Y3050" s="172"/>
      <c r="Z3050" s="172"/>
      <c r="AA3050" s="195"/>
      <c r="AB3050" s="172"/>
    </row>
    <row r="3051" spans="1:28" ht="12.6" customHeight="1" x14ac:dyDescent="0.3">
      <c r="A3051" s="667"/>
      <c r="B3051" s="668" t="s">
        <v>10113</v>
      </c>
      <c r="C3051" s="160" t="s">
        <v>10114</v>
      </c>
      <c r="D3051" s="160"/>
      <c r="E3051" s="439">
        <v>6.89</v>
      </c>
      <c r="F3051" s="161">
        <v>794.02980000000002</v>
      </c>
      <c r="G3051" s="161"/>
      <c r="H3051" s="654"/>
      <c r="I3051" s="654"/>
      <c r="J3051" s="191"/>
      <c r="K3051" s="191">
        <v>2102.1804844204598</v>
      </c>
      <c r="L3051" s="191"/>
      <c r="M3051" s="191"/>
      <c r="N3051" s="191"/>
      <c r="O3051" s="191"/>
      <c r="P3051" s="191"/>
      <c r="Q3051" s="191"/>
      <c r="R3051" s="191"/>
      <c r="S3051" s="191"/>
      <c r="T3051" s="191"/>
      <c r="U3051" s="439"/>
      <c r="V3051" s="441"/>
      <c r="W3051" s="178"/>
      <c r="X3051" s="172"/>
      <c r="Y3051" s="172"/>
      <c r="Z3051" s="172"/>
      <c r="AA3051" s="195"/>
      <c r="AB3051" s="172"/>
    </row>
    <row r="3052" spans="1:28" ht="12.6" customHeight="1" x14ac:dyDescent="0.3">
      <c r="A3052" s="667"/>
      <c r="B3052" s="668" t="s">
        <v>10115</v>
      </c>
      <c r="C3052" s="160" t="s">
        <v>10116</v>
      </c>
      <c r="D3052" s="160"/>
      <c r="E3052" s="439">
        <v>8.67</v>
      </c>
      <c r="F3052" s="161">
        <v>829.99679000000003</v>
      </c>
      <c r="G3052" s="161"/>
      <c r="H3052" s="654"/>
      <c r="I3052" s="654"/>
      <c r="J3052" s="191"/>
      <c r="K3052" s="191">
        <v>2100.4870095956699</v>
      </c>
      <c r="L3052" s="191"/>
      <c r="M3052" s="191"/>
      <c r="N3052" s="191"/>
      <c r="O3052" s="191"/>
      <c r="P3052" s="191"/>
      <c r="Q3052" s="191"/>
      <c r="R3052" s="191"/>
      <c r="S3052" s="191"/>
      <c r="T3052" s="191"/>
      <c r="U3052" s="439"/>
      <c r="V3052" s="441"/>
      <c r="W3052" s="178"/>
      <c r="X3052" s="172"/>
      <c r="Y3052" s="172"/>
      <c r="Z3052" s="172"/>
      <c r="AA3052" s="195"/>
      <c r="AB3052" s="172"/>
    </row>
    <row r="3053" spans="1:28" ht="12.6" customHeight="1" x14ac:dyDescent="0.3">
      <c r="A3053" s="667"/>
      <c r="B3053" s="668" t="s">
        <v>10117</v>
      </c>
      <c r="C3053" s="160" t="s">
        <v>10118</v>
      </c>
      <c r="D3053" s="160"/>
      <c r="E3053" s="439"/>
      <c r="F3053" s="161">
        <v>725.92830000000004</v>
      </c>
      <c r="G3053" s="161"/>
      <c r="H3053" s="654"/>
      <c r="I3053" s="654"/>
      <c r="J3053" s="191"/>
      <c r="K3053" s="191">
        <v>126269.947529497</v>
      </c>
      <c r="L3053" s="191"/>
      <c r="M3053" s="191"/>
      <c r="N3053" s="191"/>
      <c r="O3053" s="191"/>
      <c r="P3053" s="191"/>
      <c r="Q3053" s="191"/>
      <c r="R3053" s="191"/>
      <c r="S3053" s="191"/>
      <c r="T3053" s="191"/>
      <c r="U3053" s="439"/>
      <c r="V3053" s="441"/>
      <c r="W3053" s="178"/>
      <c r="X3053" s="172"/>
      <c r="Y3053" s="172"/>
      <c r="Z3053" s="172"/>
      <c r="AA3053" s="195"/>
      <c r="AB3053" s="172"/>
    </row>
    <row r="3054" spans="1:28" ht="12.6" customHeight="1" x14ac:dyDescent="0.3">
      <c r="A3054" s="667"/>
      <c r="B3054" s="668" t="s">
        <v>10119</v>
      </c>
      <c r="C3054" s="160" t="s">
        <v>10120</v>
      </c>
      <c r="D3054" s="160"/>
      <c r="E3054" s="439">
        <v>0.9</v>
      </c>
      <c r="F3054" s="161">
        <v>475.95523386000002</v>
      </c>
      <c r="G3054" s="161">
        <v>-13.888999999999999</v>
      </c>
      <c r="H3054" s="654"/>
      <c r="I3054" s="654">
        <v>2.06807308664508</v>
      </c>
      <c r="J3054" s="191"/>
      <c r="K3054" s="191">
        <v>1355657.55903331</v>
      </c>
      <c r="L3054" s="191"/>
      <c r="M3054" s="191"/>
      <c r="N3054" s="191"/>
      <c r="O3054" s="191"/>
      <c r="P3054" s="191"/>
      <c r="Q3054" s="191"/>
      <c r="R3054" s="191"/>
      <c r="S3054" s="191"/>
      <c r="T3054" s="191"/>
      <c r="U3054" s="439"/>
      <c r="V3054" s="441"/>
      <c r="W3054" s="178"/>
      <c r="X3054" s="172"/>
      <c r="Y3054" s="172"/>
      <c r="Z3054" s="172"/>
      <c r="AA3054" s="195"/>
      <c r="AB3054" s="172"/>
    </row>
    <row r="3055" spans="1:28" ht="12.6" customHeight="1" x14ac:dyDescent="0.3">
      <c r="A3055" s="667"/>
      <c r="B3055" s="668" t="s">
        <v>10121</v>
      </c>
      <c r="C3055" s="160" t="s">
        <v>10122</v>
      </c>
      <c r="D3055" s="160"/>
      <c r="E3055" s="439">
        <v>1.54</v>
      </c>
      <c r="F3055" s="161">
        <v>575.94884650999995</v>
      </c>
      <c r="G3055" s="161"/>
      <c r="H3055" s="654"/>
      <c r="I3055" s="654"/>
      <c r="J3055" s="191"/>
      <c r="K3055" s="191">
        <v>344120.06796225399</v>
      </c>
      <c r="L3055" s="191"/>
      <c r="M3055" s="191"/>
      <c r="N3055" s="191"/>
      <c r="O3055" s="191"/>
      <c r="P3055" s="191"/>
      <c r="Q3055" s="191"/>
      <c r="R3055" s="191"/>
      <c r="S3055" s="191"/>
      <c r="T3055" s="191"/>
      <c r="U3055" s="439"/>
      <c r="V3055" s="441"/>
      <c r="W3055" s="178"/>
      <c r="X3055" s="172"/>
      <c r="Y3055" s="172"/>
      <c r="Z3055" s="172"/>
      <c r="AA3055" s="195"/>
      <c r="AB3055" s="172"/>
    </row>
    <row r="3056" spans="1:28" ht="12.6" customHeight="1" x14ac:dyDescent="0.3">
      <c r="A3056" s="667"/>
      <c r="B3056" s="668" t="s">
        <v>10123</v>
      </c>
      <c r="C3056" s="160" t="s">
        <v>10124</v>
      </c>
      <c r="D3056" s="160"/>
      <c r="E3056" s="439">
        <v>1.35</v>
      </c>
      <c r="F3056" s="161">
        <v>625.94565282999997</v>
      </c>
      <c r="G3056" s="161"/>
      <c r="H3056" s="654"/>
      <c r="I3056" s="654"/>
      <c r="J3056" s="191"/>
      <c r="K3056" s="191">
        <v>116059314.208184</v>
      </c>
      <c r="L3056" s="191"/>
      <c r="M3056" s="191"/>
      <c r="N3056" s="191"/>
      <c r="O3056" s="191"/>
      <c r="P3056" s="191"/>
      <c r="Q3056" s="191"/>
      <c r="R3056" s="191"/>
      <c r="S3056" s="191"/>
      <c r="T3056" s="191"/>
      <c r="U3056" s="439"/>
      <c r="V3056" s="441"/>
      <c r="W3056" s="178"/>
      <c r="X3056" s="172"/>
      <c r="Y3056" s="172"/>
      <c r="Z3056" s="172"/>
      <c r="AA3056" s="195"/>
      <c r="AB3056" s="172"/>
    </row>
    <row r="3057" spans="1:28" ht="12.6" customHeight="1" x14ac:dyDescent="0.3">
      <c r="A3057" s="667"/>
      <c r="B3057" s="668" t="s">
        <v>10125</v>
      </c>
      <c r="C3057" s="160" t="s">
        <v>10126</v>
      </c>
      <c r="D3057" s="160"/>
      <c r="E3057" s="439">
        <v>2.2400000000000002</v>
      </c>
      <c r="F3057" s="161">
        <v>775.93607181000004</v>
      </c>
      <c r="G3057" s="161"/>
      <c r="H3057" s="654"/>
      <c r="I3057" s="654"/>
      <c r="J3057" s="191"/>
      <c r="K3057" s="191">
        <v>725020021.79732096</v>
      </c>
      <c r="L3057" s="191"/>
      <c r="M3057" s="191"/>
      <c r="N3057" s="191"/>
      <c r="O3057" s="191"/>
      <c r="P3057" s="191"/>
      <c r="Q3057" s="191"/>
      <c r="R3057" s="191"/>
      <c r="S3057" s="191"/>
      <c r="T3057" s="191"/>
      <c r="U3057" s="439"/>
      <c r="V3057" s="441"/>
      <c r="W3057" s="178"/>
      <c r="X3057" s="172"/>
      <c r="Y3057" s="172"/>
      <c r="Z3057" s="172"/>
      <c r="AA3057" s="195"/>
      <c r="AB3057" s="172"/>
    </row>
    <row r="3058" spans="1:28" ht="12.6" customHeight="1" x14ac:dyDescent="0.3">
      <c r="A3058" s="667"/>
      <c r="B3058" s="668" t="s">
        <v>10127</v>
      </c>
      <c r="C3058" s="160" t="s">
        <v>10128</v>
      </c>
      <c r="D3058" s="160"/>
      <c r="E3058" s="439">
        <v>3.22</v>
      </c>
      <c r="F3058" s="161">
        <v>550.05717396</v>
      </c>
      <c r="G3058" s="161"/>
      <c r="H3058" s="654"/>
      <c r="I3058" s="654"/>
      <c r="J3058" s="191"/>
      <c r="K3058" s="191">
        <v>126762.267743099</v>
      </c>
      <c r="L3058" s="191"/>
      <c r="M3058" s="191"/>
      <c r="N3058" s="191"/>
      <c r="O3058" s="191"/>
      <c r="P3058" s="191"/>
      <c r="Q3058" s="191"/>
      <c r="R3058" s="191"/>
      <c r="S3058" s="191"/>
      <c r="T3058" s="191"/>
      <c r="U3058" s="439"/>
      <c r="V3058" s="441"/>
      <c r="W3058" s="178"/>
      <c r="X3058" s="172"/>
      <c r="Y3058" s="172"/>
      <c r="Z3058" s="172"/>
      <c r="AA3058" s="195"/>
      <c r="AB3058" s="172"/>
    </row>
    <row r="3059" spans="1:28" ht="12.6" customHeight="1" x14ac:dyDescent="0.3">
      <c r="A3059" s="667"/>
      <c r="B3059" s="668" t="s">
        <v>10129</v>
      </c>
      <c r="C3059" s="160" t="s">
        <v>10130</v>
      </c>
      <c r="D3059" s="160"/>
      <c r="E3059" s="439">
        <v>1.93</v>
      </c>
      <c r="F3059" s="161">
        <v>675.94245916</v>
      </c>
      <c r="G3059" s="161">
        <v>-38.625</v>
      </c>
      <c r="H3059" s="654"/>
      <c r="I3059" s="654">
        <v>1.75755854460946E-2</v>
      </c>
      <c r="J3059" s="191"/>
      <c r="K3059" s="191">
        <v>3922563654.9383702</v>
      </c>
      <c r="L3059" s="191"/>
      <c r="M3059" s="191"/>
      <c r="N3059" s="191"/>
      <c r="O3059" s="191"/>
      <c r="P3059" s="191"/>
      <c r="Q3059" s="191"/>
      <c r="R3059" s="191"/>
      <c r="S3059" s="191"/>
      <c r="T3059" s="191"/>
      <c r="U3059" s="439"/>
      <c r="V3059" s="441"/>
      <c r="W3059" s="178"/>
      <c r="X3059" s="172"/>
      <c r="Y3059" s="172"/>
      <c r="Z3059" s="172"/>
      <c r="AA3059" s="195"/>
      <c r="AB3059" s="172"/>
    </row>
    <row r="3060" spans="1:28" ht="12.6" customHeight="1" x14ac:dyDescent="0.3">
      <c r="A3060" s="667"/>
      <c r="B3060" s="668" t="s">
        <v>10131</v>
      </c>
      <c r="C3060" s="160" t="s">
        <v>10132</v>
      </c>
      <c r="D3060" s="160"/>
      <c r="E3060" s="439"/>
      <c r="F3060" s="161">
        <v>492.02020559599998</v>
      </c>
      <c r="G3060" s="161">
        <v>-77.614000000000004</v>
      </c>
      <c r="H3060" s="654">
        <v>443.50896519999998</v>
      </c>
      <c r="I3060" s="654"/>
      <c r="J3060" s="191"/>
      <c r="K3060" s="191">
        <v>1697657201.1663599</v>
      </c>
      <c r="L3060" s="191"/>
      <c r="M3060" s="191"/>
      <c r="N3060" s="191"/>
      <c r="O3060" s="191"/>
      <c r="P3060" s="191"/>
      <c r="Q3060" s="191"/>
      <c r="R3060" s="191"/>
      <c r="S3060" s="191"/>
      <c r="T3060" s="191"/>
      <c r="U3060" s="439"/>
      <c r="V3060" s="441"/>
      <c r="W3060" s="178"/>
      <c r="X3060" s="172"/>
      <c r="Y3060" s="172"/>
      <c r="Z3060" s="172"/>
      <c r="AA3060" s="195"/>
      <c r="AB3060" s="172"/>
    </row>
    <row r="3061" spans="1:28" ht="12.6" customHeight="1" x14ac:dyDescent="0.3">
      <c r="A3061" s="667"/>
      <c r="B3061" s="668" t="s">
        <v>10133</v>
      </c>
      <c r="C3061" s="160" t="s">
        <v>10134</v>
      </c>
      <c r="D3061" s="160"/>
      <c r="E3061" s="439"/>
      <c r="F3061" s="161">
        <v>392.02659294400001</v>
      </c>
      <c r="G3061" s="161">
        <v>-75.712999999999994</v>
      </c>
      <c r="H3061" s="654">
        <v>803.34504319999996</v>
      </c>
      <c r="I3061" s="654">
        <v>0.168778032980401</v>
      </c>
      <c r="J3061" s="191"/>
      <c r="K3061" s="191">
        <v>302162106.86126</v>
      </c>
      <c r="L3061" s="191"/>
      <c r="M3061" s="191"/>
      <c r="N3061" s="191"/>
      <c r="O3061" s="191"/>
      <c r="P3061" s="191"/>
      <c r="Q3061" s="191"/>
      <c r="R3061" s="191"/>
      <c r="S3061" s="191"/>
      <c r="T3061" s="191"/>
      <c r="U3061" s="439"/>
      <c r="V3061" s="441"/>
      <c r="W3061" s="178"/>
      <c r="X3061" s="172"/>
      <c r="Y3061" s="172"/>
      <c r="Z3061" s="172"/>
      <c r="AA3061" s="195"/>
      <c r="AB3061" s="172"/>
    </row>
    <row r="3062" spans="1:28" ht="12.6" customHeight="1" x14ac:dyDescent="0.3">
      <c r="A3062" s="667"/>
      <c r="B3062" s="668" t="s">
        <v>10135</v>
      </c>
      <c r="C3062" s="160" t="s">
        <v>10136</v>
      </c>
      <c r="D3062" s="160"/>
      <c r="E3062" s="439"/>
      <c r="F3062" s="161">
        <v>292.03298029199999</v>
      </c>
      <c r="G3062" s="161"/>
      <c r="H3062" s="654"/>
      <c r="I3062" s="654"/>
      <c r="J3062" s="191"/>
      <c r="K3062" s="191">
        <v>8617.8712204041294</v>
      </c>
      <c r="L3062" s="191"/>
      <c r="M3062" s="191"/>
      <c r="N3062" s="191"/>
      <c r="O3062" s="191"/>
      <c r="P3062" s="191"/>
      <c r="Q3062" s="191"/>
      <c r="R3062" s="191"/>
      <c r="S3062" s="191"/>
      <c r="T3062" s="191"/>
      <c r="U3062" s="439"/>
      <c r="V3062" s="441"/>
      <c r="W3062" s="178"/>
      <c r="X3062" s="172"/>
      <c r="Y3062" s="172"/>
      <c r="Z3062" s="172"/>
      <c r="AA3062" s="195"/>
      <c r="AB3062" s="172"/>
    </row>
    <row r="3063" spans="1:28" ht="12.6" customHeight="1" x14ac:dyDescent="0.3">
      <c r="A3063" s="667"/>
      <c r="B3063" s="668" t="s">
        <v>10137</v>
      </c>
      <c r="C3063" s="160" t="s">
        <v>10138</v>
      </c>
      <c r="D3063" s="160"/>
      <c r="E3063" s="439"/>
      <c r="F3063" s="161">
        <v>242.03617396600001</v>
      </c>
      <c r="G3063" s="161">
        <v>-95.045000000000002</v>
      </c>
      <c r="H3063" s="654">
        <v>20984.616156</v>
      </c>
      <c r="I3063" s="654">
        <v>24.371348465158398</v>
      </c>
      <c r="J3063" s="191"/>
      <c r="K3063" s="191">
        <v>11899.809254064599</v>
      </c>
      <c r="L3063" s="191"/>
      <c r="M3063" s="191"/>
      <c r="N3063" s="191"/>
      <c r="O3063" s="191"/>
      <c r="P3063" s="191"/>
      <c r="Q3063" s="191"/>
      <c r="R3063" s="191"/>
      <c r="S3063" s="191"/>
      <c r="T3063" s="191"/>
      <c r="U3063" s="439"/>
      <c r="V3063" s="441"/>
      <c r="W3063" s="178"/>
      <c r="X3063" s="172"/>
      <c r="Y3063" s="172"/>
      <c r="Z3063" s="172"/>
      <c r="AA3063" s="195"/>
      <c r="AB3063" s="172"/>
    </row>
    <row r="3064" spans="1:28" ht="12.6" customHeight="1" x14ac:dyDescent="0.3">
      <c r="A3064" s="667"/>
      <c r="B3064" s="668" t="s">
        <v>10139</v>
      </c>
      <c r="C3064" s="160" t="s">
        <v>10140</v>
      </c>
      <c r="D3064" s="160"/>
      <c r="E3064" s="439"/>
      <c r="F3064" s="161">
        <v>478.00455553099999</v>
      </c>
      <c r="G3064" s="161">
        <v>-90.655000000000001</v>
      </c>
      <c r="H3064" s="654"/>
      <c r="I3064" s="654"/>
      <c r="J3064" s="191"/>
      <c r="K3064" s="191">
        <v>1697344509.95401</v>
      </c>
      <c r="L3064" s="191"/>
      <c r="M3064" s="191"/>
      <c r="N3064" s="191"/>
      <c r="O3064" s="191"/>
      <c r="P3064" s="191"/>
      <c r="Q3064" s="191"/>
      <c r="R3064" s="191"/>
      <c r="S3064" s="191"/>
      <c r="T3064" s="191"/>
      <c r="U3064" s="439"/>
      <c r="V3064" s="441"/>
      <c r="W3064" s="178"/>
      <c r="X3064" s="172"/>
      <c r="Y3064" s="172"/>
      <c r="Z3064" s="172"/>
      <c r="AA3064" s="195"/>
      <c r="AB3064" s="172"/>
    </row>
    <row r="3065" spans="1:28" ht="12.6" customHeight="1" x14ac:dyDescent="0.3">
      <c r="A3065" s="667"/>
      <c r="B3065" s="668" t="s">
        <v>10141</v>
      </c>
      <c r="C3065" s="160" t="s">
        <v>10142</v>
      </c>
      <c r="D3065" s="160"/>
      <c r="E3065" s="439"/>
      <c r="F3065" s="161">
        <v>429.96747352199998</v>
      </c>
      <c r="G3065" s="161">
        <v>-56.792000000000002</v>
      </c>
      <c r="H3065" s="654">
        <v>87.076731182000003</v>
      </c>
      <c r="I3065" s="654">
        <v>7.6284399184799706E-2</v>
      </c>
      <c r="J3065" s="191"/>
      <c r="K3065" s="191">
        <v>58328.391470397</v>
      </c>
      <c r="L3065" s="191"/>
      <c r="M3065" s="191"/>
      <c r="N3065" s="191"/>
      <c r="O3065" s="191"/>
      <c r="P3065" s="191"/>
      <c r="Q3065" s="191"/>
      <c r="R3065" s="191"/>
      <c r="S3065" s="191"/>
      <c r="T3065" s="191"/>
      <c r="U3065" s="439"/>
      <c r="V3065" s="441"/>
      <c r="W3065" s="178"/>
      <c r="X3065" s="172"/>
      <c r="Y3065" s="172"/>
      <c r="Z3065" s="172"/>
      <c r="AA3065" s="195"/>
      <c r="AB3065" s="172"/>
    </row>
    <row r="3066" spans="1:28" ht="12.6" customHeight="1" x14ac:dyDescent="0.3">
      <c r="A3066" s="667"/>
      <c r="B3066" s="668" t="s">
        <v>10143</v>
      </c>
      <c r="C3066" s="160" t="s">
        <v>10130</v>
      </c>
      <c r="D3066" s="160"/>
      <c r="E3066" s="439">
        <v>1.93</v>
      </c>
      <c r="F3066" s="161">
        <v>675.94245916</v>
      </c>
      <c r="G3066" s="161">
        <v>-38.625</v>
      </c>
      <c r="H3066" s="654"/>
      <c r="I3066" s="654">
        <v>1.75755854460946E-2</v>
      </c>
      <c r="J3066" s="191"/>
      <c r="K3066" s="191">
        <v>3922563654.9383702</v>
      </c>
      <c r="L3066" s="191"/>
      <c r="M3066" s="191"/>
      <c r="N3066" s="191"/>
      <c r="O3066" s="191"/>
      <c r="P3066" s="191"/>
      <c r="Q3066" s="191"/>
      <c r="R3066" s="191"/>
      <c r="S3066" s="191"/>
      <c r="T3066" s="191"/>
      <c r="U3066" s="439"/>
      <c r="V3066" s="441"/>
      <c r="W3066" s="178"/>
      <c r="X3066" s="172"/>
      <c r="Y3066" s="172"/>
      <c r="Z3066" s="172"/>
      <c r="AA3066" s="195"/>
      <c r="AB3066" s="172"/>
    </row>
    <row r="3067" spans="1:28" ht="12.6" customHeight="1" x14ac:dyDescent="0.3">
      <c r="A3067" s="667"/>
      <c r="B3067" s="668" t="s">
        <v>10144</v>
      </c>
      <c r="C3067" s="160" t="s">
        <v>10145</v>
      </c>
      <c r="D3067" s="160"/>
      <c r="E3067" s="439">
        <v>3.75</v>
      </c>
      <c r="F3067" s="161">
        <v>790.98469503199999</v>
      </c>
      <c r="G3067" s="161">
        <v>35.103000000000002</v>
      </c>
      <c r="H3067" s="654"/>
      <c r="I3067" s="654"/>
      <c r="J3067" s="191"/>
      <c r="K3067" s="191">
        <v>9764724.6192025896</v>
      </c>
      <c r="L3067" s="191"/>
      <c r="M3067" s="191"/>
      <c r="N3067" s="191"/>
      <c r="O3067" s="191"/>
      <c r="P3067" s="191"/>
      <c r="Q3067" s="191"/>
      <c r="R3067" s="191"/>
      <c r="S3067" s="191"/>
      <c r="T3067" s="191"/>
      <c r="U3067" s="439"/>
      <c r="V3067" s="441"/>
      <c r="W3067" s="178"/>
      <c r="X3067" s="172"/>
      <c r="Y3067" s="172"/>
      <c r="Z3067" s="172"/>
      <c r="AA3067" s="195"/>
      <c r="AB3067" s="172"/>
    </row>
    <row r="3068" spans="1:28" ht="12.6" customHeight="1" x14ac:dyDescent="0.3">
      <c r="A3068" s="667"/>
      <c r="B3068" s="668" t="s">
        <v>10146</v>
      </c>
      <c r="C3068" s="160" t="s">
        <v>10147</v>
      </c>
      <c r="D3068" s="160"/>
      <c r="E3068" s="439"/>
      <c r="F3068" s="161">
        <v>671.92662800000005</v>
      </c>
      <c r="G3068" s="161">
        <v>-60.488999999999997</v>
      </c>
      <c r="H3068" s="654">
        <v>0.14924597968</v>
      </c>
      <c r="I3068" s="654">
        <v>2.8139884024663102E-3</v>
      </c>
      <c r="J3068" s="191"/>
      <c r="K3068" s="191">
        <v>6155169259.6459703</v>
      </c>
      <c r="L3068" s="191"/>
      <c r="M3068" s="191"/>
      <c r="N3068" s="191"/>
      <c r="O3068" s="191"/>
      <c r="P3068" s="191"/>
      <c r="Q3068" s="191"/>
      <c r="R3068" s="191"/>
      <c r="S3068" s="191"/>
      <c r="T3068" s="191"/>
      <c r="U3068" s="439"/>
      <c r="V3068" s="441"/>
      <c r="W3068" s="178"/>
      <c r="X3068" s="172"/>
      <c r="Y3068" s="172"/>
      <c r="Z3068" s="172"/>
      <c r="AA3068" s="195"/>
      <c r="AB3068" s="172"/>
    </row>
    <row r="3069" spans="1:28" ht="12.6" customHeight="1" x14ac:dyDescent="0.3">
      <c r="A3069" s="667"/>
      <c r="B3069" s="668" t="s">
        <v>10148</v>
      </c>
      <c r="C3069" s="160" t="s">
        <v>10149</v>
      </c>
      <c r="D3069" s="160"/>
      <c r="E3069" s="439"/>
      <c r="F3069" s="161">
        <v>454.00500184600003</v>
      </c>
      <c r="G3069" s="161">
        <v>-23.315000000000001</v>
      </c>
      <c r="H3069" s="654">
        <v>119.922872356</v>
      </c>
      <c r="I3069" s="654">
        <v>0.21235402953843799</v>
      </c>
      <c r="J3069" s="191"/>
      <c r="K3069" s="191">
        <v>21262.2881752666</v>
      </c>
      <c r="L3069" s="191"/>
      <c r="M3069" s="191"/>
      <c r="N3069" s="191"/>
      <c r="O3069" s="191"/>
      <c r="P3069" s="191"/>
      <c r="Q3069" s="191"/>
      <c r="R3069" s="191"/>
      <c r="S3069" s="191"/>
      <c r="T3069" s="191"/>
      <c r="U3069" s="439"/>
      <c r="V3069" s="441"/>
      <c r="W3069" s="178"/>
      <c r="X3069" s="172"/>
      <c r="Y3069" s="172"/>
      <c r="Z3069" s="172"/>
      <c r="AA3069" s="195"/>
      <c r="AB3069" s="172"/>
    </row>
    <row r="3070" spans="1:28" ht="12.6" customHeight="1" x14ac:dyDescent="0.3">
      <c r="A3070" s="667"/>
      <c r="B3070" s="668" t="s">
        <v>10150</v>
      </c>
      <c r="C3070" s="160" t="s">
        <v>10151</v>
      </c>
      <c r="D3070" s="160"/>
      <c r="E3070" s="439"/>
      <c r="F3070" s="161">
        <v>354.011389194</v>
      </c>
      <c r="G3070" s="161">
        <v>28.632999999999999</v>
      </c>
      <c r="H3070" s="654">
        <v>217.22153460000001</v>
      </c>
      <c r="I3070" s="654">
        <v>2.8974593165666702</v>
      </c>
      <c r="J3070" s="191"/>
      <c r="K3070" s="191">
        <v>2215.8481740735401</v>
      </c>
      <c r="L3070" s="191"/>
      <c r="M3070" s="191"/>
      <c r="N3070" s="191"/>
      <c r="O3070" s="191"/>
      <c r="P3070" s="191"/>
      <c r="Q3070" s="191"/>
      <c r="R3070" s="191"/>
      <c r="S3070" s="191"/>
      <c r="T3070" s="191"/>
      <c r="U3070" s="439"/>
      <c r="V3070" s="441"/>
      <c r="W3070" s="178"/>
      <c r="X3070" s="172"/>
      <c r="Y3070" s="172"/>
      <c r="Z3070" s="172"/>
      <c r="AA3070" s="195"/>
      <c r="AB3070" s="172"/>
    </row>
    <row r="3071" spans="1:28" ht="12.6" customHeight="1" x14ac:dyDescent="0.3">
      <c r="A3071" s="667"/>
      <c r="B3071" s="668" t="s">
        <v>10152</v>
      </c>
      <c r="C3071" s="160" t="s">
        <v>10153</v>
      </c>
      <c r="D3071" s="160"/>
      <c r="E3071" s="439"/>
      <c r="F3071" s="161">
        <v>423.994437162</v>
      </c>
      <c r="G3071" s="161">
        <v>-29.962</v>
      </c>
      <c r="H3071" s="654">
        <v>153.7802609</v>
      </c>
      <c r="I3071" s="654">
        <v>0.53747654826840896</v>
      </c>
      <c r="J3071" s="191"/>
      <c r="K3071" s="191">
        <v>19779.713647926099</v>
      </c>
      <c r="L3071" s="191"/>
      <c r="M3071" s="191"/>
      <c r="N3071" s="191"/>
      <c r="O3071" s="191"/>
      <c r="P3071" s="191"/>
      <c r="Q3071" s="191"/>
      <c r="R3071" s="191"/>
      <c r="S3071" s="191"/>
      <c r="T3071" s="191"/>
      <c r="U3071" s="439"/>
      <c r="V3071" s="441"/>
      <c r="W3071" s="178"/>
      <c r="X3071" s="172"/>
      <c r="Y3071" s="172"/>
      <c r="Z3071" s="172"/>
      <c r="AA3071" s="195"/>
      <c r="AB3071" s="172"/>
    </row>
    <row r="3072" spans="1:28" ht="12.6" customHeight="1" x14ac:dyDescent="0.3">
      <c r="A3072" s="667"/>
      <c r="B3072" s="668" t="s">
        <v>10154</v>
      </c>
      <c r="C3072" s="160" t="s">
        <v>10155</v>
      </c>
      <c r="D3072" s="160"/>
      <c r="E3072" s="439">
        <v>5.72</v>
      </c>
      <c r="F3072" s="161">
        <v>462.92880100000002</v>
      </c>
      <c r="G3072" s="161"/>
      <c r="H3072" s="654"/>
      <c r="I3072" s="654"/>
      <c r="J3072" s="191"/>
      <c r="K3072" s="191">
        <v>426893.95003322302</v>
      </c>
      <c r="L3072" s="191"/>
      <c r="M3072" s="191"/>
      <c r="N3072" s="191"/>
      <c r="O3072" s="191"/>
      <c r="P3072" s="191"/>
      <c r="Q3072" s="191"/>
      <c r="R3072" s="191"/>
      <c r="S3072" s="191"/>
      <c r="T3072" s="191"/>
      <c r="U3072" s="439"/>
      <c r="V3072" s="441"/>
      <c r="W3072" s="178"/>
      <c r="X3072" s="172"/>
      <c r="Y3072" s="172"/>
      <c r="Z3072" s="172"/>
      <c r="AA3072" s="195"/>
      <c r="AB3072" s="172"/>
    </row>
    <row r="3073" spans="1:28" ht="12.6" customHeight="1" x14ac:dyDescent="0.3">
      <c r="A3073" s="667"/>
      <c r="B3073" s="668" t="s">
        <v>10156</v>
      </c>
      <c r="C3073" s="160" t="s">
        <v>10157</v>
      </c>
      <c r="D3073" s="160"/>
      <c r="E3073" s="439">
        <v>10.64</v>
      </c>
      <c r="F3073" s="161">
        <v>638.04982099300003</v>
      </c>
      <c r="G3073" s="161"/>
      <c r="H3073" s="654"/>
      <c r="I3073" s="654"/>
      <c r="J3073" s="191"/>
      <c r="K3073" s="191">
        <v>7945843.3717021197</v>
      </c>
      <c r="L3073" s="191"/>
      <c r="M3073" s="191"/>
      <c r="N3073" s="191"/>
      <c r="O3073" s="191"/>
      <c r="P3073" s="191"/>
      <c r="Q3073" s="191"/>
      <c r="R3073" s="191"/>
      <c r="S3073" s="191"/>
      <c r="T3073" s="191"/>
      <c r="U3073" s="439"/>
      <c r="V3073" s="441"/>
      <c r="W3073" s="178"/>
      <c r="X3073" s="172"/>
      <c r="Y3073" s="172"/>
      <c r="Z3073" s="172"/>
      <c r="AA3073" s="195"/>
      <c r="AB3073" s="172"/>
    </row>
    <row r="3074" spans="1:28" ht="12.6" customHeight="1" x14ac:dyDescent="0.3">
      <c r="A3074" s="667"/>
      <c r="B3074" s="668" t="s">
        <v>10158</v>
      </c>
      <c r="C3074" s="160" t="s">
        <v>10159</v>
      </c>
      <c r="D3074" s="160"/>
      <c r="E3074" s="439">
        <v>5</v>
      </c>
      <c r="F3074" s="161">
        <v>463.11808032300002</v>
      </c>
      <c r="G3074" s="161"/>
      <c r="H3074" s="654"/>
      <c r="I3074" s="654"/>
      <c r="J3074" s="191"/>
      <c r="K3074" s="191">
        <v>74636.282526768104</v>
      </c>
      <c r="L3074" s="191"/>
      <c r="M3074" s="191"/>
      <c r="N3074" s="191"/>
      <c r="O3074" s="191"/>
      <c r="P3074" s="191"/>
      <c r="Q3074" s="191"/>
      <c r="R3074" s="191"/>
      <c r="S3074" s="191"/>
      <c r="T3074" s="191"/>
      <c r="U3074" s="439"/>
      <c r="V3074" s="441"/>
      <c r="W3074" s="178"/>
      <c r="X3074" s="172"/>
      <c r="Y3074" s="172"/>
      <c r="Z3074" s="172"/>
      <c r="AA3074" s="195"/>
      <c r="AB3074" s="172"/>
    </row>
    <row r="3075" spans="1:28" ht="12.6" customHeight="1" x14ac:dyDescent="0.3">
      <c r="A3075" s="667"/>
      <c r="B3075" s="668" t="s">
        <v>10160</v>
      </c>
      <c r="C3075" s="160" t="s">
        <v>10161</v>
      </c>
      <c r="D3075" s="160"/>
      <c r="E3075" s="439">
        <v>9.24</v>
      </c>
      <c r="F3075" s="161">
        <v>243.049411023</v>
      </c>
      <c r="G3075" s="161"/>
      <c r="H3075" s="654"/>
      <c r="I3075" s="654"/>
      <c r="J3075" s="191"/>
      <c r="K3075" s="191">
        <v>149.51335949850599</v>
      </c>
      <c r="L3075" s="191"/>
      <c r="M3075" s="191"/>
      <c r="N3075" s="191"/>
      <c r="O3075" s="191"/>
      <c r="P3075" s="191"/>
      <c r="Q3075" s="191"/>
      <c r="R3075" s="191"/>
      <c r="S3075" s="191"/>
      <c r="T3075" s="191"/>
      <c r="U3075" s="439"/>
      <c r="V3075" s="441"/>
      <c r="W3075" s="178"/>
      <c r="X3075" s="172"/>
      <c r="Y3075" s="172"/>
      <c r="Z3075" s="172"/>
      <c r="AA3075" s="195"/>
      <c r="AB3075" s="172"/>
    </row>
    <row r="3076" spans="1:28" ht="12.6" customHeight="1" x14ac:dyDescent="0.3">
      <c r="A3076" s="667"/>
      <c r="B3076" s="668" t="s">
        <v>10162</v>
      </c>
      <c r="C3076" s="160" t="s">
        <v>10163</v>
      </c>
      <c r="D3076" s="160"/>
      <c r="E3076" s="439">
        <v>8.07</v>
      </c>
      <c r="F3076" s="161">
        <v>287.03924026300001</v>
      </c>
      <c r="G3076" s="161"/>
      <c r="H3076" s="654"/>
      <c r="I3076" s="654"/>
      <c r="J3076" s="191"/>
      <c r="K3076" s="191">
        <v>81.118516563518597</v>
      </c>
      <c r="L3076" s="191"/>
      <c r="M3076" s="191"/>
      <c r="N3076" s="191"/>
      <c r="O3076" s="191"/>
      <c r="P3076" s="191"/>
      <c r="Q3076" s="191"/>
      <c r="R3076" s="191"/>
      <c r="S3076" s="191"/>
      <c r="T3076" s="191"/>
      <c r="U3076" s="439"/>
      <c r="V3076" s="441"/>
      <c r="W3076" s="178"/>
      <c r="X3076" s="172"/>
      <c r="Y3076" s="172"/>
      <c r="Z3076" s="172"/>
      <c r="AA3076" s="195"/>
      <c r="AB3076" s="172"/>
    </row>
    <row r="3077" spans="1:28" ht="12.6" customHeight="1" x14ac:dyDescent="0.3">
      <c r="A3077" s="667"/>
      <c r="B3077" s="668" t="s">
        <v>10164</v>
      </c>
      <c r="C3077" s="160" t="s">
        <v>10165</v>
      </c>
      <c r="D3077" s="160"/>
      <c r="E3077" s="439">
        <v>8.1199999999999992</v>
      </c>
      <c r="F3077" s="161">
        <v>672.260961146</v>
      </c>
      <c r="G3077" s="161"/>
      <c r="H3077" s="654"/>
      <c r="I3077" s="654"/>
      <c r="J3077" s="191"/>
      <c r="K3077" s="191">
        <v>1328648189.2987299</v>
      </c>
      <c r="L3077" s="191"/>
      <c r="M3077" s="191"/>
      <c r="N3077" s="191"/>
      <c r="O3077" s="191"/>
      <c r="P3077" s="191"/>
      <c r="Q3077" s="191"/>
      <c r="R3077" s="191"/>
      <c r="S3077" s="191"/>
      <c r="T3077" s="191"/>
      <c r="U3077" s="439"/>
      <c r="V3077" s="441"/>
      <c r="W3077" s="178"/>
      <c r="X3077" s="172"/>
      <c r="Y3077" s="172"/>
      <c r="Z3077" s="172"/>
      <c r="AA3077" s="195"/>
      <c r="AB3077" s="172"/>
    </row>
    <row r="3078" spans="1:28" ht="12.6" customHeight="1" x14ac:dyDescent="0.3">
      <c r="A3078" s="667"/>
      <c r="B3078" s="668" t="s">
        <v>10166</v>
      </c>
      <c r="C3078" s="160" t="s">
        <v>10167</v>
      </c>
      <c r="D3078" s="160"/>
      <c r="E3078" s="439"/>
      <c r="F3078" s="161">
        <v>839.17486478499995</v>
      </c>
      <c r="G3078" s="161"/>
      <c r="H3078" s="654"/>
      <c r="I3078" s="654"/>
      <c r="J3078" s="191"/>
      <c r="K3078" s="191"/>
      <c r="L3078" s="191"/>
      <c r="M3078" s="191"/>
      <c r="N3078" s="191"/>
      <c r="O3078" s="191"/>
      <c r="P3078" s="191"/>
      <c r="Q3078" s="191"/>
      <c r="R3078" s="191"/>
      <c r="S3078" s="191"/>
      <c r="T3078" s="191"/>
      <c r="U3078" s="439"/>
      <c r="V3078" s="441"/>
      <c r="W3078" s="178"/>
      <c r="X3078" s="172"/>
      <c r="Y3078" s="172"/>
      <c r="Z3078" s="172"/>
      <c r="AA3078" s="195"/>
      <c r="AB3078" s="172"/>
    </row>
    <row r="3079" spans="1:28" ht="12.6" customHeight="1" x14ac:dyDescent="0.3">
      <c r="A3079" s="667"/>
      <c r="B3079" s="668" t="s">
        <v>10168</v>
      </c>
      <c r="C3079" s="160" t="s">
        <v>10169</v>
      </c>
      <c r="D3079" s="160"/>
      <c r="E3079" s="439"/>
      <c r="F3079" s="161">
        <v>223.07956833599999</v>
      </c>
      <c r="G3079" s="161"/>
      <c r="H3079" s="654"/>
      <c r="I3079" s="654"/>
      <c r="J3079" s="191"/>
      <c r="K3079" s="191">
        <v>164.97190902212401</v>
      </c>
      <c r="L3079" s="191"/>
      <c r="M3079" s="191"/>
      <c r="N3079" s="191"/>
      <c r="O3079" s="191"/>
      <c r="P3079" s="191"/>
      <c r="Q3079" s="191"/>
      <c r="R3079" s="191"/>
      <c r="S3079" s="191"/>
      <c r="T3079" s="191"/>
      <c r="U3079" s="439"/>
      <c r="V3079" s="441"/>
      <c r="W3079" s="178"/>
      <c r="X3079" s="172"/>
      <c r="Y3079" s="172"/>
      <c r="Z3079" s="172"/>
      <c r="AA3079" s="195"/>
      <c r="AB3079" s="172"/>
    </row>
    <row r="3080" spans="1:28" ht="12.6" customHeight="1" x14ac:dyDescent="0.3">
      <c r="A3080" s="667"/>
      <c r="B3080" s="668" t="s">
        <v>10170</v>
      </c>
      <c r="C3080" s="160" t="s">
        <v>10171</v>
      </c>
      <c r="D3080" s="160"/>
      <c r="E3080" s="439"/>
      <c r="F3080" s="161">
        <v>682.04551230100003</v>
      </c>
      <c r="G3080" s="161"/>
      <c r="H3080" s="654"/>
      <c r="I3080" s="654"/>
      <c r="J3080" s="191"/>
      <c r="K3080" s="191">
        <v>284708.21597992798</v>
      </c>
      <c r="L3080" s="191"/>
      <c r="M3080" s="191"/>
      <c r="N3080" s="191"/>
      <c r="O3080" s="191"/>
      <c r="P3080" s="191"/>
      <c r="Q3080" s="191"/>
      <c r="R3080" s="191"/>
      <c r="S3080" s="191"/>
      <c r="T3080" s="191"/>
      <c r="U3080" s="439"/>
      <c r="V3080" s="441"/>
      <c r="W3080" s="178"/>
      <c r="X3080" s="172"/>
      <c r="Y3080" s="172"/>
      <c r="Z3080" s="172"/>
      <c r="AA3080" s="195"/>
      <c r="AB3080" s="172"/>
    </row>
    <row r="3081" spans="1:28" ht="12.6" customHeight="1" x14ac:dyDescent="0.3">
      <c r="A3081" s="667"/>
      <c r="B3081" s="668" t="s">
        <v>10172</v>
      </c>
      <c r="C3081" s="160" t="s">
        <v>10173</v>
      </c>
      <c r="D3081" s="160"/>
      <c r="E3081" s="439"/>
      <c r="F3081" s="161">
        <v>582.05189964900001</v>
      </c>
      <c r="G3081" s="161">
        <v>-89.158000000000001</v>
      </c>
      <c r="H3081" s="654">
        <v>109.11939073000001</v>
      </c>
      <c r="I3081" s="654">
        <v>4.4664392776655598E-2</v>
      </c>
      <c r="J3081" s="191"/>
      <c r="K3081" s="191">
        <v>577976.25943743996</v>
      </c>
      <c r="L3081" s="191"/>
      <c r="M3081" s="191"/>
      <c r="N3081" s="191"/>
      <c r="O3081" s="191"/>
      <c r="P3081" s="191"/>
      <c r="Q3081" s="191"/>
      <c r="R3081" s="191"/>
      <c r="S3081" s="191"/>
      <c r="T3081" s="191"/>
      <c r="U3081" s="439"/>
      <c r="V3081" s="441"/>
      <c r="W3081" s="178"/>
      <c r="X3081" s="172"/>
      <c r="Y3081" s="172"/>
      <c r="Z3081" s="172"/>
      <c r="AA3081" s="195"/>
      <c r="AB3081" s="172"/>
    </row>
    <row r="3082" spans="1:28" ht="12.6" customHeight="1" x14ac:dyDescent="0.3">
      <c r="A3082" s="667"/>
      <c r="B3082" s="668" t="s">
        <v>10174</v>
      </c>
      <c r="C3082" s="160" t="s">
        <v>10175</v>
      </c>
      <c r="D3082" s="160"/>
      <c r="E3082" s="439"/>
      <c r="F3082" s="161">
        <v>400.01795417099999</v>
      </c>
      <c r="G3082" s="161"/>
      <c r="H3082" s="654"/>
      <c r="I3082" s="654"/>
      <c r="J3082" s="191"/>
      <c r="K3082" s="191">
        <v>153112.27166795699</v>
      </c>
      <c r="L3082" s="191"/>
      <c r="M3082" s="191"/>
      <c r="N3082" s="191"/>
      <c r="O3082" s="191"/>
      <c r="P3082" s="191"/>
      <c r="Q3082" s="191"/>
      <c r="R3082" s="191"/>
      <c r="S3082" s="191"/>
      <c r="T3082" s="191"/>
      <c r="U3082" s="439"/>
      <c r="V3082" s="441"/>
      <c r="W3082" s="178"/>
      <c r="X3082" s="172"/>
      <c r="Y3082" s="172"/>
      <c r="Z3082" s="172"/>
      <c r="AA3082" s="195"/>
      <c r="AB3082" s="172"/>
    </row>
    <row r="3083" spans="1:28" ht="12.6" customHeight="1" x14ac:dyDescent="0.3">
      <c r="A3083" s="667"/>
      <c r="B3083" s="668" t="s">
        <v>10176</v>
      </c>
      <c r="C3083" s="160" t="s">
        <v>10177</v>
      </c>
      <c r="D3083" s="160"/>
      <c r="E3083" s="439"/>
      <c r="F3083" s="161">
        <v>293.04173880000002</v>
      </c>
      <c r="G3083" s="161">
        <v>-47.552</v>
      </c>
      <c r="H3083" s="654">
        <v>14.024941112</v>
      </c>
      <c r="I3083" s="654">
        <v>11.1155127152922</v>
      </c>
      <c r="J3083" s="191"/>
      <c r="K3083" s="191">
        <v>1.83382546851767</v>
      </c>
      <c r="L3083" s="191"/>
      <c r="M3083" s="191"/>
      <c r="N3083" s="191"/>
      <c r="O3083" s="191"/>
      <c r="P3083" s="191"/>
      <c r="Q3083" s="191"/>
      <c r="R3083" s="191"/>
      <c r="S3083" s="191"/>
      <c r="T3083" s="191"/>
      <c r="U3083" s="439"/>
      <c r="V3083" s="441"/>
      <c r="W3083" s="178"/>
      <c r="X3083" s="172"/>
      <c r="Y3083" s="172"/>
      <c r="Z3083" s="172"/>
      <c r="AA3083" s="195"/>
      <c r="AB3083" s="172"/>
    </row>
    <row r="3084" spans="1:28" ht="12.6" customHeight="1" x14ac:dyDescent="0.3">
      <c r="A3084" s="667"/>
      <c r="B3084" s="668" t="s">
        <v>10178</v>
      </c>
      <c r="C3084" s="160" t="s">
        <v>10179</v>
      </c>
      <c r="D3084" s="160"/>
      <c r="E3084" s="439">
        <v>11.58</v>
      </c>
      <c r="F3084" s="161">
        <v>468.02870869999998</v>
      </c>
      <c r="G3084" s="161"/>
      <c r="H3084" s="654"/>
      <c r="I3084" s="654"/>
      <c r="J3084" s="191"/>
      <c r="K3084" s="191">
        <v>12.718034536529601</v>
      </c>
      <c r="L3084" s="191"/>
      <c r="M3084" s="191"/>
      <c r="N3084" s="191"/>
      <c r="O3084" s="191"/>
      <c r="P3084" s="191"/>
      <c r="Q3084" s="191"/>
      <c r="R3084" s="191"/>
      <c r="S3084" s="191"/>
      <c r="T3084" s="191"/>
      <c r="U3084" s="439"/>
      <c r="V3084" s="441"/>
      <c r="W3084" s="178"/>
      <c r="X3084" s="172"/>
      <c r="Y3084" s="172"/>
      <c r="Z3084" s="172"/>
      <c r="AA3084" s="195"/>
      <c r="AB3084" s="172"/>
    </row>
    <row r="3085" spans="1:28" ht="12.6" customHeight="1" x14ac:dyDescent="0.3">
      <c r="A3085" s="667"/>
      <c r="B3085" s="668" t="s">
        <v>10180</v>
      </c>
      <c r="C3085" s="160" t="s">
        <v>10181</v>
      </c>
      <c r="D3085" s="160"/>
      <c r="E3085" s="439">
        <v>10.53</v>
      </c>
      <c r="F3085" s="161">
        <v>468.02870869999998</v>
      </c>
      <c r="G3085" s="161"/>
      <c r="H3085" s="654"/>
      <c r="I3085" s="654"/>
      <c r="J3085" s="191"/>
      <c r="K3085" s="191">
        <v>12.7755615898073</v>
      </c>
      <c r="L3085" s="191"/>
      <c r="M3085" s="191"/>
      <c r="N3085" s="191"/>
      <c r="O3085" s="191"/>
      <c r="P3085" s="191"/>
      <c r="Q3085" s="191"/>
      <c r="R3085" s="191"/>
      <c r="S3085" s="191"/>
      <c r="T3085" s="191"/>
      <c r="U3085" s="439"/>
      <c r="V3085" s="441"/>
      <c r="W3085" s="178"/>
      <c r="X3085" s="172"/>
      <c r="Y3085" s="172"/>
      <c r="Z3085" s="172"/>
      <c r="AA3085" s="195"/>
      <c r="AB3085" s="172"/>
    </row>
    <row r="3086" spans="1:28" ht="12.6" customHeight="1" x14ac:dyDescent="0.3">
      <c r="A3086" s="667"/>
      <c r="B3086" s="668" t="s">
        <v>10182</v>
      </c>
      <c r="C3086" s="160" t="s">
        <v>10183</v>
      </c>
      <c r="D3086" s="160"/>
      <c r="E3086" s="439">
        <v>6.6</v>
      </c>
      <c r="F3086" s="161">
        <v>547.04400733700004</v>
      </c>
      <c r="G3086" s="161">
        <v>-81.356999999999999</v>
      </c>
      <c r="H3086" s="654">
        <v>14.384777189999999</v>
      </c>
      <c r="I3086" s="654"/>
      <c r="J3086" s="191"/>
      <c r="K3086" s="191">
        <v>55149.299442456097</v>
      </c>
      <c r="L3086" s="191"/>
      <c r="M3086" s="191"/>
      <c r="N3086" s="191"/>
      <c r="O3086" s="191"/>
      <c r="P3086" s="191"/>
      <c r="Q3086" s="191"/>
      <c r="R3086" s="191"/>
      <c r="S3086" s="191"/>
      <c r="T3086" s="191"/>
      <c r="U3086" s="439"/>
      <c r="V3086" s="441"/>
      <c r="W3086" s="178"/>
      <c r="X3086" s="172"/>
      <c r="Y3086" s="172"/>
      <c r="Z3086" s="172"/>
      <c r="AA3086" s="195"/>
      <c r="AB3086" s="172"/>
    </row>
    <row r="3087" spans="1:28" ht="12.6" customHeight="1" x14ac:dyDescent="0.3">
      <c r="A3087" s="667"/>
      <c r="B3087" s="668" t="s">
        <v>10184</v>
      </c>
      <c r="C3087" s="160" t="s">
        <v>10185</v>
      </c>
      <c r="D3087" s="160"/>
      <c r="E3087" s="439"/>
      <c r="F3087" s="161">
        <v>289.99893280399999</v>
      </c>
      <c r="G3087" s="161">
        <v>-83.756</v>
      </c>
      <c r="H3087" s="654">
        <v>1380.0693507999999</v>
      </c>
      <c r="I3087" s="654">
        <v>6.3444806523127797</v>
      </c>
      <c r="J3087" s="191"/>
      <c r="K3087" s="191">
        <v>507.79684707577002</v>
      </c>
      <c r="L3087" s="191"/>
      <c r="M3087" s="191"/>
      <c r="N3087" s="191"/>
      <c r="O3087" s="191"/>
      <c r="P3087" s="191"/>
      <c r="Q3087" s="191"/>
      <c r="R3087" s="191"/>
      <c r="S3087" s="191"/>
      <c r="T3087" s="191"/>
      <c r="U3087" s="439"/>
      <c r="V3087" s="441"/>
      <c r="W3087" s="178"/>
      <c r="X3087" s="172"/>
      <c r="Y3087" s="172"/>
      <c r="Z3087" s="172"/>
      <c r="AA3087" s="195"/>
      <c r="AB3087" s="172"/>
    </row>
    <row r="3088" spans="1:28" ht="12.6" customHeight="1" x14ac:dyDescent="0.3">
      <c r="A3088" s="667"/>
      <c r="B3088" s="668" t="s">
        <v>10186</v>
      </c>
      <c r="C3088" s="160" t="s">
        <v>10187</v>
      </c>
      <c r="D3088" s="160"/>
      <c r="E3088" s="439"/>
      <c r="F3088" s="161">
        <v>582.01237285599996</v>
      </c>
      <c r="G3088" s="161"/>
      <c r="H3088" s="654"/>
      <c r="I3088" s="654"/>
      <c r="J3088" s="191"/>
      <c r="K3088" s="191">
        <v>662582.55920126103</v>
      </c>
      <c r="L3088" s="191"/>
      <c r="M3088" s="191"/>
      <c r="N3088" s="191"/>
      <c r="O3088" s="191"/>
      <c r="P3088" s="191"/>
      <c r="Q3088" s="191"/>
      <c r="R3088" s="191"/>
      <c r="S3088" s="191"/>
      <c r="T3088" s="191"/>
      <c r="U3088" s="439"/>
      <c r="V3088" s="441"/>
      <c r="W3088" s="178"/>
      <c r="X3088" s="172"/>
      <c r="Y3088" s="172"/>
      <c r="Z3088" s="172"/>
      <c r="AA3088" s="195"/>
      <c r="AB3088" s="172"/>
    </row>
    <row r="3089" spans="1:28" ht="12.6" customHeight="1" x14ac:dyDescent="0.3">
      <c r="A3089" s="667"/>
      <c r="B3089" s="668" t="s">
        <v>10188</v>
      </c>
      <c r="C3089" s="160" t="s">
        <v>10189</v>
      </c>
      <c r="D3089" s="160"/>
      <c r="E3089" s="439">
        <v>37.74</v>
      </c>
      <c r="F3089" s="161">
        <v>327.99573913</v>
      </c>
      <c r="G3089" s="161">
        <v>-49.447000000000003</v>
      </c>
      <c r="H3089" s="654">
        <v>625.03086785999994</v>
      </c>
      <c r="I3089" s="654">
        <v>23.381274662603701</v>
      </c>
      <c r="J3089" s="191"/>
      <c r="K3089" s="191">
        <v>856.44602889005705</v>
      </c>
      <c r="L3089" s="191"/>
      <c r="M3089" s="191"/>
      <c r="N3089" s="191"/>
      <c r="O3089" s="191"/>
      <c r="P3089" s="191"/>
      <c r="Q3089" s="191"/>
      <c r="R3089" s="191"/>
      <c r="S3089" s="191"/>
      <c r="T3089" s="191"/>
      <c r="U3089" s="439"/>
      <c r="V3089" s="441"/>
      <c r="W3089" s="178"/>
      <c r="X3089" s="172"/>
      <c r="Y3089" s="172"/>
      <c r="Z3089" s="172"/>
      <c r="AA3089" s="195"/>
      <c r="AB3089" s="172"/>
    </row>
    <row r="3090" spans="1:28" ht="12.6" customHeight="1" x14ac:dyDescent="0.3">
      <c r="A3090" s="667"/>
      <c r="B3090" s="668" t="s">
        <v>10190</v>
      </c>
      <c r="C3090" s="160" t="s">
        <v>10191</v>
      </c>
      <c r="D3090" s="160"/>
      <c r="E3090" s="439"/>
      <c r="F3090" s="161">
        <v>770.17474672900005</v>
      </c>
      <c r="G3090" s="161"/>
      <c r="H3090" s="654"/>
      <c r="I3090" s="654"/>
      <c r="J3090" s="191"/>
      <c r="K3090" s="191">
        <v>83443.017339685306</v>
      </c>
      <c r="L3090" s="191"/>
      <c r="M3090" s="191"/>
      <c r="N3090" s="191"/>
      <c r="O3090" s="191"/>
      <c r="P3090" s="191"/>
      <c r="Q3090" s="191"/>
      <c r="R3090" s="191"/>
      <c r="S3090" s="191"/>
      <c r="T3090" s="191"/>
      <c r="U3090" s="439"/>
      <c r="V3090" s="441"/>
      <c r="W3090" s="178"/>
      <c r="X3090" s="172"/>
      <c r="Y3090" s="172"/>
      <c r="Z3090" s="172"/>
      <c r="AA3090" s="195"/>
      <c r="AB3090" s="172"/>
    </row>
    <row r="3091" spans="1:28" ht="12.6" customHeight="1" x14ac:dyDescent="0.3">
      <c r="A3091" s="667"/>
      <c r="B3091" s="668" t="s">
        <v>10192</v>
      </c>
      <c r="C3091" s="160" t="s">
        <v>10193</v>
      </c>
      <c r="D3091" s="160"/>
      <c r="E3091" s="439"/>
      <c r="F3091" s="161">
        <v>399.97445060799998</v>
      </c>
      <c r="G3091" s="161"/>
      <c r="H3091" s="654"/>
      <c r="I3091" s="654"/>
      <c r="J3091" s="191"/>
      <c r="K3091" s="191">
        <v>107327.249564517</v>
      </c>
      <c r="L3091" s="191"/>
      <c r="M3091" s="191"/>
      <c r="N3091" s="191"/>
      <c r="O3091" s="191"/>
      <c r="P3091" s="191"/>
      <c r="Q3091" s="191"/>
      <c r="R3091" s="191"/>
      <c r="S3091" s="191"/>
      <c r="T3091" s="191"/>
      <c r="U3091" s="439"/>
      <c r="V3091" s="441"/>
      <c r="W3091" s="178"/>
      <c r="X3091" s="172"/>
      <c r="Y3091" s="172"/>
      <c r="Z3091" s="172"/>
      <c r="AA3091" s="195"/>
      <c r="AB3091" s="172"/>
    </row>
    <row r="3092" spans="1:28" ht="12.6" customHeight="1" x14ac:dyDescent="0.3">
      <c r="A3092" s="667"/>
      <c r="B3092" s="668" t="s">
        <v>10194</v>
      </c>
      <c r="C3092" s="160" t="s">
        <v>10195</v>
      </c>
      <c r="D3092" s="160"/>
      <c r="E3092" s="439"/>
      <c r="F3092" s="161">
        <v>427.96936522800002</v>
      </c>
      <c r="G3092" s="161"/>
      <c r="H3092" s="654"/>
      <c r="I3092" s="654"/>
      <c r="J3092" s="191"/>
      <c r="K3092" s="191">
        <v>107228.443023627</v>
      </c>
      <c r="L3092" s="191"/>
      <c r="M3092" s="191"/>
      <c r="N3092" s="191"/>
      <c r="O3092" s="191"/>
      <c r="P3092" s="191"/>
      <c r="Q3092" s="191"/>
      <c r="R3092" s="191"/>
      <c r="S3092" s="191"/>
      <c r="T3092" s="191"/>
      <c r="U3092" s="439"/>
      <c r="V3092" s="441"/>
      <c r="W3092" s="178"/>
      <c r="X3092" s="172"/>
      <c r="Y3092" s="172"/>
      <c r="Z3092" s="172"/>
      <c r="AA3092" s="195"/>
      <c r="AB3092" s="172"/>
    </row>
    <row r="3093" spans="1:28" ht="12.6" customHeight="1" x14ac:dyDescent="0.3">
      <c r="A3093" s="667"/>
      <c r="B3093" s="668" t="s">
        <v>10196</v>
      </c>
      <c r="C3093" s="160" t="s">
        <v>10197</v>
      </c>
      <c r="D3093" s="160"/>
      <c r="E3093" s="439"/>
      <c r="F3093" s="161">
        <v>377.972558902</v>
      </c>
      <c r="G3093" s="161"/>
      <c r="H3093" s="654"/>
      <c r="I3093" s="654"/>
      <c r="J3093" s="191"/>
      <c r="K3093" s="191">
        <v>2669.6848687424499</v>
      </c>
      <c r="L3093" s="191"/>
      <c r="M3093" s="191"/>
      <c r="N3093" s="191"/>
      <c r="O3093" s="191"/>
      <c r="P3093" s="191"/>
      <c r="Q3093" s="191"/>
      <c r="R3093" s="191"/>
      <c r="S3093" s="191"/>
      <c r="T3093" s="191"/>
      <c r="U3093" s="439"/>
      <c r="V3093" s="441"/>
      <c r="W3093" s="178"/>
      <c r="X3093" s="172"/>
      <c r="Y3093" s="172"/>
      <c r="Z3093" s="172"/>
      <c r="AA3093" s="195"/>
      <c r="AB3093" s="172"/>
    </row>
    <row r="3094" spans="1:28" ht="12.6" customHeight="1" x14ac:dyDescent="0.3">
      <c r="A3094" s="667"/>
      <c r="B3094" s="668" t="s">
        <v>10198</v>
      </c>
      <c r="C3094" s="160" t="s">
        <v>10199</v>
      </c>
      <c r="D3094" s="160"/>
      <c r="E3094" s="439"/>
      <c r="F3094" s="161">
        <v>299.98083795600002</v>
      </c>
      <c r="G3094" s="161"/>
      <c r="H3094" s="654"/>
      <c r="I3094" s="654"/>
      <c r="J3094" s="191"/>
      <c r="K3094" s="191">
        <v>3802.4192505522301</v>
      </c>
      <c r="L3094" s="191"/>
      <c r="M3094" s="191"/>
      <c r="N3094" s="191"/>
      <c r="O3094" s="191"/>
      <c r="P3094" s="191"/>
      <c r="Q3094" s="191"/>
      <c r="R3094" s="191"/>
      <c r="S3094" s="191"/>
      <c r="T3094" s="191"/>
      <c r="U3094" s="439"/>
      <c r="V3094" s="441"/>
      <c r="W3094" s="178"/>
      <c r="X3094" s="172"/>
      <c r="Y3094" s="172"/>
      <c r="Z3094" s="172"/>
      <c r="AA3094" s="195"/>
      <c r="AB3094" s="172"/>
    </row>
    <row r="3095" spans="1:28" ht="12.6" customHeight="1" x14ac:dyDescent="0.3">
      <c r="A3095" s="667"/>
      <c r="B3095" s="668" t="s">
        <v>10200</v>
      </c>
      <c r="C3095" s="160" t="s">
        <v>10201</v>
      </c>
      <c r="D3095" s="160"/>
      <c r="E3095" s="439"/>
      <c r="F3095" s="161">
        <v>449.971256934</v>
      </c>
      <c r="G3095" s="161"/>
      <c r="H3095" s="654"/>
      <c r="I3095" s="654"/>
      <c r="J3095" s="191"/>
      <c r="K3095" s="191">
        <v>137448.49852131199</v>
      </c>
      <c r="L3095" s="191"/>
      <c r="M3095" s="191"/>
      <c r="N3095" s="191"/>
      <c r="O3095" s="191"/>
      <c r="P3095" s="191"/>
      <c r="Q3095" s="191"/>
      <c r="R3095" s="191"/>
      <c r="S3095" s="191"/>
      <c r="T3095" s="191"/>
      <c r="U3095" s="439"/>
      <c r="V3095" s="441"/>
      <c r="W3095" s="178"/>
      <c r="X3095" s="172"/>
      <c r="Y3095" s="172"/>
      <c r="Z3095" s="172"/>
      <c r="AA3095" s="195"/>
      <c r="AB3095" s="172"/>
    </row>
    <row r="3096" spans="1:28" ht="12.6" customHeight="1" x14ac:dyDescent="0.3">
      <c r="A3096" s="667"/>
      <c r="B3096" s="668" t="s">
        <v>10202</v>
      </c>
      <c r="C3096" s="160" t="s">
        <v>10203</v>
      </c>
      <c r="D3096" s="160"/>
      <c r="E3096" s="439"/>
      <c r="F3096" s="161">
        <v>399.97445060799998</v>
      </c>
      <c r="G3096" s="161"/>
      <c r="H3096" s="654"/>
      <c r="I3096" s="654"/>
      <c r="J3096" s="191"/>
      <c r="K3096" s="191">
        <v>107327.249564517</v>
      </c>
      <c r="L3096" s="191"/>
      <c r="M3096" s="191"/>
      <c r="N3096" s="191"/>
      <c r="O3096" s="191"/>
      <c r="P3096" s="191"/>
      <c r="Q3096" s="191"/>
      <c r="R3096" s="191"/>
      <c r="S3096" s="191"/>
      <c r="T3096" s="191"/>
      <c r="U3096" s="439"/>
      <c r="V3096" s="441"/>
      <c r="W3096" s="178"/>
      <c r="X3096" s="172"/>
      <c r="Y3096" s="172"/>
      <c r="Z3096" s="172"/>
      <c r="AA3096" s="195"/>
      <c r="AB3096" s="172"/>
    </row>
    <row r="3097" spans="1:28" ht="12.6" customHeight="1" x14ac:dyDescent="0.3">
      <c r="A3097" s="667"/>
      <c r="B3097" s="668" t="s">
        <v>10204</v>
      </c>
      <c r="C3097" s="160" t="s">
        <v>10205</v>
      </c>
      <c r="D3097" s="160"/>
      <c r="E3097" s="439">
        <v>35.164999999999999</v>
      </c>
      <c r="F3097" s="161">
        <v>449.971256934</v>
      </c>
      <c r="G3097" s="161"/>
      <c r="H3097" s="654"/>
      <c r="I3097" s="654"/>
      <c r="J3097" s="191"/>
      <c r="K3097" s="191">
        <v>137819.287384792</v>
      </c>
      <c r="L3097" s="191"/>
      <c r="M3097" s="191"/>
      <c r="N3097" s="191"/>
      <c r="O3097" s="191"/>
      <c r="P3097" s="191"/>
      <c r="Q3097" s="191"/>
      <c r="R3097" s="191"/>
      <c r="S3097" s="191"/>
      <c r="T3097" s="191"/>
      <c r="U3097" s="439"/>
      <c r="V3097" s="441"/>
      <c r="W3097" s="178"/>
      <c r="X3097" s="172"/>
      <c r="Y3097" s="172"/>
      <c r="Z3097" s="172"/>
      <c r="AA3097" s="195"/>
      <c r="AB3097" s="172"/>
    </row>
    <row r="3098" spans="1:28" ht="12.6" customHeight="1" x14ac:dyDescent="0.3">
      <c r="A3098" s="667"/>
      <c r="B3098" s="668" t="s">
        <v>10206</v>
      </c>
      <c r="C3098" s="160" t="s">
        <v>10207</v>
      </c>
      <c r="D3098" s="160"/>
      <c r="E3098" s="439">
        <v>4.5629999999999997</v>
      </c>
      <c r="F3098" s="161">
        <v>299.98083795600002</v>
      </c>
      <c r="G3098" s="161">
        <v>-107.512</v>
      </c>
      <c r="H3098" s="654">
        <v>173741.23074</v>
      </c>
      <c r="I3098" s="654">
        <v>4.9101463518313997</v>
      </c>
      <c r="J3098" s="191"/>
      <c r="K3098" s="191">
        <v>1505.84405944697</v>
      </c>
      <c r="L3098" s="191"/>
      <c r="M3098" s="191"/>
      <c r="N3098" s="191"/>
      <c r="O3098" s="191"/>
      <c r="P3098" s="191"/>
      <c r="Q3098" s="191"/>
      <c r="R3098" s="191"/>
      <c r="S3098" s="191"/>
      <c r="T3098" s="191"/>
      <c r="U3098" s="439"/>
      <c r="V3098" s="441"/>
      <c r="W3098" s="178"/>
      <c r="X3098" s="172"/>
      <c r="Y3098" s="172"/>
      <c r="Z3098" s="172"/>
      <c r="AA3098" s="195"/>
      <c r="AB3098" s="172"/>
    </row>
    <row r="3099" spans="1:28" ht="12.6" customHeight="1" x14ac:dyDescent="0.3">
      <c r="A3099" s="667"/>
      <c r="B3099" s="668" t="s">
        <v>10208</v>
      </c>
      <c r="C3099" s="160" t="s">
        <v>10209</v>
      </c>
      <c r="D3099" s="160"/>
      <c r="E3099" s="439"/>
      <c r="F3099" s="161">
        <v>272.02475362799998</v>
      </c>
      <c r="G3099" s="161"/>
      <c r="H3099" s="654"/>
      <c r="I3099" s="654"/>
      <c r="J3099" s="191"/>
      <c r="K3099" s="191">
        <v>25869.021394753901</v>
      </c>
      <c r="L3099" s="191"/>
      <c r="M3099" s="191"/>
      <c r="N3099" s="191"/>
      <c r="O3099" s="191"/>
      <c r="P3099" s="191"/>
      <c r="Q3099" s="191"/>
      <c r="R3099" s="191"/>
      <c r="S3099" s="191"/>
      <c r="T3099" s="191"/>
      <c r="U3099" s="439"/>
      <c r="V3099" s="441"/>
      <c r="W3099" s="178"/>
      <c r="X3099" s="172"/>
      <c r="Y3099" s="172"/>
      <c r="Z3099" s="172"/>
      <c r="AA3099" s="195"/>
      <c r="AB3099" s="172"/>
    </row>
    <row r="3100" spans="1:28" ht="12.6" customHeight="1" x14ac:dyDescent="0.3">
      <c r="A3100" s="667"/>
      <c r="B3100" s="668" t="s">
        <v>10210</v>
      </c>
      <c r="C3100" s="160" t="s">
        <v>10211</v>
      </c>
      <c r="D3100" s="160"/>
      <c r="E3100" s="439"/>
      <c r="F3100" s="161">
        <v>199.98722530399999</v>
      </c>
      <c r="G3100" s="161"/>
      <c r="H3100" s="654"/>
      <c r="I3100" s="654"/>
      <c r="J3100" s="191"/>
      <c r="K3100" s="191">
        <v>193.52630290417699</v>
      </c>
      <c r="L3100" s="191"/>
      <c r="M3100" s="191"/>
      <c r="N3100" s="191"/>
      <c r="O3100" s="191"/>
      <c r="P3100" s="191"/>
      <c r="Q3100" s="191"/>
      <c r="R3100" s="191"/>
      <c r="S3100" s="191"/>
      <c r="T3100" s="191"/>
      <c r="U3100" s="439"/>
      <c r="V3100" s="441"/>
      <c r="W3100" s="178"/>
      <c r="X3100" s="172"/>
      <c r="Y3100" s="172"/>
      <c r="Z3100" s="172"/>
      <c r="AA3100" s="195"/>
      <c r="AB3100" s="172"/>
    </row>
    <row r="3101" spans="1:28" ht="12.6" customHeight="1" x14ac:dyDescent="0.3">
      <c r="A3101" s="667"/>
      <c r="B3101" s="668" t="s">
        <v>10212</v>
      </c>
      <c r="C3101" s="160" t="s">
        <v>10213</v>
      </c>
      <c r="D3101" s="160"/>
      <c r="E3101" s="439"/>
      <c r="F3101" s="161">
        <v>661.95848223799999</v>
      </c>
      <c r="G3101" s="161"/>
      <c r="H3101" s="654"/>
      <c r="I3101" s="654"/>
      <c r="J3101" s="191"/>
      <c r="K3101" s="191">
        <v>996070.32096729602</v>
      </c>
      <c r="L3101" s="191"/>
      <c r="M3101" s="191"/>
      <c r="N3101" s="191"/>
      <c r="O3101" s="191"/>
      <c r="P3101" s="191"/>
      <c r="Q3101" s="191"/>
      <c r="R3101" s="191"/>
      <c r="S3101" s="191"/>
      <c r="T3101" s="191"/>
      <c r="U3101" s="439"/>
      <c r="V3101" s="441"/>
      <c r="W3101" s="178"/>
      <c r="X3101" s="172"/>
      <c r="Y3101" s="172"/>
      <c r="Z3101" s="172"/>
      <c r="AA3101" s="195"/>
      <c r="AB3101" s="172"/>
    </row>
    <row r="3102" spans="1:28" ht="12.6" customHeight="1" x14ac:dyDescent="0.3">
      <c r="A3102" s="667"/>
      <c r="B3102" s="668" t="s">
        <v>10214</v>
      </c>
      <c r="C3102" s="160" t="s">
        <v>10215</v>
      </c>
      <c r="D3102" s="160"/>
      <c r="E3102" s="439"/>
      <c r="F3102" s="161">
        <v>427.96936522800002</v>
      </c>
      <c r="G3102" s="161"/>
      <c r="H3102" s="654"/>
      <c r="I3102" s="654"/>
      <c r="J3102" s="191"/>
      <c r="K3102" s="191">
        <v>107228.443023627</v>
      </c>
      <c r="L3102" s="191"/>
      <c r="M3102" s="191"/>
      <c r="N3102" s="191"/>
      <c r="O3102" s="191"/>
      <c r="P3102" s="191"/>
      <c r="Q3102" s="191"/>
      <c r="R3102" s="191"/>
      <c r="S3102" s="191"/>
      <c r="T3102" s="191"/>
      <c r="U3102" s="439"/>
      <c r="V3102" s="441"/>
      <c r="W3102" s="178"/>
      <c r="X3102" s="172"/>
      <c r="Y3102" s="172"/>
      <c r="Z3102" s="172"/>
      <c r="AA3102" s="195"/>
      <c r="AB3102" s="172"/>
    </row>
    <row r="3103" spans="1:28" ht="12.6" customHeight="1" x14ac:dyDescent="0.3">
      <c r="A3103" s="667"/>
      <c r="B3103" s="668" t="s">
        <v>10216</v>
      </c>
      <c r="C3103" s="160" t="s">
        <v>10217</v>
      </c>
      <c r="D3103" s="160"/>
      <c r="E3103" s="439"/>
      <c r="F3103" s="161">
        <v>427.96936522800002</v>
      </c>
      <c r="G3103" s="161"/>
      <c r="H3103" s="654"/>
      <c r="I3103" s="654"/>
      <c r="J3103" s="191"/>
      <c r="K3103" s="191">
        <v>107228.443023627</v>
      </c>
      <c r="L3103" s="191"/>
      <c r="M3103" s="191"/>
      <c r="N3103" s="191"/>
      <c r="O3103" s="191"/>
      <c r="P3103" s="191"/>
      <c r="Q3103" s="191"/>
      <c r="R3103" s="191"/>
      <c r="S3103" s="191"/>
      <c r="T3103" s="191"/>
      <c r="U3103" s="439"/>
      <c r="V3103" s="441"/>
      <c r="W3103" s="178"/>
      <c r="X3103" s="172"/>
      <c r="Y3103" s="172"/>
      <c r="Z3103" s="172"/>
      <c r="AA3103" s="195"/>
      <c r="AB3103" s="172"/>
    </row>
    <row r="3104" spans="1:28" ht="12.6" customHeight="1" x14ac:dyDescent="0.3">
      <c r="A3104" s="667"/>
      <c r="B3104" s="668" t="s">
        <v>10218</v>
      </c>
      <c r="C3104" s="160" t="s">
        <v>10219</v>
      </c>
      <c r="D3104" s="160"/>
      <c r="E3104" s="439"/>
      <c r="F3104" s="161">
        <v>377.972558902</v>
      </c>
      <c r="G3104" s="161"/>
      <c r="H3104" s="654"/>
      <c r="I3104" s="654"/>
      <c r="J3104" s="191"/>
      <c r="K3104" s="191">
        <v>2669.6848687424499</v>
      </c>
      <c r="L3104" s="191"/>
      <c r="M3104" s="191"/>
      <c r="N3104" s="191"/>
      <c r="O3104" s="191"/>
      <c r="P3104" s="191"/>
      <c r="Q3104" s="191"/>
      <c r="R3104" s="191"/>
      <c r="S3104" s="191"/>
      <c r="T3104" s="191"/>
      <c r="U3104" s="439"/>
      <c r="V3104" s="441"/>
      <c r="W3104" s="178"/>
      <c r="X3104" s="172"/>
      <c r="Y3104" s="172"/>
      <c r="Z3104" s="172"/>
      <c r="AA3104" s="195"/>
      <c r="AB3104" s="172"/>
    </row>
    <row r="3105" spans="1:28" ht="12.6" customHeight="1" x14ac:dyDescent="0.3">
      <c r="A3105" s="667"/>
      <c r="B3105" s="668" t="s">
        <v>10220</v>
      </c>
      <c r="C3105" s="160" t="s">
        <v>10221</v>
      </c>
      <c r="D3105" s="160"/>
      <c r="E3105" s="439"/>
      <c r="F3105" s="161">
        <v>377.972558902</v>
      </c>
      <c r="G3105" s="161"/>
      <c r="H3105" s="654"/>
      <c r="I3105" s="654"/>
      <c r="J3105" s="191"/>
      <c r="K3105" s="191">
        <v>2669.6848687424499</v>
      </c>
      <c r="L3105" s="191"/>
      <c r="M3105" s="191"/>
      <c r="N3105" s="191"/>
      <c r="O3105" s="191"/>
      <c r="P3105" s="191"/>
      <c r="Q3105" s="191"/>
      <c r="R3105" s="191"/>
      <c r="S3105" s="191"/>
      <c r="T3105" s="191"/>
      <c r="U3105" s="439"/>
      <c r="V3105" s="441"/>
      <c r="W3105" s="178"/>
      <c r="X3105" s="172"/>
      <c r="Y3105" s="172"/>
      <c r="Z3105" s="172"/>
      <c r="AA3105" s="195"/>
      <c r="AB3105" s="172"/>
    </row>
    <row r="3106" spans="1:28" ht="12.6" customHeight="1" x14ac:dyDescent="0.3">
      <c r="A3106" s="667"/>
      <c r="B3106" s="668" t="s">
        <v>10222</v>
      </c>
      <c r="C3106" s="160" t="s">
        <v>10223</v>
      </c>
      <c r="D3106" s="160"/>
      <c r="E3106" s="439"/>
      <c r="F3106" s="161">
        <v>299.98083795600002</v>
      </c>
      <c r="G3106" s="161"/>
      <c r="H3106" s="654"/>
      <c r="I3106" s="654"/>
      <c r="J3106" s="191"/>
      <c r="K3106" s="191">
        <v>3802.4192505522301</v>
      </c>
      <c r="L3106" s="191"/>
      <c r="M3106" s="191"/>
      <c r="N3106" s="191"/>
      <c r="O3106" s="191"/>
      <c r="P3106" s="191"/>
      <c r="Q3106" s="191"/>
      <c r="R3106" s="191"/>
      <c r="S3106" s="191"/>
      <c r="T3106" s="191"/>
      <c r="U3106" s="439"/>
      <c r="V3106" s="441"/>
      <c r="W3106" s="178"/>
      <c r="X3106" s="172"/>
      <c r="Y3106" s="172"/>
      <c r="Z3106" s="172"/>
      <c r="AA3106" s="195"/>
      <c r="AB3106" s="172"/>
    </row>
    <row r="3107" spans="1:28" ht="12.6" customHeight="1" x14ac:dyDescent="0.3">
      <c r="A3107" s="667"/>
      <c r="B3107" s="668" t="s">
        <v>10224</v>
      </c>
      <c r="C3107" s="160" t="s">
        <v>10225</v>
      </c>
      <c r="D3107" s="160"/>
      <c r="E3107" s="439"/>
      <c r="F3107" s="161">
        <v>299.98083795600002</v>
      </c>
      <c r="G3107" s="161"/>
      <c r="H3107" s="654"/>
      <c r="I3107" s="654"/>
      <c r="J3107" s="191"/>
      <c r="K3107" s="191">
        <v>3802.4192505522301</v>
      </c>
      <c r="L3107" s="191"/>
      <c r="M3107" s="191"/>
      <c r="N3107" s="191"/>
      <c r="O3107" s="191"/>
      <c r="P3107" s="191"/>
      <c r="Q3107" s="191"/>
      <c r="R3107" s="191"/>
      <c r="S3107" s="191"/>
      <c r="T3107" s="191"/>
      <c r="U3107" s="439"/>
      <c r="V3107" s="441"/>
      <c r="W3107" s="178"/>
      <c r="X3107" s="172"/>
      <c r="Y3107" s="172"/>
      <c r="Z3107" s="172"/>
      <c r="AA3107" s="195"/>
      <c r="AB3107" s="172"/>
    </row>
    <row r="3108" spans="1:28" ht="12.6" customHeight="1" x14ac:dyDescent="0.3">
      <c r="A3108" s="667"/>
      <c r="B3108" s="668" t="s">
        <v>10226</v>
      </c>
      <c r="C3108" s="160" t="s">
        <v>10227</v>
      </c>
      <c r="D3108" s="160"/>
      <c r="E3108" s="439"/>
      <c r="F3108" s="161">
        <v>407.88690000000003</v>
      </c>
      <c r="G3108" s="161"/>
      <c r="H3108" s="654"/>
      <c r="I3108" s="654"/>
      <c r="J3108" s="191"/>
      <c r="K3108" s="191">
        <v>1670359.68682538</v>
      </c>
      <c r="L3108" s="191"/>
      <c r="M3108" s="191"/>
      <c r="N3108" s="191"/>
      <c r="O3108" s="191"/>
      <c r="P3108" s="191"/>
      <c r="Q3108" s="191"/>
      <c r="R3108" s="191"/>
      <c r="S3108" s="191"/>
      <c r="T3108" s="191"/>
      <c r="U3108" s="439"/>
      <c r="V3108" s="441"/>
      <c r="W3108" s="178"/>
      <c r="X3108" s="172"/>
      <c r="Y3108" s="172"/>
      <c r="Z3108" s="172"/>
      <c r="AA3108" s="195"/>
      <c r="AB3108" s="172"/>
    </row>
    <row r="3109" spans="1:28" ht="12.6" customHeight="1" x14ac:dyDescent="0.3">
      <c r="A3109" s="667"/>
      <c r="B3109" s="668" t="s">
        <v>10228</v>
      </c>
      <c r="C3109" s="160" t="s">
        <v>10229</v>
      </c>
      <c r="D3109" s="160"/>
      <c r="E3109" s="439"/>
      <c r="F3109" s="161">
        <v>407.88690000000003</v>
      </c>
      <c r="G3109" s="161">
        <v>-71.561000000000007</v>
      </c>
      <c r="H3109" s="654">
        <v>5596.3109397999997</v>
      </c>
      <c r="I3109" s="654">
        <v>2.1754035981149999</v>
      </c>
      <c r="J3109" s="191"/>
      <c r="K3109" s="191">
        <v>1670359.68682538</v>
      </c>
      <c r="L3109" s="191"/>
      <c r="M3109" s="191"/>
      <c r="N3109" s="191"/>
      <c r="O3109" s="191"/>
      <c r="P3109" s="191"/>
      <c r="Q3109" s="191"/>
      <c r="R3109" s="191"/>
      <c r="S3109" s="191"/>
      <c r="T3109" s="191"/>
      <c r="U3109" s="439"/>
      <c r="V3109" s="441"/>
      <c r="W3109" s="178"/>
      <c r="X3109" s="172"/>
      <c r="Y3109" s="172"/>
      <c r="Z3109" s="172"/>
      <c r="AA3109" s="195"/>
      <c r="AB3109" s="172"/>
    </row>
    <row r="3110" spans="1:28" ht="12.6" customHeight="1" x14ac:dyDescent="0.3">
      <c r="A3110" s="667"/>
      <c r="B3110" s="668" t="s">
        <v>10230</v>
      </c>
      <c r="C3110" s="160" t="s">
        <v>10231</v>
      </c>
      <c r="D3110" s="160"/>
      <c r="E3110" s="439"/>
      <c r="F3110" s="161">
        <v>399.97445060799998</v>
      </c>
      <c r="G3110" s="161"/>
      <c r="H3110" s="654"/>
      <c r="I3110" s="654"/>
      <c r="J3110" s="191"/>
      <c r="K3110" s="191">
        <v>19682.941422727501</v>
      </c>
      <c r="L3110" s="191"/>
      <c r="M3110" s="191"/>
      <c r="N3110" s="191"/>
      <c r="O3110" s="191"/>
      <c r="P3110" s="191"/>
      <c r="Q3110" s="191"/>
      <c r="R3110" s="191"/>
      <c r="S3110" s="191"/>
      <c r="T3110" s="191"/>
      <c r="U3110" s="439"/>
      <c r="V3110" s="441"/>
      <c r="W3110" s="178"/>
      <c r="X3110" s="172"/>
      <c r="Y3110" s="172"/>
      <c r="Z3110" s="172"/>
      <c r="AA3110" s="195"/>
      <c r="AB3110" s="172"/>
    </row>
    <row r="3111" spans="1:28" ht="12.6" customHeight="1" x14ac:dyDescent="0.3">
      <c r="A3111" s="667"/>
      <c r="B3111" s="668" t="s">
        <v>10232</v>
      </c>
      <c r="C3111" s="160" t="s">
        <v>10233</v>
      </c>
      <c r="D3111" s="160"/>
      <c r="E3111" s="439"/>
      <c r="F3111" s="161">
        <v>399.97445060799998</v>
      </c>
      <c r="G3111" s="161"/>
      <c r="H3111" s="654"/>
      <c r="I3111" s="654"/>
      <c r="J3111" s="191"/>
      <c r="K3111" s="191">
        <v>19682.941422727501</v>
      </c>
      <c r="L3111" s="191"/>
      <c r="M3111" s="191"/>
      <c r="N3111" s="191"/>
      <c r="O3111" s="191"/>
      <c r="P3111" s="191"/>
      <c r="Q3111" s="191"/>
      <c r="R3111" s="191"/>
      <c r="S3111" s="191"/>
      <c r="T3111" s="191"/>
      <c r="U3111" s="439"/>
      <c r="V3111" s="441"/>
      <c r="W3111" s="178"/>
      <c r="X3111" s="172"/>
      <c r="Y3111" s="172"/>
      <c r="Z3111" s="172"/>
      <c r="AA3111" s="195"/>
      <c r="AB3111" s="172"/>
    </row>
    <row r="3112" spans="1:28" ht="12.6" customHeight="1" x14ac:dyDescent="0.3">
      <c r="A3112" s="667"/>
      <c r="B3112" s="668" t="s">
        <v>10234</v>
      </c>
      <c r="C3112" s="160" t="s">
        <v>10235</v>
      </c>
      <c r="D3112" s="160"/>
      <c r="E3112" s="439"/>
      <c r="F3112" s="161">
        <v>349.97764428200003</v>
      </c>
      <c r="G3112" s="161">
        <v>-99.63</v>
      </c>
      <c r="H3112" s="654">
        <v>6544.8836375999999</v>
      </c>
      <c r="I3112" s="654">
        <v>0.72617211389716396</v>
      </c>
      <c r="J3112" s="191"/>
      <c r="K3112" s="191">
        <v>4637.7784688068396</v>
      </c>
      <c r="L3112" s="191"/>
      <c r="M3112" s="191"/>
      <c r="N3112" s="191"/>
      <c r="O3112" s="191"/>
      <c r="P3112" s="191"/>
      <c r="Q3112" s="191"/>
      <c r="R3112" s="191"/>
      <c r="S3112" s="191"/>
      <c r="T3112" s="191"/>
      <c r="U3112" s="439"/>
      <c r="V3112" s="441"/>
      <c r="W3112" s="178"/>
      <c r="X3112" s="172"/>
      <c r="Y3112" s="172"/>
      <c r="Z3112" s="172"/>
      <c r="AA3112" s="195"/>
      <c r="AB3112" s="172"/>
    </row>
    <row r="3113" spans="1:28" ht="12.6" customHeight="1" x14ac:dyDescent="0.3">
      <c r="A3113" s="667"/>
      <c r="B3113" s="668" t="s">
        <v>10236</v>
      </c>
      <c r="C3113" s="160" t="s">
        <v>10237</v>
      </c>
      <c r="D3113" s="160"/>
      <c r="E3113" s="439"/>
      <c r="F3113" s="161">
        <v>349.97764428200003</v>
      </c>
      <c r="G3113" s="161"/>
      <c r="H3113" s="654"/>
      <c r="I3113" s="654"/>
      <c r="J3113" s="191"/>
      <c r="K3113" s="191">
        <v>4637.7784688068396</v>
      </c>
      <c r="L3113" s="191"/>
      <c r="M3113" s="191"/>
      <c r="N3113" s="191"/>
      <c r="O3113" s="191"/>
      <c r="P3113" s="191"/>
      <c r="Q3113" s="191"/>
      <c r="R3113" s="191"/>
      <c r="S3113" s="191"/>
      <c r="T3113" s="191"/>
      <c r="U3113" s="439"/>
      <c r="V3113" s="441"/>
      <c r="W3113" s="178"/>
      <c r="X3113" s="172"/>
      <c r="Y3113" s="172"/>
      <c r="Z3113" s="172"/>
      <c r="AA3113" s="195"/>
      <c r="AB3113" s="172"/>
    </row>
    <row r="3114" spans="1:28" ht="12.6" customHeight="1" x14ac:dyDescent="0.3">
      <c r="A3114" s="667"/>
      <c r="B3114" s="668" t="s">
        <v>10238</v>
      </c>
      <c r="C3114" s="160" t="s">
        <v>10239</v>
      </c>
      <c r="D3114" s="160"/>
      <c r="E3114" s="439"/>
      <c r="F3114" s="161">
        <v>349.97764428200003</v>
      </c>
      <c r="G3114" s="161"/>
      <c r="H3114" s="654"/>
      <c r="I3114" s="654"/>
      <c r="J3114" s="191"/>
      <c r="K3114" s="191">
        <v>2508.1875050071499</v>
      </c>
      <c r="L3114" s="191"/>
      <c r="M3114" s="191"/>
      <c r="N3114" s="191"/>
      <c r="O3114" s="191"/>
      <c r="P3114" s="191"/>
      <c r="Q3114" s="191"/>
      <c r="R3114" s="191"/>
      <c r="S3114" s="191"/>
      <c r="T3114" s="191"/>
      <c r="U3114" s="439"/>
      <c r="V3114" s="441"/>
      <c r="W3114" s="178"/>
      <c r="X3114" s="172"/>
      <c r="Y3114" s="172"/>
      <c r="Z3114" s="172"/>
      <c r="AA3114" s="195"/>
      <c r="AB3114" s="172"/>
    </row>
    <row r="3115" spans="1:28" ht="12.6" customHeight="1" x14ac:dyDescent="0.3">
      <c r="A3115" s="667"/>
      <c r="B3115" s="668" t="s">
        <v>10240</v>
      </c>
      <c r="C3115" s="160" t="s">
        <v>10241</v>
      </c>
      <c r="D3115" s="160"/>
      <c r="E3115" s="439"/>
      <c r="F3115" s="161">
        <v>349.97764428200003</v>
      </c>
      <c r="G3115" s="161"/>
      <c r="H3115" s="654"/>
      <c r="I3115" s="654"/>
      <c r="J3115" s="191"/>
      <c r="K3115" s="191">
        <v>2508.1875050071499</v>
      </c>
      <c r="L3115" s="191"/>
      <c r="M3115" s="191"/>
      <c r="N3115" s="191"/>
      <c r="O3115" s="191"/>
      <c r="P3115" s="191"/>
      <c r="Q3115" s="191"/>
      <c r="R3115" s="191"/>
      <c r="S3115" s="191"/>
      <c r="T3115" s="191"/>
      <c r="U3115" s="439"/>
      <c r="V3115" s="441"/>
      <c r="W3115" s="178"/>
      <c r="X3115" s="172"/>
      <c r="Y3115" s="172"/>
      <c r="Z3115" s="172"/>
      <c r="AA3115" s="195"/>
      <c r="AB3115" s="172"/>
    </row>
    <row r="3116" spans="1:28" ht="12.6" customHeight="1" x14ac:dyDescent="0.3">
      <c r="A3116" s="667"/>
      <c r="B3116" s="668" t="s">
        <v>10242</v>
      </c>
      <c r="C3116" s="160" t="s">
        <v>10243</v>
      </c>
      <c r="D3116" s="160"/>
      <c r="E3116" s="439"/>
      <c r="F3116" s="161">
        <v>299.98083795600002</v>
      </c>
      <c r="G3116" s="161"/>
      <c r="H3116" s="654"/>
      <c r="I3116" s="654"/>
      <c r="J3116" s="191"/>
      <c r="K3116" s="191">
        <v>3580.30479376319</v>
      </c>
      <c r="L3116" s="191"/>
      <c r="M3116" s="191"/>
      <c r="N3116" s="191"/>
      <c r="O3116" s="191"/>
      <c r="P3116" s="191"/>
      <c r="Q3116" s="191"/>
      <c r="R3116" s="191"/>
      <c r="S3116" s="191"/>
      <c r="T3116" s="191"/>
      <c r="U3116" s="439"/>
      <c r="V3116" s="441"/>
      <c r="W3116" s="178"/>
      <c r="X3116" s="172"/>
      <c r="Y3116" s="172"/>
      <c r="Z3116" s="172"/>
      <c r="AA3116" s="195"/>
      <c r="AB3116" s="172"/>
    </row>
    <row r="3117" spans="1:28" ht="12.6" customHeight="1" x14ac:dyDescent="0.3">
      <c r="A3117" s="667"/>
      <c r="B3117" s="668" t="s">
        <v>10244</v>
      </c>
      <c r="C3117" s="160" t="s">
        <v>10245</v>
      </c>
      <c r="D3117" s="160"/>
      <c r="E3117" s="439"/>
      <c r="F3117" s="161">
        <v>299.98083795600002</v>
      </c>
      <c r="G3117" s="161">
        <v>-103.18</v>
      </c>
      <c r="H3117" s="654">
        <v>34825.839551999998</v>
      </c>
      <c r="I3117" s="654">
        <v>5.9305311721387302</v>
      </c>
      <c r="J3117" s="191"/>
      <c r="K3117" s="191">
        <v>3580.30479376319</v>
      </c>
      <c r="L3117" s="191"/>
      <c r="M3117" s="191"/>
      <c r="N3117" s="191"/>
      <c r="O3117" s="191"/>
      <c r="P3117" s="191"/>
      <c r="Q3117" s="191"/>
      <c r="R3117" s="191"/>
      <c r="S3117" s="191"/>
      <c r="T3117" s="191"/>
      <c r="U3117" s="439"/>
      <c r="V3117" s="441"/>
      <c r="W3117" s="178"/>
      <c r="X3117" s="172"/>
      <c r="Y3117" s="172"/>
      <c r="Z3117" s="172"/>
      <c r="AA3117" s="195"/>
      <c r="AB3117" s="172"/>
    </row>
    <row r="3118" spans="1:28" ht="12.6" customHeight="1" x14ac:dyDescent="0.3">
      <c r="A3118" s="667"/>
      <c r="B3118" s="668" t="s">
        <v>10246</v>
      </c>
      <c r="C3118" s="160" t="s">
        <v>10247</v>
      </c>
      <c r="D3118" s="160"/>
      <c r="E3118" s="439"/>
      <c r="F3118" s="161">
        <v>249.98403163</v>
      </c>
      <c r="G3118" s="161">
        <v>-104.863</v>
      </c>
      <c r="H3118" s="654">
        <v>391653.37329999998</v>
      </c>
      <c r="I3118" s="654">
        <v>10.862056158355101</v>
      </c>
      <c r="J3118" s="191"/>
      <c r="K3118" s="191">
        <v>668.59018992952804</v>
      </c>
      <c r="L3118" s="191"/>
      <c r="M3118" s="191"/>
      <c r="N3118" s="191"/>
      <c r="O3118" s="191"/>
      <c r="P3118" s="191"/>
      <c r="Q3118" s="191"/>
      <c r="R3118" s="191"/>
      <c r="S3118" s="191"/>
      <c r="T3118" s="191"/>
      <c r="U3118" s="439"/>
      <c r="V3118" s="441"/>
      <c r="W3118" s="178"/>
      <c r="X3118" s="172"/>
      <c r="Y3118" s="172"/>
      <c r="Z3118" s="172"/>
      <c r="AA3118" s="195"/>
      <c r="AB3118" s="172"/>
    </row>
    <row r="3119" spans="1:28" ht="12.6" customHeight="1" x14ac:dyDescent="0.3">
      <c r="A3119" s="667"/>
      <c r="B3119" s="668" t="s">
        <v>10248</v>
      </c>
      <c r="C3119" s="160" t="s">
        <v>10249</v>
      </c>
      <c r="D3119" s="160"/>
      <c r="E3119" s="439"/>
      <c r="F3119" s="161">
        <v>199.98722530399999</v>
      </c>
      <c r="G3119" s="161">
        <v>-117.70399999999999</v>
      </c>
      <c r="H3119" s="654">
        <v>430428.74377999897</v>
      </c>
      <c r="I3119" s="654">
        <v>28.444783016663798</v>
      </c>
      <c r="J3119" s="191"/>
      <c r="K3119" s="191">
        <v>193.52630290417699</v>
      </c>
      <c r="L3119" s="191"/>
      <c r="M3119" s="191"/>
      <c r="N3119" s="191"/>
      <c r="O3119" s="191"/>
      <c r="P3119" s="191"/>
      <c r="Q3119" s="191"/>
      <c r="R3119" s="191"/>
      <c r="S3119" s="191"/>
      <c r="T3119" s="191"/>
      <c r="U3119" s="439"/>
      <c r="V3119" s="441"/>
      <c r="W3119" s="178"/>
      <c r="X3119" s="172"/>
      <c r="Y3119" s="172"/>
      <c r="Z3119" s="172"/>
      <c r="AA3119" s="195"/>
      <c r="AB3119" s="172"/>
    </row>
    <row r="3120" spans="1:28" ht="12.6" customHeight="1" x14ac:dyDescent="0.3">
      <c r="A3120" s="667"/>
      <c r="B3120" s="668" t="s">
        <v>10250</v>
      </c>
      <c r="C3120" s="160" t="s">
        <v>10251</v>
      </c>
      <c r="D3120" s="160"/>
      <c r="E3120" s="439">
        <v>1.47</v>
      </c>
      <c r="F3120" s="161">
        <v>432.975927775</v>
      </c>
      <c r="G3120" s="161"/>
      <c r="H3120" s="654"/>
      <c r="I3120" s="654"/>
      <c r="J3120" s="191"/>
      <c r="K3120" s="191">
        <v>20843.468965414399</v>
      </c>
      <c r="L3120" s="191"/>
      <c r="M3120" s="191"/>
      <c r="N3120" s="191"/>
      <c r="O3120" s="191"/>
      <c r="P3120" s="191"/>
      <c r="Q3120" s="191"/>
      <c r="R3120" s="191"/>
      <c r="S3120" s="191"/>
      <c r="T3120" s="191"/>
      <c r="U3120" s="439"/>
      <c r="V3120" s="441"/>
      <c r="W3120" s="178"/>
      <c r="X3120" s="172"/>
      <c r="Y3120" s="172"/>
      <c r="Z3120" s="172"/>
      <c r="AA3120" s="195"/>
      <c r="AB3120" s="172"/>
    </row>
    <row r="3121" spans="1:28" ht="12.6" customHeight="1" x14ac:dyDescent="0.3">
      <c r="A3121" s="667"/>
      <c r="B3121" s="668" t="s">
        <v>10252</v>
      </c>
      <c r="C3121" s="160" t="s">
        <v>10253</v>
      </c>
      <c r="D3121" s="160"/>
      <c r="E3121" s="439"/>
      <c r="F3121" s="161">
        <v>277.97894624999998</v>
      </c>
      <c r="G3121" s="161"/>
      <c r="H3121" s="654"/>
      <c r="I3121" s="654"/>
      <c r="J3121" s="191"/>
      <c r="K3121" s="191">
        <v>2665.6308134651199</v>
      </c>
      <c r="L3121" s="191"/>
      <c r="M3121" s="191"/>
      <c r="N3121" s="191"/>
      <c r="O3121" s="191"/>
      <c r="P3121" s="191"/>
      <c r="Q3121" s="191"/>
      <c r="R3121" s="191"/>
      <c r="S3121" s="191"/>
      <c r="T3121" s="191"/>
      <c r="U3121" s="439"/>
      <c r="V3121" s="441"/>
      <c r="W3121" s="178"/>
      <c r="X3121" s="172"/>
      <c r="Y3121" s="172"/>
      <c r="Z3121" s="172"/>
      <c r="AA3121" s="195"/>
      <c r="AB3121" s="172"/>
    </row>
    <row r="3122" spans="1:28" ht="12.6" customHeight="1" x14ac:dyDescent="0.3">
      <c r="A3122" s="667"/>
      <c r="B3122" s="668" t="s">
        <v>10254</v>
      </c>
      <c r="C3122" s="160" t="s">
        <v>10255</v>
      </c>
      <c r="D3122" s="160"/>
      <c r="E3122" s="439"/>
      <c r="F3122" s="161">
        <v>277.97894624999998</v>
      </c>
      <c r="G3122" s="161"/>
      <c r="H3122" s="654"/>
      <c r="I3122" s="654"/>
      <c r="J3122" s="191"/>
      <c r="K3122" s="191">
        <v>2665.6308134651199</v>
      </c>
      <c r="L3122" s="191"/>
      <c r="M3122" s="191"/>
      <c r="N3122" s="191"/>
      <c r="O3122" s="191"/>
      <c r="P3122" s="191"/>
      <c r="Q3122" s="191"/>
      <c r="R3122" s="191"/>
      <c r="S3122" s="191"/>
      <c r="T3122" s="191"/>
      <c r="U3122" s="439"/>
      <c r="V3122" s="441"/>
      <c r="W3122" s="178"/>
      <c r="X3122" s="172"/>
      <c r="Y3122" s="172"/>
      <c r="Z3122" s="172"/>
      <c r="AA3122" s="195"/>
      <c r="AB3122" s="172"/>
    </row>
    <row r="3123" spans="1:28" ht="12.6" customHeight="1" x14ac:dyDescent="0.3">
      <c r="A3123" s="667"/>
      <c r="B3123" s="668" t="s">
        <v>10256</v>
      </c>
      <c r="C3123" s="160" t="s">
        <v>10257</v>
      </c>
      <c r="D3123" s="160"/>
      <c r="E3123" s="439">
        <v>8.36</v>
      </c>
      <c r="F3123" s="161">
        <v>597.88480400000003</v>
      </c>
      <c r="G3123" s="161">
        <v>-64.823999999999998</v>
      </c>
      <c r="H3123" s="654">
        <v>226.93537551999901</v>
      </c>
      <c r="I3123" s="654"/>
      <c r="J3123" s="191"/>
      <c r="K3123" s="191">
        <v>273325.40481544699</v>
      </c>
      <c r="L3123" s="191"/>
      <c r="M3123" s="191"/>
      <c r="N3123" s="191"/>
      <c r="O3123" s="191"/>
      <c r="P3123" s="191"/>
      <c r="Q3123" s="191"/>
      <c r="R3123" s="191"/>
      <c r="S3123" s="191"/>
      <c r="T3123" s="191"/>
      <c r="U3123" s="439"/>
      <c r="V3123" s="441"/>
      <c r="W3123" s="178"/>
      <c r="X3123" s="172"/>
      <c r="Y3123" s="172"/>
      <c r="Z3123" s="172"/>
      <c r="AA3123" s="195"/>
      <c r="AB3123" s="172"/>
    </row>
    <row r="3124" spans="1:28" ht="12.6" customHeight="1" x14ac:dyDescent="0.3">
      <c r="A3124" s="667"/>
      <c r="B3124" s="668" t="s">
        <v>10258</v>
      </c>
      <c r="C3124" s="160" t="s">
        <v>10259</v>
      </c>
      <c r="D3124" s="160"/>
      <c r="E3124" s="439">
        <v>5</v>
      </c>
      <c r="F3124" s="161">
        <v>820.95037838300004</v>
      </c>
      <c r="G3124" s="161">
        <v>-19.690000000000001</v>
      </c>
      <c r="H3124" s="654">
        <v>87.277380792000002</v>
      </c>
      <c r="I3124" s="654"/>
      <c r="J3124" s="191"/>
      <c r="K3124" s="191">
        <v>274226.86577355198</v>
      </c>
      <c r="L3124" s="191"/>
      <c r="M3124" s="191"/>
      <c r="N3124" s="191"/>
      <c r="O3124" s="191"/>
      <c r="P3124" s="191"/>
      <c r="Q3124" s="191"/>
      <c r="R3124" s="191"/>
      <c r="S3124" s="191"/>
      <c r="T3124" s="191"/>
      <c r="U3124" s="439"/>
      <c r="V3124" s="441"/>
      <c r="W3124" s="178"/>
      <c r="X3124" s="172"/>
      <c r="Y3124" s="172"/>
      <c r="Z3124" s="172"/>
      <c r="AA3124" s="195"/>
      <c r="AB3124" s="172"/>
    </row>
    <row r="3125" spans="1:28" ht="12.6" customHeight="1" x14ac:dyDescent="0.3">
      <c r="A3125" s="667"/>
      <c r="B3125" s="668" t="s">
        <v>10260</v>
      </c>
      <c r="C3125" s="160" t="s">
        <v>10261</v>
      </c>
      <c r="D3125" s="160"/>
      <c r="E3125" s="439"/>
      <c r="F3125" s="161">
        <v>337.97764428200003</v>
      </c>
      <c r="G3125" s="161">
        <v>-95.694000000000003</v>
      </c>
      <c r="H3125" s="654">
        <v>18361.239162000002</v>
      </c>
      <c r="I3125" s="654">
        <v>7.6539769234678801</v>
      </c>
      <c r="J3125" s="191"/>
      <c r="K3125" s="191">
        <v>5685.6484071741797</v>
      </c>
      <c r="L3125" s="191"/>
      <c r="M3125" s="191"/>
      <c r="N3125" s="191"/>
      <c r="O3125" s="191"/>
      <c r="P3125" s="191"/>
      <c r="Q3125" s="191"/>
      <c r="R3125" s="191"/>
      <c r="S3125" s="191"/>
      <c r="T3125" s="191"/>
      <c r="U3125" s="439"/>
      <c r="V3125" s="441"/>
      <c r="W3125" s="178"/>
      <c r="X3125" s="172"/>
      <c r="Y3125" s="172"/>
      <c r="Z3125" s="172"/>
      <c r="AA3125" s="195"/>
      <c r="AB3125" s="172"/>
    </row>
    <row r="3126" spans="1:28" ht="12.6" customHeight="1" x14ac:dyDescent="0.3">
      <c r="A3126" s="667"/>
      <c r="B3126" s="668" t="s">
        <v>10262</v>
      </c>
      <c r="C3126" s="160" t="s">
        <v>10263</v>
      </c>
      <c r="D3126" s="160"/>
      <c r="E3126" s="439"/>
      <c r="F3126" s="161">
        <v>293.94939579999999</v>
      </c>
      <c r="G3126" s="161"/>
      <c r="H3126" s="654"/>
      <c r="I3126" s="654"/>
      <c r="J3126" s="191"/>
      <c r="K3126" s="191">
        <v>39540.303635655902</v>
      </c>
      <c r="L3126" s="191"/>
      <c r="M3126" s="191"/>
      <c r="N3126" s="191"/>
      <c r="O3126" s="191"/>
      <c r="P3126" s="191"/>
      <c r="Q3126" s="191"/>
      <c r="R3126" s="191"/>
      <c r="S3126" s="191"/>
      <c r="T3126" s="191"/>
      <c r="U3126" s="439"/>
      <c r="V3126" s="441"/>
      <c r="W3126" s="178"/>
      <c r="X3126" s="172"/>
      <c r="Y3126" s="172"/>
      <c r="Z3126" s="172"/>
      <c r="AA3126" s="195"/>
      <c r="AB3126" s="172"/>
    </row>
    <row r="3127" spans="1:28" ht="12.6" customHeight="1" x14ac:dyDescent="0.3">
      <c r="A3127" s="667"/>
      <c r="B3127" s="668" t="s">
        <v>10264</v>
      </c>
      <c r="C3127" s="160" t="s">
        <v>10265</v>
      </c>
      <c r="D3127" s="160"/>
      <c r="E3127" s="439"/>
      <c r="F3127" s="161">
        <v>319.98706615100002</v>
      </c>
      <c r="G3127" s="161">
        <v>-97.715999999999994</v>
      </c>
      <c r="H3127" s="654">
        <v>6293.6383286</v>
      </c>
      <c r="I3127" s="654">
        <v>2.3395502355857598</v>
      </c>
      <c r="J3127" s="191"/>
      <c r="K3127" s="191">
        <v>4566.46359823287</v>
      </c>
      <c r="L3127" s="191"/>
      <c r="M3127" s="191"/>
      <c r="N3127" s="191"/>
      <c r="O3127" s="191"/>
      <c r="P3127" s="191"/>
      <c r="Q3127" s="191"/>
      <c r="R3127" s="191"/>
      <c r="S3127" s="191"/>
      <c r="T3127" s="191"/>
      <c r="U3127" s="439"/>
      <c r="V3127" s="441"/>
      <c r="W3127" s="178"/>
      <c r="X3127" s="172"/>
      <c r="Y3127" s="172"/>
      <c r="Z3127" s="172"/>
      <c r="AA3127" s="195"/>
      <c r="AB3127" s="172"/>
    </row>
    <row r="3128" spans="1:28" ht="12.6" customHeight="1" x14ac:dyDescent="0.3">
      <c r="A3128" s="667"/>
      <c r="B3128" s="668" t="s">
        <v>10266</v>
      </c>
      <c r="C3128" s="160" t="s">
        <v>10267</v>
      </c>
      <c r="D3128" s="160"/>
      <c r="E3128" s="439"/>
      <c r="F3128" s="161">
        <v>357.82390099999998</v>
      </c>
      <c r="G3128" s="161">
        <v>-45.093000000000004</v>
      </c>
      <c r="H3128" s="654">
        <v>6821.8467603999998</v>
      </c>
      <c r="I3128" s="654">
        <v>1.03435439414268</v>
      </c>
      <c r="J3128" s="191"/>
      <c r="K3128" s="191">
        <v>8960.6600221654608</v>
      </c>
      <c r="L3128" s="191"/>
      <c r="M3128" s="191"/>
      <c r="N3128" s="191"/>
      <c r="O3128" s="191"/>
      <c r="P3128" s="191"/>
      <c r="Q3128" s="191"/>
      <c r="R3128" s="191"/>
      <c r="S3128" s="191"/>
      <c r="T3128" s="191"/>
      <c r="U3128" s="439"/>
      <c r="V3128" s="441"/>
      <c r="W3128" s="178"/>
      <c r="X3128" s="172"/>
      <c r="Y3128" s="172"/>
      <c r="Z3128" s="172"/>
      <c r="AA3128" s="195"/>
      <c r="AB3128" s="172"/>
    </row>
    <row r="3129" spans="1:28" ht="12.6" customHeight="1" x14ac:dyDescent="0.3">
      <c r="A3129" s="667"/>
      <c r="B3129" s="668" t="s">
        <v>10268</v>
      </c>
      <c r="C3129" s="160" t="s">
        <v>10269</v>
      </c>
      <c r="D3129" s="160"/>
      <c r="E3129" s="439"/>
      <c r="F3129" s="161">
        <v>457.81751400000002</v>
      </c>
      <c r="G3129" s="161">
        <v>-27.802</v>
      </c>
      <c r="H3129" s="654">
        <v>1145.25464508</v>
      </c>
      <c r="I3129" s="654">
        <v>2.5158949446107401</v>
      </c>
      <c r="J3129" s="191"/>
      <c r="K3129" s="191">
        <v>102061.042474352</v>
      </c>
      <c r="L3129" s="191"/>
      <c r="M3129" s="191"/>
      <c r="N3129" s="191"/>
      <c r="O3129" s="191"/>
      <c r="P3129" s="191"/>
      <c r="Q3129" s="191"/>
      <c r="R3129" s="191"/>
      <c r="S3129" s="191"/>
      <c r="T3129" s="191"/>
      <c r="U3129" s="439"/>
      <c r="V3129" s="441"/>
      <c r="W3129" s="178"/>
      <c r="X3129" s="172"/>
      <c r="Y3129" s="172"/>
      <c r="Z3129" s="172"/>
      <c r="AA3129" s="195"/>
      <c r="AB3129" s="172"/>
    </row>
    <row r="3130" spans="1:28" ht="12.6" customHeight="1" x14ac:dyDescent="0.3">
      <c r="A3130" s="667"/>
      <c r="B3130" s="668" t="s">
        <v>10270</v>
      </c>
      <c r="C3130" s="160" t="s">
        <v>10271</v>
      </c>
      <c r="D3130" s="160"/>
      <c r="E3130" s="439"/>
      <c r="F3130" s="161">
        <v>661.95848223799999</v>
      </c>
      <c r="G3130" s="161"/>
      <c r="H3130" s="654"/>
      <c r="I3130" s="654"/>
      <c r="J3130" s="191"/>
      <c r="K3130" s="191">
        <v>558753169.93593395</v>
      </c>
      <c r="L3130" s="191"/>
      <c r="M3130" s="191"/>
      <c r="N3130" s="191"/>
      <c r="O3130" s="191"/>
      <c r="P3130" s="191"/>
      <c r="Q3130" s="191"/>
      <c r="R3130" s="191"/>
      <c r="S3130" s="191"/>
      <c r="T3130" s="191"/>
      <c r="U3130" s="439"/>
      <c r="V3130" s="441"/>
      <c r="W3130" s="178"/>
      <c r="X3130" s="172"/>
      <c r="Y3130" s="172"/>
      <c r="Z3130" s="172"/>
      <c r="AA3130" s="195"/>
      <c r="AB3130" s="172"/>
    </row>
    <row r="3131" spans="1:28" ht="12.6" customHeight="1" x14ac:dyDescent="0.3">
      <c r="A3131" s="667"/>
      <c r="B3131" s="668" t="s">
        <v>10272</v>
      </c>
      <c r="C3131" s="160" t="s">
        <v>10273</v>
      </c>
      <c r="D3131" s="160"/>
      <c r="E3131" s="439"/>
      <c r="F3131" s="161">
        <v>773.95209489000001</v>
      </c>
      <c r="G3131" s="161"/>
      <c r="H3131" s="654"/>
      <c r="I3131" s="654"/>
      <c r="J3131" s="191"/>
      <c r="K3131" s="191">
        <v>1038843196.78102</v>
      </c>
      <c r="L3131" s="191"/>
      <c r="M3131" s="191"/>
      <c r="N3131" s="191"/>
      <c r="O3131" s="191"/>
      <c r="P3131" s="191"/>
      <c r="Q3131" s="191"/>
      <c r="R3131" s="191"/>
      <c r="S3131" s="191"/>
      <c r="T3131" s="191"/>
      <c r="U3131" s="439"/>
      <c r="V3131" s="441"/>
      <c r="W3131" s="178"/>
      <c r="X3131" s="172"/>
      <c r="Y3131" s="172"/>
      <c r="Z3131" s="172"/>
      <c r="AA3131" s="195"/>
      <c r="AB3131" s="172"/>
    </row>
    <row r="3132" spans="1:28" ht="12.6" customHeight="1" x14ac:dyDescent="0.3">
      <c r="A3132" s="667"/>
      <c r="B3132" s="668" t="s">
        <v>10274</v>
      </c>
      <c r="C3132" s="160" t="s">
        <v>10275</v>
      </c>
      <c r="D3132" s="160"/>
      <c r="E3132" s="439"/>
      <c r="F3132" s="161">
        <v>773.95209489000001</v>
      </c>
      <c r="G3132" s="161"/>
      <c r="H3132" s="654"/>
      <c r="I3132" s="654"/>
      <c r="J3132" s="191"/>
      <c r="K3132" s="191">
        <v>1042773533.82612</v>
      </c>
      <c r="L3132" s="191"/>
      <c r="M3132" s="191"/>
      <c r="N3132" s="191"/>
      <c r="O3132" s="191"/>
      <c r="P3132" s="191"/>
      <c r="Q3132" s="191"/>
      <c r="R3132" s="191"/>
      <c r="S3132" s="191"/>
      <c r="T3132" s="191"/>
      <c r="U3132" s="439"/>
      <c r="V3132" s="441"/>
      <c r="W3132" s="178"/>
      <c r="X3132" s="172"/>
      <c r="Y3132" s="172"/>
      <c r="Z3132" s="172"/>
      <c r="AA3132" s="195"/>
      <c r="AB3132" s="172"/>
    </row>
    <row r="3133" spans="1:28" ht="12.6" customHeight="1" x14ac:dyDescent="0.3">
      <c r="A3133" s="667"/>
      <c r="B3133" s="668" t="s">
        <v>10276</v>
      </c>
      <c r="C3133" s="160" t="s">
        <v>10277</v>
      </c>
      <c r="D3133" s="160"/>
      <c r="E3133" s="439"/>
      <c r="F3133" s="161">
        <v>469.91215599999998</v>
      </c>
      <c r="G3133" s="161">
        <v>-53.73</v>
      </c>
      <c r="H3133" s="654">
        <v>167.84306545999999</v>
      </c>
      <c r="I3133" s="654"/>
      <c r="J3133" s="191"/>
      <c r="K3133" s="191">
        <v>110812.818193039</v>
      </c>
      <c r="L3133" s="191"/>
      <c r="M3133" s="191"/>
      <c r="N3133" s="191"/>
      <c r="O3133" s="191"/>
      <c r="P3133" s="191"/>
      <c r="Q3133" s="191"/>
      <c r="R3133" s="191"/>
      <c r="S3133" s="191"/>
      <c r="T3133" s="191"/>
      <c r="U3133" s="439"/>
      <c r="V3133" s="441"/>
      <c r="W3133" s="178"/>
      <c r="X3133" s="172"/>
      <c r="Y3133" s="172"/>
      <c r="Z3133" s="172"/>
      <c r="AA3133" s="195"/>
      <c r="AB3133" s="172"/>
    </row>
    <row r="3134" spans="1:28" ht="12.6" customHeight="1" x14ac:dyDescent="0.3">
      <c r="A3134" s="667"/>
      <c r="B3134" s="668" t="s">
        <v>10278</v>
      </c>
      <c r="C3134" s="160" t="s">
        <v>10279</v>
      </c>
      <c r="D3134" s="160"/>
      <c r="E3134" s="439">
        <v>4.0730000000000004</v>
      </c>
      <c r="F3134" s="161">
        <v>269.9249307</v>
      </c>
      <c r="G3134" s="161">
        <v>-56.533000000000001</v>
      </c>
      <c r="H3134" s="654">
        <v>19006.517641999999</v>
      </c>
      <c r="I3134" s="654">
        <v>3.12062911631577</v>
      </c>
      <c r="J3134" s="191"/>
      <c r="K3134" s="191">
        <v>5295.4149841666704</v>
      </c>
      <c r="L3134" s="191"/>
      <c r="M3134" s="191"/>
      <c r="N3134" s="191"/>
      <c r="O3134" s="191"/>
      <c r="P3134" s="191"/>
      <c r="Q3134" s="191"/>
      <c r="R3134" s="191"/>
      <c r="S3134" s="191"/>
      <c r="T3134" s="191"/>
      <c r="U3134" s="439"/>
      <c r="V3134" s="441"/>
      <c r="W3134" s="178"/>
      <c r="X3134" s="172"/>
      <c r="Y3134" s="172"/>
      <c r="Z3134" s="172"/>
      <c r="AA3134" s="195"/>
      <c r="AB3134" s="172"/>
    </row>
    <row r="3135" spans="1:28" ht="12.6" customHeight="1" x14ac:dyDescent="0.3">
      <c r="A3135" s="667"/>
      <c r="B3135" s="668" t="s">
        <v>10280</v>
      </c>
      <c r="C3135" s="160" t="s">
        <v>10281</v>
      </c>
      <c r="D3135" s="160"/>
      <c r="E3135" s="439"/>
      <c r="F3135" s="161">
        <v>219.9281244</v>
      </c>
      <c r="G3135" s="161">
        <v>-63.424999999999997</v>
      </c>
      <c r="H3135" s="654">
        <v>38097.961397999999</v>
      </c>
      <c r="I3135" s="654">
        <v>35.915362355142001</v>
      </c>
      <c r="J3135" s="191"/>
      <c r="K3135" s="191">
        <v>1291.63558062586</v>
      </c>
      <c r="L3135" s="191"/>
      <c r="M3135" s="191"/>
      <c r="N3135" s="191"/>
      <c r="O3135" s="191"/>
      <c r="P3135" s="191"/>
      <c r="Q3135" s="191"/>
      <c r="R3135" s="191"/>
      <c r="S3135" s="191"/>
      <c r="T3135" s="191"/>
      <c r="U3135" s="439"/>
      <c r="V3135" s="441"/>
      <c r="W3135" s="178"/>
      <c r="X3135" s="172"/>
      <c r="Y3135" s="172"/>
      <c r="Z3135" s="172"/>
      <c r="AA3135" s="195"/>
      <c r="AB3135" s="172"/>
    </row>
    <row r="3136" spans="1:28" ht="12.6" customHeight="1" x14ac:dyDescent="0.3">
      <c r="A3136" s="667"/>
      <c r="B3136" s="668" t="s">
        <v>10282</v>
      </c>
      <c r="C3136" s="160" t="s">
        <v>10283</v>
      </c>
      <c r="D3136" s="160"/>
      <c r="E3136" s="439"/>
      <c r="F3136" s="161">
        <v>299.98083795600002</v>
      </c>
      <c r="G3136" s="161"/>
      <c r="H3136" s="654"/>
      <c r="I3136" s="654"/>
      <c r="J3136" s="191"/>
      <c r="K3136" s="191">
        <v>65997.882241093306</v>
      </c>
      <c r="L3136" s="191"/>
      <c r="M3136" s="191"/>
      <c r="N3136" s="191"/>
      <c r="O3136" s="191"/>
      <c r="P3136" s="191"/>
      <c r="Q3136" s="191"/>
      <c r="R3136" s="191"/>
      <c r="S3136" s="191"/>
      <c r="T3136" s="191"/>
      <c r="U3136" s="439"/>
      <c r="V3136" s="441"/>
      <c r="W3136" s="178"/>
      <c r="X3136" s="172"/>
      <c r="Y3136" s="172"/>
      <c r="Z3136" s="172"/>
      <c r="AA3136" s="195"/>
      <c r="AB3136" s="172"/>
    </row>
    <row r="3137" spans="1:28" ht="12.6" customHeight="1" x14ac:dyDescent="0.3">
      <c r="A3137" s="667"/>
      <c r="B3137" s="668" t="s">
        <v>10284</v>
      </c>
      <c r="C3137" s="160" t="s">
        <v>10285</v>
      </c>
      <c r="D3137" s="160"/>
      <c r="E3137" s="439"/>
      <c r="F3137" s="161">
        <v>299.98083795600002</v>
      </c>
      <c r="G3137" s="161"/>
      <c r="H3137" s="654"/>
      <c r="I3137" s="654"/>
      <c r="J3137" s="191"/>
      <c r="K3137" s="191">
        <v>65997.882241093306</v>
      </c>
      <c r="L3137" s="191"/>
      <c r="M3137" s="191"/>
      <c r="N3137" s="191"/>
      <c r="O3137" s="191"/>
      <c r="P3137" s="191"/>
      <c r="Q3137" s="191"/>
      <c r="R3137" s="191"/>
      <c r="S3137" s="191"/>
      <c r="T3137" s="191"/>
      <c r="U3137" s="439"/>
      <c r="V3137" s="441"/>
      <c r="W3137" s="178"/>
      <c r="X3137" s="172"/>
      <c r="Y3137" s="172"/>
      <c r="Z3137" s="172"/>
      <c r="AA3137" s="195"/>
      <c r="AB3137" s="172"/>
    </row>
    <row r="3138" spans="1:28" ht="12.6" customHeight="1" x14ac:dyDescent="0.3">
      <c r="A3138" s="667"/>
      <c r="B3138" s="668" t="s">
        <v>10286</v>
      </c>
      <c r="C3138" s="160" t="s">
        <v>10287</v>
      </c>
      <c r="D3138" s="160"/>
      <c r="E3138" s="439"/>
      <c r="F3138" s="161">
        <v>449.971256934</v>
      </c>
      <c r="G3138" s="161"/>
      <c r="H3138" s="654"/>
      <c r="I3138" s="654"/>
      <c r="J3138" s="191"/>
      <c r="K3138" s="191">
        <v>144727.14667889301</v>
      </c>
      <c r="L3138" s="191"/>
      <c r="M3138" s="191"/>
      <c r="N3138" s="191"/>
      <c r="O3138" s="191"/>
      <c r="P3138" s="191"/>
      <c r="Q3138" s="191"/>
      <c r="R3138" s="191"/>
      <c r="S3138" s="191"/>
      <c r="T3138" s="191"/>
      <c r="U3138" s="439"/>
      <c r="V3138" s="441"/>
      <c r="W3138" s="178"/>
      <c r="X3138" s="172"/>
      <c r="Y3138" s="172"/>
      <c r="Z3138" s="172"/>
      <c r="AA3138" s="195"/>
      <c r="AB3138" s="172"/>
    </row>
    <row r="3139" spans="1:28" ht="12.6" customHeight="1" x14ac:dyDescent="0.3">
      <c r="A3139" s="667"/>
      <c r="B3139" s="668" t="s">
        <v>10288</v>
      </c>
      <c r="C3139" s="160" t="s">
        <v>10289</v>
      </c>
      <c r="D3139" s="160"/>
      <c r="E3139" s="439"/>
      <c r="F3139" s="161">
        <v>315.97575257599999</v>
      </c>
      <c r="G3139" s="161"/>
      <c r="H3139" s="654"/>
      <c r="I3139" s="654"/>
      <c r="J3139" s="191"/>
      <c r="K3139" s="191">
        <v>1954.06947245176</v>
      </c>
      <c r="L3139" s="191"/>
      <c r="M3139" s="191"/>
      <c r="N3139" s="191"/>
      <c r="O3139" s="191"/>
      <c r="P3139" s="191"/>
      <c r="Q3139" s="191"/>
      <c r="R3139" s="191"/>
      <c r="S3139" s="191"/>
      <c r="T3139" s="191"/>
      <c r="U3139" s="439"/>
      <c r="V3139" s="441"/>
      <c r="W3139" s="178"/>
      <c r="X3139" s="172"/>
      <c r="Y3139" s="172"/>
      <c r="Z3139" s="172"/>
      <c r="AA3139" s="195"/>
      <c r="AB3139" s="172"/>
    </row>
    <row r="3140" spans="1:28" ht="12.6" customHeight="1" x14ac:dyDescent="0.3">
      <c r="A3140" s="667"/>
      <c r="B3140" s="668" t="s">
        <v>10290</v>
      </c>
      <c r="C3140" s="160" t="s">
        <v>10291</v>
      </c>
      <c r="D3140" s="160"/>
      <c r="E3140" s="439">
        <v>28.204000000000001</v>
      </c>
      <c r="F3140" s="161">
        <v>265.97894624999998</v>
      </c>
      <c r="G3140" s="161">
        <v>-90.801000000000002</v>
      </c>
      <c r="H3140" s="654">
        <v>84120.449154000002</v>
      </c>
      <c r="I3140" s="654">
        <v>53.684392574261203</v>
      </c>
      <c r="J3140" s="191"/>
      <c r="K3140" s="191">
        <v>533.00342531088597</v>
      </c>
      <c r="L3140" s="191"/>
      <c r="M3140" s="191"/>
      <c r="N3140" s="191"/>
      <c r="O3140" s="191"/>
      <c r="P3140" s="191"/>
      <c r="Q3140" s="191"/>
      <c r="R3140" s="191"/>
      <c r="S3140" s="191"/>
      <c r="T3140" s="191"/>
      <c r="U3140" s="439"/>
      <c r="V3140" s="441"/>
      <c r="W3140" s="178"/>
      <c r="X3140" s="172"/>
      <c r="Y3140" s="172"/>
      <c r="Z3140" s="172"/>
      <c r="AA3140" s="195"/>
      <c r="AB3140" s="172"/>
    </row>
    <row r="3141" spans="1:28" ht="12.6" customHeight="1" x14ac:dyDescent="0.3">
      <c r="A3141" s="667"/>
      <c r="B3141" s="668" t="s">
        <v>10292</v>
      </c>
      <c r="C3141" s="160" t="s">
        <v>10293</v>
      </c>
      <c r="D3141" s="160"/>
      <c r="E3141" s="439"/>
      <c r="F3141" s="161">
        <v>315.97575257599999</v>
      </c>
      <c r="G3141" s="161">
        <v>-96.331999999999994</v>
      </c>
      <c r="H3141" s="654">
        <v>12413.7180776</v>
      </c>
      <c r="I3141" s="654">
        <v>25.683488694210201</v>
      </c>
      <c r="J3141" s="191"/>
      <c r="K3141" s="191">
        <v>1990.1691964125</v>
      </c>
      <c r="L3141" s="191"/>
      <c r="M3141" s="191"/>
      <c r="N3141" s="191"/>
      <c r="O3141" s="191"/>
      <c r="P3141" s="191"/>
      <c r="Q3141" s="191"/>
      <c r="R3141" s="191"/>
      <c r="S3141" s="191"/>
      <c r="T3141" s="191"/>
      <c r="U3141" s="439"/>
      <c r="V3141" s="441"/>
      <c r="W3141" s="178"/>
      <c r="X3141" s="172"/>
      <c r="Y3141" s="172"/>
      <c r="Z3141" s="172"/>
      <c r="AA3141" s="195"/>
      <c r="AB3141" s="172"/>
    </row>
    <row r="3142" spans="1:28" ht="12.6" customHeight="1" x14ac:dyDescent="0.3">
      <c r="A3142" s="667"/>
      <c r="B3142" s="668" t="s">
        <v>10294</v>
      </c>
      <c r="C3142" s="160" t="s">
        <v>10295</v>
      </c>
      <c r="D3142" s="160"/>
      <c r="E3142" s="439"/>
      <c r="F3142" s="161">
        <v>487.96806326000001</v>
      </c>
      <c r="G3142" s="161">
        <v>-132.114</v>
      </c>
      <c r="H3142" s="654">
        <v>36889.397468000003</v>
      </c>
      <c r="I3142" s="654"/>
      <c r="J3142" s="191"/>
      <c r="K3142" s="191">
        <v>157267.868246617</v>
      </c>
      <c r="L3142" s="191"/>
      <c r="M3142" s="191"/>
      <c r="N3142" s="191"/>
      <c r="O3142" s="191"/>
      <c r="P3142" s="191"/>
      <c r="Q3142" s="191"/>
      <c r="R3142" s="191"/>
      <c r="S3142" s="191"/>
      <c r="T3142" s="191"/>
      <c r="U3142" s="439"/>
      <c r="V3142" s="441"/>
      <c r="W3142" s="178"/>
      <c r="X3142" s="172"/>
      <c r="Y3142" s="172"/>
      <c r="Z3142" s="172"/>
      <c r="AA3142" s="195"/>
      <c r="AB3142" s="172"/>
    </row>
    <row r="3143" spans="1:28" ht="12.6" customHeight="1" x14ac:dyDescent="0.3">
      <c r="A3143" s="667"/>
      <c r="B3143" s="668" t="s">
        <v>10296</v>
      </c>
      <c r="C3143" s="160" t="s">
        <v>10297</v>
      </c>
      <c r="D3143" s="160"/>
      <c r="E3143" s="439"/>
      <c r="F3143" s="161">
        <v>537.96486958599996</v>
      </c>
      <c r="G3143" s="161"/>
      <c r="H3143" s="654"/>
      <c r="I3143" s="654"/>
      <c r="J3143" s="191"/>
      <c r="K3143" s="191">
        <v>176953.843456987</v>
      </c>
      <c r="L3143" s="191"/>
      <c r="M3143" s="191"/>
      <c r="N3143" s="191"/>
      <c r="O3143" s="191"/>
      <c r="P3143" s="191"/>
      <c r="Q3143" s="191"/>
      <c r="R3143" s="191"/>
      <c r="S3143" s="191"/>
      <c r="T3143" s="191"/>
      <c r="U3143" s="439"/>
      <c r="V3143" s="441"/>
      <c r="W3143" s="178"/>
      <c r="X3143" s="172"/>
      <c r="Y3143" s="172"/>
      <c r="Z3143" s="172"/>
      <c r="AA3143" s="195"/>
      <c r="AB3143" s="172"/>
    </row>
    <row r="3144" spans="1:28" ht="12.6" customHeight="1" x14ac:dyDescent="0.3">
      <c r="A3144" s="667"/>
      <c r="B3144" s="668" t="s">
        <v>10298</v>
      </c>
      <c r="C3144" s="160" t="s">
        <v>10299</v>
      </c>
      <c r="D3144" s="160"/>
      <c r="E3144" s="439"/>
      <c r="F3144" s="161">
        <v>287.98083795600002</v>
      </c>
      <c r="G3144" s="161">
        <v>-107.694</v>
      </c>
      <c r="H3144" s="654">
        <v>235994.60541999899</v>
      </c>
      <c r="I3144" s="654">
        <v>14.6677568176967</v>
      </c>
      <c r="J3144" s="191"/>
      <c r="K3144" s="191">
        <v>1315.2551167118199</v>
      </c>
      <c r="L3144" s="191"/>
      <c r="M3144" s="191"/>
      <c r="N3144" s="191"/>
      <c r="O3144" s="191"/>
      <c r="P3144" s="191"/>
      <c r="Q3144" s="191"/>
      <c r="R3144" s="191"/>
      <c r="S3144" s="191"/>
      <c r="T3144" s="191"/>
      <c r="U3144" s="439"/>
      <c r="V3144" s="441"/>
      <c r="W3144" s="178"/>
      <c r="X3144" s="172"/>
      <c r="Y3144" s="172"/>
      <c r="Z3144" s="172"/>
      <c r="AA3144" s="195"/>
      <c r="AB3144" s="172"/>
    </row>
    <row r="3145" spans="1:28" ht="12.6" customHeight="1" x14ac:dyDescent="0.3">
      <c r="A3145" s="667"/>
      <c r="B3145" s="668" t="s">
        <v>10300</v>
      </c>
      <c r="C3145" s="160" t="s">
        <v>10301</v>
      </c>
      <c r="D3145" s="160"/>
      <c r="E3145" s="439"/>
      <c r="F3145" s="161">
        <v>499.96806326000001</v>
      </c>
      <c r="G3145" s="161">
        <v>-52.587000000000003</v>
      </c>
      <c r="H3145" s="654">
        <v>2740.9536658000002</v>
      </c>
      <c r="I3145" s="654">
        <v>0.160672736617613</v>
      </c>
      <c r="J3145" s="191"/>
      <c r="K3145" s="191">
        <v>218871895.97347</v>
      </c>
      <c r="L3145" s="191"/>
      <c r="M3145" s="191"/>
      <c r="N3145" s="191"/>
      <c r="O3145" s="191"/>
      <c r="P3145" s="191"/>
      <c r="Q3145" s="191"/>
      <c r="R3145" s="191"/>
      <c r="S3145" s="191"/>
      <c r="T3145" s="191"/>
      <c r="U3145" s="439"/>
      <c r="V3145" s="441"/>
      <c r="W3145" s="178"/>
      <c r="X3145" s="172"/>
      <c r="Y3145" s="172"/>
      <c r="Z3145" s="172"/>
      <c r="AA3145" s="195"/>
      <c r="AB3145" s="172"/>
    </row>
    <row r="3146" spans="1:28" ht="12.6" customHeight="1" x14ac:dyDescent="0.3">
      <c r="A3146" s="667"/>
      <c r="B3146" s="668" t="s">
        <v>10302</v>
      </c>
      <c r="C3146" s="160" t="s">
        <v>10303</v>
      </c>
      <c r="D3146" s="160"/>
      <c r="E3146" s="439"/>
      <c r="F3146" s="161">
        <v>661.95848223799999</v>
      </c>
      <c r="G3146" s="161"/>
      <c r="H3146" s="654"/>
      <c r="I3146" s="654"/>
      <c r="J3146" s="191"/>
      <c r="K3146" s="191">
        <v>912998365.42206204</v>
      </c>
      <c r="L3146" s="191"/>
      <c r="M3146" s="191"/>
      <c r="N3146" s="191"/>
      <c r="O3146" s="191"/>
      <c r="P3146" s="191"/>
      <c r="Q3146" s="191"/>
      <c r="R3146" s="191"/>
      <c r="S3146" s="191"/>
      <c r="T3146" s="191"/>
      <c r="U3146" s="439"/>
      <c r="V3146" s="441"/>
      <c r="W3146" s="178"/>
      <c r="X3146" s="172"/>
      <c r="Y3146" s="172"/>
      <c r="Z3146" s="172"/>
      <c r="AA3146" s="195"/>
      <c r="AB3146" s="172"/>
    </row>
    <row r="3147" spans="1:28" ht="12.6" customHeight="1" x14ac:dyDescent="0.3">
      <c r="A3147" s="667"/>
      <c r="B3147" s="668" t="s">
        <v>10304</v>
      </c>
      <c r="C3147" s="160" t="s">
        <v>10305</v>
      </c>
      <c r="D3147" s="160"/>
      <c r="E3147" s="439"/>
      <c r="F3147" s="161">
        <v>661.95848223799999</v>
      </c>
      <c r="G3147" s="161"/>
      <c r="H3147" s="654"/>
      <c r="I3147" s="654"/>
      <c r="J3147" s="191"/>
      <c r="K3147" s="191">
        <v>911339092.44673705</v>
      </c>
      <c r="L3147" s="191"/>
      <c r="M3147" s="191"/>
      <c r="N3147" s="191"/>
      <c r="O3147" s="191"/>
      <c r="P3147" s="191"/>
      <c r="Q3147" s="191"/>
      <c r="R3147" s="191"/>
      <c r="S3147" s="191"/>
      <c r="T3147" s="191"/>
      <c r="U3147" s="439"/>
      <c r="V3147" s="441"/>
      <c r="W3147" s="178"/>
      <c r="X3147" s="172"/>
      <c r="Y3147" s="172"/>
      <c r="Z3147" s="172"/>
      <c r="AA3147" s="195"/>
      <c r="AB3147" s="172"/>
    </row>
    <row r="3148" spans="1:28" ht="12.6" customHeight="1" x14ac:dyDescent="0.3">
      <c r="A3148" s="667"/>
      <c r="B3148" s="668" t="s">
        <v>10306</v>
      </c>
      <c r="C3148" s="160" t="s">
        <v>10307</v>
      </c>
      <c r="D3148" s="160"/>
      <c r="E3148" s="439"/>
      <c r="F3148" s="161">
        <v>319.98706615100002</v>
      </c>
      <c r="G3148" s="161">
        <v>-106.124</v>
      </c>
      <c r="H3148" s="654">
        <v>20225.614010000001</v>
      </c>
      <c r="I3148" s="654">
        <v>6.6241802512183101</v>
      </c>
      <c r="J3148" s="191"/>
      <c r="K3148" s="191">
        <v>6580.9713481791596</v>
      </c>
      <c r="L3148" s="191"/>
      <c r="M3148" s="191"/>
      <c r="N3148" s="191"/>
      <c r="O3148" s="191"/>
      <c r="P3148" s="191"/>
      <c r="Q3148" s="191"/>
      <c r="R3148" s="191"/>
      <c r="S3148" s="191"/>
      <c r="T3148" s="191"/>
      <c r="U3148" s="439"/>
      <c r="V3148" s="441"/>
      <c r="W3148" s="178"/>
      <c r="X3148" s="172"/>
      <c r="Y3148" s="172"/>
      <c r="Z3148" s="172"/>
      <c r="AA3148" s="195"/>
      <c r="AB3148" s="172"/>
    </row>
    <row r="3149" spans="1:28" ht="12.6" customHeight="1" x14ac:dyDescent="0.3">
      <c r="A3149" s="667"/>
      <c r="B3149" s="668" t="s">
        <v>10308</v>
      </c>
      <c r="C3149" s="160" t="s">
        <v>10309</v>
      </c>
      <c r="D3149" s="160"/>
      <c r="E3149" s="439"/>
      <c r="F3149" s="161">
        <v>365.972558902</v>
      </c>
      <c r="G3149" s="161">
        <v>-104.666</v>
      </c>
      <c r="H3149" s="654">
        <v>6351.8733781999999</v>
      </c>
      <c r="I3149" s="654">
        <v>3.15826632908689</v>
      </c>
      <c r="J3149" s="191"/>
      <c r="K3149" s="191">
        <v>5932.5307777648604</v>
      </c>
      <c r="L3149" s="191"/>
      <c r="M3149" s="191"/>
      <c r="N3149" s="191"/>
      <c r="O3149" s="191"/>
      <c r="P3149" s="191"/>
      <c r="Q3149" s="191"/>
      <c r="R3149" s="191"/>
      <c r="S3149" s="191"/>
      <c r="T3149" s="191"/>
      <c r="U3149" s="439"/>
      <c r="V3149" s="441"/>
      <c r="W3149" s="178"/>
      <c r="X3149" s="172"/>
      <c r="Y3149" s="172"/>
      <c r="Z3149" s="172"/>
      <c r="AA3149" s="195"/>
      <c r="AB3149" s="172"/>
    </row>
    <row r="3150" spans="1:28" ht="12.6" customHeight="1" x14ac:dyDescent="0.3">
      <c r="A3150" s="667"/>
      <c r="B3150" s="668" t="s">
        <v>10310</v>
      </c>
      <c r="C3150" s="160" t="s">
        <v>10311</v>
      </c>
      <c r="D3150" s="160"/>
      <c r="E3150" s="439"/>
      <c r="F3150" s="161">
        <v>423.88182</v>
      </c>
      <c r="G3150" s="161">
        <v>-43.012</v>
      </c>
      <c r="H3150" s="654">
        <v>358.84016265999998</v>
      </c>
      <c r="I3150" s="654">
        <v>14.264131901183999</v>
      </c>
      <c r="J3150" s="191"/>
      <c r="K3150" s="191">
        <v>22913.952052728899</v>
      </c>
      <c r="L3150" s="191"/>
      <c r="M3150" s="191"/>
      <c r="N3150" s="191"/>
      <c r="O3150" s="191"/>
      <c r="P3150" s="191"/>
      <c r="Q3150" s="191"/>
      <c r="R3150" s="191"/>
      <c r="S3150" s="191"/>
      <c r="T3150" s="191"/>
      <c r="U3150" s="439"/>
      <c r="V3150" s="441"/>
      <c r="W3150" s="178"/>
      <c r="X3150" s="172"/>
      <c r="Y3150" s="172"/>
      <c r="Z3150" s="172"/>
      <c r="AA3150" s="195"/>
      <c r="AB3150" s="172"/>
    </row>
    <row r="3151" spans="1:28" ht="12.6" customHeight="1" x14ac:dyDescent="0.3">
      <c r="A3151" s="667"/>
      <c r="B3151" s="668" t="s">
        <v>10312</v>
      </c>
      <c r="C3151" s="160" t="s">
        <v>10313</v>
      </c>
      <c r="D3151" s="160"/>
      <c r="E3151" s="439"/>
      <c r="F3151" s="161">
        <v>337.97764428200003</v>
      </c>
      <c r="G3151" s="161">
        <v>-116.994</v>
      </c>
      <c r="H3151" s="654">
        <v>54437.905718000002</v>
      </c>
      <c r="I3151" s="654">
        <v>6.9324622484546703</v>
      </c>
      <c r="J3151" s="191"/>
      <c r="K3151" s="191">
        <v>8398.8533841653207</v>
      </c>
      <c r="L3151" s="191"/>
      <c r="M3151" s="191"/>
      <c r="N3151" s="191"/>
      <c r="O3151" s="191"/>
      <c r="P3151" s="191"/>
      <c r="Q3151" s="191"/>
      <c r="R3151" s="191"/>
      <c r="S3151" s="191"/>
      <c r="T3151" s="191"/>
      <c r="U3151" s="439"/>
      <c r="V3151" s="441"/>
      <c r="W3151" s="178"/>
      <c r="X3151" s="172"/>
      <c r="Y3151" s="172"/>
      <c r="Z3151" s="172"/>
      <c r="AA3151" s="195"/>
      <c r="AB3151" s="172"/>
    </row>
    <row r="3152" spans="1:28" ht="12.6" customHeight="1" x14ac:dyDescent="0.3">
      <c r="A3152" s="667"/>
      <c r="B3152" s="668" t="s">
        <v>10314</v>
      </c>
      <c r="C3152" s="160" t="s">
        <v>10315</v>
      </c>
      <c r="D3152" s="160"/>
      <c r="E3152" s="439"/>
      <c r="F3152" s="161">
        <v>537.96486958599996</v>
      </c>
      <c r="G3152" s="161"/>
      <c r="H3152" s="654"/>
      <c r="I3152" s="654"/>
      <c r="J3152" s="191"/>
      <c r="K3152" s="191">
        <v>163151.097655416</v>
      </c>
      <c r="L3152" s="191"/>
      <c r="M3152" s="191"/>
      <c r="N3152" s="191"/>
      <c r="O3152" s="191"/>
      <c r="P3152" s="191"/>
      <c r="Q3152" s="191"/>
      <c r="R3152" s="191"/>
      <c r="S3152" s="191"/>
      <c r="T3152" s="191"/>
      <c r="U3152" s="439"/>
      <c r="V3152" s="441"/>
      <c r="W3152" s="178"/>
      <c r="X3152" s="172"/>
      <c r="Y3152" s="172"/>
      <c r="Z3152" s="172"/>
      <c r="AA3152" s="195"/>
      <c r="AB3152" s="172"/>
    </row>
    <row r="3153" spans="1:28" ht="12.6" customHeight="1" x14ac:dyDescent="0.3">
      <c r="A3153" s="667"/>
      <c r="B3153" s="668" t="s">
        <v>10316</v>
      </c>
      <c r="C3153" s="160" t="s">
        <v>10317</v>
      </c>
      <c r="D3153" s="160"/>
      <c r="E3153" s="439">
        <v>8.048</v>
      </c>
      <c r="F3153" s="161">
        <v>537.96486958599996</v>
      </c>
      <c r="G3153" s="161">
        <v>-70.222999999999999</v>
      </c>
      <c r="H3153" s="654">
        <v>7832.5208457999997</v>
      </c>
      <c r="I3153" s="654">
        <v>8.5261514215815501E-2</v>
      </c>
      <c r="J3153" s="191"/>
      <c r="K3153" s="191">
        <v>148685.973268976</v>
      </c>
      <c r="L3153" s="191"/>
      <c r="M3153" s="191"/>
      <c r="N3153" s="191"/>
      <c r="O3153" s="191"/>
      <c r="P3153" s="191"/>
      <c r="Q3153" s="191"/>
      <c r="R3153" s="191"/>
      <c r="S3153" s="191"/>
      <c r="T3153" s="191"/>
      <c r="U3153" s="439"/>
      <c r="V3153" s="441"/>
      <c r="W3153" s="178"/>
      <c r="X3153" s="172"/>
      <c r="Y3153" s="172"/>
      <c r="Z3153" s="172"/>
      <c r="AA3153" s="195"/>
      <c r="AB3153" s="172"/>
    </row>
    <row r="3154" spans="1:28" ht="12.6" customHeight="1" x14ac:dyDescent="0.3">
      <c r="A3154" s="667"/>
      <c r="B3154" s="668" t="s">
        <v>10318</v>
      </c>
      <c r="C3154" s="160" t="s">
        <v>10319</v>
      </c>
      <c r="D3154" s="160"/>
      <c r="E3154" s="439"/>
      <c r="F3154" s="161">
        <v>637.95848223799999</v>
      </c>
      <c r="G3154" s="161"/>
      <c r="H3154" s="654"/>
      <c r="I3154" s="654"/>
      <c r="J3154" s="191"/>
      <c r="K3154" s="191">
        <v>274485.87459845998</v>
      </c>
      <c r="L3154" s="191"/>
      <c r="M3154" s="191"/>
      <c r="N3154" s="191"/>
      <c r="O3154" s="191"/>
      <c r="P3154" s="191"/>
      <c r="Q3154" s="191"/>
      <c r="R3154" s="191"/>
      <c r="S3154" s="191"/>
      <c r="T3154" s="191"/>
      <c r="U3154" s="439"/>
      <c r="V3154" s="441"/>
      <c r="W3154" s="178"/>
      <c r="X3154" s="172"/>
      <c r="Y3154" s="172"/>
      <c r="Z3154" s="172"/>
      <c r="AA3154" s="195"/>
      <c r="AB3154" s="172"/>
    </row>
    <row r="3155" spans="1:28" ht="12.6" customHeight="1" x14ac:dyDescent="0.3">
      <c r="A3155" s="667"/>
      <c r="B3155" s="668" t="s">
        <v>10320</v>
      </c>
      <c r="C3155" s="160" t="s">
        <v>10321</v>
      </c>
      <c r="D3155" s="160"/>
      <c r="E3155" s="439"/>
      <c r="F3155" s="161">
        <v>737.95209489000001</v>
      </c>
      <c r="G3155" s="161">
        <v>-68.704999999999998</v>
      </c>
      <c r="H3155" s="654">
        <v>379.22909612000001</v>
      </c>
      <c r="I3155" s="654"/>
      <c r="J3155" s="191"/>
      <c r="K3155" s="191">
        <v>267466.87280117703</v>
      </c>
      <c r="L3155" s="191"/>
      <c r="M3155" s="191"/>
      <c r="N3155" s="191"/>
      <c r="O3155" s="191"/>
      <c r="P3155" s="191"/>
      <c r="Q3155" s="191"/>
      <c r="R3155" s="191"/>
      <c r="S3155" s="191"/>
      <c r="T3155" s="191"/>
      <c r="U3155" s="439"/>
      <c r="V3155" s="441"/>
      <c r="W3155" s="178"/>
      <c r="X3155" s="172"/>
      <c r="Y3155" s="172"/>
      <c r="Z3155" s="172"/>
      <c r="AA3155" s="195"/>
      <c r="AB3155" s="172"/>
    </row>
    <row r="3156" spans="1:28" ht="12.6" customHeight="1" x14ac:dyDescent="0.3">
      <c r="A3156" s="667"/>
      <c r="B3156" s="668" t="s">
        <v>10322</v>
      </c>
      <c r="C3156" s="160" t="s">
        <v>10323</v>
      </c>
      <c r="D3156" s="160"/>
      <c r="E3156" s="439"/>
      <c r="F3156" s="161">
        <v>661.95848223799999</v>
      </c>
      <c r="G3156" s="161"/>
      <c r="H3156" s="654"/>
      <c r="I3156" s="654"/>
      <c r="J3156" s="191"/>
      <c r="K3156" s="191">
        <v>1144932807.37181</v>
      </c>
      <c r="L3156" s="191"/>
      <c r="M3156" s="191"/>
      <c r="N3156" s="191"/>
      <c r="O3156" s="191"/>
      <c r="P3156" s="191"/>
      <c r="Q3156" s="191"/>
      <c r="R3156" s="191"/>
      <c r="S3156" s="191"/>
      <c r="T3156" s="191"/>
      <c r="U3156" s="439"/>
      <c r="V3156" s="441"/>
      <c r="W3156" s="178"/>
      <c r="X3156" s="172"/>
      <c r="Y3156" s="172"/>
      <c r="Z3156" s="172"/>
      <c r="AA3156" s="195"/>
      <c r="AB3156" s="172"/>
    </row>
    <row r="3157" spans="1:28" ht="12.6" customHeight="1" x14ac:dyDescent="0.3">
      <c r="A3157" s="667"/>
      <c r="B3157" s="668" t="s">
        <v>10324</v>
      </c>
      <c r="C3157" s="160" t="s">
        <v>10325</v>
      </c>
      <c r="D3157" s="160"/>
      <c r="E3157" s="439"/>
      <c r="F3157" s="161">
        <v>661.95848223799999</v>
      </c>
      <c r="G3157" s="161"/>
      <c r="H3157" s="654"/>
      <c r="I3157" s="654"/>
      <c r="J3157" s="191"/>
      <c r="K3157" s="177">
        <v>1141905066.8313999</v>
      </c>
      <c r="L3157" s="191"/>
      <c r="M3157" s="191"/>
      <c r="N3157" s="191"/>
      <c r="O3157" s="191"/>
      <c r="P3157" s="191"/>
      <c r="Q3157" s="191"/>
      <c r="R3157" s="191"/>
      <c r="S3157" s="191"/>
      <c r="T3157" s="191"/>
      <c r="U3157" s="439"/>
      <c r="V3157" s="441"/>
      <c r="W3157" s="178"/>
      <c r="X3157" s="172"/>
      <c r="Y3157" s="172"/>
      <c r="Z3157" s="172"/>
      <c r="AA3157" s="195"/>
      <c r="AB3157" s="172"/>
    </row>
    <row r="3158" spans="1:28" ht="12.6" customHeight="1" x14ac:dyDescent="0.3">
      <c r="A3158" s="667"/>
      <c r="B3158" s="668" t="s">
        <v>10326</v>
      </c>
      <c r="C3158" s="160" t="s">
        <v>10327</v>
      </c>
      <c r="D3158" s="160"/>
      <c r="E3158" s="439">
        <v>3.5379999999999998</v>
      </c>
      <c r="F3158" s="161">
        <v>237.98403163</v>
      </c>
      <c r="G3158" s="161">
        <v>-98.945999999999998</v>
      </c>
      <c r="H3158" s="654">
        <v>245981.75644</v>
      </c>
      <c r="I3158" s="654">
        <v>6.2740444210711699</v>
      </c>
      <c r="J3158" s="191"/>
      <c r="K3158" s="191">
        <v>545.029488299332</v>
      </c>
      <c r="L3158" s="191"/>
      <c r="M3158" s="191"/>
      <c r="N3158" s="191"/>
      <c r="O3158" s="191"/>
      <c r="P3158" s="191"/>
      <c r="Q3158" s="191"/>
      <c r="R3158" s="191"/>
      <c r="S3158" s="191"/>
      <c r="T3158" s="191"/>
      <c r="U3158" s="439"/>
      <c r="V3158" s="441"/>
      <c r="W3158" s="178"/>
      <c r="X3158" s="172"/>
      <c r="Y3158" s="172"/>
      <c r="Z3158" s="172"/>
      <c r="AA3158" s="195"/>
      <c r="AB3158" s="172"/>
    </row>
    <row r="3159" spans="1:28" ht="12.6" customHeight="1" x14ac:dyDescent="0.3">
      <c r="A3159" s="667"/>
      <c r="B3159" s="668" t="s">
        <v>10328</v>
      </c>
      <c r="C3159" s="160" t="s">
        <v>10329</v>
      </c>
      <c r="D3159" s="160"/>
      <c r="E3159" s="439"/>
      <c r="F3159" s="161">
        <v>449.971256934</v>
      </c>
      <c r="G3159" s="161">
        <v>-48.042999999999999</v>
      </c>
      <c r="H3159" s="654">
        <v>3280.2144914</v>
      </c>
      <c r="I3159" s="654">
        <v>0.35578282346131801</v>
      </c>
      <c r="J3159" s="191"/>
      <c r="K3159" s="191">
        <v>511234318.786075</v>
      </c>
      <c r="L3159" s="191"/>
      <c r="M3159" s="191"/>
      <c r="N3159" s="191"/>
      <c r="O3159" s="191"/>
      <c r="P3159" s="191"/>
      <c r="Q3159" s="191"/>
      <c r="R3159" s="191"/>
      <c r="S3159" s="191"/>
      <c r="T3159" s="191"/>
      <c r="U3159" s="439"/>
      <c r="V3159" s="441"/>
      <c r="W3159" s="178"/>
      <c r="X3159" s="172"/>
      <c r="Y3159" s="172"/>
      <c r="Z3159" s="172"/>
      <c r="AA3159" s="195"/>
      <c r="AB3159" s="172"/>
    </row>
    <row r="3160" spans="1:28" ht="12.6" customHeight="1" x14ac:dyDescent="0.3">
      <c r="A3160" s="667"/>
      <c r="B3160" s="668" t="s">
        <v>10330</v>
      </c>
      <c r="C3160" s="160" t="s">
        <v>10331</v>
      </c>
      <c r="D3160" s="160"/>
      <c r="E3160" s="439"/>
      <c r="F3160" s="161">
        <v>194.991896145</v>
      </c>
      <c r="G3160" s="161">
        <v>-69.858000000000004</v>
      </c>
      <c r="H3160" s="654">
        <v>49533.789270000001</v>
      </c>
      <c r="I3160" s="654">
        <v>81.286076754069995</v>
      </c>
      <c r="J3160" s="191"/>
      <c r="K3160" s="191">
        <v>68.6815361268267</v>
      </c>
      <c r="L3160" s="191"/>
      <c r="M3160" s="191"/>
      <c r="N3160" s="191"/>
      <c r="O3160" s="191"/>
      <c r="P3160" s="191"/>
      <c r="Q3160" s="191"/>
      <c r="R3160" s="191"/>
      <c r="S3160" s="191"/>
      <c r="T3160" s="191"/>
      <c r="U3160" s="439"/>
      <c r="V3160" s="441"/>
      <c r="W3160" s="178"/>
      <c r="X3160" s="172"/>
      <c r="Y3160" s="172"/>
      <c r="Z3160" s="172"/>
      <c r="AA3160" s="195"/>
      <c r="AB3160" s="172"/>
    </row>
    <row r="3161" spans="1:28" ht="12.6" customHeight="1" x14ac:dyDescent="0.3">
      <c r="A3161" s="667"/>
      <c r="B3161" s="668" t="s">
        <v>10332</v>
      </c>
      <c r="C3161" s="160" t="s">
        <v>10333</v>
      </c>
      <c r="D3161" s="160"/>
      <c r="E3161" s="439"/>
      <c r="F3161" s="161">
        <v>468.96966009699997</v>
      </c>
      <c r="G3161" s="161"/>
      <c r="H3161" s="654"/>
      <c r="I3161" s="654"/>
      <c r="J3161" s="191"/>
      <c r="K3161" s="191">
        <v>64203.691605901498</v>
      </c>
      <c r="L3161" s="191"/>
      <c r="M3161" s="191"/>
      <c r="N3161" s="191"/>
      <c r="O3161" s="191"/>
      <c r="P3161" s="191"/>
      <c r="Q3161" s="191"/>
      <c r="R3161" s="191"/>
      <c r="S3161" s="191"/>
      <c r="T3161" s="191"/>
      <c r="U3161" s="439"/>
      <c r="V3161" s="441"/>
      <c r="W3161" s="178"/>
      <c r="X3161" s="172"/>
      <c r="Y3161" s="172"/>
      <c r="Z3161" s="172"/>
      <c r="AA3161" s="195"/>
      <c r="AB3161" s="172"/>
    </row>
    <row r="3162" spans="1:28" ht="12.6" customHeight="1" x14ac:dyDescent="0.3">
      <c r="A3162" s="667"/>
      <c r="B3162" s="668" t="s">
        <v>10334</v>
      </c>
      <c r="C3162" s="160" t="s">
        <v>10335</v>
      </c>
      <c r="D3162" s="160"/>
      <c r="E3162" s="439"/>
      <c r="F3162" s="161">
        <v>315.97575257599999</v>
      </c>
      <c r="G3162" s="161">
        <v>-96.331999999999994</v>
      </c>
      <c r="H3162" s="654">
        <v>12075.4135026</v>
      </c>
      <c r="I3162" s="654">
        <v>25.683488694210201</v>
      </c>
      <c r="J3162" s="191"/>
      <c r="K3162" s="191">
        <v>1958.7544674521801</v>
      </c>
      <c r="L3162" s="191"/>
      <c r="M3162" s="191"/>
      <c r="N3162" s="191"/>
      <c r="O3162" s="191"/>
      <c r="P3162" s="191"/>
      <c r="Q3162" s="191"/>
      <c r="R3162" s="191"/>
      <c r="S3162" s="191"/>
      <c r="T3162" s="191"/>
      <c r="U3162" s="439"/>
      <c r="V3162" s="441"/>
      <c r="W3162" s="178"/>
      <c r="X3162" s="172"/>
      <c r="Y3162" s="172"/>
      <c r="Z3162" s="172"/>
      <c r="AA3162" s="195"/>
      <c r="AB3162" s="172"/>
    </row>
    <row r="3163" spans="1:28" ht="12.6" customHeight="1" x14ac:dyDescent="0.3">
      <c r="A3163" s="667"/>
      <c r="B3163" s="668" t="s">
        <v>10336</v>
      </c>
      <c r="C3163" s="160" t="s">
        <v>10337</v>
      </c>
      <c r="D3163" s="160"/>
      <c r="E3163" s="439"/>
      <c r="F3163" s="161">
        <v>487.96806326000001</v>
      </c>
      <c r="G3163" s="161"/>
      <c r="H3163" s="654"/>
      <c r="I3163" s="654"/>
      <c r="J3163" s="191"/>
      <c r="K3163" s="191">
        <v>151335.215666601</v>
      </c>
      <c r="L3163" s="191"/>
      <c r="M3163" s="191"/>
      <c r="N3163" s="191"/>
      <c r="O3163" s="191"/>
      <c r="P3163" s="191"/>
      <c r="Q3163" s="191"/>
      <c r="R3163" s="191"/>
      <c r="S3163" s="191"/>
      <c r="T3163" s="191"/>
      <c r="U3163" s="439"/>
      <c r="V3163" s="441"/>
      <c r="W3163" s="178"/>
      <c r="X3163" s="172"/>
      <c r="Y3163" s="172"/>
      <c r="Z3163" s="172"/>
      <c r="AA3163" s="195"/>
      <c r="AB3163" s="172"/>
    </row>
    <row r="3164" spans="1:28" ht="12.6" customHeight="1" x14ac:dyDescent="0.3">
      <c r="A3164" s="667"/>
      <c r="B3164" s="668" t="s">
        <v>10338</v>
      </c>
      <c r="C3164" s="160" t="s">
        <v>10339</v>
      </c>
      <c r="D3164" s="160"/>
      <c r="E3164" s="439"/>
      <c r="F3164" s="161">
        <v>387.97445060799998</v>
      </c>
      <c r="G3164" s="161"/>
      <c r="H3164" s="654"/>
      <c r="I3164" s="654"/>
      <c r="J3164" s="191"/>
      <c r="K3164" s="191">
        <v>8577.2881451899393</v>
      </c>
      <c r="L3164" s="191"/>
      <c r="M3164" s="191"/>
      <c r="N3164" s="191"/>
      <c r="O3164" s="191"/>
      <c r="P3164" s="191"/>
      <c r="Q3164" s="191"/>
      <c r="R3164" s="191"/>
      <c r="S3164" s="191"/>
      <c r="T3164" s="191"/>
      <c r="U3164" s="439"/>
      <c r="V3164" s="441"/>
      <c r="W3164" s="178"/>
      <c r="X3164" s="172"/>
      <c r="Y3164" s="172"/>
      <c r="Z3164" s="172"/>
      <c r="AA3164" s="195"/>
      <c r="AB3164" s="172"/>
    </row>
    <row r="3165" spans="1:28" ht="12.6" customHeight="1" x14ac:dyDescent="0.3">
      <c r="A3165" s="667"/>
      <c r="B3165" s="668" t="s">
        <v>10340</v>
      </c>
      <c r="C3165" s="160" t="s">
        <v>10341</v>
      </c>
      <c r="D3165" s="160"/>
      <c r="E3165" s="439">
        <v>7.2309999999999999</v>
      </c>
      <c r="F3165" s="161">
        <v>487.96806326000001</v>
      </c>
      <c r="G3165" s="161">
        <v>-119.023</v>
      </c>
      <c r="H3165" s="654">
        <v>12328.2586756</v>
      </c>
      <c r="I3165" s="654">
        <v>0.19426350176024801</v>
      </c>
      <c r="J3165" s="191"/>
      <c r="K3165" s="191">
        <v>84539.563281560695</v>
      </c>
      <c r="L3165" s="191"/>
      <c r="M3165" s="191"/>
      <c r="N3165" s="191"/>
      <c r="O3165" s="191"/>
      <c r="P3165" s="191"/>
      <c r="Q3165" s="191"/>
      <c r="R3165" s="191"/>
      <c r="S3165" s="191"/>
      <c r="T3165" s="191"/>
      <c r="U3165" s="439"/>
      <c r="V3165" s="441"/>
      <c r="W3165" s="178"/>
      <c r="X3165" s="172"/>
      <c r="Y3165" s="172"/>
      <c r="Z3165" s="172"/>
      <c r="AA3165" s="195"/>
      <c r="AB3165" s="172"/>
    </row>
    <row r="3166" spans="1:28" ht="12.6" customHeight="1" x14ac:dyDescent="0.3">
      <c r="A3166" s="667"/>
      <c r="B3166" s="668" t="s">
        <v>10342</v>
      </c>
      <c r="C3166" s="160" t="s">
        <v>10343</v>
      </c>
      <c r="D3166" s="160"/>
      <c r="E3166" s="439"/>
      <c r="F3166" s="161">
        <v>437.971256934</v>
      </c>
      <c r="G3166" s="161"/>
      <c r="H3166" s="654"/>
      <c r="I3166" s="654"/>
      <c r="J3166" s="191"/>
      <c r="K3166" s="191">
        <v>52172.302056076303</v>
      </c>
      <c r="L3166" s="191"/>
      <c r="M3166" s="191"/>
      <c r="N3166" s="191"/>
      <c r="O3166" s="191"/>
      <c r="P3166" s="191"/>
      <c r="Q3166" s="191"/>
      <c r="R3166" s="191"/>
      <c r="S3166" s="191"/>
      <c r="T3166" s="191"/>
      <c r="U3166" s="439"/>
      <c r="V3166" s="441"/>
      <c r="W3166" s="178"/>
      <c r="X3166" s="172"/>
      <c r="Y3166" s="172"/>
      <c r="Z3166" s="172"/>
      <c r="AA3166" s="195"/>
      <c r="AB3166" s="172"/>
    </row>
    <row r="3167" spans="1:28" ht="12.6" customHeight="1" x14ac:dyDescent="0.3">
      <c r="A3167" s="667"/>
      <c r="B3167" s="668" t="s">
        <v>10344</v>
      </c>
      <c r="C3167" s="160" t="s">
        <v>10345</v>
      </c>
      <c r="D3167" s="160"/>
      <c r="E3167" s="439"/>
      <c r="F3167" s="161">
        <v>437.971256934</v>
      </c>
      <c r="G3167" s="161"/>
      <c r="H3167" s="654"/>
      <c r="I3167" s="654"/>
      <c r="J3167" s="191"/>
      <c r="K3167" s="191">
        <v>51387.797019364603</v>
      </c>
      <c r="L3167" s="191"/>
      <c r="M3167" s="191"/>
      <c r="N3167" s="191"/>
      <c r="O3167" s="191"/>
      <c r="P3167" s="191"/>
      <c r="Q3167" s="191"/>
      <c r="R3167" s="191"/>
      <c r="S3167" s="191"/>
      <c r="T3167" s="191"/>
      <c r="U3167" s="439"/>
      <c r="V3167" s="441"/>
      <c r="W3167" s="178"/>
      <c r="X3167" s="172"/>
      <c r="Y3167" s="172"/>
      <c r="Z3167" s="172"/>
      <c r="AA3167" s="195"/>
      <c r="AB3167" s="172"/>
    </row>
    <row r="3168" spans="1:28" ht="12.6" customHeight="1" x14ac:dyDescent="0.3">
      <c r="A3168" s="667"/>
      <c r="B3168" s="668" t="s">
        <v>10346</v>
      </c>
      <c r="C3168" s="160" t="s">
        <v>10347</v>
      </c>
      <c r="D3168" s="160"/>
      <c r="E3168" s="439"/>
      <c r="F3168" s="161">
        <v>387.97445060799998</v>
      </c>
      <c r="G3168" s="161"/>
      <c r="H3168" s="654"/>
      <c r="I3168" s="654"/>
      <c r="J3168" s="191"/>
      <c r="K3168" s="191">
        <v>8428.3002785238896</v>
      </c>
      <c r="L3168" s="191"/>
      <c r="M3168" s="191"/>
      <c r="N3168" s="191"/>
      <c r="O3168" s="191"/>
      <c r="P3168" s="191"/>
      <c r="Q3168" s="191"/>
      <c r="R3168" s="191"/>
      <c r="S3168" s="191"/>
      <c r="T3168" s="191"/>
      <c r="U3168" s="439"/>
      <c r="V3168" s="441"/>
      <c r="W3168" s="178"/>
      <c r="X3168" s="172"/>
      <c r="Y3168" s="172"/>
      <c r="Z3168" s="172"/>
      <c r="AA3168" s="195"/>
      <c r="AB3168" s="172"/>
    </row>
    <row r="3169" spans="1:28" ht="12.6" customHeight="1" x14ac:dyDescent="0.3">
      <c r="A3169" s="667"/>
      <c r="B3169" s="668" t="s">
        <v>10348</v>
      </c>
      <c r="C3169" s="160" t="s">
        <v>10349</v>
      </c>
      <c r="D3169" s="160"/>
      <c r="E3169" s="439"/>
      <c r="F3169" s="161">
        <v>337.97764428200003</v>
      </c>
      <c r="G3169" s="161">
        <v>-110.47</v>
      </c>
      <c r="H3169" s="654">
        <v>67127.760322000002</v>
      </c>
      <c r="I3169" s="654">
        <v>5.6479106158320702</v>
      </c>
      <c r="J3169" s="191"/>
      <c r="K3169" s="191">
        <v>7665.31488453159</v>
      </c>
      <c r="L3169" s="191"/>
      <c r="M3169" s="191"/>
      <c r="N3169" s="191"/>
      <c r="O3169" s="191"/>
      <c r="P3169" s="191"/>
      <c r="Q3169" s="191"/>
      <c r="R3169" s="191"/>
      <c r="S3169" s="191"/>
      <c r="T3169" s="191"/>
      <c r="U3169" s="439"/>
      <c r="V3169" s="441"/>
      <c r="W3169" s="178"/>
      <c r="X3169" s="172"/>
      <c r="Y3169" s="172"/>
      <c r="Z3169" s="172"/>
      <c r="AA3169" s="195"/>
      <c r="AB3169" s="172"/>
    </row>
    <row r="3170" spans="1:28" ht="12.6" customHeight="1" x14ac:dyDescent="0.3">
      <c r="A3170" s="667"/>
      <c r="B3170" s="668" t="s">
        <v>10350</v>
      </c>
      <c r="C3170" s="160" t="s">
        <v>10351</v>
      </c>
      <c r="D3170" s="160"/>
      <c r="E3170" s="439"/>
      <c r="F3170" s="161">
        <v>287.98083795600002</v>
      </c>
      <c r="G3170" s="161">
        <v>-113.733</v>
      </c>
      <c r="H3170" s="654">
        <v>172148.03284</v>
      </c>
      <c r="I3170" s="654">
        <v>18.086866912496902</v>
      </c>
      <c r="J3170" s="191"/>
      <c r="K3170" s="191">
        <v>2069.6170807611702</v>
      </c>
      <c r="L3170" s="191"/>
      <c r="M3170" s="191"/>
      <c r="N3170" s="191"/>
      <c r="O3170" s="191"/>
      <c r="P3170" s="191"/>
      <c r="Q3170" s="191"/>
      <c r="R3170" s="191"/>
      <c r="S3170" s="191"/>
      <c r="T3170" s="191"/>
      <c r="U3170" s="439"/>
      <c r="V3170" s="441"/>
      <c r="W3170" s="178"/>
      <c r="X3170" s="172"/>
      <c r="Y3170" s="172"/>
      <c r="Z3170" s="172"/>
      <c r="AA3170" s="195"/>
      <c r="AB3170" s="172"/>
    </row>
    <row r="3171" spans="1:28" ht="12.6" customHeight="1" x14ac:dyDescent="0.3">
      <c r="A3171" s="667"/>
      <c r="B3171" s="668" t="s">
        <v>10352</v>
      </c>
      <c r="C3171" s="160" t="s">
        <v>10353</v>
      </c>
      <c r="D3171" s="160"/>
      <c r="E3171" s="439"/>
      <c r="F3171" s="161">
        <v>661.95848223799999</v>
      </c>
      <c r="G3171" s="161"/>
      <c r="H3171" s="654"/>
      <c r="I3171" s="654"/>
      <c r="J3171" s="191"/>
      <c r="K3171" s="191">
        <v>1148047877.5101099</v>
      </c>
      <c r="L3171" s="191"/>
      <c r="M3171" s="191"/>
      <c r="N3171" s="191"/>
      <c r="O3171" s="191"/>
      <c r="P3171" s="191"/>
      <c r="Q3171" s="191"/>
      <c r="R3171" s="191"/>
      <c r="S3171" s="191"/>
      <c r="T3171" s="191"/>
      <c r="U3171" s="439"/>
      <c r="V3171" s="441"/>
      <c r="W3171" s="178"/>
      <c r="X3171" s="172"/>
      <c r="Y3171" s="172"/>
      <c r="Z3171" s="172"/>
      <c r="AA3171" s="195"/>
      <c r="AB3171" s="172"/>
    </row>
    <row r="3172" spans="1:28" ht="12.6" customHeight="1" x14ac:dyDescent="0.3">
      <c r="A3172" s="667"/>
      <c r="B3172" s="668" t="s">
        <v>10354</v>
      </c>
      <c r="C3172" s="160" t="s">
        <v>10355</v>
      </c>
      <c r="D3172" s="160"/>
      <c r="E3172" s="439"/>
      <c r="F3172" s="161">
        <v>661.95848223799999</v>
      </c>
      <c r="G3172" s="161"/>
      <c r="H3172" s="654"/>
      <c r="I3172" s="654"/>
      <c r="J3172" s="191"/>
      <c r="K3172" s="191">
        <v>1145170099.4276199</v>
      </c>
      <c r="L3172" s="191"/>
      <c r="M3172" s="191"/>
      <c r="N3172" s="191"/>
      <c r="O3172" s="191"/>
      <c r="P3172" s="191"/>
      <c r="Q3172" s="191"/>
      <c r="R3172" s="191"/>
      <c r="S3172" s="191"/>
      <c r="T3172" s="191"/>
      <c r="U3172" s="439"/>
      <c r="V3172" s="441"/>
      <c r="W3172" s="178"/>
      <c r="X3172" s="172"/>
      <c r="Y3172" s="172"/>
      <c r="Z3172" s="172"/>
      <c r="AA3172" s="195"/>
      <c r="AB3172" s="172"/>
    </row>
    <row r="3173" spans="1:28" ht="12.6" customHeight="1" x14ac:dyDescent="0.3">
      <c r="A3173" s="667"/>
      <c r="B3173" s="668" t="s">
        <v>10356</v>
      </c>
      <c r="C3173" s="160" t="s">
        <v>10357</v>
      </c>
      <c r="D3173" s="160"/>
      <c r="E3173" s="439"/>
      <c r="F3173" s="161">
        <v>247.90716</v>
      </c>
      <c r="G3173" s="161">
        <v>-70.206999999999994</v>
      </c>
      <c r="H3173" s="654">
        <v>88084.912146000002</v>
      </c>
      <c r="I3173" s="654">
        <v>25.36809177564</v>
      </c>
      <c r="J3173" s="191"/>
      <c r="K3173" s="191">
        <v>984.05642219064396</v>
      </c>
      <c r="L3173" s="191"/>
      <c r="M3173" s="191"/>
      <c r="N3173" s="191"/>
      <c r="O3173" s="191"/>
      <c r="P3173" s="191"/>
      <c r="Q3173" s="191"/>
      <c r="R3173" s="191"/>
      <c r="S3173" s="191"/>
      <c r="T3173" s="191"/>
      <c r="U3173" s="439"/>
      <c r="V3173" s="441"/>
      <c r="W3173" s="178"/>
      <c r="X3173" s="172"/>
      <c r="Y3173" s="172"/>
      <c r="Z3173" s="172"/>
      <c r="AA3173" s="195"/>
      <c r="AB3173" s="172"/>
    </row>
    <row r="3174" spans="1:28" ht="12.6" customHeight="1" x14ac:dyDescent="0.3">
      <c r="A3174" s="667"/>
      <c r="B3174" s="668" t="s">
        <v>10358</v>
      </c>
      <c r="C3174" s="160" t="s">
        <v>10359</v>
      </c>
      <c r="D3174" s="160"/>
      <c r="E3174" s="439"/>
      <c r="F3174" s="161">
        <v>839.929125</v>
      </c>
      <c r="G3174" s="161"/>
      <c r="H3174" s="654"/>
      <c r="I3174" s="654"/>
      <c r="J3174" s="191"/>
      <c r="K3174" s="191"/>
      <c r="L3174" s="191"/>
      <c r="M3174" s="191"/>
      <c r="N3174" s="191"/>
      <c r="O3174" s="191"/>
      <c r="P3174" s="191"/>
      <c r="Q3174" s="191"/>
      <c r="R3174" s="191"/>
      <c r="S3174" s="191"/>
      <c r="T3174" s="191"/>
      <c r="U3174" s="439"/>
      <c r="V3174" s="441"/>
      <c r="W3174" s="178"/>
      <c r="X3174" s="172"/>
      <c r="Y3174" s="172"/>
      <c r="Z3174" s="172"/>
      <c r="AA3174" s="195"/>
      <c r="AB3174" s="172"/>
    </row>
    <row r="3175" spans="1:28" ht="12.6" customHeight="1" x14ac:dyDescent="0.3">
      <c r="A3175" s="667"/>
      <c r="B3175" s="668" t="s">
        <v>10360</v>
      </c>
      <c r="C3175" s="160" t="s">
        <v>10361</v>
      </c>
      <c r="D3175" s="160"/>
      <c r="E3175" s="439"/>
      <c r="F3175" s="161">
        <v>365.972558902</v>
      </c>
      <c r="G3175" s="161"/>
      <c r="H3175" s="654"/>
      <c r="I3175" s="654"/>
      <c r="J3175" s="191"/>
      <c r="K3175" s="191">
        <v>5026.4341806736802</v>
      </c>
      <c r="L3175" s="191"/>
      <c r="M3175" s="191"/>
      <c r="N3175" s="191"/>
      <c r="O3175" s="191"/>
      <c r="P3175" s="191"/>
      <c r="Q3175" s="191"/>
      <c r="R3175" s="191"/>
      <c r="S3175" s="191"/>
      <c r="T3175" s="191"/>
      <c r="U3175" s="439"/>
      <c r="V3175" s="441"/>
      <c r="W3175" s="178"/>
      <c r="X3175" s="172"/>
      <c r="Y3175" s="172"/>
      <c r="Z3175" s="172"/>
      <c r="AA3175" s="195"/>
      <c r="AB3175" s="172"/>
    </row>
    <row r="3176" spans="1:28" ht="12.6" customHeight="1" x14ac:dyDescent="0.3">
      <c r="A3176" s="667"/>
      <c r="B3176" s="668" t="s">
        <v>10362</v>
      </c>
      <c r="C3176" s="160" t="s">
        <v>10363</v>
      </c>
      <c r="D3176" s="160"/>
      <c r="E3176" s="439"/>
      <c r="F3176" s="161">
        <v>397.89757900000001</v>
      </c>
      <c r="G3176" s="161">
        <v>-100.124</v>
      </c>
      <c r="H3176" s="654">
        <v>3411.1633597999999</v>
      </c>
      <c r="I3176" s="654">
        <v>6.6034684313260996</v>
      </c>
      <c r="J3176" s="191"/>
      <c r="K3176" s="191">
        <v>406827.21718720399</v>
      </c>
      <c r="L3176" s="191"/>
      <c r="M3176" s="191"/>
      <c r="N3176" s="191"/>
      <c r="O3176" s="191"/>
      <c r="P3176" s="191"/>
      <c r="Q3176" s="191"/>
      <c r="R3176" s="191"/>
      <c r="S3176" s="191"/>
      <c r="T3176" s="191"/>
      <c r="U3176" s="439"/>
      <c r="V3176" s="441"/>
      <c r="W3176" s="178"/>
      <c r="X3176" s="172"/>
      <c r="Y3176" s="172"/>
      <c r="Z3176" s="172"/>
      <c r="AA3176" s="195"/>
      <c r="AB3176" s="172"/>
    </row>
    <row r="3177" spans="1:28" ht="12.6" customHeight="1" x14ac:dyDescent="0.3">
      <c r="A3177" s="667"/>
      <c r="B3177" s="668" t="s">
        <v>10364</v>
      </c>
      <c r="C3177" s="160" t="s">
        <v>10365</v>
      </c>
      <c r="D3177" s="160"/>
      <c r="E3177" s="439"/>
      <c r="F3177" s="161">
        <v>487.96806326000001</v>
      </c>
      <c r="G3177" s="161">
        <v>-100.062</v>
      </c>
      <c r="H3177" s="654">
        <v>11882.3365822</v>
      </c>
      <c r="I3177" s="654">
        <v>0.19426350176024801</v>
      </c>
      <c r="J3177" s="191"/>
      <c r="K3177" s="191">
        <v>149368.837154749</v>
      </c>
      <c r="L3177" s="191"/>
      <c r="M3177" s="191"/>
      <c r="N3177" s="191"/>
      <c r="O3177" s="191"/>
      <c r="P3177" s="191"/>
      <c r="Q3177" s="191"/>
      <c r="R3177" s="191"/>
      <c r="S3177" s="191"/>
      <c r="T3177" s="191"/>
      <c r="U3177" s="439"/>
      <c r="V3177" s="441"/>
      <c r="W3177" s="178"/>
      <c r="X3177" s="172"/>
      <c r="Y3177" s="172"/>
      <c r="Z3177" s="172"/>
      <c r="AA3177" s="195"/>
      <c r="AB3177" s="172"/>
    </row>
    <row r="3178" spans="1:28" ht="12.6" customHeight="1" x14ac:dyDescent="0.3">
      <c r="A3178" s="667"/>
      <c r="B3178" s="668" t="s">
        <v>10366</v>
      </c>
      <c r="C3178" s="160" t="s">
        <v>10367</v>
      </c>
      <c r="D3178" s="160"/>
      <c r="E3178" s="439"/>
      <c r="F3178" s="161">
        <v>387.97445060799998</v>
      </c>
      <c r="G3178" s="161"/>
      <c r="H3178" s="654"/>
      <c r="I3178" s="654"/>
      <c r="J3178" s="191"/>
      <c r="K3178" s="191">
        <v>8527.6624231421993</v>
      </c>
      <c r="L3178" s="191"/>
      <c r="M3178" s="191"/>
      <c r="N3178" s="191"/>
      <c r="O3178" s="191"/>
      <c r="P3178" s="191"/>
      <c r="Q3178" s="191"/>
      <c r="R3178" s="191"/>
      <c r="S3178" s="191"/>
      <c r="T3178" s="191"/>
      <c r="U3178" s="439"/>
      <c r="V3178" s="441"/>
      <c r="W3178" s="178"/>
      <c r="X3178" s="172"/>
      <c r="Y3178" s="172"/>
      <c r="Z3178" s="172"/>
      <c r="AA3178" s="195"/>
      <c r="AB3178" s="172"/>
    </row>
    <row r="3179" spans="1:28" ht="12.6" customHeight="1" x14ac:dyDescent="0.3">
      <c r="A3179" s="667"/>
      <c r="B3179" s="668" t="s">
        <v>10368</v>
      </c>
      <c r="C3179" s="160" t="s">
        <v>10369</v>
      </c>
      <c r="D3179" s="160"/>
      <c r="E3179" s="439"/>
      <c r="F3179" s="161">
        <v>353.94809379999998</v>
      </c>
      <c r="G3179" s="161">
        <v>-104.79600000000001</v>
      </c>
      <c r="H3179" s="654">
        <v>26601.205372</v>
      </c>
      <c r="I3179" s="654">
        <v>7.0297276961524098</v>
      </c>
      <c r="J3179" s="191"/>
      <c r="K3179" s="191">
        <v>23010.708987083399</v>
      </c>
      <c r="L3179" s="191"/>
      <c r="M3179" s="191"/>
      <c r="N3179" s="191"/>
      <c r="O3179" s="191"/>
      <c r="P3179" s="191"/>
      <c r="Q3179" s="191"/>
      <c r="R3179" s="191"/>
      <c r="S3179" s="191"/>
      <c r="T3179" s="191"/>
      <c r="U3179" s="439"/>
      <c r="V3179" s="441"/>
      <c r="W3179" s="178"/>
      <c r="X3179" s="172"/>
      <c r="Y3179" s="172"/>
      <c r="Z3179" s="172"/>
      <c r="AA3179" s="195"/>
      <c r="AB3179" s="172"/>
    </row>
    <row r="3180" spans="1:28" ht="12.6" customHeight="1" x14ac:dyDescent="0.3">
      <c r="A3180" s="667"/>
      <c r="B3180" s="668" t="s">
        <v>10370</v>
      </c>
      <c r="C3180" s="160" t="s">
        <v>10371</v>
      </c>
      <c r="D3180" s="160"/>
      <c r="E3180" s="439"/>
      <c r="F3180" s="161">
        <v>465.96617155400003</v>
      </c>
      <c r="G3180" s="161">
        <v>-92.4</v>
      </c>
      <c r="H3180" s="654">
        <v>1628.9281960000001</v>
      </c>
      <c r="I3180" s="654">
        <v>0.73680900876976196</v>
      </c>
      <c r="J3180" s="191"/>
      <c r="K3180" s="191">
        <v>21818.254334491401</v>
      </c>
      <c r="L3180" s="191"/>
      <c r="M3180" s="191"/>
      <c r="N3180" s="191"/>
      <c r="O3180" s="191"/>
      <c r="P3180" s="191"/>
      <c r="Q3180" s="191"/>
      <c r="R3180" s="191"/>
      <c r="S3180" s="191"/>
      <c r="T3180" s="191"/>
      <c r="U3180" s="439"/>
      <c r="V3180" s="441"/>
      <c r="W3180" s="178"/>
      <c r="X3180" s="172"/>
      <c r="Y3180" s="172"/>
      <c r="Z3180" s="172"/>
      <c r="AA3180" s="195"/>
      <c r="AB3180" s="172"/>
    </row>
    <row r="3181" spans="1:28" ht="12.6" customHeight="1" x14ac:dyDescent="0.3">
      <c r="A3181" s="667"/>
      <c r="B3181" s="668" t="s">
        <v>10372</v>
      </c>
      <c r="C3181" s="160" t="s">
        <v>10373</v>
      </c>
      <c r="D3181" s="160"/>
      <c r="E3181" s="439"/>
      <c r="F3181" s="161">
        <v>387.97445060799998</v>
      </c>
      <c r="G3181" s="161"/>
      <c r="H3181" s="654"/>
      <c r="I3181" s="654"/>
      <c r="J3181" s="191"/>
      <c r="K3181" s="191">
        <v>8288.0049159727405</v>
      </c>
      <c r="L3181" s="191"/>
      <c r="M3181" s="191"/>
      <c r="N3181" s="191"/>
      <c r="O3181" s="191"/>
      <c r="P3181" s="191"/>
      <c r="Q3181" s="191"/>
      <c r="R3181" s="191"/>
      <c r="S3181" s="191"/>
      <c r="T3181" s="191"/>
      <c r="U3181" s="439"/>
      <c r="V3181" s="441"/>
      <c r="W3181" s="178"/>
      <c r="X3181" s="172"/>
      <c r="Y3181" s="172"/>
      <c r="Z3181" s="172"/>
      <c r="AA3181" s="195"/>
      <c r="AB3181" s="172"/>
    </row>
    <row r="3182" spans="1:28" ht="12.6" customHeight="1" x14ac:dyDescent="0.3">
      <c r="A3182" s="667"/>
      <c r="B3182" s="668" t="s">
        <v>10374</v>
      </c>
      <c r="C3182" s="160" t="s">
        <v>10375</v>
      </c>
      <c r="D3182" s="160"/>
      <c r="E3182" s="439">
        <v>4.8920000000000003</v>
      </c>
      <c r="F3182" s="161">
        <v>337.97764428200003</v>
      </c>
      <c r="G3182" s="161">
        <v>-108.212</v>
      </c>
      <c r="H3182" s="654">
        <v>57663.631507999999</v>
      </c>
      <c r="I3182" s="654">
        <v>5.6479106158320702</v>
      </c>
      <c r="J3182" s="191"/>
      <c r="K3182" s="191">
        <v>6294.1921937140496</v>
      </c>
      <c r="L3182" s="191"/>
      <c r="M3182" s="191"/>
      <c r="N3182" s="191"/>
      <c r="O3182" s="191"/>
      <c r="P3182" s="191"/>
      <c r="Q3182" s="191"/>
      <c r="R3182" s="191"/>
      <c r="S3182" s="191"/>
      <c r="T3182" s="191"/>
      <c r="U3182" s="439"/>
      <c r="V3182" s="441"/>
      <c r="W3182" s="178"/>
      <c r="X3182" s="172"/>
      <c r="Y3182" s="172"/>
      <c r="Z3182" s="172"/>
      <c r="AA3182" s="195"/>
      <c r="AB3182" s="172"/>
    </row>
    <row r="3183" spans="1:28" ht="12.6" customHeight="1" x14ac:dyDescent="0.3">
      <c r="A3183" s="667"/>
      <c r="B3183" s="668" t="s">
        <v>10376</v>
      </c>
      <c r="C3183" s="160" t="s">
        <v>10377</v>
      </c>
      <c r="D3183" s="160"/>
      <c r="E3183" s="439"/>
      <c r="F3183" s="161">
        <v>297.90396600000003</v>
      </c>
      <c r="G3183" s="161">
        <v>-66.263000000000005</v>
      </c>
      <c r="H3183" s="654">
        <v>32953.465384000003</v>
      </c>
      <c r="I3183" s="654">
        <v>2.21858616407112</v>
      </c>
      <c r="J3183" s="191"/>
      <c r="K3183" s="191">
        <v>5145.8840948699499</v>
      </c>
      <c r="L3183" s="191"/>
      <c r="M3183" s="191"/>
      <c r="N3183" s="191"/>
      <c r="O3183" s="191"/>
      <c r="P3183" s="191"/>
      <c r="Q3183" s="191"/>
      <c r="R3183" s="191"/>
      <c r="S3183" s="191"/>
      <c r="T3183" s="191"/>
      <c r="U3183" s="439"/>
      <c r="V3183" s="441"/>
      <c r="W3183" s="178"/>
      <c r="X3183" s="172"/>
      <c r="Y3183" s="172"/>
      <c r="Z3183" s="172"/>
      <c r="AA3183" s="195"/>
      <c r="AB3183" s="172"/>
    </row>
    <row r="3184" spans="1:28" ht="12.6" customHeight="1" x14ac:dyDescent="0.3">
      <c r="A3184" s="667"/>
      <c r="B3184" s="668" t="s">
        <v>10378</v>
      </c>
      <c r="C3184" s="160" t="s">
        <v>10379</v>
      </c>
      <c r="D3184" s="160"/>
      <c r="E3184" s="439"/>
      <c r="F3184" s="161">
        <v>437.971256934</v>
      </c>
      <c r="G3184" s="161"/>
      <c r="H3184" s="654"/>
      <c r="I3184" s="654"/>
      <c r="J3184" s="191"/>
      <c r="K3184" s="191">
        <v>46931.020725905597</v>
      </c>
      <c r="L3184" s="191"/>
      <c r="M3184" s="191"/>
      <c r="N3184" s="191"/>
      <c r="O3184" s="191"/>
      <c r="P3184" s="191"/>
      <c r="Q3184" s="191"/>
      <c r="R3184" s="191"/>
      <c r="S3184" s="191"/>
      <c r="T3184" s="191"/>
      <c r="U3184" s="439"/>
      <c r="V3184" s="441"/>
      <c r="W3184" s="178"/>
      <c r="X3184" s="172"/>
      <c r="Y3184" s="172"/>
      <c r="Z3184" s="172"/>
      <c r="AA3184" s="195"/>
      <c r="AB3184" s="172"/>
    </row>
    <row r="3185" spans="1:28" ht="12.6" customHeight="1" x14ac:dyDescent="0.3">
      <c r="A3185" s="667"/>
      <c r="B3185" s="668" t="s">
        <v>10380</v>
      </c>
      <c r="C3185" s="160" t="s">
        <v>10381</v>
      </c>
      <c r="D3185" s="160"/>
      <c r="E3185" s="439"/>
      <c r="F3185" s="161">
        <v>507.81432000000001</v>
      </c>
      <c r="G3185" s="161">
        <v>-29.02</v>
      </c>
      <c r="H3185" s="654">
        <v>277.26976339999999</v>
      </c>
      <c r="I3185" s="654">
        <v>0.52930502202240004</v>
      </c>
      <c r="J3185" s="191"/>
      <c r="K3185" s="191">
        <v>2039482.5790897</v>
      </c>
      <c r="L3185" s="191"/>
      <c r="M3185" s="191"/>
      <c r="N3185" s="191"/>
      <c r="O3185" s="191"/>
      <c r="P3185" s="191"/>
      <c r="Q3185" s="191"/>
      <c r="R3185" s="191"/>
      <c r="S3185" s="191"/>
      <c r="T3185" s="191"/>
      <c r="U3185" s="439"/>
      <c r="V3185" s="441"/>
      <c r="W3185" s="178"/>
      <c r="X3185" s="172"/>
      <c r="Y3185" s="172"/>
      <c r="Z3185" s="172"/>
      <c r="AA3185" s="195"/>
      <c r="AB3185" s="172"/>
    </row>
    <row r="3186" spans="1:28" ht="12.6" customHeight="1" x14ac:dyDescent="0.3">
      <c r="A3186" s="667"/>
      <c r="B3186" s="668" t="s">
        <v>10382</v>
      </c>
      <c r="C3186" s="160" t="s">
        <v>10383</v>
      </c>
      <c r="D3186" s="160"/>
      <c r="E3186" s="439"/>
      <c r="F3186" s="161">
        <v>437.971256934</v>
      </c>
      <c r="G3186" s="161"/>
      <c r="H3186" s="654"/>
      <c r="I3186" s="654"/>
      <c r="J3186" s="191"/>
      <c r="K3186" s="191">
        <v>46008.7040024464</v>
      </c>
      <c r="L3186" s="191"/>
      <c r="M3186" s="191"/>
      <c r="N3186" s="191"/>
      <c r="O3186" s="191"/>
      <c r="P3186" s="191"/>
      <c r="Q3186" s="191"/>
      <c r="R3186" s="191"/>
      <c r="S3186" s="191"/>
      <c r="T3186" s="191"/>
      <c r="U3186" s="439"/>
      <c r="V3186" s="441"/>
      <c r="W3186" s="178"/>
      <c r="X3186" s="172"/>
      <c r="Y3186" s="172"/>
      <c r="Z3186" s="172"/>
      <c r="AA3186" s="195"/>
      <c r="AB3186" s="172"/>
    </row>
    <row r="3187" spans="1:28" ht="12.6" customHeight="1" x14ac:dyDescent="0.3">
      <c r="A3187" s="667"/>
      <c r="B3187" s="668" t="s">
        <v>10384</v>
      </c>
      <c r="C3187" s="160" t="s">
        <v>10385</v>
      </c>
      <c r="D3187" s="160"/>
      <c r="E3187" s="439">
        <v>5.5679999999999996</v>
      </c>
      <c r="F3187" s="161">
        <v>397.89757900000001</v>
      </c>
      <c r="G3187" s="161">
        <v>-67.539000000000001</v>
      </c>
      <c r="H3187" s="654">
        <v>1342.4592146</v>
      </c>
      <c r="I3187" s="654">
        <v>6.6799045562519996</v>
      </c>
      <c r="J3187" s="191"/>
      <c r="K3187" s="191">
        <v>19143.000029001101</v>
      </c>
      <c r="L3187" s="191"/>
      <c r="M3187" s="191"/>
      <c r="N3187" s="191"/>
      <c r="O3187" s="191"/>
      <c r="P3187" s="191"/>
      <c r="Q3187" s="191"/>
      <c r="R3187" s="191"/>
      <c r="S3187" s="191"/>
      <c r="T3187" s="191"/>
      <c r="U3187" s="439"/>
      <c r="V3187" s="441"/>
      <c r="W3187" s="178"/>
      <c r="X3187" s="172"/>
      <c r="Y3187" s="172"/>
      <c r="Z3187" s="172"/>
      <c r="AA3187" s="195"/>
      <c r="AB3187" s="172"/>
    </row>
    <row r="3188" spans="1:28" ht="12.6" customHeight="1" x14ac:dyDescent="0.3">
      <c r="A3188" s="667"/>
      <c r="B3188" s="668" t="s">
        <v>10386</v>
      </c>
      <c r="C3188" s="160" t="s">
        <v>10387</v>
      </c>
      <c r="D3188" s="160"/>
      <c r="E3188" s="439"/>
      <c r="F3188" s="161">
        <v>447.894385</v>
      </c>
      <c r="G3188" s="161">
        <v>-61.139000000000003</v>
      </c>
      <c r="H3188" s="654">
        <v>1032.5282276400001</v>
      </c>
      <c r="I3188" s="654">
        <v>0.70012610791274998</v>
      </c>
      <c r="J3188" s="191"/>
      <c r="K3188" s="191">
        <v>22986.878483390301</v>
      </c>
      <c r="L3188" s="191"/>
      <c r="M3188" s="191"/>
      <c r="N3188" s="191"/>
      <c r="O3188" s="191"/>
      <c r="P3188" s="191"/>
      <c r="Q3188" s="191"/>
      <c r="R3188" s="191"/>
      <c r="S3188" s="191"/>
      <c r="T3188" s="191"/>
      <c r="U3188" s="439"/>
      <c r="V3188" s="441"/>
      <c r="W3188" s="178"/>
      <c r="X3188" s="172"/>
      <c r="Y3188" s="172"/>
      <c r="Z3188" s="172"/>
      <c r="AA3188" s="195"/>
      <c r="AB3188" s="172"/>
    </row>
    <row r="3189" spans="1:28" ht="12.6" customHeight="1" x14ac:dyDescent="0.3">
      <c r="A3189" s="667"/>
      <c r="B3189" s="668" t="s">
        <v>10388</v>
      </c>
      <c r="C3189" s="160" t="s">
        <v>10389</v>
      </c>
      <c r="D3189" s="160"/>
      <c r="E3189" s="439"/>
      <c r="F3189" s="161">
        <v>497.89119199999999</v>
      </c>
      <c r="G3189" s="161">
        <v>-62.923000000000002</v>
      </c>
      <c r="H3189" s="654">
        <v>829.66280600000005</v>
      </c>
      <c r="I3189" s="654">
        <v>0.313425492711152</v>
      </c>
      <c r="J3189" s="191"/>
      <c r="K3189" s="191">
        <v>118287.81237838601</v>
      </c>
      <c r="L3189" s="191"/>
      <c r="M3189" s="191"/>
      <c r="N3189" s="191"/>
      <c r="O3189" s="191"/>
      <c r="P3189" s="191"/>
      <c r="Q3189" s="191"/>
      <c r="R3189" s="191"/>
      <c r="S3189" s="191"/>
      <c r="T3189" s="191"/>
      <c r="U3189" s="439"/>
      <c r="V3189" s="441"/>
      <c r="W3189" s="178"/>
      <c r="X3189" s="172"/>
      <c r="Y3189" s="172"/>
      <c r="Z3189" s="172"/>
      <c r="AA3189" s="195"/>
      <c r="AB3189" s="172"/>
    </row>
    <row r="3190" spans="1:28" ht="12.6" customHeight="1" x14ac:dyDescent="0.3">
      <c r="A3190" s="667"/>
      <c r="B3190" s="668" t="s">
        <v>10390</v>
      </c>
      <c r="C3190" s="160" t="s">
        <v>10391</v>
      </c>
      <c r="D3190" s="160"/>
      <c r="E3190" s="439"/>
      <c r="F3190" s="161">
        <v>547.88799800000004</v>
      </c>
      <c r="G3190" s="161">
        <v>-63.04</v>
      </c>
      <c r="H3190" s="654">
        <v>645.50779383999998</v>
      </c>
      <c r="I3190" s="654"/>
      <c r="J3190" s="191"/>
      <c r="K3190" s="191">
        <v>164637.969028033</v>
      </c>
      <c r="L3190" s="191"/>
      <c r="M3190" s="191"/>
      <c r="N3190" s="191"/>
      <c r="O3190" s="191"/>
      <c r="P3190" s="191"/>
      <c r="Q3190" s="191"/>
      <c r="R3190" s="191"/>
      <c r="S3190" s="191"/>
      <c r="T3190" s="191"/>
      <c r="U3190" s="439"/>
      <c r="V3190" s="441"/>
      <c r="W3190" s="178"/>
      <c r="X3190" s="172"/>
      <c r="Y3190" s="172"/>
      <c r="Z3190" s="172"/>
      <c r="AA3190" s="195"/>
      <c r="AB3190" s="172"/>
    </row>
    <row r="3191" spans="1:28" ht="12.6" customHeight="1" x14ac:dyDescent="0.3">
      <c r="A3191" s="667"/>
      <c r="B3191" s="668" t="s">
        <v>10392</v>
      </c>
      <c r="C3191" s="160" t="s">
        <v>10393</v>
      </c>
      <c r="D3191" s="160"/>
      <c r="E3191" s="439"/>
      <c r="F3191" s="161">
        <v>697.87841700000001</v>
      </c>
      <c r="G3191" s="161"/>
      <c r="H3191" s="654"/>
      <c r="I3191" s="654"/>
      <c r="J3191" s="191"/>
      <c r="K3191" s="191">
        <v>343407.67720553302</v>
      </c>
      <c r="L3191" s="191"/>
      <c r="M3191" s="191"/>
      <c r="N3191" s="191"/>
      <c r="O3191" s="191"/>
      <c r="P3191" s="191"/>
      <c r="Q3191" s="191"/>
      <c r="R3191" s="191"/>
      <c r="S3191" s="191"/>
      <c r="T3191" s="191"/>
      <c r="U3191" s="439"/>
      <c r="V3191" s="441"/>
      <c r="W3191" s="178"/>
      <c r="X3191" s="172"/>
      <c r="Y3191" s="172"/>
      <c r="Z3191" s="172"/>
      <c r="AA3191" s="195"/>
      <c r="AB3191" s="172"/>
    </row>
    <row r="3192" spans="1:28" ht="12.6" customHeight="1" x14ac:dyDescent="0.3">
      <c r="A3192" s="667"/>
      <c r="B3192" s="668" t="s">
        <v>10394</v>
      </c>
      <c r="C3192" s="160" t="s">
        <v>10395</v>
      </c>
      <c r="D3192" s="160"/>
      <c r="E3192" s="439">
        <v>10.662000000000001</v>
      </c>
      <c r="F3192" s="161">
        <v>737.95209489000001</v>
      </c>
      <c r="G3192" s="161">
        <v>-25.826000000000001</v>
      </c>
      <c r="H3192" s="654">
        <v>49.079694537999998</v>
      </c>
      <c r="I3192" s="654"/>
      <c r="J3192" s="191"/>
      <c r="K3192" s="191">
        <v>253816.587013032</v>
      </c>
      <c r="L3192" s="191"/>
      <c r="M3192" s="191"/>
      <c r="N3192" s="191"/>
      <c r="O3192" s="191"/>
      <c r="P3192" s="191"/>
      <c r="Q3192" s="191"/>
      <c r="R3192" s="191"/>
      <c r="S3192" s="191"/>
      <c r="T3192" s="191"/>
      <c r="U3192" s="439"/>
      <c r="V3192" s="441"/>
      <c r="W3192" s="178"/>
      <c r="X3192" s="172"/>
      <c r="Y3192" s="172"/>
      <c r="Z3192" s="172"/>
      <c r="AA3192" s="195"/>
      <c r="AB3192" s="172"/>
    </row>
    <row r="3193" spans="1:28" ht="12.6" customHeight="1" x14ac:dyDescent="0.3">
      <c r="A3193" s="667"/>
      <c r="B3193" s="668" t="s">
        <v>10396</v>
      </c>
      <c r="C3193" s="160" t="s">
        <v>10397</v>
      </c>
      <c r="D3193" s="160"/>
      <c r="E3193" s="439"/>
      <c r="F3193" s="161">
        <v>687.95528856400006</v>
      </c>
      <c r="G3193" s="161">
        <v>-70.414000000000001</v>
      </c>
      <c r="H3193" s="654">
        <v>72.761548075999997</v>
      </c>
      <c r="I3193" s="654"/>
      <c r="J3193" s="191"/>
      <c r="K3193" s="191">
        <v>239756.284646935</v>
      </c>
      <c r="L3193" s="191"/>
      <c r="M3193" s="191"/>
      <c r="N3193" s="191"/>
      <c r="O3193" s="191"/>
      <c r="P3193" s="191"/>
      <c r="Q3193" s="191"/>
      <c r="R3193" s="191"/>
      <c r="S3193" s="191"/>
      <c r="T3193" s="191"/>
      <c r="U3193" s="439"/>
      <c r="V3193" s="441"/>
      <c r="W3193" s="178"/>
      <c r="X3193" s="172"/>
      <c r="Y3193" s="172"/>
      <c r="Z3193" s="172"/>
      <c r="AA3193" s="195"/>
      <c r="AB3193" s="172"/>
    </row>
    <row r="3194" spans="1:28" ht="12.6" customHeight="1" x14ac:dyDescent="0.3">
      <c r="A3194" s="667"/>
      <c r="B3194" s="668" t="s">
        <v>10398</v>
      </c>
      <c r="C3194" s="160" t="s">
        <v>10399</v>
      </c>
      <c r="D3194" s="160"/>
      <c r="E3194" s="439">
        <v>9.1850000000000005</v>
      </c>
      <c r="F3194" s="161">
        <v>637.95848223799999</v>
      </c>
      <c r="G3194" s="161">
        <v>-64.597999999999999</v>
      </c>
      <c r="H3194" s="654">
        <v>605.20455324</v>
      </c>
      <c r="I3194" s="654"/>
      <c r="J3194" s="191"/>
      <c r="K3194" s="191">
        <v>248216.12992133299</v>
      </c>
      <c r="L3194" s="191"/>
      <c r="M3194" s="191"/>
      <c r="N3194" s="191"/>
      <c r="O3194" s="191"/>
      <c r="P3194" s="191"/>
      <c r="Q3194" s="191"/>
      <c r="R3194" s="191"/>
      <c r="S3194" s="191"/>
      <c r="T3194" s="191"/>
      <c r="U3194" s="439"/>
      <c r="V3194" s="441"/>
      <c r="W3194" s="178"/>
      <c r="X3194" s="172"/>
      <c r="Y3194" s="172"/>
      <c r="Z3194" s="172"/>
      <c r="AA3194" s="195"/>
      <c r="AB3194" s="172"/>
    </row>
    <row r="3195" spans="1:28" ht="12.6" customHeight="1" x14ac:dyDescent="0.3">
      <c r="A3195" s="667" t="s">
        <v>4414</v>
      </c>
      <c r="B3195" s="668" t="s">
        <v>10400</v>
      </c>
      <c r="C3195" s="160" t="s">
        <v>10401</v>
      </c>
      <c r="D3195" s="160"/>
      <c r="E3195" s="439"/>
      <c r="F3195" s="161"/>
      <c r="G3195" s="161"/>
      <c r="H3195" s="654"/>
      <c r="I3195" s="654"/>
      <c r="J3195" s="191"/>
      <c r="K3195" s="191"/>
      <c r="L3195" s="191"/>
      <c r="M3195" s="191"/>
      <c r="N3195" s="191"/>
      <c r="O3195" s="191"/>
      <c r="P3195" s="191"/>
      <c r="Q3195" s="191"/>
      <c r="R3195" s="191"/>
      <c r="S3195" s="191"/>
      <c r="T3195" s="191"/>
      <c r="U3195" s="439"/>
      <c r="V3195" s="441"/>
      <c r="W3195" s="178"/>
      <c r="X3195" s="172"/>
      <c r="Y3195" s="172"/>
      <c r="Z3195" s="172"/>
      <c r="AA3195" s="195"/>
      <c r="AB3195" s="172"/>
    </row>
    <row r="3196" spans="1:28" ht="12.6" customHeight="1" x14ac:dyDescent="0.3">
      <c r="A3196" s="667"/>
      <c r="B3196" s="668" t="s">
        <v>10402</v>
      </c>
      <c r="C3196" s="160" t="s">
        <v>10403</v>
      </c>
      <c r="D3196" s="160"/>
      <c r="E3196" s="439"/>
      <c r="F3196" s="161">
        <v>537.96486958599996</v>
      </c>
      <c r="G3196" s="161">
        <v>-64.349999999999994</v>
      </c>
      <c r="H3196" s="654">
        <v>1302.8719131400001</v>
      </c>
      <c r="I3196" s="654"/>
      <c r="J3196" s="191"/>
      <c r="K3196" s="191">
        <v>119299.878124528</v>
      </c>
      <c r="L3196" s="191"/>
      <c r="M3196" s="191"/>
      <c r="N3196" s="191"/>
      <c r="O3196" s="191"/>
      <c r="P3196" s="191"/>
      <c r="Q3196" s="191"/>
      <c r="R3196" s="191"/>
      <c r="S3196" s="191"/>
      <c r="T3196" s="191"/>
      <c r="U3196" s="439"/>
      <c r="V3196" s="441"/>
      <c r="W3196" s="178"/>
      <c r="X3196" s="172"/>
      <c r="Y3196" s="172"/>
      <c r="Z3196" s="172"/>
      <c r="AA3196" s="195"/>
      <c r="AB3196" s="172"/>
    </row>
    <row r="3197" spans="1:28" ht="12.6" customHeight="1" x14ac:dyDescent="0.3">
      <c r="A3197" s="667"/>
      <c r="B3197" s="668" t="s">
        <v>10404</v>
      </c>
      <c r="C3197" s="160" t="s">
        <v>10405</v>
      </c>
      <c r="D3197" s="160"/>
      <c r="E3197" s="439"/>
      <c r="F3197" s="161">
        <v>487.96806326000001</v>
      </c>
      <c r="G3197" s="161">
        <v>-68.087999999999994</v>
      </c>
      <c r="H3197" s="654">
        <v>2137.4849650000001</v>
      </c>
      <c r="I3197" s="654">
        <v>0.18766861338528901</v>
      </c>
      <c r="J3197" s="191"/>
      <c r="K3197" s="191">
        <v>71318.138667973995</v>
      </c>
      <c r="L3197" s="191"/>
      <c r="M3197" s="191"/>
      <c r="N3197" s="191"/>
      <c r="O3197" s="191"/>
      <c r="P3197" s="191"/>
      <c r="Q3197" s="191"/>
      <c r="R3197" s="191"/>
      <c r="S3197" s="191"/>
      <c r="T3197" s="191"/>
      <c r="U3197" s="439"/>
      <c r="V3197" s="441"/>
      <c r="W3197" s="178"/>
      <c r="X3197" s="172"/>
      <c r="Y3197" s="172"/>
      <c r="Z3197" s="172"/>
      <c r="AA3197" s="195"/>
      <c r="AB3197" s="172"/>
    </row>
    <row r="3198" spans="1:28" ht="12.6" customHeight="1" x14ac:dyDescent="0.3">
      <c r="A3198" s="667"/>
      <c r="B3198" s="668" t="s">
        <v>10406</v>
      </c>
      <c r="C3198" s="160" t="s">
        <v>10407</v>
      </c>
      <c r="D3198" s="160"/>
      <c r="E3198" s="439"/>
      <c r="F3198" s="161">
        <v>444.975927775</v>
      </c>
      <c r="G3198" s="161"/>
      <c r="H3198" s="654"/>
      <c r="I3198" s="654"/>
      <c r="J3198" s="191"/>
      <c r="K3198" s="191">
        <v>56103.505757413899</v>
      </c>
      <c r="L3198" s="191"/>
      <c r="M3198" s="191"/>
      <c r="N3198" s="191"/>
      <c r="O3198" s="191"/>
      <c r="P3198" s="191"/>
      <c r="Q3198" s="191"/>
      <c r="R3198" s="191"/>
      <c r="S3198" s="191"/>
      <c r="T3198" s="191"/>
      <c r="U3198" s="439"/>
      <c r="V3198" s="441"/>
      <c r="W3198" s="178"/>
      <c r="X3198" s="172"/>
      <c r="Y3198" s="172"/>
      <c r="Z3198" s="172"/>
      <c r="AA3198" s="195"/>
      <c r="AB3198" s="172"/>
    </row>
    <row r="3199" spans="1:28" ht="12.6" customHeight="1" x14ac:dyDescent="0.3">
      <c r="A3199" s="667"/>
      <c r="B3199" s="668" t="s">
        <v>10408</v>
      </c>
      <c r="C3199" s="160" t="s">
        <v>10409</v>
      </c>
      <c r="D3199" s="160"/>
      <c r="E3199" s="439"/>
      <c r="F3199" s="161">
        <v>461.99124348800001</v>
      </c>
      <c r="G3199" s="161"/>
      <c r="H3199" s="654"/>
      <c r="I3199" s="654"/>
      <c r="J3199" s="191"/>
      <c r="K3199" s="191"/>
      <c r="L3199" s="191"/>
      <c r="M3199" s="191"/>
      <c r="N3199" s="191"/>
      <c r="O3199" s="191"/>
      <c r="P3199" s="191"/>
      <c r="Q3199" s="191"/>
      <c r="R3199" s="191"/>
      <c r="S3199" s="191"/>
      <c r="T3199" s="191"/>
      <c r="U3199" s="439"/>
      <c r="V3199" s="441"/>
      <c r="W3199" s="178"/>
      <c r="X3199" s="172"/>
      <c r="Y3199" s="172"/>
      <c r="Z3199" s="172"/>
      <c r="AA3199" s="195"/>
      <c r="AB3199" s="172"/>
    </row>
    <row r="3200" spans="1:28" ht="12.6" customHeight="1" x14ac:dyDescent="0.3">
      <c r="A3200" s="667"/>
      <c r="B3200" s="668" t="s">
        <v>10410</v>
      </c>
      <c r="C3200" s="160" t="s">
        <v>10411</v>
      </c>
      <c r="D3200" s="160"/>
      <c r="E3200" s="439">
        <v>6.9210000000000003</v>
      </c>
      <c r="F3200" s="161">
        <v>453.94170650000001</v>
      </c>
      <c r="G3200" s="161">
        <v>-67.594999999999999</v>
      </c>
      <c r="H3200" s="654">
        <v>1161.18662408</v>
      </c>
      <c r="I3200" s="654">
        <v>0.367282418962324</v>
      </c>
      <c r="J3200" s="191"/>
      <c r="K3200" s="191">
        <v>59699.4046271716</v>
      </c>
      <c r="L3200" s="191"/>
      <c r="M3200" s="191"/>
      <c r="N3200" s="191"/>
      <c r="O3200" s="191"/>
      <c r="P3200" s="191"/>
      <c r="Q3200" s="191"/>
      <c r="R3200" s="191"/>
      <c r="S3200" s="191"/>
      <c r="T3200" s="191"/>
      <c r="U3200" s="439"/>
      <c r="V3200" s="441"/>
      <c r="W3200" s="178"/>
      <c r="X3200" s="172"/>
      <c r="Y3200" s="172"/>
      <c r="Z3200" s="172"/>
      <c r="AA3200" s="195"/>
      <c r="AB3200" s="172"/>
    </row>
    <row r="3201" spans="1:28" ht="12.6" customHeight="1" x14ac:dyDescent="0.3">
      <c r="A3201" s="667"/>
      <c r="B3201" s="668" t="s">
        <v>10412</v>
      </c>
      <c r="C3201" s="160" t="s">
        <v>10413</v>
      </c>
      <c r="D3201" s="160"/>
      <c r="E3201" s="439"/>
      <c r="F3201" s="161">
        <v>437.971256934</v>
      </c>
      <c r="G3201" s="161">
        <v>-72.399000000000001</v>
      </c>
      <c r="H3201" s="654">
        <v>5955.2804248000002</v>
      </c>
      <c r="I3201" s="654">
        <v>0.41825948457317103</v>
      </c>
      <c r="J3201" s="191"/>
      <c r="K3201" s="191">
        <v>41922.7728530206</v>
      </c>
      <c r="L3201" s="191"/>
      <c r="M3201" s="191"/>
      <c r="N3201" s="191"/>
      <c r="O3201" s="191"/>
      <c r="P3201" s="191"/>
      <c r="Q3201" s="191"/>
      <c r="R3201" s="191"/>
      <c r="S3201" s="191"/>
      <c r="T3201" s="191"/>
      <c r="U3201" s="439"/>
      <c r="V3201" s="441"/>
      <c r="W3201" s="178"/>
      <c r="X3201" s="172"/>
      <c r="Y3201" s="172"/>
      <c r="Z3201" s="172"/>
      <c r="AA3201" s="195"/>
      <c r="AB3201" s="172"/>
    </row>
    <row r="3202" spans="1:28" ht="12.6" customHeight="1" x14ac:dyDescent="0.3">
      <c r="A3202" s="667"/>
      <c r="B3202" s="668" t="s">
        <v>10414</v>
      </c>
      <c r="C3202" s="160" t="s">
        <v>10415</v>
      </c>
      <c r="D3202" s="160"/>
      <c r="E3202" s="439">
        <v>42.334000000000003</v>
      </c>
      <c r="F3202" s="161">
        <v>489.98615810799998</v>
      </c>
      <c r="G3202" s="161">
        <v>-56.927</v>
      </c>
      <c r="H3202" s="654">
        <v>108.617966688</v>
      </c>
      <c r="I3202" s="654"/>
      <c r="J3202" s="191"/>
      <c r="K3202" s="191">
        <v>54515.500042639404</v>
      </c>
      <c r="L3202" s="191"/>
      <c r="M3202" s="191"/>
      <c r="N3202" s="191"/>
      <c r="O3202" s="191"/>
      <c r="P3202" s="191"/>
      <c r="Q3202" s="191"/>
      <c r="R3202" s="191"/>
      <c r="S3202" s="191"/>
      <c r="T3202" s="191"/>
      <c r="U3202" s="439"/>
      <c r="V3202" s="441"/>
      <c r="W3202" s="178"/>
      <c r="X3202" s="172"/>
      <c r="Y3202" s="172"/>
      <c r="Z3202" s="172"/>
      <c r="AA3202" s="195"/>
      <c r="AB3202" s="172"/>
    </row>
    <row r="3203" spans="1:28" ht="12.6" customHeight="1" x14ac:dyDescent="0.3">
      <c r="A3203" s="667"/>
      <c r="B3203" s="668" t="s">
        <v>10416</v>
      </c>
      <c r="C3203" s="160" t="s">
        <v>10417</v>
      </c>
      <c r="D3203" s="160"/>
      <c r="E3203" s="439"/>
      <c r="F3203" s="161">
        <v>394.97912144899999</v>
      </c>
      <c r="G3203" s="161">
        <v>-55.688000000000002</v>
      </c>
      <c r="H3203" s="654">
        <v>394.367809219999</v>
      </c>
      <c r="I3203" s="654">
        <v>1.2605916652693401</v>
      </c>
      <c r="J3203" s="191"/>
      <c r="K3203" s="191">
        <v>8762.5397279355093</v>
      </c>
      <c r="L3203" s="191"/>
      <c r="M3203" s="191"/>
      <c r="N3203" s="191"/>
      <c r="O3203" s="191"/>
      <c r="P3203" s="191"/>
      <c r="Q3203" s="191"/>
      <c r="R3203" s="191"/>
      <c r="S3203" s="191"/>
      <c r="T3203" s="191"/>
      <c r="U3203" s="439"/>
      <c r="V3203" s="441"/>
      <c r="W3203" s="178"/>
      <c r="X3203" s="172"/>
      <c r="Y3203" s="172"/>
      <c r="Z3203" s="172"/>
      <c r="AA3203" s="195"/>
      <c r="AB3203" s="172"/>
    </row>
    <row r="3204" spans="1:28" ht="12.6" customHeight="1" x14ac:dyDescent="0.3">
      <c r="A3204" s="667"/>
      <c r="B3204" s="668" t="s">
        <v>10418</v>
      </c>
      <c r="C3204" s="160" t="s">
        <v>10419</v>
      </c>
      <c r="D3204" s="160"/>
      <c r="E3204" s="439"/>
      <c r="F3204" s="161">
        <v>387.97445060799998</v>
      </c>
      <c r="G3204" s="161">
        <v>-84.447999999999993</v>
      </c>
      <c r="H3204" s="654">
        <v>10349.080253399999</v>
      </c>
      <c r="I3204" s="654">
        <v>0.92215319318311795</v>
      </c>
      <c r="J3204" s="191"/>
      <c r="K3204" s="191">
        <v>7862.6691218832302</v>
      </c>
      <c r="L3204" s="191"/>
      <c r="M3204" s="191"/>
      <c r="N3204" s="191"/>
      <c r="O3204" s="191"/>
      <c r="P3204" s="191"/>
      <c r="Q3204" s="191"/>
      <c r="R3204" s="191"/>
      <c r="S3204" s="191"/>
      <c r="T3204" s="191"/>
      <c r="U3204" s="439"/>
      <c r="V3204" s="441"/>
      <c r="W3204" s="178"/>
      <c r="X3204" s="172"/>
      <c r="Y3204" s="172"/>
      <c r="Z3204" s="172"/>
      <c r="AA3204" s="195"/>
      <c r="AB3204" s="172"/>
    </row>
    <row r="3205" spans="1:28" ht="12.6" customHeight="1" x14ac:dyDescent="0.3">
      <c r="A3205" s="667"/>
      <c r="B3205" s="668" t="s">
        <v>10420</v>
      </c>
      <c r="C3205" s="160" t="s">
        <v>10421</v>
      </c>
      <c r="D3205" s="160"/>
      <c r="E3205" s="439"/>
      <c r="F3205" s="161">
        <v>344.98231512299998</v>
      </c>
      <c r="G3205" s="161">
        <v>-64.238</v>
      </c>
      <c r="H3205" s="654">
        <v>405.41620336</v>
      </c>
      <c r="I3205" s="654">
        <v>2.7339882971729201</v>
      </c>
      <c r="J3205" s="191"/>
      <c r="K3205" s="191">
        <v>3406.9048146130999</v>
      </c>
      <c r="L3205" s="191"/>
      <c r="M3205" s="191"/>
      <c r="N3205" s="191"/>
      <c r="O3205" s="191"/>
      <c r="P3205" s="191"/>
      <c r="Q3205" s="191"/>
      <c r="R3205" s="191"/>
      <c r="S3205" s="191"/>
      <c r="T3205" s="191"/>
      <c r="U3205" s="439"/>
      <c r="V3205" s="441"/>
      <c r="W3205" s="178"/>
      <c r="X3205" s="172"/>
      <c r="Y3205" s="172"/>
      <c r="Z3205" s="172"/>
      <c r="AA3205" s="195"/>
      <c r="AB3205" s="172"/>
    </row>
    <row r="3206" spans="1:28" ht="12.6" customHeight="1" x14ac:dyDescent="0.3">
      <c r="A3206" s="667"/>
      <c r="B3206" s="668" t="s">
        <v>10422</v>
      </c>
      <c r="C3206" s="160" t="s">
        <v>10423</v>
      </c>
      <c r="D3206" s="160"/>
      <c r="E3206" s="439"/>
      <c r="F3206" s="161">
        <v>415.96936522800002</v>
      </c>
      <c r="G3206" s="161"/>
      <c r="H3206" s="654"/>
      <c r="I3206" s="654"/>
      <c r="J3206" s="191"/>
      <c r="K3206" s="191"/>
      <c r="L3206" s="191"/>
      <c r="M3206" s="191"/>
      <c r="N3206" s="191"/>
      <c r="O3206" s="191"/>
      <c r="P3206" s="191"/>
      <c r="Q3206" s="191"/>
      <c r="R3206" s="191"/>
      <c r="S3206" s="191"/>
      <c r="T3206" s="191"/>
      <c r="U3206" s="439"/>
      <c r="V3206" s="441"/>
      <c r="W3206" s="178"/>
      <c r="X3206" s="172"/>
      <c r="Y3206" s="172"/>
      <c r="Z3206" s="172"/>
      <c r="AA3206" s="195"/>
      <c r="AB3206" s="172"/>
    </row>
    <row r="3207" spans="1:28" ht="12.6" customHeight="1" x14ac:dyDescent="0.3">
      <c r="A3207" s="667"/>
      <c r="B3207" s="668" t="s">
        <v>10424</v>
      </c>
      <c r="C3207" s="160" t="s">
        <v>10425</v>
      </c>
      <c r="D3207" s="160"/>
      <c r="E3207" s="439">
        <v>5.3289999999999997</v>
      </c>
      <c r="F3207" s="161">
        <v>353.94809379999998</v>
      </c>
      <c r="G3207" s="161">
        <v>-72.210999999999999</v>
      </c>
      <c r="H3207" s="654">
        <v>3403.3106939999998</v>
      </c>
      <c r="I3207" s="654">
        <v>7.6372795991601103</v>
      </c>
      <c r="J3207" s="191"/>
      <c r="K3207" s="191">
        <v>7385.3316029535599</v>
      </c>
      <c r="L3207" s="191"/>
      <c r="M3207" s="191"/>
      <c r="N3207" s="191"/>
      <c r="O3207" s="191"/>
      <c r="P3207" s="191"/>
      <c r="Q3207" s="191"/>
      <c r="R3207" s="191"/>
      <c r="S3207" s="191"/>
      <c r="T3207" s="191"/>
      <c r="U3207" s="439"/>
      <c r="V3207" s="441"/>
      <c r="W3207" s="178"/>
      <c r="X3207" s="172"/>
      <c r="Y3207" s="172"/>
      <c r="Z3207" s="172"/>
      <c r="AA3207" s="195"/>
      <c r="AB3207" s="172"/>
    </row>
    <row r="3208" spans="1:28" ht="12.6" customHeight="1" x14ac:dyDescent="0.3">
      <c r="A3208" s="667"/>
      <c r="B3208" s="668" t="s">
        <v>10426</v>
      </c>
      <c r="C3208" s="160" t="s">
        <v>10427</v>
      </c>
      <c r="D3208" s="160"/>
      <c r="E3208" s="439"/>
      <c r="F3208" s="161">
        <v>427.99043745400002</v>
      </c>
      <c r="G3208" s="161">
        <v>-52.392000000000003</v>
      </c>
      <c r="H3208" s="654">
        <v>8.450881614</v>
      </c>
      <c r="I3208" s="654">
        <v>0.17355397430153399</v>
      </c>
      <c r="J3208" s="191"/>
      <c r="K3208" s="191">
        <v>40273558.055729598</v>
      </c>
      <c r="L3208" s="191"/>
      <c r="M3208" s="191"/>
      <c r="N3208" s="191"/>
      <c r="O3208" s="191"/>
      <c r="P3208" s="191"/>
      <c r="Q3208" s="191"/>
      <c r="R3208" s="191"/>
      <c r="S3208" s="191"/>
      <c r="T3208" s="191"/>
      <c r="U3208" s="439"/>
      <c r="V3208" s="441"/>
      <c r="W3208" s="178"/>
      <c r="X3208" s="172"/>
      <c r="Y3208" s="172"/>
      <c r="Z3208" s="172"/>
      <c r="AA3208" s="195"/>
      <c r="AB3208" s="172"/>
    </row>
    <row r="3209" spans="1:28" ht="12.6" customHeight="1" x14ac:dyDescent="0.3">
      <c r="A3209" s="667"/>
      <c r="B3209" s="668" t="s">
        <v>10428</v>
      </c>
      <c r="C3209" s="160" t="s">
        <v>10429</v>
      </c>
      <c r="D3209" s="160"/>
      <c r="E3209" s="439"/>
      <c r="F3209" s="161">
        <v>385.920165</v>
      </c>
      <c r="G3209" s="161">
        <v>-69.680000000000007</v>
      </c>
      <c r="H3209" s="654">
        <v>499.92150306000002</v>
      </c>
      <c r="I3209" s="654">
        <v>1.2691061810058</v>
      </c>
      <c r="J3209" s="191"/>
      <c r="K3209" s="191">
        <v>1164769.52701707</v>
      </c>
      <c r="L3209" s="191"/>
      <c r="M3209" s="191"/>
      <c r="N3209" s="191"/>
      <c r="O3209" s="191"/>
      <c r="P3209" s="191"/>
      <c r="Q3209" s="191"/>
      <c r="R3209" s="191"/>
      <c r="S3209" s="191"/>
      <c r="T3209" s="191"/>
      <c r="U3209" s="439"/>
      <c r="V3209" s="441"/>
      <c r="W3209" s="178"/>
      <c r="X3209" s="172"/>
      <c r="Y3209" s="172"/>
      <c r="Z3209" s="172"/>
      <c r="AA3209" s="195"/>
      <c r="AB3209" s="172"/>
    </row>
    <row r="3210" spans="1:28" ht="12.6" customHeight="1" x14ac:dyDescent="0.3">
      <c r="A3210" s="667"/>
      <c r="B3210" s="668" t="s">
        <v>10430</v>
      </c>
      <c r="C3210" s="160" t="s">
        <v>10431</v>
      </c>
      <c r="D3210" s="160"/>
      <c r="E3210" s="439"/>
      <c r="F3210" s="161">
        <v>701.902624586</v>
      </c>
      <c r="G3210" s="161">
        <v>-88.87</v>
      </c>
      <c r="H3210" s="654">
        <v>39.346121961999998</v>
      </c>
      <c r="I3210" s="654"/>
      <c r="J3210" s="191"/>
      <c r="K3210" s="191">
        <v>34664105.675516397</v>
      </c>
      <c r="L3210" s="191"/>
      <c r="M3210" s="191"/>
      <c r="N3210" s="191"/>
      <c r="O3210" s="191"/>
      <c r="P3210" s="191"/>
      <c r="Q3210" s="191"/>
      <c r="R3210" s="191"/>
      <c r="S3210" s="191"/>
      <c r="T3210" s="191"/>
      <c r="U3210" s="439"/>
      <c r="V3210" s="441"/>
      <c r="W3210" s="178"/>
      <c r="X3210" s="172"/>
      <c r="Y3210" s="172"/>
      <c r="Z3210" s="172"/>
      <c r="AA3210" s="195"/>
      <c r="AB3210" s="172"/>
    </row>
    <row r="3211" spans="1:28" ht="12.6" customHeight="1" x14ac:dyDescent="0.3">
      <c r="A3211" s="667"/>
      <c r="B3211" s="668" t="s">
        <v>10432</v>
      </c>
      <c r="C3211" s="160" t="s">
        <v>10433</v>
      </c>
      <c r="D3211" s="160"/>
      <c r="E3211" s="439">
        <v>31.504000000000001</v>
      </c>
      <c r="F3211" s="161">
        <v>294.98550879700002</v>
      </c>
      <c r="G3211" s="161">
        <v>-69.971000000000004</v>
      </c>
      <c r="H3211" s="654">
        <v>965.83256391999998</v>
      </c>
      <c r="I3211" s="654">
        <v>25.049608934574501</v>
      </c>
      <c r="J3211" s="191"/>
      <c r="K3211" s="191">
        <v>678.23469143436398</v>
      </c>
      <c r="L3211" s="191"/>
      <c r="M3211" s="191"/>
      <c r="N3211" s="191"/>
      <c r="O3211" s="191"/>
      <c r="P3211" s="191"/>
      <c r="Q3211" s="191"/>
      <c r="R3211" s="191"/>
      <c r="S3211" s="191"/>
      <c r="T3211" s="191"/>
      <c r="U3211" s="439"/>
      <c r="V3211" s="441"/>
      <c r="W3211" s="178"/>
      <c r="X3211" s="172"/>
      <c r="Y3211" s="172"/>
      <c r="Z3211" s="172"/>
      <c r="AA3211" s="195"/>
      <c r="AB3211" s="172"/>
    </row>
    <row r="3212" spans="1:28" ht="12.6" customHeight="1" x14ac:dyDescent="0.3">
      <c r="A3212" s="667"/>
      <c r="B3212" s="668" t="s">
        <v>10434</v>
      </c>
      <c r="C3212" s="160" t="s">
        <v>10435</v>
      </c>
      <c r="D3212" s="160"/>
      <c r="E3212" s="439"/>
      <c r="F3212" s="161">
        <v>287.98083795600002</v>
      </c>
      <c r="G3212" s="161">
        <v>-103.15600000000001</v>
      </c>
      <c r="H3212" s="654">
        <v>134245.92145999899</v>
      </c>
      <c r="I3212" s="654">
        <v>24.008415296799601</v>
      </c>
      <c r="J3212" s="191"/>
      <c r="K3212" s="191">
        <v>24942.501097509299</v>
      </c>
      <c r="L3212" s="191"/>
      <c r="M3212" s="191"/>
      <c r="N3212" s="191"/>
      <c r="O3212" s="191"/>
      <c r="P3212" s="191"/>
      <c r="Q3212" s="191"/>
      <c r="R3212" s="191"/>
      <c r="S3212" s="191"/>
      <c r="T3212" s="191"/>
      <c r="U3212" s="439"/>
      <c r="V3212" s="441"/>
      <c r="W3212" s="178"/>
      <c r="X3212" s="172"/>
      <c r="Y3212" s="172"/>
      <c r="Z3212" s="172"/>
      <c r="AA3212" s="195"/>
      <c r="AB3212" s="172"/>
    </row>
    <row r="3213" spans="1:28" ht="12.6" customHeight="1" x14ac:dyDescent="0.3">
      <c r="A3213" s="667"/>
      <c r="B3213" s="668" t="s">
        <v>10436</v>
      </c>
      <c r="C3213" s="160" t="s">
        <v>10437</v>
      </c>
      <c r="D3213" s="160"/>
      <c r="E3213" s="439">
        <v>5.07</v>
      </c>
      <c r="F3213" s="161">
        <v>482.97273410100001</v>
      </c>
      <c r="G3213" s="161">
        <v>-47.741999999999997</v>
      </c>
      <c r="H3213" s="654">
        <v>141.5479674</v>
      </c>
      <c r="I3213" s="654"/>
      <c r="J3213" s="191"/>
      <c r="K3213" s="191">
        <v>101765.36626205299</v>
      </c>
      <c r="L3213" s="191"/>
      <c r="M3213" s="191"/>
      <c r="N3213" s="191"/>
      <c r="O3213" s="191"/>
      <c r="P3213" s="191"/>
      <c r="Q3213" s="191"/>
      <c r="R3213" s="191"/>
      <c r="S3213" s="191"/>
      <c r="T3213" s="191"/>
      <c r="U3213" s="439"/>
      <c r="V3213" s="441"/>
      <c r="W3213" s="178"/>
      <c r="X3213" s="172"/>
      <c r="Y3213" s="172"/>
      <c r="Z3213" s="172"/>
      <c r="AA3213" s="195"/>
      <c r="AB3213" s="172"/>
    </row>
    <row r="3214" spans="1:28" ht="12.6" customHeight="1" x14ac:dyDescent="0.3">
      <c r="A3214" s="667"/>
      <c r="B3214" s="668" t="s">
        <v>10438</v>
      </c>
      <c r="C3214" s="160" t="s">
        <v>10439</v>
      </c>
      <c r="D3214" s="160"/>
      <c r="E3214" s="439"/>
      <c r="F3214" s="161">
        <v>244.98870247100001</v>
      </c>
      <c r="G3214" s="161">
        <v>-75.117000000000004</v>
      </c>
      <c r="H3214" s="654">
        <v>11746.3214778</v>
      </c>
      <c r="I3214" s="654">
        <v>45.935136724609997</v>
      </c>
      <c r="J3214" s="191"/>
      <c r="K3214" s="191">
        <v>242.32041271131601</v>
      </c>
      <c r="L3214" s="191"/>
      <c r="M3214" s="191"/>
      <c r="N3214" s="191"/>
      <c r="O3214" s="191"/>
      <c r="P3214" s="191"/>
      <c r="Q3214" s="191"/>
      <c r="R3214" s="191"/>
      <c r="S3214" s="191"/>
      <c r="T3214" s="191"/>
      <c r="U3214" s="439"/>
      <c r="V3214" s="441"/>
      <c r="W3214" s="178"/>
      <c r="X3214" s="172"/>
      <c r="Y3214" s="172"/>
      <c r="Z3214" s="172"/>
      <c r="AA3214" s="195"/>
      <c r="AB3214" s="172"/>
    </row>
    <row r="3215" spans="1:28" ht="12.6" customHeight="1" x14ac:dyDescent="0.3">
      <c r="A3215" s="667"/>
      <c r="B3215" s="668" t="s">
        <v>10440</v>
      </c>
      <c r="C3215" s="160" t="s">
        <v>10441</v>
      </c>
      <c r="D3215" s="160"/>
      <c r="E3215" s="439">
        <v>6.41</v>
      </c>
      <c r="F3215" s="161">
        <v>499.96806326000001</v>
      </c>
      <c r="G3215" s="161">
        <v>-38.588000000000001</v>
      </c>
      <c r="H3215" s="654">
        <v>469.78806462</v>
      </c>
      <c r="I3215" s="654"/>
      <c r="J3215" s="191"/>
      <c r="K3215" s="191">
        <v>617660743.67684805</v>
      </c>
      <c r="L3215" s="191"/>
      <c r="M3215" s="191"/>
      <c r="N3215" s="191"/>
      <c r="O3215" s="191"/>
      <c r="P3215" s="191"/>
      <c r="Q3215" s="191"/>
      <c r="R3215" s="191"/>
      <c r="S3215" s="191"/>
      <c r="T3215" s="191"/>
      <c r="U3215" s="439"/>
      <c r="V3215" s="441"/>
      <c r="W3215" s="178"/>
      <c r="X3215" s="172"/>
      <c r="Y3215" s="172"/>
      <c r="Z3215" s="172"/>
      <c r="AA3215" s="195"/>
      <c r="AB3215" s="172"/>
    </row>
    <row r="3216" spans="1:28" ht="12.6" customHeight="1" x14ac:dyDescent="0.3">
      <c r="A3216" s="667"/>
      <c r="B3216" s="668" t="s">
        <v>10442</v>
      </c>
      <c r="C3216" s="160" t="s">
        <v>10443</v>
      </c>
      <c r="D3216" s="160"/>
      <c r="E3216" s="439"/>
      <c r="F3216" s="161">
        <v>661.95848223799999</v>
      </c>
      <c r="G3216" s="161"/>
      <c r="H3216" s="654"/>
      <c r="I3216" s="654"/>
      <c r="J3216" s="191"/>
      <c r="K3216" s="191">
        <v>746483134.43727398</v>
      </c>
      <c r="L3216" s="191"/>
      <c r="M3216" s="191"/>
      <c r="N3216" s="191"/>
      <c r="O3216" s="191"/>
      <c r="P3216" s="191"/>
      <c r="Q3216" s="191"/>
      <c r="R3216" s="191"/>
      <c r="S3216" s="191"/>
      <c r="T3216" s="191"/>
      <c r="U3216" s="439"/>
      <c r="V3216" s="441"/>
      <c r="W3216" s="178"/>
      <c r="X3216" s="172"/>
      <c r="Y3216" s="172"/>
      <c r="Z3216" s="172"/>
      <c r="AA3216" s="195"/>
      <c r="AB3216" s="172"/>
    </row>
    <row r="3217" spans="1:28" ht="12.6" customHeight="1" x14ac:dyDescent="0.3">
      <c r="A3217" s="667"/>
      <c r="B3217" s="668" t="s">
        <v>10444</v>
      </c>
      <c r="C3217" s="160" t="s">
        <v>10445</v>
      </c>
      <c r="D3217" s="160"/>
      <c r="E3217" s="439"/>
      <c r="F3217" s="161">
        <v>661.95848223799999</v>
      </c>
      <c r="G3217" s="161"/>
      <c r="H3217" s="654"/>
      <c r="I3217" s="654"/>
      <c r="J3217" s="191"/>
      <c r="K3217" s="191">
        <v>744457655.04187202</v>
      </c>
      <c r="L3217" s="191"/>
      <c r="M3217" s="191"/>
      <c r="N3217" s="191"/>
      <c r="O3217" s="191"/>
      <c r="P3217" s="191"/>
      <c r="Q3217" s="191"/>
      <c r="R3217" s="191"/>
      <c r="S3217" s="191"/>
      <c r="T3217" s="191"/>
      <c r="U3217" s="439"/>
      <c r="V3217" s="441"/>
      <c r="W3217" s="178"/>
      <c r="X3217" s="172"/>
      <c r="Y3217" s="172"/>
      <c r="Z3217" s="172"/>
      <c r="AA3217" s="195"/>
      <c r="AB3217" s="172"/>
    </row>
    <row r="3218" spans="1:28" ht="12.6" customHeight="1" x14ac:dyDescent="0.3">
      <c r="A3218" s="667"/>
      <c r="B3218" s="668" t="s">
        <v>10446</v>
      </c>
      <c r="C3218" s="160" t="s">
        <v>10447</v>
      </c>
      <c r="D3218" s="160"/>
      <c r="E3218" s="439"/>
      <c r="F3218" s="161">
        <v>315.97575257599999</v>
      </c>
      <c r="G3218" s="161"/>
      <c r="H3218" s="654"/>
      <c r="I3218" s="654"/>
      <c r="J3218" s="191"/>
      <c r="K3218" s="191">
        <v>2296.0429089941399</v>
      </c>
      <c r="L3218" s="191"/>
      <c r="M3218" s="191"/>
      <c r="N3218" s="191"/>
      <c r="O3218" s="191"/>
      <c r="P3218" s="191"/>
      <c r="Q3218" s="191"/>
      <c r="R3218" s="191"/>
      <c r="S3218" s="191"/>
      <c r="T3218" s="191"/>
      <c r="U3218" s="439"/>
      <c r="V3218" s="441"/>
      <c r="W3218" s="178"/>
      <c r="X3218" s="172"/>
      <c r="Y3218" s="172"/>
      <c r="Z3218" s="172"/>
      <c r="AA3218" s="195"/>
      <c r="AB3218" s="172"/>
    </row>
    <row r="3219" spans="1:28" ht="12.6" customHeight="1" x14ac:dyDescent="0.3">
      <c r="A3219" s="667"/>
      <c r="B3219" s="668" t="s">
        <v>10448</v>
      </c>
      <c r="C3219" s="160" t="s">
        <v>10449</v>
      </c>
      <c r="D3219" s="160"/>
      <c r="E3219" s="439"/>
      <c r="F3219" s="161">
        <v>253.9544812</v>
      </c>
      <c r="G3219" s="161">
        <v>-77.891000000000005</v>
      </c>
      <c r="H3219" s="654">
        <v>54689.217687999997</v>
      </c>
      <c r="I3219" s="654">
        <v>4.2146031745470802</v>
      </c>
      <c r="J3219" s="191"/>
      <c r="K3219" s="191">
        <v>1007.72028309538</v>
      </c>
      <c r="L3219" s="191"/>
      <c r="M3219" s="191"/>
      <c r="N3219" s="191"/>
      <c r="O3219" s="191"/>
      <c r="P3219" s="191"/>
      <c r="Q3219" s="191"/>
      <c r="R3219" s="191"/>
      <c r="S3219" s="191"/>
      <c r="T3219" s="191"/>
      <c r="U3219" s="439"/>
      <c r="V3219" s="441"/>
      <c r="W3219" s="178"/>
      <c r="X3219" s="172"/>
      <c r="Y3219" s="172"/>
      <c r="Z3219" s="172"/>
      <c r="AA3219" s="195"/>
      <c r="AB3219" s="172"/>
    </row>
    <row r="3220" spans="1:28" ht="12.6" customHeight="1" x14ac:dyDescent="0.3">
      <c r="A3220" s="667"/>
      <c r="B3220" s="668" t="s">
        <v>10450</v>
      </c>
      <c r="C3220" s="160" t="s">
        <v>10451</v>
      </c>
      <c r="D3220" s="160"/>
      <c r="E3220" s="439"/>
      <c r="F3220" s="161">
        <v>237.98403163</v>
      </c>
      <c r="G3220" s="161">
        <v>-93.643000000000001</v>
      </c>
      <c r="H3220" s="654">
        <v>146859.51587999999</v>
      </c>
      <c r="I3220" s="654">
        <v>6.69187298540397</v>
      </c>
      <c r="J3220" s="191"/>
      <c r="K3220" s="191">
        <v>552.64977812463997</v>
      </c>
      <c r="L3220" s="191"/>
      <c r="M3220" s="191"/>
      <c r="N3220" s="191"/>
      <c r="O3220" s="191"/>
      <c r="P3220" s="191"/>
      <c r="Q3220" s="191"/>
      <c r="R3220" s="191"/>
      <c r="S3220" s="191"/>
      <c r="T3220" s="191"/>
      <c r="U3220" s="439"/>
      <c r="V3220" s="441"/>
      <c r="W3220" s="178"/>
      <c r="X3220" s="172"/>
      <c r="Y3220" s="172"/>
      <c r="Z3220" s="172"/>
      <c r="AA3220" s="195"/>
      <c r="AB3220" s="172"/>
    </row>
    <row r="3221" spans="1:28" ht="12.6" customHeight="1" x14ac:dyDescent="0.3">
      <c r="A3221" s="667"/>
      <c r="B3221" s="668" t="s">
        <v>10452</v>
      </c>
      <c r="C3221" s="160" t="s">
        <v>10453</v>
      </c>
      <c r="D3221" s="160"/>
      <c r="E3221" s="439">
        <v>6.79</v>
      </c>
      <c r="F3221" s="161">
        <v>448.97084239499998</v>
      </c>
      <c r="G3221" s="161"/>
      <c r="H3221" s="654"/>
      <c r="I3221" s="654"/>
      <c r="J3221" s="191"/>
      <c r="K3221" s="191">
        <v>25884.513093504102</v>
      </c>
      <c r="L3221" s="191"/>
      <c r="M3221" s="191"/>
      <c r="N3221" s="191"/>
      <c r="O3221" s="191"/>
      <c r="P3221" s="191"/>
      <c r="Q3221" s="191"/>
      <c r="R3221" s="191"/>
      <c r="S3221" s="191"/>
      <c r="T3221" s="191"/>
      <c r="U3221" s="439"/>
      <c r="V3221" s="441"/>
      <c r="W3221" s="178"/>
      <c r="X3221" s="172"/>
      <c r="Y3221" s="172"/>
      <c r="Z3221" s="172"/>
      <c r="AA3221" s="195"/>
      <c r="AB3221" s="172"/>
    </row>
    <row r="3222" spans="1:28" ht="12.6" customHeight="1" x14ac:dyDescent="0.3">
      <c r="A3222" s="667"/>
      <c r="B3222" s="668" t="s">
        <v>10454</v>
      </c>
      <c r="C3222" s="160" t="s">
        <v>10455</v>
      </c>
      <c r="D3222" s="160"/>
      <c r="E3222" s="439">
        <v>10.53</v>
      </c>
      <c r="F3222" s="161">
        <v>432.052031005</v>
      </c>
      <c r="G3222" s="161">
        <v>119.256</v>
      </c>
      <c r="H3222" s="654">
        <v>4.8517875630000003E-5</v>
      </c>
      <c r="I3222" s="654">
        <v>0.33926280861824198</v>
      </c>
      <c r="J3222" s="191"/>
      <c r="K3222" s="191">
        <v>26301.468663670399</v>
      </c>
      <c r="L3222" s="191"/>
      <c r="M3222" s="191"/>
      <c r="N3222" s="191"/>
      <c r="O3222" s="191"/>
      <c r="P3222" s="191"/>
      <c r="Q3222" s="191"/>
      <c r="R3222" s="191"/>
      <c r="S3222" s="191"/>
      <c r="T3222" s="191"/>
      <c r="U3222" s="439"/>
      <c r="V3222" s="441"/>
      <c r="W3222" s="178"/>
      <c r="X3222" s="172"/>
      <c r="Y3222" s="172"/>
      <c r="Z3222" s="172"/>
      <c r="AA3222" s="195"/>
      <c r="AB3222" s="172"/>
    </row>
    <row r="3223" spans="1:28" ht="12.6" customHeight="1" x14ac:dyDescent="0.3">
      <c r="A3223" s="667"/>
      <c r="B3223" s="668" t="s">
        <v>10456</v>
      </c>
      <c r="C3223" s="160" t="s">
        <v>10457</v>
      </c>
      <c r="D3223" s="160"/>
      <c r="E3223" s="439">
        <v>11.58</v>
      </c>
      <c r="F3223" s="161">
        <v>432.052031005</v>
      </c>
      <c r="G3223" s="161">
        <v>118.8</v>
      </c>
      <c r="H3223" s="654">
        <v>4.8517875630000003E-5</v>
      </c>
      <c r="I3223" s="654">
        <v>0.34161446782300198</v>
      </c>
      <c r="J3223" s="191"/>
      <c r="K3223" s="191">
        <v>26138.4602007553</v>
      </c>
      <c r="L3223" s="191"/>
      <c r="M3223" s="191"/>
      <c r="N3223" s="191"/>
      <c r="O3223" s="191"/>
      <c r="P3223" s="191"/>
      <c r="Q3223" s="191"/>
      <c r="R3223" s="191"/>
      <c r="S3223" s="191"/>
      <c r="T3223" s="191"/>
      <c r="U3223" s="439"/>
      <c r="V3223" s="441"/>
      <c r="W3223" s="178"/>
      <c r="X3223" s="172"/>
      <c r="Y3223" s="172"/>
      <c r="Z3223" s="172"/>
      <c r="AA3223" s="195"/>
      <c r="AB3223" s="172"/>
    </row>
    <row r="3224" spans="1:28" ht="12.6" customHeight="1" x14ac:dyDescent="0.3">
      <c r="A3224" s="667"/>
      <c r="B3224" s="668" t="s">
        <v>10458</v>
      </c>
      <c r="C3224" s="160" t="s">
        <v>10459</v>
      </c>
      <c r="D3224" s="160"/>
      <c r="E3224" s="439"/>
      <c r="F3224" s="161">
        <v>359.968895976</v>
      </c>
      <c r="G3224" s="161"/>
      <c r="H3224" s="654"/>
      <c r="I3224" s="654"/>
      <c r="J3224" s="191"/>
      <c r="K3224" s="191">
        <v>1181245.04561326</v>
      </c>
      <c r="L3224" s="191"/>
      <c r="M3224" s="191"/>
      <c r="N3224" s="191"/>
      <c r="O3224" s="191"/>
      <c r="P3224" s="191"/>
      <c r="Q3224" s="191"/>
      <c r="R3224" s="191"/>
      <c r="S3224" s="191"/>
      <c r="T3224" s="191"/>
      <c r="U3224" s="439"/>
      <c r="V3224" s="441"/>
      <c r="W3224" s="178"/>
      <c r="X3224" s="172"/>
      <c r="Y3224" s="172"/>
      <c r="Z3224" s="172"/>
      <c r="AA3224" s="195"/>
      <c r="AB3224" s="172"/>
    </row>
    <row r="3225" spans="1:28" ht="12.6" customHeight="1" x14ac:dyDescent="0.3">
      <c r="A3225" s="667"/>
      <c r="B3225" s="668" t="s">
        <v>10460</v>
      </c>
      <c r="C3225" s="160" t="s">
        <v>10461</v>
      </c>
      <c r="D3225" s="160"/>
      <c r="E3225" s="439"/>
      <c r="F3225" s="161">
        <v>194.991896145</v>
      </c>
      <c r="G3225" s="161">
        <v>-76.572999999999993</v>
      </c>
      <c r="H3225" s="654">
        <v>29847.062784000002</v>
      </c>
      <c r="I3225" s="654">
        <v>90.785496958565901</v>
      </c>
      <c r="J3225" s="191"/>
      <c r="K3225" s="191">
        <v>97.5708301364146</v>
      </c>
      <c r="L3225" s="191"/>
      <c r="M3225" s="191"/>
      <c r="N3225" s="191"/>
      <c r="O3225" s="191"/>
      <c r="P3225" s="191"/>
      <c r="Q3225" s="191"/>
      <c r="R3225" s="191"/>
      <c r="S3225" s="191"/>
      <c r="T3225" s="191"/>
      <c r="U3225" s="439"/>
      <c r="V3225" s="441"/>
      <c r="W3225" s="178"/>
      <c r="X3225" s="172"/>
      <c r="Y3225" s="172"/>
      <c r="Z3225" s="172"/>
      <c r="AA3225" s="195"/>
      <c r="AB3225" s="172"/>
    </row>
    <row r="3226" spans="1:28" ht="12.6" customHeight="1" x14ac:dyDescent="0.3">
      <c r="A3226" s="667"/>
      <c r="B3226" s="668" t="s">
        <v>10462</v>
      </c>
      <c r="C3226" s="160" t="s">
        <v>10463</v>
      </c>
      <c r="D3226" s="160"/>
      <c r="E3226" s="439"/>
      <c r="F3226" s="161">
        <v>449.971256934</v>
      </c>
      <c r="G3226" s="161">
        <v>-38.136000000000003</v>
      </c>
      <c r="H3226" s="654">
        <v>823.95129152000004</v>
      </c>
      <c r="I3226" s="654"/>
      <c r="J3226" s="191"/>
      <c r="K3226" s="191">
        <v>511304953.29650903</v>
      </c>
      <c r="L3226" s="191"/>
      <c r="M3226" s="191"/>
      <c r="N3226" s="191"/>
      <c r="O3226" s="191"/>
      <c r="P3226" s="191"/>
      <c r="Q3226" s="191"/>
      <c r="R3226" s="191"/>
      <c r="S3226" s="191"/>
      <c r="T3226" s="191"/>
      <c r="U3226" s="439"/>
      <c r="V3226" s="441"/>
      <c r="W3226" s="178"/>
      <c r="X3226" s="172"/>
      <c r="Y3226" s="172"/>
      <c r="Z3226" s="172"/>
      <c r="AA3226" s="195"/>
      <c r="AB3226" s="172"/>
    </row>
    <row r="3227" spans="1:28" ht="12.6" customHeight="1" x14ac:dyDescent="0.3">
      <c r="A3227" s="667"/>
      <c r="B3227" s="668" t="s">
        <v>10464</v>
      </c>
      <c r="C3227" s="160" t="s">
        <v>10465</v>
      </c>
      <c r="D3227" s="160"/>
      <c r="E3227" s="439"/>
      <c r="F3227" s="161">
        <v>415.96936522800002</v>
      </c>
      <c r="G3227" s="161"/>
      <c r="H3227" s="654"/>
      <c r="I3227" s="654"/>
      <c r="J3227" s="191"/>
      <c r="K3227" s="191">
        <v>10487.4523351854</v>
      </c>
      <c r="L3227" s="191"/>
      <c r="M3227" s="191"/>
      <c r="N3227" s="191"/>
      <c r="O3227" s="191"/>
      <c r="P3227" s="191"/>
      <c r="Q3227" s="191"/>
      <c r="R3227" s="191"/>
      <c r="S3227" s="191"/>
      <c r="T3227" s="191"/>
      <c r="U3227" s="439"/>
      <c r="V3227" s="441"/>
      <c r="W3227" s="178"/>
      <c r="X3227" s="172"/>
      <c r="Y3227" s="172"/>
      <c r="Z3227" s="172"/>
      <c r="AA3227" s="195"/>
      <c r="AB3227" s="172"/>
    </row>
    <row r="3228" spans="1:28" ht="12.6" customHeight="1" x14ac:dyDescent="0.3">
      <c r="A3228" s="667"/>
      <c r="B3228" s="668" t="s">
        <v>10466</v>
      </c>
      <c r="C3228" s="160" t="s">
        <v>10467</v>
      </c>
      <c r="D3228" s="160"/>
      <c r="E3228" s="439"/>
      <c r="F3228" s="161">
        <v>265.97894624999998</v>
      </c>
      <c r="G3228" s="161"/>
      <c r="H3228" s="654"/>
      <c r="I3228" s="654"/>
      <c r="J3228" s="191"/>
      <c r="K3228" s="191">
        <v>276.35033793811198</v>
      </c>
      <c r="L3228" s="191"/>
      <c r="M3228" s="191"/>
      <c r="N3228" s="191"/>
      <c r="O3228" s="191"/>
      <c r="P3228" s="191"/>
      <c r="Q3228" s="191"/>
      <c r="R3228" s="191"/>
      <c r="S3228" s="191"/>
      <c r="T3228" s="191"/>
      <c r="U3228" s="439"/>
      <c r="V3228" s="441"/>
      <c r="W3228" s="178"/>
      <c r="X3228" s="172"/>
      <c r="Y3228" s="172"/>
      <c r="Z3228" s="172"/>
      <c r="AA3228" s="195"/>
      <c r="AB3228" s="172"/>
    </row>
    <row r="3229" spans="1:28" ht="12.6" customHeight="1" x14ac:dyDescent="0.3">
      <c r="A3229" s="667"/>
      <c r="B3229" s="668" t="s">
        <v>10468</v>
      </c>
      <c r="C3229" s="160" t="s">
        <v>10469</v>
      </c>
      <c r="D3229" s="160"/>
      <c r="E3229" s="439"/>
      <c r="F3229" s="161">
        <v>203.95767480000001</v>
      </c>
      <c r="G3229" s="161">
        <v>-87.305999999999997</v>
      </c>
      <c r="H3229" s="654">
        <v>135176.50902</v>
      </c>
      <c r="I3229" s="654">
        <v>35.362181656823999</v>
      </c>
      <c r="J3229" s="191"/>
      <c r="K3229" s="191">
        <v>137.84150301967901</v>
      </c>
      <c r="L3229" s="191"/>
      <c r="M3229" s="191"/>
      <c r="N3229" s="191"/>
      <c r="O3229" s="191"/>
      <c r="P3229" s="191"/>
      <c r="Q3229" s="191"/>
      <c r="R3229" s="191"/>
      <c r="S3229" s="191"/>
      <c r="T3229" s="191"/>
      <c r="U3229" s="439"/>
      <c r="V3229" s="441"/>
      <c r="W3229" s="178"/>
      <c r="X3229" s="172"/>
      <c r="Y3229" s="172"/>
      <c r="Z3229" s="172"/>
      <c r="AA3229" s="195"/>
      <c r="AB3229" s="172"/>
    </row>
    <row r="3230" spans="1:28" ht="12.6" customHeight="1" x14ac:dyDescent="0.3">
      <c r="A3230" s="667"/>
      <c r="B3230" s="668" t="s">
        <v>10470</v>
      </c>
      <c r="C3230" s="160" t="s">
        <v>10471</v>
      </c>
      <c r="D3230" s="160"/>
      <c r="E3230" s="439"/>
      <c r="F3230" s="161">
        <v>187.98722530399999</v>
      </c>
      <c r="G3230" s="161">
        <v>-86.754999999999995</v>
      </c>
      <c r="H3230" s="654">
        <v>856844.49535999994</v>
      </c>
      <c r="I3230" s="654">
        <v>41.988262682225503</v>
      </c>
      <c r="J3230" s="191"/>
      <c r="K3230" s="191">
        <v>57.105771074502798</v>
      </c>
      <c r="L3230" s="191"/>
      <c r="M3230" s="191"/>
      <c r="N3230" s="191"/>
      <c r="O3230" s="191"/>
      <c r="P3230" s="191"/>
      <c r="Q3230" s="191"/>
      <c r="R3230" s="191"/>
      <c r="S3230" s="191"/>
      <c r="T3230" s="191"/>
      <c r="U3230" s="439"/>
      <c r="V3230" s="441"/>
      <c r="W3230" s="178"/>
      <c r="X3230" s="172"/>
      <c r="Y3230" s="172"/>
      <c r="Z3230" s="172"/>
      <c r="AA3230" s="195"/>
      <c r="AB3230" s="172"/>
    </row>
    <row r="3231" spans="1:28" ht="12.6" customHeight="1" x14ac:dyDescent="0.3">
      <c r="A3231" s="667"/>
      <c r="B3231" s="668" t="s">
        <v>10472</v>
      </c>
      <c r="C3231" s="160" t="s">
        <v>10473</v>
      </c>
      <c r="D3231" s="160"/>
      <c r="E3231" s="439">
        <v>5.91</v>
      </c>
      <c r="F3231" s="161">
        <v>520.96954042699997</v>
      </c>
      <c r="G3231" s="161">
        <v>-76.08</v>
      </c>
      <c r="H3231" s="654">
        <v>2471.1632666</v>
      </c>
      <c r="I3231" s="654">
        <v>0.50444334466557395</v>
      </c>
      <c r="J3231" s="191"/>
      <c r="K3231" s="191">
        <v>40263.358685068502</v>
      </c>
      <c r="L3231" s="191"/>
      <c r="M3231" s="191"/>
      <c r="N3231" s="191"/>
      <c r="O3231" s="191"/>
      <c r="P3231" s="191"/>
      <c r="Q3231" s="191"/>
      <c r="R3231" s="191"/>
      <c r="S3231" s="191"/>
      <c r="T3231" s="191"/>
      <c r="U3231" s="439"/>
      <c r="V3231" s="441"/>
      <c r="W3231" s="178"/>
      <c r="X3231" s="172"/>
      <c r="Y3231" s="172"/>
      <c r="Z3231" s="172"/>
      <c r="AA3231" s="195"/>
      <c r="AB3231" s="172"/>
    </row>
    <row r="3232" spans="1:28" ht="12.6" customHeight="1" x14ac:dyDescent="0.3">
      <c r="A3232" s="667"/>
      <c r="B3232" s="668" t="s">
        <v>10474</v>
      </c>
      <c r="C3232" s="160" t="s">
        <v>10475</v>
      </c>
      <c r="D3232" s="160"/>
      <c r="E3232" s="439"/>
      <c r="F3232" s="161">
        <v>481.961086174</v>
      </c>
      <c r="G3232" s="161"/>
      <c r="H3232" s="654"/>
      <c r="I3232" s="654"/>
      <c r="J3232" s="191"/>
      <c r="K3232" s="191">
        <v>19894.361260294801</v>
      </c>
      <c r="L3232" s="191"/>
      <c r="M3232" s="191"/>
      <c r="N3232" s="191"/>
      <c r="O3232" s="191"/>
      <c r="P3232" s="191"/>
      <c r="Q3232" s="191"/>
      <c r="R3232" s="191"/>
      <c r="S3232" s="191"/>
      <c r="T3232" s="191"/>
      <c r="U3232" s="439"/>
      <c r="V3232" s="441"/>
      <c r="W3232" s="178"/>
      <c r="X3232" s="172"/>
      <c r="Y3232" s="172"/>
      <c r="Z3232" s="172"/>
      <c r="AA3232" s="195"/>
      <c r="AB3232" s="172"/>
    </row>
    <row r="3233" spans="1:28" ht="12.6" customHeight="1" x14ac:dyDescent="0.3">
      <c r="A3233" s="667"/>
      <c r="B3233" s="668" t="s">
        <v>10476</v>
      </c>
      <c r="C3233" s="160" t="s">
        <v>10477</v>
      </c>
      <c r="D3233" s="160"/>
      <c r="E3233" s="439"/>
      <c r="F3233" s="161">
        <v>465.96617155400003</v>
      </c>
      <c r="G3233" s="161"/>
      <c r="H3233" s="654"/>
      <c r="I3233" s="654"/>
      <c r="J3233" s="191"/>
      <c r="K3233" s="191">
        <v>55686.509933127803</v>
      </c>
      <c r="L3233" s="191"/>
      <c r="M3233" s="191"/>
      <c r="N3233" s="191"/>
      <c r="O3233" s="191"/>
      <c r="P3233" s="191"/>
      <c r="Q3233" s="191"/>
      <c r="R3233" s="191"/>
      <c r="S3233" s="191"/>
      <c r="T3233" s="191"/>
      <c r="U3233" s="439"/>
      <c r="V3233" s="441"/>
      <c r="W3233" s="178"/>
      <c r="X3233" s="172"/>
      <c r="Y3233" s="172"/>
      <c r="Z3233" s="172"/>
      <c r="AA3233" s="195"/>
      <c r="AB3233" s="172"/>
    </row>
    <row r="3234" spans="1:28" ht="12.6" customHeight="1" x14ac:dyDescent="0.3">
      <c r="A3234" s="667"/>
      <c r="B3234" s="668" t="s">
        <v>10478</v>
      </c>
      <c r="C3234" s="160" t="s">
        <v>10479</v>
      </c>
      <c r="D3234" s="160"/>
      <c r="E3234" s="439">
        <v>5.65</v>
      </c>
      <c r="F3234" s="161">
        <v>370.97912144899999</v>
      </c>
      <c r="G3234" s="161">
        <v>-108.768</v>
      </c>
      <c r="H3234" s="654">
        <v>31325.737086000001</v>
      </c>
      <c r="I3234" s="654">
        <v>5.51252715725927</v>
      </c>
      <c r="J3234" s="191"/>
      <c r="K3234" s="191">
        <v>17112.3636212069</v>
      </c>
      <c r="L3234" s="191"/>
      <c r="M3234" s="191"/>
      <c r="N3234" s="191"/>
      <c r="O3234" s="191"/>
      <c r="P3234" s="191"/>
      <c r="Q3234" s="191"/>
      <c r="R3234" s="191"/>
      <c r="S3234" s="191"/>
      <c r="T3234" s="191"/>
      <c r="U3234" s="439"/>
      <c r="V3234" s="441"/>
      <c r="W3234" s="178"/>
      <c r="X3234" s="172"/>
      <c r="Y3234" s="172"/>
      <c r="Z3234" s="172"/>
      <c r="AA3234" s="195"/>
      <c r="AB3234" s="172"/>
    </row>
    <row r="3235" spans="1:28" ht="12.6" customHeight="1" x14ac:dyDescent="0.3">
      <c r="A3235" s="667"/>
      <c r="B3235" s="668" t="s">
        <v>10480</v>
      </c>
      <c r="C3235" s="160" t="s">
        <v>10481</v>
      </c>
      <c r="D3235" s="160"/>
      <c r="E3235" s="439"/>
      <c r="F3235" s="161">
        <v>240.00212647800001</v>
      </c>
      <c r="G3235" s="161">
        <v>-77.227000000000004</v>
      </c>
      <c r="H3235" s="654">
        <v>18026.067653999999</v>
      </c>
      <c r="I3235" s="654">
        <v>796.552657652893</v>
      </c>
      <c r="J3235" s="191"/>
      <c r="K3235" s="191">
        <v>102.289251340522</v>
      </c>
      <c r="L3235" s="191"/>
      <c r="M3235" s="191"/>
      <c r="N3235" s="191"/>
      <c r="O3235" s="191"/>
      <c r="P3235" s="191"/>
      <c r="Q3235" s="191"/>
      <c r="R3235" s="191"/>
      <c r="S3235" s="191"/>
      <c r="T3235" s="191"/>
      <c r="U3235" s="439"/>
      <c r="V3235" s="441"/>
      <c r="W3235" s="178"/>
      <c r="X3235" s="172"/>
      <c r="Y3235" s="172"/>
      <c r="Z3235" s="172"/>
      <c r="AA3235" s="195"/>
      <c r="AB3235" s="172"/>
    </row>
    <row r="3236" spans="1:28" ht="12.6" customHeight="1" x14ac:dyDescent="0.3">
      <c r="A3236" s="667"/>
      <c r="B3236" s="668" t="s">
        <v>10482</v>
      </c>
      <c r="C3236" s="160" t="s">
        <v>10483</v>
      </c>
      <c r="D3236" s="160"/>
      <c r="E3236" s="439"/>
      <c r="F3236" s="161">
        <v>290.01777654199998</v>
      </c>
      <c r="G3236" s="161"/>
      <c r="H3236" s="654"/>
      <c r="I3236" s="654"/>
      <c r="J3236" s="191"/>
      <c r="K3236" s="191">
        <v>85642.630871850401</v>
      </c>
      <c r="L3236" s="191"/>
      <c r="M3236" s="191"/>
      <c r="N3236" s="191"/>
      <c r="O3236" s="191"/>
      <c r="P3236" s="191"/>
      <c r="Q3236" s="191"/>
      <c r="R3236" s="191"/>
      <c r="S3236" s="191"/>
      <c r="T3236" s="191"/>
      <c r="U3236" s="439"/>
      <c r="V3236" s="441"/>
      <c r="W3236" s="178"/>
      <c r="X3236" s="172"/>
      <c r="Y3236" s="172"/>
      <c r="Z3236" s="172"/>
      <c r="AA3236" s="195"/>
      <c r="AB3236" s="172"/>
    </row>
    <row r="3237" spans="1:28" ht="12.6" customHeight="1" x14ac:dyDescent="0.3">
      <c r="A3237" s="667"/>
      <c r="B3237" s="668" t="s">
        <v>10484</v>
      </c>
      <c r="C3237" s="160" t="s">
        <v>10485</v>
      </c>
      <c r="D3237" s="160"/>
      <c r="E3237" s="439">
        <v>5.7140000000000004</v>
      </c>
      <c r="F3237" s="161">
        <v>399.97445060799998</v>
      </c>
      <c r="G3237" s="161">
        <v>-49.878999999999998</v>
      </c>
      <c r="H3237" s="654">
        <v>12187.1373386</v>
      </c>
      <c r="I3237" s="654">
        <v>0.785293837345722</v>
      </c>
      <c r="J3237" s="191"/>
      <c r="K3237" s="191">
        <v>58033665.209836602</v>
      </c>
      <c r="L3237" s="191"/>
      <c r="M3237" s="191"/>
      <c r="N3237" s="191"/>
      <c r="O3237" s="191"/>
      <c r="P3237" s="191"/>
      <c r="Q3237" s="191"/>
      <c r="R3237" s="191"/>
      <c r="S3237" s="191"/>
      <c r="T3237" s="191"/>
      <c r="U3237" s="439"/>
      <c r="V3237" s="441"/>
      <c r="W3237" s="178"/>
      <c r="X3237" s="172"/>
      <c r="Y3237" s="172"/>
      <c r="Z3237" s="172"/>
      <c r="AA3237" s="195"/>
      <c r="AB3237" s="172"/>
    </row>
    <row r="3238" spans="1:28" ht="12.6" customHeight="1" x14ac:dyDescent="0.3">
      <c r="A3238" s="667"/>
      <c r="B3238" s="668" t="s">
        <v>10486</v>
      </c>
      <c r="C3238" s="160" t="s">
        <v>10487</v>
      </c>
      <c r="D3238" s="160"/>
      <c r="E3238" s="439"/>
      <c r="F3238" s="161">
        <v>299.98083795600002</v>
      </c>
      <c r="G3238" s="161"/>
      <c r="H3238" s="654"/>
      <c r="I3238" s="654"/>
      <c r="J3238" s="191"/>
      <c r="K3238" s="191"/>
      <c r="L3238" s="191"/>
      <c r="M3238" s="191"/>
      <c r="N3238" s="191"/>
      <c r="O3238" s="191"/>
      <c r="P3238" s="191"/>
      <c r="Q3238" s="191"/>
      <c r="R3238" s="191"/>
      <c r="S3238" s="191"/>
      <c r="T3238" s="191"/>
      <c r="U3238" s="439"/>
      <c r="V3238" s="441"/>
      <c r="W3238" s="178"/>
      <c r="X3238" s="172"/>
      <c r="Y3238" s="172"/>
      <c r="Z3238" s="172"/>
      <c r="AA3238" s="195"/>
      <c r="AB3238" s="172"/>
    </row>
    <row r="3239" spans="1:28" ht="12.6" customHeight="1" x14ac:dyDescent="0.3">
      <c r="A3239" s="667"/>
      <c r="B3239" s="668" t="s">
        <v>10488</v>
      </c>
      <c r="C3239" s="160" t="s">
        <v>10489</v>
      </c>
      <c r="D3239" s="160"/>
      <c r="E3239" s="439"/>
      <c r="F3239" s="161">
        <v>449.971256934</v>
      </c>
      <c r="G3239" s="161">
        <v>-63.432000000000002</v>
      </c>
      <c r="H3239" s="654">
        <v>6150.3838396000001</v>
      </c>
      <c r="I3239" s="654">
        <v>0.35990231031854802</v>
      </c>
      <c r="J3239" s="191"/>
      <c r="K3239" s="191">
        <v>263724209.96934199</v>
      </c>
      <c r="L3239" s="191"/>
      <c r="M3239" s="191"/>
      <c r="N3239" s="191"/>
      <c r="O3239" s="191"/>
      <c r="P3239" s="191"/>
      <c r="Q3239" s="191"/>
      <c r="R3239" s="191"/>
      <c r="S3239" s="191"/>
      <c r="T3239" s="191"/>
      <c r="U3239" s="439"/>
      <c r="V3239" s="441"/>
      <c r="W3239" s="178"/>
      <c r="X3239" s="172"/>
      <c r="Y3239" s="172"/>
      <c r="Z3239" s="172"/>
      <c r="AA3239" s="195"/>
      <c r="AB3239" s="172"/>
    </row>
    <row r="3240" spans="1:28" ht="12.6" customHeight="1" x14ac:dyDescent="0.3">
      <c r="A3240" s="667"/>
      <c r="B3240" s="668" t="s">
        <v>10490</v>
      </c>
      <c r="C3240" s="160" t="s">
        <v>10491</v>
      </c>
      <c r="D3240" s="160"/>
      <c r="E3240" s="439"/>
      <c r="F3240" s="161">
        <v>299.98083795600002</v>
      </c>
      <c r="G3240" s="161">
        <v>-81.117000000000004</v>
      </c>
      <c r="H3240" s="654">
        <v>60242.345631999997</v>
      </c>
      <c r="I3240" s="654">
        <v>13.9345598943131</v>
      </c>
      <c r="J3240" s="191"/>
      <c r="K3240" s="191">
        <v>65997.882241093306</v>
      </c>
      <c r="L3240" s="191"/>
      <c r="M3240" s="191"/>
      <c r="N3240" s="191"/>
      <c r="O3240" s="191"/>
      <c r="P3240" s="191"/>
      <c r="Q3240" s="191"/>
      <c r="R3240" s="191"/>
      <c r="S3240" s="191"/>
      <c r="T3240" s="191"/>
      <c r="U3240" s="439"/>
      <c r="V3240" s="441"/>
      <c r="W3240" s="178"/>
      <c r="X3240" s="172"/>
      <c r="Y3240" s="172"/>
      <c r="Z3240" s="172"/>
      <c r="AA3240" s="195"/>
      <c r="AB3240" s="172"/>
    </row>
    <row r="3241" spans="1:28" ht="12.6" customHeight="1" x14ac:dyDescent="0.3">
      <c r="A3241" s="667"/>
      <c r="B3241" s="668" t="s">
        <v>10492</v>
      </c>
      <c r="C3241" s="160" t="s">
        <v>10493</v>
      </c>
      <c r="D3241" s="160"/>
      <c r="E3241" s="439"/>
      <c r="F3241" s="161">
        <v>399.97445060799998</v>
      </c>
      <c r="G3241" s="161">
        <v>-48.744</v>
      </c>
      <c r="H3241" s="654">
        <v>11746.3214778</v>
      </c>
      <c r="I3241" s="654">
        <v>0.785293837345722</v>
      </c>
      <c r="J3241" s="191"/>
      <c r="K3241" s="191">
        <v>3888123.0421552099</v>
      </c>
      <c r="L3241" s="191"/>
      <c r="M3241" s="191"/>
      <c r="N3241" s="191"/>
      <c r="O3241" s="191"/>
      <c r="P3241" s="191"/>
      <c r="Q3241" s="191"/>
      <c r="R3241" s="191"/>
      <c r="S3241" s="191"/>
      <c r="T3241" s="191"/>
      <c r="U3241" s="439"/>
      <c r="V3241" s="441"/>
      <c r="W3241" s="178"/>
      <c r="X3241" s="172"/>
      <c r="Y3241" s="172"/>
      <c r="Z3241" s="172"/>
      <c r="AA3241" s="195"/>
      <c r="AB3241" s="172"/>
    </row>
    <row r="3242" spans="1:28" ht="12.6" customHeight="1" x14ac:dyDescent="0.3">
      <c r="A3242" s="667"/>
      <c r="B3242" s="668" t="s">
        <v>10494</v>
      </c>
      <c r="C3242" s="160" t="s">
        <v>10495</v>
      </c>
      <c r="D3242" s="160"/>
      <c r="E3242" s="439"/>
      <c r="F3242" s="161">
        <v>399.97445060799998</v>
      </c>
      <c r="G3242" s="161">
        <v>-50.832999999999998</v>
      </c>
      <c r="H3242" s="654">
        <v>11855.0055722</v>
      </c>
      <c r="I3242" s="654">
        <v>0.785293837345722</v>
      </c>
      <c r="J3242" s="191"/>
      <c r="K3242" s="191">
        <v>3879895.2446018602</v>
      </c>
      <c r="L3242" s="191"/>
      <c r="M3242" s="191"/>
      <c r="N3242" s="191"/>
      <c r="O3242" s="191"/>
      <c r="P3242" s="191"/>
      <c r="Q3242" s="191"/>
      <c r="R3242" s="191"/>
      <c r="S3242" s="191"/>
      <c r="T3242" s="191"/>
      <c r="U3242" s="439"/>
      <c r="V3242" s="441"/>
      <c r="W3242" s="178"/>
      <c r="X3242" s="172"/>
      <c r="Y3242" s="172"/>
      <c r="Z3242" s="172"/>
      <c r="AA3242" s="195"/>
      <c r="AB3242" s="172"/>
    </row>
    <row r="3243" spans="1:28" ht="12.6" customHeight="1" x14ac:dyDescent="0.3">
      <c r="A3243" s="667"/>
      <c r="B3243" s="668" t="s">
        <v>10496</v>
      </c>
      <c r="C3243" s="160" t="s">
        <v>10497</v>
      </c>
      <c r="D3243" s="160"/>
      <c r="E3243" s="439"/>
      <c r="F3243" s="161">
        <v>661.95848223799999</v>
      </c>
      <c r="G3243" s="161"/>
      <c r="H3243" s="654"/>
      <c r="I3243" s="654"/>
      <c r="J3243" s="191"/>
      <c r="K3243" s="191">
        <v>1150720897.21539</v>
      </c>
      <c r="L3243" s="191"/>
      <c r="M3243" s="191"/>
      <c r="N3243" s="191"/>
      <c r="O3243" s="191"/>
      <c r="P3243" s="191"/>
      <c r="Q3243" s="191"/>
      <c r="R3243" s="191"/>
      <c r="S3243" s="191"/>
      <c r="T3243" s="191"/>
      <c r="U3243" s="439"/>
      <c r="V3243" s="441"/>
      <c r="W3243" s="178"/>
      <c r="X3243" s="172"/>
      <c r="Y3243" s="172"/>
      <c r="Z3243" s="172"/>
      <c r="AA3243" s="195"/>
      <c r="AB3243" s="172"/>
    </row>
    <row r="3244" spans="1:28" ht="12.6" customHeight="1" x14ac:dyDescent="0.3">
      <c r="A3244" s="667"/>
      <c r="B3244" s="668" t="s">
        <v>10498</v>
      </c>
      <c r="C3244" s="160" t="s">
        <v>10499</v>
      </c>
      <c r="D3244" s="160"/>
      <c r="E3244" s="439"/>
      <c r="F3244" s="161">
        <v>399.97445060799998</v>
      </c>
      <c r="G3244" s="161">
        <v>-52.152000000000001</v>
      </c>
      <c r="H3244" s="654">
        <v>11746.3214778</v>
      </c>
      <c r="I3244" s="654">
        <v>0.785293837345722</v>
      </c>
      <c r="J3244" s="191"/>
      <c r="K3244" s="191">
        <v>3877394.58989758</v>
      </c>
      <c r="L3244" s="191"/>
      <c r="M3244" s="191"/>
      <c r="N3244" s="191"/>
      <c r="O3244" s="191"/>
      <c r="P3244" s="191"/>
      <c r="Q3244" s="191"/>
      <c r="R3244" s="191"/>
      <c r="S3244" s="191"/>
      <c r="T3244" s="191"/>
      <c r="U3244" s="439"/>
      <c r="V3244" s="441"/>
      <c r="W3244" s="178"/>
      <c r="X3244" s="172"/>
      <c r="Y3244" s="172"/>
      <c r="Z3244" s="172"/>
      <c r="AA3244" s="195"/>
      <c r="AB3244" s="172"/>
    </row>
    <row r="3245" spans="1:28" ht="12.6" customHeight="1" x14ac:dyDescent="0.3">
      <c r="A3245" s="667"/>
      <c r="B3245" s="668" t="s">
        <v>10500</v>
      </c>
      <c r="C3245" s="160" t="s">
        <v>10501</v>
      </c>
      <c r="D3245" s="160"/>
      <c r="E3245" s="439"/>
      <c r="F3245" s="161">
        <v>349.97764428200003</v>
      </c>
      <c r="G3245" s="161">
        <v>-66.242999999999995</v>
      </c>
      <c r="H3245" s="654">
        <v>9837.8837088</v>
      </c>
      <c r="I3245" s="654">
        <v>1.6867102570642101</v>
      </c>
      <c r="J3245" s="191"/>
      <c r="K3245" s="191">
        <v>336201.773454379</v>
      </c>
      <c r="L3245" s="191"/>
      <c r="M3245" s="191"/>
      <c r="N3245" s="191"/>
      <c r="O3245" s="191"/>
      <c r="P3245" s="191"/>
      <c r="Q3245" s="191"/>
      <c r="R3245" s="191"/>
      <c r="S3245" s="191"/>
      <c r="T3245" s="191"/>
      <c r="U3245" s="439"/>
      <c r="V3245" s="441"/>
      <c r="W3245" s="178"/>
      <c r="X3245" s="172"/>
      <c r="Y3245" s="172"/>
      <c r="Z3245" s="172"/>
      <c r="AA3245" s="195"/>
      <c r="AB3245" s="172"/>
    </row>
    <row r="3246" spans="1:28" ht="12.6" customHeight="1" x14ac:dyDescent="0.3">
      <c r="A3246" s="667"/>
      <c r="B3246" s="668" t="s">
        <v>10502</v>
      </c>
      <c r="C3246" s="160" t="s">
        <v>10503</v>
      </c>
      <c r="D3246" s="160"/>
      <c r="E3246" s="439"/>
      <c r="F3246" s="161">
        <v>299.98083795600002</v>
      </c>
      <c r="G3246" s="161">
        <v>-69.834000000000003</v>
      </c>
      <c r="H3246" s="654">
        <v>49419.932282000002</v>
      </c>
      <c r="I3246" s="654">
        <v>15.4914904413885</v>
      </c>
      <c r="J3246" s="191"/>
      <c r="K3246" s="191">
        <v>48398.288049995303</v>
      </c>
      <c r="L3246" s="191"/>
      <c r="M3246" s="191"/>
      <c r="N3246" s="191"/>
      <c r="O3246" s="191"/>
      <c r="P3246" s="191"/>
      <c r="Q3246" s="191"/>
      <c r="R3246" s="191"/>
      <c r="S3246" s="191"/>
      <c r="T3246" s="191"/>
      <c r="U3246" s="439"/>
      <c r="V3246" s="441"/>
      <c r="W3246" s="178"/>
      <c r="X3246" s="172"/>
      <c r="Y3246" s="172"/>
      <c r="Z3246" s="172"/>
      <c r="AA3246" s="195"/>
      <c r="AB3246" s="172"/>
    </row>
    <row r="3247" spans="1:28" ht="12.6" customHeight="1" x14ac:dyDescent="0.3">
      <c r="A3247" s="667" t="s">
        <v>4414</v>
      </c>
      <c r="B3247" s="668" t="s">
        <v>10504</v>
      </c>
      <c r="C3247" s="160" t="s">
        <v>10505</v>
      </c>
      <c r="D3247" s="160"/>
      <c r="E3247" s="439"/>
      <c r="F3247" s="161"/>
      <c r="G3247" s="161"/>
      <c r="H3247" s="654"/>
      <c r="I3247" s="654"/>
      <c r="J3247" s="191"/>
      <c r="K3247" s="191"/>
      <c r="L3247" s="191"/>
      <c r="M3247" s="191"/>
      <c r="N3247" s="191"/>
      <c r="O3247" s="191"/>
      <c r="P3247" s="191"/>
      <c r="Q3247" s="191"/>
      <c r="R3247" s="191"/>
      <c r="S3247" s="191"/>
      <c r="T3247" s="191"/>
      <c r="U3247" s="439"/>
      <c r="V3247" s="441"/>
      <c r="W3247" s="178"/>
      <c r="X3247" s="172"/>
      <c r="Y3247" s="172"/>
      <c r="Z3247" s="172"/>
      <c r="AA3247" s="195"/>
      <c r="AB3247" s="172"/>
    </row>
    <row r="3248" spans="1:28" ht="12.6" customHeight="1" x14ac:dyDescent="0.3">
      <c r="A3248" s="667"/>
      <c r="B3248" s="668" t="s">
        <v>10506</v>
      </c>
      <c r="C3248" s="160" t="s">
        <v>10507</v>
      </c>
      <c r="D3248" s="160"/>
      <c r="E3248" s="439"/>
      <c r="F3248" s="161">
        <v>299.98083795600002</v>
      </c>
      <c r="G3248" s="161"/>
      <c r="H3248" s="654"/>
      <c r="I3248" s="654"/>
      <c r="J3248" s="191"/>
      <c r="K3248" s="191">
        <v>68438.423991953794</v>
      </c>
      <c r="L3248" s="191"/>
      <c r="M3248" s="191"/>
      <c r="N3248" s="191"/>
      <c r="O3248" s="191"/>
      <c r="P3248" s="191"/>
      <c r="Q3248" s="191"/>
      <c r="R3248" s="191"/>
      <c r="S3248" s="191"/>
      <c r="T3248" s="191"/>
      <c r="U3248" s="439"/>
      <c r="V3248" s="441"/>
      <c r="W3248" s="178"/>
      <c r="X3248" s="172"/>
      <c r="Y3248" s="172"/>
      <c r="Z3248" s="172"/>
      <c r="AA3248" s="195"/>
      <c r="AB3248" s="172"/>
    </row>
    <row r="3249" spans="1:28" ht="12.6" customHeight="1" x14ac:dyDescent="0.3">
      <c r="A3249" s="667"/>
      <c r="B3249" s="668" t="s">
        <v>10508</v>
      </c>
      <c r="C3249" s="160" t="s">
        <v>10509</v>
      </c>
      <c r="D3249" s="160"/>
      <c r="E3249" s="439"/>
      <c r="F3249" s="161">
        <v>511.96806326000001</v>
      </c>
      <c r="G3249" s="161"/>
      <c r="H3249" s="654"/>
      <c r="I3249" s="654"/>
      <c r="J3249" s="191"/>
      <c r="K3249" s="191">
        <v>1696875581.1219499</v>
      </c>
      <c r="L3249" s="191"/>
      <c r="M3249" s="191"/>
      <c r="N3249" s="191"/>
      <c r="O3249" s="191"/>
      <c r="P3249" s="191"/>
      <c r="Q3249" s="191"/>
      <c r="R3249" s="191"/>
      <c r="S3249" s="191"/>
      <c r="T3249" s="191"/>
      <c r="U3249" s="439"/>
      <c r="V3249" s="441"/>
      <c r="W3249" s="178"/>
      <c r="X3249" s="172"/>
      <c r="Y3249" s="172"/>
      <c r="Z3249" s="172"/>
      <c r="AA3249" s="195"/>
      <c r="AB3249" s="172"/>
    </row>
    <row r="3250" spans="1:28" ht="12.6" customHeight="1" x14ac:dyDescent="0.3">
      <c r="A3250" s="667"/>
      <c r="B3250" s="668" t="s">
        <v>10510</v>
      </c>
      <c r="C3250" s="160" t="s">
        <v>10511</v>
      </c>
      <c r="D3250" s="160"/>
      <c r="E3250" s="439"/>
      <c r="F3250" s="161">
        <v>165.98533359800001</v>
      </c>
      <c r="G3250" s="161">
        <v>-83.445999999999998</v>
      </c>
      <c r="H3250" s="654">
        <v>40448.428258</v>
      </c>
      <c r="I3250" s="654">
        <v>285.80516636238798</v>
      </c>
      <c r="J3250" s="191"/>
      <c r="K3250" s="191">
        <v>17.380809517238099</v>
      </c>
      <c r="L3250" s="191"/>
      <c r="M3250" s="191"/>
      <c r="N3250" s="191"/>
      <c r="O3250" s="191"/>
      <c r="P3250" s="191"/>
      <c r="Q3250" s="191"/>
      <c r="R3250" s="191"/>
      <c r="S3250" s="191"/>
      <c r="T3250" s="191"/>
      <c r="U3250" s="439"/>
      <c r="V3250" s="441"/>
      <c r="W3250" s="178"/>
      <c r="X3250" s="172"/>
      <c r="Y3250" s="172"/>
      <c r="Z3250" s="172"/>
      <c r="AA3250" s="195"/>
      <c r="AB3250" s="172"/>
    </row>
    <row r="3251" spans="1:28" ht="12.6" customHeight="1" x14ac:dyDescent="0.3">
      <c r="A3251" s="667"/>
      <c r="B3251" s="668" t="s">
        <v>10512</v>
      </c>
      <c r="C3251" s="160" t="s">
        <v>10513</v>
      </c>
      <c r="D3251" s="160"/>
      <c r="E3251" s="439"/>
      <c r="F3251" s="161">
        <v>211.98722530399999</v>
      </c>
      <c r="G3251" s="161">
        <v>-73.221999999999994</v>
      </c>
      <c r="H3251" s="654">
        <v>512745.74624000001</v>
      </c>
      <c r="I3251" s="654"/>
      <c r="J3251" s="191"/>
      <c r="K3251" s="191">
        <v>27966.6211963674</v>
      </c>
      <c r="L3251" s="191"/>
      <c r="M3251" s="191"/>
      <c r="N3251" s="191"/>
      <c r="O3251" s="191"/>
      <c r="P3251" s="191"/>
      <c r="Q3251" s="191"/>
      <c r="R3251" s="191"/>
      <c r="S3251" s="191"/>
      <c r="T3251" s="191"/>
      <c r="U3251" s="439"/>
      <c r="V3251" s="441"/>
      <c r="W3251" s="178"/>
      <c r="X3251" s="172"/>
      <c r="Y3251" s="172"/>
      <c r="Z3251" s="172"/>
      <c r="AA3251" s="195"/>
      <c r="AB3251" s="172"/>
    </row>
    <row r="3252" spans="1:28" ht="12.6" customHeight="1" x14ac:dyDescent="0.3">
      <c r="A3252" s="667"/>
      <c r="B3252" s="668" t="s">
        <v>10514</v>
      </c>
      <c r="C3252" s="160" t="s">
        <v>10515</v>
      </c>
      <c r="D3252" s="160"/>
      <c r="E3252" s="439">
        <v>4.181</v>
      </c>
      <c r="F3252" s="161">
        <v>249.98403163</v>
      </c>
      <c r="G3252" s="161">
        <v>-71.545000000000002</v>
      </c>
      <c r="H3252" s="654">
        <v>546892.17688000004</v>
      </c>
      <c r="I3252" s="654">
        <v>14.9249216324217</v>
      </c>
      <c r="J3252" s="191"/>
      <c r="K3252" s="191">
        <v>668.95976863160899</v>
      </c>
      <c r="L3252" s="191"/>
      <c r="M3252" s="191"/>
      <c r="N3252" s="191"/>
      <c r="O3252" s="191"/>
      <c r="P3252" s="191"/>
      <c r="Q3252" s="191"/>
      <c r="R3252" s="191"/>
      <c r="S3252" s="191"/>
      <c r="T3252" s="191"/>
      <c r="U3252" s="439"/>
      <c r="V3252" s="441"/>
      <c r="W3252" s="178"/>
      <c r="X3252" s="172"/>
      <c r="Y3252" s="172"/>
      <c r="Z3252" s="172"/>
      <c r="AA3252" s="195"/>
      <c r="AB3252" s="172"/>
    </row>
    <row r="3253" spans="1:28" ht="12.6" customHeight="1" x14ac:dyDescent="0.3">
      <c r="A3253" s="667"/>
      <c r="B3253" s="668" t="s">
        <v>10516</v>
      </c>
      <c r="C3253" s="160" t="s">
        <v>10517</v>
      </c>
      <c r="D3253" s="160"/>
      <c r="E3253" s="439"/>
      <c r="F3253" s="161">
        <v>299.98083795600002</v>
      </c>
      <c r="G3253" s="161"/>
      <c r="H3253" s="654"/>
      <c r="I3253" s="654"/>
      <c r="J3253" s="191"/>
      <c r="K3253" s="191">
        <v>3581.21174382559</v>
      </c>
      <c r="L3253" s="191"/>
      <c r="M3253" s="191"/>
      <c r="N3253" s="191"/>
      <c r="O3253" s="191"/>
      <c r="P3253" s="191"/>
      <c r="Q3253" s="191"/>
      <c r="R3253" s="191"/>
      <c r="S3253" s="191"/>
      <c r="T3253" s="191"/>
      <c r="U3253" s="439"/>
      <c r="V3253" s="441"/>
      <c r="W3253" s="178"/>
      <c r="X3253" s="172"/>
      <c r="Y3253" s="172"/>
      <c r="Z3253" s="172"/>
      <c r="AA3253" s="195"/>
      <c r="AB3253" s="172"/>
    </row>
    <row r="3254" spans="1:28" ht="12.6" customHeight="1" x14ac:dyDescent="0.3">
      <c r="A3254" s="667"/>
      <c r="B3254" s="668" t="s">
        <v>10518</v>
      </c>
      <c r="C3254" s="160" t="s">
        <v>10519</v>
      </c>
      <c r="D3254" s="160"/>
      <c r="E3254" s="439"/>
      <c r="F3254" s="161">
        <v>649.95848223799999</v>
      </c>
      <c r="G3254" s="161"/>
      <c r="H3254" s="654"/>
      <c r="I3254" s="654"/>
      <c r="J3254" s="191"/>
      <c r="K3254" s="191">
        <v>252017.094333799</v>
      </c>
      <c r="L3254" s="191"/>
      <c r="M3254" s="191"/>
      <c r="N3254" s="191"/>
      <c r="O3254" s="191"/>
      <c r="P3254" s="191"/>
      <c r="Q3254" s="191"/>
      <c r="R3254" s="191"/>
      <c r="S3254" s="191"/>
      <c r="T3254" s="191"/>
      <c r="U3254" s="439"/>
      <c r="V3254" s="441"/>
      <c r="W3254" s="178"/>
      <c r="X3254" s="172"/>
      <c r="Y3254" s="172"/>
      <c r="Z3254" s="172"/>
      <c r="AA3254" s="195"/>
      <c r="AB3254" s="172"/>
    </row>
    <row r="3255" spans="1:28" ht="12.6" customHeight="1" x14ac:dyDescent="0.3">
      <c r="A3255" s="667"/>
      <c r="B3255" s="668" t="s">
        <v>10520</v>
      </c>
      <c r="C3255" s="160" t="s">
        <v>10521</v>
      </c>
      <c r="D3255" s="160"/>
      <c r="E3255" s="439"/>
      <c r="F3255" s="161">
        <v>599.96167591200003</v>
      </c>
      <c r="G3255" s="161"/>
      <c r="H3255" s="654"/>
      <c r="I3255" s="654"/>
      <c r="J3255" s="191"/>
      <c r="K3255" s="191">
        <v>242923.763043382</v>
      </c>
      <c r="L3255" s="191"/>
      <c r="M3255" s="191"/>
      <c r="N3255" s="191"/>
      <c r="O3255" s="191"/>
      <c r="P3255" s="191"/>
      <c r="Q3255" s="191"/>
      <c r="R3255" s="191"/>
      <c r="S3255" s="191"/>
      <c r="T3255" s="191"/>
      <c r="U3255" s="439"/>
      <c r="V3255" s="441"/>
      <c r="W3255" s="178"/>
      <c r="X3255" s="172"/>
      <c r="Y3255" s="172"/>
      <c r="Z3255" s="172"/>
      <c r="AA3255" s="195"/>
      <c r="AB3255" s="172"/>
    </row>
    <row r="3256" spans="1:28" ht="12.6" customHeight="1" x14ac:dyDescent="0.3">
      <c r="A3256" s="667"/>
      <c r="B3256" s="668" t="s">
        <v>10522</v>
      </c>
      <c r="C3256" s="160" t="s">
        <v>10523</v>
      </c>
      <c r="D3256" s="160"/>
      <c r="E3256" s="439"/>
      <c r="F3256" s="161">
        <v>549.96486958599996</v>
      </c>
      <c r="G3256" s="161"/>
      <c r="H3256" s="654"/>
      <c r="I3256" s="654"/>
      <c r="J3256" s="191"/>
      <c r="K3256" s="191">
        <v>241168.17669744301</v>
      </c>
      <c r="L3256" s="191"/>
      <c r="M3256" s="191"/>
      <c r="N3256" s="191"/>
      <c r="O3256" s="191"/>
      <c r="P3256" s="191"/>
      <c r="Q3256" s="191"/>
      <c r="R3256" s="191"/>
      <c r="S3256" s="191"/>
      <c r="T3256" s="191"/>
      <c r="U3256" s="439"/>
      <c r="V3256" s="441"/>
      <c r="W3256" s="178"/>
      <c r="X3256" s="172"/>
      <c r="Y3256" s="172"/>
      <c r="Z3256" s="172"/>
      <c r="AA3256" s="195"/>
      <c r="AB3256" s="172"/>
    </row>
    <row r="3257" spans="1:28" ht="12.6" customHeight="1" x14ac:dyDescent="0.3">
      <c r="A3257" s="667"/>
      <c r="B3257" s="668" t="s">
        <v>10524</v>
      </c>
      <c r="C3257" s="160" t="s">
        <v>10525</v>
      </c>
      <c r="D3257" s="160"/>
      <c r="E3257" s="439">
        <v>7.5129999999999999</v>
      </c>
      <c r="F3257" s="161">
        <v>499.96806326000001</v>
      </c>
      <c r="G3257" s="161">
        <v>-80.948999999999998</v>
      </c>
      <c r="H3257" s="654">
        <v>988.32931819999999</v>
      </c>
      <c r="I3257" s="654"/>
      <c r="J3257" s="191"/>
      <c r="K3257" s="191">
        <v>212931.54240964001</v>
      </c>
      <c r="L3257" s="191"/>
      <c r="M3257" s="191"/>
      <c r="N3257" s="191"/>
      <c r="O3257" s="191"/>
      <c r="P3257" s="191"/>
      <c r="Q3257" s="191"/>
      <c r="R3257" s="191"/>
      <c r="S3257" s="191"/>
      <c r="T3257" s="191"/>
      <c r="U3257" s="439"/>
      <c r="V3257" s="441"/>
      <c r="W3257" s="178"/>
      <c r="X3257" s="172"/>
      <c r="Y3257" s="172"/>
      <c r="Z3257" s="172"/>
      <c r="AA3257" s="195"/>
      <c r="AB3257" s="172"/>
    </row>
    <row r="3258" spans="1:28" ht="12.6" customHeight="1" x14ac:dyDescent="0.3">
      <c r="A3258" s="667"/>
      <c r="B3258" s="668" t="s">
        <v>10526</v>
      </c>
      <c r="C3258" s="160" t="s">
        <v>10527</v>
      </c>
      <c r="D3258" s="160"/>
      <c r="E3258" s="439">
        <v>6.8440000000000003</v>
      </c>
      <c r="F3258" s="161">
        <v>449.971256934</v>
      </c>
      <c r="G3258" s="161">
        <v>-80.831999999999994</v>
      </c>
      <c r="H3258" s="654">
        <v>1330.1535940000001</v>
      </c>
      <c r="I3258" s="654"/>
      <c r="J3258" s="191"/>
      <c r="K3258" s="191">
        <v>91731.817848035396</v>
      </c>
      <c r="L3258" s="191"/>
      <c r="M3258" s="191"/>
      <c r="N3258" s="191"/>
      <c r="O3258" s="191"/>
      <c r="P3258" s="191"/>
      <c r="Q3258" s="191"/>
      <c r="R3258" s="191"/>
      <c r="S3258" s="191"/>
      <c r="T3258" s="191"/>
      <c r="U3258" s="439"/>
      <c r="V3258" s="441"/>
      <c r="W3258" s="178"/>
      <c r="X3258" s="172"/>
      <c r="Y3258" s="172"/>
      <c r="Z3258" s="172"/>
      <c r="AA3258" s="195"/>
      <c r="AB3258" s="172"/>
    </row>
    <row r="3259" spans="1:28" ht="12.6" customHeight="1" x14ac:dyDescent="0.3">
      <c r="A3259" s="667"/>
      <c r="B3259" s="668" t="s">
        <v>10528</v>
      </c>
      <c r="C3259" s="160" t="s">
        <v>10529</v>
      </c>
      <c r="D3259" s="160"/>
      <c r="E3259" s="439">
        <v>6.1909999999999998</v>
      </c>
      <c r="F3259" s="161">
        <v>399.97445060799998</v>
      </c>
      <c r="G3259" s="161">
        <v>-79.048000000000002</v>
      </c>
      <c r="H3259" s="654">
        <v>4851.7875629999999</v>
      </c>
      <c r="I3259" s="654">
        <v>0.35647762907883002</v>
      </c>
      <c r="J3259" s="191"/>
      <c r="K3259" s="191">
        <v>19213.655519711599</v>
      </c>
      <c r="L3259" s="191"/>
      <c r="M3259" s="191"/>
      <c r="N3259" s="191"/>
      <c r="O3259" s="191"/>
      <c r="P3259" s="191"/>
      <c r="Q3259" s="191"/>
      <c r="R3259" s="191"/>
      <c r="S3259" s="191"/>
      <c r="T3259" s="191"/>
      <c r="U3259" s="439"/>
      <c r="V3259" s="441"/>
      <c r="W3259" s="178"/>
      <c r="X3259" s="172"/>
      <c r="Y3259" s="172"/>
      <c r="Z3259" s="172"/>
      <c r="AA3259" s="195"/>
      <c r="AB3259" s="172"/>
    </row>
    <row r="3260" spans="1:28" ht="12.6" customHeight="1" x14ac:dyDescent="0.3">
      <c r="A3260" s="667"/>
      <c r="B3260" s="668" t="s">
        <v>10530</v>
      </c>
      <c r="C3260" s="160" t="s">
        <v>10531</v>
      </c>
      <c r="D3260" s="160"/>
      <c r="E3260" s="439">
        <v>5.4569999999999999</v>
      </c>
      <c r="F3260" s="161">
        <v>349.97764428200003</v>
      </c>
      <c r="G3260" s="161">
        <v>-92.430999999999997</v>
      </c>
      <c r="H3260" s="654">
        <v>6529.8315837999999</v>
      </c>
      <c r="I3260" s="654">
        <v>0.77453202478405103</v>
      </c>
      <c r="J3260" s="191"/>
      <c r="K3260" s="191">
        <v>4559.6341740842099</v>
      </c>
      <c r="L3260" s="191"/>
      <c r="M3260" s="191"/>
      <c r="N3260" s="191"/>
      <c r="O3260" s="191"/>
      <c r="P3260" s="191"/>
      <c r="Q3260" s="191"/>
      <c r="R3260" s="191"/>
      <c r="S3260" s="191"/>
      <c r="T3260" s="191"/>
      <c r="U3260" s="439"/>
      <c r="V3260" s="441"/>
      <c r="W3260" s="178"/>
      <c r="X3260" s="172"/>
      <c r="Y3260" s="172"/>
      <c r="Z3260" s="172"/>
      <c r="AA3260" s="195"/>
      <c r="AB3260" s="172"/>
    </row>
    <row r="3261" spans="1:28" ht="12.6" customHeight="1" x14ac:dyDescent="0.3">
      <c r="A3261" s="667"/>
      <c r="B3261" s="668" t="s">
        <v>10532</v>
      </c>
      <c r="C3261" s="160" t="s">
        <v>10533</v>
      </c>
      <c r="D3261" s="160"/>
      <c r="E3261" s="439"/>
      <c r="F3261" s="161">
        <v>299.98083795600002</v>
      </c>
      <c r="G3261" s="161">
        <v>-61.981000000000002</v>
      </c>
      <c r="H3261" s="654">
        <v>200401.63107999999</v>
      </c>
      <c r="I3261" s="654">
        <v>8.0555054339676495</v>
      </c>
      <c r="J3261" s="191"/>
      <c r="K3261" s="191">
        <v>3378.9362650287298</v>
      </c>
      <c r="L3261" s="191"/>
      <c r="M3261" s="191"/>
      <c r="N3261" s="191"/>
      <c r="O3261" s="191"/>
      <c r="P3261" s="191"/>
      <c r="Q3261" s="191"/>
      <c r="R3261" s="191"/>
      <c r="S3261" s="191"/>
      <c r="T3261" s="191"/>
      <c r="U3261" s="439"/>
      <c r="V3261" s="441"/>
      <c r="W3261" s="178"/>
      <c r="X3261" s="172"/>
      <c r="Y3261" s="172"/>
      <c r="Z3261" s="172"/>
      <c r="AA3261" s="195"/>
      <c r="AB3261" s="172"/>
    </row>
    <row r="3262" spans="1:28" ht="12.6" customHeight="1" x14ac:dyDescent="0.3">
      <c r="A3262" s="667"/>
      <c r="B3262" s="668" t="s">
        <v>10534</v>
      </c>
      <c r="C3262" s="160" t="s">
        <v>10535</v>
      </c>
      <c r="D3262" s="160"/>
      <c r="E3262" s="439"/>
      <c r="F3262" s="161">
        <v>249.98403163</v>
      </c>
      <c r="G3262" s="161"/>
      <c r="H3262" s="654"/>
      <c r="I3262" s="654"/>
      <c r="J3262" s="191"/>
      <c r="K3262" s="191">
        <v>662.12502143029303</v>
      </c>
      <c r="L3262" s="191"/>
      <c r="M3262" s="191"/>
      <c r="N3262" s="191"/>
      <c r="O3262" s="191"/>
      <c r="P3262" s="191"/>
      <c r="Q3262" s="191"/>
      <c r="R3262" s="191"/>
      <c r="S3262" s="191"/>
      <c r="T3262" s="191"/>
      <c r="U3262" s="439"/>
      <c r="V3262" s="441"/>
      <c r="W3262" s="178"/>
      <c r="X3262" s="172"/>
      <c r="Y3262" s="172"/>
      <c r="Z3262" s="172"/>
      <c r="AA3262" s="195"/>
      <c r="AB3262" s="172"/>
    </row>
    <row r="3263" spans="1:28" ht="12.6" customHeight="1" x14ac:dyDescent="0.3">
      <c r="A3263" s="667"/>
      <c r="B3263" s="668" t="s">
        <v>10536</v>
      </c>
      <c r="C3263" s="160" t="s">
        <v>10537</v>
      </c>
      <c r="D3263" s="160"/>
      <c r="E3263" s="439"/>
      <c r="F3263" s="161">
        <v>277.97894624999998</v>
      </c>
      <c r="G3263" s="161"/>
      <c r="H3263" s="654"/>
      <c r="I3263" s="654"/>
      <c r="J3263" s="191"/>
      <c r="K3263" s="191">
        <v>1715.1811693429399</v>
      </c>
      <c r="L3263" s="191"/>
      <c r="M3263" s="191"/>
      <c r="N3263" s="191"/>
      <c r="O3263" s="191"/>
      <c r="P3263" s="191"/>
      <c r="Q3263" s="191"/>
      <c r="R3263" s="191"/>
      <c r="S3263" s="191"/>
      <c r="T3263" s="191"/>
      <c r="U3263" s="439"/>
      <c r="V3263" s="441"/>
      <c r="W3263" s="178"/>
      <c r="X3263" s="172"/>
      <c r="Y3263" s="172"/>
      <c r="Z3263" s="172"/>
      <c r="AA3263" s="195"/>
      <c r="AB3263" s="172"/>
    </row>
    <row r="3264" spans="1:28" ht="12.6" customHeight="1" x14ac:dyDescent="0.3">
      <c r="A3264" s="667"/>
      <c r="B3264" s="668" t="s">
        <v>10538</v>
      </c>
      <c r="C3264" s="160" t="s">
        <v>10539</v>
      </c>
      <c r="D3264" s="160"/>
      <c r="E3264" s="439"/>
      <c r="F3264" s="161">
        <v>199.98722530399999</v>
      </c>
      <c r="G3264" s="161"/>
      <c r="H3264" s="654"/>
      <c r="I3264" s="654"/>
      <c r="J3264" s="191"/>
      <c r="K3264" s="191">
        <v>266.88858553795399</v>
      </c>
      <c r="L3264" s="191"/>
      <c r="M3264" s="191"/>
      <c r="N3264" s="191"/>
      <c r="O3264" s="191"/>
      <c r="P3264" s="191"/>
      <c r="Q3264" s="191"/>
      <c r="R3264" s="191"/>
      <c r="S3264" s="191"/>
      <c r="T3264" s="191"/>
      <c r="U3264" s="439"/>
      <c r="V3264" s="441"/>
      <c r="W3264" s="178"/>
      <c r="X3264" s="172"/>
      <c r="Y3264" s="172"/>
      <c r="Z3264" s="172"/>
      <c r="AA3264" s="195"/>
      <c r="AB3264" s="172"/>
    </row>
    <row r="3265" spans="1:28" ht="12.6" customHeight="1" x14ac:dyDescent="0.3">
      <c r="A3265" s="667"/>
      <c r="B3265" s="668" t="s">
        <v>10540</v>
      </c>
      <c r="C3265" s="160" t="s">
        <v>10541</v>
      </c>
      <c r="D3265" s="160"/>
      <c r="E3265" s="439"/>
      <c r="F3265" s="161">
        <v>227.98213992399999</v>
      </c>
      <c r="G3265" s="161"/>
      <c r="H3265" s="654"/>
      <c r="I3265" s="654"/>
      <c r="J3265" s="191"/>
      <c r="K3265" s="191">
        <v>1544.93424553152</v>
      </c>
      <c r="L3265" s="191"/>
      <c r="M3265" s="191"/>
      <c r="N3265" s="191"/>
      <c r="O3265" s="191"/>
      <c r="P3265" s="191"/>
      <c r="Q3265" s="191"/>
      <c r="R3265" s="191"/>
      <c r="S3265" s="191"/>
      <c r="T3265" s="191"/>
      <c r="U3265" s="439"/>
      <c r="V3265" s="441"/>
      <c r="W3265" s="178"/>
      <c r="X3265" s="172"/>
      <c r="Y3265" s="172"/>
      <c r="Z3265" s="172"/>
      <c r="AA3265" s="195"/>
      <c r="AB3265" s="172"/>
    </row>
    <row r="3266" spans="1:28" ht="12.6" customHeight="1" x14ac:dyDescent="0.3">
      <c r="A3266" s="667"/>
      <c r="B3266" s="668" t="s">
        <v>10542</v>
      </c>
      <c r="C3266" s="160" t="s">
        <v>10543</v>
      </c>
      <c r="D3266" s="160"/>
      <c r="E3266" s="439"/>
      <c r="F3266" s="161">
        <v>161.99041897800001</v>
      </c>
      <c r="G3266" s="161">
        <v>-83.688999999999993</v>
      </c>
      <c r="H3266" s="654"/>
      <c r="I3266" s="654"/>
      <c r="J3266" s="191"/>
      <c r="K3266" s="191">
        <v>141.33834446581901</v>
      </c>
      <c r="L3266" s="191"/>
      <c r="M3266" s="191"/>
      <c r="N3266" s="191"/>
      <c r="O3266" s="191"/>
      <c r="P3266" s="191"/>
      <c r="Q3266" s="191"/>
      <c r="R3266" s="191"/>
      <c r="S3266" s="191"/>
      <c r="T3266" s="191"/>
      <c r="U3266" s="439"/>
      <c r="V3266" s="441"/>
      <c r="W3266" s="178"/>
      <c r="X3266" s="172"/>
      <c r="Y3266" s="172"/>
      <c r="Z3266" s="172"/>
      <c r="AA3266" s="195"/>
      <c r="AB3266" s="172"/>
    </row>
    <row r="3267" spans="1:28" ht="12.6" customHeight="1" x14ac:dyDescent="0.3">
      <c r="A3267" s="667"/>
      <c r="B3267" s="668" t="s">
        <v>10544</v>
      </c>
      <c r="C3267" s="160" t="s">
        <v>10545</v>
      </c>
      <c r="D3267" s="160"/>
      <c r="E3267" s="439">
        <v>41.19</v>
      </c>
      <c r="F3267" s="161">
        <v>372.97722974300001</v>
      </c>
      <c r="G3267" s="161">
        <v>-44.915999999999997</v>
      </c>
      <c r="H3267" s="654">
        <v>133.93794764</v>
      </c>
      <c r="I3267" s="654">
        <v>0.75802400264048297</v>
      </c>
      <c r="J3267" s="191"/>
      <c r="K3267" s="191">
        <v>19430.769503131101</v>
      </c>
      <c r="L3267" s="191"/>
      <c r="M3267" s="191"/>
      <c r="N3267" s="191"/>
      <c r="O3267" s="191"/>
      <c r="P3267" s="191"/>
      <c r="Q3267" s="191"/>
      <c r="R3267" s="191"/>
      <c r="S3267" s="191"/>
      <c r="T3267" s="191"/>
      <c r="U3267" s="439"/>
      <c r="V3267" s="441"/>
      <c r="W3267" s="178"/>
      <c r="X3267" s="172"/>
      <c r="Y3267" s="172"/>
      <c r="Z3267" s="172"/>
      <c r="AA3267" s="195"/>
      <c r="AB3267" s="172"/>
    </row>
    <row r="3268" spans="1:28" ht="12.6" customHeight="1" x14ac:dyDescent="0.3">
      <c r="A3268" s="667"/>
      <c r="B3268" s="668" t="s">
        <v>10546</v>
      </c>
      <c r="C3268" s="160" t="s">
        <v>10547</v>
      </c>
      <c r="D3268" s="160"/>
      <c r="E3268" s="439">
        <v>4.0199999999999996</v>
      </c>
      <c r="F3268" s="161">
        <v>282.98550879700002</v>
      </c>
      <c r="G3268" s="161"/>
      <c r="H3268" s="654"/>
      <c r="I3268" s="654"/>
      <c r="J3268" s="191"/>
      <c r="K3268" s="191">
        <v>1476.8622851779201</v>
      </c>
      <c r="L3268" s="191"/>
      <c r="M3268" s="191"/>
      <c r="N3268" s="191"/>
      <c r="O3268" s="191"/>
      <c r="P3268" s="191"/>
      <c r="Q3268" s="191"/>
      <c r="R3268" s="191"/>
      <c r="S3268" s="191"/>
      <c r="T3268" s="191"/>
      <c r="U3268" s="439"/>
      <c r="V3268" s="441"/>
      <c r="W3268" s="178"/>
      <c r="X3268" s="172"/>
      <c r="Y3268" s="172"/>
      <c r="Z3268" s="172"/>
      <c r="AA3268" s="195"/>
      <c r="AB3268" s="172"/>
    </row>
    <row r="3269" spans="1:28" ht="12.6" customHeight="1" x14ac:dyDescent="0.3">
      <c r="A3269" s="667"/>
      <c r="B3269" s="668" t="s">
        <v>10548</v>
      </c>
      <c r="C3269" s="160" t="s">
        <v>10549</v>
      </c>
      <c r="D3269" s="160"/>
      <c r="E3269" s="439"/>
      <c r="F3269" s="161">
        <v>333.878535</v>
      </c>
      <c r="G3269" s="161"/>
      <c r="H3269" s="654"/>
      <c r="I3269" s="654"/>
      <c r="J3269" s="191"/>
      <c r="K3269" s="191">
        <v>51779.7560485949</v>
      </c>
      <c r="L3269" s="191"/>
      <c r="M3269" s="191"/>
      <c r="N3269" s="191"/>
      <c r="O3269" s="191"/>
      <c r="P3269" s="191"/>
      <c r="Q3269" s="191"/>
      <c r="R3269" s="191"/>
      <c r="S3269" s="191"/>
      <c r="T3269" s="191"/>
      <c r="U3269" s="439"/>
      <c r="V3269" s="441"/>
      <c r="W3269" s="178"/>
      <c r="X3269" s="172"/>
      <c r="Y3269" s="172"/>
      <c r="Z3269" s="172"/>
      <c r="AA3269" s="195"/>
      <c r="AB3269" s="172"/>
    </row>
    <row r="3270" spans="1:28" ht="12.6" customHeight="1" x14ac:dyDescent="0.3">
      <c r="A3270" s="667"/>
      <c r="B3270" s="668" t="s">
        <v>10550</v>
      </c>
      <c r="C3270" s="160" t="s">
        <v>10551</v>
      </c>
      <c r="D3270" s="160"/>
      <c r="E3270" s="439"/>
      <c r="F3270" s="161">
        <v>235.96390299999999</v>
      </c>
      <c r="G3270" s="161">
        <v>-72.590999999999994</v>
      </c>
      <c r="H3270" s="654">
        <v>24825.756298</v>
      </c>
      <c r="I3270" s="654">
        <v>22.690572069163601</v>
      </c>
      <c r="J3270" s="191"/>
      <c r="K3270" s="191">
        <v>285.23315122990101</v>
      </c>
      <c r="L3270" s="191"/>
      <c r="M3270" s="191"/>
      <c r="N3270" s="191"/>
      <c r="O3270" s="191"/>
      <c r="P3270" s="191"/>
      <c r="Q3270" s="191"/>
      <c r="R3270" s="191"/>
      <c r="S3270" s="191"/>
      <c r="T3270" s="191"/>
      <c r="U3270" s="439"/>
      <c r="V3270" s="441"/>
      <c r="W3270" s="178"/>
      <c r="X3270" s="172"/>
      <c r="Y3270" s="172"/>
      <c r="Z3270" s="172"/>
      <c r="AA3270" s="195"/>
      <c r="AB3270" s="172"/>
    </row>
    <row r="3271" spans="1:28" ht="12.6" customHeight="1" x14ac:dyDescent="0.3">
      <c r="A3271" s="667"/>
      <c r="B3271" s="668" t="s">
        <v>10552</v>
      </c>
      <c r="C3271" s="160" t="s">
        <v>10553</v>
      </c>
      <c r="D3271" s="160"/>
      <c r="E3271" s="439">
        <v>5.23</v>
      </c>
      <c r="F3271" s="161">
        <v>670.95995940499995</v>
      </c>
      <c r="G3271" s="161">
        <v>-58.17</v>
      </c>
      <c r="H3271" s="654">
        <v>374.02553846000001</v>
      </c>
      <c r="I3271" s="654"/>
      <c r="J3271" s="191"/>
      <c r="K3271" s="191">
        <v>258696.17057842101</v>
      </c>
      <c r="L3271" s="191"/>
      <c r="M3271" s="191"/>
      <c r="N3271" s="191"/>
      <c r="O3271" s="191"/>
      <c r="P3271" s="191"/>
      <c r="Q3271" s="191"/>
      <c r="R3271" s="191"/>
      <c r="S3271" s="191"/>
      <c r="T3271" s="191"/>
      <c r="U3271" s="439"/>
      <c r="V3271" s="441"/>
      <c r="W3271" s="178"/>
      <c r="X3271" s="172"/>
      <c r="Y3271" s="172"/>
      <c r="Z3271" s="172"/>
      <c r="AA3271" s="195"/>
      <c r="AB3271" s="172"/>
    </row>
    <row r="3272" spans="1:28" ht="12.6" customHeight="1" x14ac:dyDescent="0.3">
      <c r="A3272" s="667"/>
      <c r="B3272" s="668" t="s">
        <v>10554</v>
      </c>
      <c r="C3272" s="160" t="s">
        <v>10555</v>
      </c>
      <c r="D3272" s="160"/>
      <c r="E3272" s="439"/>
      <c r="F3272" s="161">
        <v>315.95128749999998</v>
      </c>
      <c r="G3272" s="161">
        <v>-53.302</v>
      </c>
      <c r="H3272" s="654">
        <v>4486.4452864000004</v>
      </c>
      <c r="I3272" s="654">
        <v>13.823563920957399</v>
      </c>
      <c r="J3272" s="191"/>
      <c r="K3272" s="191">
        <v>120711.87616512401</v>
      </c>
      <c r="L3272" s="191"/>
      <c r="M3272" s="191"/>
      <c r="N3272" s="191"/>
      <c r="O3272" s="191"/>
      <c r="P3272" s="191"/>
      <c r="Q3272" s="191"/>
      <c r="R3272" s="191"/>
      <c r="S3272" s="191"/>
      <c r="T3272" s="191"/>
      <c r="U3272" s="439"/>
      <c r="V3272" s="441"/>
      <c r="W3272" s="178"/>
      <c r="X3272" s="172"/>
      <c r="Y3272" s="172"/>
      <c r="Z3272" s="172"/>
      <c r="AA3272" s="195"/>
      <c r="AB3272" s="172"/>
    </row>
    <row r="3273" spans="1:28" ht="12.6" customHeight="1" x14ac:dyDescent="0.3">
      <c r="A3273" s="667"/>
      <c r="B3273" s="668" t="s">
        <v>10556</v>
      </c>
      <c r="C3273" s="160" t="s">
        <v>10557</v>
      </c>
      <c r="D3273" s="160"/>
      <c r="E3273" s="439"/>
      <c r="F3273" s="161">
        <v>299.98083795600002</v>
      </c>
      <c r="G3273" s="161">
        <v>-56.363999999999997</v>
      </c>
      <c r="H3273" s="654">
        <v>7360.4009794000003</v>
      </c>
      <c r="I3273" s="654">
        <v>15.314171768072701</v>
      </c>
      <c r="J3273" s="191"/>
      <c r="K3273" s="191">
        <v>821.69378095711897</v>
      </c>
      <c r="L3273" s="191"/>
      <c r="M3273" s="191"/>
      <c r="N3273" s="191"/>
      <c r="O3273" s="191"/>
      <c r="P3273" s="191"/>
      <c r="Q3273" s="191"/>
      <c r="R3273" s="191"/>
      <c r="S3273" s="191"/>
      <c r="T3273" s="191"/>
      <c r="U3273" s="439"/>
      <c r="V3273" s="441"/>
      <c r="W3273" s="178"/>
      <c r="X3273" s="172"/>
      <c r="Y3273" s="172"/>
      <c r="Z3273" s="172"/>
      <c r="AA3273" s="195"/>
      <c r="AB3273" s="172"/>
    </row>
    <row r="3274" spans="1:28" ht="12.6" customHeight="1" x14ac:dyDescent="0.3">
      <c r="A3274" s="667"/>
      <c r="B3274" s="668" t="s">
        <v>10558</v>
      </c>
      <c r="C3274" s="160" t="s">
        <v>10559</v>
      </c>
      <c r="D3274" s="160"/>
      <c r="E3274" s="439">
        <v>4.2300000000000004</v>
      </c>
      <c r="F3274" s="161">
        <v>382.97912144899999</v>
      </c>
      <c r="G3274" s="161">
        <v>-53.11</v>
      </c>
      <c r="H3274" s="654">
        <v>2137.4849650000001</v>
      </c>
      <c r="I3274" s="654">
        <v>4.5938345617807501</v>
      </c>
      <c r="J3274" s="191"/>
      <c r="K3274" s="191">
        <v>11472.5510797589</v>
      </c>
      <c r="L3274" s="191"/>
      <c r="M3274" s="191"/>
      <c r="N3274" s="191"/>
      <c r="O3274" s="191"/>
      <c r="P3274" s="191"/>
      <c r="Q3274" s="191"/>
      <c r="R3274" s="191"/>
      <c r="S3274" s="191"/>
      <c r="T3274" s="191"/>
      <c r="U3274" s="439"/>
      <c r="V3274" s="441"/>
      <c r="W3274" s="178"/>
      <c r="X3274" s="172"/>
      <c r="Y3274" s="172"/>
      <c r="Z3274" s="172"/>
      <c r="AA3274" s="195"/>
      <c r="AB3274" s="172"/>
    </row>
    <row r="3275" spans="1:28" ht="12.6" customHeight="1" x14ac:dyDescent="0.3">
      <c r="A3275" s="667"/>
      <c r="B3275" s="668" t="s">
        <v>10560</v>
      </c>
      <c r="C3275" s="160" t="s">
        <v>10561</v>
      </c>
      <c r="D3275" s="160"/>
      <c r="E3275" s="439">
        <v>1.9690000000000001</v>
      </c>
      <c r="F3275" s="161">
        <v>249.98403163</v>
      </c>
      <c r="G3275" s="161">
        <v>-61.536999999999999</v>
      </c>
      <c r="H3275" s="654">
        <v>64402.391997999999</v>
      </c>
      <c r="I3275" s="654">
        <v>13.3632463884259</v>
      </c>
      <c r="J3275" s="191"/>
      <c r="K3275" s="191">
        <v>57808.273640555599</v>
      </c>
      <c r="L3275" s="191"/>
      <c r="M3275" s="191"/>
      <c r="N3275" s="191"/>
      <c r="O3275" s="191"/>
      <c r="P3275" s="191"/>
      <c r="Q3275" s="191"/>
      <c r="R3275" s="191"/>
      <c r="S3275" s="191"/>
      <c r="T3275" s="191"/>
      <c r="U3275" s="439"/>
      <c r="V3275" s="441"/>
      <c r="W3275" s="178"/>
      <c r="X3275" s="172"/>
      <c r="Y3275" s="172"/>
      <c r="Z3275" s="172"/>
      <c r="AA3275" s="195"/>
      <c r="AB3275" s="172"/>
    </row>
    <row r="3276" spans="1:28" ht="12.6" customHeight="1" x14ac:dyDescent="0.3">
      <c r="A3276" s="667"/>
      <c r="B3276" s="668" t="s">
        <v>10562</v>
      </c>
      <c r="C3276" s="160" t="s">
        <v>10563</v>
      </c>
      <c r="D3276" s="160"/>
      <c r="E3276" s="439">
        <v>8.15</v>
      </c>
      <c r="F3276" s="161">
        <v>336.03090163600001</v>
      </c>
      <c r="G3276" s="161"/>
      <c r="H3276" s="654"/>
      <c r="I3276" s="654"/>
      <c r="J3276" s="191"/>
      <c r="K3276" s="191">
        <v>61764.652167637803</v>
      </c>
      <c r="L3276" s="191"/>
      <c r="M3276" s="191"/>
      <c r="N3276" s="191"/>
      <c r="O3276" s="191"/>
      <c r="P3276" s="191"/>
      <c r="Q3276" s="191"/>
      <c r="R3276" s="191"/>
      <c r="S3276" s="191"/>
      <c r="T3276" s="191"/>
      <c r="U3276" s="439"/>
      <c r="V3276" s="441"/>
      <c r="W3276" s="178"/>
      <c r="X3276" s="172"/>
      <c r="Y3276" s="172"/>
      <c r="Z3276" s="172"/>
      <c r="AA3276" s="195"/>
      <c r="AB3276" s="172"/>
    </row>
    <row r="3277" spans="1:28" ht="12.6" customHeight="1" x14ac:dyDescent="0.3">
      <c r="A3277" s="667"/>
      <c r="B3277" s="668" t="s">
        <v>10564</v>
      </c>
      <c r="C3277" s="160" t="s">
        <v>10565</v>
      </c>
      <c r="D3277" s="160"/>
      <c r="E3277" s="439"/>
      <c r="F3277" s="161">
        <v>199.98722530399999</v>
      </c>
      <c r="G3277" s="161">
        <v>-50.42</v>
      </c>
      <c r="H3277" s="654">
        <v>66665.666270000002</v>
      </c>
      <c r="I3277" s="654">
        <v>45.814473483217398</v>
      </c>
      <c r="J3277" s="191"/>
      <c r="K3277" s="191">
        <v>45936.721880370002</v>
      </c>
      <c r="L3277" s="191"/>
      <c r="M3277" s="191"/>
      <c r="N3277" s="191"/>
      <c r="O3277" s="191"/>
      <c r="P3277" s="191"/>
      <c r="Q3277" s="191"/>
      <c r="R3277" s="191"/>
      <c r="S3277" s="191"/>
      <c r="T3277" s="191"/>
      <c r="U3277" s="439"/>
      <c r="V3277" s="441"/>
      <c r="W3277" s="178"/>
      <c r="X3277" s="172"/>
      <c r="Y3277" s="172"/>
      <c r="Z3277" s="172"/>
      <c r="AA3277" s="195"/>
      <c r="AB3277" s="172"/>
    </row>
    <row r="3278" spans="1:28" ht="12.6" customHeight="1" x14ac:dyDescent="0.3">
      <c r="A3278" s="667"/>
      <c r="B3278" s="668" t="s">
        <v>10566</v>
      </c>
      <c r="C3278" s="160" t="s">
        <v>10567</v>
      </c>
      <c r="D3278" s="160"/>
      <c r="E3278" s="439"/>
      <c r="F3278" s="161">
        <v>623.96167591200003</v>
      </c>
      <c r="G3278" s="161">
        <v>7.1580000000000004</v>
      </c>
      <c r="H3278" s="654">
        <v>3.4906099396000001</v>
      </c>
      <c r="I3278" s="654"/>
      <c r="J3278" s="191"/>
      <c r="K3278" s="191">
        <v>342444345.92590898</v>
      </c>
      <c r="L3278" s="191"/>
      <c r="M3278" s="191"/>
      <c r="N3278" s="191"/>
      <c r="O3278" s="191"/>
      <c r="P3278" s="191"/>
      <c r="Q3278" s="191"/>
      <c r="R3278" s="191"/>
      <c r="S3278" s="191"/>
      <c r="T3278" s="191"/>
      <c r="U3278" s="439"/>
      <c r="V3278" s="441"/>
      <c r="W3278" s="178"/>
      <c r="X3278" s="172"/>
      <c r="Y3278" s="172"/>
      <c r="Z3278" s="172"/>
      <c r="AA3278" s="195"/>
      <c r="AB3278" s="172"/>
    </row>
    <row r="3279" spans="1:28" ht="12.6" customHeight="1" x14ac:dyDescent="0.3">
      <c r="A3279" s="667"/>
      <c r="B3279" s="668" t="s">
        <v>10568</v>
      </c>
      <c r="C3279" s="160" t="s">
        <v>10569</v>
      </c>
      <c r="D3279" s="160"/>
      <c r="E3279" s="439"/>
      <c r="F3279" s="161">
        <v>461.971256934</v>
      </c>
      <c r="G3279" s="161">
        <v>-29.988</v>
      </c>
      <c r="H3279" s="654">
        <v>167.84306545999999</v>
      </c>
      <c r="I3279" s="654">
        <v>1.5052732844560299</v>
      </c>
      <c r="J3279" s="191"/>
      <c r="K3279" s="191">
        <v>225226765.53266501</v>
      </c>
      <c r="L3279" s="191"/>
      <c r="M3279" s="191"/>
      <c r="N3279" s="191"/>
      <c r="O3279" s="191"/>
      <c r="P3279" s="191"/>
      <c r="Q3279" s="191"/>
      <c r="R3279" s="191"/>
      <c r="S3279" s="191"/>
      <c r="T3279" s="191"/>
      <c r="U3279" s="439"/>
      <c r="V3279" s="441"/>
      <c r="W3279" s="178"/>
      <c r="X3279" s="172"/>
      <c r="Y3279" s="172"/>
      <c r="Z3279" s="172"/>
      <c r="AA3279" s="195"/>
      <c r="AB3279" s="172"/>
    </row>
    <row r="3280" spans="1:28" ht="12.6" customHeight="1" x14ac:dyDescent="0.3">
      <c r="A3280" s="667"/>
      <c r="B3280" s="668" t="s">
        <v>10570</v>
      </c>
      <c r="C3280" s="160" t="s">
        <v>10571</v>
      </c>
      <c r="D3280" s="160"/>
      <c r="E3280" s="439"/>
      <c r="F3280" s="161">
        <v>573.96486958599996</v>
      </c>
      <c r="G3280" s="161"/>
      <c r="H3280" s="654"/>
      <c r="I3280" s="654"/>
      <c r="J3280" s="191"/>
      <c r="K3280" s="191"/>
      <c r="L3280" s="191"/>
      <c r="M3280" s="191"/>
      <c r="N3280" s="191"/>
      <c r="O3280" s="191"/>
      <c r="P3280" s="191"/>
      <c r="Q3280" s="191"/>
      <c r="R3280" s="191"/>
      <c r="S3280" s="191"/>
      <c r="T3280" s="191"/>
      <c r="U3280" s="439"/>
      <c r="V3280" s="441"/>
      <c r="W3280" s="178"/>
      <c r="X3280" s="172"/>
      <c r="Y3280" s="172"/>
      <c r="Z3280" s="172"/>
      <c r="AA3280" s="195"/>
      <c r="AB3280" s="172"/>
    </row>
    <row r="3281" spans="1:28" ht="12.6" customHeight="1" x14ac:dyDescent="0.3">
      <c r="A3281" s="667"/>
      <c r="B3281" s="668" t="s">
        <v>10572</v>
      </c>
      <c r="C3281" s="160" t="s">
        <v>10573</v>
      </c>
      <c r="D3281" s="160"/>
      <c r="E3281" s="439">
        <v>4.58</v>
      </c>
      <c r="F3281" s="161">
        <v>332.98231512299998</v>
      </c>
      <c r="G3281" s="161">
        <v>-70.293999999999997</v>
      </c>
      <c r="H3281" s="654">
        <v>4235.4666213999999</v>
      </c>
      <c r="I3281" s="654">
        <v>9.9179448524015701</v>
      </c>
      <c r="J3281" s="191"/>
      <c r="K3281" s="191">
        <v>1339.2757338947599</v>
      </c>
      <c r="L3281" s="191"/>
      <c r="M3281" s="191"/>
      <c r="N3281" s="191"/>
      <c r="O3281" s="191"/>
      <c r="P3281" s="191"/>
      <c r="Q3281" s="191"/>
      <c r="R3281" s="191"/>
      <c r="S3281" s="191"/>
      <c r="T3281" s="191"/>
      <c r="U3281" s="439"/>
      <c r="V3281" s="441"/>
      <c r="W3281" s="178"/>
      <c r="X3281" s="172"/>
      <c r="Y3281" s="172"/>
      <c r="Z3281" s="172"/>
      <c r="AA3281" s="195"/>
      <c r="AB3281" s="172"/>
    </row>
    <row r="3282" spans="1:28" ht="12.6" customHeight="1" x14ac:dyDescent="0.3">
      <c r="A3282" s="667"/>
      <c r="B3282" s="668" t="s">
        <v>10574</v>
      </c>
      <c r="C3282" s="160" t="s">
        <v>10575</v>
      </c>
      <c r="D3282" s="160"/>
      <c r="E3282" s="439"/>
      <c r="F3282" s="161">
        <v>385.97764428200003</v>
      </c>
      <c r="G3282" s="161">
        <v>-63.679000000000002</v>
      </c>
      <c r="H3282" s="654">
        <v>256.98082144</v>
      </c>
      <c r="I3282" s="654">
        <v>0.29961398844096898</v>
      </c>
      <c r="J3282" s="191"/>
      <c r="K3282" s="191">
        <v>34136579.306306601</v>
      </c>
      <c r="L3282" s="191"/>
      <c r="M3282" s="191"/>
      <c r="N3282" s="191"/>
      <c r="O3282" s="191"/>
      <c r="P3282" s="191"/>
      <c r="Q3282" s="191"/>
      <c r="R3282" s="191"/>
      <c r="S3282" s="191"/>
      <c r="T3282" s="191"/>
      <c r="U3282" s="439"/>
      <c r="V3282" s="441"/>
      <c r="W3282" s="178"/>
      <c r="X3282" s="172"/>
      <c r="Y3282" s="172"/>
      <c r="Z3282" s="172"/>
      <c r="AA3282" s="195"/>
      <c r="AB3282" s="172"/>
    </row>
    <row r="3283" spans="1:28" ht="12.6" customHeight="1" x14ac:dyDescent="0.3">
      <c r="A3283" s="667"/>
      <c r="B3283" s="668" t="s">
        <v>10576</v>
      </c>
      <c r="C3283" s="160" t="s">
        <v>10577</v>
      </c>
      <c r="D3283" s="160"/>
      <c r="E3283" s="439"/>
      <c r="F3283" s="161">
        <v>261.98403163</v>
      </c>
      <c r="G3283" s="161">
        <v>-77.239999999999995</v>
      </c>
      <c r="H3283" s="654">
        <v>15700.132041999999</v>
      </c>
      <c r="I3283" s="654">
        <v>11.6754755600099</v>
      </c>
      <c r="J3283" s="191"/>
      <c r="K3283" s="191">
        <v>568564.840717418</v>
      </c>
      <c r="L3283" s="191"/>
      <c r="M3283" s="191"/>
      <c r="N3283" s="191"/>
      <c r="O3283" s="191"/>
      <c r="P3283" s="191"/>
      <c r="Q3283" s="191"/>
      <c r="R3283" s="191"/>
      <c r="S3283" s="191"/>
      <c r="T3283" s="191"/>
      <c r="U3283" s="439"/>
      <c r="V3283" s="441"/>
      <c r="W3283" s="178"/>
      <c r="X3283" s="172"/>
      <c r="Y3283" s="172"/>
      <c r="Z3283" s="172"/>
      <c r="AA3283" s="195"/>
      <c r="AB3283" s="172"/>
    </row>
    <row r="3284" spans="1:28" ht="12.6" customHeight="1" x14ac:dyDescent="0.3">
      <c r="A3284" s="667"/>
      <c r="B3284" s="668" t="s">
        <v>10578</v>
      </c>
      <c r="C3284" s="160" t="s">
        <v>10579</v>
      </c>
      <c r="D3284" s="160"/>
      <c r="E3284" s="439"/>
      <c r="F3284" s="161">
        <v>211.98722530399999</v>
      </c>
      <c r="G3284" s="161">
        <v>-45.651000000000003</v>
      </c>
      <c r="H3284" s="654">
        <v>68218.467604000005</v>
      </c>
      <c r="I3284" s="654">
        <v>40.579866591043498</v>
      </c>
      <c r="J3284" s="191"/>
      <c r="K3284" s="191">
        <v>137312.47651949199</v>
      </c>
      <c r="L3284" s="191"/>
      <c r="M3284" s="191"/>
      <c r="N3284" s="191"/>
      <c r="O3284" s="191"/>
      <c r="P3284" s="191"/>
      <c r="Q3284" s="191"/>
      <c r="R3284" s="191"/>
      <c r="S3284" s="191"/>
      <c r="T3284" s="191"/>
      <c r="U3284" s="439"/>
      <c r="V3284" s="441"/>
      <c r="W3284" s="178"/>
      <c r="X3284" s="172"/>
      <c r="Y3284" s="172"/>
      <c r="Z3284" s="172"/>
      <c r="AA3284" s="195"/>
      <c r="AB3284" s="172"/>
    </row>
    <row r="3285" spans="1:28" ht="12.6" customHeight="1" x14ac:dyDescent="0.3">
      <c r="A3285" s="667"/>
      <c r="B3285" s="668" t="s">
        <v>10580</v>
      </c>
      <c r="C3285" s="160" t="s">
        <v>10581</v>
      </c>
      <c r="D3285" s="160"/>
      <c r="E3285" s="439"/>
      <c r="F3285" s="161">
        <v>161.99041897800001</v>
      </c>
      <c r="G3285" s="161">
        <v>-65.536000000000001</v>
      </c>
      <c r="H3285" s="654">
        <v>157001.32042</v>
      </c>
      <c r="I3285" s="654">
        <v>202.53014123143399</v>
      </c>
      <c r="J3285" s="191"/>
      <c r="K3285" s="191">
        <v>20538.560422611299</v>
      </c>
      <c r="L3285" s="191"/>
      <c r="M3285" s="191"/>
      <c r="N3285" s="191"/>
      <c r="O3285" s="191"/>
      <c r="P3285" s="191"/>
      <c r="Q3285" s="191"/>
      <c r="R3285" s="191"/>
      <c r="S3285" s="191"/>
      <c r="T3285" s="191"/>
      <c r="U3285" s="439"/>
      <c r="V3285" s="441"/>
      <c r="W3285" s="178"/>
      <c r="X3285" s="172"/>
      <c r="Y3285" s="172"/>
      <c r="Z3285" s="172"/>
      <c r="AA3285" s="195"/>
      <c r="AB3285" s="172"/>
    </row>
    <row r="3286" spans="1:28" ht="12.6" customHeight="1" x14ac:dyDescent="0.3">
      <c r="A3286" s="667"/>
      <c r="B3286" s="668" t="s">
        <v>10582</v>
      </c>
      <c r="C3286" s="160" t="s">
        <v>10583</v>
      </c>
      <c r="D3286" s="160"/>
      <c r="E3286" s="439"/>
      <c r="F3286" s="161">
        <v>585.96486958599996</v>
      </c>
      <c r="G3286" s="161">
        <v>-58.927999999999997</v>
      </c>
      <c r="H3286" s="654">
        <v>1.0762218467</v>
      </c>
      <c r="I3286" s="654"/>
      <c r="J3286" s="191"/>
      <c r="K3286" s="191">
        <v>7894234.0807304699</v>
      </c>
      <c r="L3286" s="191"/>
      <c r="M3286" s="191"/>
      <c r="N3286" s="191"/>
      <c r="O3286" s="191"/>
      <c r="P3286" s="191"/>
      <c r="Q3286" s="191"/>
      <c r="R3286" s="191"/>
      <c r="S3286" s="191"/>
      <c r="T3286" s="191"/>
      <c r="U3286" s="439"/>
      <c r="V3286" s="441"/>
      <c r="W3286" s="178"/>
      <c r="X3286" s="172"/>
      <c r="Y3286" s="172"/>
      <c r="Z3286" s="172"/>
      <c r="AA3286" s="195"/>
      <c r="AB3286" s="172"/>
    </row>
    <row r="3287" spans="1:28" ht="12.6" customHeight="1" x14ac:dyDescent="0.3">
      <c r="A3287" s="667"/>
      <c r="B3287" s="668" t="s">
        <v>10584</v>
      </c>
      <c r="C3287" s="160" t="s">
        <v>10585</v>
      </c>
      <c r="D3287" s="160"/>
      <c r="E3287" s="439"/>
      <c r="F3287" s="161">
        <v>281.99025982500001</v>
      </c>
      <c r="G3287" s="161">
        <v>-54.927999999999997</v>
      </c>
      <c r="H3287" s="654">
        <v>3403.3106939999998</v>
      </c>
      <c r="I3287" s="654">
        <v>17.874516599527201</v>
      </c>
      <c r="J3287" s="191"/>
      <c r="K3287" s="191">
        <v>86548.590599375602</v>
      </c>
      <c r="L3287" s="191"/>
      <c r="M3287" s="191"/>
      <c r="N3287" s="191"/>
      <c r="O3287" s="191"/>
      <c r="P3287" s="191"/>
      <c r="Q3287" s="191"/>
      <c r="R3287" s="191"/>
      <c r="S3287" s="191"/>
      <c r="T3287" s="191"/>
      <c r="U3287" s="439"/>
      <c r="V3287" s="441"/>
      <c r="W3287" s="178"/>
      <c r="X3287" s="172"/>
      <c r="Y3287" s="172"/>
      <c r="Z3287" s="172"/>
      <c r="AA3287" s="195"/>
      <c r="AB3287" s="172"/>
    </row>
    <row r="3288" spans="1:28" ht="12.6" customHeight="1" x14ac:dyDescent="0.3">
      <c r="A3288" s="667"/>
      <c r="B3288" s="668" t="s">
        <v>10586</v>
      </c>
      <c r="C3288" s="160" t="s">
        <v>10587</v>
      </c>
      <c r="D3288" s="160"/>
      <c r="E3288" s="439"/>
      <c r="F3288" s="161">
        <v>513.96617155399997</v>
      </c>
      <c r="G3288" s="161"/>
      <c r="H3288" s="654"/>
      <c r="I3288" s="654"/>
      <c r="J3288" s="191"/>
      <c r="K3288" s="191">
        <v>647232027.98122203</v>
      </c>
      <c r="L3288" s="191"/>
      <c r="M3288" s="191"/>
      <c r="N3288" s="191"/>
      <c r="O3288" s="191"/>
      <c r="P3288" s="191"/>
      <c r="Q3288" s="191"/>
      <c r="R3288" s="191"/>
      <c r="S3288" s="191"/>
      <c r="T3288" s="191"/>
      <c r="U3288" s="439"/>
      <c r="V3288" s="441"/>
      <c r="W3288" s="178"/>
      <c r="X3288" s="172"/>
      <c r="Y3288" s="172"/>
      <c r="Z3288" s="172"/>
      <c r="AA3288" s="195"/>
      <c r="AB3288" s="172"/>
    </row>
    <row r="3289" spans="1:28" ht="12.6" customHeight="1" x14ac:dyDescent="0.3">
      <c r="A3289" s="667"/>
      <c r="B3289" s="668" t="s">
        <v>10588</v>
      </c>
      <c r="C3289" s="160" t="s">
        <v>10589</v>
      </c>
      <c r="D3289" s="160"/>
      <c r="E3289" s="439"/>
      <c r="F3289" s="161">
        <v>413.972558902</v>
      </c>
      <c r="G3289" s="161"/>
      <c r="H3289" s="654"/>
      <c r="I3289" s="654"/>
      <c r="J3289" s="191"/>
      <c r="K3289" s="191">
        <v>312111664.65250301</v>
      </c>
      <c r="L3289" s="191"/>
      <c r="M3289" s="191"/>
      <c r="N3289" s="191"/>
      <c r="O3289" s="191"/>
      <c r="P3289" s="191"/>
      <c r="Q3289" s="191"/>
      <c r="R3289" s="191"/>
      <c r="S3289" s="191"/>
      <c r="T3289" s="191"/>
      <c r="U3289" s="439"/>
      <c r="V3289" s="441"/>
      <c r="W3289" s="178"/>
      <c r="X3289" s="172"/>
      <c r="Y3289" s="172"/>
      <c r="Z3289" s="172"/>
      <c r="AA3289" s="195"/>
      <c r="AB3289" s="172"/>
    </row>
    <row r="3290" spans="1:28" ht="12.6" customHeight="1" x14ac:dyDescent="0.3">
      <c r="A3290" s="667"/>
      <c r="B3290" s="668" t="s">
        <v>10590</v>
      </c>
      <c r="C3290" s="160" t="s">
        <v>10591</v>
      </c>
      <c r="D3290" s="160"/>
      <c r="E3290" s="439"/>
      <c r="F3290" s="161">
        <v>363.97575257599999</v>
      </c>
      <c r="G3290" s="161"/>
      <c r="H3290" s="654"/>
      <c r="I3290" s="654"/>
      <c r="J3290" s="191"/>
      <c r="K3290" s="191">
        <v>376651.75902566302</v>
      </c>
      <c r="L3290" s="191"/>
      <c r="M3290" s="191"/>
      <c r="N3290" s="191"/>
      <c r="O3290" s="191"/>
      <c r="P3290" s="191"/>
      <c r="Q3290" s="191"/>
      <c r="R3290" s="191"/>
      <c r="S3290" s="191"/>
      <c r="T3290" s="191"/>
      <c r="U3290" s="439"/>
      <c r="V3290" s="441"/>
      <c r="W3290" s="178"/>
      <c r="X3290" s="172"/>
      <c r="Y3290" s="172"/>
      <c r="Z3290" s="172"/>
      <c r="AA3290" s="195"/>
      <c r="AB3290" s="172"/>
    </row>
    <row r="3291" spans="1:28" ht="12.6" customHeight="1" x14ac:dyDescent="0.3">
      <c r="A3291" s="667"/>
      <c r="B3291" s="668" t="s">
        <v>10592</v>
      </c>
      <c r="C3291" s="160" t="s">
        <v>10593</v>
      </c>
      <c r="D3291" s="160"/>
      <c r="E3291" s="439"/>
      <c r="F3291" s="161">
        <v>385.97764428200003</v>
      </c>
      <c r="G3291" s="161"/>
      <c r="H3291" s="654"/>
      <c r="I3291" s="654"/>
      <c r="J3291" s="191"/>
      <c r="K3291" s="191">
        <v>14372423.3111041</v>
      </c>
      <c r="L3291" s="191"/>
      <c r="M3291" s="191"/>
      <c r="N3291" s="191"/>
      <c r="O3291" s="191"/>
      <c r="P3291" s="191"/>
      <c r="Q3291" s="191"/>
      <c r="R3291" s="191"/>
      <c r="S3291" s="191"/>
      <c r="T3291" s="191"/>
      <c r="U3291" s="439"/>
      <c r="V3291" s="441"/>
      <c r="W3291" s="178"/>
      <c r="X3291" s="172"/>
      <c r="Y3291" s="172"/>
      <c r="Z3291" s="172"/>
      <c r="AA3291" s="195"/>
      <c r="AB3291" s="172"/>
    </row>
    <row r="3292" spans="1:28" ht="12.6" customHeight="1" x14ac:dyDescent="0.3">
      <c r="A3292" s="667"/>
      <c r="B3292" s="668" t="s">
        <v>10594</v>
      </c>
      <c r="C3292" s="160" t="s">
        <v>10595</v>
      </c>
      <c r="D3292" s="160"/>
      <c r="E3292" s="439"/>
      <c r="F3292" s="161">
        <v>335.98083795600002</v>
      </c>
      <c r="G3292" s="161"/>
      <c r="H3292" s="654"/>
      <c r="I3292" s="654"/>
      <c r="J3292" s="191"/>
      <c r="K3292" s="191">
        <v>3270468.7220246801</v>
      </c>
      <c r="L3292" s="191"/>
      <c r="M3292" s="191"/>
      <c r="N3292" s="191"/>
      <c r="O3292" s="191"/>
      <c r="P3292" s="191"/>
      <c r="Q3292" s="191"/>
      <c r="R3292" s="191"/>
      <c r="S3292" s="191"/>
      <c r="T3292" s="191"/>
      <c r="U3292" s="439"/>
      <c r="V3292" s="441"/>
      <c r="W3292" s="178"/>
      <c r="X3292" s="172"/>
      <c r="Y3292" s="172"/>
      <c r="Z3292" s="172"/>
      <c r="AA3292" s="195"/>
      <c r="AB3292" s="172"/>
    </row>
    <row r="3293" spans="1:28" ht="12.6" customHeight="1" x14ac:dyDescent="0.3">
      <c r="A3293" s="667"/>
      <c r="B3293" s="668" t="s">
        <v>10596</v>
      </c>
      <c r="C3293" s="160" t="s">
        <v>10597</v>
      </c>
      <c r="D3293" s="160"/>
      <c r="E3293" s="439"/>
      <c r="F3293" s="161">
        <v>385.97764428200003</v>
      </c>
      <c r="G3293" s="161"/>
      <c r="H3293" s="654"/>
      <c r="I3293" s="654"/>
      <c r="J3293" s="191"/>
      <c r="K3293" s="191">
        <v>81406671.880213305</v>
      </c>
      <c r="L3293" s="191"/>
      <c r="M3293" s="191"/>
      <c r="N3293" s="191"/>
      <c r="O3293" s="191"/>
      <c r="P3293" s="191"/>
      <c r="Q3293" s="191"/>
      <c r="R3293" s="191"/>
      <c r="S3293" s="191"/>
      <c r="T3293" s="191"/>
      <c r="U3293" s="439"/>
      <c r="V3293" s="441"/>
      <c r="W3293" s="178"/>
      <c r="X3293" s="172"/>
      <c r="Y3293" s="172"/>
      <c r="Z3293" s="172"/>
      <c r="AA3293" s="195"/>
      <c r="AB3293" s="172"/>
    </row>
    <row r="3294" spans="1:28" ht="12.6" customHeight="1" x14ac:dyDescent="0.3">
      <c r="A3294" s="667"/>
      <c r="B3294" s="668" t="s">
        <v>10598</v>
      </c>
      <c r="C3294" s="160" t="s">
        <v>10599</v>
      </c>
      <c r="D3294" s="160"/>
      <c r="E3294" s="439"/>
      <c r="F3294" s="161">
        <v>335.98083795600002</v>
      </c>
      <c r="G3294" s="161"/>
      <c r="H3294" s="654"/>
      <c r="I3294" s="654"/>
      <c r="J3294" s="191"/>
      <c r="K3294" s="191">
        <v>4632228.7745423401</v>
      </c>
      <c r="L3294" s="191"/>
      <c r="M3294" s="191"/>
      <c r="N3294" s="191"/>
      <c r="O3294" s="191"/>
      <c r="P3294" s="191"/>
      <c r="Q3294" s="191"/>
      <c r="R3294" s="191"/>
      <c r="S3294" s="191"/>
      <c r="T3294" s="191"/>
      <c r="U3294" s="439"/>
      <c r="V3294" s="441"/>
      <c r="W3294" s="178"/>
      <c r="X3294" s="172"/>
      <c r="Y3294" s="172"/>
      <c r="Z3294" s="172"/>
      <c r="AA3294" s="195"/>
      <c r="AB3294" s="172"/>
    </row>
    <row r="3295" spans="1:28" ht="12.6" customHeight="1" x14ac:dyDescent="0.3">
      <c r="A3295" s="667"/>
      <c r="B3295" s="668" t="s">
        <v>10600</v>
      </c>
      <c r="C3295" s="160" t="s">
        <v>10601</v>
      </c>
      <c r="D3295" s="160"/>
      <c r="E3295" s="439"/>
      <c r="F3295" s="161">
        <v>375.97575257599999</v>
      </c>
      <c r="G3295" s="161"/>
      <c r="H3295" s="654"/>
      <c r="I3295" s="654"/>
      <c r="J3295" s="191"/>
      <c r="K3295" s="191">
        <v>1133939.80311818</v>
      </c>
      <c r="L3295" s="191"/>
      <c r="M3295" s="191"/>
      <c r="N3295" s="191"/>
      <c r="O3295" s="191"/>
      <c r="P3295" s="191"/>
      <c r="Q3295" s="191"/>
      <c r="R3295" s="191"/>
      <c r="S3295" s="191"/>
      <c r="T3295" s="191"/>
      <c r="U3295" s="439"/>
      <c r="V3295" s="441"/>
      <c r="W3295" s="178"/>
      <c r="X3295" s="172"/>
      <c r="Y3295" s="172"/>
      <c r="Z3295" s="172"/>
      <c r="AA3295" s="195"/>
      <c r="AB3295" s="172"/>
    </row>
    <row r="3296" spans="1:28" ht="12.6" customHeight="1" x14ac:dyDescent="0.3">
      <c r="A3296" s="667"/>
      <c r="B3296" s="668" t="s">
        <v>10602</v>
      </c>
      <c r="C3296" s="160" t="s">
        <v>10603</v>
      </c>
      <c r="D3296" s="160"/>
      <c r="E3296" s="439"/>
      <c r="F3296" s="161">
        <v>397.97764428200003</v>
      </c>
      <c r="G3296" s="161"/>
      <c r="H3296" s="654"/>
      <c r="I3296" s="654"/>
      <c r="J3296" s="191"/>
      <c r="K3296" s="191">
        <v>1118227.06630555</v>
      </c>
      <c r="L3296" s="191"/>
      <c r="M3296" s="191"/>
      <c r="N3296" s="191"/>
      <c r="O3296" s="191"/>
      <c r="P3296" s="191"/>
      <c r="Q3296" s="191"/>
      <c r="R3296" s="191"/>
      <c r="S3296" s="191"/>
      <c r="T3296" s="191"/>
      <c r="U3296" s="439"/>
      <c r="V3296" s="441"/>
      <c r="W3296" s="178"/>
      <c r="X3296" s="172"/>
      <c r="Y3296" s="172"/>
      <c r="Z3296" s="172"/>
      <c r="AA3296" s="195"/>
      <c r="AB3296" s="172"/>
    </row>
    <row r="3297" spans="1:28" ht="12.6" customHeight="1" x14ac:dyDescent="0.3">
      <c r="A3297" s="667"/>
      <c r="B3297" s="668" t="s">
        <v>10604</v>
      </c>
      <c r="C3297" s="160" t="s">
        <v>10605</v>
      </c>
      <c r="D3297" s="160"/>
      <c r="E3297" s="439">
        <v>4.93</v>
      </c>
      <c r="F3297" s="161">
        <v>478.98140707900001</v>
      </c>
      <c r="G3297" s="161"/>
      <c r="H3297" s="654"/>
      <c r="I3297" s="654"/>
      <c r="J3297" s="191"/>
      <c r="K3297" s="191">
        <v>31999.264778664801</v>
      </c>
      <c r="L3297" s="191"/>
      <c r="M3297" s="191"/>
      <c r="N3297" s="191"/>
      <c r="O3297" s="191"/>
      <c r="P3297" s="191"/>
      <c r="Q3297" s="191"/>
      <c r="R3297" s="191"/>
      <c r="S3297" s="191"/>
      <c r="T3297" s="191"/>
      <c r="U3297" s="439"/>
      <c r="V3297" s="441"/>
      <c r="W3297" s="178"/>
      <c r="X3297" s="172"/>
      <c r="Y3297" s="172"/>
      <c r="Z3297" s="172"/>
      <c r="AA3297" s="195"/>
      <c r="AB3297" s="172"/>
    </row>
    <row r="3298" spans="1:28" ht="12.6" customHeight="1" x14ac:dyDescent="0.3">
      <c r="A3298" s="667"/>
      <c r="B3298" s="668" t="s">
        <v>10606</v>
      </c>
      <c r="C3298" s="160" t="s">
        <v>10607</v>
      </c>
      <c r="D3298" s="160"/>
      <c r="E3298" s="439">
        <v>21</v>
      </c>
      <c r="F3298" s="161">
        <v>319.080711151</v>
      </c>
      <c r="G3298" s="161"/>
      <c r="H3298" s="654"/>
      <c r="I3298" s="654"/>
      <c r="J3298" s="191"/>
      <c r="K3298" s="191">
        <v>1116.4775634899199</v>
      </c>
      <c r="L3298" s="191"/>
      <c r="M3298" s="191"/>
      <c r="N3298" s="191"/>
      <c r="O3298" s="191"/>
      <c r="P3298" s="191"/>
      <c r="Q3298" s="191"/>
      <c r="R3298" s="191"/>
      <c r="S3298" s="191"/>
      <c r="T3298" s="191"/>
      <c r="U3298" s="439"/>
      <c r="V3298" s="441"/>
      <c r="W3298" s="178"/>
      <c r="X3298" s="172"/>
      <c r="Y3298" s="172"/>
      <c r="Z3298" s="172"/>
      <c r="AA3298" s="195"/>
      <c r="AB3298" s="172"/>
    </row>
    <row r="3299" spans="1:28" ht="12.6" customHeight="1" x14ac:dyDescent="0.3">
      <c r="A3299" s="667"/>
      <c r="B3299" s="668" t="s">
        <v>10608</v>
      </c>
      <c r="C3299" s="160" t="s">
        <v>10609</v>
      </c>
      <c r="D3299" s="160"/>
      <c r="E3299" s="439">
        <v>6.69</v>
      </c>
      <c r="F3299" s="161">
        <v>285.00115886100002</v>
      </c>
      <c r="G3299" s="161">
        <v>-67.442999999999998</v>
      </c>
      <c r="H3299" s="654">
        <v>1591.8513478</v>
      </c>
      <c r="I3299" s="654">
        <v>73.934430629402897</v>
      </c>
      <c r="J3299" s="191"/>
      <c r="K3299" s="191">
        <v>695.93711747137502</v>
      </c>
      <c r="L3299" s="191"/>
      <c r="M3299" s="191"/>
      <c r="N3299" s="191"/>
      <c r="O3299" s="191"/>
      <c r="P3299" s="191"/>
      <c r="Q3299" s="191"/>
      <c r="R3299" s="191"/>
      <c r="S3299" s="191"/>
      <c r="T3299" s="191"/>
      <c r="U3299" s="439"/>
      <c r="V3299" s="441"/>
      <c r="W3299" s="178"/>
      <c r="X3299" s="172"/>
      <c r="Y3299" s="172"/>
      <c r="Z3299" s="172"/>
      <c r="AA3299" s="195"/>
      <c r="AB3299" s="172"/>
    </row>
    <row r="3300" spans="1:28" ht="12.6" customHeight="1" x14ac:dyDescent="0.3">
      <c r="A3300" s="667"/>
      <c r="B3300" s="668" t="s">
        <v>10610</v>
      </c>
      <c r="C3300" s="160" t="s">
        <v>10611</v>
      </c>
      <c r="D3300" s="160"/>
      <c r="E3300" s="439">
        <v>9.3800000000000008</v>
      </c>
      <c r="F3300" s="161">
        <v>542.02869162399998</v>
      </c>
      <c r="G3300" s="161">
        <v>0.95399999999999996</v>
      </c>
      <c r="H3300" s="654">
        <v>8.5290749669999999E-2</v>
      </c>
      <c r="I3300" s="654">
        <v>3.4675472503607897E-2</v>
      </c>
      <c r="J3300" s="191"/>
      <c r="K3300" s="191">
        <v>2924287.0431375899</v>
      </c>
      <c r="L3300" s="191"/>
      <c r="M3300" s="191"/>
      <c r="N3300" s="191"/>
      <c r="O3300" s="191"/>
      <c r="P3300" s="191"/>
      <c r="Q3300" s="191"/>
      <c r="R3300" s="191"/>
      <c r="S3300" s="191"/>
      <c r="T3300" s="191"/>
      <c r="U3300" s="439"/>
      <c r="V3300" s="441"/>
      <c r="W3300" s="178"/>
      <c r="X3300" s="172"/>
      <c r="Y3300" s="172"/>
      <c r="Z3300" s="172"/>
      <c r="AA3300" s="195"/>
      <c r="AB3300" s="172"/>
    </row>
    <row r="3301" spans="1:28" ht="12.6" customHeight="1" x14ac:dyDescent="0.3">
      <c r="A3301" s="667"/>
      <c r="B3301" s="668" t="s">
        <v>10612</v>
      </c>
      <c r="C3301" s="160" t="s">
        <v>10613</v>
      </c>
      <c r="D3301" s="160"/>
      <c r="E3301" s="439">
        <v>9.31</v>
      </c>
      <c r="F3301" s="161">
        <v>554.02869162399998</v>
      </c>
      <c r="G3301" s="161"/>
      <c r="H3301" s="654"/>
      <c r="I3301" s="654"/>
      <c r="J3301" s="191"/>
      <c r="K3301" s="191">
        <v>811988.727211477</v>
      </c>
      <c r="L3301" s="191"/>
      <c r="M3301" s="191"/>
      <c r="N3301" s="191"/>
      <c r="O3301" s="191"/>
      <c r="P3301" s="191"/>
      <c r="Q3301" s="191"/>
      <c r="R3301" s="191"/>
      <c r="S3301" s="191"/>
      <c r="T3301" s="191"/>
      <c r="U3301" s="439"/>
      <c r="V3301" s="441"/>
      <c r="W3301" s="178"/>
      <c r="X3301" s="172"/>
      <c r="Y3301" s="172"/>
      <c r="Z3301" s="172"/>
      <c r="AA3301" s="195"/>
      <c r="AB3301" s="172"/>
    </row>
    <row r="3302" spans="1:28" ht="12.6" customHeight="1" x14ac:dyDescent="0.3">
      <c r="A3302" s="667"/>
      <c r="B3302" s="668" t="s">
        <v>10614</v>
      </c>
      <c r="C3302" s="160" t="s">
        <v>10615</v>
      </c>
      <c r="D3302" s="160"/>
      <c r="E3302" s="439">
        <v>7.73</v>
      </c>
      <c r="F3302" s="161">
        <v>279.03056728400003</v>
      </c>
      <c r="G3302" s="161"/>
      <c r="H3302" s="654"/>
      <c r="I3302" s="654"/>
      <c r="J3302" s="191"/>
      <c r="K3302" s="191">
        <v>273.835658054801</v>
      </c>
      <c r="L3302" s="191"/>
      <c r="M3302" s="191"/>
      <c r="N3302" s="191"/>
      <c r="O3302" s="191"/>
      <c r="P3302" s="191"/>
      <c r="Q3302" s="191"/>
      <c r="R3302" s="191"/>
      <c r="S3302" s="191"/>
      <c r="T3302" s="191"/>
      <c r="U3302" s="439"/>
      <c r="V3302" s="441"/>
      <c r="W3302" s="178"/>
      <c r="X3302" s="172"/>
      <c r="Y3302" s="172"/>
      <c r="Z3302" s="172"/>
      <c r="AA3302" s="195"/>
      <c r="AB3302" s="172"/>
    </row>
    <row r="3303" spans="1:28" ht="12.6" customHeight="1" x14ac:dyDescent="0.3">
      <c r="A3303" s="667"/>
      <c r="B3303" s="668" t="s">
        <v>10616</v>
      </c>
      <c r="C3303" s="160" t="s">
        <v>10617</v>
      </c>
      <c r="D3303" s="160"/>
      <c r="E3303" s="439">
        <v>8.07</v>
      </c>
      <c r="F3303" s="161">
        <v>229.03376095799999</v>
      </c>
      <c r="G3303" s="161"/>
      <c r="H3303" s="654"/>
      <c r="I3303" s="654"/>
      <c r="J3303" s="191"/>
      <c r="K3303" s="191">
        <v>62.241492767659999</v>
      </c>
      <c r="L3303" s="191"/>
      <c r="M3303" s="191"/>
      <c r="N3303" s="191"/>
      <c r="O3303" s="191"/>
      <c r="P3303" s="191"/>
      <c r="Q3303" s="191"/>
      <c r="R3303" s="191"/>
      <c r="S3303" s="191"/>
      <c r="T3303" s="191"/>
      <c r="U3303" s="439"/>
      <c r="V3303" s="441"/>
      <c r="W3303" s="178"/>
      <c r="X3303" s="172"/>
      <c r="Y3303" s="172"/>
      <c r="Z3303" s="172"/>
      <c r="AA3303" s="195"/>
      <c r="AB3303" s="172"/>
    </row>
    <row r="3304" spans="1:28" ht="12.6" customHeight="1" x14ac:dyDescent="0.3">
      <c r="A3304" s="667"/>
      <c r="B3304" s="668" t="s">
        <v>10618</v>
      </c>
      <c r="C3304" s="160" t="s">
        <v>10619</v>
      </c>
      <c r="D3304" s="160"/>
      <c r="E3304" s="439">
        <v>8.33</v>
      </c>
      <c r="F3304" s="161">
        <v>590.97969300199998</v>
      </c>
      <c r="G3304" s="161">
        <v>-10.074999999999999</v>
      </c>
      <c r="H3304" s="654">
        <v>1.4753679164</v>
      </c>
      <c r="I3304" s="654">
        <v>6.9594359627608501E-2</v>
      </c>
      <c r="J3304" s="191"/>
      <c r="K3304" s="191">
        <v>998527.43083603506</v>
      </c>
      <c r="L3304" s="191"/>
      <c r="M3304" s="191"/>
      <c r="N3304" s="191"/>
      <c r="O3304" s="191"/>
      <c r="P3304" s="191"/>
      <c r="Q3304" s="191"/>
      <c r="R3304" s="191"/>
      <c r="S3304" s="191"/>
      <c r="T3304" s="191"/>
      <c r="U3304" s="439"/>
      <c r="V3304" s="441"/>
      <c r="W3304" s="178"/>
      <c r="X3304" s="172"/>
      <c r="Y3304" s="172"/>
      <c r="Z3304" s="172"/>
      <c r="AA3304" s="195"/>
      <c r="AB3304" s="172"/>
    </row>
    <row r="3305" spans="1:28" ht="12.6" customHeight="1" x14ac:dyDescent="0.3">
      <c r="A3305" s="667"/>
      <c r="B3305" s="668" t="s">
        <v>10620</v>
      </c>
      <c r="C3305" s="160" t="s">
        <v>10621</v>
      </c>
      <c r="D3305" s="160"/>
      <c r="E3305" s="439"/>
      <c r="F3305" s="161">
        <v>857.09467036700005</v>
      </c>
      <c r="G3305" s="161"/>
      <c r="H3305" s="654"/>
      <c r="I3305" s="654"/>
      <c r="J3305" s="191"/>
      <c r="K3305" s="191">
        <v>348497767.240448</v>
      </c>
      <c r="L3305" s="191"/>
      <c r="M3305" s="191"/>
      <c r="N3305" s="191"/>
      <c r="O3305" s="191"/>
      <c r="P3305" s="191"/>
      <c r="Q3305" s="191"/>
      <c r="R3305" s="191"/>
      <c r="S3305" s="191"/>
      <c r="T3305" s="191"/>
      <c r="U3305" s="439"/>
      <c r="V3305" s="441"/>
      <c r="W3305" s="178"/>
      <c r="X3305" s="172"/>
      <c r="Y3305" s="172"/>
      <c r="Z3305" s="172"/>
      <c r="AA3305" s="195"/>
      <c r="AB3305" s="172"/>
    </row>
    <row r="3306" spans="1:28" ht="12.6" customHeight="1" x14ac:dyDescent="0.3">
      <c r="A3306" s="667"/>
      <c r="B3306" s="668" t="s">
        <v>10622</v>
      </c>
      <c r="C3306" s="160" t="s">
        <v>10623</v>
      </c>
      <c r="D3306" s="160"/>
      <c r="E3306" s="439"/>
      <c r="F3306" s="161">
        <v>415.96936522800002</v>
      </c>
      <c r="G3306" s="161">
        <v>-57.436</v>
      </c>
      <c r="H3306" s="654">
        <v>494.19932282000002</v>
      </c>
      <c r="I3306" s="654">
        <v>1.56336678319195</v>
      </c>
      <c r="J3306" s="191"/>
      <c r="K3306" s="191">
        <v>10094.853018985699</v>
      </c>
      <c r="L3306" s="191"/>
      <c r="M3306" s="191"/>
      <c r="N3306" s="191"/>
      <c r="O3306" s="191"/>
      <c r="P3306" s="191"/>
      <c r="Q3306" s="191"/>
      <c r="R3306" s="191"/>
      <c r="S3306" s="191"/>
      <c r="T3306" s="191"/>
      <c r="U3306" s="439"/>
      <c r="V3306" s="441"/>
      <c r="W3306" s="178"/>
      <c r="X3306" s="172"/>
      <c r="Y3306" s="172"/>
      <c r="Z3306" s="172"/>
      <c r="AA3306" s="195"/>
      <c r="AB3306" s="172"/>
    </row>
    <row r="3307" spans="1:28" ht="12.6" customHeight="1" x14ac:dyDescent="0.3">
      <c r="A3307" s="667"/>
      <c r="B3307" s="668" t="s">
        <v>10624</v>
      </c>
      <c r="C3307" s="160" t="s">
        <v>10625</v>
      </c>
      <c r="D3307" s="160"/>
      <c r="E3307" s="439">
        <v>4.18</v>
      </c>
      <c r="F3307" s="161">
        <v>547.99163741200005</v>
      </c>
      <c r="G3307" s="161">
        <v>-13.728</v>
      </c>
      <c r="H3307" s="654">
        <v>1.0565781832200001</v>
      </c>
      <c r="I3307" s="654">
        <v>0.116888808226529</v>
      </c>
      <c r="J3307" s="191"/>
      <c r="K3307" s="191">
        <v>93773.472813767497</v>
      </c>
      <c r="L3307" s="191"/>
      <c r="M3307" s="191"/>
      <c r="N3307" s="191"/>
      <c r="O3307" s="191"/>
      <c r="P3307" s="191"/>
      <c r="Q3307" s="191"/>
      <c r="R3307" s="191"/>
      <c r="S3307" s="191"/>
      <c r="T3307" s="191"/>
      <c r="U3307" s="439"/>
      <c r="V3307" s="441"/>
      <c r="W3307" s="178"/>
      <c r="X3307" s="172"/>
      <c r="Y3307" s="172"/>
      <c r="Z3307" s="172"/>
      <c r="AA3307" s="195"/>
      <c r="AB3307" s="172"/>
    </row>
    <row r="3308" spans="1:28" ht="12.6" customHeight="1" x14ac:dyDescent="0.3">
      <c r="A3308" s="667"/>
      <c r="B3308" s="668" t="s">
        <v>10626</v>
      </c>
      <c r="C3308" s="160" t="s">
        <v>10627</v>
      </c>
      <c r="D3308" s="160"/>
      <c r="E3308" s="439">
        <v>-0.71</v>
      </c>
      <c r="F3308" s="161">
        <v>275.983282739</v>
      </c>
      <c r="G3308" s="161"/>
      <c r="H3308" s="654"/>
      <c r="I3308" s="654"/>
      <c r="J3308" s="191"/>
      <c r="K3308" s="191">
        <v>659.59901738854899</v>
      </c>
      <c r="L3308" s="191"/>
      <c r="M3308" s="191"/>
      <c r="N3308" s="191"/>
      <c r="O3308" s="191"/>
      <c r="P3308" s="191"/>
      <c r="Q3308" s="191"/>
      <c r="R3308" s="191"/>
      <c r="S3308" s="191"/>
      <c r="T3308" s="191"/>
      <c r="U3308" s="439"/>
      <c r="V3308" s="441"/>
      <c r="W3308" s="178"/>
      <c r="X3308" s="172"/>
      <c r="Y3308" s="172"/>
      <c r="Z3308" s="172"/>
      <c r="AA3308" s="195"/>
      <c r="AB3308" s="172"/>
    </row>
    <row r="3309" spans="1:28" ht="12.6" customHeight="1" x14ac:dyDescent="0.3">
      <c r="A3309" s="667"/>
      <c r="B3309" s="668" t="s">
        <v>10628</v>
      </c>
      <c r="C3309" s="160" t="s">
        <v>10629</v>
      </c>
      <c r="D3309" s="160"/>
      <c r="E3309" s="439">
        <v>1.52</v>
      </c>
      <c r="F3309" s="161">
        <v>533.97598734799999</v>
      </c>
      <c r="G3309" s="161"/>
      <c r="H3309" s="654"/>
      <c r="I3309" s="654"/>
      <c r="J3309" s="191"/>
      <c r="K3309" s="191">
        <v>23031.382073036599</v>
      </c>
      <c r="L3309" s="191"/>
      <c r="M3309" s="191"/>
      <c r="N3309" s="191"/>
      <c r="O3309" s="191"/>
      <c r="P3309" s="191"/>
      <c r="Q3309" s="191"/>
      <c r="R3309" s="191"/>
      <c r="S3309" s="191"/>
      <c r="T3309" s="191"/>
      <c r="U3309" s="439"/>
      <c r="V3309" s="441"/>
      <c r="W3309" s="178"/>
      <c r="X3309" s="172"/>
      <c r="Y3309" s="172"/>
      <c r="Z3309" s="172"/>
      <c r="AA3309" s="195"/>
      <c r="AB3309" s="172"/>
    </row>
    <row r="3310" spans="1:28" ht="12.6" customHeight="1" x14ac:dyDescent="0.3">
      <c r="A3310" s="667"/>
      <c r="B3310" s="668" t="s">
        <v>10630</v>
      </c>
      <c r="C3310" s="160" t="s">
        <v>10631</v>
      </c>
      <c r="D3310" s="160"/>
      <c r="E3310" s="439">
        <v>2.13</v>
      </c>
      <c r="F3310" s="161">
        <v>611.98655203199996</v>
      </c>
      <c r="G3310" s="161"/>
      <c r="H3310" s="654"/>
      <c r="I3310" s="654"/>
      <c r="J3310" s="191"/>
      <c r="K3310" s="191">
        <v>20024422.501002599</v>
      </c>
      <c r="L3310" s="191"/>
      <c r="M3310" s="191"/>
      <c r="N3310" s="191"/>
      <c r="O3310" s="191"/>
      <c r="P3310" s="191"/>
      <c r="Q3310" s="191"/>
      <c r="R3310" s="191"/>
      <c r="S3310" s="191"/>
      <c r="T3310" s="191"/>
      <c r="U3310" s="439"/>
      <c r="V3310" s="441"/>
      <c r="W3310" s="178"/>
      <c r="X3310" s="172"/>
      <c r="Y3310" s="172"/>
      <c r="Z3310" s="172"/>
      <c r="AA3310" s="195"/>
      <c r="AB3310" s="172"/>
    </row>
    <row r="3311" spans="1:28" ht="12.6" customHeight="1" x14ac:dyDescent="0.3">
      <c r="A3311" s="667"/>
      <c r="B3311" s="668" t="s">
        <v>10632</v>
      </c>
      <c r="C3311" s="160" t="s">
        <v>10633</v>
      </c>
      <c r="D3311" s="160"/>
      <c r="E3311" s="439">
        <v>3.02</v>
      </c>
      <c r="F3311" s="161">
        <v>567.99672279200001</v>
      </c>
      <c r="G3311" s="161"/>
      <c r="H3311" s="654"/>
      <c r="I3311" s="654"/>
      <c r="J3311" s="191"/>
      <c r="K3311" s="191">
        <v>866622.57907608105</v>
      </c>
      <c r="L3311" s="191"/>
      <c r="M3311" s="191"/>
      <c r="N3311" s="191"/>
      <c r="O3311" s="191"/>
      <c r="P3311" s="191"/>
      <c r="Q3311" s="191"/>
      <c r="R3311" s="191"/>
      <c r="S3311" s="191"/>
      <c r="T3311" s="191"/>
      <c r="U3311" s="439"/>
      <c r="V3311" s="441"/>
      <c r="W3311" s="178"/>
      <c r="X3311" s="172"/>
      <c r="Y3311" s="172"/>
      <c r="Z3311" s="172"/>
      <c r="AA3311" s="195"/>
      <c r="AB3311" s="172"/>
    </row>
    <row r="3312" spans="1:28" ht="12.6" customHeight="1" x14ac:dyDescent="0.3">
      <c r="A3312" s="667"/>
      <c r="B3312" s="668" t="s">
        <v>10634</v>
      </c>
      <c r="C3312" s="160" t="s">
        <v>10635</v>
      </c>
      <c r="D3312" s="160"/>
      <c r="E3312" s="439">
        <v>6.7</v>
      </c>
      <c r="F3312" s="161">
        <v>385.97878709700001</v>
      </c>
      <c r="G3312" s="161">
        <v>-74.048000000000002</v>
      </c>
      <c r="H3312" s="654">
        <v>1900.6517641999999</v>
      </c>
      <c r="I3312" s="654">
        <v>2.1956519097648899</v>
      </c>
      <c r="J3312" s="191"/>
      <c r="K3312" s="191">
        <v>6717.0719457564301</v>
      </c>
      <c r="L3312" s="191"/>
      <c r="M3312" s="191"/>
      <c r="N3312" s="191"/>
      <c r="O3312" s="191"/>
      <c r="P3312" s="191"/>
      <c r="Q3312" s="191"/>
      <c r="R3312" s="191"/>
      <c r="S3312" s="191"/>
      <c r="T3312" s="191"/>
      <c r="U3312" s="439"/>
      <c r="V3312" s="441"/>
      <c r="W3312" s="178"/>
      <c r="X3312" s="172"/>
      <c r="Y3312" s="172"/>
      <c r="Z3312" s="172"/>
      <c r="AA3312" s="195"/>
      <c r="AB3312" s="172"/>
    </row>
    <row r="3313" spans="1:28" ht="12.6" customHeight="1" x14ac:dyDescent="0.3">
      <c r="A3313" s="667"/>
      <c r="B3313" s="668" t="s">
        <v>10636</v>
      </c>
      <c r="C3313" s="160" t="s">
        <v>10637</v>
      </c>
      <c r="D3313" s="160"/>
      <c r="E3313" s="439">
        <v>7.24</v>
      </c>
      <c r="F3313" s="161">
        <v>335.981980771</v>
      </c>
      <c r="G3313" s="161"/>
      <c r="H3313" s="654"/>
      <c r="I3313" s="654"/>
      <c r="J3313" s="191"/>
      <c r="K3313" s="191">
        <v>1448.10482305137</v>
      </c>
      <c r="L3313" s="191"/>
      <c r="M3313" s="191"/>
      <c r="N3313" s="191"/>
      <c r="O3313" s="191"/>
      <c r="P3313" s="191"/>
      <c r="Q3313" s="191"/>
      <c r="R3313" s="191"/>
      <c r="S3313" s="191"/>
      <c r="T3313" s="191"/>
      <c r="U3313" s="439"/>
      <c r="V3313" s="441"/>
      <c r="W3313" s="178"/>
      <c r="X3313" s="172"/>
      <c r="Y3313" s="172"/>
      <c r="Z3313" s="172"/>
      <c r="AA3313" s="195"/>
      <c r="AB3313" s="172"/>
    </row>
    <row r="3314" spans="1:28" ht="12.6" customHeight="1" x14ac:dyDescent="0.3">
      <c r="A3314" s="667"/>
      <c r="B3314" s="668" t="s">
        <v>10638</v>
      </c>
      <c r="C3314" s="160" t="s">
        <v>10639</v>
      </c>
      <c r="D3314" s="160"/>
      <c r="E3314" s="439">
        <v>12.22</v>
      </c>
      <c r="F3314" s="161">
        <v>310.00738948600002</v>
      </c>
      <c r="G3314" s="161"/>
      <c r="H3314" s="654"/>
      <c r="I3314" s="654"/>
      <c r="J3314" s="191"/>
      <c r="K3314" s="191">
        <v>9905.1258988824193</v>
      </c>
      <c r="L3314" s="191"/>
      <c r="M3314" s="191"/>
      <c r="N3314" s="191"/>
      <c r="O3314" s="191"/>
      <c r="P3314" s="191"/>
      <c r="Q3314" s="191"/>
      <c r="R3314" s="191"/>
      <c r="S3314" s="191"/>
      <c r="T3314" s="191"/>
      <c r="U3314" s="439"/>
      <c r="V3314" s="441"/>
      <c r="W3314" s="178"/>
      <c r="X3314" s="172"/>
      <c r="Y3314" s="172"/>
      <c r="Z3314" s="172"/>
      <c r="AA3314" s="195"/>
      <c r="AB3314" s="172"/>
    </row>
    <row r="3315" spans="1:28" ht="12.6" customHeight="1" x14ac:dyDescent="0.3">
      <c r="A3315" s="667"/>
      <c r="B3315" s="668" t="s">
        <v>10640</v>
      </c>
      <c r="C3315" s="160" t="s">
        <v>10641</v>
      </c>
      <c r="D3315" s="160"/>
      <c r="E3315" s="439">
        <v>7.04</v>
      </c>
      <c r="F3315" s="161">
        <v>741.02892882599997</v>
      </c>
      <c r="G3315" s="161"/>
      <c r="H3315" s="654"/>
      <c r="I3315" s="654"/>
      <c r="J3315" s="191"/>
      <c r="K3315" s="191">
        <v>2564424.9877704</v>
      </c>
      <c r="L3315" s="191"/>
      <c r="M3315" s="191"/>
      <c r="N3315" s="191"/>
      <c r="O3315" s="191"/>
      <c r="P3315" s="191"/>
      <c r="Q3315" s="191"/>
      <c r="R3315" s="191"/>
      <c r="S3315" s="191"/>
      <c r="T3315" s="191"/>
      <c r="U3315" s="439"/>
      <c r="V3315" s="441"/>
      <c r="W3315" s="178"/>
      <c r="X3315" s="172"/>
      <c r="Y3315" s="172"/>
      <c r="Z3315" s="172"/>
      <c r="AA3315" s="195"/>
      <c r="AB3315" s="172"/>
    </row>
    <row r="3316" spans="1:28" ht="12.6" customHeight="1" x14ac:dyDescent="0.3">
      <c r="A3316" s="667"/>
      <c r="B3316" s="668" t="s">
        <v>10642</v>
      </c>
      <c r="C3316" s="160" t="s">
        <v>10643</v>
      </c>
      <c r="D3316" s="160"/>
      <c r="E3316" s="439">
        <v>1.6</v>
      </c>
      <c r="F3316" s="161">
        <v>663.94245916</v>
      </c>
      <c r="G3316" s="161">
        <v>21.393999999999998</v>
      </c>
      <c r="H3316" s="654"/>
      <c r="I3316" s="654"/>
      <c r="J3316" s="191"/>
      <c r="K3316" s="191">
        <v>49541596.750012398</v>
      </c>
      <c r="L3316" s="191"/>
      <c r="M3316" s="191"/>
      <c r="N3316" s="191"/>
      <c r="O3316" s="191"/>
      <c r="P3316" s="191"/>
      <c r="Q3316" s="191"/>
      <c r="R3316" s="191"/>
      <c r="S3316" s="191"/>
      <c r="T3316" s="191"/>
      <c r="U3316" s="439"/>
      <c r="V3316" s="441"/>
      <c r="W3316" s="178"/>
      <c r="X3316" s="172"/>
      <c r="Y3316" s="172"/>
      <c r="Z3316" s="172"/>
      <c r="AA3316" s="195"/>
      <c r="AB3316" s="172"/>
    </row>
    <row r="3317" spans="1:28" ht="12.6" customHeight="1" x14ac:dyDescent="0.3">
      <c r="A3317" s="667"/>
      <c r="B3317" s="668" t="s">
        <v>10644</v>
      </c>
      <c r="C3317" s="160" t="s">
        <v>10645</v>
      </c>
      <c r="D3317" s="160"/>
      <c r="E3317" s="439"/>
      <c r="F3317" s="161">
        <v>401.96199000000001</v>
      </c>
      <c r="G3317" s="161"/>
      <c r="H3317" s="654"/>
      <c r="I3317" s="654"/>
      <c r="J3317" s="191"/>
      <c r="K3317" s="191"/>
      <c r="L3317" s="191"/>
      <c r="M3317" s="191"/>
      <c r="N3317" s="191"/>
      <c r="O3317" s="191"/>
      <c r="P3317" s="191"/>
      <c r="Q3317" s="191"/>
      <c r="R3317" s="191"/>
      <c r="S3317" s="191"/>
      <c r="T3317" s="191"/>
      <c r="U3317" s="439"/>
      <c r="V3317" s="441"/>
      <c r="W3317" s="178"/>
      <c r="X3317" s="172"/>
      <c r="Y3317" s="172"/>
      <c r="Z3317" s="172"/>
      <c r="AA3317" s="195"/>
      <c r="AB3317" s="172"/>
    </row>
    <row r="3318" spans="1:28" ht="12.6" customHeight="1" x14ac:dyDescent="0.3">
      <c r="A3318" s="667"/>
      <c r="B3318" s="668" t="s">
        <v>10646</v>
      </c>
      <c r="C3318" s="160" t="s">
        <v>10647</v>
      </c>
      <c r="D3318" s="160"/>
      <c r="E3318" s="439">
        <v>4</v>
      </c>
      <c r="F3318" s="161">
        <v>730.03360299999997</v>
      </c>
      <c r="G3318" s="161"/>
      <c r="H3318" s="654"/>
      <c r="I3318" s="654"/>
      <c r="J3318" s="191"/>
      <c r="K3318" s="191">
        <v>7.2918881767435606E-2</v>
      </c>
      <c r="L3318" s="191"/>
      <c r="M3318" s="191"/>
      <c r="N3318" s="191"/>
      <c r="O3318" s="191"/>
      <c r="P3318" s="191"/>
      <c r="Q3318" s="191"/>
      <c r="R3318" s="191"/>
      <c r="S3318" s="191"/>
      <c r="T3318" s="191"/>
      <c r="U3318" s="439"/>
      <c r="V3318" s="441"/>
      <c r="W3318" s="178"/>
      <c r="X3318" s="172"/>
      <c r="Y3318" s="172"/>
      <c r="Z3318" s="172"/>
      <c r="AA3318" s="195"/>
      <c r="AB3318" s="172"/>
    </row>
    <row r="3319" spans="1:28" ht="12.6" customHeight="1" x14ac:dyDescent="0.3">
      <c r="A3319" s="667"/>
      <c r="B3319" s="668" t="s">
        <v>10648</v>
      </c>
      <c r="C3319" s="160" t="s">
        <v>10649</v>
      </c>
      <c r="D3319" s="160"/>
      <c r="E3319" s="439"/>
      <c r="F3319" s="161">
        <v>630.07639429999995</v>
      </c>
      <c r="G3319" s="161"/>
      <c r="H3319" s="654"/>
      <c r="I3319" s="654"/>
      <c r="J3319" s="191"/>
      <c r="K3319" s="191"/>
      <c r="L3319" s="191"/>
      <c r="M3319" s="191"/>
      <c r="N3319" s="191"/>
      <c r="O3319" s="191"/>
      <c r="P3319" s="191"/>
      <c r="Q3319" s="191"/>
      <c r="R3319" s="191"/>
      <c r="S3319" s="191"/>
      <c r="T3319" s="191"/>
      <c r="U3319" s="439"/>
      <c r="V3319" s="441"/>
      <c r="W3319" s="178"/>
      <c r="X3319" s="172"/>
      <c r="Y3319" s="172"/>
      <c r="Z3319" s="172"/>
      <c r="AA3319" s="195"/>
      <c r="AB3319" s="172"/>
    </row>
    <row r="3320" spans="1:28" ht="12.6" customHeight="1" x14ac:dyDescent="0.3">
      <c r="A3320" s="667"/>
      <c r="B3320" s="668" t="s">
        <v>10650</v>
      </c>
      <c r="C3320" s="160" t="s">
        <v>10651</v>
      </c>
      <c r="D3320" s="160"/>
      <c r="E3320" s="439">
        <v>10.43</v>
      </c>
      <c r="F3320" s="161">
        <v>889.08949640900005</v>
      </c>
      <c r="G3320" s="161"/>
      <c r="H3320" s="654"/>
      <c r="I3320" s="654"/>
      <c r="J3320" s="191"/>
      <c r="K3320" s="191">
        <v>731880203.22809994</v>
      </c>
      <c r="L3320" s="191"/>
      <c r="M3320" s="191"/>
      <c r="N3320" s="191"/>
      <c r="O3320" s="191"/>
      <c r="P3320" s="191"/>
      <c r="Q3320" s="191"/>
      <c r="R3320" s="191"/>
      <c r="S3320" s="191"/>
      <c r="T3320" s="191"/>
      <c r="U3320" s="439"/>
      <c r="V3320" s="441"/>
      <c r="W3320" s="178"/>
      <c r="X3320" s="172"/>
      <c r="Y3320" s="172"/>
      <c r="Z3320" s="172"/>
      <c r="AA3320" s="195"/>
      <c r="AB3320" s="172"/>
    </row>
    <row r="3321" spans="1:28" ht="12.6" customHeight="1" x14ac:dyDescent="0.3">
      <c r="A3321" s="667"/>
      <c r="B3321" s="668" t="s">
        <v>10652</v>
      </c>
      <c r="C3321" s="160" t="s">
        <v>10653</v>
      </c>
      <c r="D3321" s="160"/>
      <c r="E3321" s="439">
        <v>19</v>
      </c>
      <c r="F3321" s="161">
        <v>318.033820531</v>
      </c>
      <c r="G3321" s="161"/>
      <c r="H3321" s="654"/>
      <c r="I3321" s="654"/>
      <c r="J3321" s="191"/>
      <c r="K3321" s="191">
        <v>5.1567609565338799</v>
      </c>
      <c r="L3321" s="191"/>
      <c r="M3321" s="191"/>
      <c r="N3321" s="191"/>
      <c r="O3321" s="191"/>
      <c r="P3321" s="191"/>
      <c r="Q3321" s="191"/>
      <c r="R3321" s="191"/>
      <c r="S3321" s="191"/>
      <c r="T3321" s="191"/>
      <c r="U3321" s="439"/>
      <c r="V3321" s="441"/>
      <c r="W3321" s="178"/>
      <c r="X3321" s="172"/>
      <c r="Y3321" s="172"/>
      <c r="Z3321" s="172"/>
      <c r="AA3321" s="195"/>
      <c r="AB3321" s="172"/>
    </row>
    <row r="3322" spans="1:28" ht="12.6" customHeight="1" x14ac:dyDescent="0.3">
      <c r="A3322" s="667"/>
      <c r="B3322" s="668" t="s">
        <v>10654</v>
      </c>
      <c r="C3322" s="160" t="s">
        <v>10655</v>
      </c>
      <c r="D3322" s="160"/>
      <c r="E3322" s="439">
        <v>22</v>
      </c>
      <c r="F3322" s="161">
        <v>368.03062685700002</v>
      </c>
      <c r="G3322" s="161"/>
      <c r="H3322" s="654"/>
      <c r="I3322" s="654"/>
      <c r="J3322" s="191"/>
      <c r="K3322" s="191">
        <v>17.797950722608402</v>
      </c>
      <c r="L3322" s="191"/>
      <c r="M3322" s="191"/>
      <c r="N3322" s="191"/>
      <c r="O3322" s="191"/>
      <c r="P3322" s="191"/>
      <c r="Q3322" s="191"/>
      <c r="R3322" s="191"/>
      <c r="S3322" s="191"/>
      <c r="T3322" s="191"/>
      <c r="U3322" s="439"/>
      <c r="V3322" s="441"/>
      <c r="W3322" s="178"/>
      <c r="X3322" s="172"/>
      <c r="Y3322" s="172"/>
      <c r="Z3322" s="172"/>
      <c r="AA3322" s="195"/>
      <c r="AB3322" s="172"/>
    </row>
    <row r="3323" spans="1:28" ht="12.6" customHeight="1" x14ac:dyDescent="0.3">
      <c r="A3323" s="667"/>
      <c r="B3323" s="668" t="s">
        <v>10656</v>
      </c>
      <c r="C3323" s="160" t="s">
        <v>10657</v>
      </c>
      <c r="D3323" s="160"/>
      <c r="E3323" s="439"/>
      <c r="F3323" s="161">
        <v>348.09602686400001</v>
      </c>
      <c r="G3323" s="161"/>
      <c r="H3323" s="654"/>
      <c r="I3323" s="654"/>
      <c r="J3323" s="191"/>
      <c r="K3323" s="191">
        <v>140497.95403938601</v>
      </c>
      <c r="L3323" s="191"/>
      <c r="M3323" s="191"/>
      <c r="N3323" s="191"/>
      <c r="O3323" s="191"/>
      <c r="P3323" s="191"/>
      <c r="Q3323" s="191"/>
      <c r="R3323" s="191"/>
      <c r="S3323" s="191"/>
      <c r="T3323" s="191"/>
      <c r="U3323" s="439"/>
      <c r="V3323" s="441"/>
      <c r="W3323" s="178"/>
      <c r="X3323" s="172"/>
      <c r="Y3323" s="172"/>
      <c r="Z3323" s="172"/>
      <c r="AA3323" s="195"/>
      <c r="AB3323" s="172"/>
    </row>
    <row r="3324" spans="1:28" ht="12.6" customHeight="1" x14ac:dyDescent="0.3">
      <c r="A3324" s="667"/>
      <c r="B3324" s="668" t="s">
        <v>10658</v>
      </c>
      <c r="C3324" s="160" t="s">
        <v>10659</v>
      </c>
      <c r="D3324" s="160"/>
      <c r="E3324" s="439">
        <v>18</v>
      </c>
      <c r="F3324" s="161">
        <v>276.038511986</v>
      </c>
      <c r="G3324" s="161"/>
      <c r="H3324" s="654"/>
      <c r="I3324" s="654"/>
      <c r="J3324" s="191"/>
      <c r="K3324" s="191">
        <v>35906.245835683898</v>
      </c>
      <c r="L3324" s="191"/>
      <c r="M3324" s="191"/>
      <c r="N3324" s="191"/>
      <c r="O3324" s="191"/>
      <c r="P3324" s="191"/>
      <c r="Q3324" s="191"/>
      <c r="R3324" s="191"/>
      <c r="S3324" s="191"/>
      <c r="T3324" s="191"/>
      <c r="U3324" s="439"/>
      <c r="V3324" s="441"/>
      <c r="W3324" s="178"/>
      <c r="X3324" s="172"/>
      <c r="Y3324" s="172"/>
      <c r="Z3324" s="172"/>
      <c r="AA3324" s="195"/>
      <c r="AB3324" s="172"/>
    </row>
    <row r="3325" spans="1:28" ht="12.6" customHeight="1" x14ac:dyDescent="0.3">
      <c r="A3325" s="667"/>
      <c r="B3325" s="668" t="s">
        <v>10660</v>
      </c>
      <c r="C3325" s="160" t="s">
        <v>10661</v>
      </c>
      <c r="D3325" s="160"/>
      <c r="E3325" s="439">
        <v>39.351999999999997</v>
      </c>
      <c r="F3325" s="161">
        <v>312.05605375699997</v>
      </c>
      <c r="G3325" s="161">
        <v>-0.88800000000000001</v>
      </c>
      <c r="H3325" s="654">
        <v>29.641613582000002</v>
      </c>
      <c r="I3325" s="654">
        <v>1.9020971083888001</v>
      </c>
      <c r="J3325" s="191"/>
      <c r="K3325" s="191">
        <v>393233.03933541698</v>
      </c>
      <c r="L3325" s="191"/>
      <c r="M3325" s="191"/>
      <c r="N3325" s="191"/>
      <c r="O3325" s="191"/>
      <c r="P3325" s="191"/>
      <c r="Q3325" s="191"/>
      <c r="R3325" s="191"/>
      <c r="S3325" s="191"/>
      <c r="T3325" s="191"/>
      <c r="U3325" s="439"/>
      <c r="V3325" s="441"/>
      <c r="W3325" s="178"/>
      <c r="X3325" s="172"/>
      <c r="Y3325" s="172"/>
      <c r="Z3325" s="172"/>
      <c r="AA3325" s="195"/>
      <c r="AB3325" s="172"/>
    </row>
    <row r="3326" spans="1:28" ht="12.6" customHeight="1" x14ac:dyDescent="0.3">
      <c r="A3326" s="667"/>
      <c r="B3326" s="668" t="s">
        <v>10662</v>
      </c>
      <c r="C3326" s="160" t="s">
        <v>10663</v>
      </c>
      <c r="D3326" s="160"/>
      <c r="E3326" s="439"/>
      <c r="F3326" s="161">
        <v>448.01197893199998</v>
      </c>
      <c r="G3326" s="161"/>
      <c r="H3326" s="654"/>
      <c r="I3326" s="654"/>
      <c r="J3326" s="191"/>
      <c r="K3326" s="191">
        <v>84898.496651561902</v>
      </c>
      <c r="L3326" s="191"/>
      <c r="M3326" s="191"/>
      <c r="N3326" s="191"/>
      <c r="O3326" s="191"/>
      <c r="P3326" s="191"/>
      <c r="Q3326" s="191"/>
      <c r="R3326" s="191"/>
      <c r="S3326" s="191"/>
      <c r="T3326" s="191"/>
      <c r="U3326" s="439"/>
      <c r="V3326" s="441"/>
      <c r="W3326" s="178"/>
      <c r="X3326" s="172"/>
      <c r="Y3326" s="172"/>
      <c r="Z3326" s="172"/>
      <c r="AA3326" s="195"/>
      <c r="AB3326" s="172"/>
    </row>
    <row r="3327" spans="1:28" ht="12.6" customHeight="1" x14ac:dyDescent="0.3">
      <c r="A3327" s="667"/>
      <c r="B3327" s="668" t="s">
        <v>10664</v>
      </c>
      <c r="C3327" s="160" t="s">
        <v>10665</v>
      </c>
      <c r="D3327" s="160"/>
      <c r="E3327" s="439">
        <v>1.34</v>
      </c>
      <c r="F3327" s="161">
        <v>613.94565282999997</v>
      </c>
      <c r="G3327" s="161"/>
      <c r="H3327" s="654"/>
      <c r="I3327" s="654"/>
      <c r="J3327" s="191"/>
      <c r="K3327" s="191">
        <v>286688.320219015</v>
      </c>
      <c r="L3327" s="191"/>
      <c r="M3327" s="191"/>
      <c r="N3327" s="191"/>
      <c r="O3327" s="191"/>
      <c r="P3327" s="191"/>
      <c r="Q3327" s="191"/>
      <c r="R3327" s="191"/>
      <c r="S3327" s="191"/>
      <c r="T3327" s="191"/>
      <c r="U3327" s="439"/>
      <c r="V3327" s="441"/>
      <c r="W3327" s="178"/>
      <c r="X3327" s="172"/>
      <c r="Y3327" s="172"/>
      <c r="Z3327" s="172"/>
      <c r="AA3327" s="195"/>
      <c r="AB3327" s="172"/>
    </row>
    <row r="3328" spans="1:28" ht="12.6" customHeight="1" x14ac:dyDescent="0.3">
      <c r="A3328" s="667"/>
      <c r="B3328" s="668" t="s">
        <v>10666</v>
      </c>
      <c r="C3328" s="160" t="s">
        <v>10667</v>
      </c>
      <c r="D3328" s="160"/>
      <c r="E3328" s="439">
        <v>2.46</v>
      </c>
      <c r="F3328" s="161">
        <v>389.034332511</v>
      </c>
      <c r="G3328" s="161"/>
      <c r="H3328" s="654"/>
      <c r="I3328" s="654"/>
      <c r="J3328" s="191"/>
      <c r="K3328" s="191">
        <v>1514.11896773646</v>
      </c>
      <c r="L3328" s="191"/>
      <c r="M3328" s="191"/>
      <c r="N3328" s="191"/>
      <c r="O3328" s="191"/>
      <c r="P3328" s="191"/>
      <c r="Q3328" s="191"/>
      <c r="R3328" s="191"/>
      <c r="S3328" s="191"/>
      <c r="T3328" s="191"/>
      <c r="U3328" s="439"/>
      <c r="V3328" s="441"/>
      <c r="W3328" s="178"/>
      <c r="X3328" s="172"/>
      <c r="Y3328" s="172"/>
      <c r="Z3328" s="172"/>
      <c r="AA3328" s="195"/>
      <c r="AB3328" s="172"/>
    </row>
    <row r="3329" spans="1:28" ht="12.6" customHeight="1" x14ac:dyDescent="0.3">
      <c r="A3329" s="667"/>
      <c r="B3329" s="668" t="s">
        <v>10668</v>
      </c>
      <c r="C3329" s="160" t="s">
        <v>10669</v>
      </c>
      <c r="D3329" s="160"/>
      <c r="E3329" s="439"/>
      <c r="F3329" s="161">
        <v>335.99810372600001</v>
      </c>
      <c r="G3329" s="161">
        <v>32.936</v>
      </c>
      <c r="H3329" s="654">
        <v>4.7195588034000001E-2</v>
      </c>
      <c r="I3329" s="654">
        <v>2.80115235112395</v>
      </c>
      <c r="J3329" s="191"/>
      <c r="K3329" s="191">
        <v>157260.625960398</v>
      </c>
      <c r="L3329" s="191"/>
      <c r="M3329" s="191"/>
      <c r="N3329" s="191"/>
      <c r="O3329" s="191"/>
      <c r="P3329" s="191"/>
      <c r="Q3329" s="191"/>
      <c r="R3329" s="191"/>
      <c r="S3329" s="191"/>
      <c r="T3329" s="191"/>
      <c r="U3329" s="439"/>
      <c r="V3329" s="441"/>
      <c r="W3329" s="178"/>
      <c r="X3329" s="172"/>
      <c r="Y3329" s="172"/>
      <c r="Z3329" s="172"/>
      <c r="AA3329" s="195"/>
      <c r="AB3329" s="172"/>
    </row>
    <row r="3330" spans="1:28" ht="12.6" customHeight="1" x14ac:dyDescent="0.3">
      <c r="A3330" s="667"/>
      <c r="B3330" s="668" t="s">
        <v>10670</v>
      </c>
      <c r="C3330" s="160" t="s">
        <v>10671</v>
      </c>
      <c r="D3330" s="160"/>
      <c r="E3330" s="439"/>
      <c r="F3330" s="161">
        <v>512.96575701500001</v>
      </c>
      <c r="G3330" s="161"/>
      <c r="H3330" s="654"/>
      <c r="I3330" s="654"/>
      <c r="J3330" s="191"/>
      <c r="K3330" s="191">
        <v>1530629.2205779999</v>
      </c>
      <c r="L3330" s="191"/>
      <c r="M3330" s="191"/>
      <c r="N3330" s="191"/>
      <c r="O3330" s="191"/>
      <c r="P3330" s="191"/>
      <c r="Q3330" s="191"/>
      <c r="R3330" s="191"/>
      <c r="S3330" s="191"/>
      <c r="T3330" s="191"/>
      <c r="U3330" s="439"/>
      <c r="V3330" s="441"/>
      <c r="W3330" s="178"/>
      <c r="X3330" s="172"/>
      <c r="Y3330" s="172"/>
      <c r="Z3330" s="172"/>
      <c r="AA3330" s="195"/>
      <c r="AB3330" s="172"/>
    </row>
    <row r="3331" spans="1:28" ht="12.6" customHeight="1" x14ac:dyDescent="0.3">
      <c r="A3331" s="667"/>
      <c r="B3331" s="668" t="s">
        <v>10672</v>
      </c>
      <c r="C3331" s="160" t="s">
        <v>10673</v>
      </c>
      <c r="D3331" s="160"/>
      <c r="E3331" s="439"/>
      <c r="F3331" s="161">
        <v>362.97533803699997</v>
      </c>
      <c r="G3331" s="161"/>
      <c r="H3331" s="654"/>
      <c r="I3331" s="654"/>
      <c r="J3331" s="191"/>
      <c r="K3331" s="191">
        <v>19611.914896022299</v>
      </c>
      <c r="L3331" s="191"/>
      <c r="M3331" s="191"/>
      <c r="N3331" s="191"/>
      <c r="O3331" s="191"/>
      <c r="P3331" s="191"/>
      <c r="Q3331" s="191"/>
      <c r="R3331" s="191"/>
      <c r="S3331" s="191"/>
      <c r="T3331" s="191"/>
      <c r="U3331" s="439"/>
      <c r="V3331" s="441"/>
      <c r="W3331" s="178"/>
      <c r="X3331" s="172"/>
      <c r="Y3331" s="172"/>
      <c r="Z3331" s="172"/>
      <c r="AA3331" s="195"/>
      <c r="AB3331" s="172"/>
    </row>
    <row r="3332" spans="1:28" ht="12.6" customHeight="1" x14ac:dyDescent="0.3">
      <c r="A3332" s="667"/>
      <c r="B3332" s="668" t="s">
        <v>10674</v>
      </c>
      <c r="C3332" s="160" t="s">
        <v>10675</v>
      </c>
      <c r="D3332" s="160"/>
      <c r="E3332" s="439"/>
      <c r="F3332" s="161">
        <v>356.9394173</v>
      </c>
      <c r="G3332" s="161">
        <v>88.040999999999997</v>
      </c>
      <c r="H3332" s="654">
        <v>3.4033106939999999E-3</v>
      </c>
      <c r="I3332" s="654">
        <v>0.59510724349342403</v>
      </c>
      <c r="J3332" s="191"/>
      <c r="K3332" s="191">
        <v>20660.9363605082</v>
      </c>
      <c r="L3332" s="191"/>
      <c r="M3332" s="191"/>
      <c r="N3332" s="191"/>
      <c r="O3332" s="191"/>
      <c r="P3332" s="191"/>
      <c r="Q3332" s="191"/>
      <c r="R3332" s="191"/>
      <c r="S3332" s="191"/>
      <c r="T3332" s="191"/>
      <c r="U3332" s="439"/>
      <c r="V3332" s="441"/>
      <c r="W3332" s="178"/>
      <c r="X3332" s="172"/>
      <c r="Y3332" s="172"/>
      <c r="Z3332" s="172"/>
      <c r="AA3332" s="195"/>
      <c r="AB3332" s="172"/>
    </row>
    <row r="3333" spans="1:28" ht="12.6" customHeight="1" x14ac:dyDescent="0.3">
      <c r="A3333" s="667"/>
      <c r="B3333" s="668" t="s">
        <v>10676</v>
      </c>
      <c r="C3333" s="160" t="s">
        <v>10677</v>
      </c>
      <c r="D3333" s="160"/>
      <c r="E3333" s="439">
        <v>7.57</v>
      </c>
      <c r="F3333" s="161">
        <v>319.00794013400002</v>
      </c>
      <c r="G3333" s="161"/>
      <c r="H3333" s="654"/>
      <c r="I3333" s="654"/>
      <c r="J3333" s="191"/>
      <c r="K3333" s="191">
        <v>5605.3146964653697</v>
      </c>
      <c r="L3333" s="191"/>
      <c r="M3333" s="191"/>
      <c r="N3333" s="191"/>
      <c r="O3333" s="191"/>
      <c r="P3333" s="191"/>
      <c r="Q3333" s="191"/>
      <c r="R3333" s="191"/>
      <c r="S3333" s="191"/>
      <c r="T3333" s="191"/>
      <c r="U3333" s="439"/>
      <c r="V3333" s="441"/>
      <c r="W3333" s="178"/>
      <c r="X3333" s="172"/>
      <c r="Y3333" s="172"/>
      <c r="Z3333" s="172"/>
      <c r="AA3333" s="195"/>
      <c r="AB3333" s="172"/>
    </row>
    <row r="3334" spans="1:28" ht="12.6" customHeight="1" x14ac:dyDescent="0.3">
      <c r="A3334" s="667"/>
      <c r="B3334" s="668" t="s">
        <v>10678</v>
      </c>
      <c r="C3334" s="160" t="s">
        <v>10679</v>
      </c>
      <c r="D3334" s="160"/>
      <c r="E3334" s="439"/>
      <c r="F3334" s="161">
        <v>291.01302551399999</v>
      </c>
      <c r="G3334" s="161"/>
      <c r="H3334" s="654"/>
      <c r="I3334" s="654"/>
      <c r="J3334" s="191"/>
      <c r="K3334" s="191">
        <v>6555.2611817864299</v>
      </c>
      <c r="L3334" s="191"/>
      <c r="M3334" s="191"/>
      <c r="N3334" s="191"/>
      <c r="O3334" s="191"/>
      <c r="P3334" s="191"/>
      <c r="Q3334" s="191"/>
      <c r="R3334" s="191"/>
      <c r="S3334" s="191"/>
      <c r="T3334" s="191"/>
      <c r="U3334" s="439"/>
      <c r="V3334" s="441"/>
      <c r="W3334" s="178"/>
      <c r="X3334" s="172"/>
      <c r="Y3334" s="172"/>
      <c r="Z3334" s="172"/>
      <c r="AA3334" s="195"/>
      <c r="AB3334" s="172"/>
    </row>
    <row r="3335" spans="1:28" ht="12.6" customHeight="1" x14ac:dyDescent="0.3">
      <c r="A3335" s="667"/>
      <c r="B3335" s="668" t="s">
        <v>10680</v>
      </c>
      <c r="C3335" s="160" t="s">
        <v>10681</v>
      </c>
      <c r="D3335" s="160"/>
      <c r="E3335" s="439"/>
      <c r="F3335" s="161">
        <v>341.00983184</v>
      </c>
      <c r="G3335" s="161"/>
      <c r="H3335" s="654"/>
      <c r="I3335" s="654"/>
      <c r="J3335" s="191"/>
      <c r="K3335" s="191">
        <v>108840.36762342601</v>
      </c>
      <c r="L3335" s="191"/>
      <c r="M3335" s="191"/>
      <c r="N3335" s="191"/>
      <c r="O3335" s="191"/>
      <c r="P3335" s="191"/>
      <c r="Q3335" s="191"/>
      <c r="R3335" s="191"/>
      <c r="S3335" s="191"/>
      <c r="T3335" s="191"/>
      <c r="U3335" s="439"/>
      <c r="V3335" s="441"/>
      <c r="W3335" s="178"/>
      <c r="X3335" s="172"/>
      <c r="Y3335" s="172"/>
      <c r="Z3335" s="172"/>
      <c r="AA3335" s="195"/>
      <c r="AB3335" s="172"/>
    </row>
    <row r="3336" spans="1:28" ht="12.6" customHeight="1" x14ac:dyDescent="0.3">
      <c r="A3336" s="667"/>
      <c r="B3336" s="668" t="s">
        <v>10682</v>
      </c>
      <c r="C3336" s="160" t="s">
        <v>10683</v>
      </c>
      <c r="D3336" s="160"/>
      <c r="E3336" s="439"/>
      <c r="F3336" s="161">
        <v>291.01302551399999</v>
      </c>
      <c r="G3336" s="161"/>
      <c r="H3336" s="654"/>
      <c r="I3336" s="654"/>
      <c r="J3336" s="191"/>
      <c r="K3336" s="191">
        <v>15650.564257588299</v>
      </c>
      <c r="L3336" s="191"/>
      <c r="M3336" s="191"/>
      <c r="N3336" s="191"/>
      <c r="O3336" s="191"/>
      <c r="P3336" s="191"/>
      <c r="Q3336" s="191"/>
      <c r="R3336" s="191"/>
      <c r="S3336" s="191"/>
      <c r="T3336" s="191"/>
      <c r="U3336" s="439"/>
      <c r="V3336" s="441"/>
      <c r="W3336" s="178"/>
      <c r="X3336" s="172"/>
      <c r="Y3336" s="172"/>
      <c r="Z3336" s="172"/>
      <c r="AA3336" s="195"/>
      <c r="AB3336" s="172"/>
    </row>
    <row r="3337" spans="1:28" ht="12.6" customHeight="1" x14ac:dyDescent="0.3">
      <c r="A3337" s="667"/>
      <c r="B3337" s="668" t="s">
        <v>10684</v>
      </c>
      <c r="C3337" s="160" t="s">
        <v>10685</v>
      </c>
      <c r="D3337" s="160"/>
      <c r="E3337" s="439">
        <v>19</v>
      </c>
      <c r="F3337" s="161">
        <v>331.01917352200002</v>
      </c>
      <c r="G3337" s="161"/>
      <c r="H3337" s="654"/>
      <c r="I3337" s="654"/>
      <c r="J3337" s="191"/>
      <c r="K3337" s="191">
        <v>53414.602399675801</v>
      </c>
      <c r="L3337" s="191"/>
      <c r="M3337" s="191"/>
      <c r="N3337" s="191"/>
      <c r="O3337" s="191"/>
      <c r="P3337" s="191"/>
      <c r="Q3337" s="191"/>
      <c r="R3337" s="191"/>
      <c r="S3337" s="191"/>
      <c r="T3337" s="191"/>
      <c r="U3337" s="439"/>
      <c r="V3337" s="441"/>
      <c r="W3337" s="178"/>
      <c r="X3337" s="172"/>
      <c r="Y3337" s="172"/>
      <c r="Z3337" s="172"/>
      <c r="AA3337" s="195"/>
      <c r="AB3337" s="172"/>
    </row>
    <row r="3338" spans="1:28" ht="12.6" customHeight="1" x14ac:dyDescent="0.3">
      <c r="A3338" s="667"/>
      <c r="B3338" s="668" t="s">
        <v>10686</v>
      </c>
      <c r="C3338" s="160" t="s">
        <v>10687</v>
      </c>
      <c r="D3338" s="160"/>
      <c r="E3338" s="439"/>
      <c r="F3338" s="161">
        <v>391.00663816600002</v>
      </c>
      <c r="G3338" s="161"/>
      <c r="H3338" s="654"/>
      <c r="I3338" s="654"/>
      <c r="J3338" s="191"/>
      <c r="K3338" s="191">
        <v>1489121.04041306</v>
      </c>
      <c r="L3338" s="191"/>
      <c r="M3338" s="191"/>
      <c r="N3338" s="191"/>
      <c r="O3338" s="191"/>
      <c r="P3338" s="191"/>
      <c r="Q3338" s="191"/>
      <c r="R3338" s="191"/>
      <c r="S3338" s="191"/>
      <c r="T3338" s="191"/>
      <c r="U3338" s="439"/>
      <c r="V3338" s="441"/>
      <c r="W3338" s="178"/>
      <c r="X3338" s="172"/>
      <c r="Y3338" s="172"/>
      <c r="Z3338" s="172"/>
      <c r="AA3338" s="195"/>
      <c r="AB3338" s="172"/>
    </row>
    <row r="3339" spans="1:28" ht="12.6" customHeight="1" x14ac:dyDescent="0.3">
      <c r="A3339" s="667"/>
      <c r="B3339" s="668" t="s">
        <v>10688</v>
      </c>
      <c r="C3339" s="160" t="s">
        <v>10689</v>
      </c>
      <c r="D3339" s="160"/>
      <c r="E3339" s="439"/>
      <c r="F3339" s="161">
        <v>341.00983184</v>
      </c>
      <c r="G3339" s="161"/>
      <c r="H3339" s="654"/>
      <c r="I3339" s="654"/>
      <c r="J3339" s="191"/>
      <c r="K3339" s="191">
        <v>108265.47857925799</v>
      </c>
      <c r="L3339" s="191"/>
      <c r="M3339" s="191"/>
      <c r="N3339" s="191"/>
      <c r="O3339" s="191"/>
      <c r="P3339" s="191"/>
      <c r="Q3339" s="191"/>
      <c r="R3339" s="191"/>
      <c r="S3339" s="191"/>
      <c r="T3339" s="191"/>
      <c r="U3339" s="439"/>
      <c r="V3339" s="441"/>
      <c r="W3339" s="178"/>
      <c r="X3339" s="172"/>
      <c r="Y3339" s="172"/>
      <c r="Z3339" s="172"/>
      <c r="AA3339" s="195"/>
      <c r="AB3339" s="172"/>
    </row>
    <row r="3340" spans="1:28" ht="12.6" customHeight="1" x14ac:dyDescent="0.3">
      <c r="A3340" s="667"/>
      <c r="B3340" s="668" t="s">
        <v>10690</v>
      </c>
      <c r="C3340" s="160" t="s">
        <v>10691</v>
      </c>
      <c r="D3340" s="160"/>
      <c r="E3340" s="439">
        <v>4</v>
      </c>
      <c r="F3340" s="161">
        <v>680.03396899999996</v>
      </c>
      <c r="G3340" s="161"/>
      <c r="H3340" s="654"/>
      <c r="I3340" s="654"/>
      <c r="J3340" s="191"/>
      <c r="K3340" s="191">
        <v>1.7692532416568499E-2</v>
      </c>
      <c r="L3340" s="191"/>
      <c r="M3340" s="191"/>
      <c r="N3340" s="191"/>
      <c r="O3340" s="191"/>
      <c r="P3340" s="191"/>
      <c r="Q3340" s="191"/>
      <c r="R3340" s="191"/>
      <c r="S3340" s="191"/>
      <c r="T3340" s="191"/>
      <c r="U3340" s="439"/>
      <c r="V3340" s="441"/>
      <c r="W3340" s="178"/>
      <c r="X3340" s="172"/>
      <c r="Y3340" s="172"/>
      <c r="Z3340" s="172"/>
      <c r="AA3340" s="195"/>
      <c r="AB3340" s="172"/>
    </row>
    <row r="3341" spans="1:28" ht="12.6" customHeight="1" x14ac:dyDescent="0.3">
      <c r="A3341" s="667"/>
      <c r="B3341" s="668" t="s">
        <v>10692</v>
      </c>
      <c r="C3341" s="160" t="s">
        <v>10693</v>
      </c>
      <c r="D3341" s="160"/>
      <c r="E3341" s="439"/>
      <c r="F3341" s="161">
        <v>250.00401818399999</v>
      </c>
      <c r="G3341" s="161"/>
      <c r="H3341" s="654"/>
      <c r="I3341" s="654"/>
      <c r="J3341" s="191"/>
      <c r="K3341" s="191">
        <v>379.59457757633697</v>
      </c>
      <c r="L3341" s="191"/>
      <c r="M3341" s="191"/>
      <c r="N3341" s="191"/>
      <c r="O3341" s="191"/>
      <c r="P3341" s="191"/>
      <c r="Q3341" s="191"/>
      <c r="R3341" s="191"/>
      <c r="S3341" s="191"/>
      <c r="T3341" s="191"/>
      <c r="U3341" s="439"/>
      <c r="V3341" s="441"/>
      <c r="W3341" s="178"/>
      <c r="X3341" s="172"/>
      <c r="Y3341" s="172"/>
      <c r="Z3341" s="172"/>
      <c r="AA3341" s="195"/>
      <c r="AB3341" s="172"/>
    </row>
    <row r="3342" spans="1:28" ht="12.6" customHeight="1" x14ac:dyDescent="0.3">
      <c r="A3342" s="667"/>
      <c r="B3342" s="668" t="s">
        <v>10694</v>
      </c>
      <c r="C3342" s="160" t="s">
        <v>10695</v>
      </c>
      <c r="D3342" s="160"/>
      <c r="E3342" s="439"/>
      <c r="F3342" s="161">
        <v>264.01966824800002</v>
      </c>
      <c r="G3342" s="161">
        <v>-80.436999999999998</v>
      </c>
      <c r="H3342" s="654">
        <v>3005.3978527999998</v>
      </c>
      <c r="I3342" s="654">
        <v>50.1922510912907</v>
      </c>
      <c r="J3342" s="191"/>
      <c r="K3342" s="191">
        <v>929.43709130586501</v>
      </c>
      <c r="L3342" s="191"/>
      <c r="M3342" s="191"/>
      <c r="N3342" s="191"/>
      <c r="O3342" s="191"/>
      <c r="P3342" s="191"/>
      <c r="Q3342" s="191"/>
      <c r="R3342" s="191"/>
      <c r="S3342" s="191"/>
      <c r="T3342" s="191"/>
      <c r="U3342" s="439"/>
      <c r="V3342" s="441"/>
      <c r="W3342" s="178"/>
      <c r="X3342" s="172"/>
      <c r="Y3342" s="172"/>
      <c r="Z3342" s="172"/>
      <c r="AA3342" s="195"/>
      <c r="AB3342" s="172"/>
    </row>
    <row r="3343" spans="1:28" ht="12.6" customHeight="1" x14ac:dyDescent="0.3">
      <c r="A3343" s="667"/>
      <c r="B3343" s="668" t="s">
        <v>10696</v>
      </c>
      <c r="C3343" s="160" t="s">
        <v>10697</v>
      </c>
      <c r="D3343" s="160"/>
      <c r="E3343" s="439"/>
      <c r="F3343" s="161">
        <v>440.04572384400001</v>
      </c>
      <c r="G3343" s="161"/>
      <c r="H3343" s="654"/>
      <c r="I3343" s="654"/>
      <c r="J3343" s="191"/>
      <c r="K3343" s="191"/>
      <c r="L3343" s="191"/>
      <c r="M3343" s="191"/>
      <c r="N3343" s="191"/>
      <c r="O3343" s="191"/>
      <c r="P3343" s="191"/>
      <c r="Q3343" s="191"/>
      <c r="R3343" s="191"/>
      <c r="S3343" s="191"/>
      <c r="T3343" s="191"/>
      <c r="U3343" s="439"/>
      <c r="V3343" s="441"/>
      <c r="W3343" s="178"/>
      <c r="X3343" s="172"/>
      <c r="Y3343" s="172"/>
      <c r="Z3343" s="172"/>
      <c r="AA3343" s="195"/>
      <c r="AB3343" s="172"/>
    </row>
    <row r="3344" spans="1:28" ht="12.6" customHeight="1" x14ac:dyDescent="0.3">
      <c r="A3344" s="667"/>
      <c r="B3344" s="668" t="s">
        <v>10698</v>
      </c>
      <c r="C3344" s="160" t="s">
        <v>10699</v>
      </c>
      <c r="D3344" s="160"/>
      <c r="E3344" s="439"/>
      <c r="F3344" s="161">
        <v>354.011389194</v>
      </c>
      <c r="G3344" s="161"/>
      <c r="H3344" s="654"/>
      <c r="I3344" s="654"/>
      <c r="J3344" s="191"/>
      <c r="K3344" s="191">
        <v>2776.3230578788598</v>
      </c>
      <c r="L3344" s="191"/>
      <c r="M3344" s="191"/>
      <c r="N3344" s="191"/>
      <c r="O3344" s="191"/>
      <c r="P3344" s="191"/>
      <c r="Q3344" s="191"/>
      <c r="R3344" s="191"/>
      <c r="S3344" s="191"/>
      <c r="T3344" s="191"/>
      <c r="U3344" s="439"/>
      <c r="V3344" s="441"/>
      <c r="W3344" s="178"/>
      <c r="X3344" s="172"/>
      <c r="Y3344" s="172"/>
      <c r="Z3344" s="172"/>
      <c r="AA3344" s="195"/>
      <c r="AB3344" s="172"/>
    </row>
    <row r="3345" spans="1:28" ht="12.6" customHeight="1" x14ac:dyDescent="0.3">
      <c r="A3345" s="667"/>
      <c r="B3345" s="668" t="s">
        <v>10700</v>
      </c>
      <c r="C3345" s="160" t="s">
        <v>10701</v>
      </c>
      <c r="D3345" s="160"/>
      <c r="E3345" s="439"/>
      <c r="F3345" s="161">
        <v>304.01458286799999</v>
      </c>
      <c r="G3345" s="161"/>
      <c r="H3345" s="654"/>
      <c r="I3345" s="654"/>
      <c r="J3345" s="191"/>
      <c r="K3345" s="191">
        <v>1071.2479405235699</v>
      </c>
      <c r="L3345" s="191"/>
      <c r="M3345" s="191"/>
      <c r="N3345" s="191"/>
      <c r="O3345" s="191"/>
      <c r="P3345" s="191"/>
      <c r="Q3345" s="191"/>
      <c r="R3345" s="191"/>
      <c r="S3345" s="191"/>
      <c r="T3345" s="191"/>
      <c r="U3345" s="439"/>
      <c r="V3345" s="441"/>
      <c r="W3345" s="178"/>
      <c r="X3345" s="172"/>
      <c r="Y3345" s="172"/>
      <c r="Z3345" s="172"/>
      <c r="AA3345" s="195"/>
      <c r="AB3345" s="172"/>
    </row>
    <row r="3346" spans="1:28" ht="12.6" customHeight="1" x14ac:dyDescent="0.3">
      <c r="A3346" s="667"/>
      <c r="B3346" s="668" t="s">
        <v>10702</v>
      </c>
      <c r="C3346" s="160" t="s">
        <v>10703</v>
      </c>
      <c r="D3346" s="160"/>
      <c r="E3346" s="439"/>
      <c r="F3346" s="161">
        <v>254.01777654200001</v>
      </c>
      <c r="G3346" s="161"/>
      <c r="H3346" s="654"/>
      <c r="I3346" s="654"/>
      <c r="J3346" s="191"/>
      <c r="K3346" s="191">
        <v>195.48795343342701</v>
      </c>
      <c r="L3346" s="191"/>
      <c r="M3346" s="191"/>
      <c r="N3346" s="191"/>
      <c r="O3346" s="191"/>
      <c r="P3346" s="191"/>
      <c r="Q3346" s="191"/>
      <c r="R3346" s="191"/>
      <c r="S3346" s="191"/>
      <c r="T3346" s="191"/>
      <c r="U3346" s="439"/>
      <c r="V3346" s="441"/>
      <c r="W3346" s="178"/>
      <c r="X3346" s="172"/>
      <c r="Y3346" s="172"/>
      <c r="Z3346" s="172"/>
      <c r="AA3346" s="195"/>
      <c r="AB3346" s="172"/>
    </row>
    <row r="3347" spans="1:28" ht="12.6" customHeight="1" x14ac:dyDescent="0.3">
      <c r="A3347" s="667"/>
      <c r="B3347" s="668" t="s">
        <v>10704</v>
      </c>
      <c r="C3347" s="160" t="s">
        <v>10705</v>
      </c>
      <c r="D3347" s="160"/>
      <c r="E3347" s="439"/>
      <c r="F3347" s="161">
        <v>240.038511986</v>
      </c>
      <c r="G3347" s="161">
        <v>-95.343999999999994</v>
      </c>
      <c r="H3347" s="654">
        <v>4919.2884915999903</v>
      </c>
      <c r="I3347" s="654">
        <v>37.091951064636604</v>
      </c>
      <c r="J3347" s="191"/>
      <c r="K3347" s="191">
        <v>284.387170328499</v>
      </c>
      <c r="L3347" s="191"/>
      <c r="M3347" s="191"/>
      <c r="N3347" s="191"/>
      <c r="O3347" s="191"/>
      <c r="P3347" s="191"/>
      <c r="Q3347" s="191"/>
      <c r="R3347" s="191"/>
      <c r="S3347" s="191"/>
      <c r="T3347" s="191"/>
      <c r="U3347" s="439"/>
      <c r="V3347" s="441"/>
      <c r="W3347" s="178"/>
      <c r="X3347" s="172"/>
      <c r="Y3347" s="172"/>
      <c r="Z3347" s="172"/>
      <c r="AA3347" s="195"/>
      <c r="AB3347" s="172"/>
    </row>
    <row r="3348" spans="1:28" ht="12.6" customHeight="1" x14ac:dyDescent="0.3">
      <c r="A3348" s="667"/>
      <c r="B3348" s="668" t="s">
        <v>10706</v>
      </c>
      <c r="C3348" s="160" t="s">
        <v>10707</v>
      </c>
      <c r="D3348" s="160"/>
      <c r="E3348" s="439">
        <v>6</v>
      </c>
      <c r="F3348" s="161">
        <v>346.02514755200002</v>
      </c>
      <c r="G3348" s="161"/>
      <c r="H3348" s="654"/>
      <c r="I3348" s="654"/>
      <c r="J3348" s="191"/>
      <c r="K3348" s="191">
        <v>1085.20053701089</v>
      </c>
      <c r="L3348" s="191"/>
      <c r="M3348" s="191"/>
      <c r="N3348" s="191"/>
      <c r="O3348" s="191"/>
      <c r="P3348" s="191"/>
      <c r="Q3348" s="191"/>
      <c r="R3348" s="191"/>
      <c r="S3348" s="191"/>
      <c r="T3348" s="191"/>
      <c r="U3348" s="439"/>
      <c r="V3348" s="441"/>
      <c r="W3348" s="178"/>
      <c r="X3348" s="172"/>
      <c r="Y3348" s="172"/>
      <c r="Z3348" s="172"/>
      <c r="AA3348" s="195"/>
      <c r="AB3348" s="172"/>
    </row>
    <row r="3349" spans="1:28" ht="12.6" customHeight="1" x14ac:dyDescent="0.3">
      <c r="A3349" s="667"/>
      <c r="B3349" s="668" t="s">
        <v>10708</v>
      </c>
      <c r="C3349" s="160" t="s">
        <v>10709</v>
      </c>
      <c r="D3349" s="160"/>
      <c r="E3349" s="439"/>
      <c r="F3349" s="161">
        <v>411.994437162</v>
      </c>
      <c r="G3349" s="161">
        <v>-32.875</v>
      </c>
      <c r="H3349" s="654">
        <v>317.61566704000001</v>
      </c>
      <c r="I3349" s="654">
        <v>1.5772177040654201</v>
      </c>
      <c r="J3349" s="191"/>
      <c r="K3349" s="191">
        <v>10567.931753713799</v>
      </c>
      <c r="L3349" s="191"/>
      <c r="M3349" s="191"/>
      <c r="N3349" s="191"/>
      <c r="O3349" s="191"/>
      <c r="P3349" s="191"/>
      <c r="Q3349" s="191"/>
      <c r="R3349" s="191"/>
      <c r="S3349" s="191"/>
      <c r="T3349" s="191"/>
      <c r="U3349" s="439"/>
      <c r="V3349" s="441"/>
      <c r="W3349" s="178"/>
      <c r="X3349" s="172"/>
      <c r="Y3349" s="172"/>
      <c r="Z3349" s="172"/>
      <c r="AA3349" s="195"/>
      <c r="AB3349" s="172"/>
    </row>
    <row r="3350" spans="1:28" ht="12.6" customHeight="1" x14ac:dyDescent="0.3">
      <c r="A3350" s="667"/>
      <c r="B3350" s="668" t="s">
        <v>10710</v>
      </c>
      <c r="C3350" s="160" t="s">
        <v>10711</v>
      </c>
      <c r="D3350" s="160"/>
      <c r="E3350" s="439"/>
      <c r="F3350" s="161">
        <v>361.99763083599998</v>
      </c>
      <c r="G3350" s="161"/>
      <c r="H3350" s="654"/>
      <c r="I3350" s="654"/>
      <c r="J3350" s="191"/>
      <c r="K3350" s="191">
        <v>10403.752212507899</v>
      </c>
      <c r="L3350" s="191"/>
      <c r="M3350" s="191"/>
      <c r="N3350" s="191"/>
      <c r="O3350" s="191"/>
      <c r="P3350" s="191"/>
      <c r="Q3350" s="191"/>
      <c r="R3350" s="191"/>
      <c r="S3350" s="191"/>
      <c r="T3350" s="191"/>
      <c r="U3350" s="439"/>
      <c r="V3350" s="441"/>
      <c r="W3350" s="178"/>
      <c r="X3350" s="172"/>
      <c r="Y3350" s="172"/>
      <c r="Z3350" s="172"/>
      <c r="AA3350" s="195"/>
      <c r="AB3350" s="172"/>
    </row>
    <row r="3351" spans="1:28" ht="12.6" customHeight="1" x14ac:dyDescent="0.3">
      <c r="A3351" s="667"/>
      <c r="B3351" s="668" t="s">
        <v>10712</v>
      </c>
      <c r="C3351" s="160" t="s">
        <v>10713</v>
      </c>
      <c r="D3351" s="160"/>
      <c r="E3351" s="439"/>
      <c r="F3351" s="161">
        <v>262.00401818400002</v>
      </c>
      <c r="G3351" s="161">
        <v>-58.893999999999998</v>
      </c>
      <c r="H3351" s="654">
        <v>1663.0319635999999</v>
      </c>
      <c r="I3351" s="654">
        <v>58.926013709672503</v>
      </c>
      <c r="J3351" s="191"/>
      <c r="K3351" s="191">
        <v>939.68003570335702</v>
      </c>
      <c r="L3351" s="191"/>
      <c r="M3351" s="191"/>
      <c r="N3351" s="191"/>
      <c r="O3351" s="191"/>
      <c r="P3351" s="191"/>
      <c r="Q3351" s="191"/>
      <c r="R3351" s="191"/>
      <c r="S3351" s="191"/>
      <c r="T3351" s="191"/>
      <c r="U3351" s="439"/>
      <c r="V3351" s="441"/>
      <c r="W3351" s="178"/>
      <c r="X3351" s="172"/>
      <c r="Y3351" s="172"/>
      <c r="Z3351" s="172"/>
      <c r="AA3351" s="195"/>
      <c r="AB3351" s="172"/>
    </row>
    <row r="3352" spans="1:28" ht="12.6" customHeight="1" x14ac:dyDescent="0.3">
      <c r="A3352" s="667"/>
      <c r="B3352" s="668" t="s">
        <v>10714</v>
      </c>
      <c r="C3352" s="160" t="s">
        <v>10715</v>
      </c>
      <c r="D3352" s="160"/>
      <c r="E3352" s="439">
        <v>2.6520000000000001</v>
      </c>
      <c r="F3352" s="161">
        <v>212.00721185800001</v>
      </c>
      <c r="G3352" s="161">
        <v>-69.381</v>
      </c>
      <c r="H3352" s="654">
        <v>15845.3197</v>
      </c>
      <c r="I3352" s="654">
        <v>118.67273289521</v>
      </c>
      <c r="J3352" s="191"/>
      <c r="K3352" s="191">
        <v>111.073383121603</v>
      </c>
      <c r="L3352" s="191"/>
      <c r="M3352" s="191"/>
      <c r="N3352" s="191"/>
      <c r="O3352" s="191"/>
      <c r="P3352" s="191"/>
      <c r="Q3352" s="191"/>
      <c r="R3352" s="191"/>
      <c r="S3352" s="191"/>
      <c r="T3352" s="191"/>
      <c r="U3352" s="439"/>
      <c r="V3352" s="441"/>
      <c r="W3352" s="178"/>
      <c r="X3352" s="172"/>
      <c r="Y3352" s="172"/>
      <c r="Z3352" s="172"/>
      <c r="AA3352" s="195"/>
      <c r="AB3352" s="172"/>
    </row>
    <row r="3353" spans="1:28" ht="12.6" customHeight="1" x14ac:dyDescent="0.3">
      <c r="A3353" s="667"/>
      <c r="B3353" s="668" t="s">
        <v>10716</v>
      </c>
      <c r="C3353" s="160" t="s">
        <v>10717</v>
      </c>
      <c r="D3353" s="160"/>
      <c r="E3353" s="439">
        <v>47.938000000000002</v>
      </c>
      <c r="F3353" s="161">
        <v>277.03376095800002</v>
      </c>
      <c r="G3353" s="161">
        <v>-11.345000000000001</v>
      </c>
      <c r="H3353" s="654">
        <v>0.114525464508</v>
      </c>
      <c r="I3353" s="654">
        <v>4.8588397266901699</v>
      </c>
      <c r="J3353" s="191"/>
      <c r="K3353" s="191">
        <v>1337.24197406027</v>
      </c>
      <c r="L3353" s="191"/>
      <c r="M3353" s="191"/>
      <c r="N3353" s="191"/>
      <c r="O3353" s="191"/>
      <c r="P3353" s="191"/>
      <c r="Q3353" s="191"/>
      <c r="R3353" s="191"/>
      <c r="S3353" s="191"/>
      <c r="T3353" s="191"/>
      <c r="U3353" s="439"/>
      <c r="V3353" s="441"/>
      <c r="W3353" s="178"/>
      <c r="X3353" s="172"/>
      <c r="Y3353" s="172"/>
      <c r="Z3353" s="172"/>
      <c r="AA3353" s="195"/>
      <c r="AB3353" s="172"/>
    </row>
    <row r="3354" spans="1:28" ht="12.6" customHeight="1" x14ac:dyDescent="0.3">
      <c r="A3354" s="667"/>
      <c r="B3354" s="668" t="s">
        <v>10718</v>
      </c>
      <c r="C3354" s="160" t="s">
        <v>10719</v>
      </c>
      <c r="D3354" s="160"/>
      <c r="E3354" s="439"/>
      <c r="F3354" s="161">
        <v>288.038511986</v>
      </c>
      <c r="G3354" s="161"/>
      <c r="H3354" s="654"/>
      <c r="I3354" s="654"/>
      <c r="J3354" s="191"/>
      <c r="K3354" s="191">
        <v>145281.39455953499</v>
      </c>
      <c r="L3354" s="191"/>
      <c r="M3354" s="191"/>
      <c r="N3354" s="191"/>
      <c r="O3354" s="191"/>
      <c r="P3354" s="191"/>
      <c r="Q3354" s="191"/>
      <c r="R3354" s="191"/>
      <c r="S3354" s="191"/>
      <c r="T3354" s="191"/>
      <c r="U3354" s="439"/>
      <c r="V3354" s="441"/>
      <c r="W3354" s="178"/>
      <c r="X3354" s="172"/>
      <c r="Y3354" s="172"/>
      <c r="Z3354" s="172"/>
      <c r="AA3354" s="195"/>
      <c r="AB3354" s="172"/>
    </row>
    <row r="3355" spans="1:28" ht="12.6" customHeight="1" x14ac:dyDescent="0.3">
      <c r="A3355" s="667"/>
      <c r="B3355" s="668" t="s">
        <v>10720</v>
      </c>
      <c r="C3355" s="160" t="s">
        <v>10721</v>
      </c>
      <c r="D3355" s="160"/>
      <c r="E3355" s="439">
        <v>6</v>
      </c>
      <c r="F3355" s="161">
        <v>504.00180817199998</v>
      </c>
      <c r="G3355" s="161"/>
      <c r="H3355" s="654"/>
      <c r="I3355" s="654"/>
      <c r="J3355" s="191"/>
      <c r="K3355" s="191">
        <v>151516.52453955999</v>
      </c>
      <c r="L3355" s="191"/>
      <c r="M3355" s="191"/>
      <c r="N3355" s="191"/>
      <c r="O3355" s="191"/>
      <c r="P3355" s="191"/>
      <c r="Q3355" s="191"/>
      <c r="R3355" s="191"/>
      <c r="S3355" s="191"/>
      <c r="T3355" s="191"/>
      <c r="U3355" s="439"/>
      <c r="V3355" s="441"/>
      <c r="W3355" s="178"/>
      <c r="X3355" s="172"/>
      <c r="Y3355" s="172"/>
      <c r="Z3355" s="172"/>
      <c r="AA3355" s="195"/>
      <c r="AB3355" s="172"/>
    </row>
    <row r="3356" spans="1:28" ht="12.6" customHeight="1" x14ac:dyDescent="0.3">
      <c r="A3356" s="667"/>
      <c r="B3356" s="668" t="s">
        <v>10722</v>
      </c>
      <c r="C3356" s="160" t="s">
        <v>10723</v>
      </c>
      <c r="D3356" s="160"/>
      <c r="E3356" s="439">
        <v>23</v>
      </c>
      <c r="F3356" s="161">
        <v>404.00819552000002</v>
      </c>
      <c r="G3356" s="161">
        <v>-17.96</v>
      </c>
      <c r="H3356" s="654">
        <v>17.254533240000001</v>
      </c>
      <c r="I3356" s="654">
        <v>4.3590464255630401</v>
      </c>
      <c r="J3356" s="191"/>
      <c r="K3356" s="191">
        <v>4050.41945136493</v>
      </c>
      <c r="L3356" s="191"/>
      <c r="M3356" s="191"/>
      <c r="N3356" s="191"/>
      <c r="O3356" s="191"/>
      <c r="P3356" s="191"/>
      <c r="Q3356" s="191"/>
      <c r="R3356" s="191"/>
      <c r="S3356" s="191"/>
      <c r="T3356" s="191"/>
      <c r="U3356" s="439"/>
      <c r="V3356" s="441"/>
      <c r="W3356" s="178"/>
      <c r="X3356" s="172"/>
      <c r="Y3356" s="172"/>
      <c r="Z3356" s="172"/>
      <c r="AA3356" s="195"/>
      <c r="AB3356" s="172"/>
    </row>
    <row r="3357" spans="1:28" ht="12.6" customHeight="1" x14ac:dyDescent="0.3">
      <c r="A3357" s="667"/>
      <c r="B3357" s="668" t="s">
        <v>10724</v>
      </c>
      <c r="C3357" s="160" t="s">
        <v>10725</v>
      </c>
      <c r="D3357" s="160"/>
      <c r="E3357" s="439"/>
      <c r="F3357" s="161">
        <v>354.011389194</v>
      </c>
      <c r="G3357" s="161">
        <v>-16.175999999999998</v>
      </c>
      <c r="H3357" s="654">
        <v>57.266598592000001</v>
      </c>
      <c r="I3357" s="654">
        <v>14.1259394573135</v>
      </c>
      <c r="J3357" s="191"/>
      <c r="K3357" s="191">
        <v>1851.4415247310201</v>
      </c>
      <c r="L3357" s="191"/>
      <c r="M3357" s="191"/>
      <c r="N3357" s="191"/>
      <c r="O3357" s="191"/>
      <c r="P3357" s="191"/>
      <c r="Q3357" s="191"/>
      <c r="R3357" s="191"/>
      <c r="S3357" s="191"/>
      <c r="T3357" s="191"/>
      <c r="U3357" s="439"/>
      <c r="V3357" s="441"/>
      <c r="W3357" s="178"/>
      <c r="X3357" s="172"/>
      <c r="Y3357" s="172"/>
      <c r="Z3357" s="172"/>
      <c r="AA3357" s="195"/>
      <c r="AB3357" s="172"/>
    </row>
    <row r="3358" spans="1:28" ht="12.6" customHeight="1" x14ac:dyDescent="0.3">
      <c r="A3358" s="667"/>
      <c r="B3358" s="668" t="s">
        <v>10726</v>
      </c>
      <c r="C3358" s="160" t="s">
        <v>10727</v>
      </c>
      <c r="D3358" s="160"/>
      <c r="E3358" s="439">
        <v>17</v>
      </c>
      <c r="F3358" s="161">
        <v>304.01458286799999</v>
      </c>
      <c r="G3358" s="161">
        <v>-24.725999999999999</v>
      </c>
      <c r="H3358" s="654">
        <v>105.41490563799999</v>
      </c>
      <c r="I3358" s="654">
        <v>20.271905195846202</v>
      </c>
      <c r="J3358" s="191"/>
      <c r="K3358" s="191">
        <v>750.79262860211395</v>
      </c>
      <c r="L3358" s="191"/>
      <c r="M3358" s="191"/>
      <c r="N3358" s="191"/>
      <c r="O3358" s="191"/>
      <c r="P3358" s="191"/>
      <c r="Q3358" s="191"/>
      <c r="R3358" s="191"/>
      <c r="S3358" s="191"/>
      <c r="T3358" s="191"/>
      <c r="U3358" s="439"/>
      <c r="V3358" s="441"/>
      <c r="W3358" s="178"/>
      <c r="X3358" s="172"/>
      <c r="Y3358" s="172"/>
      <c r="Z3358" s="172"/>
      <c r="AA3358" s="195"/>
      <c r="AB3358" s="172"/>
    </row>
    <row r="3359" spans="1:28" ht="12.6" customHeight="1" x14ac:dyDescent="0.3">
      <c r="A3359" s="667"/>
      <c r="B3359" s="668" t="s">
        <v>10728</v>
      </c>
      <c r="C3359" s="160" t="s">
        <v>10729</v>
      </c>
      <c r="D3359" s="160"/>
      <c r="E3359" s="439">
        <v>14</v>
      </c>
      <c r="F3359" s="161">
        <v>254.01777654200001</v>
      </c>
      <c r="G3359" s="161">
        <v>-58.926000000000002</v>
      </c>
      <c r="H3359" s="654">
        <v>287.01293515999998</v>
      </c>
      <c r="I3359" s="654">
        <v>161.38536798820499</v>
      </c>
      <c r="J3359" s="191"/>
      <c r="K3359" s="191">
        <v>289.55428748674098</v>
      </c>
      <c r="L3359" s="191"/>
      <c r="M3359" s="191"/>
      <c r="N3359" s="191"/>
      <c r="O3359" s="191"/>
      <c r="P3359" s="191"/>
      <c r="Q3359" s="191"/>
      <c r="R3359" s="191"/>
      <c r="S3359" s="191"/>
      <c r="T3359" s="191"/>
      <c r="U3359" s="439"/>
      <c r="V3359" s="441"/>
      <c r="W3359" s="178"/>
      <c r="X3359" s="172"/>
      <c r="Y3359" s="172"/>
      <c r="Z3359" s="172"/>
      <c r="AA3359" s="195"/>
      <c r="AB3359" s="172"/>
    </row>
    <row r="3360" spans="1:28" ht="12.6" customHeight="1" x14ac:dyDescent="0.3">
      <c r="A3360" s="667"/>
      <c r="B3360" s="668" t="s">
        <v>10730</v>
      </c>
      <c r="C3360" s="160" t="s">
        <v>10731</v>
      </c>
      <c r="D3360" s="160"/>
      <c r="E3360" s="439"/>
      <c r="F3360" s="161">
        <v>464.10832288</v>
      </c>
      <c r="G3360" s="161">
        <v>149.31800000000001</v>
      </c>
      <c r="H3360" s="654">
        <v>2.2176914802E-7</v>
      </c>
      <c r="I3360" s="654">
        <v>1.3385023264356</v>
      </c>
      <c r="J3360" s="191"/>
      <c r="K3360" s="191">
        <v>50.587125232170003</v>
      </c>
      <c r="L3360" s="191"/>
      <c r="M3360" s="191"/>
      <c r="N3360" s="191"/>
      <c r="O3360" s="191"/>
      <c r="P3360" s="191"/>
      <c r="Q3360" s="191"/>
      <c r="R3360" s="191"/>
      <c r="S3360" s="191"/>
      <c r="T3360" s="191"/>
      <c r="U3360" s="439"/>
      <c r="V3360" s="441"/>
      <c r="W3360" s="178"/>
      <c r="X3360" s="172"/>
      <c r="Y3360" s="172"/>
      <c r="Z3360" s="172"/>
      <c r="AA3360" s="195"/>
      <c r="AB3360" s="172"/>
    </row>
    <row r="3361" spans="1:28" ht="12.6" customHeight="1" x14ac:dyDescent="0.3">
      <c r="A3361" s="667"/>
      <c r="B3361" s="668" t="s">
        <v>10732</v>
      </c>
      <c r="C3361" s="160" t="s">
        <v>10733</v>
      </c>
      <c r="D3361" s="160"/>
      <c r="E3361" s="439">
        <v>7.88</v>
      </c>
      <c r="F3361" s="161">
        <v>745.99084499499997</v>
      </c>
      <c r="G3361" s="161">
        <v>-15.500999999999999</v>
      </c>
      <c r="H3361" s="654">
        <v>0.30332088219999997</v>
      </c>
      <c r="I3361" s="654"/>
      <c r="J3361" s="191"/>
      <c r="K3361" s="191">
        <v>275086.95750887401</v>
      </c>
      <c r="L3361" s="191"/>
      <c r="M3361" s="191"/>
      <c r="N3361" s="191"/>
      <c r="O3361" s="191"/>
      <c r="P3361" s="191"/>
      <c r="Q3361" s="191"/>
      <c r="R3361" s="191"/>
      <c r="S3361" s="191"/>
      <c r="T3361" s="191"/>
      <c r="U3361" s="439"/>
      <c r="V3361" s="441"/>
      <c r="W3361" s="178"/>
      <c r="X3361" s="172"/>
      <c r="Y3361" s="172"/>
      <c r="Z3361" s="172"/>
      <c r="AA3361" s="195"/>
      <c r="AB3361" s="172"/>
    </row>
    <row r="3362" spans="1:28" ht="12.6" customHeight="1" x14ac:dyDescent="0.3">
      <c r="A3362" s="667"/>
      <c r="B3362" s="668" t="s">
        <v>10734</v>
      </c>
      <c r="C3362" s="160" t="s">
        <v>10735</v>
      </c>
      <c r="D3362" s="160"/>
      <c r="E3362" s="439">
        <v>9.86</v>
      </c>
      <c r="F3362" s="161">
        <v>303.049411023</v>
      </c>
      <c r="G3362" s="161"/>
      <c r="H3362" s="654"/>
      <c r="I3362" s="654"/>
      <c r="J3362" s="191"/>
      <c r="K3362" s="191">
        <v>7283.4979109877604</v>
      </c>
      <c r="L3362" s="191"/>
      <c r="M3362" s="191"/>
      <c r="N3362" s="191"/>
      <c r="O3362" s="191"/>
      <c r="P3362" s="191"/>
      <c r="Q3362" s="191"/>
      <c r="R3362" s="191"/>
      <c r="S3362" s="191"/>
      <c r="T3362" s="191"/>
      <c r="U3362" s="439"/>
      <c r="V3362" s="441"/>
      <c r="W3362" s="178"/>
      <c r="X3362" s="172"/>
      <c r="Y3362" s="172"/>
      <c r="Z3362" s="172"/>
      <c r="AA3362" s="195"/>
      <c r="AB3362" s="172"/>
    </row>
    <row r="3363" spans="1:28" ht="12.6" customHeight="1" x14ac:dyDescent="0.3">
      <c r="A3363" s="667"/>
      <c r="B3363" s="668" t="s">
        <v>10736</v>
      </c>
      <c r="C3363" s="160" t="s">
        <v>10737</v>
      </c>
      <c r="D3363" s="160"/>
      <c r="E3363" s="439">
        <v>9.9</v>
      </c>
      <c r="F3363" s="161">
        <v>345.04605697400001</v>
      </c>
      <c r="G3363" s="161"/>
      <c r="H3363" s="654"/>
      <c r="I3363" s="654"/>
      <c r="J3363" s="191"/>
      <c r="K3363" s="191">
        <v>94.214988619483606</v>
      </c>
      <c r="L3363" s="191"/>
      <c r="M3363" s="191"/>
      <c r="N3363" s="191"/>
      <c r="O3363" s="191"/>
      <c r="P3363" s="191"/>
      <c r="Q3363" s="191"/>
      <c r="R3363" s="191"/>
      <c r="S3363" s="191"/>
      <c r="T3363" s="191"/>
      <c r="U3363" s="439"/>
      <c r="V3363" s="441"/>
      <c r="W3363" s="178"/>
      <c r="X3363" s="172"/>
      <c r="Y3363" s="172"/>
      <c r="Z3363" s="172"/>
      <c r="AA3363" s="195"/>
      <c r="AB3363" s="172"/>
    </row>
    <row r="3364" spans="1:28" ht="12.6" customHeight="1" x14ac:dyDescent="0.3">
      <c r="A3364" s="667"/>
      <c r="B3364" s="668" t="s">
        <v>10738</v>
      </c>
      <c r="C3364" s="160" t="s">
        <v>10739</v>
      </c>
      <c r="D3364" s="160"/>
      <c r="E3364" s="439">
        <v>6.41</v>
      </c>
      <c r="F3364" s="161">
        <v>310.99633007599999</v>
      </c>
      <c r="G3364" s="161"/>
      <c r="H3364" s="654"/>
      <c r="I3364" s="654"/>
      <c r="J3364" s="191"/>
      <c r="K3364" s="191">
        <v>439.997288359989</v>
      </c>
      <c r="L3364" s="191"/>
      <c r="M3364" s="191"/>
      <c r="N3364" s="191"/>
      <c r="O3364" s="191"/>
      <c r="P3364" s="191"/>
      <c r="Q3364" s="191"/>
      <c r="R3364" s="191"/>
      <c r="S3364" s="191"/>
      <c r="T3364" s="191"/>
      <c r="U3364" s="439"/>
      <c r="V3364" s="441"/>
      <c r="W3364" s="178"/>
      <c r="X3364" s="172"/>
      <c r="Y3364" s="172"/>
      <c r="Z3364" s="172"/>
      <c r="AA3364" s="195"/>
      <c r="AB3364" s="172"/>
    </row>
    <row r="3365" spans="1:28" ht="12.6" customHeight="1" x14ac:dyDescent="0.3">
      <c r="A3365" s="667"/>
      <c r="B3365" s="668" t="s">
        <v>10740</v>
      </c>
      <c r="C3365" s="160" t="s">
        <v>10741</v>
      </c>
      <c r="D3365" s="160"/>
      <c r="E3365" s="439"/>
      <c r="F3365" s="161">
        <v>334.00271621600001</v>
      </c>
      <c r="G3365" s="161">
        <v>-100.92</v>
      </c>
      <c r="H3365" s="654">
        <v>11611.8662408</v>
      </c>
      <c r="I3365" s="654">
        <v>8.3512369149067496</v>
      </c>
      <c r="J3365" s="191"/>
      <c r="K3365" s="191">
        <v>9625.6485334550198</v>
      </c>
      <c r="L3365" s="191"/>
      <c r="M3365" s="191"/>
      <c r="N3365" s="191"/>
      <c r="O3365" s="191"/>
      <c r="P3365" s="191"/>
      <c r="Q3365" s="191"/>
      <c r="R3365" s="191"/>
      <c r="S3365" s="191"/>
      <c r="T3365" s="191"/>
      <c r="U3365" s="439"/>
      <c r="V3365" s="441"/>
      <c r="W3365" s="178"/>
      <c r="X3365" s="172"/>
      <c r="Y3365" s="172"/>
      <c r="Z3365" s="172"/>
      <c r="AA3365" s="195"/>
      <c r="AB3365" s="172"/>
    </row>
    <row r="3366" spans="1:28" ht="12.6" customHeight="1" x14ac:dyDescent="0.3">
      <c r="A3366" s="667"/>
      <c r="B3366" s="668" t="s">
        <v>10742</v>
      </c>
      <c r="C3366" s="160" t="s">
        <v>10743</v>
      </c>
      <c r="D3366" s="160"/>
      <c r="E3366" s="439">
        <v>8.01</v>
      </c>
      <c r="F3366" s="161">
        <v>445.087253084</v>
      </c>
      <c r="G3366" s="161"/>
      <c r="H3366" s="654"/>
      <c r="I3366" s="654"/>
      <c r="J3366" s="191"/>
      <c r="K3366" s="191">
        <v>22744.6888496137</v>
      </c>
      <c r="L3366" s="191"/>
      <c r="M3366" s="191"/>
      <c r="N3366" s="191"/>
      <c r="O3366" s="191"/>
      <c r="P3366" s="191"/>
      <c r="Q3366" s="191"/>
      <c r="R3366" s="191"/>
      <c r="S3366" s="191"/>
      <c r="T3366" s="191"/>
      <c r="U3366" s="439"/>
      <c r="V3366" s="441"/>
      <c r="W3366" s="178"/>
      <c r="X3366" s="172"/>
      <c r="Y3366" s="172"/>
      <c r="Z3366" s="172"/>
      <c r="AA3366" s="195"/>
      <c r="AB3366" s="172"/>
    </row>
    <row r="3367" spans="1:28" ht="12.6" customHeight="1" x14ac:dyDescent="0.3">
      <c r="A3367" s="667"/>
      <c r="B3367" s="668" t="s">
        <v>10744</v>
      </c>
      <c r="C3367" s="160" t="s">
        <v>10745</v>
      </c>
      <c r="D3367" s="160"/>
      <c r="E3367" s="439"/>
      <c r="F3367" s="161">
        <v>296.06472673500002</v>
      </c>
      <c r="G3367" s="161">
        <v>-4.37</v>
      </c>
      <c r="H3367" s="654">
        <v>15.20204105</v>
      </c>
      <c r="I3367" s="654">
        <v>20.108834665731798</v>
      </c>
      <c r="J3367" s="191"/>
      <c r="K3367" s="191">
        <v>9468.4741971171698</v>
      </c>
      <c r="L3367" s="191"/>
      <c r="M3367" s="191"/>
      <c r="N3367" s="191"/>
      <c r="O3367" s="191"/>
      <c r="P3367" s="191"/>
      <c r="Q3367" s="191"/>
      <c r="R3367" s="191"/>
      <c r="S3367" s="191"/>
      <c r="T3367" s="191"/>
      <c r="U3367" s="439"/>
      <c r="V3367" s="441"/>
      <c r="W3367" s="178"/>
      <c r="X3367" s="172"/>
      <c r="Y3367" s="172"/>
      <c r="Z3367" s="172"/>
      <c r="AA3367" s="195"/>
      <c r="AB3367" s="172"/>
    </row>
    <row r="3368" spans="1:28" ht="12.6" customHeight="1" x14ac:dyDescent="0.3">
      <c r="A3368" s="667"/>
      <c r="B3368" s="668" t="s">
        <v>10746</v>
      </c>
      <c r="C3368" s="160" t="s">
        <v>10747</v>
      </c>
      <c r="D3368" s="160"/>
      <c r="E3368" s="439"/>
      <c r="F3368" s="161">
        <v>295.080711151</v>
      </c>
      <c r="G3368" s="161">
        <v>36.715000000000003</v>
      </c>
      <c r="H3368" s="654">
        <v>6.4402391997999997</v>
      </c>
      <c r="I3368" s="654">
        <v>8.6884154752722704</v>
      </c>
      <c r="J3368" s="191"/>
      <c r="K3368" s="191">
        <v>31101.4043812696</v>
      </c>
      <c r="L3368" s="191"/>
      <c r="M3368" s="191"/>
      <c r="N3368" s="191"/>
      <c r="O3368" s="191"/>
      <c r="P3368" s="191"/>
      <c r="Q3368" s="191"/>
      <c r="R3368" s="191"/>
      <c r="S3368" s="191"/>
      <c r="T3368" s="191"/>
      <c r="U3368" s="439"/>
      <c r="V3368" s="441"/>
      <c r="W3368" s="178"/>
      <c r="X3368" s="172"/>
      <c r="Y3368" s="172"/>
      <c r="Z3368" s="172"/>
      <c r="AA3368" s="195"/>
      <c r="AB3368" s="172"/>
    </row>
    <row r="3369" spans="1:28" ht="12.6" customHeight="1" x14ac:dyDescent="0.3">
      <c r="A3369" s="667"/>
      <c r="B3369" s="668" t="s">
        <v>10748</v>
      </c>
      <c r="C3369" s="160" t="s">
        <v>10749</v>
      </c>
      <c r="D3369" s="160"/>
      <c r="E3369" s="439">
        <v>8.39</v>
      </c>
      <c r="F3369" s="161">
        <v>668.25599139300004</v>
      </c>
      <c r="G3369" s="161"/>
      <c r="H3369" s="654"/>
      <c r="I3369" s="654"/>
      <c r="J3369" s="191"/>
      <c r="K3369" s="191">
        <v>963518.371929919</v>
      </c>
      <c r="L3369" s="191"/>
      <c r="M3369" s="191"/>
      <c r="N3369" s="191"/>
      <c r="O3369" s="191"/>
      <c r="P3369" s="191"/>
      <c r="Q3369" s="191"/>
      <c r="R3369" s="191"/>
      <c r="S3369" s="191"/>
      <c r="T3369" s="191"/>
      <c r="U3369" s="439"/>
      <c r="V3369" s="441"/>
      <c r="W3369" s="178"/>
      <c r="X3369" s="172"/>
      <c r="Y3369" s="172"/>
      <c r="Z3369" s="172"/>
      <c r="AA3369" s="195"/>
      <c r="AB3369" s="172"/>
    </row>
    <row r="3370" spans="1:28" ht="12.6" customHeight="1" x14ac:dyDescent="0.3">
      <c r="A3370" s="667"/>
      <c r="B3370" s="668" t="s">
        <v>10750</v>
      </c>
      <c r="C3370" s="160" t="s">
        <v>10751</v>
      </c>
      <c r="D3370" s="160"/>
      <c r="E3370" s="439">
        <v>14</v>
      </c>
      <c r="F3370" s="161">
        <v>419.12324466799998</v>
      </c>
      <c r="G3370" s="161"/>
      <c r="H3370" s="654"/>
      <c r="I3370" s="654"/>
      <c r="J3370" s="191"/>
      <c r="K3370" s="191">
        <v>653265.91665359598</v>
      </c>
      <c r="L3370" s="191"/>
      <c r="M3370" s="191"/>
      <c r="N3370" s="191"/>
      <c r="O3370" s="191"/>
      <c r="P3370" s="191"/>
      <c r="Q3370" s="191"/>
      <c r="R3370" s="191"/>
      <c r="S3370" s="191"/>
      <c r="T3370" s="191"/>
      <c r="U3370" s="439"/>
      <c r="V3370" s="441"/>
      <c r="W3370" s="178"/>
      <c r="X3370" s="172"/>
      <c r="Y3370" s="172"/>
      <c r="Z3370" s="172"/>
      <c r="AA3370" s="195"/>
      <c r="AB3370" s="172"/>
    </row>
    <row r="3371" spans="1:28" ht="12.6" customHeight="1" x14ac:dyDescent="0.3">
      <c r="A3371" s="667"/>
      <c r="B3371" s="668" t="s">
        <v>10752</v>
      </c>
      <c r="C3371" s="160" t="s">
        <v>10753</v>
      </c>
      <c r="D3371" s="160"/>
      <c r="E3371" s="439"/>
      <c r="F3371" s="161">
        <v>294.04907667100002</v>
      </c>
      <c r="G3371" s="161">
        <v>-4.5940000000000003</v>
      </c>
      <c r="H3371" s="654">
        <v>10.7374605716</v>
      </c>
      <c r="I3371" s="654">
        <v>12.3429746374342</v>
      </c>
      <c r="J3371" s="191"/>
      <c r="K3371" s="191">
        <v>2225.7172923788798</v>
      </c>
      <c r="L3371" s="191"/>
      <c r="M3371" s="191"/>
      <c r="N3371" s="191"/>
      <c r="O3371" s="191"/>
      <c r="P3371" s="191"/>
      <c r="Q3371" s="191"/>
      <c r="R3371" s="191"/>
      <c r="S3371" s="191"/>
      <c r="T3371" s="191"/>
      <c r="U3371" s="439"/>
      <c r="V3371" s="441"/>
      <c r="W3371" s="178"/>
      <c r="X3371" s="172"/>
      <c r="Y3371" s="172"/>
      <c r="Z3371" s="172"/>
      <c r="AA3371" s="195"/>
      <c r="AB3371" s="172"/>
    </row>
    <row r="3372" spans="1:28" ht="12.6" customHeight="1" x14ac:dyDescent="0.3">
      <c r="A3372" s="667"/>
      <c r="B3372" s="668" t="s">
        <v>10754</v>
      </c>
      <c r="C3372" s="160" t="s">
        <v>10755</v>
      </c>
      <c r="D3372" s="160"/>
      <c r="E3372" s="439"/>
      <c r="F3372" s="161">
        <v>240.038511986</v>
      </c>
      <c r="G3372" s="161">
        <v>-77.786000000000001</v>
      </c>
      <c r="H3372" s="654">
        <v>6529.8315837999999</v>
      </c>
      <c r="I3372" s="654">
        <v>60.434016085691198</v>
      </c>
      <c r="J3372" s="191"/>
      <c r="K3372" s="191">
        <v>43442.0188792185</v>
      </c>
      <c r="L3372" s="191"/>
      <c r="M3372" s="191"/>
      <c r="N3372" s="191"/>
      <c r="O3372" s="191"/>
      <c r="P3372" s="191"/>
      <c r="Q3372" s="191"/>
      <c r="R3372" s="191"/>
      <c r="S3372" s="191"/>
      <c r="T3372" s="191"/>
      <c r="U3372" s="439"/>
      <c r="V3372" s="441"/>
      <c r="W3372" s="178"/>
      <c r="X3372" s="172"/>
      <c r="Y3372" s="172"/>
      <c r="Z3372" s="172"/>
      <c r="AA3372" s="195"/>
      <c r="AB3372" s="172"/>
    </row>
    <row r="3373" spans="1:28" ht="12.6" customHeight="1" x14ac:dyDescent="0.3">
      <c r="A3373" s="667"/>
      <c r="B3373" s="668" t="s">
        <v>10756</v>
      </c>
      <c r="C3373" s="160" t="s">
        <v>10757</v>
      </c>
      <c r="D3373" s="160"/>
      <c r="E3373" s="439">
        <v>2.91</v>
      </c>
      <c r="F3373" s="161">
        <v>424.05792727800002</v>
      </c>
      <c r="G3373" s="161"/>
      <c r="H3373" s="654"/>
      <c r="I3373" s="654"/>
      <c r="J3373" s="191"/>
      <c r="K3373" s="191">
        <v>77549.678198965805</v>
      </c>
      <c r="L3373" s="191"/>
      <c r="M3373" s="191"/>
      <c r="N3373" s="191"/>
      <c r="O3373" s="191"/>
      <c r="P3373" s="191"/>
      <c r="Q3373" s="191"/>
      <c r="R3373" s="191"/>
      <c r="S3373" s="191"/>
      <c r="T3373" s="191"/>
      <c r="U3373" s="439"/>
      <c r="V3373" s="441"/>
      <c r="W3373" s="178"/>
      <c r="X3373" s="172"/>
      <c r="Y3373" s="172"/>
      <c r="Z3373" s="172"/>
      <c r="AA3373" s="195"/>
      <c r="AB3373" s="172"/>
    </row>
    <row r="3374" spans="1:28" ht="12.6" customHeight="1" x14ac:dyDescent="0.3">
      <c r="A3374" s="667"/>
      <c r="B3374" s="668" t="s">
        <v>10758</v>
      </c>
      <c r="C3374" s="160" t="s">
        <v>10759</v>
      </c>
      <c r="D3374" s="160"/>
      <c r="E3374" s="439">
        <v>3.33</v>
      </c>
      <c r="F3374" s="161">
        <v>408.06301265799999</v>
      </c>
      <c r="G3374" s="161"/>
      <c r="H3374" s="654"/>
      <c r="I3374" s="654"/>
      <c r="J3374" s="191"/>
      <c r="K3374" s="191">
        <v>117262.729784007</v>
      </c>
      <c r="L3374" s="191"/>
      <c r="M3374" s="191"/>
      <c r="N3374" s="191"/>
      <c r="O3374" s="191"/>
      <c r="P3374" s="191"/>
      <c r="Q3374" s="191"/>
      <c r="R3374" s="191"/>
      <c r="S3374" s="191"/>
      <c r="T3374" s="191"/>
      <c r="U3374" s="439"/>
      <c r="V3374" s="441"/>
      <c r="W3374" s="178"/>
      <c r="X3374" s="172"/>
      <c r="Y3374" s="172"/>
      <c r="Z3374" s="172"/>
      <c r="AA3374" s="195"/>
      <c r="AB3374" s="172"/>
    </row>
    <row r="3375" spans="1:28" ht="12.6" customHeight="1" x14ac:dyDescent="0.3">
      <c r="A3375" s="667"/>
      <c r="B3375" s="668" t="s">
        <v>10760</v>
      </c>
      <c r="C3375" s="160" t="s">
        <v>10761</v>
      </c>
      <c r="D3375" s="160"/>
      <c r="E3375" s="439">
        <v>4.71</v>
      </c>
      <c r="F3375" s="161">
        <v>392.06809803800002</v>
      </c>
      <c r="G3375" s="161"/>
      <c r="H3375" s="654"/>
      <c r="I3375" s="654"/>
      <c r="J3375" s="191"/>
      <c r="K3375" s="191">
        <v>2053052.2392794699</v>
      </c>
      <c r="L3375" s="191"/>
      <c r="M3375" s="191"/>
      <c r="N3375" s="191"/>
      <c r="O3375" s="191"/>
      <c r="P3375" s="191"/>
      <c r="Q3375" s="191"/>
      <c r="R3375" s="191"/>
      <c r="S3375" s="191"/>
      <c r="T3375" s="191"/>
      <c r="U3375" s="439"/>
      <c r="V3375" s="441"/>
      <c r="W3375" s="178"/>
      <c r="X3375" s="172"/>
      <c r="Y3375" s="172"/>
      <c r="Z3375" s="172"/>
      <c r="AA3375" s="195"/>
      <c r="AB3375" s="172"/>
    </row>
    <row r="3376" spans="1:28" ht="12.6" customHeight="1" x14ac:dyDescent="0.3">
      <c r="A3376" s="667"/>
      <c r="B3376" s="668" t="s">
        <v>10762</v>
      </c>
      <c r="C3376" s="160" t="s">
        <v>10763</v>
      </c>
      <c r="D3376" s="160"/>
      <c r="E3376" s="439">
        <v>1.97</v>
      </c>
      <c r="F3376" s="161">
        <v>410.04227721400002</v>
      </c>
      <c r="G3376" s="161"/>
      <c r="H3376" s="654"/>
      <c r="I3376" s="654"/>
      <c r="J3376" s="191"/>
      <c r="K3376" s="191">
        <v>131580.03573242199</v>
      </c>
      <c r="L3376" s="191"/>
      <c r="M3376" s="191"/>
      <c r="N3376" s="191"/>
      <c r="O3376" s="191"/>
      <c r="P3376" s="191"/>
      <c r="Q3376" s="191"/>
      <c r="R3376" s="191"/>
      <c r="S3376" s="191"/>
      <c r="T3376" s="191"/>
      <c r="U3376" s="439"/>
      <c r="V3376" s="441"/>
      <c r="W3376" s="178"/>
      <c r="X3376" s="172"/>
      <c r="Y3376" s="172"/>
      <c r="Z3376" s="172"/>
      <c r="AA3376" s="195"/>
      <c r="AB3376" s="172"/>
    </row>
    <row r="3377" spans="1:28" ht="12.6" customHeight="1" x14ac:dyDescent="0.3">
      <c r="A3377" s="667"/>
      <c r="B3377" s="668" t="s">
        <v>10764</v>
      </c>
      <c r="C3377" s="160" t="s">
        <v>10765</v>
      </c>
      <c r="D3377" s="160"/>
      <c r="E3377" s="439">
        <v>2.4</v>
      </c>
      <c r="F3377" s="161">
        <v>394.04736259399999</v>
      </c>
      <c r="G3377" s="161"/>
      <c r="H3377" s="654"/>
      <c r="I3377" s="654"/>
      <c r="J3377" s="191"/>
      <c r="K3377" s="191">
        <v>74284.807111317496</v>
      </c>
      <c r="L3377" s="191"/>
      <c r="M3377" s="191"/>
      <c r="N3377" s="191"/>
      <c r="O3377" s="191"/>
      <c r="P3377" s="191"/>
      <c r="Q3377" s="191"/>
      <c r="R3377" s="191"/>
      <c r="S3377" s="191"/>
      <c r="T3377" s="191"/>
      <c r="U3377" s="439"/>
      <c r="V3377" s="441"/>
      <c r="W3377" s="178"/>
      <c r="X3377" s="172"/>
      <c r="Y3377" s="172"/>
      <c r="Z3377" s="172"/>
      <c r="AA3377" s="195"/>
      <c r="AB3377" s="172"/>
    </row>
    <row r="3378" spans="1:28" ht="12.6" customHeight="1" x14ac:dyDescent="0.3">
      <c r="A3378" s="667"/>
      <c r="B3378" s="668" t="s">
        <v>10766</v>
      </c>
      <c r="C3378" s="160" t="s">
        <v>10767</v>
      </c>
      <c r="D3378" s="160"/>
      <c r="E3378" s="439">
        <v>4.01</v>
      </c>
      <c r="F3378" s="161">
        <v>378.05244797400002</v>
      </c>
      <c r="G3378" s="161"/>
      <c r="H3378" s="654"/>
      <c r="I3378" s="654"/>
      <c r="J3378" s="191"/>
      <c r="K3378" s="191">
        <v>1151807.75960775</v>
      </c>
      <c r="L3378" s="191"/>
      <c r="M3378" s="191"/>
      <c r="N3378" s="191"/>
      <c r="O3378" s="191"/>
      <c r="P3378" s="191"/>
      <c r="Q3378" s="191"/>
      <c r="R3378" s="191"/>
      <c r="S3378" s="191"/>
      <c r="T3378" s="191"/>
      <c r="U3378" s="439"/>
      <c r="V3378" s="441"/>
      <c r="W3378" s="178"/>
      <c r="X3378" s="172"/>
      <c r="Y3378" s="172"/>
      <c r="Z3378" s="172"/>
      <c r="AA3378" s="195"/>
      <c r="AB3378" s="172"/>
    </row>
    <row r="3379" spans="1:28" ht="12.6" customHeight="1" x14ac:dyDescent="0.3">
      <c r="A3379" s="667"/>
      <c r="B3379" s="668" t="s">
        <v>10768</v>
      </c>
      <c r="C3379" s="160" t="s">
        <v>10769</v>
      </c>
      <c r="D3379" s="160"/>
      <c r="E3379" s="439"/>
      <c r="F3379" s="161">
        <v>234.00910356399999</v>
      </c>
      <c r="G3379" s="161"/>
      <c r="H3379" s="654"/>
      <c r="I3379" s="654"/>
      <c r="J3379" s="191"/>
      <c r="K3379" s="191">
        <v>1016.41250600848</v>
      </c>
      <c r="L3379" s="191"/>
      <c r="M3379" s="191"/>
      <c r="N3379" s="191"/>
      <c r="O3379" s="191"/>
      <c r="P3379" s="191"/>
      <c r="Q3379" s="191"/>
      <c r="R3379" s="191"/>
      <c r="S3379" s="191"/>
      <c r="T3379" s="191"/>
      <c r="U3379" s="439"/>
      <c r="V3379" s="441"/>
      <c r="W3379" s="178"/>
      <c r="X3379" s="172"/>
      <c r="Y3379" s="172"/>
      <c r="Z3379" s="172"/>
      <c r="AA3379" s="195"/>
      <c r="AB3379" s="172"/>
    </row>
    <row r="3380" spans="1:28" ht="12.6" customHeight="1" x14ac:dyDescent="0.3">
      <c r="A3380" s="667"/>
      <c r="B3380" s="668" t="s">
        <v>10770</v>
      </c>
      <c r="C3380" s="160" t="s">
        <v>10771</v>
      </c>
      <c r="D3380" s="160"/>
      <c r="E3380" s="439"/>
      <c r="F3380" s="161">
        <v>184.012297238</v>
      </c>
      <c r="G3380" s="161"/>
      <c r="H3380" s="654"/>
      <c r="I3380" s="654"/>
      <c r="J3380" s="191"/>
      <c r="K3380" s="191">
        <v>119.51433518543</v>
      </c>
      <c r="L3380" s="191"/>
      <c r="M3380" s="191"/>
      <c r="N3380" s="191"/>
      <c r="O3380" s="191"/>
      <c r="P3380" s="191"/>
      <c r="Q3380" s="191"/>
      <c r="R3380" s="191"/>
      <c r="S3380" s="191"/>
      <c r="T3380" s="191"/>
      <c r="U3380" s="439"/>
      <c r="V3380" s="441"/>
      <c r="W3380" s="178"/>
      <c r="X3380" s="172"/>
      <c r="Y3380" s="172"/>
      <c r="Z3380" s="172"/>
      <c r="AA3380" s="195"/>
      <c r="AB3380" s="172"/>
    </row>
    <row r="3381" spans="1:28" ht="12.6" customHeight="1" x14ac:dyDescent="0.3">
      <c r="A3381" s="667"/>
      <c r="B3381" s="668" t="s">
        <v>10772</v>
      </c>
      <c r="C3381" s="160" t="s">
        <v>10773</v>
      </c>
      <c r="D3381" s="160"/>
      <c r="E3381" s="439">
        <v>7.16</v>
      </c>
      <c r="F3381" s="161">
        <v>417.05595295500001</v>
      </c>
      <c r="G3381" s="161"/>
      <c r="H3381" s="654"/>
      <c r="I3381" s="654"/>
      <c r="J3381" s="191"/>
      <c r="K3381" s="191">
        <v>5910.7147379785802</v>
      </c>
      <c r="L3381" s="191"/>
      <c r="M3381" s="191"/>
      <c r="N3381" s="191"/>
      <c r="O3381" s="191"/>
      <c r="P3381" s="191"/>
      <c r="Q3381" s="191"/>
      <c r="R3381" s="191"/>
      <c r="S3381" s="191"/>
      <c r="T3381" s="191"/>
      <c r="U3381" s="439"/>
      <c r="V3381" s="441"/>
      <c r="W3381" s="178"/>
      <c r="X3381" s="172"/>
      <c r="Y3381" s="172"/>
      <c r="Z3381" s="172"/>
      <c r="AA3381" s="195"/>
      <c r="AB3381" s="172"/>
    </row>
    <row r="3382" spans="1:28" ht="12.6" customHeight="1" x14ac:dyDescent="0.3">
      <c r="A3382" s="667"/>
      <c r="B3382" s="668" t="s">
        <v>10774</v>
      </c>
      <c r="C3382" s="160" t="s">
        <v>10775</v>
      </c>
      <c r="D3382" s="160"/>
      <c r="E3382" s="439">
        <v>7.34</v>
      </c>
      <c r="F3382" s="161">
        <v>622.05490637299999</v>
      </c>
      <c r="G3382" s="161"/>
      <c r="H3382" s="654"/>
      <c r="I3382" s="654"/>
      <c r="J3382" s="191"/>
      <c r="K3382" s="191">
        <v>348128837.60672802</v>
      </c>
      <c r="L3382" s="191"/>
      <c r="M3382" s="191"/>
      <c r="N3382" s="191"/>
      <c r="O3382" s="191"/>
      <c r="P3382" s="191"/>
      <c r="Q3382" s="191"/>
      <c r="R3382" s="191"/>
      <c r="S3382" s="191"/>
      <c r="T3382" s="191"/>
      <c r="U3382" s="439"/>
      <c r="V3382" s="441"/>
      <c r="W3382" s="178"/>
      <c r="X3382" s="172"/>
      <c r="Y3382" s="172"/>
      <c r="Z3382" s="172"/>
      <c r="AA3382" s="195"/>
      <c r="AB3382" s="172"/>
    </row>
    <row r="3383" spans="1:28" ht="12.6" customHeight="1" x14ac:dyDescent="0.3">
      <c r="A3383" s="667"/>
      <c r="B3383" s="668" t="s">
        <v>10776</v>
      </c>
      <c r="C3383" s="160" t="s">
        <v>10777</v>
      </c>
      <c r="D3383" s="160"/>
      <c r="E3383" s="439">
        <v>7.58</v>
      </c>
      <c r="F3383" s="161">
        <v>372.07087474299999</v>
      </c>
      <c r="G3383" s="161"/>
      <c r="H3383" s="654"/>
      <c r="I3383" s="654"/>
      <c r="J3383" s="191"/>
      <c r="K3383" s="191">
        <v>25519.960626622698</v>
      </c>
      <c r="L3383" s="191"/>
      <c r="M3383" s="191"/>
      <c r="N3383" s="191"/>
      <c r="O3383" s="191"/>
      <c r="P3383" s="191"/>
      <c r="Q3383" s="191"/>
      <c r="R3383" s="191"/>
      <c r="S3383" s="191"/>
      <c r="T3383" s="191"/>
      <c r="U3383" s="439"/>
      <c r="V3383" s="441"/>
      <c r="W3383" s="178"/>
      <c r="X3383" s="172"/>
      <c r="Y3383" s="172"/>
      <c r="Z3383" s="172"/>
      <c r="AA3383" s="195"/>
      <c r="AB3383" s="172"/>
    </row>
    <row r="3384" spans="1:28" ht="12.6" customHeight="1" x14ac:dyDescent="0.3">
      <c r="A3384" s="667"/>
      <c r="B3384" s="668" t="s">
        <v>10778</v>
      </c>
      <c r="C3384" s="160" t="s">
        <v>10779</v>
      </c>
      <c r="D3384" s="160"/>
      <c r="E3384" s="439">
        <v>8</v>
      </c>
      <c r="F3384" s="161">
        <v>322.043991291</v>
      </c>
      <c r="G3384" s="161">
        <v>-8.4380000000000006</v>
      </c>
      <c r="H3384" s="654">
        <v>23.872770641999999</v>
      </c>
      <c r="I3384" s="654">
        <v>46.764330019357303</v>
      </c>
      <c r="J3384" s="191"/>
      <c r="K3384" s="191">
        <v>28.906133227677099</v>
      </c>
      <c r="L3384" s="191"/>
      <c r="M3384" s="191"/>
      <c r="N3384" s="191"/>
      <c r="O3384" s="191"/>
      <c r="P3384" s="191"/>
      <c r="Q3384" s="191"/>
      <c r="R3384" s="191"/>
      <c r="S3384" s="191"/>
      <c r="T3384" s="191"/>
      <c r="U3384" s="439"/>
      <c r="V3384" s="441"/>
      <c r="W3384" s="178"/>
      <c r="X3384" s="172"/>
      <c r="Y3384" s="172"/>
      <c r="Z3384" s="172"/>
      <c r="AA3384" s="195"/>
      <c r="AB3384" s="172"/>
    </row>
    <row r="3385" spans="1:28" ht="12.6" customHeight="1" x14ac:dyDescent="0.3">
      <c r="A3385" s="667"/>
      <c r="B3385" s="668" t="s">
        <v>10780</v>
      </c>
      <c r="C3385" s="160" t="s">
        <v>10781</v>
      </c>
      <c r="D3385" s="160"/>
      <c r="E3385" s="439"/>
      <c r="F3385" s="161">
        <v>238.022861922</v>
      </c>
      <c r="G3385" s="161">
        <v>-66.027000000000001</v>
      </c>
      <c r="H3385" s="654">
        <v>3697.4456903999999</v>
      </c>
      <c r="I3385" s="654">
        <v>65.708115216463398</v>
      </c>
      <c r="J3385" s="191"/>
      <c r="K3385" s="191">
        <v>12754.3990282267</v>
      </c>
      <c r="L3385" s="191"/>
      <c r="M3385" s="191"/>
      <c r="N3385" s="191"/>
      <c r="O3385" s="191"/>
      <c r="P3385" s="191"/>
      <c r="Q3385" s="191"/>
      <c r="R3385" s="191"/>
      <c r="S3385" s="191"/>
      <c r="T3385" s="191"/>
      <c r="U3385" s="439"/>
      <c r="V3385" s="441"/>
      <c r="W3385" s="178"/>
      <c r="X3385" s="172"/>
      <c r="Y3385" s="172"/>
      <c r="Z3385" s="172"/>
      <c r="AA3385" s="195"/>
      <c r="AB3385" s="172"/>
    </row>
    <row r="3386" spans="1:28" ht="12.6" customHeight="1" x14ac:dyDescent="0.3">
      <c r="A3386" s="667"/>
      <c r="B3386" s="668" t="s">
        <v>10782</v>
      </c>
      <c r="C3386" s="160" t="s">
        <v>10783</v>
      </c>
      <c r="D3386" s="160"/>
      <c r="E3386" s="439"/>
      <c r="F3386" s="161">
        <v>210.027947302</v>
      </c>
      <c r="G3386" s="161"/>
      <c r="H3386" s="654"/>
      <c r="I3386" s="654"/>
      <c r="J3386" s="191"/>
      <c r="K3386" s="191">
        <v>8978.0082470179404</v>
      </c>
      <c r="L3386" s="191"/>
      <c r="M3386" s="191"/>
      <c r="N3386" s="191"/>
      <c r="O3386" s="191"/>
      <c r="P3386" s="191"/>
      <c r="Q3386" s="191"/>
      <c r="R3386" s="191"/>
      <c r="S3386" s="191"/>
      <c r="T3386" s="191"/>
      <c r="U3386" s="439"/>
      <c r="V3386" s="441"/>
      <c r="W3386" s="178"/>
      <c r="X3386" s="172"/>
      <c r="Y3386" s="172"/>
      <c r="Z3386" s="172"/>
      <c r="AA3386" s="195"/>
      <c r="AB3386" s="172"/>
    </row>
    <row r="3387" spans="1:28" ht="12.6" customHeight="1" x14ac:dyDescent="0.3">
      <c r="A3387" s="667"/>
      <c r="B3387" s="668" t="s">
        <v>10784</v>
      </c>
      <c r="C3387" s="160" t="s">
        <v>10785</v>
      </c>
      <c r="D3387" s="160"/>
      <c r="E3387" s="439"/>
      <c r="F3387" s="161">
        <v>210.027947302</v>
      </c>
      <c r="G3387" s="161">
        <v>-88.277000000000001</v>
      </c>
      <c r="H3387" s="654">
        <v>42845.157851999997</v>
      </c>
      <c r="I3387" s="654">
        <v>42.586946818531899</v>
      </c>
      <c r="J3387" s="191"/>
      <c r="K3387" s="191">
        <v>8978.0082470179404</v>
      </c>
      <c r="L3387" s="191"/>
      <c r="M3387" s="191"/>
      <c r="N3387" s="191"/>
      <c r="O3387" s="191"/>
      <c r="P3387" s="191"/>
      <c r="Q3387" s="191"/>
      <c r="R3387" s="191"/>
      <c r="S3387" s="191"/>
      <c r="T3387" s="191"/>
      <c r="U3387" s="439"/>
      <c r="V3387" s="441"/>
      <c r="W3387" s="178"/>
      <c r="X3387" s="172"/>
      <c r="Y3387" s="172"/>
      <c r="Z3387" s="172"/>
      <c r="AA3387" s="195"/>
      <c r="AB3387" s="172"/>
    </row>
    <row r="3388" spans="1:28" ht="12.6" customHeight="1" x14ac:dyDescent="0.3">
      <c r="A3388" s="667"/>
      <c r="B3388" s="668" t="s">
        <v>10786</v>
      </c>
      <c r="C3388" s="160" t="s">
        <v>10787</v>
      </c>
      <c r="D3388" s="160"/>
      <c r="E3388" s="439">
        <v>50.488</v>
      </c>
      <c r="F3388" s="161">
        <v>348.09602686400001</v>
      </c>
      <c r="G3388" s="161">
        <v>90.183000000000007</v>
      </c>
      <c r="H3388" s="654">
        <v>0.70129638474</v>
      </c>
      <c r="I3388" s="654">
        <v>2.0592038184372101</v>
      </c>
      <c r="J3388" s="191"/>
      <c r="K3388" s="191">
        <v>140497.95403938601</v>
      </c>
      <c r="L3388" s="191"/>
      <c r="M3388" s="191"/>
      <c r="N3388" s="191"/>
      <c r="O3388" s="191"/>
      <c r="P3388" s="191"/>
      <c r="Q3388" s="191"/>
      <c r="R3388" s="191"/>
      <c r="S3388" s="191"/>
      <c r="T3388" s="191"/>
      <c r="U3388" s="439"/>
      <c r="V3388" s="441"/>
      <c r="W3388" s="178"/>
      <c r="X3388" s="172"/>
      <c r="Y3388" s="172"/>
      <c r="Z3388" s="172"/>
      <c r="AA3388" s="195"/>
      <c r="AB3388" s="172"/>
    </row>
    <row r="3389" spans="1:28" ht="12.6" customHeight="1" x14ac:dyDescent="0.3">
      <c r="A3389" s="667"/>
      <c r="B3389" s="668" t="s">
        <v>10788</v>
      </c>
      <c r="C3389" s="160" t="s">
        <v>10789</v>
      </c>
      <c r="D3389" s="160"/>
      <c r="E3389" s="439"/>
      <c r="F3389" s="161">
        <v>528.05999699999995</v>
      </c>
      <c r="G3389" s="161"/>
      <c r="H3389" s="654"/>
      <c r="I3389" s="654"/>
      <c r="J3389" s="191"/>
      <c r="K3389" s="191">
        <v>121478662.047122</v>
      </c>
      <c r="L3389" s="191"/>
      <c r="M3389" s="191"/>
      <c r="N3389" s="191"/>
      <c r="O3389" s="191"/>
      <c r="P3389" s="191"/>
      <c r="Q3389" s="191"/>
      <c r="R3389" s="191"/>
      <c r="S3389" s="191"/>
      <c r="T3389" s="191"/>
      <c r="U3389" s="439"/>
      <c r="V3389" s="441"/>
      <c r="W3389" s="178"/>
      <c r="X3389" s="172"/>
      <c r="Y3389" s="172"/>
      <c r="Z3389" s="172"/>
      <c r="AA3389" s="195"/>
      <c r="AB3389" s="172"/>
    </row>
    <row r="3390" spans="1:28" ht="12.6" customHeight="1" x14ac:dyDescent="0.3">
      <c r="A3390" s="667"/>
      <c r="B3390" s="668" t="s">
        <v>10790</v>
      </c>
      <c r="C3390" s="160" t="s">
        <v>10791</v>
      </c>
      <c r="D3390" s="160"/>
      <c r="E3390" s="439">
        <v>6.64</v>
      </c>
      <c r="F3390" s="161">
        <v>295.01917352200002</v>
      </c>
      <c r="G3390" s="161">
        <v>58.622999999999998</v>
      </c>
      <c r="H3390" s="654"/>
      <c r="I3390" s="654">
        <v>9.3723756178683608</v>
      </c>
      <c r="J3390" s="191"/>
      <c r="K3390" s="191">
        <v>144.05223472245501</v>
      </c>
      <c r="L3390" s="191"/>
      <c r="M3390" s="191"/>
      <c r="N3390" s="191"/>
      <c r="O3390" s="191"/>
      <c r="P3390" s="191"/>
      <c r="Q3390" s="191"/>
      <c r="R3390" s="191"/>
      <c r="S3390" s="191"/>
      <c r="T3390" s="191"/>
      <c r="U3390" s="439"/>
      <c r="V3390" s="441"/>
      <c r="W3390" s="178"/>
      <c r="X3390" s="172"/>
      <c r="Y3390" s="172"/>
      <c r="Z3390" s="172"/>
      <c r="AA3390" s="195"/>
      <c r="AB3390" s="172"/>
    </row>
    <row r="3391" spans="1:28" ht="12.6" customHeight="1" x14ac:dyDescent="0.3">
      <c r="A3391" s="667"/>
      <c r="B3391" s="668" t="s">
        <v>10792</v>
      </c>
      <c r="C3391" s="160" t="s">
        <v>10793</v>
      </c>
      <c r="D3391" s="160"/>
      <c r="E3391" s="439">
        <v>7.8</v>
      </c>
      <c r="F3391" s="161">
        <v>294.02392455</v>
      </c>
      <c r="G3391" s="161"/>
      <c r="H3391" s="654"/>
      <c r="I3391" s="654"/>
      <c r="J3391" s="191"/>
      <c r="K3391" s="191">
        <v>358.53371405272497</v>
      </c>
      <c r="L3391" s="191"/>
      <c r="M3391" s="191"/>
      <c r="N3391" s="191"/>
      <c r="O3391" s="191"/>
      <c r="P3391" s="191"/>
      <c r="Q3391" s="191"/>
      <c r="R3391" s="191"/>
      <c r="S3391" s="191"/>
      <c r="T3391" s="191"/>
      <c r="U3391" s="439"/>
      <c r="V3391" s="441"/>
      <c r="W3391" s="178"/>
      <c r="X3391" s="172"/>
      <c r="Y3391" s="172"/>
      <c r="Z3391" s="172"/>
      <c r="AA3391" s="195"/>
      <c r="AB3391" s="172"/>
    </row>
    <row r="3392" spans="1:28" ht="12.6" customHeight="1" x14ac:dyDescent="0.3">
      <c r="A3392" s="667"/>
      <c r="B3392" s="668" t="s">
        <v>10794</v>
      </c>
      <c r="C3392" s="160" t="s">
        <v>10795</v>
      </c>
      <c r="D3392" s="160"/>
      <c r="E3392" s="439"/>
      <c r="F3392" s="161">
        <v>396.04411177700001</v>
      </c>
      <c r="G3392" s="161"/>
      <c r="H3392" s="654"/>
      <c r="I3392" s="654"/>
      <c r="J3392" s="191"/>
      <c r="K3392" s="191">
        <v>356385.47874815197</v>
      </c>
      <c r="L3392" s="191"/>
      <c r="M3392" s="191"/>
      <c r="N3392" s="191"/>
      <c r="O3392" s="191"/>
      <c r="P3392" s="191"/>
      <c r="Q3392" s="191"/>
      <c r="R3392" s="191"/>
      <c r="S3392" s="191"/>
      <c r="T3392" s="191"/>
      <c r="U3392" s="439"/>
      <c r="V3392" s="441"/>
      <c r="W3392" s="178"/>
      <c r="X3392" s="172"/>
      <c r="Y3392" s="172"/>
      <c r="Z3392" s="172"/>
      <c r="AA3392" s="195"/>
      <c r="AB3392" s="172"/>
    </row>
    <row r="3393" spans="1:28" ht="12.6" customHeight="1" x14ac:dyDescent="0.3">
      <c r="A3393" s="667"/>
      <c r="B3393" s="668" t="s">
        <v>10796</v>
      </c>
      <c r="C3393" s="160" t="s">
        <v>10797</v>
      </c>
      <c r="D3393" s="160"/>
      <c r="E3393" s="439">
        <v>9.8000000000000007</v>
      </c>
      <c r="F3393" s="161">
        <v>400.02451428799998</v>
      </c>
      <c r="G3393" s="161">
        <v>-20.792999999999999</v>
      </c>
      <c r="H3393" s="654"/>
      <c r="I3393" s="654">
        <v>0.552185839032869</v>
      </c>
      <c r="J3393" s="191"/>
      <c r="K3393" s="191">
        <v>34807.273038952197</v>
      </c>
      <c r="L3393" s="191"/>
      <c r="M3393" s="191"/>
      <c r="N3393" s="191"/>
      <c r="O3393" s="191"/>
      <c r="P3393" s="191"/>
      <c r="Q3393" s="191"/>
      <c r="R3393" s="191"/>
      <c r="S3393" s="191"/>
      <c r="T3393" s="191"/>
      <c r="U3393" s="439"/>
      <c r="V3393" s="441"/>
      <c r="W3393" s="178"/>
      <c r="X3393" s="172"/>
      <c r="Y3393" s="172"/>
      <c r="Z3393" s="172"/>
      <c r="AA3393" s="195"/>
      <c r="AB3393" s="172"/>
    </row>
    <row r="3394" spans="1:28" ht="12.6" customHeight="1" x14ac:dyDescent="0.3">
      <c r="A3394" s="667"/>
      <c r="B3394" s="668" t="s">
        <v>10798</v>
      </c>
      <c r="C3394" s="160" t="s">
        <v>10799</v>
      </c>
      <c r="D3394" s="160"/>
      <c r="E3394" s="439">
        <v>9.56</v>
      </c>
      <c r="F3394" s="161">
        <v>350.02770796200002</v>
      </c>
      <c r="G3394" s="161">
        <v>-11.009</v>
      </c>
      <c r="H3394" s="654"/>
      <c r="I3394" s="654">
        <v>3.397053908542</v>
      </c>
      <c r="J3394" s="191"/>
      <c r="K3394" s="191">
        <v>2751.3129986128401</v>
      </c>
      <c r="L3394" s="191"/>
      <c r="M3394" s="191"/>
      <c r="N3394" s="191"/>
      <c r="O3394" s="191"/>
      <c r="P3394" s="191"/>
      <c r="Q3394" s="191"/>
      <c r="R3394" s="191"/>
      <c r="S3394" s="191"/>
      <c r="T3394" s="191"/>
      <c r="U3394" s="439"/>
      <c r="V3394" s="441"/>
      <c r="W3394" s="178"/>
      <c r="X3394" s="172"/>
      <c r="Y3394" s="172"/>
      <c r="Z3394" s="172"/>
      <c r="AA3394" s="195"/>
      <c r="AB3394" s="172"/>
    </row>
    <row r="3395" spans="1:28" ht="12.6" customHeight="1" x14ac:dyDescent="0.3">
      <c r="A3395" s="667"/>
      <c r="B3395" s="668" t="s">
        <v>10800</v>
      </c>
      <c r="C3395" s="160" t="s">
        <v>10801</v>
      </c>
      <c r="D3395" s="160"/>
      <c r="E3395" s="439">
        <v>10.17</v>
      </c>
      <c r="F3395" s="161">
        <v>250.03409531</v>
      </c>
      <c r="G3395" s="161">
        <v>90.224999999999994</v>
      </c>
      <c r="H3395" s="654"/>
      <c r="I3395" s="654">
        <v>14.996820006008001</v>
      </c>
      <c r="J3395" s="191"/>
      <c r="K3395" s="191">
        <v>1139.3312249907699</v>
      </c>
      <c r="L3395" s="191"/>
      <c r="M3395" s="191"/>
      <c r="N3395" s="191"/>
      <c r="O3395" s="191"/>
      <c r="P3395" s="191"/>
      <c r="Q3395" s="191"/>
      <c r="R3395" s="191"/>
      <c r="S3395" s="191"/>
      <c r="T3395" s="191"/>
      <c r="U3395" s="439"/>
      <c r="V3395" s="441"/>
      <c r="W3395" s="178"/>
      <c r="X3395" s="172"/>
      <c r="Y3395" s="172"/>
      <c r="Z3395" s="172"/>
      <c r="AA3395" s="195"/>
      <c r="AB3395" s="172"/>
    </row>
    <row r="3396" spans="1:28" ht="12.6" customHeight="1" x14ac:dyDescent="0.3">
      <c r="A3396" s="667"/>
      <c r="B3396" s="668" t="s">
        <v>10802</v>
      </c>
      <c r="C3396" s="160" t="s">
        <v>10803</v>
      </c>
      <c r="D3396" s="160"/>
      <c r="E3396" s="439"/>
      <c r="F3396" s="161">
        <v>338.03531831200002</v>
      </c>
      <c r="G3396" s="161">
        <v>5.266</v>
      </c>
      <c r="H3396" s="654">
        <v>3.3489019858</v>
      </c>
      <c r="I3396" s="654">
        <v>0.59835969729725402</v>
      </c>
      <c r="J3396" s="191"/>
      <c r="K3396" s="191">
        <v>3397504.1821604799</v>
      </c>
      <c r="L3396" s="191"/>
      <c r="M3396" s="191"/>
      <c r="N3396" s="191"/>
      <c r="O3396" s="191"/>
      <c r="P3396" s="191"/>
      <c r="Q3396" s="191"/>
      <c r="R3396" s="191"/>
      <c r="S3396" s="191"/>
      <c r="T3396" s="191"/>
      <c r="U3396" s="439"/>
      <c r="V3396" s="441"/>
      <c r="W3396" s="178"/>
      <c r="X3396" s="172"/>
      <c r="Y3396" s="172"/>
      <c r="Z3396" s="172"/>
      <c r="AA3396" s="195"/>
      <c r="AB3396" s="172"/>
    </row>
    <row r="3397" spans="1:28" ht="12.6" customHeight="1" x14ac:dyDescent="0.3">
      <c r="A3397" s="667"/>
      <c r="B3397" s="668" t="s">
        <v>10804</v>
      </c>
      <c r="C3397" s="160" t="s">
        <v>10805</v>
      </c>
      <c r="D3397" s="160"/>
      <c r="E3397" s="439"/>
      <c r="F3397" s="161">
        <v>288.038511986</v>
      </c>
      <c r="G3397" s="161">
        <v>10.044</v>
      </c>
      <c r="H3397" s="654">
        <v>4.0728804423999998</v>
      </c>
      <c r="I3397" s="654">
        <v>3.0230793986978601</v>
      </c>
      <c r="J3397" s="191"/>
      <c r="K3397" s="191">
        <v>738142.14069294196</v>
      </c>
      <c r="L3397" s="191"/>
      <c r="M3397" s="191"/>
      <c r="N3397" s="191"/>
      <c r="O3397" s="191"/>
      <c r="P3397" s="191"/>
      <c r="Q3397" s="191"/>
      <c r="R3397" s="191"/>
      <c r="S3397" s="191"/>
      <c r="T3397" s="191"/>
      <c r="U3397" s="439"/>
      <c r="V3397" s="441"/>
      <c r="W3397" s="178"/>
      <c r="X3397" s="172"/>
      <c r="Y3397" s="172"/>
      <c r="Z3397" s="172"/>
      <c r="AA3397" s="195"/>
      <c r="AB3397" s="172"/>
    </row>
    <row r="3398" spans="1:28" ht="12.6" customHeight="1" x14ac:dyDescent="0.3">
      <c r="A3398" s="667"/>
      <c r="B3398" s="668" t="s">
        <v>10806</v>
      </c>
      <c r="C3398" s="160" t="s">
        <v>10807</v>
      </c>
      <c r="D3398" s="160"/>
      <c r="E3398" s="439">
        <v>4.3099999999999996</v>
      </c>
      <c r="F3398" s="161">
        <v>260.04359736599997</v>
      </c>
      <c r="G3398" s="161">
        <v>-78.653999999999996</v>
      </c>
      <c r="H3398" s="654">
        <v>61.080407723999997</v>
      </c>
      <c r="I3398" s="654">
        <v>5.9298781681758399</v>
      </c>
      <c r="J3398" s="191"/>
      <c r="K3398" s="191">
        <v>66052.612588124306</v>
      </c>
      <c r="L3398" s="191"/>
      <c r="M3398" s="191"/>
      <c r="N3398" s="191"/>
      <c r="O3398" s="191"/>
      <c r="P3398" s="191"/>
      <c r="Q3398" s="191"/>
      <c r="R3398" s="191"/>
      <c r="S3398" s="191"/>
      <c r="T3398" s="191"/>
      <c r="U3398" s="439"/>
      <c r="V3398" s="441"/>
      <c r="W3398" s="178"/>
      <c r="X3398" s="172"/>
      <c r="Y3398" s="172"/>
      <c r="Z3398" s="172"/>
      <c r="AA3398" s="195"/>
      <c r="AB3398" s="172"/>
    </row>
    <row r="3399" spans="1:28" ht="12.6" customHeight="1" x14ac:dyDescent="0.3">
      <c r="A3399" s="667"/>
      <c r="B3399" s="668" t="s">
        <v>10808</v>
      </c>
      <c r="C3399" s="160" t="s">
        <v>10809</v>
      </c>
      <c r="D3399" s="160"/>
      <c r="E3399" s="439"/>
      <c r="F3399" s="161">
        <v>310.04040369199998</v>
      </c>
      <c r="G3399" s="161">
        <v>-6.9039999999999999</v>
      </c>
      <c r="H3399" s="654">
        <v>19.948170928</v>
      </c>
      <c r="I3399" s="654">
        <v>2.0203100817700999</v>
      </c>
      <c r="J3399" s="191"/>
      <c r="K3399" s="191">
        <v>9250602.0815008003</v>
      </c>
      <c r="L3399" s="191"/>
      <c r="M3399" s="191"/>
      <c r="N3399" s="191"/>
      <c r="O3399" s="191"/>
      <c r="P3399" s="191"/>
      <c r="Q3399" s="191"/>
      <c r="R3399" s="191"/>
      <c r="S3399" s="191"/>
      <c r="T3399" s="191"/>
      <c r="U3399" s="439"/>
      <c r="V3399" s="441"/>
      <c r="W3399" s="178"/>
      <c r="X3399" s="172"/>
      <c r="Y3399" s="172"/>
      <c r="Z3399" s="172"/>
      <c r="AA3399" s="195"/>
      <c r="AB3399" s="172"/>
    </row>
    <row r="3400" spans="1:28" ht="12.6" customHeight="1" x14ac:dyDescent="0.3">
      <c r="A3400" s="667"/>
      <c r="B3400" s="668" t="s">
        <v>10810</v>
      </c>
      <c r="C3400" s="160" t="s">
        <v>10811</v>
      </c>
      <c r="D3400" s="160"/>
      <c r="E3400" s="439"/>
      <c r="F3400" s="161">
        <v>401.02737360999998</v>
      </c>
      <c r="G3400" s="161">
        <v>-16.789000000000001</v>
      </c>
      <c r="H3400" s="654">
        <v>0.14417841045999999</v>
      </c>
      <c r="I3400" s="654">
        <v>0.18585493321743299</v>
      </c>
      <c r="J3400" s="191"/>
      <c r="K3400" s="191">
        <v>57864.206239042796</v>
      </c>
      <c r="L3400" s="191"/>
      <c r="M3400" s="191"/>
      <c r="N3400" s="191"/>
      <c r="O3400" s="191"/>
      <c r="P3400" s="191"/>
      <c r="Q3400" s="191"/>
      <c r="R3400" s="191"/>
      <c r="S3400" s="191"/>
      <c r="T3400" s="191"/>
      <c r="U3400" s="439"/>
      <c r="V3400" s="441"/>
      <c r="W3400" s="178"/>
      <c r="X3400" s="172"/>
      <c r="Y3400" s="172"/>
      <c r="Z3400" s="172"/>
      <c r="AA3400" s="195"/>
      <c r="AB3400" s="172"/>
    </row>
    <row r="3401" spans="1:28" ht="12.6" customHeight="1" x14ac:dyDescent="0.3">
      <c r="A3401" s="667"/>
      <c r="B3401" s="668" t="s">
        <v>10812</v>
      </c>
      <c r="C3401" s="160" t="s">
        <v>10813</v>
      </c>
      <c r="D3401" s="160"/>
      <c r="E3401" s="439">
        <v>3.8370000000000002</v>
      </c>
      <c r="F3401" s="161">
        <v>298.043991291</v>
      </c>
      <c r="G3401" s="161">
        <v>5.0780000000000003</v>
      </c>
      <c r="H3401" s="654">
        <v>12.047629197799999</v>
      </c>
      <c r="I3401" s="654">
        <v>36.921689641128999</v>
      </c>
      <c r="J3401" s="191"/>
      <c r="K3401" s="191">
        <v>442.27256489749101</v>
      </c>
      <c r="L3401" s="191"/>
      <c r="M3401" s="191"/>
      <c r="N3401" s="191"/>
      <c r="O3401" s="191"/>
      <c r="P3401" s="191"/>
      <c r="Q3401" s="191"/>
      <c r="R3401" s="191"/>
      <c r="S3401" s="191"/>
      <c r="T3401" s="191"/>
      <c r="U3401" s="439"/>
      <c r="V3401" s="441"/>
      <c r="W3401" s="178"/>
      <c r="X3401" s="172"/>
      <c r="Y3401" s="172"/>
      <c r="Z3401" s="172"/>
      <c r="AA3401" s="195"/>
      <c r="AB3401" s="172"/>
    </row>
    <row r="3402" spans="1:28" ht="12.6" customHeight="1" x14ac:dyDescent="0.3">
      <c r="A3402" s="667"/>
      <c r="B3402" s="668" t="s">
        <v>10814</v>
      </c>
      <c r="C3402" s="160" t="s">
        <v>10815</v>
      </c>
      <c r="D3402" s="160"/>
      <c r="E3402" s="439">
        <v>2.46</v>
      </c>
      <c r="F3402" s="161">
        <v>424.05792727800002</v>
      </c>
      <c r="G3402" s="161"/>
      <c r="H3402" s="654"/>
      <c r="I3402" s="654"/>
      <c r="J3402" s="191"/>
      <c r="K3402" s="191">
        <v>151837.834062448</v>
      </c>
      <c r="L3402" s="191"/>
      <c r="M3402" s="191"/>
      <c r="N3402" s="191"/>
      <c r="O3402" s="191"/>
      <c r="P3402" s="191"/>
      <c r="Q3402" s="191"/>
      <c r="R3402" s="191"/>
      <c r="S3402" s="191"/>
      <c r="T3402" s="191"/>
      <c r="U3402" s="439"/>
      <c r="V3402" s="441"/>
      <c r="W3402" s="178"/>
      <c r="X3402" s="172"/>
      <c r="Y3402" s="172"/>
      <c r="Z3402" s="172"/>
      <c r="AA3402" s="195"/>
      <c r="AB3402" s="172"/>
    </row>
    <row r="3403" spans="1:28" ht="12.6" customHeight="1" x14ac:dyDescent="0.3">
      <c r="A3403" s="667"/>
      <c r="B3403" s="668" t="s">
        <v>10816</v>
      </c>
      <c r="C3403" s="160" t="s">
        <v>10817</v>
      </c>
      <c r="D3403" s="160"/>
      <c r="E3403" s="439">
        <v>2.9</v>
      </c>
      <c r="F3403" s="161">
        <v>408.06301265799999</v>
      </c>
      <c r="G3403" s="161"/>
      <c r="H3403" s="654"/>
      <c r="I3403" s="654"/>
      <c r="J3403" s="191"/>
      <c r="K3403" s="191">
        <v>238627.23002496999</v>
      </c>
      <c r="L3403" s="191"/>
      <c r="M3403" s="191"/>
      <c r="N3403" s="191"/>
      <c r="O3403" s="191"/>
      <c r="P3403" s="191"/>
      <c r="Q3403" s="191"/>
      <c r="R3403" s="191"/>
      <c r="S3403" s="191"/>
      <c r="T3403" s="191"/>
      <c r="U3403" s="439"/>
      <c r="V3403" s="441"/>
      <c r="W3403" s="178"/>
      <c r="X3403" s="172"/>
      <c r="Y3403" s="172"/>
      <c r="Z3403" s="172"/>
      <c r="AA3403" s="195"/>
      <c r="AB3403" s="172"/>
    </row>
    <row r="3404" spans="1:28" ht="12.6" customHeight="1" x14ac:dyDescent="0.3">
      <c r="A3404" s="667"/>
      <c r="B3404" s="668" t="s">
        <v>10818</v>
      </c>
      <c r="C3404" s="160" t="s">
        <v>10819</v>
      </c>
      <c r="D3404" s="160"/>
      <c r="E3404" s="439">
        <v>0.3</v>
      </c>
      <c r="F3404" s="161">
        <v>382.01097708499998</v>
      </c>
      <c r="G3404" s="161"/>
      <c r="H3404" s="654"/>
      <c r="I3404" s="654"/>
      <c r="J3404" s="191"/>
      <c r="K3404" s="191">
        <v>44516.396300617998</v>
      </c>
      <c r="L3404" s="191"/>
      <c r="M3404" s="191"/>
      <c r="N3404" s="191"/>
      <c r="O3404" s="191"/>
      <c r="P3404" s="191"/>
      <c r="Q3404" s="191"/>
      <c r="R3404" s="191"/>
      <c r="S3404" s="191"/>
      <c r="T3404" s="191"/>
      <c r="U3404" s="439"/>
      <c r="V3404" s="441"/>
      <c r="W3404" s="178"/>
      <c r="X3404" s="172"/>
      <c r="Y3404" s="172"/>
      <c r="Z3404" s="172"/>
      <c r="AA3404" s="195"/>
      <c r="AB3404" s="172"/>
    </row>
    <row r="3405" spans="1:28" ht="12.6" customHeight="1" x14ac:dyDescent="0.3">
      <c r="A3405" s="667"/>
      <c r="B3405" s="668" t="s">
        <v>10820</v>
      </c>
      <c r="C3405" s="160" t="s">
        <v>10821</v>
      </c>
      <c r="D3405" s="160"/>
      <c r="E3405" s="439">
        <v>0.73</v>
      </c>
      <c r="F3405" s="161">
        <v>366.016062465</v>
      </c>
      <c r="G3405" s="161"/>
      <c r="H3405" s="654"/>
      <c r="I3405" s="654"/>
      <c r="J3405" s="191"/>
      <c r="K3405" s="191">
        <v>48729.280616454002</v>
      </c>
      <c r="L3405" s="191"/>
      <c r="M3405" s="191"/>
      <c r="N3405" s="191"/>
      <c r="O3405" s="191"/>
      <c r="P3405" s="191"/>
      <c r="Q3405" s="191"/>
      <c r="R3405" s="191"/>
      <c r="S3405" s="191"/>
      <c r="T3405" s="191"/>
      <c r="U3405" s="439"/>
      <c r="V3405" s="441"/>
      <c r="W3405" s="178"/>
      <c r="X3405" s="172"/>
      <c r="Y3405" s="172"/>
      <c r="Z3405" s="172"/>
      <c r="AA3405" s="195"/>
      <c r="AB3405" s="172"/>
    </row>
    <row r="3406" spans="1:28" ht="12.6" customHeight="1" x14ac:dyDescent="0.3">
      <c r="A3406" s="667"/>
      <c r="B3406" s="668" t="s">
        <v>10822</v>
      </c>
      <c r="C3406" s="160" t="s">
        <v>10823</v>
      </c>
      <c r="D3406" s="160"/>
      <c r="E3406" s="439">
        <v>4.6900000000000004</v>
      </c>
      <c r="F3406" s="161">
        <v>392.06809803800002</v>
      </c>
      <c r="G3406" s="161"/>
      <c r="H3406" s="654"/>
      <c r="I3406" s="654"/>
      <c r="J3406" s="191"/>
      <c r="K3406" s="191">
        <v>1228824.89151397</v>
      </c>
      <c r="L3406" s="191"/>
      <c r="M3406" s="191"/>
      <c r="N3406" s="191"/>
      <c r="O3406" s="191"/>
      <c r="P3406" s="191"/>
      <c r="Q3406" s="191"/>
      <c r="R3406" s="191"/>
      <c r="S3406" s="191"/>
      <c r="T3406" s="191"/>
      <c r="U3406" s="439"/>
      <c r="V3406" s="441"/>
      <c r="W3406" s="178"/>
      <c r="X3406" s="172"/>
      <c r="Y3406" s="172"/>
      <c r="Z3406" s="172"/>
      <c r="AA3406" s="195"/>
      <c r="AB3406" s="172"/>
    </row>
    <row r="3407" spans="1:28" ht="12.6" customHeight="1" x14ac:dyDescent="0.3">
      <c r="A3407" s="667"/>
      <c r="B3407" s="668" t="s">
        <v>10824</v>
      </c>
      <c r="C3407" s="160" t="s">
        <v>10825</v>
      </c>
      <c r="D3407" s="160"/>
      <c r="E3407" s="439">
        <v>15</v>
      </c>
      <c r="F3407" s="161">
        <v>349.05130272899999</v>
      </c>
      <c r="G3407" s="161"/>
      <c r="H3407" s="654"/>
      <c r="I3407" s="654"/>
      <c r="J3407" s="191"/>
      <c r="K3407" s="191">
        <v>140220.012018498</v>
      </c>
      <c r="L3407" s="191"/>
      <c r="M3407" s="191"/>
      <c r="N3407" s="191"/>
      <c r="O3407" s="191"/>
      <c r="P3407" s="191"/>
      <c r="Q3407" s="191"/>
      <c r="R3407" s="191"/>
      <c r="S3407" s="191"/>
      <c r="T3407" s="191"/>
      <c r="U3407" s="439"/>
      <c r="V3407" s="441"/>
      <c r="W3407" s="178"/>
      <c r="X3407" s="172"/>
      <c r="Y3407" s="172"/>
      <c r="Z3407" s="172"/>
      <c r="AA3407" s="195"/>
      <c r="AB3407" s="172"/>
    </row>
    <row r="3408" spans="1:28" ht="12.6" customHeight="1" x14ac:dyDescent="0.3">
      <c r="A3408" s="667"/>
      <c r="B3408" s="668" t="s">
        <v>10826</v>
      </c>
      <c r="C3408" s="160" t="s">
        <v>10827</v>
      </c>
      <c r="D3408" s="160"/>
      <c r="E3408" s="439">
        <v>12</v>
      </c>
      <c r="F3408" s="161">
        <v>299.05449640299997</v>
      </c>
      <c r="G3408" s="161"/>
      <c r="H3408" s="654"/>
      <c r="I3408" s="654"/>
      <c r="J3408" s="191"/>
      <c r="K3408" s="191">
        <v>66585.551320048195</v>
      </c>
      <c r="L3408" s="191"/>
      <c r="M3408" s="191"/>
      <c r="N3408" s="191"/>
      <c r="O3408" s="191"/>
      <c r="P3408" s="191"/>
      <c r="Q3408" s="191"/>
      <c r="R3408" s="191"/>
      <c r="S3408" s="191"/>
      <c r="T3408" s="191"/>
      <c r="U3408" s="439"/>
      <c r="V3408" s="441"/>
      <c r="W3408" s="178"/>
      <c r="X3408" s="172"/>
      <c r="Y3408" s="172"/>
      <c r="Z3408" s="172"/>
      <c r="AA3408" s="195"/>
      <c r="AB3408" s="172"/>
    </row>
    <row r="3409" spans="1:28" ht="12.6" customHeight="1" x14ac:dyDescent="0.3">
      <c r="A3409" s="667"/>
      <c r="B3409" s="668" t="s">
        <v>10828</v>
      </c>
      <c r="C3409" s="160" t="s">
        <v>10829</v>
      </c>
      <c r="D3409" s="160"/>
      <c r="E3409" s="439">
        <v>2.52</v>
      </c>
      <c r="F3409" s="161">
        <v>426.04976262899999</v>
      </c>
      <c r="G3409" s="161"/>
      <c r="H3409" s="654"/>
      <c r="I3409" s="654"/>
      <c r="J3409" s="191"/>
      <c r="K3409" s="191">
        <v>283.791902844155</v>
      </c>
      <c r="L3409" s="191"/>
      <c r="M3409" s="191"/>
      <c r="N3409" s="191"/>
      <c r="O3409" s="191"/>
      <c r="P3409" s="191"/>
      <c r="Q3409" s="191"/>
      <c r="R3409" s="191"/>
      <c r="S3409" s="191"/>
      <c r="T3409" s="191"/>
      <c r="U3409" s="439"/>
      <c r="V3409" s="441"/>
      <c r="W3409" s="178"/>
      <c r="X3409" s="172"/>
      <c r="Y3409" s="172"/>
      <c r="Z3409" s="172"/>
      <c r="AA3409" s="195"/>
      <c r="AB3409" s="172"/>
    </row>
    <row r="3410" spans="1:28" ht="12.6" customHeight="1" x14ac:dyDescent="0.3">
      <c r="A3410" s="667"/>
      <c r="B3410" s="668" t="s">
        <v>10830</v>
      </c>
      <c r="C3410" s="160" t="s">
        <v>10831</v>
      </c>
      <c r="D3410" s="160"/>
      <c r="E3410" s="439">
        <v>9</v>
      </c>
      <c r="F3410" s="161">
        <v>352.96500900000001</v>
      </c>
      <c r="G3410" s="161"/>
      <c r="H3410" s="654"/>
      <c r="I3410" s="654"/>
      <c r="J3410" s="191"/>
      <c r="K3410" s="191">
        <v>27937.658217865599</v>
      </c>
      <c r="L3410" s="191"/>
      <c r="M3410" s="191"/>
      <c r="N3410" s="191"/>
      <c r="O3410" s="191"/>
      <c r="P3410" s="191"/>
      <c r="Q3410" s="191"/>
      <c r="R3410" s="191"/>
      <c r="S3410" s="191"/>
      <c r="T3410" s="191"/>
      <c r="U3410" s="439"/>
      <c r="V3410" s="441"/>
      <c r="W3410" s="178"/>
      <c r="X3410" s="172"/>
      <c r="Y3410" s="172"/>
      <c r="Z3410" s="172"/>
      <c r="AA3410" s="195"/>
      <c r="AB3410" s="172"/>
    </row>
    <row r="3411" spans="1:28" ht="12.6" customHeight="1" x14ac:dyDescent="0.3">
      <c r="A3411" s="667"/>
      <c r="B3411" s="668" t="s">
        <v>10832</v>
      </c>
      <c r="C3411" s="160" t="s">
        <v>10833</v>
      </c>
      <c r="D3411" s="160"/>
      <c r="E3411" s="439"/>
      <c r="F3411" s="161">
        <v>351.96976000000001</v>
      </c>
      <c r="G3411" s="161"/>
      <c r="H3411" s="654"/>
      <c r="I3411" s="654"/>
      <c r="J3411" s="191"/>
      <c r="K3411" s="191">
        <v>2735331.7089217599</v>
      </c>
      <c r="L3411" s="191"/>
      <c r="M3411" s="191"/>
      <c r="N3411" s="191"/>
      <c r="O3411" s="191"/>
      <c r="P3411" s="191"/>
      <c r="Q3411" s="191"/>
      <c r="R3411" s="191"/>
      <c r="S3411" s="191"/>
      <c r="T3411" s="191"/>
      <c r="U3411" s="439"/>
      <c r="V3411" s="441"/>
      <c r="W3411" s="178"/>
      <c r="X3411" s="172"/>
      <c r="Y3411" s="172"/>
      <c r="Z3411" s="172"/>
      <c r="AA3411" s="195"/>
      <c r="AB3411" s="172"/>
    </row>
    <row r="3412" spans="1:28" ht="12.6" customHeight="1" x14ac:dyDescent="0.3">
      <c r="A3412" s="667"/>
      <c r="B3412" s="668" t="s">
        <v>10834</v>
      </c>
      <c r="C3412" s="160" t="s">
        <v>10835</v>
      </c>
      <c r="D3412" s="160"/>
      <c r="E3412" s="439"/>
      <c r="F3412" s="161">
        <v>302.05416205099999</v>
      </c>
      <c r="G3412" s="161"/>
      <c r="H3412" s="654"/>
      <c r="I3412" s="654"/>
      <c r="J3412" s="191"/>
      <c r="K3412" s="191">
        <v>251339.067812555</v>
      </c>
      <c r="L3412" s="191"/>
      <c r="M3412" s="191"/>
      <c r="N3412" s="191"/>
      <c r="O3412" s="191"/>
      <c r="P3412" s="191"/>
      <c r="Q3412" s="191"/>
      <c r="R3412" s="191"/>
      <c r="S3412" s="191"/>
      <c r="T3412" s="191"/>
      <c r="U3412" s="439"/>
      <c r="V3412" s="441"/>
      <c r="W3412" s="178"/>
      <c r="X3412" s="172"/>
      <c r="Y3412" s="172"/>
      <c r="Z3412" s="172"/>
      <c r="AA3412" s="195"/>
      <c r="AB3412" s="172"/>
    </row>
    <row r="3413" spans="1:28" ht="12.6" customHeight="1" x14ac:dyDescent="0.3">
      <c r="A3413" s="667"/>
      <c r="B3413" s="668" t="s">
        <v>10836</v>
      </c>
      <c r="C3413" s="160" t="s">
        <v>10837</v>
      </c>
      <c r="D3413" s="160"/>
      <c r="E3413" s="439">
        <v>9</v>
      </c>
      <c r="F3413" s="161">
        <v>289.07014646699997</v>
      </c>
      <c r="G3413" s="161"/>
      <c r="H3413" s="654"/>
      <c r="I3413" s="654"/>
      <c r="J3413" s="191"/>
      <c r="K3413" s="191">
        <v>36859.547553211902</v>
      </c>
      <c r="L3413" s="191"/>
      <c r="M3413" s="191"/>
      <c r="N3413" s="191"/>
      <c r="O3413" s="191"/>
      <c r="P3413" s="191"/>
      <c r="Q3413" s="191"/>
      <c r="R3413" s="191"/>
      <c r="S3413" s="191"/>
      <c r="T3413" s="191"/>
      <c r="U3413" s="439"/>
      <c r="V3413" s="441"/>
      <c r="W3413" s="178"/>
      <c r="X3413" s="172"/>
      <c r="Y3413" s="172"/>
      <c r="Z3413" s="172"/>
      <c r="AA3413" s="195"/>
      <c r="AB3413" s="172"/>
    </row>
    <row r="3414" spans="1:28" ht="12.6" customHeight="1" x14ac:dyDescent="0.3">
      <c r="A3414" s="667"/>
      <c r="B3414" s="668" t="s">
        <v>10838</v>
      </c>
      <c r="C3414" s="160" t="s">
        <v>10839</v>
      </c>
      <c r="D3414" s="160"/>
      <c r="E3414" s="439">
        <v>8.32</v>
      </c>
      <c r="F3414" s="161">
        <v>548.11463126199999</v>
      </c>
      <c r="G3414" s="161"/>
      <c r="H3414" s="654"/>
      <c r="I3414" s="654"/>
      <c r="J3414" s="191"/>
      <c r="K3414" s="191">
        <v>8121570.1523076696</v>
      </c>
      <c r="L3414" s="191"/>
      <c r="M3414" s="191"/>
      <c r="N3414" s="191"/>
      <c r="O3414" s="191"/>
      <c r="P3414" s="191"/>
      <c r="Q3414" s="191"/>
      <c r="R3414" s="191"/>
      <c r="S3414" s="191"/>
      <c r="T3414" s="191"/>
      <c r="U3414" s="439"/>
      <c r="V3414" s="441"/>
      <c r="W3414" s="178"/>
      <c r="X3414" s="172"/>
      <c r="Y3414" s="172"/>
      <c r="Z3414" s="172"/>
      <c r="AA3414" s="195"/>
      <c r="AB3414" s="172"/>
    </row>
    <row r="3415" spans="1:28" ht="12.6" customHeight="1" x14ac:dyDescent="0.3">
      <c r="A3415" s="667"/>
      <c r="B3415" s="668" t="s">
        <v>10840</v>
      </c>
      <c r="C3415" s="160" t="s">
        <v>10841</v>
      </c>
      <c r="D3415" s="160"/>
      <c r="E3415" s="439">
        <v>7.77</v>
      </c>
      <c r="F3415" s="161">
        <v>667.95450100000005</v>
      </c>
      <c r="G3415" s="161"/>
      <c r="H3415" s="654"/>
      <c r="I3415" s="654"/>
      <c r="J3415" s="191"/>
      <c r="K3415" s="191">
        <v>30709305.8637117</v>
      </c>
      <c r="L3415" s="191"/>
      <c r="M3415" s="191"/>
      <c r="N3415" s="191"/>
      <c r="O3415" s="191"/>
      <c r="P3415" s="191"/>
      <c r="Q3415" s="191"/>
      <c r="R3415" s="191"/>
      <c r="S3415" s="191"/>
      <c r="T3415" s="191"/>
      <c r="U3415" s="439"/>
      <c r="V3415" s="441"/>
      <c r="W3415" s="178"/>
      <c r="X3415" s="172"/>
      <c r="Y3415" s="172"/>
      <c r="Z3415" s="172"/>
      <c r="AA3415" s="195"/>
      <c r="AB3415" s="172"/>
    </row>
    <row r="3416" spans="1:28" ht="12.6" customHeight="1" x14ac:dyDescent="0.3">
      <c r="A3416" s="667"/>
      <c r="B3416" s="668" t="s">
        <v>10842</v>
      </c>
      <c r="C3416" s="160" t="s">
        <v>10843</v>
      </c>
      <c r="D3416" s="160"/>
      <c r="E3416" s="439">
        <v>8.17</v>
      </c>
      <c r="F3416" s="161">
        <v>566.105209393</v>
      </c>
      <c r="G3416" s="161"/>
      <c r="H3416" s="654"/>
      <c r="I3416" s="654"/>
      <c r="J3416" s="191"/>
      <c r="K3416" s="191">
        <v>5863946.50885206</v>
      </c>
      <c r="L3416" s="191"/>
      <c r="M3416" s="191"/>
      <c r="N3416" s="191"/>
      <c r="O3416" s="191"/>
      <c r="P3416" s="191"/>
      <c r="Q3416" s="191"/>
      <c r="R3416" s="191"/>
      <c r="S3416" s="191"/>
      <c r="T3416" s="191"/>
      <c r="U3416" s="439"/>
      <c r="V3416" s="441"/>
      <c r="W3416" s="178"/>
      <c r="X3416" s="172"/>
      <c r="Y3416" s="172"/>
      <c r="Z3416" s="172"/>
      <c r="AA3416" s="195"/>
      <c r="AB3416" s="172"/>
    </row>
    <row r="3417" spans="1:28" ht="12.6" customHeight="1" x14ac:dyDescent="0.3">
      <c r="A3417" s="667"/>
      <c r="B3417" s="668" t="s">
        <v>10844</v>
      </c>
      <c r="C3417" s="160" t="s">
        <v>10845</v>
      </c>
      <c r="D3417" s="160"/>
      <c r="E3417" s="439">
        <v>7.98</v>
      </c>
      <c r="F3417" s="161">
        <v>602.08636565500001</v>
      </c>
      <c r="G3417" s="161"/>
      <c r="H3417" s="654"/>
      <c r="I3417" s="654"/>
      <c r="J3417" s="191"/>
      <c r="K3417" s="191">
        <v>5910850.8387819398</v>
      </c>
      <c r="L3417" s="191"/>
      <c r="M3417" s="191"/>
      <c r="N3417" s="191"/>
      <c r="O3417" s="191"/>
      <c r="P3417" s="191"/>
      <c r="Q3417" s="191"/>
      <c r="R3417" s="191"/>
      <c r="S3417" s="191"/>
      <c r="T3417" s="191"/>
      <c r="U3417" s="439"/>
      <c r="V3417" s="441"/>
      <c r="W3417" s="178"/>
      <c r="X3417" s="172"/>
      <c r="Y3417" s="172"/>
      <c r="Z3417" s="172"/>
      <c r="AA3417" s="195"/>
      <c r="AB3417" s="172"/>
    </row>
    <row r="3418" spans="1:28" ht="12.6" customHeight="1" x14ac:dyDescent="0.3">
      <c r="A3418" s="667"/>
      <c r="B3418" s="668" t="s">
        <v>10846</v>
      </c>
      <c r="C3418" s="160" t="s">
        <v>10847</v>
      </c>
      <c r="D3418" s="160"/>
      <c r="E3418" s="439">
        <v>7.99</v>
      </c>
      <c r="F3418" s="161">
        <v>566.105209393</v>
      </c>
      <c r="G3418" s="161"/>
      <c r="H3418" s="654"/>
      <c r="I3418" s="654"/>
      <c r="J3418" s="191"/>
      <c r="K3418" s="191">
        <v>5824518.1107687997</v>
      </c>
      <c r="L3418" s="191"/>
      <c r="M3418" s="191"/>
      <c r="N3418" s="191"/>
      <c r="O3418" s="191"/>
      <c r="P3418" s="191"/>
      <c r="Q3418" s="191"/>
      <c r="R3418" s="191"/>
      <c r="S3418" s="191"/>
      <c r="T3418" s="191"/>
      <c r="U3418" s="439"/>
      <c r="V3418" s="441"/>
      <c r="W3418" s="178"/>
      <c r="X3418" s="172"/>
      <c r="Y3418" s="172"/>
      <c r="Z3418" s="172"/>
      <c r="AA3418" s="195"/>
      <c r="AB3418" s="172"/>
    </row>
    <row r="3419" spans="1:28" ht="12.6" customHeight="1" x14ac:dyDescent="0.3">
      <c r="A3419" s="667"/>
      <c r="B3419" s="668" t="s">
        <v>10848</v>
      </c>
      <c r="C3419" s="160" t="s">
        <v>10849</v>
      </c>
      <c r="D3419" s="160"/>
      <c r="E3419" s="439">
        <v>8.25</v>
      </c>
      <c r="F3419" s="161">
        <v>548.11463126199999</v>
      </c>
      <c r="G3419" s="161"/>
      <c r="H3419" s="654"/>
      <c r="I3419" s="654"/>
      <c r="J3419" s="191"/>
      <c r="K3419" s="191">
        <v>3142461.7488142499</v>
      </c>
      <c r="L3419" s="191"/>
      <c r="M3419" s="191"/>
      <c r="N3419" s="191"/>
      <c r="O3419" s="191"/>
      <c r="P3419" s="191"/>
      <c r="Q3419" s="191"/>
      <c r="R3419" s="191"/>
      <c r="S3419" s="191"/>
      <c r="T3419" s="191"/>
      <c r="U3419" s="439"/>
      <c r="V3419" s="441"/>
      <c r="W3419" s="178"/>
      <c r="X3419" s="172"/>
      <c r="Y3419" s="172"/>
      <c r="Z3419" s="172"/>
      <c r="AA3419" s="195"/>
      <c r="AB3419" s="172"/>
    </row>
    <row r="3420" spans="1:28" ht="12.6" customHeight="1" x14ac:dyDescent="0.3">
      <c r="A3420" s="667"/>
      <c r="B3420" s="668" t="s">
        <v>10850</v>
      </c>
      <c r="C3420" s="160" t="s">
        <v>10851</v>
      </c>
      <c r="D3420" s="160"/>
      <c r="E3420" s="439">
        <v>7.47</v>
      </c>
      <c r="F3420" s="161">
        <v>591.0795809</v>
      </c>
      <c r="G3420" s="161"/>
      <c r="H3420" s="654"/>
      <c r="I3420" s="654"/>
      <c r="J3420" s="191"/>
      <c r="K3420" s="191">
        <v>820521.56557751598</v>
      </c>
      <c r="L3420" s="191"/>
      <c r="M3420" s="191"/>
      <c r="N3420" s="191"/>
      <c r="O3420" s="191"/>
      <c r="P3420" s="191"/>
      <c r="Q3420" s="191"/>
      <c r="R3420" s="191"/>
      <c r="S3420" s="191"/>
      <c r="T3420" s="191"/>
      <c r="U3420" s="439"/>
      <c r="V3420" s="441"/>
      <c r="W3420" s="178"/>
      <c r="X3420" s="172"/>
      <c r="Y3420" s="172"/>
      <c r="Z3420" s="172"/>
      <c r="AA3420" s="195"/>
      <c r="AB3420" s="172"/>
    </row>
    <row r="3421" spans="1:28" ht="12.6" customHeight="1" x14ac:dyDescent="0.3">
      <c r="A3421" s="667"/>
      <c r="B3421" s="668" t="s">
        <v>10852</v>
      </c>
      <c r="C3421" s="160" t="s">
        <v>10853</v>
      </c>
      <c r="D3421" s="160"/>
      <c r="E3421" s="439">
        <v>7.31</v>
      </c>
      <c r="F3421" s="161">
        <v>609.07015899999999</v>
      </c>
      <c r="G3421" s="161"/>
      <c r="H3421" s="654"/>
      <c r="I3421" s="654"/>
      <c r="J3421" s="191"/>
      <c r="K3421" s="191">
        <v>1152497.52125578</v>
      </c>
      <c r="L3421" s="191"/>
      <c r="M3421" s="191"/>
      <c r="N3421" s="191"/>
      <c r="O3421" s="191"/>
      <c r="P3421" s="191"/>
      <c r="Q3421" s="191"/>
      <c r="R3421" s="191"/>
      <c r="S3421" s="191"/>
      <c r="T3421" s="191"/>
      <c r="U3421" s="439"/>
      <c r="V3421" s="441"/>
      <c r="W3421" s="178"/>
      <c r="X3421" s="172"/>
      <c r="Y3421" s="172"/>
      <c r="Z3421" s="172"/>
      <c r="AA3421" s="195"/>
      <c r="AB3421" s="172"/>
    </row>
    <row r="3422" spans="1:28" ht="12.6" customHeight="1" x14ac:dyDescent="0.3">
      <c r="A3422" s="667"/>
      <c r="B3422" s="668" t="s">
        <v>10854</v>
      </c>
      <c r="C3422" s="160" t="s">
        <v>10855</v>
      </c>
      <c r="D3422" s="160"/>
      <c r="E3422" s="439">
        <v>8.3800000000000008</v>
      </c>
      <c r="F3422" s="161">
        <v>580.05553029999999</v>
      </c>
      <c r="G3422" s="161"/>
      <c r="H3422" s="654"/>
      <c r="I3422" s="654"/>
      <c r="J3422" s="191"/>
      <c r="K3422" s="191">
        <v>27191301.787733801</v>
      </c>
      <c r="L3422" s="191"/>
      <c r="M3422" s="191"/>
      <c r="N3422" s="191"/>
      <c r="O3422" s="191"/>
      <c r="P3422" s="191"/>
      <c r="Q3422" s="191"/>
      <c r="R3422" s="191"/>
      <c r="S3422" s="191"/>
      <c r="T3422" s="191"/>
      <c r="U3422" s="439"/>
      <c r="V3422" s="441"/>
      <c r="W3422" s="178"/>
      <c r="X3422" s="172"/>
      <c r="Y3422" s="172"/>
      <c r="Z3422" s="172"/>
      <c r="AA3422" s="195"/>
      <c r="AB3422" s="172"/>
    </row>
    <row r="3423" spans="1:28" ht="12.6" customHeight="1" x14ac:dyDescent="0.3">
      <c r="A3423" s="667"/>
      <c r="B3423" s="668" t="s">
        <v>10856</v>
      </c>
      <c r="C3423" s="160" t="s">
        <v>10857</v>
      </c>
      <c r="D3423" s="160"/>
      <c r="E3423" s="439">
        <v>8.59</v>
      </c>
      <c r="F3423" s="161">
        <v>564.08508080000001</v>
      </c>
      <c r="G3423" s="161"/>
      <c r="H3423" s="654"/>
      <c r="I3423" s="654"/>
      <c r="J3423" s="191"/>
      <c r="K3423" s="191">
        <v>7793813.3340719799</v>
      </c>
      <c r="L3423" s="191"/>
      <c r="M3423" s="191"/>
      <c r="N3423" s="191"/>
      <c r="O3423" s="191"/>
      <c r="P3423" s="191"/>
      <c r="Q3423" s="191"/>
      <c r="R3423" s="191"/>
      <c r="S3423" s="191"/>
      <c r="T3423" s="191"/>
      <c r="U3423" s="439"/>
      <c r="V3423" s="441"/>
      <c r="W3423" s="178"/>
      <c r="X3423" s="172"/>
      <c r="Y3423" s="172"/>
      <c r="Z3423" s="172"/>
      <c r="AA3423" s="195"/>
      <c r="AB3423" s="172"/>
    </row>
    <row r="3424" spans="1:28" ht="12.6" customHeight="1" x14ac:dyDescent="0.3">
      <c r="A3424" s="667"/>
      <c r="B3424" s="668" t="s">
        <v>10858</v>
      </c>
      <c r="C3424" s="160" t="s">
        <v>10859</v>
      </c>
      <c r="D3424" s="160"/>
      <c r="E3424" s="439">
        <v>8.02</v>
      </c>
      <c r="F3424" s="161">
        <v>582.07565890000001</v>
      </c>
      <c r="G3424" s="161"/>
      <c r="H3424" s="654"/>
      <c r="I3424" s="654"/>
      <c r="J3424" s="191"/>
      <c r="K3424" s="191">
        <v>23444987.201728299</v>
      </c>
      <c r="L3424" s="191"/>
      <c r="M3424" s="191"/>
      <c r="N3424" s="191"/>
      <c r="O3424" s="191"/>
      <c r="P3424" s="191"/>
      <c r="Q3424" s="191"/>
      <c r="R3424" s="191"/>
      <c r="S3424" s="191"/>
      <c r="T3424" s="191"/>
      <c r="U3424" s="439"/>
      <c r="V3424" s="441"/>
      <c r="W3424" s="178"/>
      <c r="X3424" s="172"/>
      <c r="Y3424" s="172"/>
      <c r="Z3424" s="172"/>
      <c r="AA3424" s="195"/>
      <c r="AB3424" s="172"/>
    </row>
    <row r="3425" spans="1:28" ht="12.6" customHeight="1" x14ac:dyDescent="0.3">
      <c r="A3425" s="667"/>
      <c r="B3425" s="668" t="s">
        <v>10860</v>
      </c>
      <c r="C3425" s="160" t="s">
        <v>10861</v>
      </c>
      <c r="D3425" s="160"/>
      <c r="E3425" s="439">
        <v>7.36</v>
      </c>
      <c r="F3425" s="161">
        <v>593.09970947399995</v>
      </c>
      <c r="G3425" s="161"/>
      <c r="H3425" s="654"/>
      <c r="I3425" s="654"/>
      <c r="J3425" s="191"/>
      <c r="K3425" s="191">
        <v>2002672.8030554301</v>
      </c>
      <c r="L3425" s="191"/>
      <c r="M3425" s="191"/>
      <c r="N3425" s="191"/>
      <c r="O3425" s="191"/>
      <c r="P3425" s="191"/>
      <c r="Q3425" s="191"/>
      <c r="R3425" s="191"/>
      <c r="S3425" s="191"/>
      <c r="T3425" s="191"/>
      <c r="U3425" s="439"/>
      <c r="V3425" s="441"/>
      <c r="W3425" s="178"/>
      <c r="X3425" s="172"/>
      <c r="Y3425" s="172"/>
      <c r="Z3425" s="172"/>
      <c r="AA3425" s="195"/>
      <c r="AB3425" s="172"/>
    </row>
    <row r="3426" spans="1:28" ht="12.6" customHeight="1" x14ac:dyDescent="0.3">
      <c r="A3426" s="667"/>
      <c r="B3426" s="668" t="s">
        <v>10862</v>
      </c>
      <c r="C3426" s="160" t="s">
        <v>10863</v>
      </c>
      <c r="D3426" s="160"/>
      <c r="E3426" s="439">
        <v>7.87</v>
      </c>
      <c r="F3426" s="161">
        <v>564.08508080000001</v>
      </c>
      <c r="G3426" s="161"/>
      <c r="H3426" s="654"/>
      <c r="I3426" s="654"/>
      <c r="J3426" s="191"/>
      <c r="K3426" s="191">
        <v>7744617.9780251896</v>
      </c>
      <c r="L3426" s="191"/>
      <c r="M3426" s="191"/>
      <c r="N3426" s="191"/>
      <c r="O3426" s="191"/>
      <c r="P3426" s="191"/>
      <c r="Q3426" s="191"/>
      <c r="R3426" s="191"/>
      <c r="S3426" s="191"/>
      <c r="T3426" s="191"/>
      <c r="U3426" s="439"/>
      <c r="V3426" s="441"/>
      <c r="W3426" s="178"/>
      <c r="X3426" s="172"/>
      <c r="Y3426" s="172"/>
      <c r="Z3426" s="172"/>
      <c r="AA3426" s="195"/>
      <c r="AB3426" s="172"/>
    </row>
    <row r="3427" spans="1:28" ht="12.6" customHeight="1" x14ac:dyDescent="0.3">
      <c r="A3427" s="667"/>
      <c r="B3427" s="668" t="s">
        <v>10864</v>
      </c>
      <c r="C3427" s="160" t="s">
        <v>10865</v>
      </c>
      <c r="D3427" s="160"/>
      <c r="E3427" s="439">
        <v>7.87</v>
      </c>
      <c r="F3427" s="161">
        <v>582.07565890000001</v>
      </c>
      <c r="G3427" s="161"/>
      <c r="H3427" s="654"/>
      <c r="I3427" s="654"/>
      <c r="J3427" s="191"/>
      <c r="K3427" s="191">
        <v>23577621.9596125</v>
      </c>
      <c r="L3427" s="191"/>
      <c r="M3427" s="191"/>
      <c r="N3427" s="191"/>
      <c r="O3427" s="191"/>
      <c r="P3427" s="191"/>
      <c r="Q3427" s="191"/>
      <c r="R3427" s="191"/>
      <c r="S3427" s="191"/>
      <c r="T3427" s="191"/>
      <c r="U3427" s="439"/>
      <c r="V3427" s="441"/>
      <c r="W3427" s="178"/>
      <c r="X3427" s="172"/>
      <c r="Y3427" s="172"/>
      <c r="Z3427" s="172"/>
      <c r="AA3427" s="195"/>
      <c r="AB3427" s="172"/>
    </row>
    <row r="3428" spans="1:28" ht="12.6" customHeight="1" x14ac:dyDescent="0.3">
      <c r="A3428" s="667"/>
      <c r="B3428" s="668" t="s">
        <v>10866</v>
      </c>
      <c r="C3428" s="160" t="s">
        <v>10867</v>
      </c>
      <c r="D3428" s="160"/>
      <c r="E3428" s="439">
        <v>8.69</v>
      </c>
      <c r="F3428" s="161">
        <v>548.11463126199999</v>
      </c>
      <c r="G3428" s="161"/>
      <c r="H3428" s="654"/>
      <c r="I3428" s="654"/>
      <c r="J3428" s="191"/>
      <c r="K3428" s="191">
        <v>7169848.8457742296</v>
      </c>
      <c r="L3428" s="191"/>
      <c r="M3428" s="191"/>
      <c r="N3428" s="191"/>
      <c r="O3428" s="191"/>
      <c r="P3428" s="191"/>
      <c r="Q3428" s="191"/>
      <c r="R3428" s="191"/>
      <c r="S3428" s="191"/>
      <c r="T3428" s="191"/>
      <c r="U3428" s="439"/>
      <c r="V3428" s="441"/>
      <c r="W3428" s="178"/>
      <c r="X3428" s="172"/>
      <c r="Y3428" s="172"/>
      <c r="Z3428" s="172"/>
      <c r="AA3428" s="195"/>
      <c r="AB3428" s="172"/>
    </row>
    <row r="3429" spans="1:28" ht="12.6" customHeight="1" x14ac:dyDescent="0.3">
      <c r="A3429" s="667"/>
      <c r="B3429" s="668" t="s">
        <v>10868</v>
      </c>
      <c r="C3429" s="160" t="s">
        <v>10869</v>
      </c>
      <c r="D3429" s="160"/>
      <c r="E3429" s="439"/>
      <c r="F3429" s="161">
        <v>305.02867557799999</v>
      </c>
      <c r="G3429" s="161"/>
      <c r="H3429" s="654"/>
      <c r="I3429" s="654"/>
      <c r="J3429" s="191"/>
      <c r="K3429" s="191">
        <v>10457.0696337358</v>
      </c>
      <c r="L3429" s="191"/>
      <c r="M3429" s="191"/>
      <c r="N3429" s="191"/>
      <c r="O3429" s="191"/>
      <c r="P3429" s="191"/>
      <c r="Q3429" s="191"/>
      <c r="R3429" s="191"/>
      <c r="S3429" s="191"/>
      <c r="T3429" s="191"/>
      <c r="U3429" s="439"/>
      <c r="V3429" s="441"/>
      <c r="W3429" s="178"/>
      <c r="X3429" s="172"/>
      <c r="Y3429" s="172"/>
      <c r="Z3429" s="172"/>
      <c r="AA3429" s="195"/>
      <c r="AB3429" s="172"/>
    </row>
    <row r="3430" spans="1:28" ht="12.6" customHeight="1" x14ac:dyDescent="0.3">
      <c r="A3430" s="667"/>
      <c r="B3430" s="668" t="s">
        <v>10870</v>
      </c>
      <c r="C3430" s="160" t="s">
        <v>10871</v>
      </c>
      <c r="D3430" s="160"/>
      <c r="E3430" s="439"/>
      <c r="F3430" s="161">
        <v>337.95411000000001</v>
      </c>
      <c r="G3430" s="161"/>
      <c r="H3430" s="654"/>
      <c r="I3430" s="654"/>
      <c r="J3430" s="191"/>
      <c r="K3430" s="191">
        <v>687749.05132477696</v>
      </c>
      <c r="L3430" s="191"/>
      <c r="M3430" s="191"/>
      <c r="N3430" s="191"/>
      <c r="O3430" s="191"/>
      <c r="P3430" s="191"/>
      <c r="Q3430" s="191"/>
      <c r="R3430" s="191"/>
      <c r="S3430" s="191"/>
      <c r="T3430" s="191"/>
      <c r="U3430" s="439"/>
      <c r="V3430" s="441"/>
      <c r="W3430" s="178"/>
      <c r="X3430" s="172"/>
      <c r="Y3430" s="172"/>
      <c r="Z3430" s="172"/>
      <c r="AA3430" s="195"/>
      <c r="AB3430" s="172"/>
    </row>
    <row r="3431" spans="1:28" ht="12.6" customHeight="1" x14ac:dyDescent="0.3">
      <c r="A3431" s="667"/>
      <c r="B3431" s="668" t="s">
        <v>10872</v>
      </c>
      <c r="C3431" s="160" t="s">
        <v>10873</v>
      </c>
      <c r="D3431" s="160"/>
      <c r="E3431" s="439">
        <v>14</v>
      </c>
      <c r="F3431" s="161">
        <v>530.95662000000004</v>
      </c>
      <c r="G3431" s="161"/>
      <c r="H3431" s="654"/>
      <c r="I3431" s="654"/>
      <c r="J3431" s="191"/>
      <c r="K3431" s="191">
        <v>1745179.08673465</v>
      </c>
      <c r="L3431" s="191"/>
      <c r="M3431" s="191"/>
      <c r="N3431" s="191"/>
      <c r="O3431" s="191"/>
      <c r="P3431" s="191"/>
      <c r="Q3431" s="191"/>
      <c r="R3431" s="191"/>
      <c r="S3431" s="191"/>
      <c r="T3431" s="191"/>
      <c r="U3431" s="439"/>
      <c r="V3431" s="441"/>
      <c r="W3431" s="178"/>
      <c r="X3431" s="172"/>
      <c r="Y3431" s="172"/>
      <c r="Z3431" s="172"/>
      <c r="AA3431" s="195"/>
      <c r="AB3431" s="172"/>
    </row>
    <row r="3432" spans="1:28" ht="12.6" customHeight="1" x14ac:dyDescent="0.3">
      <c r="A3432" s="667"/>
      <c r="B3432" s="668" t="s">
        <v>10874</v>
      </c>
      <c r="C3432" s="160" t="s">
        <v>10875</v>
      </c>
      <c r="D3432" s="160"/>
      <c r="E3432" s="439">
        <v>6.93</v>
      </c>
      <c r="F3432" s="161">
        <v>682.02332000000001</v>
      </c>
      <c r="G3432" s="161">
        <v>218.245</v>
      </c>
      <c r="H3432" s="654">
        <v>1.2471019873199999E-8</v>
      </c>
      <c r="I3432" s="654">
        <v>9.2639909578920002E-2</v>
      </c>
      <c r="J3432" s="191"/>
      <c r="K3432" s="191">
        <v>526853.65830390505</v>
      </c>
      <c r="L3432" s="191"/>
      <c r="M3432" s="191"/>
      <c r="N3432" s="191"/>
      <c r="O3432" s="191"/>
      <c r="P3432" s="191"/>
      <c r="Q3432" s="191"/>
      <c r="R3432" s="191"/>
      <c r="S3432" s="191"/>
      <c r="T3432" s="191"/>
      <c r="U3432" s="439"/>
      <c r="V3432" s="441"/>
      <c r="W3432" s="178"/>
      <c r="X3432" s="172"/>
      <c r="Y3432" s="172"/>
      <c r="Z3432" s="172"/>
      <c r="AA3432" s="195"/>
      <c r="AB3432" s="172"/>
    </row>
    <row r="3433" spans="1:28" ht="12.6" customHeight="1" x14ac:dyDescent="0.3">
      <c r="A3433" s="667"/>
      <c r="B3433" s="668" t="s">
        <v>10876</v>
      </c>
      <c r="C3433" s="160" t="s">
        <v>10877</v>
      </c>
      <c r="D3433" s="160"/>
      <c r="E3433" s="439">
        <v>7.02</v>
      </c>
      <c r="F3433" s="161">
        <v>540.13176092399999</v>
      </c>
      <c r="G3433" s="161"/>
      <c r="H3433" s="654"/>
      <c r="I3433" s="654"/>
      <c r="J3433" s="191"/>
      <c r="K3433" s="191">
        <v>4300807.4565603398</v>
      </c>
      <c r="L3433" s="191"/>
      <c r="M3433" s="191"/>
      <c r="N3433" s="191"/>
      <c r="O3433" s="191"/>
      <c r="P3433" s="191"/>
      <c r="Q3433" s="191"/>
      <c r="R3433" s="191"/>
      <c r="S3433" s="191"/>
      <c r="T3433" s="191"/>
      <c r="U3433" s="439"/>
      <c r="V3433" s="441"/>
      <c r="W3433" s="178"/>
      <c r="X3433" s="172"/>
      <c r="Y3433" s="172"/>
      <c r="Z3433" s="172"/>
      <c r="AA3433" s="195"/>
      <c r="AB3433" s="172"/>
    </row>
    <row r="3434" spans="1:28" ht="12.6" customHeight="1" x14ac:dyDescent="0.3">
      <c r="A3434" s="667"/>
      <c r="B3434" s="668" t="s">
        <v>10878</v>
      </c>
      <c r="C3434" s="160" t="s">
        <v>10879</v>
      </c>
      <c r="D3434" s="160"/>
      <c r="E3434" s="439">
        <v>9.92</v>
      </c>
      <c r="F3434" s="161">
        <v>356.07596012300002</v>
      </c>
      <c r="G3434" s="161"/>
      <c r="H3434" s="654"/>
      <c r="I3434" s="654"/>
      <c r="J3434" s="191"/>
      <c r="K3434" s="191">
        <v>10533.1919850299</v>
      </c>
      <c r="L3434" s="191"/>
      <c r="M3434" s="191"/>
      <c r="N3434" s="191"/>
      <c r="O3434" s="191"/>
      <c r="P3434" s="191"/>
      <c r="Q3434" s="191"/>
      <c r="R3434" s="191"/>
      <c r="S3434" s="191"/>
      <c r="T3434" s="191"/>
      <c r="U3434" s="439"/>
      <c r="V3434" s="441"/>
      <c r="W3434" s="178"/>
      <c r="X3434" s="172"/>
      <c r="Y3434" s="172"/>
      <c r="Z3434" s="172"/>
      <c r="AA3434" s="195"/>
      <c r="AB3434" s="172"/>
    </row>
    <row r="3435" spans="1:28" ht="12.6" customHeight="1" x14ac:dyDescent="0.3">
      <c r="A3435" s="667"/>
      <c r="B3435" s="668" t="s">
        <v>10880</v>
      </c>
      <c r="C3435" s="160" t="s">
        <v>10881</v>
      </c>
      <c r="D3435" s="160"/>
      <c r="E3435" s="439">
        <v>10.4</v>
      </c>
      <c r="F3435" s="161">
        <v>282.08546217999998</v>
      </c>
      <c r="G3435" s="161">
        <v>-26.972000000000001</v>
      </c>
      <c r="H3435" s="654">
        <v>29.234848159999999</v>
      </c>
      <c r="I3435" s="654">
        <v>1.7353248836750499</v>
      </c>
      <c r="J3435" s="191"/>
      <c r="K3435" s="191">
        <v>59883.889456732599</v>
      </c>
      <c r="L3435" s="191"/>
      <c r="M3435" s="191"/>
      <c r="N3435" s="191"/>
      <c r="O3435" s="191"/>
      <c r="P3435" s="191"/>
      <c r="Q3435" s="191"/>
      <c r="R3435" s="191"/>
      <c r="S3435" s="191"/>
      <c r="T3435" s="191"/>
      <c r="U3435" s="439"/>
      <c r="V3435" s="441"/>
      <c r="W3435" s="178"/>
      <c r="X3435" s="172"/>
      <c r="Y3435" s="172"/>
      <c r="Z3435" s="172"/>
      <c r="AA3435" s="195"/>
      <c r="AB3435" s="172"/>
    </row>
    <row r="3436" spans="1:28" ht="12.6" customHeight="1" x14ac:dyDescent="0.3">
      <c r="A3436" s="667"/>
      <c r="B3436" s="668" t="s">
        <v>10882</v>
      </c>
      <c r="C3436" s="160" t="s">
        <v>10883</v>
      </c>
      <c r="D3436" s="160"/>
      <c r="E3436" s="439"/>
      <c r="F3436" s="161">
        <v>424.049666409</v>
      </c>
      <c r="G3436" s="161"/>
      <c r="H3436" s="654"/>
      <c r="I3436" s="654"/>
      <c r="J3436" s="191"/>
      <c r="K3436" s="191">
        <v>560738015.11626899</v>
      </c>
      <c r="L3436" s="191"/>
      <c r="M3436" s="191"/>
      <c r="N3436" s="191"/>
      <c r="O3436" s="191"/>
      <c r="P3436" s="191"/>
      <c r="Q3436" s="191"/>
      <c r="R3436" s="191"/>
      <c r="S3436" s="191"/>
      <c r="T3436" s="191"/>
      <c r="U3436" s="439"/>
      <c r="V3436" s="441"/>
      <c r="W3436" s="178"/>
      <c r="X3436" s="172"/>
      <c r="Y3436" s="172"/>
      <c r="Z3436" s="172"/>
      <c r="AA3436" s="195"/>
      <c r="AB3436" s="172"/>
    </row>
    <row r="3437" spans="1:28" ht="12.6" customHeight="1" x14ac:dyDescent="0.3">
      <c r="A3437" s="667"/>
      <c r="B3437" s="668" t="s">
        <v>10884</v>
      </c>
      <c r="C3437" s="160" t="s">
        <v>10885</v>
      </c>
      <c r="D3437" s="160"/>
      <c r="E3437" s="439"/>
      <c r="F3437" s="161">
        <v>510.02762899599998</v>
      </c>
      <c r="G3437" s="161"/>
      <c r="H3437" s="654"/>
      <c r="I3437" s="654"/>
      <c r="J3437" s="191"/>
      <c r="K3437" s="191">
        <v>1697539935.2116899</v>
      </c>
      <c r="L3437" s="191"/>
      <c r="M3437" s="191"/>
      <c r="N3437" s="191"/>
      <c r="O3437" s="191"/>
      <c r="P3437" s="191"/>
      <c r="Q3437" s="191"/>
      <c r="R3437" s="191"/>
      <c r="S3437" s="191"/>
      <c r="T3437" s="191"/>
      <c r="U3437" s="439"/>
      <c r="V3437" s="441"/>
      <c r="W3437" s="178"/>
      <c r="X3437" s="172"/>
      <c r="Y3437" s="172"/>
      <c r="Z3437" s="172"/>
      <c r="AA3437" s="195"/>
      <c r="AB3437" s="172"/>
    </row>
    <row r="3438" spans="1:28" ht="12.6" customHeight="1" x14ac:dyDescent="0.3">
      <c r="A3438" s="667"/>
      <c r="B3438" s="668" t="s">
        <v>10886</v>
      </c>
      <c r="C3438" s="160" t="s">
        <v>10887</v>
      </c>
      <c r="D3438" s="160"/>
      <c r="E3438" s="439"/>
      <c r="F3438" s="161">
        <v>410.03401634400001</v>
      </c>
      <c r="G3438" s="161"/>
      <c r="H3438" s="654"/>
      <c r="I3438" s="654"/>
      <c r="J3438" s="191"/>
      <c r="K3438" s="191">
        <v>265613411.568515</v>
      </c>
      <c r="L3438" s="191"/>
      <c r="M3438" s="191"/>
      <c r="N3438" s="191"/>
      <c r="O3438" s="191"/>
      <c r="P3438" s="191"/>
      <c r="Q3438" s="191"/>
      <c r="R3438" s="191"/>
      <c r="S3438" s="191"/>
      <c r="T3438" s="191"/>
      <c r="U3438" s="439"/>
      <c r="V3438" s="441"/>
      <c r="W3438" s="178"/>
      <c r="X3438" s="172"/>
      <c r="Y3438" s="172"/>
      <c r="Z3438" s="172"/>
      <c r="AA3438" s="195"/>
      <c r="AB3438" s="172"/>
    </row>
    <row r="3439" spans="1:28" ht="12.6" customHeight="1" x14ac:dyDescent="0.3">
      <c r="A3439" s="667"/>
      <c r="B3439" s="668" t="s">
        <v>10888</v>
      </c>
      <c r="C3439" s="160" t="s">
        <v>10889</v>
      </c>
      <c r="D3439" s="160"/>
      <c r="E3439" s="439"/>
      <c r="F3439" s="161">
        <v>260.04359736599997</v>
      </c>
      <c r="G3439" s="161"/>
      <c r="H3439" s="654"/>
      <c r="I3439" s="654"/>
      <c r="J3439" s="191"/>
      <c r="K3439" s="191">
        <v>67099.610626301306</v>
      </c>
      <c r="L3439" s="191"/>
      <c r="M3439" s="191"/>
      <c r="N3439" s="191"/>
      <c r="O3439" s="191"/>
      <c r="P3439" s="191"/>
      <c r="Q3439" s="191"/>
      <c r="R3439" s="191"/>
      <c r="S3439" s="191"/>
      <c r="T3439" s="191"/>
      <c r="U3439" s="439"/>
      <c r="V3439" s="441"/>
      <c r="W3439" s="178"/>
      <c r="X3439" s="172"/>
      <c r="Y3439" s="172"/>
      <c r="Z3439" s="172"/>
      <c r="AA3439" s="195"/>
      <c r="AB3439" s="172"/>
    </row>
    <row r="3440" spans="1:28" ht="12.6" customHeight="1" x14ac:dyDescent="0.3">
      <c r="A3440" s="667"/>
      <c r="B3440" s="668" t="s">
        <v>10890</v>
      </c>
      <c r="C3440" s="160" t="s">
        <v>10891</v>
      </c>
      <c r="D3440" s="160"/>
      <c r="E3440" s="439">
        <v>4.58</v>
      </c>
      <c r="F3440" s="161">
        <v>311.05449640299997</v>
      </c>
      <c r="G3440" s="161"/>
      <c r="H3440" s="654"/>
      <c r="I3440" s="654"/>
      <c r="J3440" s="191"/>
      <c r="K3440" s="191">
        <v>79854.611290307395</v>
      </c>
      <c r="L3440" s="191"/>
      <c r="M3440" s="191"/>
      <c r="N3440" s="191"/>
      <c r="O3440" s="191"/>
      <c r="P3440" s="191"/>
      <c r="Q3440" s="191"/>
      <c r="R3440" s="191"/>
      <c r="S3440" s="191"/>
      <c r="T3440" s="191"/>
      <c r="U3440" s="439"/>
      <c r="V3440" s="441"/>
      <c r="W3440" s="178"/>
      <c r="X3440" s="172"/>
      <c r="Y3440" s="172"/>
      <c r="Z3440" s="172"/>
      <c r="AA3440" s="195"/>
      <c r="AB3440" s="172"/>
    </row>
    <row r="3441" spans="1:28" ht="12.6" customHeight="1" x14ac:dyDescent="0.3">
      <c r="A3441" s="667"/>
      <c r="B3441" s="668" t="s">
        <v>10892</v>
      </c>
      <c r="C3441" s="160" t="s">
        <v>10893</v>
      </c>
      <c r="D3441" s="160"/>
      <c r="E3441" s="439">
        <v>8</v>
      </c>
      <c r="F3441" s="161">
        <v>277.03376095800002</v>
      </c>
      <c r="G3441" s="161"/>
      <c r="H3441" s="654"/>
      <c r="I3441" s="654"/>
      <c r="J3441" s="191"/>
      <c r="K3441" s="191">
        <v>996.11619275697797</v>
      </c>
      <c r="L3441" s="191"/>
      <c r="M3441" s="191"/>
      <c r="N3441" s="191"/>
      <c r="O3441" s="191"/>
      <c r="P3441" s="191"/>
      <c r="Q3441" s="191"/>
      <c r="R3441" s="191"/>
      <c r="S3441" s="191"/>
      <c r="T3441" s="191"/>
      <c r="U3441" s="439"/>
      <c r="V3441" s="441"/>
      <c r="W3441" s="178"/>
      <c r="X3441" s="172"/>
      <c r="Y3441" s="172"/>
      <c r="Z3441" s="172"/>
      <c r="AA3441" s="195"/>
      <c r="AB3441" s="172"/>
    </row>
    <row r="3442" spans="1:28" ht="12.6" customHeight="1" x14ac:dyDescent="0.3">
      <c r="A3442" s="667"/>
      <c r="B3442" s="668" t="s">
        <v>10894</v>
      </c>
      <c r="C3442" s="160" t="s">
        <v>10895</v>
      </c>
      <c r="D3442" s="160"/>
      <c r="E3442" s="439">
        <v>8.84</v>
      </c>
      <c r="F3442" s="161">
        <v>311.05449640299997</v>
      </c>
      <c r="G3442" s="161"/>
      <c r="H3442" s="654"/>
      <c r="I3442" s="654"/>
      <c r="J3442" s="191"/>
      <c r="K3442" s="191">
        <v>32731.808376567598</v>
      </c>
      <c r="L3442" s="191"/>
      <c r="M3442" s="191"/>
      <c r="N3442" s="191"/>
      <c r="O3442" s="191"/>
      <c r="P3442" s="191"/>
      <c r="Q3442" s="191"/>
      <c r="R3442" s="191"/>
      <c r="S3442" s="191"/>
      <c r="T3442" s="191"/>
      <c r="U3442" s="439"/>
      <c r="V3442" s="441"/>
      <c r="W3442" s="178"/>
      <c r="X3442" s="172"/>
      <c r="Y3442" s="172"/>
      <c r="Z3442" s="172"/>
      <c r="AA3442" s="195"/>
      <c r="AB3442" s="172"/>
    </row>
    <row r="3443" spans="1:28" ht="12.6" customHeight="1" x14ac:dyDescent="0.3">
      <c r="A3443" s="667"/>
      <c r="B3443" s="668" t="s">
        <v>10896</v>
      </c>
      <c r="C3443" s="160" t="s">
        <v>10897</v>
      </c>
      <c r="D3443" s="160"/>
      <c r="E3443" s="439">
        <v>9.66</v>
      </c>
      <c r="F3443" s="161">
        <v>327.94460800000002</v>
      </c>
      <c r="G3443" s="161"/>
      <c r="H3443" s="654"/>
      <c r="I3443" s="654"/>
      <c r="J3443" s="191"/>
      <c r="K3443" s="191">
        <v>1260.4046594501001</v>
      </c>
      <c r="L3443" s="191"/>
      <c r="M3443" s="191"/>
      <c r="N3443" s="191"/>
      <c r="O3443" s="191"/>
      <c r="P3443" s="191"/>
      <c r="Q3443" s="191"/>
      <c r="R3443" s="191"/>
      <c r="S3443" s="191"/>
      <c r="T3443" s="191"/>
      <c r="U3443" s="439"/>
      <c r="V3443" s="441"/>
      <c r="W3443" s="178"/>
      <c r="X3443" s="172"/>
      <c r="Y3443" s="172"/>
      <c r="Z3443" s="172"/>
      <c r="AA3443" s="195"/>
      <c r="AB3443" s="172"/>
    </row>
    <row r="3444" spans="1:28" ht="12.6" customHeight="1" x14ac:dyDescent="0.3">
      <c r="A3444" s="667"/>
      <c r="B3444" s="668" t="s">
        <v>10898</v>
      </c>
      <c r="C3444" s="160" t="s">
        <v>10899</v>
      </c>
      <c r="D3444" s="160"/>
      <c r="E3444" s="439"/>
      <c r="F3444" s="161">
        <v>326.01647457399997</v>
      </c>
      <c r="G3444" s="161">
        <v>-42.503999999999998</v>
      </c>
      <c r="H3444" s="654">
        <v>577.96553542000004</v>
      </c>
      <c r="I3444" s="654">
        <v>6.4304141477924901</v>
      </c>
      <c r="J3444" s="191"/>
      <c r="K3444" s="191">
        <v>4817.25903559163</v>
      </c>
      <c r="L3444" s="191"/>
      <c r="M3444" s="191"/>
      <c r="N3444" s="191"/>
      <c r="O3444" s="191"/>
      <c r="P3444" s="191"/>
      <c r="Q3444" s="191"/>
      <c r="R3444" s="191"/>
      <c r="S3444" s="191"/>
      <c r="T3444" s="191"/>
      <c r="U3444" s="439"/>
      <c r="V3444" s="441"/>
      <c r="W3444" s="178"/>
      <c r="X3444" s="172"/>
      <c r="Y3444" s="172"/>
      <c r="Z3444" s="172"/>
      <c r="AA3444" s="195"/>
      <c r="AB3444" s="172"/>
    </row>
    <row r="3445" spans="1:28" ht="12.6" customHeight="1" x14ac:dyDescent="0.3">
      <c r="A3445" s="667"/>
      <c r="B3445" s="668" t="s">
        <v>10900</v>
      </c>
      <c r="C3445" s="160" t="s">
        <v>10901</v>
      </c>
      <c r="D3445" s="160"/>
      <c r="E3445" s="439">
        <v>33.86</v>
      </c>
      <c r="F3445" s="161">
        <v>348.01836628000001</v>
      </c>
      <c r="G3445" s="161">
        <v>-95.06</v>
      </c>
      <c r="H3445" s="654">
        <v>3132.5737085999999</v>
      </c>
      <c r="I3445" s="654">
        <v>3.2181188726238301</v>
      </c>
      <c r="J3445" s="191"/>
      <c r="K3445" s="191">
        <v>271950.58664413</v>
      </c>
      <c r="L3445" s="191"/>
      <c r="M3445" s="191"/>
      <c r="N3445" s="191"/>
      <c r="O3445" s="191"/>
      <c r="P3445" s="191"/>
      <c r="Q3445" s="191"/>
      <c r="R3445" s="191"/>
      <c r="S3445" s="191"/>
      <c r="T3445" s="191"/>
      <c r="U3445" s="439"/>
      <c r="V3445" s="441"/>
      <c r="W3445" s="178"/>
      <c r="X3445" s="172"/>
      <c r="Y3445" s="172"/>
      <c r="Z3445" s="172"/>
      <c r="AA3445" s="195"/>
      <c r="AB3445" s="172"/>
    </row>
    <row r="3446" spans="1:28" ht="12.6" customHeight="1" x14ac:dyDescent="0.3">
      <c r="A3446" s="667"/>
      <c r="B3446" s="668" t="s">
        <v>10902</v>
      </c>
      <c r="C3446" s="160" t="s">
        <v>10903</v>
      </c>
      <c r="D3446" s="160"/>
      <c r="E3446" s="439">
        <v>44</v>
      </c>
      <c r="F3446" s="161">
        <v>682.30168314399998</v>
      </c>
      <c r="G3446" s="161"/>
      <c r="H3446" s="654"/>
      <c r="I3446" s="654"/>
      <c r="J3446" s="191"/>
      <c r="K3446" s="191">
        <v>3141448902.0936899</v>
      </c>
      <c r="L3446" s="191"/>
      <c r="M3446" s="191"/>
      <c r="N3446" s="191"/>
      <c r="O3446" s="191"/>
      <c r="P3446" s="191"/>
      <c r="Q3446" s="191"/>
      <c r="R3446" s="191"/>
      <c r="S3446" s="191"/>
      <c r="T3446" s="191"/>
      <c r="U3446" s="439"/>
      <c r="V3446" s="441"/>
      <c r="W3446" s="178"/>
      <c r="X3446" s="172"/>
      <c r="Y3446" s="172"/>
      <c r="Z3446" s="172"/>
      <c r="AA3446" s="195"/>
      <c r="AB3446" s="172"/>
    </row>
    <row r="3447" spans="1:28" ht="12.6" customHeight="1" x14ac:dyDescent="0.3">
      <c r="A3447" s="667"/>
      <c r="B3447" s="668" t="s">
        <v>10904</v>
      </c>
      <c r="C3447" s="160" t="s">
        <v>10905</v>
      </c>
      <c r="D3447" s="160"/>
      <c r="E3447" s="439">
        <v>2.38</v>
      </c>
      <c r="F3447" s="161">
        <v>424.05792727800002</v>
      </c>
      <c r="G3447" s="161"/>
      <c r="H3447" s="654"/>
      <c r="I3447" s="654"/>
      <c r="J3447" s="191"/>
      <c r="K3447" s="191">
        <v>78574.205796681796</v>
      </c>
      <c r="L3447" s="191"/>
      <c r="M3447" s="191"/>
      <c r="N3447" s="191"/>
      <c r="O3447" s="191"/>
      <c r="P3447" s="191"/>
      <c r="Q3447" s="191"/>
      <c r="R3447" s="191"/>
      <c r="S3447" s="191"/>
      <c r="T3447" s="191"/>
      <c r="U3447" s="439"/>
      <c r="V3447" s="441"/>
      <c r="W3447" s="178"/>
      <c r="X3447" s="172"/>
      <c r="Y3447" s="172"/>
      <c r="Z3447" s="172"/>
      <c r="AA3447" s="195"/>
      <c r="AB3447" s="172"/>
    </row>
    <row r="3448" spans="1:28" ht="12.6" customHeight="1" x14ac:dyDescent="0.3">
      <c r="A3448" s="667"/>
      <c r="B3448" s="668" t="s">
        <v>10906</v>
      </c>
      <c r="C3448" s="160" t="s">
        <v>10907</v>
      </c>
      <c r="D3448" s="160"/>
      <c r="E3448" s="439">
        <v>3.25</v>
      </c>
      <c r="F3448" s="161">
        <v>438.07357734200002</v>
      </c>
      <c r="G3448" s="161"/>
      <c r="H3448" s="654"/>
      <c r="I3448" s="654"/>
      <c r="J3448" s="191"/>
      <c r="K3448" s="191">
        <v>149379.155544863</v>
      </c>
      <c r="L3448" s="191"/>
      <c r="M3448" s="191"/>
      <c r="N3448" s="191"/>
      <c r="O3448" s="191"/>
      <c r="P3448" s="191"/>
      <c r="Q3448" s="191"/>
      <c r="R3448" s="191"/>
      <c r="S3448" s="191"/>
      <c r="T3448" s="191"/>
      <c r="U3448" s="439"/>
      <c r="V3448" s="441"/>
      <c r="W3448" s="178"/>
      <c r="X3448" s="172"/>
      <c r="Y3448" s="172"/>
      <c r="Z3448" s="172"/>
      <c r="AA3448" s="195"/>
      <c r="AB3448" s="172"/>
    </row>
    <row r="3449" spans="1:28" ht="12.6" customHeight="1" x14ac:dyDescent="0.3">
      <c r="A3449" s="667"/>
      <c r="B3449" s="668" t="s">
        <v>10908</v>
      </c>
      <c r="C3449" s="160" t="s">
        <v>10909</v>
      </c>
      <c r="D3449" s="160"/>
      <c r="E3449" s="439">
        <v>2.79</v>
      </c>
      <c r="F3449" s="161">
        <v>408.06301265799999</v>
      </c>
      <c r="G3449" s="161"/>
      <c r="H3449" s="654"/>
      <c r="I3449" s="654"/>
      <c r="J3449" s="191"/>
      <c r="K3449" s="191">
        <v>229810.570038559</v>
      </c>
      <c r="L3449" s="191"/>
      <c r="M3449" s="191"/>
      <c r="N3449" s="191"/>
      <c r="O3449" s="191"/>
      <c r="P3449" s="191"/>
      <c r="Q3449" s="191"/>
      <c r="R3449" s="191"/>
      <c r="S3449" s="191"/>
      <c r="T3449" s="191"/>
      <c r="U3449" s="439"/>
      <c r="V3449" s="441"/>
      <c r="W3449" s="178"/>
      <c r="X3449" s="172"/>
      <c r="Y3449" s="172"/>
      <c r="Z3449" s="172"/>
      <c r="AA3449" s="195"/>
      <c r="AB3449" s="172"/>
    </row>
    <row r="3450" spans="1:28" ht="12.6" customHeight="1" x14ac:dyDescent="0.3">
      <c r="A3450" s="667"/>
      <c r="B3450" s="668" t="s">
        <v>10910</v>
      </c>
      <c r="C3450" s="160" t="s">
        <v>10911</v>
      </c>
      <c r="D3450" s="160"/>
      <c r="E3450" s="439">
        <v>3.64</v>
      </c>
      <c r="F3450" s="161">
        <v>422.07866272199999</v>
      </c>
      <c r="G3450" s="161"/>
      <c r="H3450" s="654"/>
      <c r="I3450" s="654"/>
      <c r="J3450" s="191"/>
      <c r="K3450" s="191">
        <v>257276.42953467701</v>
      </c>
      <c r="L3450" s="191"/>
      <c r="M3450" s="191"/>
      <c r="N3450" s="191"/>
      <c r="O3450" s="191"/>
      <c r="P3450" s="191"/>
      <c r="Q3450" s="191"/>
      <c r="R3450" s="191"/>
      <c r="S3450" s="191"/>
      <c r="T3450" s="191"/>
      <c r="U3450" s="439"/>
      <c r="V3450" s="441"/>
      <c r="W3450" s="178"/>
      <c r="X3450" s="172"/>
      <c r="Y3450" s="172"/>
      <c r="Z3450" s="172"/>
      <c r="AA3450" s="195"/>
      <c r="AB3450" s="172"/>
    </row>
    <row r="3451" spans="1:28" ht="12.6" customHeight="1" x14ac:dyDescent="0.3">
      <c r="A3451" s="667"/>
      <c r="B3451" s="668" t="s">
        <v>10912</v>
      </c>
      <c r="C3451" s="160" t="s">
        <v>10913</v>
      </c>
      <c r="D3451" s="160"/>
      <c r="E3451" s="439">
        <v>4.57</v>
      </c>
      <c r="F3451" s="161">
        <v>392.06809803800002</v>
      </c>
      <c r="G3451" s="161"/>
      <c r="H3451" s="654"/>
      <c r="I3451" s="654"/>
      <c r="J3451" s="191"/>
      <c r="K3451" s="191">
        <v>1243884.3392485499</v>
      </c>
      <c r="L3451" s="191"/>
      <c r="M3451" s="191"/>
      <c r="N3451" s="191"/>
      <c r="O3451" s="191"/>
      <c r="P3451" s="191"/>
      <c r="Q3451" s="191"/>
      <c r="R3451" s="191"/>
      <c r="S3451" s="191"/>
      <c r="T3451" s="191"/>
      <c r="U3451" s="439"/>
      <c r="V3451" s="441"/>
      <c r="W3451" s="178"/>
      <c r="X3451" s="172"/>
      <c r="Y3451" s="172"/>
      <c r="Z3451" s="172"/>
      <c r="AA3451" s="195"/>
      <c r="AB3451" s="172"/>
    </row>
    <row r="3452" spans="1:28" ht="12.6" customHeight="1" x14ac:dyDescent="0.3">
      <c r="A3452" s="667"/>
      <c r="B3452" s="668" t="s">
        <v>10914</v>
      </c>
      <c r="C3452" s="160" t="s">
        <v>10915</v>
      </c>
      <c r="D3452" s="160"/>
      <c r="E3452" s="439">
        <v>5.37</v>
      </c>
      <c r="F3452" s="161">
        <v>406.08374810200002</v>
      </c>
      <c r="G3452" s="161"/>
      <c r="H3452" s="654"/>
      <c r="I3452" s="654"/>
      <c r="J3452" s="191"/>
      <c r="K3452" s="191">
        <v>1351138.9070661999</v>
      </c>
      <c r="L3452" s="191"/>
      <c r="M3452" s="191"/>
      <c r="N3452" s="191"/>
      <c r="O3452" s="191"/>
      <c r="P3452" s="191"/>
      <c r="Q3452" s="191"/>
      <c r="R3452" s="191"/>
      <c r="S3452" s="191"/>
      <c r="T3452" s="191"/>
      <c r="U3452" s="439"/>
      <c r="V3452" s="441"/>
      <c r="W3452" s="178"/>
      <c r="X3452" s="172"/>
      <c r="Y3452" s="172"/>
      <c r="Z3452" s="172"/>
      <c r="AA3452" s="195"/>
      <c r="AB3452" s="172"/>
    </row>
    <row r="3453" spans="1:28" ht="12.6" customHeight="1" x14ac:dyDescent="0.3">
      <c r="A3453" s="667"/>
      <c r="B3453" s="668" t="s">
        <v>10916</v>
      </c>
      <c r="C3453" s="160" t="s">
        <v>10917</v>
      </c>
      <c r="D3453" s="160"/>
      <c r="E3453" s="439"/>
      <c r="F3453" s="161">
        <v>310.08037680000001</v>
      </c>
      <c r="G3453" s="161">
        <v>-29.109000000000002</v>
      </c>
      <c r="H3453" s="654">
        <v>10.254194986</v>
      </c>
      <c r="I3453" s="654">
        <v>12.83732759952</v>
      </c>
      <c r="J3453" s="191"/>
      <c r="K3453" s="191">
        <v>14066.627920803699</v>
      </c>
      <c r="L3453" s="191"/>
      <c r="M3453" s="191"/>
      <c r="N3453" s="191"/>
      <c r="O3453" s="191"/>
      <c r="P3453" s="191"/>
      <c r="Q3453" s="191"/>
      <c r="R3453" s="191"/>
      <c r="S3453" s="191"/>
      <c r="T3453" s="191"/>
      <c r="U3453" s="439"/>
      <c r="V3453" s="441"/>
      <c r="W3453" s="178"/>
      <c r="X3453" s="172"/>
      <c r="Y3453" s="172"/>
      <c r="Z3453" s="172"/>
      <c r="AA3453" s="195"/>
      <c r="AB3453" s="172"/>
    </row>
    <row r="3454" spans="1:28" ht="12.6" customHeight="1" x14ac:dyDescent="0.3">
      <c r="A3454" s="667"/>
      <c r="B3454" s="668" t="s">
        <v>10918</v>
      </c>
      <c r="C3454" s="160" t="s">
        <v>10919</v>
      </c>
      <c r="D3454" s="160"/>
      <c r="E3454" s="439"/>
      <c r="F3454" s="161">
        <v>647.99920423599997</v>
      </c>
      <c r="G3454" s="161"/>
      <c r="H3454" s="654"/>
      <c r="I3454" s="654"/>
      <c r="J3454" s="191"/>
      <c r="K3454" s="191">
        <v>307475.134389062</v>
      </c>
      <c r="L3454" s="191"/>
      <c r="M3454" s="191"/>
      <c r="N3454" s="191"/>
      <c r="O3454" s="191"/>
      <c r="P3454" s="191"/>
      <c r="Q3454" s="191"/>
      <c r="R3454" s="191"/>
      <c r="S3454" s="191"/>
      <c r="T3454" s="191"/>
      <c r="U3454" s="439"/>
      <c r="V3454" s="441"/>
      <c r="W3454" s="178"/>
      <c r="X3454" s="172"/>
      <c r="Y3454" s="172"/>
      <c r="Z3454" s="172"/>
      <c r="AA3454" s="195"/>
      <c r="AB3454" s="172"/>
    </row>
    <row r="3455" spans="1:28" ht="12.6" customHeight="1" x14ac:dyDescent="0.3">
      <c r="A3455" s="667"/>
      <c r="B3455" s="668" t="s">
        <v>10920</v>
      </c>
      <c r="C3455" s="160" t="s">
        <v>10921</v>
      </c>
      <c r="D3455" s="160"/>
      <c r="E3455" s="439"/>
      <c r="F3455" s="161">
        <v>548.00559158399994</v>
      </c>
      <c r="G3455" s="161"/>
      <c r="H3455" s="654"/>
      <c r="I3455" s="654"/>
      <c r="J3455" s="191"/>
      <c r="K3455" s="191">
        <v>221166.83345754599</v>
      </c>
      <c r="L3455" s="191"/>
      <c r="M3455" s="191"/>
      <c r="N3455" s="191"/>
      <c r="O3455" s="191"/>
      <c r="P3455" s="191"/>
      <c r="Q3455" s="191"/>
      <c r="R3455" s="191"/>
      <c r="S3455" s="191"/>
      <c r="T3455" s="191"/>
      <c r="U3455" s="439"/>
      <c r="V3455" s="441"/>
      <c r="W3455" s="178"/>
      <c r="X3455" s="172"/>
      <c r="Y3455" s="172"/>
      <c r="Z3455" s="172"/>
      <c r="AA3455" s="195"/>
      <c r="AB3455" s="172"/>
    </row>
    <row r="3456" spans="1:28" ht="12.6" customHeight="1" x14ac:dyDescent="0.3">
      <c r="A3456" s="667"/>
      <c r="B3456" s="668" t="s">
        <v>10922</v>
      </c>
      <c r="C3456" s="160" t="s">
        <v>10923</v>
      </c>
      <c r="D3456" s="160"/>
      <c r="E3456" s="439"/>
      <c r="F3456" s="161">
        <v>348.01836628000001</v>
      </c>
      <c r="G3456" s="161">
        <v>-69.382999999999996</v>
      </c>
      <c r="H3456" s="654">
        <v>2172.215346</v>
      </c>
      <c r="I3456" s="654">
        <v>1.4407960363992001</v>
      </c>
      <c r="J3456" s="191"/>
      <c r="K3456" s="191">
        <v>16573.720095214401</v>
      </c>
      <c r="L3456" s="191"/>
      <c r="M3456" s="191"/>
      <c r="N3456" s="191"/>
      <c r="O3456" s="191"/>
      <c r="P3456" s="191"/>
      <c r="Q3456" s="191"/>
      <c r="R3456" s="191"/>
      <c r="S3456" s="191"/>
      <c r="T3456" s="191"/>
      <c r="U3456" s="439"/>
      <c r="V3456" s="441"/>
      <c r="W3456" s="178"/>
      <c r="X3456" s="172"/>
      <c r="Y3456" s="172"/>
      <c r="Z3456" s="172"/>
      <c r="AA3456" s="195"/>
      <c r="AB3456" s="172"/>
    </row>
    <row r="3457" spans="1:28" ht="12.6" customHeight="1" x14ac:dyDescent="0.3">
      <c r="A3457" s="667"/>
      <c r="B3457" s="668" t="s">
        <v>10924</v>
      </c>
      <c r="C3457" s="160" t="s">
        <v>10925</v>
      </c>
      <c r="D3457" s="160"/>
      <c r="E3457" s="439"/>
      <c r="F3457" s="161">
        <v>298.021559954</v>
      </c>
      <c r="G3457" s="161"/>
      <c r="H3457" s="654"/>
      <c r="I3457" s="654"/>
      <c r="J3457" s="191"/>
      <c r="K3457" s="191">
        <v>4245.7068062640901</v>
      </c>
      <c r="L3457" s="191"/>
      <c r="M3457" s="191"/>
      <c r="N3457" s="191"/>
      <c r="O3457" s="191"/>
      <c r="P3457" s="191"/>
      <c r="Q3457" s="191"/>
      <c r="R3457" s="191"/>
      <c r="S3457" s="191"/>
      <c r="T3457" s="191"/>
      <c r="U3457" s="439"/>
      <c r="V3457" s="441"/>
      <c r="W3457" s="178"/>
      <c r="X3457" s="172"/>
      <c r="Y3457" s="172"/>
      <c r="Z3457" s="172"/>
      <c r="AA3457" s="195"/>
      <c r="AB3457" s="172"/>
    </row>
    <row r="3458" spans="1:28" ht="12.6" customHeight="1" x14ac:dyDescent="0.3">
      <c r="A3458" s="667"/>
      <c r="B3458" s="668" t="s">
        <v>10926</v>
      </c>
      <c r="C3458" s="160" t="s">
        <v>10927</v>
      </c>
      <c r="D3458" s="160"/>
      <c r="E3458" s="439"/>
      <c r="F3458" s="161">
        <v>248.02475362800001</v>
      </c>
      <c r="G3458" s="161">
        <v>-86.894000000000005</v>
      </c>
      <c r="H3458" s="654">
        <v>18150.990367999999</v>
      </c>
      <c r="I3458" s="654">
        <v>24.3497805824781</v>
      </c>
      <c r="J3458" s="191"/>
      <c r="K3458" s="191">
        <v>1422.0013215188801</v>
      </c>
      <c r="L3458" s="191"/>
      <c r="M3458" s="191"/>
      <c r="N3458" s="191"/>
      <c r="O3458" s="191"/>
      <c r="P3458" s="191"/>
      <c r="Q3458" s="191"/>
      <c r="R3458" s="191"/>
      <c r="S3458" s="191"/>
      <c r="T3458" s="191"/>
      <c r="U3458" s="439"/>
      <c r="V3458" s="441"/>
      <c r="W3458" s="178"/>
      <c r="X3458" s="172"/>
      <c r="Y3458" s="172"/>
      <c r="Z3458" s="172"/>
      <c r="AA3458" s="195"/>
      <c r="AB3458" s="172"/>
    </row>
    <row r="3459" spans="1:28" ht="12.6" customHeight="1" x14ac:dyDescent="0.3">
      <c r="A3459" s="667"/>
      <c r="B3459" s="668" t="s">
        <v>10928</v>
      </c>
      <c r="C3459" s="160" t="s">
        <v>10929</v>
      </c>
      <c r="D3459" s="160"/>
      <c r="E3459" s="439">
        <v>4.2590000000000003</v>
      </c>
      <c r="F3459" s="161">
        <v>312.059641355</v>
      </c>
      <c r="G3459" s="161">
        <v>1.915</v>
      </c>
      <c r="H3459" s="654">
        <v>7.8145090436000002</v>
      </c>
      <c r="I3459" s="654">
        <v>22.9212175410226</v>
      </c>
      <c r="J3459" s="191"/>
      <c r="K3459" s="191">
        <v>3987.6772441368998</v>
      </c>
      <c r="L3459" s="191"/>
      <c r="M3459" s="191"/>
      <c r="N3459" s="191"/>
      <c r="O3459" s="191"/>
      <c r="P3459" s="191"/>
      <c r="Q3459" s="191"/>
      <c r="R3459" s="191"/>
      <c r="S3459" s="191"/>
      <c r="T3459" s="191"/>
      <c r="U3459" s="439"/>
      <c r="V3459" s="441"/>
      <c r="W3459" s="178"/>
      <c r="X3459" s="172"/>
      <c r="Y3459" s="172"/>
      <c r="Z3459" s="172"/>
      <c r="AA3459" s="195"/>
      <c r="AB3459" s="172"/>
    </row>
    <row r="3460" spans="1:28" ht="12.6" customHeight="1" x14ac:dyDescent="0.3">
      <c r="A3460" s="667"/>
      <c r="B3460" s="668" t="s">
        <v>10930</v>
      </c>
      <c r="C3460" s="160" t="s">
        <v>10931</v>
      </c>
      <c r="D3460" s="160"/>
      <c r="E3460" s="439">
        <v>3.42</v>
      </c>
      <c r="F3460" s="161">
        <v>438.07357734200002</v>
      </c>
      <c r="G3460" s="161"/>
      <c r="H3460" s="654"/>
      <c r="I3460" s="654"/>
      <c r="J3460" s="191"/>
      <c r="K3460" s="191">
        <v>110652.186485414</v>
      </c>
      <c r="L3460" s="191"/>
      <c r="M3460" s="191"/>
      <c r="N3460" s="191"/>
      <c r="O3460" s="191"/>
      <c r="P3460" s="191"/>
      <c r="Q3460" s="191"/>
      <c r="R3460" s="191"/>
      <c r="S3460" s="191"/>
      <c r="T3460" s="191"/>
      <c r="U3460" s="439"/>
      <c r="V3460" s="441"/>
      <c r="W3460" s="178"/>
      <c r="X3460" s="172"/>
      <c r="Y3460" s="172"/>
      <c r="Z3460" s="172"/>
      <c r="AA3460" s="195"/>
      <c r="AB3460" s="172"/>
    </row>
    <row r="3461" spans="1:28" ht="12.6" customHeight="1" x14ac:dyDescent="0.3">
      <c r="A3461" s="667"/>
      <c r="B3461" s="668" t="s">
        <v>10932</v>
      </c>
      <c r="C3461" s="160" t="s">
        <v>10933</v>
      </c>
      <c r="D3461" s="160"/>
      <c r="E3461" s="439">
        <v>2.95</v>
      </c>
      <c r="F3461" s="161">
        <v>424.05792727800002</v>
      </c>
      <c r="G3461" s="161"/>
      <c r="H3461" s="654"/>
      <c r="I3461" s="654"/>
      <c r="J3461" s="191"/>
      <c r="K3461" s="191">
        <v>78519.947400537203</v>
      </c>
      <c r="L3461" s="191"/>
      <c r="M3461" s="191"/>
      <c r="N3461" s="191"/>
      <c r="O3461" s="191"/>
      <c r="P3461" s="191"/>
      <c r="Q3461" s="191"/>
      <c r="R3461" s="191"/>
      <c r="S3461" s="191"/>
      <c r="T3461" s="191"/>
      <c r="U3461" s="439"/>
      <c r="V3461" s="441"/>
      <c r="W3461" s="178"/>
      <c r="X3461" s="172"/>
      <c r="Y3461" s="172"/>
      <c r="Z3461" s="172"/>
      <c r="AA3461" s="195"/>
      <c r="AB3461" s="172"/>
    </row>
    <row r="3462" spans="1:28" ht="12.6" customHeight="1" x14ac:dyDescent="0.3">
      <c r="A3462" s="667"/>
      <c r="B3462" s="668" t="s">
        <v>10934</v>
      </c>
      <c r="C3462" s="160" t="s">
        <v>10935</v>
      </c>
      <c r="D3462" s="160"/>
      <c r="E3462" s="439">
        <v>3.95</v>
      </c>
      <c r="F3462" s="161">
        <v>438.07357734200002</v>
      </c>
      <c r="G3462" s="161"/>
      <c r="H3462" s="654"/>
      <c r="I3462" s="654"/>
      <c r="J3462" s="191"/>
      <c r="K3462" s="191">
        <v>58133.9723863892</v>
      </c>
      <c r="L3462" s="191"/>
      <c r="M3462" s="191"/>
      <c r="N3462" s="191"/>
      <c r="O3462" s="191"/>
      <c r="P3462" s="191"/>
      <c r="Q3462" s="191"/>
      <c r="R3462" s="191"/>
      <c r="S3462" s="191"/>
      <c r="T3462" s="191"/>
      <c r="U3462" s="439"/>
      <c r="V3462" s="441"/>
      <c r="W3462" s="178"/>
      <c r="X3462" s="172"/>
      <c r="Y3462" s="172"/>
      <c r="Z3462" s="172"/>
      <c r="AA3462" s="195"/>
      <c r="AB3462" s="172"/>
    </row>
    <row r="3463" spans="1:28" ht="12.6" customHeight="1" x14ac:dyDescent="0.3">
      <c r="A3463" s="667"/>
      <c r="B3463" s="668" t="s">
        <v>10936</v>
      </c>
      <c r="C3463" s="160" t="s">
        <v>10937</v>
      </c>
      <c r="D3463" s="160"/>
      <c r="E3463" s="439">
        <v>3.27</v>
      </c>
      <c r="F3463" s="161">
        <v>410.04227721400002</v>
      </c>
      <c r="G3463" s="161"/>
      <c r="H3463" s="654"/>
      <c r="I3463" s="654"/>
      <c r="J3463" s="191"/>
      <c r="K3463" s="191">
        <v>130626.111833672</v>
      </c>
      <c r="L3463" s="191"/>
      <c r="M3463" s="191"/>
      <c r="N3463" s="191"/>
      <c r="O3463" s="191"/>
      <c r="P3463" s="191"/>
      <c r="Q3463" s="191"/>
      <c r="R3463" s="191"/>
      <c r="S3463" s="191"/>
      <c r="T3463" s="191"/>
      <c r="U3463" s="439"/>
      <c r="V3463" s="441"/>
      <c r="W3463" s="178"/>
      <c r="X3463" s="172"/>
      <c r="Y3463" s="172"/>
      <c r="Z3463" s="172"/>
      <c r="AA3463" s="195"/>
      <c r="AB3463" s="172"/>
    </row>
    <row r="3464" spans="1:28" ht="12.6" customHeight="1" x14ac:dyDescent="0.3">
      <c r="A3464" s="667"/>
      <c r="B3464" s="668" t="s">
        <v>10938</v>
      </c>
      <c r="C3464" s="160" t="s">
        <v>10939</v>
      </c>
      <c r="D3464" s="160"/>
      <c r="E3464" s="439">
        <v>3.84</v>
      </c>
      <c r="F3464" s="161">
        <v>422.07866272199999</v>
      </c>
      <c r="G3464" s="161"/>
      <c r="H3464" s="654"/>
      <c r="I3464" s="654"/>
      <c r="J3464" s="191"/>
      <c r="K3464" s="191">
        <v>203212.304065704</v>
      </c>
      <c r="L3464" s="191"/>
      <c r="M3464" s="191"/>
      <c r="N3464" s="191"/>
      <c r="O3464" s="191"/>
      <c r="P3464" s="191"/>
      <c r="Q3464" s="191"/>
      <c r="R3464" s="191"/>
      <c r="S3464" s="191"/>
      <c r="T3464" s="191"/>
      <c r="U3464" s="439"/>
      <c r="V3464" s="441"/>
      <c r="W3464" s="178"/>
      <c r="X3464" s="172"/>
      <c r="Y3464" s="172"/>
      <c r="Z3464" s="172"/>
      <c r="AA3464" s="195"/>
      <c r="AB3464" s="172"/>
    </row>
    <row r="3465" spans="1:28" ht="12.6" customHeight="1" x14ac:dyDescent="0.3">
      <c r="A3465" s="667"/>
      <c r="B3465" s="668" t="s">
        <v>10940</v>
      </c>
      <c r="C3465" s="160" t="s">
        <v>10941</v>
      </c>
      <c r="D3465" s="160"/>
      <c r="E3465" s="439">
        <v>3.35</v>
      </c>
      <c r="F3465" s="161">
        <v>408.06301265799999</v>
      </c>
      <c r="G3465" s="161"/>
      <c r="H3465" s="654"/>
      <c r="I3465" s="654"/>
      <c r="J3465" s="191"/>
      <c r="K3465" s="191">
        <v>227457.36305361899</v>
      </c>
      <c r="L3465" s="191"/>
      <c r="M3465" s="191"/>
      <c r="N3465" s="191"/>
      <c r="O3465" s="191"/>
      <c r="P3465" s="191"/>
      <c r="Q3465" s="191"/>
      <c r="R3465" s="191"/>
      <c r="S3465" s="191"/>
      <c r="T3465" s="191"/>
      <c r="U3465" s="439"/>
      <c r="V3465" s="441"/>
      <c r="W3465" s="178"/>
      <c r="X3465" s="172"/>
      <c r="Y3465" s="172"/>
      <c r="Z3465" s="172"/>
      <c r="AA3465" s="195"/>
      <c r="AB3465" s="172"/>
    </row>
    <row r="3466" spans="1:28" ht="12.6" customHeight="1" x14ac:dyDescent="0.3">
      <c r="A3466" s="667"/>
      <c r="B3466" s="668" t="s">
        <v>10942</v>
      </c>
      <c r="C3466" s="160" t="s">
        <v>10943</v>
      </c>
      <c r="D3466" s="160"/>
      <c r="E3466" s="439">
        <v>4.3600000000000003</v>
      </c>
      <c r="F3466" s="161">
        <v>422.07866272199999</v>
      </c>
      <c r="G3466" s="161"/>
      <c r="H3466" s="654"/>
      <c r="I3466" s="654"/>
      <c r="J3466" s="191"/>
      <c r="K3466" s="191">
        <v>252417.81323250601</v>
      </c>
      <c r="L3466" s="191"/>
      <c r="M3466" s="191"/>
      <c r="N3466" s="191"/>
      <c r="O3466" s="191"/>
      <c r="P3466" s="191"/>
      <c r="Q3466" s="191"/>
      <c r="R3466" s="191"/>
      <c r="S3466" s="191"/>
      <c r="T3466" s="191"/>
      <c r="U3466" s="439"/>
      <c r="V3466" s="441"/>
      <c r="W3466" s="178"/>
      <c r="X3466" s="172"/>
      <c r="Y3466" s="172"/>
      <c r="Z3466" s="172"/>
      <c r="AA3466" s="195"/>
      <c r="AB3466" s="172"/>
    </row>
    <row r="3467" spans="1:28" ht="12.6" customHeight="1" x14ac:dyDescent="0.3">
      <c r="A3467" s="667"/>
      <c r="B3467" s="668" t="s">
        <v>10944</v>
      </c>
      <c r="C3467" s="160" t="s">
        <v>10945</v>
      </c>
      <c r="D3467" s="160"/>
      <c r="E3467" s="439">
        <v>3.69</v>
      </c>
      <c r="F3467" s="161">
        <v>394.04736259399999</v>
      </c>
      <c r="G3467" s="161"/>
      <c r="H3467" s="654"/>
      <c r="I3467" s="654"/>
      <c r="J3467" s="191"/>
      <c r="K3467" s="191">
        <v>79637.936777066905</v>
      </c>
      <c r="L3467" s="191"/>
      <c r="M3467" s="191"/>
      <c r="N3467" s="191"/>
      <c r="O3467" s="191"/>
      <c r="P3467" s="191"/>
      <c r="Q3467" s="191"/>
      <c r="R3467" s="191"/>
      <c r="S3467" s="191"/>
      <c r="T3467" s="191"/>
      <c r="U3467" s="439"/>
      <c r="V3467" s="441"/>
      <c r="W3467" s="178"/>
      <c r="X3467" s="172"/>
      <c r="Y3467" s="172"/>
      <c r="Z3467" s="172"/>
      <c r="AA3467" s="195"/>
      <c r="AB3467" s="172"/>
    </row>
    <row r="3468" spans="1:28" ht="12.6" customHeight="1" x14ac:dyDescent="0.3">
      <c r="A3468" s="667"/>
      <c r="B3468" s="668" t="s">
        <v>10946</v>
      </c>
      <c r="C3468" s="160" t="s">
        <v>10947</v>
      </c>
      <c r="D3468" s="160"/>
      <c r="E3468" s="439">
        <v>1.73</v>
      </c>
      <c r="F3468" s="161">
        <v>396.02662714899998</v>
      </c>
      <c r="G3468" s="161"/>
      <c r="H3468" s="654"/>
      <c r="I3468" s="654"/>
      <c r="J3468" s="191"/>
      <c r="K3468" s="191">
        <v>135872.00996452599</v>
      </c>
      <c r="L3468" s="191"/>
      <c r="M3468" s="191"/>
      <c r="N3468" s="191"/>
      <c r="O3468" s="191"/>
      <c r="P3468" s="191"/>
      <c r="Q3468" s="191"/>
      <c r="R3468" s="191"/>
      <c r="S3468" s="191"/>
      <c r="T3468" s="191"/>
      <c r="U3468" s="439"/>
      <c r="V3468" s="441"/>
      <c r="W3468" s="178"/>
      <c r="X3468" s="172"/>
      <c r="Y3468" s="172"/>
      <c r="Z3468" s="172"/>
      <c r="AA3468" s="195"/>
      <c r="AB3468" s="172"/>
    </row>
    <row r="3469" spans="1:28" ht="12.6" customHeight="1" x14ac:dyDescent="0.3">
      <c r="A3469" s="667"/>
      <c r="B3469" s="668" t="s">
        <v>10948</v>
      </c>
      <c r="C3469" s="160" t="s">
        <v>10949</v>
      </c>
      <c r="D3469" s="160"/>
      <c r="E3469" s="439">
        <v>2.14</v>
      </c>
      <c r="F3469" s="161">
        <v>380.031712529</v>
      </c>
      <c r="G3469" s="161"/>
      <c r="H3469" s="654"/>
      <c r="I3469" s="654"/>
      <c r="J3469" s="191"/>
      <c r="K3469" s="191">
        <v>253273.64466067101</v>
      </c>
      <c r="L3469" s="191"/>
      <c r="M3469" s="191"/>
      <c r="N3469" s="191"/>
      <c r="O3469" s="191"/>
      <c r="P3469" s="191"/>
      <c r="Q3469" s="191"/>
      <c r="R3469" s="191"/>
      <c r="S3469" s="191"/>
      <c r="T3469" s="191"/>
      <c r="U3469" s="439"/>
      <c r="V3469" s="441"/>
      <c r="W3469" s="178"/>
      <c r="X3469" s="172"/>
      <c r="Y3469" s="172"/>
      <c r="Z3469" s="172"/>
      <c r="AA3469" s="195"/>
      <c r="AB3469" s="172"/>
    </row>
    <row r="3470" spans="1:28" ht="12.6" customHeight="1" x14ac:dyDescent="0.3">
      <c r="A3470" s="667"/>
      <c r="B3470" s="668" t="s">
        <v>10950</v>
      </c>
      <c r="C3470" s="160" t="s">
        <v>10951</v>
      </c>
      <c r="D3470" s="160"/>
      <c r="E3470" s="439">
        <v>4.8899999999999997</v>
      </c>
      <c r="F3470" s="161">
        <v>392.06809803800002</v>
      </c>
      <c r="G3470" s="161"/>
      <c r="H3470" s="654"/>
      <c r="I3470" s="654"/>
      <c r="J3470" s="191"/>
      <c r="K3470" s="191">
        <v>1248820.44459039</v>
      </c>
      <c r="L3470" s="191"/>
      <c r="M3470" s="191"/>
      <c r="N3470" s="191"/>
      <c r="O3470" s="191"/>
      <c r="P3470" s="191"/>
      <c r="Q3470" s="191"/>
      <c r="R3470" s="191"/>
      <c r="S3470" s="191"/>
      <c r="T3470" s="191"/>
      <c r="U3470" s="439"/>
      <c r="V3470" s="441"/>
      <c r="W3470" s="178"/>
      <c r="X3470" s="172"/>
      <c r="Y3470" s="172"/>
      <c r="Z3470" s="172"/>
      <c r="AA3470" s="195"/>
      <c r="AB3470" s="172"/>
    </row>
    <row r="3471" spans="1:28" ht="12.6" customHeight="1" x14ac:dyDescent="0.3">
      <c r="A3471" s="667"/>
      <c r="B3471" s="668" t="s">
        <v>10952</v>
      </c>
      <c r="C3471" s="160" t="s">
        <v>10953</v>
      </c>
      <c r="D3471" s="160"/>
      <c r="E3471" s="439">
        <v>5.7</v>
      </c>
      <c r="F3471" s="161">
        <v>406.08374810200002</v>
      </c>
      <c r="G3471" s="161"/>
      <c r="H3471" s="654"/>
      <c r="I3471" s="654"/>
      <c r="J3471" s="191"/>
      <c r="K3471" s="191">
        <v>2203433.7640198702</v>
      </c>
      <c r="L3471" s="191"/>
      <c r="M3471" s="191"/>
      <c r="N3471" s="191"/>
      <c r="O3471" s="191"/>
      <c r="P3471" s="191"/>
      <c r="Q3471" s="191"/>
      <c r="R3471" s="191"/>
      <c r="S3471" s="191"/>
      <c r="T3471" s="191"/>
      <c r="U3471" s="439"/>
      <c r="V3471" s="441"/>
      <c r="W3471" s="178"/>
      <c r="X3471" s="172"/>
      <c r="Y3471" s="172"/>
      <c r="Z3471" s="172"/>
      <c r="AA3471" s="195"/>
      <c r="AB3471" s="172"/>
    </row>
    <row r="3472" spans="1:28" ht="12.6" customHeight="1" x14ac:dyDescent="0.3">
      <c r="A3472" s="667"/>
      <c r="B3472" s="668" t="s">
        <v>10954</v>
      </c>
      <c r="C3472" s="160" t="s">
        <v>10955</v>
      </c>
      <c r="D3472" s="160"/>
      <c r="E3472" s="439">
        <v>5.54</v>
      </c>
      <c r="F3472" s="161">
        <v>406.08374810200002</v>
      </c>
      <c r="G3472" s="161"/>
      <c r="H3472" s="654"/>
      <c r="I3472" s="654"/>
      <c r="J3472" s="191"/>
      <c r="K3472" s="191">
        <v>695985.19276478805</v>
      </c>
      <c r="L3472" s="191"/>
      <c r="M3472" s="191"/>
      <c r="N3472" s="191"/>
      <c r="O3472" s="191"/>
      <c r="P3472" s="191"/>
      <c r="Q3472" s="191"/>
      <c r="R3472" s="191"/>
      <c r="S3472" s="191"/>
      <c r="T3472" s="191"/>
      <c r="U3472" s="439"/>
      <c r="V3472" s="441"/>
      <c r="W3472" s="178"/>
      <c r="X3472" s="172"/>
      <c r="Y3472" s="172"/>
      <c r="Z3472" s="172"/>
      <c r="AA3472" s="195"/>
      <c r="AB3472" s="172"/>
    </row>
    <row r="3473" spans="1:28" ht="12.6" customHeight="1" x14ac:dyDescent="0.3">
      <c r="A3473" s="667"/>
      <c r="B3473" s="668" t="s">
        <v>10956</v>
      </c>
      <c r="C3473" s="160" t="s">
        <v>10957</v>
      </c>
      <c r="D3473" s="160"/>
      <c r="E3473" s="439">
        <v>3.57</v>
      </c>
      <c r="F3473" s="161">
        <v>364.03679790899997</v>
      </c>
      <c r="G3473" s="161"/>
      <c r="H3473" s="654"/>
      <c r="I3473" s="654"/>
      <c r="J3473" s="191"/>
      <c r="K3473" s="191">
        <v>1074063.6034640099</v>
      </c>
      <c r="L3473" s="191"/>
      <c r="M3473" s="191"/>
      <c r="N3473" s="191"/>
      <c r="O3473" s="191"/>
      <c r="P3473" s="191"/>
      <c r="Q3473" s="191"/>
      <c r="R3473" s="191"/>
      <c r="S3473" s="191"/>
      <c r="T3473" s="191"/>
      <c r="U3473" s="439"/>
      <c r="V3473" s="441"/>
      <c r="W3473" s="178"/>
      <c r="X3473" s="172"/>
      <c r="Y3473" s="172"/>
      <c r="Z3473" s="172"/>
      <c r="AA3473" s="195"/>
      <c r="AB3473" s="172"/>
    </row>
    <row r="3474" spans="1:28" ht="12.6" customHeight="1" x14ac:dyDescent="0.3">
      <c r="A3474" s="667"/>
      <c r="B3474" s="668" t="s">
        <v>10958</v>
      </c>
      <c r="C3474" s="160" t="s">
        <v>10959</v>
      </c>
      <c r="D3474" s="160"/>
      <c r="E3474" s="439">
        <v>1</v>
      </c>
      <c r="F3474" s="161">
        <v>323.03117409999999</v>
      </c>
      <c r="G3474" s="161"/>
      <c r="H3474" s="654"/>
      <c r="I3474" s="654"/>
      <c r="J3474" s="191"/>
      <c r="K3474" s="191">
        <v>82485.953687518399</v>
      </c>
      <c r="L3474" s="191"/>
      <c r="M3474" s="191"/>
      <c r="N3474" s="191"/>
      <c r="O3474" s="191"/>
      <c r="P3474" s="191"/>
      <c r="Q3474" s="191"/>
      <c r="R3474" s="191"/>
      <c r="S3474" s="191"/>
      <c r="T3474" s="191"/>
      <c r="U3474" s="439"/>
      <c r="V3474" s="441"/>
      <c r="W3474" s="178"/>
      <c r="X3474" s="172"/>
      <c r="Y3474" s="172"/>
      <c r="Z3474" s="172"/>
      <c r="AA3474" s="195"/>
      <c r="AB3474" s="172"/>
    </row>
    <row r="3475" spans="1:28" ht="12.6" customHeight="1" x14ac:dyDescent="0.3">
      <c r="A3475" s="667"/>
      <c r="B3475" s="668" t="s">
        <v>10960</v>
      </c>
      <c r="C3475" s="160" t="s">
        <v>10961</v>
      </c>
      <c r="D3475" s="160"/>
      <c r="E3475" s="439">
        <v>9</v>
      </c>
      <c r="F3475" s="161">
        <v>289.07014646699997</v>
      </c>
      <c r="G3475" s="161"/>
      <c r="H3475" s="654"/>
      <c r="I3475" s="654"/>
      <c r="J3475" s="191"/>
      <c r="K3475" s="191">
        <v>126919.981463433</v>
      </c>
      <c r="L3475" s="191"/>
      <c r="M3475" s="191"/>
      <c r="N3475" s="191"/>
      <c r="O3475" s="191"/>
      <c r="P3475" s="191"/>
      <c r="Q3475" s="191"/>
      <c r="R3475" s="191"/>
      <c r="S3475" s="191"/>
      <c r="T3475" s="191"/>
      <c r="U3475" s="439"/>
      <c r="V3475" s="441"/>
      <c r="W3475" s="178"/>
      <c r="X3475" s="172"/>
      <c r="Y3475" s="172"/>
      <c r="Z3475" s="172"/>
      <c r="AA3475" s="195"/>
      <c r="AB3475" s="172"/>
    </row>
    <row r="3476" spans="1:28" ht="12.6" customHeight="1" x14ac:dyDescent="0.3">
      <c r="A3476" s="667"/>
      <c r="B3476" s="668" t="s">
        <v>10962</v>
      </c>
      <c r="C3476" s="160" t="s">
        <v>10963</v>
      </c>
      <c r="D3476" s="160"/>
      <c r="E3476" s="439"/>
      <c r="F3476" s="161">
        <v>240.038511986</v>
      </c>
      <c r="G3476" s="161"/>
      <c r="H3476" s="654"/>
      <c r="I3476" s="654"/>
      <c r="J3476" s="191"/>
      <c r="K3476" s="191">
        <v>83774.144206254205</v>
      </c>
      <c r="L3476" s="191"/>
      <c r="M3476" s="191"/>
      <c r="N3476" s="191"/>
      <c r="O3476" s="191"/>
      <c r="P3476" s="191"/>
      <c r="Q3476" s="191"/>
      <c r="R3476" s="191"/>
      <c r="S3476" s="191"/>
      <c r="T3476" s="191"/>
      <c r="U3476" s="439"/>
      <c r="V3476" s="441"/>
      <c r="W3476" s="178"/>
      <c r="X3476" s="172"/>
      <c r="Y3476" s="172"/>
      <c r="Z3476" s="172"/>
      <c r="AA3476" s="195"/>
      <c r="AB3476" s="172"/>
    </row>
    <row r="3477" spans="1:28" ht="12.6" customHeight="1" x14ac:dyDescent="0.3">
      <c r="A3477" s="667"/>
      <c r="B3477" s="668" t="s">
        <v>10964</v>
      </c>
      <c r="C3477" s="160" t="s">
        <v>10965</v>
      </c>
      <c r="D3477" s="160"/>
      <c r="E3477" s="439"/>
      <c r="F3477" s="161">
        <v>562.021241648</v>
      </c>
      <c r="G3477" s="161"/>
      <c r="H3477" s="654"/>
      <c r="I3477" s="654"/>
      <c r="J3477" s="191"/>
      <c r="K3477" s="191">
        <v>236646.453335256</v>
      </c>
      <c r="L3477" s="191"/>
      <c r="M3477" s="191"/>
      <c r="N3477" s="191"/>
      <c r="O3477" s="191"/>
      <c r="P3477" s="191"/>
      <c r="Q3477" s="191"/>
      <c r="R3477" s="191"/>
      <c r="S3477" s="191"/>
      <c r="T3477" s="191"/>
      <c r="U3477" s="439"/>
      <c r="V3477" s="441"/>
      <c r="W3477" s="178"/>
      <c r="X3477" s="172"/>
      <c r="Y3477" s="172"/>
      <c r="Z3477" s="172"/>
      <c r="AA3477" s="195"/>
      <c r="AB3477" s="172"/>
    </row>
    <row r="3478" spans="1:28" ht="12.6" customHeight="1" x14ac:dyDescent="0.3">
      <c r="A3478" s="667"/>
      <c r="B3478" s="668" t="s">
        <v>10966</v>
      </c>
      <c r="C3478" s="160" t="s">
        <v>10967</v>
      </c>
      <c r="D3478" s="160"/>
      <c r="E3478" s="439"/>
      <c r="F3478" s="161">
        <v>462.02762899599998</v>
      </c>
      <c r="G3478" s="161"/>
      <c r="H3478" s="654"/>
      <c r="I3478" s="654"/>
      <c r="J3478" s="191"/>
      <c r="K3478" s="191">
        <v>141641.33127412299</v>
      </c>
      <c r="L3478" s="191"/>
      <c r="M3478" s="191"/>
      <c r="N3478" s="191"/>
      <c r="O3478" s="191"/>
      <c r="P3478" s="191"/>
      <c r="Q3478" s="191"/>
      <c r="R3478" s="191"/>
      <c r="S3478" s="191"/>
      <c r="T3478" s="191"/>
      <c r="U3478" s="439"/>
      <c r="V3478" s="441"/>
      <c r="W3478" s="178"/>
      <c r="X3478" s="172"/>
      <c r="Y3478" s="172"/>
      <c r="Z3478" s="172"/>
      <c r="AA3478" s="195"/>
      <c r="AB3478" s="172"/>
    </row>
    <row r="3479" spans="1:28" ht="12.6" customHeight="1" x14ac:dyDescent="0.3">
      <c r="A3479" s="667"/>
      <c r="B3479" s="668" t="s">
        <v>10968</v>
      </c>
      <c r="C3479" s="160" t="s">
        <v>10969</v>
      </c>
      <c r="D3479" s="160"/>
      <c r="E3479" s="439"/>
      <c r="F3479" s="161">
        <v>312.037210018</v>
      </c>
      <c r="G3479" s="161"/>
      <c r="H3479" s="654"/>
      <c r="I3479" s="654"/>
      <c r="J3479" s="191"/>
      <c r="K3479" s="191">
        <v>43284.260289529702</v>
      </c>
      <c r="L3479" s="191"/>
      <c r="M3479" s="191"/>
      <c r="N3479" s="191"/>
      <c r="O3479" s="191"/>
      <c r="P3479" s="191"/>
      <c r="Q3479" s="191"/>
      <c r="R3479" s="191"/>
      <c r="S3479" s="191"/>
      <c r="T3479" s="191"/>
      <c r="U3479" s="439"/>
      <c r="V3479" s="441"/>
      <c r="W3479" s="178"/>
      <c r="X3479" s="172"/>
      <c r="Y3479" s="172"/>
      <c r="Z3479" s="172"/>
      <c r="AA3479" s="195"/>
      <c r="AB3479" s="172"/>
    </row>
    <row r="3480" spans="1:28" ht="12.6" customHeight="1" x14ac:dyDescent="0.3">
      <c r="A3480" s="667"/>
      <c r="B3480" s="668" t="s">
        <v>10970</v>
      </c>
      <c r="C3480" s="160" t="s">
        <v>10971</v>
      </c>
      <c r="D3480" s="160"/>
      <c r="E3480" s="439"/>
      <c r="F3480" s="161">
        <v>262.04040369199998</v>
      </c>
      <c r="G3480" s="161"/>
      <c r="H3480" s="654"/>
      <c r="I3480" s="654"/>
      <c r="J3480" s="191"/>
      <c r="K3480" s="191">
        <v>35584.428886922702</v>
      </c>
      <c r="L3480" s="191"/>
      <c r="M3480" s="191"/>
      <c r="N3480" s="191"/>
      <c r="O3480" s="191"/>
      <c r="P3480" s="191"/>
      <c r="Q3480" s="191"/>
      <c r="R3480" s="191"/>
      <c r="S3480" s="191"/>
      <c r="T3480" s="191"/>
      <c r="U3480" s="439"/>
      <c r="V3480" s="441"/>
      <c r="W3480" s="178"/>
      <c r="X3480" s="172"/>
      <c r="Y3480" s="172"/>
      <c r="Z3480" s="172"/>
      <c r="AA3480" s="195"/>
      <c r="AB3480" s="172"/>
    </row>
    <row r="3481" spans="1:28" ht="12.6" customHeight="1" x14ac:dyDescent="0.3">
      <c r="A3481" s="667"/>
      <c r="B3481" s="668" t="s">
        <v>10972</v>
      </c>
      <c r="C3481" s="160" t="s">
        <v>10973</v>
      </c>
      <c r="D3481" s="160"/>
      <c r="E3481" s="439"/>
      <c r="F3481" s="161">
        <v>212.043597366</v>
      </c>
      <c r="G3481" s="161"/>
      <c r="H3481" s="654"/>
      <c r="I3481" s="654"/>
      <c r="J3481" s="191"/>
      <c r="K3481" s="191">
        <v>75611.873659997</v>
      </c>
      <c r="L3481" s="191"/>
      <c r="M3481" s="191"/>
      <c r="N3481" s="191"/>
      <c r="O3481" s="191"/>
      <c r="P3481" s="191"/>
      <c r="Q3481" s="191"/>
      <c r="R3481" s="191"/>
      <c r="S3481" s="191"/>
      <c r="T3481" s="191"/>
      <c r="U3481" s="439"/>
      <c r="V3481" s="441"/>
      <c r="W3481" s="178"/>
      <c r="X3481" s="172"/>
      <c r="Y3481" s="172"/>
      <c r="Z3481" s="172"/>
      <c r="AA3481" s="195"/>
      <c r="AB3481" s="172"/>
    </row>
    <row r="3482" spans="1:28" ht="12.6" customHeight="1" x14ac:dyDescent="0.3">
      <c r="A3482" s="667"/>
      <c r="B3482" s="668" t="s">
        <v>10974</v>
      </c>
      <c r="C3482" s="160" t="s">
        <v>10975</v>
      </c>
      <c r="D3482" s="160"/>
      <c r="E3482" s="439"/>
      <c r="F3482" s="161">
        <v>676.03050436499996</v>
      </c>
      <c r="G3482" s="161"/>
      <c r="H3482" s="654"/>
      <c r="I3482" s="654"/>
      <c r="J3482" s="191"/>
      <c r="K3482" s="191">
        <v>321084.987225827</v>
      </c>
      <c r="L3482" s="191"/>
      <c r="M3482" s="191"/>
      <c r="N3482" s="191"/>
      <c r="O3482" s="191"/>
      <c r="P3482" s="191"/>
      <c r="Q3482" s="191"/>
      <c r="R3482" s="191"/>
      <c r="S3482" s="191"/>
      <c r="T3482" s="191"/>
      <c r="U3482" s="439"/>
      <c r="V3482" s="441"/>
      <c r="W3482" s="178"/>
      <c r="X3482" s="172"/>
      <c r="Y3482" s="172"/>
      <c r="Z3482" s="172"/>
      <c r="AA3482" s="195"/>
      <c r="AB3482" s="172"/>
    </row>
    <row r="3483" spans="1:28" ht="12.6" customHeight="1" x14ac:dyDescent="0.3">
      <c r="A3483" s="667"/>
      <c r="B3483" s="668" t="s">
        <v>10976</v>
      </c>
      <c r="C3483" s="160" t="s">
        <v>10977</v>
      </c>
      <c r="D3483" s="160"/>
      <c r="E3483" s="439"/>
      <c r="F3483" s="161">
        <v>576.03689171300005</v>
      </c>
      <c r="G3483" s="161"/>
      <c r="H3483" s="654"/>
      <c r="I3483" s="654"/>
      <c r="J3483" s="191"/>
      <c r="K3483" s="191">
        <v>394929.88612357702</v>
      </c>
      <c r="L3483" s="191"/>
      <c r="M3483" s="191"/>
      <c r="N3483" s="191"/>
      <c r="O3483" s="191"/>
      <c r="P3483" s="191"/>
      <c r="Q3483" s="191"/>
      <c r="R3483" s="191"/>
      <c r="S3483" s="191"/>
      <c r="T3483" s="191"/>
      <c r="U3483" s="439"/>
      <c r="V3483" s="441"/>
      <c r="W3483" s="178"/>
      <c r="X3483" s="172"/>
      <c r="Y3483" s="172"/>
      <c r="Z3483" s="172"/>
      <c r="AA3483" s="195"/>
      <c r="AB3483" s="172"/>
    </row>
    <row r="3484" spans="1:28" ht="12.6" customHeight="1" x14ac:dyDescent="0.3">
      <c r="A3484" s="667"/>
      <c r="B3484" s="668" t="s">
        <v>10978</v>
      </c>
      <c r="C3484" s="160" t="s">
        <v>10979</v>
      </c>
      <c r="D3484" s="160"/>
      <c r="E3484" s="439"/>
      <c r="F3484" s="161">
        <v>476.04327906100002</v>
      </c>
      <c r="G3484" s="161"/>
      <c r="H3484" s="654"/>
      <c r="I3484" s="654"/>
      <c r="J3484" s="191"/>
      <c r="K3484" s="191">
        <v>147972.155435408</v>
      </c>
      <c r="L3484" s="191"/>
      <c r="M3484" s="191"/>
      <c r="N3484" s="191"/>
      <c r="O3484" s="191"/>
      <c r="P3484" s="191"/>
      <c r="Q3484" s="191"/>
      <c r="R3484" s="191"/>
      <c r="S3484" s="191"/>
      <c r="T3484" s="191"/>
      <c r="U3484" s="439"/>
      <c r="V3484" s="441"/>
      <c r="W3484" s="178"/>
      <c r="X3484" s="172"/>
      <c r="Y3484" s="172"/>
      <c r="Z3484" s="172"/>
      <c r="AA3484" s="195"/>
      <c r="AB3484" s="172"/>
    </row>
    <row r="3485" spans="1:28" ht="12.6" customHeight="1" x14ac:dyDescent="0.3">
      <c r="A3485" s="667"/>
      <c r="B3485" s="668" t="s">
        <v>10980</v>
      </c>
      <c r="C3485" s="160" t="s">
        <v>10981</v>
      </c>
      <c r="D3485" s="160"/>
      <c r="E3485" s="439"/>
      <c r="F3485" s="161">
        <v>376.049666409</v>
      </c>
      <c r="G3485" s="161">
        <v>-67.59</v>
      </c>
      <c r="H3485" s="654">
        <v>250.55470104</v>
      </c>
      <c r="I3485" s="654">
        <v>0.76602821246178898</v>
      </c>
      <c r="J3485" s="191"/>
      <c r="K3485" s="191">
        <v>199696.29159523599</v>
      </c>
      <c r="L3485" s="191"/>
      <c r="M3485" s="191"/>
      <c r="N3485" s="191"/>
      <c r="O3485" s="191"/>
      <c r="P3485" s="191"/>
      <c r="Q3485" s="191"/>
      <c r="R3485" s="191"/>
      <c r="S3485" s="191"/>
      <c r="T3485" s="191"/>
      <c r="U3485" s="439"/>
      <c r="V3485" s="441"/>
      <c r="W3485" s="178"/>
      <c r="X3485" s="172"/>
      <c r="Y3485" s="172"/>
      <c r="Z3485" s="172"/>
      <c r="AA3485" s="195"/>
      <c r="AB3485" s="172"/>
    </row>
    <row r="3486" spans="1:28" ht="12.6" customHeight="1" x14ac:dyDescent="0.3">
      <c r="A3486" s="667"/>
      <c r="B3486" s="668" t="s">
        <v>10982</v>
      </c>
      <c r="C3486" s="160" t="s">
        <v>10983</v>
      </c>
      <c r="D3486" s="160"/>
      <c r="E3486" s="439"/>
      <c r="F3486" s="161">
        <v>276.05605375699997</v>
      </c>
      <c r="G3486" s="161"/>
      <c r="H3486" s="654"/>
      <c r="I3486" s="654"/>
      <c r="J3486" s="191"/>
      <c r="K3486" s="191">
        <v>111349.943242314</v>
      </c>
      <c r="L3486" s="191"/>
      <c r="M3486" s="191"/>
      <c r="N3486" s="191"/>
      <c r="O3486" s="191"/>
      <c r="P3486" s="191"/>
      <c r="Q3486" s="191"/>
      <c r="R3486" s="191"/>
      <c r="S3486" s="191"/>
      <c r="T3486" s="191"/>
      <c r="U3486" s="439"/>
      <c r="V3486" s="441"/>
      <c r="W3486" s="178"/>
      <c r="X3486" s="172"/>
      <c r="Y3486" s="172"/>
      <c r="Z3486" s="172"/>
      <c r="AA3486" s="195"/>
      <c r="AB3486" s="172"/>
    </row>
    <row r="3487" spans="1:28" ht="12.6" customHeight="1" x14ac:dyDescent="0.3">
      <c r="A3487" s="667"/>
      <c r="B3487" s="668" t="s">
        <v>10984</v>
      </c>
      <c r="C3487" s="160" t="s">
        <v>10985</v>
      </c>
      <c r="D3487" s="160"/>
      <c r="E3487" s="439"/>
      <c r="F3487" s="161">
        <v>226.05924743099999</v>
      </c>
      <c r="G3487" s="161">
        <v>-82.268000000000001</v>
      </c>
      <c r="H3487" s="654">
        <v>3227.7656166000002</v>
      </c>
      <c r="I3487" s="654">
        <v>27.303661963963599</v>
      </c>
      <c r="J3487" s="191"/>
      <c r="K3487" s="191">
        <v>92225.283729414194</v>
      </c>
      <c r="L3487" s="191"/>
      <c r="M3487" s="191"/>
      <c r="N3487" s="191"/>
      <c r="O3487" s="191"/>
      <c r="P3487" s="191"/>
      <c r="Q3487" s="191"/>
      <c r="R3487" s="191"/>
      <c r="S3487" s="191"/>
      <c r="T3487" s="191"/>
      <c r="U3487" s="439"/>
      <c r="V3487" s="441"/>
      <c r="W3487" s="178"/>
      <c r="X3487" s="172"/>
      <c r="Y3487" s="172"/>
      <c r="Z3487" s="172"/>
      <c r="AA3487" s="195"/>
      <c r="AB3487" s="172"/>
    </row>
    <row r="3488" spans="1:28" ht="12.6" customHeight="1" x14ac:dyDescent="0.3">
      <c r="A3488" s="667"/>
      <c r="B3488" s="668" t="s">
        <v>10986</v>
      </c>
      <c r="C3488" s="160" t="s">
        <v>10987</v>
      </c>
      <c r="D3488" s="160"/>
      <c r="E3488" s="439">
        <v>7.18</v>
      </c>
      <c r="F3488" s="161">
        <v>682.30168314399998</v>
      </c>
      <c r="G3488" s="161"/>
      <c r="H3488" s="654"/>
      <c r="I3488" s="654"/>
      <c r="J3488" s="191"/>
      <c r="K3488" s="191">
        <v>3228419783.7441101</v>
      </c>
      <c r="L3488" s="191"/>
      <c r="M3488" s="191"/>
      <c r="N3488" s="191"/>
      <c r="O3488" s="191"/>
      <c r="P3488" s="191"/>
      <c r="Q3488" s="191"/>
      <c r="R3488" s="191"/>
      <c r="S3488" s="191"/>
      <c r="T3488" s="191"/>
      <c r="U3488" s="439"/>
      <c r="V3488" s="441"/>
      <c r="W3488" s="178"/>
      <c r="X3488" s="172"/>
      <c r="Y3488" s="172"/>
      <c r="Z3488" s="172"/>
      <c r="AA3488" s="195"/>
      <c r="AB3488" s="172"/>
    </row>
    <row r="3489" spans="1:28" ht="12.6" customHeight="1" x14ac:dyDescent="0.3">
      <c r="A3489" s="667"/>
      <c r="B3489" s="668" t="s">
        <v>10988</v>
      </c>
      <c r="C3489" s="160" t="s">
        <v>10989</v>
      </c>
      <c r="D3489" s="160"/>
      <c r="E3489" s="439"/>
      <c r="F3489" s="161">
        <v>590.05254177699999</v>
      </c>
      <c r="G3489" s="161"/>
      <c r="H3489" s="654"/>
      <c r="I3489" s="654"/>
      <c r="J3489" s="191"/>
      <c r="K3489" s="191">
        <v>389502.27622174902</v>
      </c>
      <c r="L3489" s="191"/>
      <c r="M3489" s="191"/>
      <c r="N3489" s="191"/>
      <c r="O3489" s="191"/>
      <c r="P3489" s="191"/>
      <c r="Q3489" s="191"/>
      <c r="R3489" s="191"/>
      <c r="S3489" s="191"/>
      <c r="T3489" s="191"/>
      <c r="U3489" s="439"/>
      <c r="V3489" s="441"/>
      <c r="W3489" s="178"/>
      <c r="X3489" s="172"/>
      <c r="Y3489" s="172"/>
      <c r="Z3489" s="172"/>
      <c r="AA3489" s="195"/>
      <c r="AB3489" s="172"/>
    </row>
    <row r="3490" spans="1:28" ht="12.6" customHeight="1" x14ac:dyDescent="0.3">
      <c r="A3490" s="667"/>
      <c r="B3490" s="668" t="s">
        <v>10990</v>
      </c>
      <c r="C3490" s="160" t="s">
        <v>10991</v>
      </c>
      <c r="D3490" s="160"/>
      <c r="E3490" s="439"/>
      <c r="F3490" s="161">
        <v>490.05892912500002</v>
      </c>
      <c r="G3490" s="161"/>
      <c r="H3490" s="654"/>
      <c r="I3490" s="654"/>
      <c r="J3490" s="191"/>
      <c r="K3490" s="191">
        <v>142422.95752672601</v>
      </c>
      <c r="L3490" s="191"/>
      <c r="M3490" s="191"/>
      <c r="N3490" s="191"/>
      <c r="O3490" s="191"/>
      <c r="P3490" s="191"/>
      <c r="Q3490" s="191"/>
      <c r="R3490" s="191"/>
      <c r="S3490" s="191"/>
      <c r="T3490" s="191"/>
      <c r="U3490" s="439"/>
      <c r="V3490" s="441"/>
      <c r="W3490" s="178"/>
      <c r="X3490" s="172"/>
      <c r="Y3490" s="172"/>
      <c r="Z3490" s="172"/>
      <c r="AA3490" s="195"/>
      <c r="AB3490" s="172"/>
    </row>
    <row r="3491" spans="1:28" ht="12.6" customHeight="1" x14ac:dyDescent="0.3">
      <c r="A3491" s="667"/>
      <c r="B3491" s="668" t="s">
        <v>10992</v>
      </c>
      <c r="C3491" s="160" t="s">
        <v>10993</v>
      </c>
      <c r="D3491" s="160"/>
      <c r="E3491" s="439"/>
      <c r="F3491" s="161">
        <v>390.065316473</v>
      </c>
      <c r="G3491" s="161"/>
      <c r="H3491" s="654"/>
      <c r="I3491" s="654"/>
      <c r="J3491" s="191"/>
      <c r="K3491" s="191">
        <v>143410.186305196</v>
      </c>
      <c r="L3491" s="191"/>
      <c r="M3491" s="191"/>
      <c r="N3491" s="191"/>
      <c r="O3491" s="191"/>
      <c r="P3491" s="191"/>
      <c r="Q3491" s="191"/>
      <c r="R3491" s="191"/>
      <c r="S3491" s="191"/>
      <c r="T3491" s="191"/>
      <c r="U3491" s="439"/>
      <c r="V3491" s="441"/>
      <c r="W3491" s="178"/>
      <c r="X3491" s="172"/>
      <c r="Y3491" s="172"/>
      <c r="Z3491" s="172"/>
      <c r="AA3491" s="195"/>
      <c r="AB3491" s="172"/>
    </row>
    <row r="3492" spans="1:28" ht="12.6" customHeight="1" x14ac:dyDescent="0.3">
      <c r="A3492" s="667"/>
      <c r="B3492" s="668" t="s">
        <v>10994</v>
      </c>
      <c r="C3492" s="160" t="s">
        <v>10995</v>
      </c>
      <c r="D3492" s="160"/>
      <c r="E3492" s="439"/>
      <c r="F3492" s="161">
        <v>340.06851014699998</v>
      </c>
      <c r="G3492" s="161"/>
      <c r="H3492" s="654"/>
      <c r="I3492" s="654"/>
      <c r="J3492" s="191"/>
      <c r="K3492" s="191">
        <v>743892.19146107405</v>
      </c>
      <c r="L3492" s="191"/>
      <c r="M3492" s="191"/>
      <c r="N3492" s="191"/>
      <c r="O3492" s="191"/>
      <c r="P3492" s="191"/>
      <c r="Q3492" s="191"/>
      <c r="R3492" s="191"/>
      <c r="S3492" s="191"/>
      <c r="T3492" s="191"/>
      <c r="U3492" s="439"/>
      <c r="V3492" s="441"/>
      <c r="W3492" s="178"/>
      <c r="X3492" s="172"/>
      <c r="Y3492" s="172"/>
      <c r="Z3492" s="172"/>
      <c r="AA3492" s="195"/>
      <c r="AB3492" s="172"/>
    </row>
    <row r="3493" spans="1:28" ht="12.6" customHeight="1" x14ac:dyDescent="0.3">
      <c r="A3493" s="667"/>
      <c r="B3493" s="668" t="s">
        <v>10996</v>
      </c>
      <c r="C3493" s="160" t="s">
        <v>10997</v>
      </c>
      <c r="D3493" s="160"/>
      <c r="E3493" s="439"/>
      <c r="F3493" s="161">
        <v>290.07170382100003</v>
      </c>
      <c r="G3493" s="161"/>
      <c r="H3493" s="654"/>
      <c r="I3493" s="654"/>
      <c r="J3493" s="191"/>
      <c r="K3493" s="191">
        <v>341051.52829500998</v>
      </c>
      <c r="L3493" s="191"/>
      <c r="M3493" s="191"/>
      <c r="N3493" s="191"/>
      <c r="O3493" s="191"/>
      <c r="P3493" s="191"/>
      <c r="Q3493" s="191"/>
      <c r="R3493" s="191"/>
      <c r="S3493" s="191"/>
      <c r="T3493" s="191"/>
      <c r="U3493" s="439"/>
      <c r="V3493" s="441"/>
      <c r="W3493" s="178"/>
      <c r="X3493" s="172"/>
      <c r="Y3493" s="172"/>
      <c r="Z3493" s="172"/>
      <c r="AA3493" s="195"/>
      <c r="AB3493" s="172"/>
    </row>
    <row r="3494" spans="1:28" ht="12.6" customHeight="1" x14ac:dyDescent="0.3">
      <c r="A3494" s="667"/>
      <c r="B3494" s="668" t="s">
        <v>10998</v>
      </c>
      <c r="C3494" s="160" t="s">
        <v>10999</v>
      </c>
      <c r="D3494" s="160"/>
      <c r="E3494" s="439"/>
      <c r="F3494" s="161">
        <v>240.07489749499999</v>
      </c>
      <c r="G3494" s="161"/>
      <c r="H3494" s="654"/>
      <c r="I3494" s="654"/>
      <c r="J3494" s="191"/>
      <c r="K3494" s="191">
        <v>580831.28434491798</v>
      </c>
      <c r="L3494" s="191"/>
      <c r="M3494" s="191"/>
      <c r="N3494" s="191"/>
      <c r="O3494" s="191"/>
      <c r="P3494" s="191"/>
      <c r="Q3494" s="191"/>
      <c r="R3494" s="191"/>
      <c r="S3494" s="191"/>
      <c r="T3494" s="191"/>
      <c r="U3494" s="439"/>
      <c r="V3494" s="441"/>
      <c r="W3494" s="178"/>
      <c r="X3494" s="172"/>
      <c r="Y3494" s="172"/>
      <c r="Z3494" s="172"/>
      <c r="AA3494" s="195"/>
      <c r="AB3494" s="172"/>
    </row>
    <row r="3495" spans="1:28" ht="12.6" customHeight="1" x14ac:dyDescent="0.3">
      <c r="A3495" s="667"/>
      <c r="B3495" s="668" t="s">
        <v>11000</v>
      </c>
      <c r="C3495" s="160" t="s">
        <v>11001</v>
      </c>
      <c r="D3495" s="160"/>
      <c r="E3495" s="439">
        <v>10.46</v>
      </c>
      <c r="F3495" s="161">
        <v>543.12316570300004</v>
      </c>
      <c r="G3495" s="161"/>
      <c r="H3495" s="654"/>
      <c r="I3495" s="654"/>
      <c r="J3495" s="191"/>
      <c r="K3495" s="191">
        <v>1634029903.2809701</v>
      </c>
      <c r="L3495" s="191"/>
      <c r="M3495" s="191"/>
      <c r="N3495" s="191"/>
      <c r="O3495" s="191"/>
      <c r="P3495" s="191"/>
      <c r="Q3495" s="191"/>
      <c r="R3495" s="191"/>
      <c r="S3495" s="191"/>
      <c r="T3495" s="191"/>
      <c r="U3495" s="439"/>
      <c r="V3495" s="441"/>
      <c r="W3495" s="178"/>
      <c r="X3495" s="172"/>
      <c r="Y3495" s="172"/>
      <c r="Z3495" s="172"/>
      <c r="AA3495" s="195"/>
      <c r="AB3495" s="172"/>
    </row>
    <row r="3496" spans="1:28" ht="12.6" customHeight="1" x14ac:dyDescent="0.3">
      <c r="A3496" s="667"/>
      <c r="B3496" s="668" t="s">
        <v>11002</v>
      </c>
      <c r="C3496" s="160" t="s">
        <v>11003</v>
      </c>
      <c r="D3496" s="160"/>
      <c r="E3496" s="439"/>
      <c r="F3496" s="161">
        <v>704.06180449399994</v>
      </c>
      <c r="G3496" s="161"/>
      <c r="H3496" s="654"/>
      <c r="I3496" s="654"/>
      <c r="J3496" s="191"/>
      <c r="K3496" s="191">
        <v>2657174.03492394</v>
      </c>
      <c r="L3496" s="191"/>
      <c r="M3496" s="191"/>
      <c r="N3496" s="191"/>
      <c r="O3496" s="191"/>
      <c r="P3496" s="191"/>
      <c r="Q3496" s="191"/>
      <c r="R3496" s="191"/>
      <c r="S3496" s="191"/>
      <c r="T3496" s="191"/>
      <c r="U3496" s="439"/>
      <c r="V3496" s="441"/>
      <c r="W3496" s="178"/>
      <c r="X3496" s="172"/>
      <c r="Y3496" s="172"/>
      <c r="Z3496" s="172"/>
      <c r="AA3496" s="195"/>
      <c r="AB3496" s="172"/>
    </row>
    <row r="3497" spans="1:28" ht="12.6" customHeight="1" x14ac:dyDescent="0.3">
      <c r="A3497" s="667"/>
      <c r="B3497" s="668" t="s">
        <v>11004</v>
      </c>
      <c r="C3497" s="160" t="s">
        <v>11005</v>
      </c>
      <c r="D3497" s="160"/>
      <c r="E3497" s="439"/>
      <c r="F3497" s="161">
        <v>604.06819184200003</v>
      </c>
      <c r="G3497" s="161"/>
      <c r="H3497" s="654"/>
      <c r="I3497" s="654"/>
      <c r="J3497" s="191"/>
      <c r="K3497" s="191">
        <v>379699.477926074</v>
      </c>
      <c r="L3497" s="191"/>
      <c r="M3497" s="191"/>
      <c r="N3497" s="191"/>
      <c r="O3497" s="191"/>
      <c r="P3497" s="191"/>
      <c r="Q3497" s="191"/>
      <c r="R3497" s="191"/>
      <c r="S3497" s="191"/>
      <c r="T3497" s="191"/>
      <c r="U3497" s="439"/>
      <c r="V3497" s="441"/>
      <c r="W3497" s="178"/>
      <c r="X3497" s="172"/>
      <c r="Y3497" s="172"/>
      <c r="Z3497" s="172"/>
      <c r="AA3497" s="195"/>
      <c r="AB3497" s="172"/>
    </row>
    <row r="3498" spans="1:28" ht="12.6" customHeight="1" x14ac:dyDescent="0.3">
      <c r="A3498" s="667"/>
      <c r="B3498" s="668" t="s">
        <v>11006</v>
      </c>
      <c r="C3498" s="160" t="s">
        <v>11007</v>
      </c>
      <c r="D3498" s="160"/>
      <c r="E3498" s="439"/>
      <c r="F3498" s="161">
        <v>504.07457919000001</v>
      </c>
      <c r="G3498" s="161"/>
      <c r="H3498" s="654"/>
      <c r="I3498" s="654"/>
      <c r="J3498" s="191"/>
      <c r="K3498" s="191">
        <v>3040885.02567627</v>
      </c>
      <c r="L3498" s="191"/>
      <c r="M3498" s="191"/>
      <c r="N3498" s="191"/>
      <c r="O3498" s="191"/>
      <c r="P3498" s="191"/>
      <c r="Q3498" s="191"/>
      <c r="R3498" s="191"/>
      <c r="S3498" s="191"/>
      <c r="T3498" s="191"/>
      <c r="U3498" s="439"/>
      <c r="V3498" s="441"/>
      <c r="W3498" s="178"/>
      <c r="X3498" s="172"/>
      <c r="Y3498" s="172"/>
      <c r="Z3498" s="172"/>
      <c r="AA3498" s="195"/>
      <c r="AB3498" s="172"/>
    </row>
    <row r="3499" spans="1:28" ht="12.6" customHeight="1" x14ac:dyDescent="0.3">
      <c r="A3499" s="667"/>
      <c r="B3499" s="668" t="s">
        <v>11008</v>
      </c>
      <c r="C3499" s="160" t="s">
        <v>11009</v>
      </c>
      <c r="D3499" s="160"/>
      <c r="E3499" s="439"/>
      <c r="F3499" s="161">
        <v>454.077772864</v>
      </c>
      <c r="G3499" s="161"/>
      <c r="H3499" s="654"/>
      <c r="I3499" s="654"/>
      <c r="J3499" s="191"/>
      <c r="K3499" s="191">
        <v>1031905.67291567</v>
      </c>
      <c r="L3499" s="191"/>
      <c r="M3499" s="191"/>
      <c r="N3499" s="191"/>
      <c r="O3499" s="191"/>
      <c r="P3499" s="191"/>
      <c r="Q3499" s="191"/>
      <c r="R3499" s="191"/>
      <c r="S3499" s="191"/>
      <c r="T3499" s="191"/>
      <c r="U3499" s="439"/>
      <c r="V3499" s="441"/>
      <c r="W3499" s="178"/>
      <c r="X3499" s="172"/>
      <c r="Y3499" s="172"/>
      <c r="Z3499" s="172"/>
      <c r="AA3499" s="195"/>
      <c r="AB3499" s="172"/>
    </row>
    <row r="3500" spans="1:28" ht="12.6" customHeight="1" x14ac:dyDescent="0.3">
      <c r="A3500" s="667"/>
      <c r="B3500" s="668" t="s">
        <v>11010</v>
      </c>
      <c r="C3500" s="160" t="s">
        <v>11011</v>
      </c>
      <c r="D3500" s="160"/>
      <c r="E3500" s="439"/>
      <c r="F3500" s="161">
        <v>404.08096653799998</v>
      </c>
      <c r="G3500" s="161"/>
      <c r="H3500" s="654"/>
      <c r="I3500" s="654"/>
      <c r="J3500" s="191"/>
      <c r="K3500" s="191">
        <v>740354.97656510398</v>
      </c>
      <c r="L3500" s="191"/>
      <c r="M3500" s="191"/>
      <c r="N3500" s="191"/>
      <c r="O3500" s="191"/>
      <c r="P3500" s="191"/>
      <c r="Q3500" s="191"/>
      <c r="R3500" s="191"/>
      <c r="S3500" s="191"/>
      <c r="T3500" s="191"/>
      <c r="U3500" s="439"/>
      <c r="V3500" s="441"/>
      <c r="W3500" s="178"/>
      <c r="X3500" s="172"/>
      <c r="Y3500" s="172"/>
      <c r="Z3500" s="172"/>
      <c r="AA3500" s="195"/>
      <c r="AB3500" s="172"/>
    </row>
    <row r="3501" spans="1:28" ht="12.6" customHeight="1" x14ac:dyDescent="0.3">
      <c r="A3501" s="667"/>
      <c r="B3501" s="668" t="s">
        <v>11012</v>
      </c>
      <c r="C3501" s="160" t="s">
        <v>11013</v>
      </c>
      <c r="D3501" s="160"/>
      <c r="E3501" s="439"/>
      <c r="F3501" s="161">
        <v>354.08416021199997</v>
      </c>
      <c r="G3501" s="161"/>
      <c r="H3501" s="654"/>
      <c r="I3501" s="654"/>
      <c r="J3501" s="191"/>
      <c r="K3501" s="191">
        <v>841724.56137970998</v>
      </c>
      <c r="L3501" s="191"/>
      <c r="M3501" s="191"/>
      <c r="N3501" s="191"/>
      <c r="O3501" s="191"/>
      <c r="P3501" s="191"/>
      <c r="Q3501" s="191"/>
      <c r="R3501" s="191"/>
      <c r="S3501" s="191"/>
      <c r="T3501" s="191"/>
      <c r="U3501" s="439"/>
      <c r="V3501" s="441"/>
      <c r="W3501" s="178"/>
      <c r="X3501" s="172"/>
      <c r="Y3501" s="172"/>
      <c r="Z3501" s="172"/>
      <c r="AA3501" s="195"/>
      <c r="AB3501" s="172"/>
    </row>
    <row r="3502" spans="1:28" ht="12.6" customHeight="1" x14ac:dyDescent="0.3">
      <c r="A3502" s="667"/>
      <c r="B3502" s="668" t="s">
        <v>11014</v>
      </c>
      <c r="C3502" s="160" t="s">
        <v>11015</v>
      </c>
      <c r="D3502" s="160"/>
      <c r="E3502" s="439"/>
      <c r="F3502" s="161">
        <v>304.08735388600002</v>
      </c>
      <c r="G3502" s="161"/>
      <c r="H3502" s="654"/>
      <c r="I3502" s="654"/>
      <c r="J3502" s="191"/>
      <c r="K3502" s="191">
        <v>438187.51568337198</v>
      </c>
      <c r="L3502" s="191"/>
      <c r="M3502" s="191"/>
      <c r="N3502" s="191"/>
      <c r="O3502" s="191"/>
      <c r="P3502" s="191"/>
      <c r="Q3502" s="191"/>
      <c r="R3502" s="191"/>
      <c r="S3502" s="191"/>
      <c r="T3502" s="191"/>
      <c r="U3502" s="439"/>
      <c r="V3502" s="441"/>
      <c r="W3502" s="178"/>
      <c r="X3502" s="172"/>
      <c r="Y3502" s="172"/>
      <c r="Z3502" s="172"/>
      <c r="AA3502" s="195"/>
      <c r="AB3502" s="172"/>
    </row>
    <row r="3503" spans="1:28" ht="12.6" customHeight="1" x14ac:dyDescent="0.3">
      <c r="A3503" s="667"/>
      <c r="B3503" s="668" t="s">
        <v>11016</v>
      </c>
      <c r="C3503" s="160" t="s">
        <v>11017</v>
      </c>
      <c r="D3503" s="160"/>
      <c r="E3503" s="439"/>
      <c r="F3503" s="161">
        <v>254.09054756</v>
      </c>
      <c r="G3503" s="161"/>
      <c r="H3503" s="654"/>
      <c r="I3503" s="654"/>
      <c r="J3503" s="191"/>
      <c r="K3503" s="191">
        <v>218072.046882494</v>
      </c>
      <c r="L3503" s="191"/>
      <c r="M3503" s="191"/>
      <c r="N3503" s="191"/>
      <c r="O3503" s="191"/>
      <c r="P3503" s="191"/>
      <c r="Q3503" s="191"/>
      <c r="R3503" s="191"/>
      <c r="S3503" s="191"/>
      <c r="T3503" s="191"/>
      <c r="U3503" s="439"/>
      <c r="V3503" s="441"/>
      <c r="W3503" s="178"/>
      <c r="X3503" s="172"/>
      <c r="Y3503" s="172"/>
      <c r="Z3503" s="172"/>
      <c r="AA3503" s="195"/>
      <c r="AB3503" s="172"/>
    </row>
    <row r="3504" spans="1:28" ht="12.6" customHeight="1" x14ac:dyDescent="0.3">
      <c r="A3504" s="667"/>
      <c r="B3504" s="668" t="s">
        <v>11018</v>
      </c>
      <c r="C3504" s="160" t="s">
        <v>11019</v>
      </c>
      <c r="D3504" s="160"/>
      <c r="E3504" s="439"/>
      <c r="F3504" s="161">
        <v>618.08384190599998</v>
      </c>
      <c r="G3504" s="161"/>
      <c r="H3504" s="654"/>
      <c r="I3504" s="654"/>
      <c r="J3504" s="191"/>
      <c r="K3504" s="191">
        <v>3706807.2178257499</v>
      </c>
      <c r="L3504" s="191"/>
      <c r="M3504" s="191"/>
      <c r="N3504" s="191"/>
      <c r="O3504" s="191"/>
      <c r="P3504" s="191"/>
      <c r="Q3504" s="191"/>
      <c r="R3504" s="191"/>
      <c r="S3504" s="191"/>
      <c r="T3504" s="191"/>
      <c r="U3504" s="439"/>
      <c r="V3504" s="441"/>
      <c r="W3504" s="178"/>
      <c r="X3504" s="172"/>
      <c r="Y3504" s="172"/>
      <c r="Z3504" s="172"/>
      <c r="AA3504" s="195"/>
      <c r="AB3504" s="172"/>
    </row>
    <row r="3505" spans="1:28" ht="12.6" customHeight="1" x14ac:dyDescent="0.3">
      <c r="A3505" s="667"/>
      <c r="B3505" s="668" t="s">
        <v>11020</v>
      </c>
      <c r="C3505" s="160" t="s">
        <v>11021</v>
      </c>
      <c r="D3505" s="160"/>
      <c r="E3505" s="439"/>
      <c r="F3505" s="161">
        <v>518.09022925399995</v>
      </c>
      <c r="G3505" s="161"/>
      <c r="H3505" s="654"/>
      <c r="I3505" s="654"/>
      <c r="J3505" s="191"/>
      <c r="K3505" s="191">
        <v>3347264.2567972001</v>
      </c>
      <c r="L3505" s="191"/>
      <c r="M3505" s="191"/>
      <c r="N3505" s="191"/>
      <c r="O3505" s="191"/>
      <c r="P3505" s="191"/>
      <c r="Q3505" s="191"/>
      <c r="R3505" s="191"/>
      <c r="S3505" s="191"/>
      <c r="T3505" s="191"/>
      <c r="U3505" s="439"/>
      <c r="V3505" s="441"/>
      <c r="W3505" s="178"/>
      <c r="X3505" s="172"/>
      <c r="Y3505" s="172"/>
      <c r="Z3505" s="172"/>
      <c r="AA3505" s="195"/>
      <c r="AB3505" s="172"/>
    </row>
    <row r="3506" spans="1:28" ht="12.6" customHeight="1" x14ac:dyDescent="0.3">
      <c r="A3506" s="667"/>
      <c r="B3506" s="668" t="s">
        <v>11022</v>
      </c>
      <c r="C3506" s="160" t="s">
        <v>11023</v>
      </c>
      <c r="D3506" s="160"/>
      <c r="E3506" s="439"/>
      <c r="F3506" s="161">
        <v>468.093422928</v>
      </c>
      <c r="G3506" s="161"/>
      <c r="H3506" s="654"/>
      <c r="I3506" s="654"/>
      <c r="J3506" s="191"/>
      <c r="K3506" s="191">
        <v>17416865.5779096</v>
      </c>
      <c r="L3506" s="191"/>
      <c r="M3506" s="191"/>
      <c r="N3506" s="191"/>
      <c r="O3506" s="191"/>
      <c r="P3506" s="191"/>
      <c r="Q3506" s="191"/>
      <c r="R3506" s="191"/>
      <c r="S3506" s="191"/>
      <c r="T3506" s="191"/>
      <c r="U3506" s="439"/>
      <c r="V3506" s="441"/>
      <c r="W3506" s="178"/>
      <c r="X3506" s="172"/>
      <c r="Y3506" s="172"/>
      <c r="Z3506" s="172"/>
      <c r="AA3506" s="195"/>
      <c r="AB3506" s="172"/>
    </row>
    <row r="3507" spans="1:28" ht="12.6" customHeight="1" x14ac:dyDescent="0.3">
      <c r="A3507" s="667"/>
      <c r="B3507" s="668" t="s">
        <v>11024</v>
      </c>
      <c r="C3507" s="160" t="s">
        <v>11025</v>
      </c>
      <c r="D3507" s="160"/>
      <c r="E3507" s="439"/>
      <c r="F3507" s="161">
        <v>418.09661660199998</v>
      </c>
      <c r="G3507" s="161"/>
      <c r="H3507" s="654"/>
      <c r="I3507" s="654"/>
      <c r="J3507" s="191"/>
      <c r="K3507" s="191">
        <v>54472837.7081099</v>
      </c>
      <c r="L3507" s="191"/>
      <c r="M3507" s="191"/>
      <c r="N3507" s="191"/>
      <c r="O3507" s="191"/>
      <c r="P3507" s="191"/>
      <c r="Q3507" s="191"/>
      <c r="R3507" s="191"/>
      <c r="S3507" s="191"/>
      <c r="T3507" s="191"/>
      <c r="U3507" s="439"/>
      <c r="V3507" s="441"/>
      <c r="W3507" s="178"/>
      <c r="X3507" s="172"/>
      <c r="Y3507" s="172"/>
      <c r="Z3507" s="172"/>
      <c r="AA3507" s="195"/>
      <c r="AB3507" s="172"/>
    </row>
    <row r="3508" spans="1:28" ht="12.6" customHeight="1" x14ac:dyDescent="0.3">
      <c r="A3508" s="667"/>
      <c r="B3508" s="668" t="s">
        <v>11026</v>
      </c>
      <c r="C3508" s="160" t="s">
        <v>11027</v>
      </c>
      <c r="D3508" s="160"/>
      <c r="E3508" s="439"/>
      <c r="F3508" s="161">
        <v>318.10300395000002</v>
      </c>
      <c r="G3508" s="161"/>
      <c r="H3508" s="654"/>
      <c r="I3508" s="654"/>
      <c r="J3508" s="191"/>
      <c r="K3508" s="191">
        <v>3258967.27868956</v>
      </c>
      <c r="L3508" s="191"/>
      <c r="M3508" s="191"/>
      <c r="N3508" s="191"/>
      <c r="O3508" s="191"/>
      <c r="P3508" s="191"/>
      <c r="Q3508" s="191"/>
      <c r="R3508" s="191"/>
      <c r="S3508" s="191"/>
      <c r="T3508" s="191"/>
      <c r="U3508" s="439"/>
      <c r="V3508" s="441"/>
      <c r="W3508" s="178"/>
      <c r="X3508" s="172"/>
      <c r="Y3508" s="172"/>
      <c r="Z3508" s="172"/>
      <c r="AA3508" s="195"/>
      <c r="AB3508" s="172"/>
    </row>
    <row r="3509" spans="1:28" ht="12.6" customHeight="1" x14ac:dyDescent="0.3">
      <c r="A3509" s="667"/>
      <c r="B3509" s="668" t="s">
        <v>11028</v>
      </c>
      <c r="C3509" s="160" t="s">
        <v>11029</v>
      </c>
      <c r="D3509" s="160"/>
      <c r="E3509" s="439"/>
      <c r="F3509" s="161">
        <v>732.09310462200006</v>
      </c>
      <c r="G3509" s="161"/>
      <c r="H3509" s="654"/>
      <c r="I3509" s="654"/>
      <c r="J3509" s="191"/>
      <c r="K3509" s="191">
        <v>2889681.64930327</v>
      </c>
      <c r="L3509" s="191"/>
      <c r="M3509" s="191"/>
      <c r="N3509" s="191"/>
      <c r="O3509" s="191"/>
      <c r="P3509" s="191"/>
      <c r="Q3509" s="191"/>
      <c r="R3509" s="191"/>
      <c r="S3509" s="191"/>
      <c r="T3509" s="191"/>
      <c r="U3509" s="439"/>
      <c r="V3509" s="441"/>
      <c r="W3509" s="178"/>
      <c r="X3509" s="172"/>
      <c r="Y3509" s="172"/>
      <c r="Z3509" s="172"/>
      <c r="AA3509" s="195"/>
      <c r="AB3509" s="172"/>
    </row>
    <row r="3510" spans="1:28" ht="12.6" customHeight="1" x14ac:dyDescent="0.3">
      <c r="A3510" s="667"/>
      <c r="B3510" s="668" t="s">
        <v>11030</v>
      </c>
      <c r="C3510" s="160" t="s">
        <v>11031</v>
      </c>
      <c r="D3510" s="160"/>
      <c r="E3510" s="439"/>
      <c r="F3510" s="161">
        <v>632.09949197000003</v>
      </c>
      <c r="G3510" s="161"/>
      <c r="H3510" s="654"/>
      <c r="I3510" s="654"/>
      <c r="J3510" s="191"/>
      <c r="K3510" s="191">
        <v>3613100.1519922102</v>
      </c>
      <c r="L3510" s="191"/>
      <c r="M3510" s="191"/>
      <c r="N3510" s="191"/>
      <c r="O3510" s="191"/>
      <c r="P3510" s="191"/>
      <c r="Q3510" s="191"/>
      <c r="R3510" s="191"/>
      <c r="S3510" s="191"/>
      <c r="T3510" s="191"/>
      <c r="U3510" s="439"/>
      <c r="V3510" s="441"/>
      <c r="W3510" s="178"/>
      <c r="X3510" s="172"/>
      <c r="Y3510" s="172"/>
      <c r="Z3510" s="172"/>
      <c r="AA3510" s="195"/>
      <c r="AB3510" s="172"/>
    </row>
    <row r="3511" spans="1:28" ht="12.6" customHeight="1" x14ac:dyDescent="0.3">
      <c r="A3511" s="667"/>
      <c r="B3511" s="668" t="s">
        <v>11032</v>
      </c>
      <c r="C3511" s="160" t="s">
        <v>11033</v>
      </c>
      <c r="D3511" s="160"/>
      <c r="E3511" s="439"/>
      <c r="F3511" s="161">
        <v>332.11865401400001</v>
      </c>
      <c r="G3511" s="161"/>
      <c r="H3511" s="654"/>
      <c r="I3511" s="654"/>
      <c r="J3511" s="191"/>
      <c r="K3511" s="191">
        <v>7805846.37889555</v>
      </c>
      <c r="L3511" s="191"/>
      <c r="M3511" s="191"/>
      <c r="N3511" s="191"/>
      <c r="O3511" s="191"/>
      <c r="P3511" s="191"/>
      <c r="Q3511" s="191"/>
      <c r="R3511" s="191"/>
      <c r="S3511" s="191"/>
      <c r="T3511" s="191"/>
      <c r="U3511" s="439"/>
      <c r="V3511" s="441"/>
      <c r="W3511" s="178"/>
      <c r="X3511" s="172"/>
      <c r="Y3511" s="172"/>
      <c r="Z3511" s="172"/>
      <c r="AA3511" s="195"/>
      <c r="AB3511" s="172"/>
    </row>
    <row r="3512" spans="1:28" ht="12.6" customHeight="1" x14ac:dyDescent="0.3">
      <c r="A3512" s="667"/>
      <c r="B3512" s="668" t="s">
        <v>11034</v>
      </c>
      <c r="C3512" s="160" t="s">
        <v>11035</v>
      </c>
      <c r="D3512" s="160"/>
      <c r="E3512" s="439"/>
      <c r="F3512" s="161">
        <v>282.121847688</v>
      </c>
      <c r="G3512" s="161"/>
      <c r="H3512" s="654"/>
      <c r="I3512" s="654"/>
      <c r="J3512" s="191"/>
      <c r="K3512" s="191">
        <v>1098626.3218072101</v>
      </c>
      <c r="L3512" s="191"/>
      <c r="M3512" s="191"/>
      <c r="N3512" s="191"/>
      <c r="O3512" s="191"/>
      <c r="P3512" s="191"/>
      <c r="Q3512" s="191"/>
      <c r="R3512" s="191"/>
      <c r="S3512" s="191"/>
      <c r="T3512" s="191"/>
      <c r="U3512" s="439"/>
      <c r="V3512" s="441"/>
      <c r="W3512" s="178"/>
      <c r="X3512" s="172"/>
      <c r="Y3512" s="172"/>
      <c r="Z3512" s="172"/>
      <c r="AA3512" s="195"/>
      <c r="AB3512" s="172"/>
    </row>
    <row r="3513" spans="1:28" ht="12.6" customHeight="1" x14ac:dyDescent="0.3">
      <c r="A3513" s="667"/>
      <c r="B3513" s="668" t="s">
        <v>11036</v>
      </c>
      <c r="C3513" s="160" t="s">
        <v>11037</v>
      </c>
      <c r="D3513" s="160"/>
      <c r="E3513" s="439"/>
      <c r="F3513" s="161">
        <v>796.10556101300006</v>
      </c>
      <c r="G3513" s="161"/>
      <c r="H3513" s="654"/>
      <c r="I3513" s="654"/>
      <c r="J3513" s="191"/>
      <c r="K3513" s="191">
        <v>3051616.8200824801</v>
      </c>
      <c r="L3513" s="191"/>
      <c r="M3513" s="191"/>
      <c r="N3513" s="191"/>
      <c r="O3513" s="191"/>
      <c r="P3513" s="191"/>
      <c r="Q3513" s="191"/>
      <c r="R3513" s="191"/>
      <c r="S3513" s="191"/>
      <c r="T3513" s="191"/>
      <c r="U3513" s="439"/>
      <c r="V3513" s="441"/>
      <c r="W3513" s="178"/>
      <c r="X3513" s="172"/>
      <c r="Y3513" s="172"/>
      <c r="Z3513" s="172"/>
      <c r="AA3513" s="195"/>
      <c r="AB3513" s="172"/>
    </row>
    <row r="3514" spans="1:28" ht="12.6" customHeight="1" x14ac:dyDescent="0.3">
      <c r="A3514" s="667"/>
      <c r="B3514" s="668" t="s">
        <v>11038</v>
      </c>
      <c r="C3514" s="160" t="s">
        <v>11039</v>
      </c>
      <c r="D3514" s="160"/>
      <c r="E3514" s="439"/>
      <c r="F3514" s="161">
        <v>746.10875468699999</v>
      </c>
      <c r="G3514" s="161"/>
      <c r="H3514" s="654"/>
      <c r="I3514" s="654"/>
      <c r="J3514" s="191"/>
      <c r="K3514" s="191">
        <v>3003723.8297949298</v>
      </c>
      <c r="L3514" s="191"/>
      <c r="M3514" s="191"/>
      <c r="N3514" s="191"/>
      <c r="O3514" s="191"/>
      <c r="P3514" s="191"/>
      <c r="Q3514" s="191"/>
      <c r="R3514" s="191"/>
      <c r="S3514" s="191"/>
      <c r="T3514" s="191"/>
      <c r="U3514" s="439"/>
      <c r="V3514" s="441"/>
      <c r="W3514" s="178"/>
      <c r="X3514" s="172"/>
      <c r="Y3514" s="172"/>
      <c r="Z3514" s="172"/>
      <c r="AA3514" s="195"/>
      <c r="AB3514" s="172"/>
    </row>
    <row r="3515" spans="1:28" ht="12.6" customHeight="1" x14ac:dyDescent="0.3">
      <c r="A3515" s="667"/>
      <c r="B3515" s="668" t="s">
        <v>11040</v>
      </c>
      <c r="C3515" s="160" t="s">
        <v>11041</v>
      </c>
      <c r="D3515" s="160"/>
      <c r="E3515" s="439"/>
      <c r="F3515" s="161">
        <v>646.11514203499996</v>
      </c>
      <c r="G3515" s="161"/>
      <c r="H3515" s="654"/>
      <c r="I3515" s="654"/>
      <c r="J3515" s="191"/>
      <c r="K3515" s="191">
        <v>3519735.2692142199</v>
      </c>
      <c r="L3515" s="191"/>
      <c r="M3515" s="191"/>
      <c r="N3515" s="191"/>
      <c r="O3515" s="191"/>
      <c r="P3515" s="191"/>
      <c r="Q3515" s="191"/>
      <c r="R3515" s="191"/>
      <c r="S3515" s="191"/>
      <c r="T3515" s="191"/>
      <c r="U3515" s="439"/>
      <c r="V3515" s="441"/>
      <c r="W3515" s="178"/>
      <c r="X3515" s="172"/>
      <c r="Y3515" s="172"/>
      <c r="Z3515" s="172"/>
      <c r="AA3515" s="195"/>
      <c r="AB3515" s="172"/>
    </row>
    <row r="3516" spans="1:28" ht="12.6" customHeight="1" x14ac:dyDescent="0.3">
      <c r="A3516" s="667"/>
      <c r="B3516" s="668" t="s">
        <v>11042</v>
      </c>
      <c r="C3516" s="160" t="s">
        <v>11043</v>
      </c>
      <c r="D3516" s="160"/>
      <c r="E3516" s="439"/>
      <c r="F3516" s="161">
        <v>596.11833570900001</v>
      </c>
      <c r="G3516" s="161"/>
      <c r="H3516" s="654"/>
      <c r="I3516" s="654"/>
      <c r="J3516" s="191"/>
      <c r="K3516" s="191">
        <v>4359934.8529607505</v>
      </c>
      <c r="L3516" s="191"/>
      <c r="M3516" s="191"/>
      <c r="N3516" s="191"/>
      <c r="O3516" s="191"/>
      <c r="P3516" s="191"/>
      <c r="Q3516" s="191"/>
      <c r="R3516" s="191"/>
      <c r="S3516" s="191"/>
      <c r="T3516" s="191"/>
      <c r="U3516" s="439"/>
      <c r="V3516" s="441"/>
      <c r="W3516" s="178"/>
      <c r="X3516" s="172"/>
      <c r="Y3516" s="172"/>
      <c r="Z3516" s="172"/>
      <c r="AA3516" s="195"/>
      <c r="AB3516" s="172"/>
    </row>
    <row r="3517" spans="1:28" ht="12.6" customHeight="1" x14ac:dyDescent="0.3">
      <c r="A3517" s="667"/>
      <c r="B3517" s="668" t="s">
        <v>11044</v>
      </c>
      <c r="C3517" s="160" t="s">
        <v>11045</v>
      </c>
      <c r="D3517" s="160"/>
      <c r="E3517" s="439"/>
      <c r="F3517" s="161">
        <v>546.12152938300005</v>
      </c>
      <c r="G3517" s="161"/>
      <c r="H3517" s="654"/>
      <c r="I3517" s="654"/>
      <c r="J3517" s="191"/>
      <c r="K3517" s="191">
        <v>30651377.720840901</v>
      </c>
      <c r="L3517" s="191"/>
      <c r="M3517" s="191"/>
      <c r="N3517" s="191"/>
      <c r="O3517" s="191"/>
      <c r="P3517" s="191"/>
      <c r="Q3517" s="191"/>
      <c r="R3517" s="191"/>
      <c r="S3517" s="191"/>
      <c r="T3517" s="191"/>
      <c r="U3517" s="439"/>
      <c r="V3517" s="441"/>
      <c r="W3517" s="178"/>
      <c r="X3517" s="172"/>
      <c r="Y3517" s="172"/>
      <c r="Z3517" s="172"/>
      <c r="AA3517" s="195"/>
      <c r="AB3517" s="172"/>
    </row>
    <row r="3518" spans="1:28" ht="12.6" customHeight="1" x14ac:dyDescent="0.3">
      <c r="A3518" s="667"/>
      <c r="B3518" s="668" t="s">
        <v>11046</v>
      </c>
      <c r="C3518" s="160" t="s">
        <v>11047</v>
      </c>
      <c r="D3518" s="160"/>
      <c r="E3518" s="439"/>
      <c r="F3518" s="161">
        <v>446.12791673100003</v>
      </c>
      <c r="G3518" s="161">
        <v>-65.247</v>
      </c>
      <c r="H3518" s="654">
        <v>15.02805584</v>
      </c>
      <c r="I3518" s="654">
        <v>7.7349658202820706E-2</v>
      </c>
      <c r="J3518" s="191"/>
      <c r="K3518" s="191">
        <v>817278360.43903005</v>
      </c>
      <c r="L3518" s="191"/>
      <c r="M3518" s="191"/>
      <c r="N3518" s="191"/>
      <c r="O3518" s="191"/>
      <c r="P3518" s="191"/>
      <c r="Q3518" s="191"/>
      <c r="R3518" s="191"/>
      <c r="S3518" s="191"/>
      <c r="T3518" s="191"/>
      <c r="U3518" s="439"/>
      <c r="V3518" s="441"/>
      <c r="W3518" s="178"/>
      <c r="X3518" s="172"/>
      <c r="Y3518" s="172"/>
      <c r="Z3518" s="172"/>
      <c r="AA3518" s="195"/>
      <c r="AB3518" s="172"/>
    </row>
    <row r="3519" spans="1:28" ht="12.6" customHeight="1" x14ac:dyDescent="0.3">
      <c r="A3519" s="667"/>
      <c r="B3519" s="668" t="s">
        <v>11048</v>
      </c>
      <c r="C3519" s="160" t="s">
        <v>11049</v>
      </c>
      <c r="D3519" s="160"/>
      <c r="E3519" s="439"/>
      <c r="F3519" s="161">
        <v>346.134304079</v>
      </c>
      <c r="G3519" s="161"/>
      <c r="H3519" s="654"/>
      <c r="I3519" s="654"/>
      <c r="J3519" s="191"/>
      <c r="K3519" s="191">
        <v>34232609.0262198</v>
      </c>
      <c r="L3519" s="191"/>
      <c r="M3519" s="191"/>
      <c r="N3519" s="191"/>
      <c r="O3519" s="191"/>
      <c r="P3519" s="191"/>
      <c r="Q3519" s="191"/>
      <c r="R3519" s="191"/>
      <c r="S3519" s="191"/>
      <c r="T3519" s="191"/>
      <c r="U3519" s="439"/>
      <c r="V3519" s="441"/>
      <c r="W3519" s="178"/>
      <c r="X3519" s="172"/>
      <c r="Y3519" s="172"/>
      <c r="Z3519" s="172"/>
      <c r="AA3519" s="195"/>
      <c r="AB3519" s="172"/>
    </row>
    <row r="3520" spans="1:28" ht="12.6" customHeight="1" x14ac:dyDescent="0.3">
      <c r="A3520" s="667"/>
      <c r="B3520" s="668" t="s">
        <v>11050</v>
      </c>
      <c r="C3520" s="160" t="s">
        <v>11051</v>
      </c>
      <c r="D3520" s="160"/>
      <c r="E3520" s="439"/>
      <c r="F3520" s="161">
        <v>296.13749775299999</v>
      </c>
      <c r="G3520" s="161"/>
      <c r="H3520" s="654"/>
      <c r="I3520" s="654"/>
      <c r="J3520" s="191"/>
      <c r="K3520" s="191">
        <v>7596088.2211368</v>
      </c>
      <c r="L3520" s="191"/>
      <c r="M3520" s="191"/>
      <c r="N3520" s="191"/>
      <c r="O3520" s="191"/>
      <c r="P3520" s="191"/>
      <c r="Q3520" s="191"/>
      <c r="R3520" s="191"/>
      <c r="S3520" s="191"/>
      <c r="T3520" s="191"/>
      <c r="U3520" s="439"/>
      <c r="V3520" s="441"/>
      <c r="W3520" s="178"/>
      <c r="X3520" s="172"/>
      <c r="Y3520" s="172"/>
      <c r="Z3520" s="172"/>
      <c r="AA3520" s="195"/>
      <c r="AB3520" s="172"/>
    </row>
    <row r="3521" spans="1:28" ht="12.6" customHeight="1" x14ac:dyDescent="0.3">
      <c r="A3521" s="667"/>
      <c r="B3521" s="668" t="s">
        <v>11052</v>
      </c>
      <c r="C3521" s="160" t="s">
        <v>11053</v>
      </c>
      <c r="D3521" s="160"/>
      <c r="E3521" s="439"/>
      <c r="F3521" s="161">
        <v>760.12440475100004</v>
      </c>
      <c r="G3521" s="161"/>
      <c r="H3521" s="654"/>
      <c r="I3521" s="654"/>
      <c r="J3521" s="191"/>
      <c r="K3521" s="191">
        <v>3115300.8959737499</v>
      </c>
      <c r="L3521" s="191"/>
      <c r="M3521" s="191"/>
      <c r="N3521" s="191"/>
      <c r="O3521" s="191"/>
      <c r="P3521" s="191"/>
      <c r="Q3521" s="191"/>
      <c r="R3521" s="191"/>
      <c r="S3521" s="191"/>
      <c r="T3521" s="191"/>
      <c r="U3521" s="439"/>
      <c r="V3521" s="441"/>
      <c r="W3521" s="178"/>
      <c r="X3521" s="172"/>
      <c r="Y3521" s="172"/>
      <c r="Z3521" s="172"/>
      <c r="AA3521" s="195"/>
      <c r="AB3521" s="172"/>
    </row>
    <row r="3522" spans="1:28" ht="12.6" customHeight="1" x14ac:dyDescent="0.3">
      <c r="A3522" s="667"/>
      <c r="B3522" s="668" t="s">
        <v>11054</v>
      </c>
      <c r="C3522" s="160" t="s">
        <v>11055</v>
      </c>
      <c r="D3522" s="160"/>
      <c r="E3522" s="439"/>
      <c r="F3522" s="161">
        <v>660.13079209900002</v>
      </c>
      <c r="G3522" s="161"/>
      <c r="H3522" s="654"/>
      <c r="I3522" s="654"/>
      <c r="J3522" s="191"/>
      <c r="K3522" s="191">
        <v>3452311.6991899302</v>
      </c>
      <c r="L3522" s="191"/>
      <c r="M3522" s="191"/>
      <c r="N3522" s="191"/>
      <c r="O3522" s="191"/>
      <c r="P3522" s="191"/>
      <c r="Q3522" s="191"/>
      <c r="R3522" s="191"/>
      <c r="S3522" s="191"/>
      <c r="T3522" s="191"/>
      <c r="U3522" s="439"/>
      <c r="V3522" s="441"/>
      <c r="W3522" s="178"/>
      <c r="X3522" s="172"/>
      <c r="Y3522" s="172"/>
      <c r="Z3522" s="172"/>
      <c r="AA3522" s="195"/>
      <c r="AB3522" s="172"/>
    </row>
    <row r="3523" spans="1:28" ht="12.6" customHeight="1" x14ac:dyDescent="0.3">
      <c r="A3523" s="667"/>
      <c r="B3523" s="668" t="s">
        <v>11056</v>
      </c>
      <c r="C3523" s="160" t="s">
        <v>11057</v>
      </c>
      <c r="D3523" s="160"/>
      <c r="E3523" s="439"/>
      <c r="F3523" s="161">
        <v>560.13717944699999</v>
      </c>
      <c r="G3523" s="161">
        <v>-19.882000000000001</v>
      </c>
      <c r="H3523" s="654">
        <v>5.0107340514000001</v>
      </c>
      <c r="I3523" s="654">
        <v>7.9853716439143695E-3</v>
      </c>
      <c r="J3523" s="191"/>
      <c r="K3523" s="191">
        <v>5353403.7647004398</v>
      </c>
      <c r="L3523" s="191"/>
      <c r="M3523" s="191"/>
      <c r="N3523" s="191"/>
      <c r="O3523" s="191"/>
      <c r="P3523" s="191"/>
      <c r="Q3523" s="191"/>
      <c r="R3523" s="191"/>
      <c r="S3523" s="191"/>
      <c r="T3523" s="191"/>
      <c r="U3523" s="439"/>
      <c r="V3523" s="441"/>
      <c r="W3523" s="178"/>
      <c r="X3523" s="172"/>
      <c r="Y3523" s="172"/>
      <c r="Z3523" s="172"/>
      <c r="AA3523" s="195"/>
      <c r="AB3523" s="172"/>
    </row>
    <row r="3524" spans="1:28" ht="12.6" customHeight="1" x14ac:dyDescent="0.3">
      <c r="A3524" s="667"/>
      <c r="B3524" s="668" t="s">
        <v>11058</v>
      </c>
      <c r="C3524" s="160" t="s">
        <v>11059</v>
      </c>
      <c r="D3524" s="160"/>
      <c r="E3524" s="439">
        <v>9.4139999999999997</v>
      </c>
      <c r="F3524" s="161">
        <v>460.14356679500003</v>
      </c>
      <c r="G3524" s="161">
        <v>-63.487000000000002</v>
      </c>
      <c r="H3524" s="654">
        <v>9.3734965183999996</v>
      </c>
      <c r="I3524" s="654">
        <v>4.6869763570171898E-2</v>
      </c>
      <c r="J3524" s="191"/>
      <c r="K3524" s="191">
        <v>938901428.88619697</v>
      </c>
      <c r="L3524" s="191"/>
      <c r="M3524" s="191"/>
      <c r="N3524" s="191"/>
      <c r="O3524" s="191"/>
      <c r="P3524" s="191"/>
      <c r="Q3524" s="191"/>
      <c r="R3524" s="191"/>
      <c r="S3524" s="191"/>
      <c r="T3524" s="191"/>
      <c r="U3524" s="439"/>
      <c r="V3524" s="441"/>
      <c r="W3524" s="178"/>
      <c r="X3524" s="172"/>
      <c r="Y3524" s="172"/>
      <c r="Z3524" s="172"/>
      <c r="AA3524" s="195"/>
      <c r="AB3524" s="172"/>
    </row>
    <row r="3525" spans="1:28" ht="12.6" customHeight="1" x14ac:dyDescent="0.3">
      <c r="A3525" s="667"/>
      <c r="B3525" s="668" t="s">
        <v>11060</v>
      </c>
      <c r="C3525" s="160" t="s">
        <v>11061</v>
      </c>
      <c r="D3525" s="160"/>
      <c r="E3525" s="439"/>
      <c r="F3525" s="161">
        <v>360.149954143</v>
      </c>
      <c r="G3525" s="161"/>
      <c r="H3525" s="654"/>
      <c r="I3525" s="654"/>
      <c r="J3525" s="191"/>
      <c r="K3525" s="191">
        <v>161179572.66730699</v>
      </c>
      <c r="L3525" s="191"/>
      <c r="M3525" s="191"/>
      <c r="N3525" s="191"/>
      <c r="O3525" s="191"/>
      <c r="P3525" s="191"/>
      <c r="Q3525" s="191"/>
      <c r="R3525" s="191"/>
      <c r="S3525" s="191"/>
      <c r="T3525" s="191"/>
      <c r="U3525" s="439"/>
      <c r="V3525" s="441"/>
      <c r="W3525" s="178"/>
      <c r="X3525" s="172"/>
      <c r="Y3525" s="172"/>
      <c r="Z3525" s="172"/>
      <c r="AA3525" s="195"/>
      <c r="AB3525" s="172"/>
    </row>
    <row r="3526" spans="1:28" ht="12.6" customHeight="1" x14ac:dyDescent="0.3">
      <c r="A3526" s="667"/>
      <c r="B3526" s="668" t="s">
        <v>11062</v>
      </c>
      <c r="C3526" s="160" t="s">
        <v>11063</v>
      </c>
      <c r="D3526" s="160"/>
      <c r="E3526" s="439"/>
      <c r="F3526" s="161">
        <v>774.14005481599997</v>
      </c>
      <c r="G3526" s="161"/>
      <c r="H3526" s="654"/>
      <c r="I3526" s="654"/>
      <c r="J3526" s="191"/>
      <c r="K3526" s="191">
        <v>3222775.1036163601</v>
      </c>
      <c r="L3526" s="191"/>
      <c r="M3526" s="191"/>
      <c r="N3526" s="191"/>
      <c r="O3526" s="191"/>
      <c r="P3526" s="191"/>
      <c r="Q3526" s="191"/>
      <c r="R3526" s="191"/>
      <c r="S3526" s="191"/>
      <c r="T3526" s="191"/>
      <c r="U3526" s="439"/>
      <c r="V3526" s="441"/>
      <c r="W3526" s="178"/>
      <c r="X3526" s="172"/>
      <c r="Y3526" s="172"/>
      <c r="Z3526" s="172"/>
      <c r="AA3526" s="195"/>
      <c r="AB3526" s="172"/>
    </row>
    <row r="3527" spans="1:28" ht="12.6" customHeight="1" x14ac:dyDescent="0.3">
      <c r="A3527" s="667"/>
      <c r="B3527" s="668" t="s">
        <v>11064</v>
      </c>
      <c r="C3527" s="160" t="s">
        <v>11065</v>
      </c>
      <c r="D3527" s="160"/>
      <c r="E3527" s="439"/>
      <c r="F3527" s="161">
        <v>674.14644216399995</v>
      </c>
      <c r="G3527" s="161"/>
      <c r="H3527" s="654"/>
      <c r="I3527" s="654"/>
      <c r="J3527" s="191"/>
      <c r="K3527" s="191"/>
      <c r="L3527" s="191"/>
      <c r="M3527" s="191"/>
      <c r="N3527" s="191"/>
      <c r="O3527" s="191"/>
      <c r="P3527" s="191"/>
      <c r="Q3527" s="191"/>
      <c r="R3527" s="191"/>
      <c r="S3527" s="191"/>
      <c r="T3527" s="191"/>
      <c r="U3527" s="439"/>
      <c r="V3527" s="441"/>
      <c r="W3527" s="178"/>
      <c r="X3527" s="172"/>
      <c r="Y3527" s="172"/>
      <c r="Z3527" s="172"/>
      <c r="AA3527" s="195"/>
      <c r="AB3527" s="172"/>
    </row>
    <row r="3528" spans="1:28" ht="12.6" customHeight="1" x14ac:dyDescent="0.3">
      <c r="A3528" s="667"/>
      <c r="B3528" s="668" t="s">
        <v>11066</v>
      </c>
      <c r="C3528" s="160" t="s">
        <v>11067</v>
      </c>
      <c r="D3528" s="160"/>
      <c r="E3528" s="439"/>
      <c r="F3528" s="161">
        <v>574.15282951200004</v>
      </c>
      <c r="G3528" s="161"/>
      <c r="H3528" s="654"/>
      <c r="I3528" s="654"/>
      <c r="J3528" s="191"/>
      <c r="K3528" s="191">
        <v>4982072.0046937</v>
      </c>
      <c r="L3528" s="191"/>
      <c r="M3528" s="191"/>
      <c r="N3528" s="191"/>
      <c r="O3528" s="191"/>
      <c r="P3528" s="191"/>
      <c r="Q3528" s="191"/>
      <c r="R3528" s="191"/>
      <c r="S3528" s="191"/>
      <c r="T3528" s="191"/>
      <c r="U3528" s="439"/>
      <c r="V3528" s="441"/>
      <c r="W3528" s="178"/>
      <c r="X3528" s="172"/>
      <c r="Y3528" s="172"/>
      <c r="Z3528" s="172"/>
      <c r="AA3528" s="195"/>
      <c r="AB3528" s="172"/>
    </row>
    <row r="3529" spans="1:28" ht="12.6" customHeight="1" x14ac:dyDescent="0.3">
      <c r="A3529" s="667"/>
      <c r="B3529" s="668" t="s">
        <v>11068</v>
      </c>
      <c r="C3529" s="160" t="s">
        <v>11069</v>
      </c>
      <c r="D3529" s="160"/>
      <c r="E3529" s="439"/>
      <c r="F3529" s="161">
        <v>838.15251120599999</v>
      </c>
      <c r="G3529" s="161"/>
      <c r="H3529" s="654"/>
      <c r="I3529" s="654"/>
      <c r="J3529" s="191"/>
      <c r="K3529" s="191">
        <v>26254273.189936999</v>
      </c>
      <c r="L3529" s="191"/>
      <c r="M3529" s="191"/>
      <c r="N3529" s="191"/>
      <c r="O3529" s="191"/>
      <c r="P3529" s="191"/>
      <c r="Q3529" s="191"/>
      <c r="R3529" s="191"/>
      <c r="S3529" s="191"/>
      <c r="T3529" s="191"/>
      <c r="U3529" s="439"/>
      <c r="V3529" s="441"/>
      <c r="W3529" s="178"/>
      <c r="X3529" s="172"/>
      <c r="Y3529" s="172"/>
      <c r="Z3529" s="172"/>
      <c r="AA3529" s="195"/>
      <c r="AB3529" s="172"/>
    </row>
    <row r="3530" spans="1:28" ht="12.6" customHeight="1" x14ac:dyDescent="0.3">
      <c r="A3530" s="667"/>
      <c r="B3530" s="668" t="s">
        <v>11070</v>
      </c>
      <c r="C3530" s="160" t="s">
        <v>11071</v>
      </c>
      <c r="D3530" s="160"/>
      <c r="E3530" s="439"/>
      <c r="F3530" s="161">
        <v>788.15570488000003</v>
      </c>
      <c r="G3530" s="161"/>
      <c r="H3530" s="654"/>
      <c r="I3530" s="654"/>
      <c r="J3530" s="191"/>
      <c r="K3530" s="191">
        <v>17366807.882473599</v>
      </c>
      <c r="L3530" s="191"/>
      <c r="M3530" s="191"/>
      <c r="N3530" s="191"/>
      <c r="O3530" s="191"/>
      <c r="P3530" s="191"/>
      <c r="Q3530" s="191"/>
      <c r="R3530" s="191"/>
      <c r="S3530" s="191"/>
      <c r="T3530" s="191"/>
      <c r="U3530" s="439"/>
      <c r="V3530" s="441"/>
      <c r="W3530" s="178"/>
      <c r="X3530" s="172"/>
      <c r="Y3530" s="172"/>
      <c r="Z3530" s="172"/>
      <c r="AA3530" s="195"/>
      <c r="AB3530" s="172"/>
    </row>
    <row r="3531" spans="1:28" ht="12.6" customHeight="1" x14ac:dyDescent="0.3">
      <c r="A3531" s="667"/>
      <c r="B3531" s="668" t="s">
        <v>11072</v>
      </c>
      <c r="C3531" s="160" t="s">
        <v>11073</v>
      </c>
      <c r="D3531" s="160"/>
      <c r="E3531" s="439"/>
      <c r="F3531" s="161">
        <v>738.15889855399996</v>
      </c>
      <c r="G3531" s="161"/>
      <c r="H3531" s="654"/>
      <c r="I3531" s="654"/>
      <c r="J3531" s="191"/>
      <c r="K3531" s="191"/>
      <c r="L3531" s="191"/>
      <c r="M3531" s="191"/>
      <c r="N3531" s="191"/>
      <c r="O3531" s="191"/>
      <c r="P3531" s="191"/>
      <c r="Q3531" s="191"/>
      <c r="R3531" s="191"/>
      <c r="S3531" s="191"/>
      <c r="T3531" s="191"/>
      <c r="U3531" s="439"/>
      <c r="V3531" s="441"/>
      <c r="W3531" s="178"/>
      <c r="X3531" s="172"/>
      <c r="Y3531" s="172"/>
      <c r="Z3531" s="172"/>
      <c r="AA3531" s="195"/>
      <c r="AB3531" s="172"/>
    </row>
    <row r="3532" spans="1:28" ht="12.6" customHeight="1" x14ac:dyDescent="0.3">
      <c r="A3532" s="667"/>
      <c r="B3532" s="668" t="s">
        <v>11074</v>
      </c>
      <c r="C3532" s="160" t="s">
        <v>11075</v>
      </c>
      <c r="D3532" s="160"/>
      <c r="E3532" s="439"/>
      <c r="F3532" s="161">
        <v>688.16209222800001</v>
      </c>
      <c r="G3532" s="161"/>
      <c r="H3532" s="654"/>
      <c r="I3532" s="654"/>
      <c r="J3532" s="191"/>
      <c r="K3532" s="191">
        <v>3420345.6752979099</v>
      </c>
      <c r="L3532" s="191"/>
      <c r="M3532" s="191"/>
      <c r="N3532" s="191"/>
      <c r="O3532" s="191"/>
      <c r="P3532" s="191"/>
      <c r="Q3532" s="191"/>
      <c r="R3532" s="191"/>
      <c r="S3532" s="191"/>
      <c r="T3532" s="191"/>
      <c r="U3532" s="439"/>
      <c r="V3532" s="441"/>
      <c r="W3532" s="178"/>
      <c r="X3532" s="172"/>
      <c r="Y3532" s="172"/>
      <c r="Z3532" s="172"/>
      <c r="AA3532" s="195"/>
      <c r="AB3532" s="172"/>
    </row>
    <row r="3533" spans="1:28" ht="12.6" customHeight="1" x14ac:dyDescent="0.3">
      <c r="A3533" s="667"/>
      <c r="B3533" s="668" t="s">
        <v>11076</v>
      </c>
      <c r="C3533" s="160" t="s">
        <v>11077</v>
      </c>
      <c r="D3533" s="160"/>
      <c r="E3533" s="439"/>
      <c r="F3533" s="161">
        <v>638.16528590200005</v>
      </c>
      <c r="G3533" s="161"/>
      <c r="H3533" s="654"/>
      <c r="I3533" s="654"/>
      <c r="J3533" s="191"/>
      <c r="K3533" s="191">
        <v>3796994.7792607401</v>
      </c>
      <c r="L3533" s="191"/>
      <c r="M3533" s="191"/>
      <c r="N3533" s="191"/>
      <c r="O3533" s="191"/>
      <c r="P3533" s="191"/>
      <c r="Q3533" s="191"/>
      <c r="R3533" s="191"/>
      <c r="S3533" s="191"/>
      <c r="T3533" s="191"/>
      <c r="U3533" s="439"/>
      <c r="V3533" s="441"/>
      <c r="W3533" s="178"/>
      <c r="X3533" s="172"/>
      <c r="Y3533" s="172"/>
      <c r="Z3533" s="172"/>
      <c r="AA3533" s="195"/>
      <c r="AB3533" s="172"/>
    </row>
    <row r="3534" spans="1:28" ht="12.6" customHeight="1" x14ac:dyDescent="0.3">
      <c r="A3534" s="667"/>
      <c r="B3534" s="668" t="s">
        <v>11078</v>
      </c>
      <c r="C3534" s="160" t="s">
        <v>11079</v>
      </c>
      <c r="D3534" s="160"/>
      <c r="E3534" s="439"/>
      <c r="F3534" s="161">
        <v>588.16847957599998</v>
      </c>
      <c r="G3534" s="161">
        <v>-17.009</v>
      </c>
      <c r="H3534" s="654">
        <v>2.0225614009999999</v>
      </c>
      <c r="I3534" s="654">
        <v>4.1543398415716101E-3</v>
      </c>
      <c r="J3534" s="191"/>
      <c r="K3534" s="191">
        <v>4628177.4288777802</v>
      </c>
      <c r="L3534" s="191"/>
      <c r="M3534" s="191"/>
      <c r="N3534" s="191"/>
      <c r="O3534" s="191"/>
      <c r="P3534" s="191"/>
      <c r="Q3534" s="191"/>
      <c r="R3534" s="191"/>
      <c r="S3534" s="191"/>
      <c r="T3534" s="191"/>
      <c r="U3534" s="439"/>
      <c r="V3534" s="441"/>
      <c r="W3534" s="178"/>
      <c r="X3534" s="172"/>
      <c r="Y3534" s="172"/>
      <c r="Z3534" s="172"/>
      <c r="AA3534" s="195"/>
      <c r="AB3534" s="172"/>
    </row>
    <row r="3535" spans="1:28" ht="12.6" customHeight="1" x14ac:dyDescent="0.3">
      <c r="A3535" s="667"/>
      <c r="B3535" s="668" t="s">
        <v>11080</v>
      </c>
      <c r="C3535" s="160" t="s">
        <v>11081</v>
      </c>
      <c r="D3535" s="160"/>
      <c r="E3535" s="439"/>
      <c r="F3535" s="161">
        <v>538.17167325000003</v>
      </c>
      <c r="G3535" s="161"/>
      <c r="H3535" s="654"/>
      <c r="I3535" s="654"/>
      <c r="J3535" s="191"/>
      <c r="K3535" s="191">
        <v>37731146.335838802</v>
      </c>
      <c r="L3535" s="191"/>
      <c r="M3535" s="191"/>
      <c r="N3535" s="191"/>
      <c r="O3535" s="191"/>
      <c r="P3535" s="191"/>
      <c r="Q3535" s="191"/>
      <c r="R3535" s="191"/>
      <c r="S3535" s="191"/>
      <c r="T3535" s="191"/>
      <c r="U3535" s="439"/>
      <c r="V3535" s="441"/>
      <c r="W3535" s="178"/>
      <c r="X3535" s="172"/>
      <c r="Y3535" s="172"/>
      <c r="Z3535" s="172"/>
      <c r="AA3535" s="195"/>
      <c r="AB3535" s="172"/>
    </row>
    <row r="3536" spans="1:28" ht="12.6" customHeight="1" x14ac:dyDescent="0.3">
      <c r="A3536" s="667"/>
      <c r="B3536" s="668" t="s">
        <v>11082</v>
      </c>
      <c r="C3536" s="160" t="s">
        <v>11083</v>
      </c>
      <c r="D3536" s="160"/>
      <c r="E3536" s="439"/>
      <c r="F3536" s="161">
        <v>488.17486692400001</v>
      </c>
      <c r="G3536" s="161">
        <v>-59.936999999999998</v>
      </c>
      <c r="H3536" s="654">
        <v>3.7316561155999999</v>
      </c>
      <c r="I3536" s="654">
        <v>3.0589720606271499E-2</v>
      </c>
      <c r="J3536" s="191"/>
      <c r="K3536" s="191">
        <v>416044705.84652102</v>
      </c>
      <c r="L3536" s="191"/>
      <c r="M3536" s="191"/>
      <c r="N3536" s="191"/>
      <c r="O3536" s="191"/>
      <c r="P3536" s="191"/>
      <c r="Q3536" s="191"/>
      <c r="R3536" s="191"/>
      <c r="S3536" s="191"/>
      <c r="T3536" s="191"/>
      <c r="U3536" s="439"/>
      <c r="V3536" s="441"/>
      <c r="W3536" s="178"/>
      <c r="X3536" s="172"/>
      <c r="Y3536" s="172"/>
      <c r="Z3536" s="172"/>
      <c r="AA3536" s="195"/>
      <c r="AB3536" s="172"/>
    </row>
    <row r="3537" spans="1:28" ht="12.6" customHeight="1" x14ac:dyDescent="0.3">
      <c r="A3537" s="667"/>
      <c r="B3537" s="668" t="s">
        <v>11084</v>
      </c>
      <c r="C3537" s="160" t="s">
        <v>11085</v>
      </c>
      <c r="D3537" s="160"/>
      <c r="E3537" s="439"/>
      <c r="F3537" s="161">
        <v>388.18125427199999</v>
      </c>
      <c r="G3537" s="161"/>
      <c r="H3537" s="654"/>
      <c r="I3537" s="654"/>
      <c r="J3537" s="191"/>
      <c r="K3537" s="191">
        <v>1706475274.2216001</v>
      </c>
      <c r="L3537" s="191"/>
      <c r="M3537" s="191"/>
      <c r="N3537" s="191"/>
      <c r="O3537" s="191"/>
      <c r="P3537" s="191"/>
      <c r="Q3537" s="191"/>
      <c r="R3537" s="191"/>
      <c r="S3537" s="191"/>
      <c r="T3537" s="191"/>
      <c r="U3537" s="439"/>
      <c r="V3537" s="441"/>
      <c r="W3537" s="178"/>
      <c r="X3537" s="172"/>
      <c r="Y3537" s="172"/>
      <c r="Z3537" s="172"/>
      <c r="AA3537" s="195"/>
      <c r="AB3537" s="172"/>
    </row>
    <row r="3538" spans="1:28" ht="12.6" customHeight="1" x14ac:dyDescent="0.3">
      <c r="A3538" s="667"/>
      <c r="B3538" s="668" t="s">
        <v>11086</v>
      </c>
      <c r="C3538" s="160" t="s">
        <v>11087</v>
      </c>
      <c r="D3538" s="160"/>
      <c r="E3538" s="439"/>
      <c r="F3538" s="161">
        <v>338.18444794599998</v>
      </c>
      <c r="G3538" s="161"/>
      <c r="H3538" s="654"/>
      <c r="I3538" s="654"/>
      <c r="J3538" s="191"/>
      <c r="K3538" s="191">
        <v>164323622.37025499</v>
      </c>
      <c r="L3538" s="191"/>
      <c r="M3538" s="191"/>
      <c r="N3538" s="191"/>
      <c r="O3538" s="191"/>
      <c r="P3538" s="191"/>
      <c r="Q3538" s="191"/>
      <c r="R3538" s="191"/>
      <c r="S3538" s="191"/>
      <c r="T3538" s="191"/>
      <c r="U3538" s="439"/>
      <c r="V3538" s="441"/>
      <c r="W3538" s="178"/>
      <c r="X3538" s="172"/>
      <c r="Y3538" s="172"/>
      <c r="Z3538" s="172"/>
      <c r="AA3538" s="195"/>
      <c r="AB3538" s="172"/>
    </row>
    <row r="3539" spans="1:28" ht="12.6" customHeight="1" x14ac:dyDescent="0.3">
      <c r="A3539" s="667"/>
      <c r="B3539" s="668" t="s">
        <v>11088</v>
      </c>
      <c r="C3539" s="160" t="s">
        <v>11089</v>
      </c>
      <c r="D3539" s="160"/>
      <c r="E3539" s="439"/>
      <c r="F3539" s="161">
        <v>802.17135494399997</v>
      </c>
      <c r="G3539" s="161"/>
      <c r="H3539" s="654"/>
      <c r="I3539" s="654"/>
      <c r="J3539" s="191"/>
      <c r="K3539" s="191"/>
      <c r="L3539" s="191"/>
      <c r="M3539" s="191"/>
      <c r="N3539" s="191"/>
      <c r="O3539" s="191"/>
      <c r="P3539" s="191"/>
      <c r="Q3539" s="191"/>
      <c r="R3539" s="191"/>
      <c r="S3539" s="191"/>
      <c r="T3539" s="191"/>
      <c r="U3539" s="439"/>
      <c r="V3539" s="441"/>
      <c r="W3539" s="178"/>
      <c r="X3539" s="172"/>
      <c r="Y3539" s="172"/>
      <c r="Z3539" s="172"/>
      <c r="AA3539" s="195"/>
      <c r="AB3539" s="172"/>
    </row>
    <row r="3540" spans="1:28" ht="12.6" customHeight="1" x14ac:dyDescent="0.3">
      <c r="A3540" s="667"/>
      <c r="B3540" s="668" t="s">
        <v>11090</v>
      </c>
      <c r="C3540" s="160" t="s">
        <v>11091</v>
      </c>
      <c r="D3540" s="160"/>
      <c r="E3540" s="439"/>
      <c r="F3540" s="161">
        <v>702.17774229199995</v>
      </c>
      <c r="G3540" s="161"/>
      <c r="H3540" s="654"/>
      <c r="I3540" s="654"/>
      <c r="J3540" s="191"/>
      <c r="K3540" s="191">
        <v>3446434.2692498402</v>
      </c>
      <c r="L3540" s="191"/>
      <c r="M3540" s="191"/>
      <c r="N3540" s="191"/>
      <c r="O3540" s="191"/>
      <c r="P3540" s="191"/>
      <c r="Q3540" s="191"/>
      <c r="R3540" s="191"/>
      <c r="S3540" s="191"/>
      <c r="T3540" s="191"/>
      <c r="U3540" s="439"/>
      <c r="V3540" s="441"/>
      <c r="W3540" s="178"/>
      <c r="X3540" s="172"/>
      <c r="Y3540" s="172"/>
      <c r="Z3540" s="172"/>
      <c r="AA3540" s="195"/>
      <c r="AB3540" s="172"/>
    </row>
    <row r="3541" spans="1:28" ht="12.6" customHeight="1" x14ac:dyDescent="0.3">
      <c r="A3541" s="667"/>
      <c r="B3541" s="668" t="s">
        <v>11092</v>
      </c>
      <c r="C3541" s="160" t="s">
        <v>11093</v>
      </c>
      <c r="D3541" s="160"/>
      <c r="E3541" s="439"/>
      <c r="F3541" s="161">
        <v>602.18412964000004</v>
      </c>
      <c r="G3541" s="161"/>
      <c r="H3541" s="654"/>
      <c r="I3541" s="654"/>
      <c r="J3541" s="191"/>
      <c r="K3541" s="191">
        <v>4333013.0796564603</v>
      </c>
      <c r="L3541" s="191"/>
      <c r="M3541" s="191"/>
      <c r="N3541" s="191"/>
      <c r="O3541" s="191"/>
      <c r="P3541" s="191"/>
      <c r="Q3541" s="191"/>
      <c r="R3541" s="191"/>
      <c r="S3541" s="191"/>
      <c r="T3541" s="191"/>
      <c r="U3541" s="439"/>
      <c r="V3541" s="441"/>
      <c r="W3541" s="178"/>
      <c r="X3541" s="172"/>
      <c r="Y3541" s="172"/>
      <c r="Z3541" s="172"/>
      <c r="AA3541" s="195"/>
      <c r="AB3541" s="172"/>
    </row>
    <row r="3542" spans="1:28" ht="12.6" customHeight="1" x14ac:dyDescent="0.3">
      <c r="A3542" s="667"/>
      <c r="B3542" s="668" t="s">
        <v>11094</v>
      </c>
      <c r="C3542" s="160" t="s">
        <v>11095</v>
      </c>
      <c r="D3542" s="160"/>
      <c r="E3542" s="439"/>
      <c r="F3542" s="161">
        <v>816.18700500900002</v>
      </c>
      <c r="G3542" s="161"/>
      <c r="H3542" s="654"/>
      <c r="I3542" s="654"/>
      <c r="J3542" s="191"/>
      <c r="K3542" s="191">
        <v>27894591.127215501</v>
      </c>
      <c r="L3542" s="191"/>
      <c r="M3542" s="191"/>
      <c r="N3542" s="191"/>
      <c r="O3542" s="191"/>
      <c r="P3542" s="191"/>
      <c r="Q3542" s="191"/>
      <c r="R3542" s="191"/>
      <c r="S3542" s="191"/>
      <c r="T3542" s="191"/>
      <c r="U3542" s="439"/>
      <c r="V3542" s="441"/>
      <c r="W3542" s="178"/>
      <c r="X3542" s="172"/>
      <c r="Y3542" s="172"/>
      <c r="Z3542" s="172"/>
      <c r="AA3542" s="195"/>
      <c r="AB3542" s="172"/>
    </row>
    <row r="3543" spans="1:28" ht="12.6" customHeight="1" x14ac:dyDescent="0.3">
      <c r="A3543" s="667"/>
      <c r="B3543" s="668" t="s">
        <v>11096</v>
      </c>
      <c r="C3543" s="160" t="s">
        <v>11097</v>
      </c>
      <c r="D3543" s="160"/>
      <c r="E3543" s="439"/>
      <c r="F3543" s="161">
        <v>716.19339235699999</v>
      </c>
      <c r="G3543" s="161"/>
      <c r="H3543" s="654"/>
      <c r="I3543" s="654"/>
      <c r="J3543" s="191"/>
      <c r="K3543" s="191">
        <v>3490036.7492499999</v>
      </c>
      <c r="L3543" s="191"/>
      <c r="M3543" s="191"/>
      <c r="N3543" s="191"/>
      <c r="O3543" s="191"/>
      <c r="P3543" s="191"/>
      <c r="Q3543" s="191"/>
      <c r="R3543" s="191"/>
      <c r="S3543" s="191"/>
      <c r="T3543" s="191"/>
      <c r="U3543" s="439"/>
      <c r="V3543" s="441"/>
      <c r="W3543" s="178"/>
      <c r="X3543" s="172"/>
      <c r="Y3543" s="172"/>
      <c r="Z3543" s="172"/>
      <c r="AA3543" s="195"/>
      <c r="AB3543" s="172"/>
    </row>
    <row r="3544" spans="1:28" ht="12.6" customHeight="1" x14ac:dyDescent="0.3">
      <c r="A3544" s="667"/>
      <c r="B3544" s="668" t="s">
        <v>11098</v>
      </c>
      <c r="C3544" s="160" t="s">
        <v>11099</v>
      </c>
      <c r="D3544" s="160"/>
      <c r="E3544" s="439"/>
      <c r="F3544" s="161">
        <v>616.19977970499997</v>
      </c>
      <c r="G3544" s="161">
        <v>-14.266999999999999</v>
      </c>
      <c r="H3544" s="654">
        <v>0.82395129152000002</v>
      </c>
      <c r="I3544" s="654">
        <v>2.15636031908866E-3</v>
      </c>
      <c r="J3544" s="191"/>
      <c r="K3544" s="191">
        <v>4112917.51713748</v>
      </c>
      <c r="L3544" s="191"/>
      <c r="M3544" s="191"/>
      <c r="N3544" s="191"/>
      <c r="O3544" s="191"/>
      <c r="P3544" s="191"/>
      <c r="Q3544" s="191"/>
      <c r="R3544" s="191"/>
      <c r="S3544" s="191"/>
      <c r="T3544" s="191"/>
      <c r="U3544" s="439"/>
      <c r="V3544" s="441"/>
      <c r="W3544" s="178"/>
      <c r="X3544" s="172"/>
      <c r="Y3544" s="172"/>
      <c r="Z3544" s="172"/>
      <c r="AA3544" s="195"/>
      <c r="AB3544" s="172"/>
    </row>
    <row r="3545" spans="1:28" ht="12.6" customHeight="1" x14ac:dyDescent="0.3">
      <c r="A3545" s="667"/>
      <c r="B3545" s="668" t="s">
        <v>11100</v>
      </c>
      <c r="C3545" s="160" t="s">
        <v>11101</v>
      </c>
      <c r="D3545" s="160"/>
      <c r="E3545" s="439"/>
      <c r="F3545" s="161">
        <v>516.20616705299994</v>
      </c>
      <c r="G3545" s="161">
        <v>33.704000000000001</v>
      </c>
      <c r="H3545" s="654">
        <v>1.5202041049999999</v>
      </c>
      <c r="I3545" s="654">
        <v>1.11640940160886E-2</v>
      </c>
      <c r="J3545" s="191"/>
      <c r="K3545" s="191">
        <v>43932912.960096397</v>
      </c>
      <c r="L3545" s="191"/>
      <c r="M3545" s="191"/>
      <c r="N3545" s="191"/>
      <c r="O3545" s="191"/>
      <c r="P3545" s="191"/>
      <c r="Q3545" s="191"/>
      <c r="R3545" s="191"/>
      <c r="S3545" s="191"/>
      <c r="T3545" s="191"/>
      <c r="U3545" s="439"/>
      <c r="V3545" s="441"/>
      <c r="W3545" s="178"/>
      <c r="X3545" s="172"/>
      <c r="Y3545" s="172"/>
      <c r="Z3545" s="172"/>
      <c r="AA3545" s="195"/>
      <c r="AB3545" s="172"/>
    </row>
    <row r="3546" spans="1:28" ht="12.6" customHeight="1" x14ac:dyDescent="0.3">
      <c r="A3546" s="667"/>
      <c r="B3546" s="668" t="s">
        <v>11102</v>
      </c>
      <c r="C3546" s="160" t="s">
        <v>11103</v>
      </c>
      <c r="D3546" s="160"/>
      <c r="E3546" s="439"/>
      <c r="F3546" s="161">
        <v>416.21255440099998</v>
      </c>
      <c r="G3546" s="161"/>
      <c r="H3546" s="654"/>
      <c r="I3546" s="654"/>
      <c r="J3546" s="191"/>
      <c r="K3546" s="191">
        <v>2834066261.5450702</v>
      </c>
      <c r="L3546" s="191"/>
      <c r="M3546" s="191"/>
      <c r="N3546" s="191"/>
      <c r="O3546" s="191"/>
      <c r="P3546" s="191"/>
      <c r="Q3546" s="191"/>
      <c r="R3546" s="191"/>
      <c r="S3546" s="191"/>
      <c r="T3546" s="191"/>
      <c r="U3546" s="439"/>
      <c r="V3546" s="441"/>
      <c r="W3546" s="178"/>
      <c r="X3546" s="172"/>
      <c r="Y3546" s="172"/>
      <c r="Z3546" s="172"/>
      <c r="AA3546" s="195"/>
      <c r="AB3546" s="172"/>
    </row>
    <row r="3547" spans="1:28" ht="12.6" customHeight="1" x14ac:dyDescent="0.3">
      <c r="A3547" s="667"/>
      <c r="B3547" s="668" t="s">
        <v>11104</v>
      </c>
      <c r="C3547" s="160" t="s">
        <v>11105</v>
      </c>
      <c r="D3547" s="160"/>
      <c r="E3547" s="439"/>
      <c r="F3547" s="161">
        <v>830.20265507299996</v>
      </c>
      <c r="G3547" s="161"/>
      <c r="H3547" s="654"/>
      <c r="I3547" s="654"/>
      <c r="J3547" s="191"/>
      <c r="K3547" s="191">
        <v>30544287.577886499</v>
      </c>
      <c r="L3547" s="191"/>
      <c r="M3547" s="191"/>
      <c r="N3547" s="191"/>
      <c r="O3547" s="191"/>
      <c r="P3547" s="191"/>
      <c r="Q3547" s="191"/>
      <c r="R3547" s="191"/>
      <c r="S3547" s="191"/>
      <c r="T3547" s="191"/>
      <c r="U3547" s="439"/>
      <c r="V3547" s="441"/>
      <c r="W3547" s="178"/>
      <c r="X3547" s="172"/>
      <c r="Y3547" s="172"/>
      <c r="Z3547" s="172"/>
      <c r="AA3547" s="195"/>
      <c r="AB3547" s="172"/>
    </row>
    <row r="3548" spans="1:28" ht="12.6" customHeight="1" x14ac:dyDescent="0.3">
      <c r="A3548" s="667"/>
      <c r="B3548" s="668" t="s">
        <v>11106</v>
      </c>
      <c r="C3548" s="160" t="s">
        <v>11107</v>
      </c>
      <c r="D3548" s="160"/>
      <c r="E3548" s="439"/>
      <c r="F3548" s="161">
        <v>730.20904242100005</v>
      </c>
      <c r="G3548" s="161"/>
      <c r="H3548" s="654"/>
      <c r="I3548" s="654"/>
      <c r="J3548" s="191"/>
      <c r="K3548" s="191">
        <v>18551968.575711899</v>
      </c>
      <c r="L3548" s="191"/>
      <c r="M3548" s="191"/>
      <c r="N3548" s="191"/>
      <c r="O3548" s="191"/>
      <c r="P3548" s="191"/>
      <c r="Q3548" s="191"/>
      <c r="R3548" s="191"/>
      <c r="S3548" s="191"/>
      <c r="T3548" s="191"/>
      <c r="U3548" s="439"/>
      <c r="V3548" s="441"/>
      <c r="W3548" s="178"/>
      <c r="X3548" s="172"/>
      <c r="Y3548" s="172"/>
      <c r="Z3548" s="172"/>
      <c r="AA3548" s="195"/>
      <c r="AB3548" s="172"/>
    </row>
    <row r="3549" spans="1:28" ht="12.6" customHeight="1" x14ac:dyDescent="0.3">
      <c r="A3549" s="667"/>
      <c r="B3549" s="668" t="s">
        <v>11108</v>
      </c>
      <c r="C3549" s="160" t="s">
        <v>11109</v>
      </c>
      <c r="D3549" s="160"/>
      <c r="E3549" s="439"/>
      <c r="F3549" s="161">
        <v>680.21223609499998</v>
      </c>
      <c r="G3549" s="161"/>
      <c r="H3549" s="654"/>
      <c r="I3549" s="654"/>
      <c r="J3549" s="191"/>
      <c r="K3549" s="191">
        <v>3647791.4410590101</v>
      </c>
      <c r="L3549" s="191"/>
      <c r="M3549" s="191"/>
      <c r="N3549" s="191"/>
      <c r="O3549" s="191"/>
      <c r="P3549" s="191"/>
      <c r="Q3549" s="191"/>
      <c r="R3549" s="191"/>
      <c r="S3549" s="191"/>
      <c r="T3549" s="191"/>
      <c r="U3549" s="439"/>
      <c r="V3549" s="441"/>
      <c r="W3549" s="178"/>
      <c r="X3549" s="172"/>
      <c r="Y3549" s="172"/>
      <c r="Z3549" s="172"/>
      <c r="AA3549" s="195"/>
      <c r="AB3549" s="172"/>
    </row>
    <row r="3550" spans="1:28" ht="12.6" customHeight="1" x14ac:dyDescent="0.3">
      <c r="A3550" s="667"/>
      <c r="B3550" s="668" t="s">
        <v>11110</v>
      </c>
      <c r="C3550" s="160" t="s">
        <v>11111</v>
      </c>
      <c r="D3550" s="160"/>
      <c r="E3550" s="439"/>
      <c r="F3550" s="161">
        <v>630.21542976900002</v>
      </c>
      <c r="G3550" s="161"/>
      <c r="H3550" s="654"/>
      <c r="I3550" s="654"/>
      <c r="J3550" s="191"/>
      <c r="K3550" s="191">
        <v>9518094.22914619</v>
      </c>
      <c r="L3550" s="191"/>
      <c r="M3550" s="191"/>
      <c r="N3550" s="191"/>
      <c r="O3550" s="191"/>
      <c r="P3550" s="191"/>
      <c r="Q3550" s="191"/>
      <c r="R3550" s="191"/>
      <c r="S3550" s="191"/>
      <c r="T3550" s="191"/>
      <c r="U3550" s="439"/>
      <c r="V3550" s="441"/>
      <c r="W3550" s="178"/>
      <c r="X3550" s="172"/>
      <c r="Y3550" s="172"/>
      <c r="Z3550" s="172"/>
      <c r="AA3550" s="195"/>
      <c r="AB3550" s="172"/>
    </row>
    <row r="3551" spans="1:28" ht="12.6" customHeight="1" x14ac:dyDescent="0.3">
      <c r="A3551" s="667"/>
      <c r="B3551" s="668" t="s">
        <v>11112</v>
      </c>
      <c r="C3551" s="160" t="s">
        <v>11113</v>
      </c>
      <c r="D3551" s="160"/>
      <c r="E3551" s="439"/>
      <c r="F3551" s="161">
        <v>644.23107983399996</v>
      </c>
      <c r="G3551" s="161">
        <v>-20.600999999999999</v>
      </c>
      <c r="H3551" s="654">
        <v>0.34033106940000002</v>
      </c>
      <c r="I3551" s="654">
        <v>1.11696784621618E-3</v>
      </c>
      <c r="J3551" s="191"/>
      <c r="K3551" s="191">
        <v>9324380.7691223007</v>
      </c>
      <c r="L3551" s="191"/>
      <c r="M3551" s="191"/>
      <c r="N3551" s="191"/>
      <c r="O3551" s="191"/>
      <c r="P3551" s="191"/>
      <c r="Q3551" s="191"/>
      <c r="R3551" s="191"/>
      <c r="S3551" s="191"/>
      <c r="T3551" s="191"/>
      <c r="U3551" s="439"/>
      <c r="V3551" s="441"/>
      <c r="W3551" s="178"/>
      <c r="X3551" s="172"/>
      <c r="Y3551" s="172"/>
      <c r="Z3551" s="172"/>
      <c r="AA3551" s="195"/>
      <c r="AB3551" s="172"/>
    </row>
    <row r="3552" spans="1:28" ht="12.6" customHeight="1" x14ac:dyDescent="0.3">
      <c r="A3552" s="667"/>
      <c r="B3552" s="668" t="s">
        <v>11114</v>
      </c>
      <c r="C3552" s="160" t="s">
        <v>11115</v>
      </c>
      <c r="D3552" s="160"/>
      <c r="E3552" s="439"/>
      <c r="F3552" s="161">
        <v>944.21191779000003</v>
      </c>
      <c r="G3552" s="161"/>
      <c r="H3552" s="654"/>
      <c r="I3552" s="654"/>
      <c r="J3552" s="191"/>
      <c r="K3552" s="191">
        <v>38637587.358491197</v>
      </c>
      <c r="L3552" s="191"/>
      <c r="M3552" s="191"/>
      <c r="N3552" s="191"/>
      <c r="O3552" s="191"/>
      <c r="P3552" s="191"/>
      <c r="Q3552" s="191"/>
      <c r="R3552" s="191"/>
      <c r="S3552" s="191"/>
      <c r="T3552" s="191"/>
      <c r="U3552" s="439"/>
      <c r="V3552" s="441"/>
      <c r="W3552" s="178"/>
      <c r="X3552" s="172"/>
      <c r="Y3552" s="172"/>
      <c r="Z3552" s="172"/>
      <c r="AA3552" s="195"/>
      <c r="AB3552" s="172"/>
    </row>
    <row r="3553" spans="1:28" ht="12.6" customHeight="1" x14ac:dyDescent="0.3">
      <c r="A3553" s="667"/>
      <c r="B3553" s="668" t="s">
        <v>11116</v>
      </c>
      <c r="C3553" s="160" t="s">
        <v>11117</v>
      </c>
      <c r="D3553" s="160"/>
      <c r="E3553" s="439"/>
      <c r="F3553" s="161">
        <v>844.21830513800001</v>
      </c>
      <c r="G3553" s="161"/>
      <c r="H3553" s="654"/>
      <c r="I3553" s="654"/>
      <c r="J3553" s="191"/>
      <c r="K3553" s="191">
        <v>33024024.666726202</v>
      </c>
      <c r="L3553" s="191"/>
      <c r="M3553" s="191"/>
      <c r="N3553" s="191"/>
      <c r="O3553" s="191"/>
      <c r="P3553" s="191"/>
      <c r="Q3553" s="191"/>
      <c r="R3553" s="191"/>
      <c r="S3553" s="191"/>
      <c r="T3553" s="191"/>
      <c r="U3553" s="439"/>
      <c r="V3553" s="441"/>
      <c r="W3553" s="178"/>
      <c r="X3553" s="172"/>
      <c r="Y3553" s="172"/>
      <c r="Z3553" s="172"/>
      <c r="AA3553" s="195"/>
      <c r="AB3553" s="172"/>
    </row>
    <row r="3554" spans="1:28" ht="12.6" customHeight="1" x14ac:dyDescent="0.3">
      <c r="A3554" s="667"/>
      <c r="B3554" s="668" t="s">
        <v>11118</v>
      </c>
      <c r="C3554" s="160" t="s">
        <v>11119</v>
      </c>
      <c r="D3554" s="160"/>
      <c r="E3554" s="439"/>
      <c r="F3554" s="161">
        <v>794.22149881200005</v>
      </c>
      <c r="G3554" s="161"/>
      <c r="H3554" s="654"/>
      <c r="I3554" s="654"/>
      <c r="J3554" s="191"/>
      <c r="K3554" s="191">
        <v>29587617.797373299</v>
      </c>
      <c r="L3554" s="191"/>
      <c r="M3554" s="191"/>
      <c r="N3554" s="191"/>
      <c r="O3554" s="191"/>
      <c r="P3554" s="191"/>
      <c r="Q3554" s="191"/>
      <c r="R3554" s="191"/>
      <c r="S3554" s="191"/>
      <c r="T3554" s="191"/>
      <c r="U3554" s="439"/>
      <c r="V3554" s="441"/>
      <c r="W3554" s="178"/>
      <c r="X3554" s="172"/>
      <c r="Y3554" s="172"/>
      <c r="Z3554" s="172"/>
      <c r="AA3554" s="195"/>
      <c r="AB3554" s="172"/>
    </row>
    <row r="3555" spans="1:28" ht="12.6" customHeight="1" x14ac:dyDescent="0.3">
      <c r="A3555" s="667"/>
      <c r="B3555" s="668" t="s">
        <v>11120</v>
      </c>
      <c r="C3555" s="160" t="s">
        <v>11121</v>
      </c>
      <c r="D3555" s="160"/>
      <c r="E3555" s="439"/>
      <c r="F3555" s="161">
        <v>744.22469248599998</v>
      </c>
      <c r="G3555" s="161"/>
      <c r="H3555" s="654"/>
      <c r="I3555" s="654"/>
      <c r="J3555" s="191"/>
      <c r="K3555" s="191">
        <v>20003684.6752089</v>
      </c>
      <c r="L3555" s="191"/>
      <c r="M3555" s="191"/>
      <c r="N3555" s="191"/>
      <c r="O3555" s="191"/>
      <c r="P3555" s="191"/>
      <c r="Q3555" s="191"/>
      <c r="R3555" s="191"/>
      <c r="S3555" s="191"/>
      <c r="T3555" s="191"/>
      <c r="U3555" s="439"/>
      <c r="V3555" s="441"/>
      <c r="W3555" s="178"/>
      <c r="X3555" s="172"/>
      <c r="Y3555" s="172"/>
      <c r="Z3555" s="172"/>
      <c r="AA3555" s="195"/>
      <c r="AB3555" s="172"/>
    </row>
    <row r="3556" spans="1:28" ht="12.6" customHeight="1" x14ac:dyDescent="0.3">
      <c r="A3556" s="667"/>
      <c r="B3556" s="668" t="s">
        <v>11122</v>
      </c>
      <c r="C3556" s="160" t="s">
        <v>11123</v>
      </c>
      <c r="D3556" s="160"/>
      <c r="E3556" s="439"/>
      <c r="F3556" s="161">
        <v>594.234273508</v>
      </c>
      <c r="G3556" s="161"/>
      <c r="H3556" s="654"/>
      <c r="I3556" s="654"/>
      <c r="J3556" s="191"/>
      <c r="K3556" s="191">
        <v>10885039.265340799</v>
      </c>
      <c r="L3556" s="191"/>
      <c r="M3556" s="191"/>
      <c r="N3556" s="191"/>
      <c r="O3556" s="191"/>
      <c r="P3556" s="191"/>
      <c r="Q3556" s="191"/>
      <c r="R3556" s="191"/>
      <c r="S3556" s="191"/>
      <c r="T3556" s="191"/>
      <c r="U3556" s="439"/>
      <c r="V3556" s="441"/>
      <c r="W3556" s="178"/>
      <c r="X3556" s="172"/>
      <c r="Y3556" s="172"/>
      <c r="Z3556" s="172"/>
      <c r="AA3556" s="195"/>
      <c r="AB3556" s="172"/>
    </row>
    <row r="3557" spans="1:28" ht="12.6" customHeight="1" x14ac:dyDescent="0.3">
      <c r="A3557" s="667"/>
      <c r="B3557" s="668" t="s">
        <v>11124</v>
      </c>
      <c r="C3557" s="160" t="s">
        <v>11125</v>
      </c>
      <c r="D3557" s="160"/>
      <c r="E3557" s="439"/>
      <c r="F3557" s="161">
        <v>544.23746718200005</v>
      </c>
      <c r="G3557" s="161">
        <v>46.006999999999998</v>
      </c>
      <c r="H3557" s="654">
        <v>0.6235936567</v>
      </c>
      <c r="I3557" s="654">
        <v>2.9977035082358302E-3</v>
      </c>
      <c r="J3557" s="191"/>
      <c r="K3557" s="191">
        <v>14361837.218790401</v>
      </c>
      <c r="L3557" s="191"/>
      <c r="M3557" s="191"/>
      <c r="N3557" s="191"/>
      <c r="O3557" s="191"/>
      <c r="P3557" s="191"/>
      <c r="Q3557" s="191"/>
      <c r="R3557" s="191"/>
      <c r="S3557" s="191"/>
      <c r="T3557" s="191"/>
      <c r="U3557" s="439"/>
      <c r="V3557" s="441"/>
      <c r="W3557" s="178"/>
      <c r="X3557" s="172"/>
      <c r="Y3557" s="172"/>
      <c r="Z3557" s="172"/>
      <c r="AA3557" s="195"/>
      <c r="AB3557" s="172"/>
    </row>
    <row r="3558" spans="1:28" ht="12.6" customHeight="1" x14ac:dyDescent="0.3">
      <c r="A3558" s="667"/>
      <c r="B3558" s="668" t="s">
        <v>11126</v>
      </c>
      <c r="C3558" s="160" t="s">
        <v>11127</v>
      </c>
      <c r="D3558" s="160"/>
      <c r="E3558" s="439"/>
      <c r="F3558" s="161">
        <v>444.24385453000002</v>
      </c>
      <c r="G3558" s="161"/>
      <c r="H3558" s="654"/>
      <c r="I3558" s="654"/>
      <c r="J3558" s="191"/>
      <c r="K3558" s="191">
        <v>1237713135.46947</v>
      </c>
      <c r="L3558" s="191"/>
      <c r="M3558" s="191"/>
      <c r="N3558" s="191"/>
      <c r="O3558" s="191"/>
      <c r="P3558" s="191"/>
      <c r="Q3558" s="191"/>
      <c r="R3558" s="191"/>
      <c r="S3558" s="191"/>
      <c r="T3558" s="191"/>
      <c r="U3558" s="439"/>
      <c r="V3558" s="441"/>
      <c r="W3558" s="178"/>
      <c r="X3558" s="172"/>
      <c r="Y3558" s="172"/>
      <c r="Z3558" s="172"/>
      <c r="AA3558" s="195"/>
      <c r="AB3558" s="172"/>
    </row>
    <row r="3559" spans="1:28" ht="12.6" customHeight="1" x14ac:dyDescent="0.3">
      <c r="A3559" s="667"/>
      <c r="B3559" s="668" t="s">
        <v>11128</v>
      </c>
      <c r="C3559" s="160" t="s">
        <v>11129</v>
      </c>
      <c r="D3559" s="160"/>
      <c r="E3559" s="439"/>
      <c r="F3559" s="161">
        <v>858.23395520199995</v>
      </c>
      <c r="G3559" s="161"/>
      <c r="H3559" s="654"/>
      <c r="I3559" s="654"/>
      <c r="J3559" s="191"/>
      <c r="K3559" s="191">
        <v>35309372.534667</v>
      </c>
      <c r="L3559" s="191"/>
      <c r="M3559" s="191"/>
      <c r="N3559" s="191"/>
      <c r="O3559" s="191"/>
      <c r="P3559" s="191"/>
      <c r="Q3559" s="191"/>
      <c r="R3559" s="191"/>
      <c r="S3559" s="191"/>
      <c r="T3559" s="191"/>
      <c r="U3559" s="439"/>
      <c r="V3559" s="441"/>
      <c r="W3559" s="178"/>
      <c r="X3559" s="172"/>
      <c r="Y3559" s="172"/>
      <c r="Z3559" s="172"/>
      <c r="AA3559" s="195"/>
      <c r="AB3559" s="172"/>
    </row>
    <row r="3560" spans="1:28" ht="12.6" customHeight="1" x14ac:dyDescent="0.3">
      <c r="A3560" s="667"/>
      <c r="B3560" s="668" t="s">
        <v>11130</v>
      </c>
      <c r="C3560" s="160" t="s">
        <v>11131</v>
      </c>
      <c r="D3560" s="160"/>
      <c r="E3560" s="439"/>
      <c r="F3560" s="161">
        <v>758.24034255000004</v>
      </c>
      <c r="G3560" s="161"/>
      <c r="H3560" s="654"/>
      <c r="I3560" s="654"/>
      <c r="J3560" s="191"/>
      <c r="K3560" s="191">
        <v>28660911.6251655</v>
      </c>
      <c r="L3560" s="191"/>
      <c r="M3560" s="191"/>
      <c r="N3560" s="191"/>
      <c r="O3560" s="191"/>
      <c r="P3560" s="191"/>
      <c r="Q3560" s="191"/>
      <c r="R3560" s="191"/>
      <c r="S3560" s="191"/>
      <c r="T3560" s="191"/>
      <c r="U3560" s="439"/>
      <c r="V3560" s="441"/>
      <c r="W3560" s="178"/>
      <c r="X3560" s="172"/>
      <c r="Y3560" s="172"/>
      <c r="Z3560" s="172"/>
      <c r="AA3560" s="195"/>
      <c r="AB3560" s="172"/>
    </row>
    <row r="3561" spans="1:28" ht="12.6" customHeight="1" x14ac:dyDescent="0.3">
      <c r="A3561" s="667"/>
      <c r="B3561" s="668" t="s">
        <v>11132</v>
      </c>
      <c r="C3561" s="160" t="s">
        <v>11133</v>
      </c>
      <c r="D3561" s="160"/>
      <c r="E3561" s="439"/>
      <c r="F3561" s="161">
        <v>658.24672989800001</v>
      </c>
      <c r="G3561" s="161">
        <v>-19.797000000000001</v>
      </c>
      <c r="H3561" s="654">
        <v>0.21923069714000001</v>
      </c>
      <c r="I3561" s="654">
        <v>8.0424585458937603E-4</v>
      </c>
      <c r="J3561" s="191"/>
      <c r="K3561" s="191">
        <v>9257633.8512082491</v>
      </c>
      <c r="L3561" s="191"/>
      <c r="M3561" s="191"/>
      <c r="N3561" s="191"/>
      <c r="O3561" s="191"/>
      <c r="P3561" s="191"/>
      <c r="Q3561" s="191"/>
      <c r="R3561" s="191"/>
      <c r="S3561" s="191"/>
      <c r="T3561" s="191"/>
      <c r="U3561" s="439"/>
      <c r="V3561" s="441"/>
      <c r="W3561" s="178"/>
      <c r="X3561" s="172"/>
      <c r="Y3561" s="172"/>
      <c r="Z3561" s="172"/>
      <c r="AA3561" s="195"/>
      <c r="AB3561" s="172"/>
    </row>
    <row r="3562" spans="1:28" ht="12.6" customHeight="1" x14ac:dyDescent="0.3">
      <c r="A3562" s="667"/>
      <c r="B3562" s="668" t="s">
        <v>11134</v>
      </c>
      <c r="C3562" s="160" t="s">
        <v>11135</v>
      </c>
      <c r="D3562" s="160"/>
      <c r="E3562" s="439"/>
      <c r="F3562" s="161">
        <v>558.25311724599999</v>
      </c>
      <c r="G3562" s="161"/>
      <c r="H3562" s="654"/>
      <c r="I3562" s="654"/>
      <c r="J3562" s="191"/>
      <c r="K3562" s="191">
        <v>12861155.820607699</v>
      </c>
      <c r="L3562" s="191"/>
      <c r="M3562" s="191"/>
      <c r="N3562" s="191"/>
      <c r="O3562" s="191"/>
      <c r="P3562" s="191"/>
      <c r="Q3562" s="191"/>
      <c r="R3562" s="191"/>
      <c r="S3562" s="191"/>
      <c r="T3562" s="191"/>
      <c r="U3562" s="439"/>
      <c r="V3562" s="441"/>
      <c r="W3562" s="178"/>
      <c r="X3562" s="172"/>
      <c r="Y3562" s="172"/>
      <c r="Z3562" s="172"/>
      <c r="AA3562" s="195"/>
      <c r="AB3562" s="172"/>
    </row>
    <row r="3563" spans="1:28" ht="12.6" customHeight="1" x14ac:dyDescent="0.3">
      <c r="A3563" s="667"/>
      <c r="B3563" s="668" t="s">
        <v>11136</v>
      </c>
      <c r="C3563" s="160" t="s">
        <v>11137</v>
      </c>
      <c r="D3563" s="160"/>
      <c r="E3563" s="439"/>
      <c r="F3563" s="161">
        <v>872.249605266</v>
      </c>
      <c r="G3563" s="161"/>
      <c r="H3563" s="654"/>
      <c r="I3563" s="654"/>
      <c r="J3563" s="191"/>
      <c r="K3563" s="191">
        <v>37388668.572029002</v>
      </c>
      <c r="L3563" s="191"/>
      <c r="M3563" s="191"/>
      <c r="N3563" s="191"/>
      <c r="O3563" s="191"/>
      <c r="P3563" s="191"/>
      <c r="Q3563" s="191"/>
      <c r="R3563" s="191"/>
      <c r="S3563" s="191"/>
      <c r="T3563" s="191"/>
      <c r="U3563" s="439"/>
      <c r="V3563" s="441"/>
      <c r="W3563" s="178"/>
      <c r="X3563" s="172"/>
      <c r="Y3563" s="172"/>
      <c r="Z3563" s="172"/>
      <c r="AA3563" s="195"/>
      <c r="AB3563" s="172"/>
    </row>
    <row r="3564" spans="1:28" ht="12.6" customHeight="1" x14ac:dyDescent="0.3">
      <c r="A3564" s="667"/>
      <c r="B3564" s="668" t="s">
        <v>11138</v>
      </c>
      <c r="C3564" s="160" t="s">
        <v>11139</v>
      </c>
      <c r="D3564" s="160"/>
      <c r="E3564" s="439"/>
      <c r="F3564" s="161">
        <v>772.25599261399998</v>
      </c>
      <c r="G3564" s="161"/>
      <c r="H3564" s="654"/>
      <c r="I3564" s="654"/>
      <c r="J3564" s="191"/>
      <c r="K3564" s="191">
        <v>31311220.745994899</v>
      </c>
      <c r="L3564" s="191"/>
      <c r="M3564" s="191"/>
      <c r="N3564" s="191"/>
      <c r="O3564" s="191"/>
      <c r="P3564" s="191"/>
      <c r="Q3564" s="191"/>
      <c r="R3564" s="191"/>
      <c r="S3564" s="191"/>
      <c r="T3564" s="191"/>
      <c r="U3564" s="439"/>
      <c r="V3564" s="441"/>
      <c r="W3564" s="178"/>
      <c r="X3564" s="172"/>
      <c r="Y3564" s="172"/>
      <c r="Z3564" s="172"/>
      <c r="AA3564" s="195"/>
      <c r="AB3564" s="172"/>
    </row>
    <row r="3565" spans="1:28" ht="12.6" customHeight="1" x14ac:dyDescent="0.3">
      <c r="A3565" s="667"/>
      <c r="B3565" s="668" t="s">
        <v>11140</v>
      </c>
      <c r="C3565" s="160" t="s">
        <v>11141</v>
      </c>
      <c r="D3565" s="160"/>
      <c r="E3565" s="439"/>
      <c r="F3565" s="161">
        <v>722.25918628800002</v>
      </c>
      <c r="G3565" s="161"/>
      <c r="H3565" s="654"/>
      <c r="I3565" s="654"/>
      <c r="J3565" s="191"/>
      <c r="K3565" s="191">
        <v>21348137.924555</v>
      </c>
      <c r="L3565" s="191"/>
      <c r="M3565" s="191"/>
      <c r="N3565" s="191"/>
      <c r="O3565" s="191"/>
      <c r="P3565" s="191"/>
      <c r="Q3565" s="191"/>
      <c r="R3565" s="191"/>
      <c r="S3565" s="191"/>
      <c r="T3565" s="191"/>
      <c r="U3565" s="439"/>
      <c r="V3565" s="441"/>
      <c r="W3565" s="178"/>
      <c r="X3565" s="172"/>
      <c r="Y3565" s="172"/>
      <c r="Z3565" s="172"/>
      <c r="AA3565" s="195"/>
      <c r="AB3565" s="172"/>
    </row>
    <row r="3566" spans="1:28" ht="12.6" customHeight="1" x14ac:dyDescent="0.3">
      <c r="A3566" s="667"/>
      <c r="B3566" s="668" t="s">
        <v>11142</v>
      </c>
      <c r="C3566" s="160" t="s">
        <v>11143</v>
      </c>
      <c r="D3566" s="160"/>
      <c r="E3566" s="439"/>
      <c r="F3566" s="161">
        <v>672.26237996199995</v>
      </c>
      <c r="G3566" s="161"/>
      <c r="H3566" s="654"/>
      <c r="I3566" s="654"/>
      <c r="J3566" s="191"/>
      <c r="K3566" s="191">
        <v>9278761.2474402301</v>
      </c>
      <c r="L3566" s="191"/>
      <c r="M3566" s="191"/>
      <c r="N3566" s="191"/>
      <c r="O3566" s="191"/>
      <c r="P3566" s="191"/>
      <c r="Q3566" s="191"/>
      <c r="R3566" s="191"/>
      <c r="S3566" s="191"/>
      <c r="T3566" s="191"/>
      <c r="U3566" s="439"/>
      <c r="V3566" s="441"/>
      <c r="W3566" s="178"/>
      <c r="X3566" s="172"/>
      <c r="Y3566" s="172"/>
      <c r="Z3566" s="172"/>
      <c r="AA3566" s="195"/>
      <c r="AB3566" s="172"/>
    </row>
    <row r="3567" spans="1:28" ht="12.6" customHeight="1" x14ac:dyDescent="0.3">
      <c r="A3567" s="667"/>
      <c r="B3567" s="668" t="s">
        <v>11144</v>
      </c>
      <c r="C3567" s="160" t="s">
        <v>11145</v>
      </c>
      <c r="D3567" s="160"/>
      <c r="E3567" s="439"/>
      <c r="F3567" s="161">
        <v>572.26876731000004</v>
      </c>
      <c r="G3567" s="161">
        <v>-15.427</v>
      </c>
      <c r="H3567" s="654">
        <v>0.25995656847999998</v>
      </c>
      <c r="I3567" s="654">
        <v>1.5617100206136399E-3</v>
      </c>
      <c r="J3567" s="191"/>
      <c r="K3567" s="191">
        <v>11818980.0615227</v>
      </c>
      <c r="L3567" s="191"/>
      <c r="M3567" s="191"/>
      <c r="N3567" s="191"/>
      <c r="O3567" s="191"/>
      <c r="P3567" s="191"/>
      <c r="Q3567" s="191"/>
      <c r="R3567" s="191"/>
      <c r="S3567" s="191"/>
      <c r="T3567" s="191"/>
      <c r="U3567" s="439"/>
      <c r="V3567" s="441"/>
      <c r="W3567" s="178"/>
      <c r="X3567" s="172"/>
      <c r="Y3567" s="172"/>
      <c r="Z3567" s="172"/>
      <c r="AA3567" s="195"/>
      <c r="AB3567" s="172"/>
    </row>
    <row r="3568" spans="1:28" ht="12.6" customHeight="1" x14ac:dyDescent="0.3">
      <c r="A3568" s="667"/>
      <c r="B3568" s="668" t="s">
        <v>11146</v>
      </c>
      <c r="C3568" s="160" t="s">
        <v>11147</v>
      </c>
      <c r="D3568" s="160"/>
      <c r="E3568" s="439"/>
      <c r="F3568" s="161">
        <v>472.27515465800002</v>
      </c>
      <c r="G3568" s="161"/>
      <c r="H3568" s="654"/>
      <c r="I3568" s="654"/>
      <c r="J3568" s="191"/>
      <c r="K3568" s="191">
        <v>207558249.83669299</v>
      </c>
      <c r="L3568" s="191"/>
      <c r="M3568" s="191"/>
      <c r="N3568" s="191"/>
      <c r="O3568" s="191"/>
      <c r="P3568" s="191"/>
      <c r="Q3568" s="191"/>
      <c r="R3568" s="191"/>
      <c r="S3568" s="191"/>
      <c r="T3568" s="191"/>
      <c r="U3568" s="439"/>
      <c r="V3568" s="441"/>
      <c r="W3568" s="178"/>
      <c r="X3568" s="172"/>
      <c r="Y3568" s="172"/>
      <c r="Z3568" s="172"/>
      <c r="AA3568" s="195"/>
      <c r="AB3568" s="172"/>
    </row>
    <row r="3569" spans="1:28" ht="12.6" customHeight="1" x14ac:dyDescent="0.3">
      <c r="A3569" s="667"/>
      <c r="B3569" s="668" t="s">
        <v>11148</v>
      </c>
      <c r="C3569" s="160" t="s">
        <v>11149</v>
      </c>
      <c r="D3569" s="160"/>
      <c r="E3569" s="439"/>
      <c r="F3569" s="161">
        <v>886.26525533100005</v>
      </c>
      <c r="G3569" s="161"/>
      <c r="H3569" s="654"/>
      <c r="I3569" s="654"/>
      <c r="J3569" s="191"/>
      <c r="K3569" s="191">
        <v>39260877.312995501</v>
      </c>
      <c r="L3569" s="191"/>
      <c r="M3569" s="191"/>
      <c r="N3569" s="191"/>
      <c r="O3569" s="191"/>
      <c r="P3569" s="191"/>
      <c r="Q3569" s="191"/>
      <c r="R3569" s="191"/>
      <c r="S3569" s="191"/>
      <c r="T3569" s="191"/>
      <c r="U3569" s="439"/>
      <c r="V3569" s="441"/>
      <c r="W3569" s="178"/>
      <c r="X3569" s="172"/>
      <c r="Y3569" s="172"/>
      <c r="Z3569" s="172"/>
      <c r="AA3569" s="195"/>
      <c r="AB3569" s="172"/>
    </row>
    <row r="3570" spans="1:28" ht="12.6" customHeight="1" x14ac:dyDescent="0.3">
      <c r="A3570" s="667"/>
      <c r="B3570" s="668" t="s">
        <v>11150</v>
      </c>
      <c r="C3570" s="160" t="s">
        <v>11151</v>
      </c>
      <c r="D3570" s="160"/>
      <c r="E3570" s="439"/>
      <c r="F3570" s="161">
        <v>786.27164267900002</v>
      </c>
      <c r="G3570" s="161"/>
      <c r="H3570" s="654"/>
      <c r="I3570" s="654"/>
      <c r="J3570" s="191"/>
      <c r="K3570" s="191">
        <v>33790918.743772298</v>
      </c>
      <c r="L3570" s="191"/>
      <c r="M3570" s="191"/>
      <c r="N3570" s="191"/>
      <c r="O3570" s="191"/>
      <c r="P3570" s="191"/>
      <c r="Q3570" s="191"/>
      <c r="R3570" s="191"/>
      <c r="S3570" s="191"/>
      <c r="T3570" s="191"/>
      <c r="U3570" s="439"/>
      <c r="V3570" s="441"/>
      <c r="W3570" s="178"/>
      <c r="X3570" s="172"/>
      <c r="Y3570" s="172"/>
      <c r="Z3570" s="172"/>
      <c r="AA3570" s="195"/>
      <c r="AB3570" s="172"/>
    </row>
    <row r="3571" spans="1:28" ht="12.6" customHeight="1" x14ac:dyDescent="0.3">
      <c r="A3571" s="667"/>
      <c r="B3571" s="668" t="s">
        <v>11152</v>
      </c>
      <c r="C3571" s="160" t="s">
        <v>11153</v>
      </c>
      <c r="D3571" s="160"/>
      <c r="E3571" s="439"/>
      <c r="F3571" s="161">
        <v>686.278030027</v>
      </c>
      <c r="G3571" s="161"/>
      <c r="H3571" s="654"/>
      <c r="I3571" s="654"/>
      <c r="J3571" s="191"/>
      <c r="K3571" s="191">
        <v>21434827.8548407</v>
      </c>
      <c r="L3571" s="191"/>
      <c r="M3571" s="191"/>
      <c r="N3571" s="191"/>
      <c r="O3571" s="191"/>
      <c r="P3571" s="191"/>
      <c r="Q3571" s="191"/>
      <c r="R3571" s="191"/>
      <c r="S3571" s="191"/>
      <c r="T3571" s="191"/>
      <c r="U3571" s="439"/>
      <c r="V3571" s="441"/>
      <c r="W3571" s="178"/>
      <c r="X3571" s="172"/>
      <c r="Y3571" s="172"/>
      <c r="Z3571" s="172"/>
      <c r="AA3571" s="195"/>
      <c r="AB3571" s="172"/>
    </row>
    <row r="3572" spans="1:28" ht="12.6" customHeight="1" x14ac:dyDescent="0.3">
      <c r="A3572" s="667"/>
      <c r="B3572" s="668" t="s">
        <v>11154</v>
      </c>
      <c r="C3572" s="160" t="s">
        <v>11155</v>
      </c>
      <c r="D3572" s="160"/>
      <c r="E3572" s="439"/>
      <c r="F3572" s="161">
        <v>586.28441737499998</v>
      </c>
      <c r="G3572" s="161"/>
      <c r="H3572" s="654"/>
      <c r="I3572" s="654"/>
      <c r="J3572" s="191"/>
      <c r="K3572" s="191">
        <v>11130123.928017899</v>
      </c>
      <c r="L3572" s="191"/>
      <c r="M3572" s="191"/>
      <c r="N3572" s="191"/>
      <c r="O3572" s="191"/>
      <c r="P3572" s="191"/>
      <c r="Q3572" s="191"/>
      <c r="R3572" s="191"/>
      <c r="S3572" s="191"/>
      <c r="T3572" s="191"/>
      <c r="U3572" s="439"/>
      <c r="V3572" s="441"/>
      <c r="W3572" s="178"/>
      <c r="X3572" s="172"/>
      <c r="Y3572" s="172"/>
      <c r="Z3572" s="172"/>
      <c r="AA3572" s="195"/>
      <c r="AB3572" s="172"/>
    </row>
    <row r="3573" spans="1:28" ht="12.6" customHeight="1" x14ac:dyDescent="0.3">
      <c r="A3573" s="667"/>
      <c r="B3573" s="668" t="s">
        <v>11156</v>
      </c>
      <c r="C3573" s="160" t="s">
        <v>11157</v>
      </c>
      <c r="D3573" s="160"/>
      <c r="E3573" s="439"/>
      <c r="F3573" s="161">
        <v>900.28090539499999</v>
      </c>
      <c r="G3573" s="161"/>
      <c r="H3573" s="654"/>
      <c r="I3573" s="654"/>
      <c r="J3573" s="191"/>
      <c r="K3573" s="191">
        <v>40932663.007104598</v>
      </c>
      <c r="L3573" s="191"/>
      <c r="M3573" s="191"/>
      <c r="N3573" s="191"/>
      <c r="O3573" s="191"/>
      <c r="P3573" s="191"/>
      <c r="Q3573" s="191"/>
      <c r="R3573" s="191"/>
      <c r="S3573" s="191"/>
      <c r="T3573" s="191"/>
      <c r="U3573" s="439"/>
      <c r="V3573" s="441"/>
      <c r="W3573" s="178"/>
      <c r="X3573" s="172"/>
      <c r="Y3573" s="172"/>
      <c r="Z3573" s="172"/>
      <c r="AA3573" s="195"/>
      <c r="AB3573" s="172"/>
    </row>
    <row r="3574" spans="1:28" ht="12.6" customHeight="1" x14ac:dyDescent="0.3">
      <c r="A3574" s="667"/>
      <c r="B3574" s="668" t="s">
        <v>11158</v>
      </c>
      <c r="C3574" s="160" t="s">
        <v>11159</v>
      </c>
      <c r="D3574" s="160"/>
      <c r="E3574" s="439"/>
      <c r="F3574" s="161">
        <v>800.28729274299997</v>
      </c>
      <c r="G3574" s="161"/>
      <c r="H3574" s="654"/>
      <c r="I3574" s="654"/>
      <c r="J3574" s="191"/>
      <c r="K3574" s="191">
        <v>36070320.398256101</v>
      </c>
      <c r="L3574" s="191"/>
      <c r="M3574" s="191"/>
      <c r="N3574" s="191"/>
      <c r="O3574" s="191"/>
      <c r="P3574" s="191"/>
      <c r="Q3574" s="191"/>
      <c r="R3574" s="191"/>
      <c r="S3574" s="191"/>
      <c r="T3574" s="191"/>
      <c r="U3574" s="439"/>
      <c r="V3574" s="441"/>
      <c r="W3574" s="178"/>
      <c r="X3574" s="172"/>
      <c r="Y3574" s="172"/>
      <c r="Z3574" s="172"/>
      <c r="AA3574" s="195"/>
      <c r="AB3574" s="172"/>
    </row>
    <row r="3575" spans="1:28" ht="12.6" customHeight="1" x14ac:dyDescent="0.3">
      <c r="A3575" s="667"/>
      <c r="B3575" s="668" t="s">
        <v>11160</v>
      </c>
      <c r="C3575" s="160" t="s">
        <v>11161</v>
      </c>
      <c r="D3575" s="160"/>
      <c r="E3575" s="439"/>
      <c r="F3575" s="161">
        <v>750.29048641700001</v>
      </c>
      <c r="G3575" s="161"/>
      <c r="H3575" s="654"/>
      <c r="I3575" s="654"/>
      <c r="J3575" s="191"/>
      <c r="K3575" s="191">
        <v>426226060.48729497</v>
      </c>
      <c r="L3575" s="191"/>
      <c r="M3575" s="191"/>
      <c r="N3575" s="191"/>
      <c r="O3575" s="191"/>
      <c r="P3575" s="191"/>
      <c r="Q3575" s="191"/>
      <c r="R3575" s="191"/>
      <c r="S3575" s="191"/>
      <c r="T3575" s="191"/>
      <c r="U3575" s="439"/>
      <c r="V3575" s="441"/>
      <c r="W3575" s="178"/>
      <c r="X3575" s="172"/>
      <c r="Y3575" s="172"/>
      <c r="Z3575" s="172"/>
      <c r="AA3575" s="195"/>
      <c r="AB3575" s="172"/>
    </row>
    <row r="3576" spans="1:28" ht="12.6" customHeight="1" x14ac:dyDescent="0.3">
      <c r="A3576" s="667"/>
      <c r="B3576" s="668" t="s">
        <v>11162</v>
      </c>
      <c r="C3576" s="160" t="s">
        <v>11163</v>
      </c>
      <c r="D3576" s="160"/>
      <c r="E3576" s="439"/>
      <c r="F3576" s="161">
        <v>700.29368009100006</v>
      </c>
      <c r="G3576" s="161"/>
      <c r="H3576" s="654"/>
      <c r="I3576" s="654"/>
      <c r="J3576" s="191"/>
      <c r="K3576" s="191">
        <v>390624968.79983801</v>
      </c>
      <c r="L3576" s="191"/>
      <c r="M3576" s="191"/>
      <c r="N3576" s="191"/>
      <c r="O3576" s="191"/>
      <c r="P3576" s="191"/>
      <c r="Q3576" s="191"/>
      <c r="R3576" s="191"/>
      <c r="S3576" s="191"/>
      <c r="T3576" s="191"/>
      <c r="U3576" s="439"/>
      <c r="V3576" s="441"/>
      <c r="W3576" s="178"/>
      <c r="X3576" s="172"/>
      <c r="Y3576" s="172"/>
      <c r="Z3576" s="172"/>
      <c r="AA3576" s="195"/>
      <c r="AB3576" s="172"/>
    </row>
    <row r="3577" spans="1:28" ht="12.6" customHeight="1" x14ac:dyDescent="0.3">
      <c r="A3577" s="667"/>
      <c r="B3577" s="668" t="s">
        <v>11164</v>
      </c>
      <c r="C3577" s="160" t="s">
        <v>11165</v>
      </c>
      <c r="D3577" s="160"/>
      <c r="E3577" s="439"/>
      <c r="F3577" s="161">
        <v>600.30006743900003</v>
      </c>
      <c r="G3577" s="161">
        <v>-13.82</v>
      </c>
      <c r="H3577" s="654">
        <v>1.6707113108E-2</v>
      </c>
      <c r="I3577" s="654">
        <v>8.1164771218224805E-4</v>
      </c>
      <c r="J3577" s="191"/>
      <c r="K3577" s="191">
        <v>10699414.189501099</v>
      </c>
      <c r="L3577" s="191"/>
      <c r="M3577" s="191"/>
      <c r="N3577" s="191"/>
      <c r="O3577" s="191"/>
      <c r="P3577" s="191"/>
      <c r="Q3577" s="191"/>
      <c r="R3577" s="191"/>
      <c r="S3577" s="191"/>
      <c r="T3577" s="191"/>
      <c r="U3577" s="439"/>
      <c r="V3577" s="441"/>
      <c r="W3577" s="178"/>
      <c r="X3577" s="172"/>
      <c r="Y3577" s="172"/>
      <c r="Z3577" s="172"/>
      <c r="AA3577" s="195"/>
      <c r="AB3577" s="172"/>
    </row>
    <row r="3578" spans="1:28" ht="12.6" customHeight="1" x14ac:dyDescent="0.3">
      <c r="A3578" s="667"/>
      <c r="B3578" s="668" t="s">
        <v>11166</v>
      </c>
      <c r="C3578" s="160" t="s">
        <v>11167</v>
      </c>
      <c r="D3578" s="160"/>
      <c r="E3578" s="439"/>
      <c r="F3578" s="161">
        <v>500.30645478700001</v>
      </c>
      <c r="G3578" s="161">
        <v>-27.010999999999999</v>
      </c>
      <c r="H3578" s="654">
        <v>2.4997741678000002E-3</v>
      </c>
      <c r="I3578" s="654">
        <v>8.3221475995724301E-3</v>
      </c>
      <c r="J3578" s="191"/>
      <c r="K3578" s="191">
        <v>16925830.990500901</v>
      </c>
      <c r="L3578" s="191"/>
      <c r="M3578" s="191"/>
      <c r="N3578" s="191"/>
      <c r="O3578" s="191"/>
      <c r="P3578" s="191"/>
      <c r="Q3578" s="191"/>
      <c r="R3578" s="191"/>
      <c r="S3578" s="191"/>
      <c r="T3578" s="191"/>
      <c r="U3578" s="439"/>
      <c r="V3578" s="441"/>
      <c r="W3578" s="178"/>
      <c r="X3578" s="172"/>
      <c r="Y3578" s="172"/>
      <c r="Z3578" s="172"/>
      <c r="AA3578" s="195"/>
      <c r="AB3578" s="172"/>
    </row>
    <row r="3579" spans="1:28" ht="12.6" customHeight="1" x14ac:dyDescent="0.3">
      <c r="A3579" s="667"/>
      <c r="B3579" s="668" t="s">
        <v>11168</v>
      </c>
      <c r="C3579" s="160" t="s">
        <v>11169</v>
      </c>
      <c r="D3579" s="160"/>
      <c r="E3579" s="439"/>
      <c r="F3579" s="161">
        <v>728.32498022000004</v>
      </c>
      <c r="G3579" s="161"/>
      <c r="H3579" s="654"/>
      <c r="I3579" s="654"/>
      <c r="J3579" s="191"/>
      <c r="K3579" s="191">
        <v>450360196.55081499</v>
      </c>
      <c r="L3579" s="191"/>
      <c r="M3579" s="191"/>
      <c r="N3579" s="191"/>
      <c r="O3579" s="191"/>
      <c r="P3579" s="191"/>
      <c r="Q3579" s="191"/>
      <c r="R3579" s="191"/>
      <c r="S3579" s="191"/>
      <c r="T3579" s="191"/>
      <c r="U3579" s="439"/>
      <c r="V3579" s="441"/>
      <c r="W3579" s="178"/>
      <c r="X3579" s="172"/>
      <c r="Y3579" s="172"/>
      <c r="Z3579" s="172"/>
      <c r="AA3579" s="195"/>
      <c r="AB3579" s="172"/>
    </row>
    <row r="3580" spans="1:28" ht="12.6" customHeight="1" x14ac:dyDescent="0.3">
      <c r="A3580" s="667"/>
      <c r="B3580" s="668" t="s">
        <v>11170</v>
      </c>
      <c r="C3580" s="160" t="s">
        <v>11171</v>
      </c>
      <c r="D3580" s="160"/>
      <c r="E3580" s="439"/>
      <c r="F3580" s="161">
        <v>756.35628034900003</v>
      </c>
      <c r="G3580" s="161"/>
      <c r="H3580" s="654"/>
      <c r="I3580" s="654"/>
      <c r="J3580" s="191"/>
      <c r="K3580" s="191">
        <v>504208311.01028103</v>
      </c>
      <c r="L3580" s="191"/>
      <c r="M3580" s="191"/>
      <c r="N3580" s="191"/>
      <c r="O3580" s="191"/>
      <c r="P3580" s="191"/>
      <c r="Q3580" s="191"/>
      <c r="R3580" s="191"/>
      <c r="S3580" s="191"/>
      <c r="T3580" s="191"/>
      <c r="U3580" s="439"/>
      <c r="V3580" s="441"/>
      <c r="W3580" s="178"/>
      <c r="X3580" s="172"/>
      <c r="Y3580" s="172"/>
      <c r="Z3580" s="172"/>
      <c r="AA3580" s="195"/>
      <c r="AB3580" s="172"/>
    </row>
    <row r="3581" spans="1:28" ht="12.6" customHeight="1" x14ac:dyDescent="0.3">
      <c r="A3581" s="667"/>
      <c r="B3581" s="668" t="s">
        <v>11172</v>
      </c>
      <c r="C3581" s="160" t="s">
        <v>11173</v>
      </c>
      <c r="D3581" s="160"/>
      <c r="E3581" s="439">
        <v>2.5</v>
      </c>
      <c r="F3581" s="161">
        <v>424.05792727800002</v>
      </c>
      <c r="G3581" s="161"/>
      <c r="H3581" s="654"/>
      <c r="I3581" s="654"/>
      <c r="J3581" s="191"/>
      <c r="K3581" s="191">
        <v>77796.489452518901</v>
      </c>
      <c r="L3581" s="191"/>
      <c r="M3581" s="191"/>
      <c r="N3581" s="191"/>
      <c r="O3581" s="191"/>
      <c r="P3581" s="191"/>
      <c r="Q3581" s="191"/>
      <c r="R3581" s="191"/>
      <c r="S3581" s="191"/>
      <c r="T3581" s="191"/>
      <c r="U3581" s="439"/>
      <c r="V3581" s="441"/>
      <c r="W3581" s="178"/>
      <c r="X3581" s="172"/>
      <c r="Y3581" s="172"/>
      <c r="Z3581" s="172"/>
      <c r="AA3581" s="195"/>
      <c r="AB3581" s="172"/>
    </row>
    <row r="3582" spans="1:28" ht="12.6" customHeight="1" x14ac:dyDescent="0.3">
      <c r="A3582" s="667"/>
      <c r="B3582" s="668" t="s">
        <v>11174</v>
      </c>
      <c r="C3582" s="160" t="s">
        <v>11175</v>
      </c>
      <c r="D3582" s="160"/>
      <c r="E3582" s="439">
        <v>3.46</v>
      </c>
      <c r="F3582" s="161">
        <v>438.07357734200002</v>
      </c>
      <c r="G3582" s="161"/>
      <c r="H3582" s="654"/>
      <c r="I3582" s="654"/>
      <c r="J3582" s="191"/>
      <c r="K3582" s="191">
        <v>58084.465863346297</v>
      </c>
      <c r="L3582" s="191"/>
      <c r="M3582" s="191"/>
      <c r="N3582" s="191"/>
      <c r="O3582" s="191"/>
      <c r="P3582" s="191"/>
      <c r="Q3582" s="191"/>
      <c r="R3582" s="191"/>
      <c r="S3582" s="191"/>
      <c r="T3582" s="191"/>
      <c r="U3582" s="439"/>
      <c r="V3582" s="441"/>
      <c r="W3582" s="178"/>
      <c r="X3582" s="172"/>
      <c r="Y3582" s="172"/>
      <c r="Z3582" s="172"/>
      <c r="AA3582" s="195"/>
      <c r="AB3582" s="172"/>
    </row>
    <row r="3583" spans="1:28" ht="12.6" customHeight="1" x14ac:dyDescent="0.3">
      <c r="A3583" s="667"/>
      <c r="B3583" s="668" t="s">
        <v>11176</v>
      </c>
      <c r="C3583" s="160" t="s">
        <v>11177</v>
      </c>
      <c r="D3583" s="160"/>
      <c r="E3583" s="439">
        <v>2.91</v>
      </c>
      <c r="F3583" s="161">
        <v>408.06301265799999</v>
      </c>
      <c r="G3583" s="161"/>
      <c r="H3583" s="654"/>
      <c r="I3583" s="654"/>
      <c r="J3583" s="191"/>
      <c r="K3583" s="191">
        <v>305407.71239244402</v>
      </c>
      <c r="L3583" s="191"/>
      <c r="M3583" s="191"/>
      <c r="N3583" s="191"/>
      <c r="O3583" s="191"/>
      <c r="P3583" s="191"/>
      <c r="Q3583" s="191"/>
      <c r="R3583" s="191"/>
      <c r="S3583" s="191"/>
      <c r="T3583" s="191"/>
      <c r="U3583" s="439"/>
      <c r="V3583" s="441"/>
      <c r="W3583" s="178"/>
      <c r="X3583" s="172"/>
      <c r="Y3583" s="172"/>
      <c r="Z3583" s="172"/>
      <c r="AA3583" s="195"/>
      <c r="AB3583" s="172"/>
    </row>
    <row r="3584" spans="1:28" ht="12.6" customHeight="1" x14ac:dyDescent="0.3">
      <c r="A3584" s="667"/>
      <c r="B3584" s="668" t="s">
        <v>11178</v>
      </c>
      <c r="C3584" s="160" t="s">
        <v>11179</v>
      </c>
      <c r="D3584" s="160"/>
      <c r="E3584" s="439">
        <v>3.86</v>
      </c>
      <c r="F3584" s="161">
        <v>422.07866272199999</v>
      </c>
      <c r="G3584" s="161"/>
      <c r="H3584" s="654"/>
      <c r="I3584" s="654"/>
      <c r="J3584" s="191"/>
      <c r="K3584" s="191">
        <v>266005.122509379</v>
      </c>
      <c r="L3584" s="191"/>
      <c r="M3584" s="191"/>
      <c r="N3584" s="191"/>
      <c r="O3584" s="191"/>
      <c r="P3584" s="191"/>
      <c r="Q3584" s="191"/>
      <c r="R3584" s="191"/>
      <c r="S3584" s="191"/>
      <c r="T3584" s="191"/>
      <c r="U3584" s="439"/>
      <c r="V3584" s="441"/>
      <c r="W3584" s="178"/>
      <c r="X3584" s="172"/>
      <c r="Y3584" s="172"/>
      <c r="Z3584" s="172"/>
      <c r="AA3584" s="195"/>
      <c r="AB3584" s="172"/>
    </row>
    <row r="3585" spans="1:28" ht="12.6" customHeight="1" x14ac:dyDescent="0.3">
      <c r="A3585" s="667"/>
      <c r="B3585" s="668" t="s">
        <v>11180</v>
      </c>
      <c r="C3585" s="160" t="s">
        <v>11181</v>
      </c>
      <c r="D3585" s="160"/>
      <c r="E3585" s="439">
        <v>4.25</v>
      </c>
      <c r="F3585" s="161">
        <v>392.06809803800002</v>
      </c>
      <c r="G3585" s="161"/>
      <c r="H3585" s="654"/>
      <c r="I3585" s="654"/>
      <c r="J3585" s="191"/>
      <c r="K3585" s="191">
        <v>2085403.0289610601</v>
      </c>
      <c r="L3585" s="191"/>
      <c r="M3585" s="191"/>
      <c r="N3585" s="191"/>
      <c r="O3585" s="191"/>
      <c r="P3585" s="191"/>
      <c r="Q3585" s="191"/>
      <c r="R3585" s="191"/>
      <c r="S3585" s="191"/>
      <c r="T3585" s="191"/>
      <c r="U3585" s="439"/>
      <c r="V3585" s="441"/>
      <c r="W3585" s="178"/>
      <c r="X3585" s="172"/>
      <c r="Y3585" s="172"/>
      <c r="Z3585" s="172"/>
      <c r="AA3585" s="195"/>
      <c r="AB3585" s="172"/>
    </row>
    <row r="3586" spans="1:28" ht="12.6" customHeight="1" x14ac:dyDescent="0.3">
      <c r="A3586" s="667"/>
      <c r="B3586" s="668" t="s">
        <v>11182</v>
      </c>
      <c r="C3586" s="160" t="s">
        <v>11183</v>
      </c>
      <c r="D3586" s="160"/>
      <c r="E3586" s="439">
        <v>5.16</v>
      </c>
      <c r="F3586" s="161">
        <v>406.08374810200002</v>
      </c>
      <c r="G3586" s="161"/>
      <c r="H3586" s="654"/>
      <c r="I3586" s="654"/>
      <c r="J3586" s="191"/>
      <c r="K3586" s="191">
        <v>2253668.32091774</v>
      </c>
      <c r="L3586" s="191"/>
      <c r="M3586" s="191"/>
      <c r="N3586" s="191"/>
      <c r="O3586" s="191"/>
      <c r="P3586" s="191"/>
      <c r="Q3586" s="191"/>
      <c r="R3586" s="191"/>
      <c r="S3586" s="191"/>
      <c r="T3586" s="191"/>
      <c r="U3586" s="439"/>
      <c r="V3586" s="441"/>
      <c r="W3586" s="178"/>
      <c r="X3586" s="172"/>
      <c r="Y3586" s="172"/>
      <c r="Z3586" s="172"/>
      <c r="AA3586" s="195"/>
      <c r="AB3586" s="172"/>
    </row>
    <row r="3587" spans="1:28" ht="12.6" customHeight="1" x14ac:dyDescent="0.3">
      <c r="A3587" s="667"/>
      <c r="B3587" s="668" t="s">
        <v>11184</v>
      </c>
      <c r="C3587" s="160" t="s">
        <v>11185</v>
      </c>
      <c r="D3587" s="160"/>
      <c r="E3587" s="439"/>
      <c r="F3587" s="161">
        <v>278.03531831200002</v>
      </c>
      <c r="G3587" s="161">
        <v>-96.781000000000006</v>
      </c>
      <c r="H3587" s="654">
        <v>1299.8761678000001</v>
      </c>
      <c r="I3587" s="654">
        <v>2.91139122864044</v>
      </c>
      <c r="J3587" s="191"/>
      <c r="K3587" s="191">
        <v>2211.3628024090899</v>
      </c>
      <c r="L3587" s="191"/>
      <c r="M3587" s="191"/>
      <c r="N3587" s="191"/>
      <c r="O3587" s="191"/>
      <c r="P3587" s="191"/>
      <c r="Q3587" s="191"/>
      <c r="R3587" s="191"/>
      <c r="S3587" s="191"/>
      <c r="T3587" s="191"/>
      <c r="U3587" s="439"/>
      <c r="V3587" s="441"/>
      <c r="W3587" s="178"/>
      <c r="X3587" s="172"/>
      <c r="Y3587" s="172"/>
      <c r="Z3587" s="172"/>
      <c r="AA3587" s="195"/>
      <c r="AB3587" s="172"/>
    </row>
    <row r="3588" spans="1:28" ht="12.6" customHeight="1" x14ac:dyDescent="0.3">
      <c r="A3588" s="667"/>
      <c r="B3588" s="668" t="s">
        <v>11186</v>
      </c>
      <c r="C3588" s="160" t="s">
        <v>11187</v>
      </c>
      <c r="D3588" s="160"/>
      <c r="E3588" s="439">
        <v>2.71</v>
      </c>
      <c r="F3588" s="161">
        <v>410.04227721400002</v>
      </c>
      <c r="G3588" s="161"/>
      <c r="H3588" s="654"/>
      <c r="I3588" s="654"/>
      <c r="J3588" s="191"/>
      <c r="K3588" s="191">
        <v>130307.676198945</v>
      </c>
      <c r="L3588" s="191"/>
      <c r="M3588" s="191"/>
      <c r="N3588" s="191"/>
      <c r="O3588" s="191"/>
      <c r="P3588" s="191"/>
      <c r="Q3588" s="191"/>
      <c r="R3588" s="191"/>
      <c r="S3588" s="191"/>
      <c r="T3588" s="191"/>
      <c r="U3588" s="439"/>
      <c r="V3588" s="441"/>
      <c r="W3588" s="178"/>
      <c r="X3588" s="172"/>
      <c r="Y3588" s="172"/>
      <c r="Z3588" s="172"/>
      <c r="AA3588" s="195"/>
      <c r="AB3588" s="172"/>
    </row>
    <row r="3589" spans="1:28" ht="12.6" customHeight="1" x14ac:dyDescent="0.3">
      <c r="A3589" s="667"/>
      <c r="B3589" s="668" t="s">
        <v>11188</v>
      </c>
      <c r="C3589" s="160" t="s">
        <v>11189</v>
      </c>
      <c r="D3589" s="160"/>
      <c r="E3589" s="439">
        <v>3.69</v>
      </c>
      <c r="F3589" s="161">
        <v>424.05792727800002</v>
      </c>
      <c r="G3589" s="161"/>
      <c r="H3589" s="654"/>
      <c r="I3589" s="654"/>
      <c r="J3589" s="191"/>
      <c r="K3589" s="191">
        <v>78449.467495488396</v>
      </c>
      <c r="L3589" s="191"/>
      <c r="M3589" s="191"/>
      <c r="N3589" s="191"/>
      <c r="O3589" s="191"/>
      <c r="P3589" s="191"/>
      <c r="Q3589" s="191"/>
      <c r="R3589" s="191"/>
      <c r="S3589" s="191"/>
      <c r="T3589" s="191"/>
      <c r="U3589" s="439"/>
      <c r="V3589" s="441"/>
      <c r="W3589" s="178"/>
      <c r="X3589" s="172"/>
      <c r="Y3589" s="172"/>
      <c r="Z3589" s="172"/>
      <c r="AA3589" s="195"/>
      <c r="AB3589" s="172"/>
    </row>
    <row r="3590" spans="1:28" ht="12.6" customHeight="1" x14ac:dyDescent="0.3">
      <c r="A3590" s="667"/>
      <c r="B3590" s="668" t="s">
        <v>11190</v>
      </c>
      <c r="C3590" s="160" t="s">
        <v>11191</v>
      </c>
      <c r="D3590" s="160"/>
      <c r="E3590" s="439">
        <v>3.13</v>
      </c>
      <c r="F3590" s="161">
        <v>394.04736259399999</v>
      </c>
      <c r="G3590" s="161"/>
      <c r="H3590" s="654"/>
      <c r="I3590" s="654"/>
      <c r="J3590" s="191"/>
      <c r="K3590" s="191">
        <v>80031.323684169503</v>
      </c>
      <c r="L3590" s="191"/>
      <c r="M3590" s="191"/>
      <c r="N3590" s="191"/>
      <c r="O3590" s="191"/>
      <c r="P3590" s="191"/>
      <c r="Q3590" s="191"/>
      <c r="R3590" s="191"/>
      <c r="S3590" s="191"/>
      <c r="T3590" s="191"/>
      <c r="U3590" s="439"/>
      <c r="V3590" s="441"/>
      <c r="W3590" s="178"/>
      <c r="X3590" s="172"/>
      <c r="Y3590" s="172"/>
      <c r="Z3590" s="172"/>
      <c r="AA3590" s="195"/>
      <c r="AB3590" s="172"/>
    </row>
    <row r="3591" spans="1:28" ht="12.6" customHeight="1" x14ac:dyDescent="0.3">
      <c r="A3591" s="667"/>
      <c r="B3591" s="668" t="s">
        <v>11192</v>
      </c>
      <c r="C3591" s="160" t="s">
        <v>11193</v>
      </c>
      <c r="D3591" s="160"/>
      <c r="E3591" s="439">
        <v>4.0999999999999996</v>
      </c>
      <c r="F3591" s="161">
        <v>408.06301265799999</v>
      </c>
      <c r="G3591" s="161"/>
      <c r="H3591" s="654"/>
      <c r="I3591" s="654"/>
      <c r="J3591" s="191"/>
      <c r="K3591" s="191">
        <v>295426.87461407599</v>
      </c>
      <c r="L3591" s="191"/>
      <c r="M3591" s="191"/>
      <c r="N3591" s="191"/>
      <c r="O3591" s="191"/>
      <c r="P3591" s="191"/>
      <c r="Q3591" s="191"/>
      <c r="R3591" s="191"/>
      <c r="S3591" s="191"/>
      <c r="T3591" s="191"/>
      <c r="U3591" s="439"/>
      <c r="V3591" s="441"/>
      <c r="W3591" s="178"/>
      <c r="X3591" s="172"/>
      <c r="Y3591" s="172"/>
      <c r="Z3591" s="172"/>
      <c r="AA3591" s="195"/>
      <c r="AB3591" s="172"/>
    </row>
    <row r="3592" spans="1:28" ht="12.6" customHeight="1" x14ac:dyDescent="0.3">
      <c r="A3592" s="667"/>
      <c r="B3592" s="668" t="s">
        <v>11194</v>
      </c>
      <c r="C3592" s="160" t="s">
        <v>11195</v>
      </c>
      <c r="D3592" s="160"/>
      <c r="E3592" s="439">
        <v>4.49</v>
      </c>
      <c r="F3592" s="161">
        <v>378.05244797400002</v>
      </c>
      <c r="G3592" s="161"/>
      <c r="H3592" s="654"/>
      <c r="I3592" s="654"/>
      <c r="J3592" s="191"/>
      <c r="K3592" s="191">
        <v>1146278.1127851701</v>
      </c>
      <c r="L3592" s="191"/>
      <c r="M3592" s="191"/>
      <c r="N3592" s="191"/>
      <c r="O3592" s="191"/>
      <c r="P3592" s="191"/>
      <c r="Q3592" s="191"/>
      <c r="R3592" s="191"/>
      <c r="S3592" s="191"/>
      <c r="T3592" s="191"/>
      <c r="U3592" s="439"/>
      <c r="V3592" s="441"/>
      <c r="W3592" s="178"/>
      <c r="X3592" s="172"/>
      <c r="Y3592" s="172"/>
      <c r="Z3592" s="172"/>
      <c r="AA3592" s="195"/>
      <c r="AB3592" s="172"/>
    </row>
    <row r="3593" spans="1:28" ht="12.6" customHeight="1" x14ac:dyDescent="0.3">
      <c r="A3593" s="667"/>
      <c r="B3593" s="668" t="s">
        <v>11196</v>
      </c>
      <c r="C3593" s="160" t="s">
        <v>11197</v>
      </c>
      <c r="D3593" s="160"/>
      <c r="E3593" s="439">
        <v>5.42</v>
      </c>
      <c r="F3593" s="161">
        <v>392.06809803800002</v>
      </c>
      <c r="G3593" s="161"/>
      <c r="H3593" s="654"/>
      <c r="I3593" s="654"/>
      <c r="J3593" s="191"/>
      <c r="K3593" s="191">
        <v>1367508.3915208499</v>
      </c>
      <c r="L3593" s="191"/>
      <c r="M3593" s="191"/>
      <c r="N3593" s="191"/>
      <c r="O3593" s="191"/>
      <c r="P3593" s="191"/>
      <c r="Q3593" s="191"/>
      <c r="R3593" s="191"/>
      <c r="S3593" s="191"/>
      <c r="T3593" s="191"/>
      <c r="U3593" s="439"/>
      <c r="V3593" s="441"/>
      <c r="W3593" s="178"/>
      <c r="X3593" s="172"/>
      <c r="Y3593" s="172"/>
      <c r="Z3593" s="172"/>
      <c r="AA3593" s="195"/>
      <c r="AB3593" s="172"/>
    </row>
    <row r="3594" spans="1:28" ht="12.6" customHeight="1" x14ac:dyDescent="0.3">
      <c r="A3594" s="667"/>
      <c r="B3594" s="668" t="s">
        <v>11198</v>
      </c>
      <c r="C3594" s="160" t="s">
        <v>11199</v>
      </c>
      <c r="D3594" s="160"/>
      <c r="E3594" s="439"/>
      <c r="F3594" s="161">
        <v>390.10973283200002</v>
      </c>
      <c r="G3594" s="161">
        <v>-67.323999999999998</v>
      </c>
      <c r="H3594" s="654">
        <v>10.396849526</v>
      </c>
      <c r="I3594" s="654">
        <v>0.920846222155279</v>
      </c>
      <c r="J3594" s="191"/>
      <c r="K3594" s="191">
        <v>8507.6575426959898</v>
      </c>
      <c r="L3594" s="191"/>
      <c r="M3594" s="191"/>
      <c r="N3594" s="191"/>
      <c r="O3594" s="191"/>
      <c r="P3594" s="191"/>
      <c r="Q3594" s="191"/>
      <c r="R3594" s="191"/>
      <c r="S3594" s="191"/>
      <c r="T3594" s="191"/>
      <c r="U3594" s="439"/>
      <c r="V3594" s="441"/>
      <c r="W3594" s="178"/>
      <c r="X3594" s="172"/>
      <c r="Y3594" s="172"/>
      <c r="Z3594" s="172"/>
      <c r="AA3594" s="195"/>
      <c r="AB3594" s="172"/>
    </row>
    <row r="3595" spans="1:28" ht="12.6" customHeight="1" x14ac:dyDescent="0.3">
      <c r="A3595" s="667"/>
      <c r="B3595" s="668" t="s">
        <v>11200</v>
      </c>
      <c r="C3595" s="160" t="s">
        <v>11201</v>
      </c>
      <c r="D3595" s="160"/>
      <c r="E3595" s="439"/>
      <c r="F3595" s="161">
        <v>310.01883916999998</v>
      </c>
      <c r="G3595" s="161"/>
      <c r="H3595" s="654"/>
      <c r="I3595" s="654"/>
      <c r="J3595" s="191"/>
      <c r="K3595" s="191">
        <v>216.965159515148</v>
      </c>
      <c r="L3595" s="191"/>
      <c r="M3595" s="191"/>
      <c r="N3595" s="191"/>
      <c r="O3595" s="191"/>
      <c r="P3595" s="191"/>
      <c r="Q3595" s="191"/>
      <c r="R3595" s="191"/>
      <c r="S3595" s="191"/>
      <c r="T3595" s="191"/>
      <c r="U3595" s="439"/>
      <c r="V3595" s="441"/>
      <c r="W3595" s="178"/>
      <c r="X3595" s="172"/>
      <c r="Y3595" s="172"/>
      <c r="Z3595" s="172"/>
      <c r="AA3595" s="195"/>
      <c r="AB3595" s="172"/>
    </row>
    <row r="3596" spans="1:28" ht="12.6" customHeight="1" x14ac:dyDescent="0.3">
      <c r="A3596" s="667"/>
      <c r="B3596" s="668" t="s">
        <v>11202</v>
      </c>
      <c r="C3596" s="160" t="s">
        <v>11203</v>
      </c>
      <c r="D3596" s="160"/>
      <c r="E3596" s="439"/>
      <c r="F3596" s="161">
        <v>270.01269116200001</v>
      </c>
      <c r="G3596" s="161"/>
      <c r="H3596" s="654"/>
      <c r="I3596" s="654"/>
      <c r="J3596" s="191"/>
      <c r="K3596" s="191">
        <v>137.52764301468</v>
      </c>
      <c r="L3596" s="191"/>
      <c r="M3596" s="191"/>
      <c r="N3596" s="191"/>
      <c r="O3596" s="191"/>
      <c r="P3596" s="191"/>
      <c r="Q3596" s="191"/>
      <c r="R3596" s="191"/>
      <c r="S3596" s="191"/>
      <c r="T3596" s="191"/>
      <c r="U3596" s="439"/>
      <c r="V3596" s="441"/>
      <c r="W3596" s="178"/>
      <c r="X3596" s="172"/>
      <c r="Y3596" s="172"/>
      <c r="Z3596" s="172"/>
      <c r="AA3596" s="195"/>
      <c r="AB3596" s="172"/>
    </row>
    <row r="3597" spans="1:28" ht="12.6" customHeight="1" x14ac:dyDescent="0.3">
      <c r="A3597" s="667"/>
      <c r="B3597" s="668" t="s">
        <v>11204</v>
      </c>
      <c r="C3597" s="160" t="s">
        <v>11205</v>
      </c>
      <c r="D3597" s="160"/>
      <c r="E3597" s="439"/>
      <c r="F3597" s="161">
        <v>420.00311013999999</v>
      </c>
      <c r="G3597" s="161"/>
      <c r="H3597" s="654"/>
      <c r="I3597" s="654"/>
      <c r="J3597" s="191"/>
      <c r="K3597" s="191">
        <v>6391.60606233216</v>
      </c>
      <c r="L3597" s="191"/>
      <c r="M3597" s="191"/>
      <c r="N3597" s="191"/>
      <c r="O3597" s="191"/>
      <c r="P3597" s="191"/>
      <c r="Q3597" s="191"/>
      <c r="R3597" s="191"/>
      <c r="S3597" s="191"/>
      <c r="T3597" s="191"/>
      <c r="U3597" s="439"/>
      <c r="V3597" s="441"/>
      <c r="W3597" s="178"/>
      <c r="X3597" s="172"/>
      <c r="Y3597" s="172"/>
      <c r="Z3597" s="172"/>
      <c r="AA3597" s="195"/>
      <c r="AB3597" s="172"/>
    </row>
    <row r="3598" spans="1:28" ht="12.6" customHeight="1" x14ac:dyDescent="0.3">
      <c r="A3598" s="667"/>
      <c r="B3598" s="668" t="s">
        <v>11206</v>
      </c>
      <c r="C3598" s="160" t="s">
        <v>11207</v>
      </c>
      <c r="D3598" s="160"/>
      <c r="E3598" s="439">
        <v>47.073</v>
      </c>
      <c r="F3598" s="161">
        <v>326.03890591099997</v>
      </c>
      <c r="G3598" s="161">
        <v>3.4409999999999998</v>
      </c>
      <c r="H3598" s="654">
        <v>5.4563495042000003</v>
      </c>
      <c r="I3598" s="654">
        <v>57.315031347906498</v>
      </c>
      <c r="J3598" s="191"/>
      <c r="K3598" s="191">
        <v>421.76447835234598</v>
      </c>
      <c r="L3598" s="191"/>
      <c r="M3598" s="191"/>
      <c r="N3598" s="191"/>
      <c r="O3598" s="191"/>
      <c r="P3598" s="191"/>
      <c r="Q3598" s="191"/>
      <c r="R3598" s="191"/>
      <c r="S3598" s="191"/>
      <c r="T3598" s="191"/>
      <c r="U3598" s="439"/>
      <c r="V3598" s="441"/>
      <c r="W3598" s="178"/>
      <c r="X3598" s="172"/>
      <c r="Y3598" s="172"/>
      <c r="Z3598" s="172"/>
      <c r="AA3598" s="195"/>
      <c r="AB3598" s="172"/>
    </row>
    <row r="3599" spans="1:28" ht="12.6" customHeight="1" x14ac:dyDescent="0.3">
      <c r="A3599" s="667"/>
      <c r="B3599" s="668" t="s">
        <v>11208</v>
      </c>
      <c r="C3599" s="160" t="s">
        <v>11209</v>
      </c>
      <c r="D3599" s="160"/>
      <c r="E3599" s="439">
        <v>15</v>
      </c>
      <c r="F3599" s="161">
        <v>480.055402308</v>
      </c>
      <c r="G3599" s="161"/>
      <c r="H3599" s="654"/>
      <c r="I3599" s="654"/>
      <c r="J3599" s="191"/>
      <c r="K3599" s="191">
        <v>79493.203685191605</v>
      </c>
      <c r="L3599" s="191"/>
      <c r="M3599" s="191"/>
      <c r="N3599" s="191"/>
      <c r="O3599" s="191"/>
      <c r="P3599" s="191"/>
      <c r="Q3599" s="191"/>
      <c r="R3599" s="191"/>
      <c r="S3599" s="191"/>
      <c r="T3599" s="191"/>
      <c r="U3599" s="439"/>
      <c r="V3599" s="441"/>
      <c r="W3599" s="178"/>
      <c r="X3599" s="172"/>
      <c r="Y3599" s="172"/>
      <c r="Z3599" s="172"/>
      <c r="AA3599" s="195"/>
      <c r="AB3599" s="172"/>
    </row>
    <row r="3600" spans="1:28" ht="12.6" customHeight="1" x14ac:dyDescent="0.3">
      <c r="A3600" s="667"/>
      <c r="B3600" s="668" t="s">
        <v>11210</v>
      </c>
      <c r="C3600" s="160" t="s">
        <v>11211</v>
      </c>
      <c r="D3600" s="160"/>
      <c r="E3600" s="439">
        <v>6.75</v>
      </c>
      <c r="F3600" s="161">
        <v>558.04244998299998</v>
      </c>
      <c r="G3600" s="161"/>
      <c r="H3600" s="654"/>
      <c r="I3600" s="654"/>
      <c r="J3600" s="191"/>
      <c r="K3600" s="191">
        <v>572374.13472451502</v>
      </c>
      <c r="L3600" s="191"/>
      <c r="M3600" s="191"/>
      <c r="N3600" s="191"/>
      <c r="O3600" s="191"/>
      <c r="P3600" s="191"/>
      <c r="Q3600" s="191"/>
      <c r="R3600" s="191"/>
      <c r="S3600" s="191"/>
      <c r="T3600" s="191"/>
      <c r="U3600" s="439"/>
      <c r="V3600" s="441"/>
      <c r="W3600" s="178"/>
      <c r="X3600" s="172"/>
      <c r="Y3600" s="172"/>
      <c r="Z3600" s="172"/>
      <c r="AA3600" s="195"/>
      <c r="AB3600" s="172"/>
    </row>
    <row r="3601" spans="1:28" ht="12.6" customHeight="1" x14ac:dyDescent="0.3">
      <c r="A3601" s="667"/>
      <c r="B3601" s="668" t="s">
        <v>11212</v>
      </c>
      <c r="C3601" s="160" t="s">
        <v>11213</v>
      </c>
      <c r="D3601" s="160"/>
      <c r="E3601" s="439">
        <v>4</v>
      </c>
      <c r="F3601" s="161">
        <v>372.052031005</v>
      </c>
      <c r="G3601" s="161"/>
      <c r="H3601" s="654"/>
      <c r="I3601" s="654"/>
      <c r="J3601" s="191"/>
      <c r="K3601" s="191">
        <v>2125.44563015924</v>
      </c>
      <c r="L3601" s="191"/>
      <c r="M3601" s="191"/>
      <c r="N3601" s="191"/>
      <c r="O3601" s="191"/>
      <c r="P3601" s="191"/>
      <c r="Q3601" s="191"/>
      <c r="R3601" s="191"/>
      <c r="S3601" s="191"/>
      <c r="T3601" s="191"/>
      <c r="U3601" s="439"/>
      <c r="V3601" s="441"/>
      <c r="W3601" s="178"/>
      <c r="X3601" s="172"/>
      <c r="Y3601" s="172"/>
      <c r="Z3601" s="172"/>
      <c r="AA3601" s="195"/>
      <c r="AB3601" s="172"/>
    </row>
    <row r="3602" spans="1:28" ht="12.6" customHeight="1" x14ac:dyDescent="0.3">
      <c r="A3602" s="667"/>
      <c r="B3602" s="668" t="s">
        <v>11214</v>
      </c>
      <c r="C3602" s="160" t="s">
        <v>11215</v>
      </c>
      <c r="D3602" s="160"/>
      <c r="E3602" s="439">
        <v>7.36</v>
      </c>
      <c r="F3602" s="161">
        <v>319.04432564299998</v>
      </c>
      <c r="G3602" s="161"/>
      <c r="H3602" s="654"/>
      <c r="I3602" s="654"/>
      <c r="J3602" s="191"/>
      <c r="K3602" s="191">
        <v>6697.9206783028003</v>
      </c>
      <c r="L3602" s="191"/>
      <c r="M3602" s="191"/>
      <c r="N3602" s="191"/>
      <c r="O3602" s="191"/>
      <c r="P3602" s="191"/>
      <c r="Q3602" s="191"/>
      <c r="R3602" s="191"/>
      <c r="S3602" s="191"/>
      <c r="T3602" s="191"/>
      <c r="U3602" s="439"/>
      <c r="V3602" s="441"/>
      <c r="W3602" s="178"/>
      <c r="X3602" s="172"/>
      <c r="Y3602" s="172"/>
      <c r="Z3602" s="172"/>
      <c r="AA3602" s="195"/>
      <c r="AB3602" s="172"/>
    </row>
    <row r="3603" spans="1:28" ht="12.6" customHeight="1" x14ac:dyDescent="0.3">
      <c r="A3603" s="667"/>
      <c r="B3603" s="668" t="s">
        <v>11216</v>
      </c>
      <c r="C3603" s="160" t="s">
        <v>11217</v>
      </c>
      <c r="D3603" s="160"/>
      <c r="E3603" s="439"/>
      <c r="F3603" s="161">
        <v>318.04907667100002</v>
      </c>
      <c r="G3603" s="161"/>
      <c r="H3603" s="654"/>
      <c r="I3603" s="654"/>
      <c r="J3603" s="191"/>
      <c r="K3603" s="191">
        <v>36867.186846765799</v>
      </c>
      <c r="L3603" s="191"/>
      <c r="M3603" s="191"/>
      <c r="N3603" s="191"/>
      <c r="O3603" s="191"/>
      <c r="P3603" s="191"/>
      <c r="Q3603" s="191"/>
      <c r="R3603" s="191"/>
      <c r="S3603" s="191"/>
      <c r="T3603" s="191"/>
      <c r="U3603" s="439"/>
      <c r="V3603" s="441"/>
      <c r="W3603" s="178"/>
      <c r="X3603" s="172"/>
      <c r="Y3603" s="172"/>
      <c r="Z3603" s="172"/>
      <c r="AA3603" s="195"/>
      <c r="AB3603" s="172"/>
    </row>
    <row r="3604" spans="1:28" ht="12.6" customHeight="1" x14ac:dyDescent="0.3">
      <c r="A3604" s="667"/>
      <c r="B3604" s="668" t="s">
        <v>11218</v>
      </c>
      <c r="C3604" s="160" t="s">
        <v>11219</v>
      </c>
      <c r="D3604" s="160"/>
      <c r="E3604" s="439">
        <v>3</v>
      </c>
      <c r="F3604" s="161">
        <v>334.02514755200002</v>
      </c>
      <c r="G3604" s="161"/>
      <c r="H3604" s="654"/>
      <c r="I3604" s="654"/>
      <c r="J3604" s="191"/>
      <c r="K3604" s="191">
        <v>544.89145833523503</v>
      </c>
      <c r="L3604" s="191"/>
      <c r="M3604" s="191"/>
      <c r="N3604" s="191"/>
      <c r="O3604" s="191"/>
      <c r="P3604" s="191"/>
      <c r="Q3604" s="191"/>
      <c r="R3604" s="191"/>
      <c r="S3604" s="191"/>
      <c r="T3604" s="191"/>
      <c r="U3604" s="439"/>
      <c r="V3604" s="441"/>
      <c r="W3604" s="178"/>
      <c r="X3604" s="172"/>
      <c r="Y3604" s="172"/>
      <c r="Z3604" s="172"/>
      <c r="AA3604" s="195"/>
      <c r="AB3604" s="172"/>
    </row>
    <row r="3605" spans="1:28" ht="12.6" customHeight="1" x14ac:dyDescent="0.3">
      <c r="A3605" s="667"/>
      <c r="B3605" s="668" t="s">
        <v>11220</v>
      </c>
      <c r="C3605" s="160" t="s">
        <v>11221</v>
      </c>
      <c r="D3605" s="160"/>
      <c r="E3605" s="439"/>
      <c r="F3605" s="161">
        <v>284.02834122600001</v>
      </c>
      <c r="G3605" s="161">
        <v>-14.861000000000001</v>
      </c>
      <c r="H3605" s="654">
        <v>45.803839675999903</v>
      </c>
      <c r="I3605" s="654">
        <v>25.255828504650001</v>
      </c>
      <c r="J3605" s="191"/>
      <c r="K3605" s="191">
        <v>181.31761590224201</v>
      </c>
      <c r="L3605" s="191"/>
      <c r="M3605" s="191"/>
      <c r="N3605" s="191"/>
      <c r="O3605" s="191"/>
      <c r="P3605" s="191"/>
      <c r="Q3605" s="191"/>
      <c r="R3605" s="191"/>
      <c r="S3605" s="191"/>
      <c r="T3605" s="191"/>
      <c r="U3605" s="439"/>
      <c r="V3605" s="441"/>
      <c r="W3605" s="178"/>
      <c r="X3605" s="172"/>
      <c r="Y3605" s="172"/>
      <c r="Z3605" s="172"/>
      <c r="AA3605" s="195"/>
      <c r="AB3605" s="172"/>
    </row>
    <row r="3606" spans="1:28" ht="12.6" customHeight="1" x14ac:dyDescent="0.3">
      <c r="A3606" s="667"/>
      <c r="B3606" s="668" t="s">
        <v>11222</v>
      </c>
      <c r="C3606" s="160" t="s">
        <v>11223</v>
      </c>
      <c r="D3606" s="160"/>
      <c r="E3606" s="439">
        <v>5</v>
      </c>
      <c r="F3606" s="161">
        <v>336.07087474299999</v>
      </c>
      <c r="G3606" s="161"/>
      <c r="H3606" s="654"/>
      <c r="I3606" s="654"/>
      <c r="J3606" s="191"/>
      <c r="K3606" s="191">
        <v>645.65422903465503</v>
      </c>
      <c r="L3606" s="191"/>
      <c r="M3606" s="191"/>
      <c r="N3606" s="191"/>
      <c r="O3606" s="191"/>
      <c r="P3606" s="191"/>
      <c r="Q3606" s="191"/>
      <c r="R3606" s="191"/>
      <c r="S3606" s="191"/>
      <c r="T3606" s="191"/>
      <c r="U3606" s="439"/>
      <c r="V3606" s="441"/>
      <c r="W3606" s="178"/>
      <c r="X3606" s="172"/>
      <c r="Y3606" s="172"/>
      <c r="Z3606" s="172"/>
      <c r="AA3606" s="195"/>
      <c r="AB3606" s="172"/>
    </row>
    <row r="3607" spans="1:28" ht="12.6" customHeight="1" x14ac:dyDescent="0.3">
      <c r="A3607" s="667"/>
      <c r="B3607" s="668" t="s">
        <v>11224</v>
      </c>
      <c r="C3607" s="160" t="s">
        <v>11225</v>
      </c>
      <c r="D3607" s="160"/>
      <c r="E3607" s="439">
        <v>15</v>
      </c>
      <c r="F3607" s="161">
        <v>336.07087474299999</v>
      </c>
      <c r="G3607" s="161"/>
      <c r="H3607" s="654"/>
      <c r="I3607" s="654"/>
      <c r="J3607" s="191"/>
      <c r="K3607" s="191">
        <v>9630.3040726536401</v>
      </c>
      <c r="L3607" s="191"/>
      <c r="M3607" s="191"/>
      <c r="N3607" s="191"/>
      <c r="O3607" s="191"/>
      <c r="P3607" s="191"/>
      <c r="Q3607" s="191"/>
      <c r="R3607" s="191"/>
      <c r="S3607" s="191"/>
      <c r="T3607" s="191"/>
      <c r="U3607" s="439"/>
      <c r="V3607" s="441"/>
      <c r="W3607" s="178"/>
      <c r="X3607" s="172"/>
      <c r="Y3607" s="172"/>
      <c r="Z3607" s="172"/>
      <c r="AA3607" s="195"/>
      <c r="AB3607" s="172"/>
    </row>
    <row r="3608" spans="1:28" ht="12.6" customHeight="1" x14ac:dyDescent="0.3">
      <c r="A3608" s="667"/>
      <c r="B3608" s="668" t="s">
        <v>11226</v>
      </c>
      <c r="C3608" s="160" t="s">
        <v>11227</v>
      </c>
      <c r="D3608" s="160"/>
      <c r="E3608" s="439">
        <v>21</v>
      </c>
      <c r="F3608" s="161">
        <v>322.05522467899999</v>
      </c>
      <c r="G3608" s="161"/>
      <c r="H3608" s="654"/>
      <c r="I3608" s="654"/>
      <c r="J3608" s="191"/>
      <c r="K3608" s="191">
        <v>110.99157137268099</v>
      </c>
      <c r="L3608" s="191"/>
      <c r="M3608" s="191"/>
      <c r="N3608" s="191"/>
      <c r="O3608" s="191"/>
      <c r="P3608" s="191"/>
      <c r="Q3608" s="191"/>
      <c r="R3608" s="191"/>
      <c r="S3608" s="191"/>
      <c r="T3608" s="191"/>
      <c r="U3608" s="439"/>
      <c r="V3608" s="441"/>
      <c r="W3608" s="178"/>
      <c r="X3608" s="172"/>
      <c r="Y3608" s="172"/>
      <c r="Z3608" s="172"/>
      <c r="AA3608" s="195"/>
      <c r="AB3608" s="172"/>
    </row>
    <row r="3609" spans="1:28" ht="12.6" customHeight="1" x14ac:dyDescent="0.3">
      <c r="A3609" s="667"/>
      <c r="B3609" s="668" t="s">
        <v>11228</v>
      </c>
      <c r="C3609" s="160" t="s">
        <v>11229</v>
      </c>
      <c r="D3609" s="160"/>
      <c r="E3609" s="439"/>
      <c r="F3609" s="161">
        <v>414.010087226</v>
      </c>
      <c r="G3609" s="161">
        <v>-69.19</v>
      </c>
      <c r="H3609" s="654">
        <v>1953.9005709999999</v>
      </c>
      <c r="I3609" s="654">
        <v>1.3677651251685301</v>
      </c>
      <c r="J3609" s="191"/>
      <c r="K3609" s="191">
        <v>11496.615320323301</v>
      </c>
      <c r="L3609" s="191"/>
      <c r="M3609" s="191"/>
      <c r="N3609" s="191"/>
      <c r="O3609" s="191"/>
      <c r="P3609" s="191"/>
      <c r="Q3609" s="191"/>
      <c r="R3609" s="191"/>
      <c r="S3609" s="191"/>
      <c r="T3609" s="191"/>
      <c r="U3609" s="439"/>
      <c r="V3609" s="441"/>
      <c r="W3609" s="178"/>
      <c r="X3609" s="172"/>
      <c r="Y3609" s="172"/>
      <c r="Z3609" s="172"/>
      <c r="AA3609" s="195"/>
      <c r="AB3609" s="172"/>
    </row>
    <row r="3610" spans="1:28" ht="12.6" customHeight="1" x14ac:dyDescent="0.3">
      <c r="A3610" s="667"/>
      <c r="B3610" s="668" t="s">
        <v>11230</v>
      </c>
      <c r="C3610" s="160" t="s">
        <v>11231</v>
      </c>
      <c r="D3610" s="160"/>
      <c r="E3610" s="439"/>
      <c r="F3610" s="161">
        <v>264.01966824800002</v>
      </c>
      <c r="G3610" s="161">
        <v>-96.210999999999999</v>
      </c>
      <c r="H3610" s="654">
        <v>41773.648937999998</v>
      </c>
      <c r="I3610" s="654">
        <v>37.036943081497597</v>
      </c>
      <c r="J3610" s="191"/>
      <c r="K3610" s="191">
        <v>992.63595032046499</v>
      </c>
      <c r="L3610" s="191"/>
      <c r="M3610" s="191"/>
      <c r="N3610" s="191"/>
      <c r="O3610" s="191"/>
      <c r="P3610" s="191"/>
      <c r="Q3610" s="191"/>
      <c r="R3610" s="191"/>
      <c r="S3610" s="191"/>
      <c r="T3610" s="191"/>
      <c r="U3610" s="439"/>
      <c r="V3610" s="441"/>
      <c r="W3610" s="178"/>
      <c r="X3610" s="172"/>
      <c r="Y3610" s="172"/>
      <c r="Z3610" s="172"/>
      <c r="AA3610" s="195"/>
      <c r="AB3610" s="172"/>
    </row>
    <row r="3611" spans="1:28" ht="12.6" customHeight="1" x14ac:dyDescent="0.3">
      <c r="A3611" s="667"/>
      <c r="B3611" s="668" t="s">
        <v>11232</v>
      </c>
      <c r="C3611" s="160" t="s">
        <v>11233</v>
      </c>
      <c r="D3611" s="160"/>
      <c r="E3611" s="439"/>
      <c r="F3611" s="161">
        <v>314.01647457399997</v>
      </c>
      <c r="G3611" s="161">
        <v>-97.911000000000001</v>
      </c>
      <c r="H3611" s="654">
        <v>1994.8170928</v>
      </c>
      <c r="I3611" s="654">
        <v>11.4538765166764</v>
      </c>
      <c r="J3611" s="191"/>
      <c r="K3611" s="191">
        <v>3325.8296441911698</v>
      </c>
      <c r="L3611" s="191"/>
      <c r="M3611" s="191"/>
      <c r="N3611" s="191"/>
      <c r="O3611" s="191"/>
      <c r="P3611" s="191"/>
      <c r="Q3611" s="191"/>
      <c r="R3611" s="191"/>
      <c r="S3611" s="191"/>
      <c r="T3611" s="191"/>
      <c r="U3611" s="439"/>
      <c r="V3611" s="441"/>
      <c r="W3611" s="178"/>
      <c r="X3611" s="172"/>
      <c r="Y3611" s="172"/>
      <c r="Z3611" s="172"/>
      <c r="AA3611" s="195"/>
      <c r="AB3611" s="172"/>
    </row>
    <row r="3612" spans="1:28" ht="12.6" customHeight="1" x14ac:dyDescent="0.3">
      <c r="A3612" s="667"/>
      <c r="B3612" s="668" t="s">
        <v>11234</v>
      </c>
      <c r="C3612" s="160" t="s">
        <v>11235</v>
      </c>
      <c r="D3612" s="160"/>
      <c r="E3612" s="439"/>
      <c r="F3612" s="161">
        <v>528.03933649600003</v>
      </c>
      <c r="G3612" s="161"/>
      <c r="H3612" s="654"/>
      <c r="I3612" s="654"/>
      <c r="J3612" s="191"/>
      <c r="K3612" s="191"/>
      <c r="L3612" s="191"/>
      <c r="M3612" s="191"/>
      <c r="N3612" s="191"/>
      <c r="O3612" s="191"/>
      <c r="P3612" s="191"/>
      <c r="Q3612" s="191"/>
      <c r="R3612" s="191"/>
      <c r="S3612" s="191"/>
      <c r="T3612" s="191"/>
      <c r="U3612" s="439"/>
      <c r="V3612" s="441"/>
      <c r="W3612" s="178"/>
      <c r="X3612" s="172"/>
      <c r="Y3612" s="172"/>
      <c r="Z3612" s="172"/>
      <c r="AA3612" s="195"/>
      <c r="AB3612" s="172"/>
    </row>
    <row r="3613" spans="1:28" ht="12.6" customHeight="1" x14ac:dyDescent="0.3">
      <c r="A3613" s="667"/>
      <c r="B3613" s="668" t="s">
        <v>11236</v>
      </c>
      <c r="C3613" s="160" t="s">
        <v>11237</v>
      </c>
      <c r="D3613" s="160"/>
      <c r="E3613" s="439"/>
      <c r="F3613" s="161">
        <v>268.03342660599998</v>
      </c>
      <c r="G3613" s="161"/>
      <c r="H3613" s="654"/>
      <c r="I3613" s="654"/>
      <c r="J3613" s="191"/>
      <c r="K3613" s="191">
        <v>257.81014314240502</v>
      </c>
      <c r="L3613" s="191"/>
      <c r="M3613" s="191"/>
      <c r="N3613" s="191"/>
      <c r="O3613" s="191"/>
      <c r="P3613" s="191"/>
      <c r="Q3613" s="191"/>
      <c r="R3613" s="191"/>
      <c r="S3613" s="191"/>
      <c r="T3613" s="191"/>
      <c r="U3613" s="439"/>
      <c r="V3613" s="441"/>
      <c r="W3613" s="178"/>
      <c r="X3613" s="172"/>
      <c r="Y3613" s="172"/>
      <c r="Z3613" s="172"/>
      <c r="AA3613" s="195"/>
      <c r="AB3613" s="172"/>
    </row>
    <row r="3614" spans="1:28" ht="12.6" customHeight="1" x14ac:dyDescent="0.3">
      <c r="A3614" s="667"/>
      <c r="B3614" s="668" t="s">
        <v>11238</v>
      </c>
      <c r="C3614" s="160" t="s">
        <v>11239</v>
      </c>
      <c r="D3614" s="160"/>
      <c r="E3614" s="439"/>
      <c r="F3614" s="161">
        <v>268.03342660599998</v>
      </c>
      <c r="G3614" s="161"/>
      <c r="H3614" s="654"/>
      <c r="I3614" s="654"/>
      <c r="J3614" s="191"/>
      <c r="K3614" s="191">
        <v>257.81014314240502</v>
      </c>
      <c r="L3614" s="191"/>
      <c r="M3614" s="191"/>
      <c r="N3614" s="191"/>
      <c r="O3614" s="191"/>
      <c r="P3614" s="191"/>
      <c r="Q3614" s="191"/>
      <c r="R3614" s="191"/>
      <c r="S3614" s="191"/>
      <c r="T3614" s="191"/>
      <c r="U3614" s="439"/>
      <c r="V3614" s="441"/>
      <c r="W3614" s="178"/>
      <c r="X3614" s="172"/>
      <c r="Y3614" s="172"/>
      <c r="Z3614" s="172"/>
      <c r="AA3614" s="195"/>
      <c r="AB3614" s="172"/>
    </row>
    <row r="3615" spans="1:28" ht="12.6" customHeight="1" x14ac:dyDescent="0.3">
      <c r="A3615" s="667"/>
      <c r="B3615" s="668" t="s">
        <v>11240</v>
      </c>
      <c r="C3615" s="160" t="s">
        <v>11241</v>
      </c>
      <c r="D3615" s="160"/>
      <c r="E3615" s="439"/>
      <c r="F3615" s="161">
        <v>520.05313000000001</v>
      </c>
      <c r="G3615" s="161"/>
      <c r="H3615" s="654"/>
      <c r="I3615" s="654"/>
      <c r="J3615" s="191"/>
      <c r="K3615" s="191"/>
      <c r="L3615" s="191"/>
      <c r="M3615" s="191"/>
      <c r="N3615" s="191"/>
      <c r="O3615" s="191"/>
      <c r="P3615" s="191"/>
      <c r="Q3615" s="191"/>
      <c r="R3615" s="191"/>
      <c r="S3615" s="191"/>
      <c r="T3615" s="191"/>
      <c r="U3615" s="439"/>
      <c r="V3615" s="441"/>
      <c r="W3615" s="178"/>
      <c r="X3615" s="172"/>
      <c r="Y3615" s="172"/>
      <c r="Z3615" s="172"/>
      <c r="AA3615" s="195"/>
      <c r="AB3615" s="172"/>
    </row>
    <row r="3616" spans="1:28" ht="12.6" customHeight="1" x14ac:dyDescent="0.3">
      <c r="A3616" s="667"/>
      <c r="B3616" s="668" t="s">
        <v>11242</v>
      </c>
      <c r="C3616" s="160" t="s">
        <v>11243</v>
      </c>
      <c r="D3616" s="160"/>
      <c r="E3616" s="439">
        <v>2.06</v>
      </c>
      <c r="F3616" s="161">
        <v>396.02662714899998</v>
      </c>
      <c r="G3616" s="161"/>
      <c r="H3616" s="654"/>
      <c r="I3616" s="654"/>
      <c r="J3616" s="191"/>
      <c r="K3616" s="191">
        <v>30763.801467752299</v>
      </c>
      <c r="L3616" s="191"/>
      <c r="M3616" s="191"/>
      <c r="N3616" s="191"/>
      <c r="O3616" s="191"/>
      <c r="P3616" s="191"/>
      <c r="Q3616" s="191"/>
      <c r="R3616" s="191"/>
      <c r="S3616" s="191"/>
      <c r="T3616" s="191"/>
      <c r="U3616" s="439"/>
      <c r="V3616" s="441"/>
      <c r="W3616" s="178"/>
      <c r="X3616" s="172"/>
      <c r="Y3616" s="172"/>
      <c r="Z3616" s="172"/>
      <c r="AA3616" s="195"/>
      <c r="AB3616" s="172"/>
    </row>
    <row r="3617" spans="1:28" ht="12.6" customHeight="1" x14ac:dyDescent="0.3">
      <c r="A3617" s="667"/>
      <c r="B3617" s="668" t="s">
        <v>11244</v>
      </c>
      <c r="C3617" s="160" t="s">
        <v>11245</v>
      </c>
      <c r="D3617" s="160"/>
      <c r="E3617" s="439">
        <v>2.4900000000000002</v>
      </c>
      <c r="F3617" s="161">
        <v>380.031712529</v>
      </c>
      <c r="G3617" s="161"/>
      <c r="H3617" s="654"/>
      <c r="I3617" s="654"/>
      <c r="J3617" s="191"/>
      <c r="K3617" s="191">
        <v>252109.957967597</v>
      </c>
      <c r="L3617" s="191"/>
      <c r="M3617" s="191"/>
      <c r="N3617" s="191"/>
      <c r="O3617" s="191"/>
      <c r="P3617" s="191"/>
      <c r="Q3617" s="191"/>
      <c r="R3617" s="191"/>
      <c r="S3617" s="191"/>
      <c r="T3617" s="191"/>
      <c r="U3617" s="439"/>
      <c r="V3617" s="441"/>
      <c r="W3617" s="178"/>
      <c r="X3617" s="172"/>
      <c r="Y3617" s="172"/>
      <c r="Z3617" s="172"/>
      <c r="AA3617" s="195"/>
      <c r="AB3617" s="172"/>
    </row>
    <row r="3618" spans="1:28" ht="12.6" customHeight="1" x14ac:dyDescent="0.3">
      <c r="A3618" s="667"/>
      <c r="B3618" s="668" t="s">
        <v>11246</v>
      </c>
      <c r="C3618" s="160" t="s">
        <v>11247</v>
      </c>
      <c r="D3618" s="160"/>
      <c r="E3618" s="439">
        <v>3.66</v>
      </c>
      <c r="F3618" s="161">
        <v>364.03679790899997</v>
      </c>
      <c r="G3618" s="161"/>
      <c r="H3618" s="654"/>
      <c r="I3618" s="654"/>
      <c r="J3618" s="191"/>
      <c r="K3618" s="191">
        <v>1068439.65885717</v>
      </c>
      <c r="L3618" s="191"/>
      <c r="M3618" s="191"/>
      <c r="N3618" s="191"/>
      <c r="O3618" s="191"/>
      <c r="P3618" s="191"/>
      <c r="Q3618" s="191"/>
      <c r="R3618" s="191"/>
      <c r="S3618" s="191"/>
      <c r="T3618" s="191"/>
      <c r="U3618" s="439"/>
      <c r="V3618" s="441"/>
      <c r="W3618" s="178"/>
      <c r="X3618" s="172"/>
      <c r="Y3618" s="172"/>
      <c r="Z3618" s="172"/>
      <c r="AA3618" s="195"/>
      <c r="AB3618" s="172"/>
    </row>
    <row r="3619" spans="1:28" ht="12.6" customHeight="1" x14ac:dyDescent="0.3">
      <c r="A3619" s="667"/>
      <c r="B3619" s="668" t="s">
        <v>11248</v>
      </c>
      <c r="C3619" s="160" t="s">
        <v>11249</v>
      </c>
      <c r="D3619" s="160"/>
      <c r="E3619" s="439">
        <v>4.8</v>
      </c>
      <c r="F3619" s="161">
        <v>378.05244797400002</v>
      </c>
      <c r="G3619" s="161"/>
      <c r="H3619" s="654"/>
      <c r="I3619" s="654"/>
      <c r="J3619" s="191"/>
      <c r="K3619" s="191">
        <v>1142299.53498739</v>
      </c>
      <c r="L3619" s="191"/>
      <c r="M3619" s="191"/>
      <c r="N3619" s="191"/>
      <c r="O3619" s="191"/>
      <c r="P3619" s="191"/>
      <c r="Q3619" s="191"/>
      <c r="R3619" s="191"/>
      <c r="S3619" s="191"/>
      <c r="T3619" s="191"/>
      <c r="U3619" s="439"/>
      <c r="V3619" s="441"/>
      <c r="W3619" s="178"/>
      <c r="X3619" s="172"/>
      <c r="Y3619" s="172"/>
      <c r="Z3619" s="172"/>
      <c r="AA3619" s="195"/>
      <c r="AB3619" s="172"/>
    </row>
    <row r="3620" spans="1:28" ht="12.6" customHeight="1" x14ac:dyDescent="0.3">
      <c r="A3620" s="667"/>
      <c r="B3620" s="668" t="s">
        <v>11250</v>
      </c>
      <c r="C3620" s="160" t="s">
        <v>11251</v>
      </c>
      <c r="D3620" s="160"/>
      <c r="E3620" s="439"/>
      <c r="F3620" s="161">
        <v>295.96056729999998</v>
      </c>
      <c r="G3620" s="161"/>
      <c r="H3620" s="654"/>
      <c r="I3620" s="654"/>
      <c r="J3620" s="191"/>
      <c r="K3620" s="191"/>
      <c r="L3620" s="191"/>
      <c r="M3620" s="191"/>
      <c r="N3620" s="191"/>
      <c r="O3620" s="191"/>
      <c r="P3620" s="191"/>
      <c r="Q3620" s="191"/>
      <c r="R3620" s="191"/>
      <c r="S3620" s="191"/>
      <c r="T3620" s="191"/>
      <c r="U3620" s="439"/>
      <c r="V3620" s="441"/>
      <c r="W3620" s="178"/>
      <c r="X3620" s="172"/>
      <c r="Y3620" s="172"/>
      <c r="Z3620" s="172"/>
      <c r="AA3620" s="195"/>
      <c r="AB3620" s="172"/>
    </row>
    <row r="3621" spans="1:28" ht="12.6" customHeight="1" x14ac:dyDescent="0.3">
      <c r="A3621" s="667"/>
      <c r="B3621" s="668" t="s">
        <v>11252</v>
      </c>
      <c r="C3621" s="160" t="s">
        <v>11253</v>
      </c>
      <c r="D3621" s="160"/>
      <c r="E3621" s="439">
        <v>7.87</v>
      </c>
      <c r="F3621" s="161">
        <v>596.09130900000002</v>
      </c>
      <c r="G3621" s="161"/>
      <c r="H3621" s="654"/>
      <c r="I3621" s="654"/>
      <c r="J3621" s="191"/>
      <c r="K3621" s="191">
        <v>5629891.1739424299</v>
      </c>
      <c r="L3621" s="191"/>
      <c r="M3621" s="191"/>
      <c r="N3621" s="191"/>
      <c r="O3621" s="191"/>
      <c r="P3621" s="191"/>
      <c r="Q3621" s="191"/>
      <c r="R3621" s="191"/>
      <c r="S3621" s="191"/>
      <c r="T3621" s="191"/>
      <c r="U3621" s="439"/>
      <c r="V3621" s="441"/>
      <c r="W3621" s="178"/>
      <c r="X3621" s="172"/>
      <c r="Y3621" s="172"/>
      <c r="Z3621" s="172"/>
      <c r="AA3621" s="195"/>
      <c r="AB3621" s="172"/>
    </row>
    <row r="3622" spans="1:28" ht="12.6" customHeight="1" x14ac:dyDescent="0.3">
      <c r="A3622" s="667"/>
      <c r="B3622" s="668" t="s">
        <v>11254</v>
      </c>
      <c r="C3622" s="160" t="s">
        <v>11255</v>
      </c>
      <c r="D3622" s="160"/>
      <c r="E3622" s="439">
        <v>6.84</v>
      </c>
      <c r="F3622" s="161">
        <v>607.115359539</v>
      </c>
      <c r="G3622" s="161"/>
      <c r="H3622" s="654"/>
      <c r="I3622" s="654"/>
      <c r="J3622" s="191"/>
      <c r="K3622" s="191">
        <v>783772.46129998402</v>
      </c>
      <c r="L3622" s="191"/>
      <c r="M3622" s="191"/>
      <c r="N3622" s="191"/>
      <c r="O3622" s="191"/>
      <c r="P3622" s="191"/>
      <c r="Q3622" s="191"/>
      <c r="R3622" s="191"/>
      <c r="S3622" s="191"/>
      <c r="T3622" s="191"/>
      <c r="U3622" s="439"/>
      <c r="V3622" s="441"/>
      <c r="W3622" s="178"/>
      <c r="X3622" s="172"/>
      <c r="Y3622" s="172"/>
      <c r="Z3622" s="172"/>
      <c r="AA3622" s="195"/>
      <c r="AB3622" s="172"/>
    </row>
    <row r="3623" spans="1:28" ht="12.6" customHeight="1" x14ac:dyDescent="0.3">
      <c r="A3623" s="667"/>
      <c r="B3623" s="668" t="s">
        <v>11256</v>
      </c>
      <c r="C3623" s="160" t="s">
        <v>11257</v>
      </c>
      <c r="D3623" s="160"/>
      <c r="E3623" s="439">
        <v>7.21</v>
      </c>
      <c r="F3623" s="161">
        <v>596.09130900000002</v>
      </c>
      <c r="G3623" s="161"/>
      <c r="H3623" s="654"/>
      <c r="I3623" s="654"/>
      <c r="J3623" s="191"/>
      <c r="K3623" s="191">
        <v>5666566.6331245797</v>
      </c>
      <c r="L3623" s="191"/>
      <c r="M3623" s="191"/>
      <c r="N3623" s="191"/>
      <c r="O3623" s="191"/>
      <c r="P3623" s="191"/>
      <c r="Q3623" s="191"/>
      <c r="R3623" s="191"/>
      <c r="S3623" s="191"/>
      <c r="T3623" s="191"/>
      <c r="U3623" s="439"/>
      <c r="V3623" s="441"/>
      <c r="W3623" s="178"/>
      <c r="X3623" s="172"/>
      <c r="Y3623" s="172"/>
      <c r="Z3623" s="172"/>
      <c r="AA3623" s="195"/>
      <c r="AB3623" s="172"/>
    </row>
    <row r="3624" spans="1:28" ht="12.6" customHeight="1" x14ac:dyDescent="0.3">
      <c r="A3624" s="667"/>
      <c r="B3624" s="668" t="s">
        <v>11258</v>
      </c>
      <c r="C3624" s="160" t="s">
        <v>11259</v>
      </c>
      <c r="D3624" s="160"/>
      <c r="E3624" s="439">
        <v>8.0500000000000007</v>
      </c>
      <c r="F3624" s="161">
        <v>580.12085945800004</v>
      </c>
      <c r="G3624" s="161"/>
      <c r="H3624" s="654"/>
      <c r="I3624" s="654"/>
      <c r="J3624" s="191"/>
      <c r="K3624" s="177">
        <v>4933214.5075623998</v>
      </c>
      <c r="L3624" s="191"/>
      <c r="M3624" s="191"/>
      <c r="N3624" s="191"/>
      <c r="O3624" s="191"/>
      <c r="P3624" s="191"/>
      <c r="Q3624" s="191"/>
      <c r="R3624" s="191"/>
      <c r="S3624" s="191"/>
      <c r="T3624" s="191"/>
      <c r="U3624" s="439"/>
      <c r="V3624" s="441"/>
      <c r="W3624" s="178"/>
      <c r="X3624" s="172"/>
      <c r="Y3624" s="172"/>
      <c r="Z3624" s="172"/>
      <c r="AA3624" s="195"/>
      <c r="AB3624" s="172"/>
    </row>
    <row r="3625" spans="1:28" ht="12.6" customHeight="1" x14ac:dyDescent="0.3">
      <c r="A3625" s="667"/>
      <c r="B3625" s="668" t="s">
        <v>11260</v>
      </c>
      <c r="C3625" s="160" t="s">
        <v>11261</v>
      </c>
      <c r="D3625" s="160"/>
      <c r="E3625" s="439">
        <v>9</v>
      </c>
      <c r="F3625" s="161">
        <v>539.05417809699998</v>
      </c>
      <c r="G3625" s="161">
        <v>-59.360999999999997</v>
      </c>
      <c r="H3625" s="654">
        <v>5.0222930687999998</v>
      </c>
      <c r="I3625" s="654">
        <v>3.4405833687472499E-2</v>
      </c>
      <c r="J3625" s="191"/>
      <c r="K3625" s="191">
        <v>425333.90169372101</v>
      </c>
      <c r="L3625" s="191"/>
      <c r="M3625" s="191"/>
      <c r="N3625" s="191"/>
      <c r="O3625" s="191"/>
      <c r="P3625" s="191"/>
      <c r="Q3625" s="191"/>
      <c r="R3625" s="191"/>
      <c r="S3625" s="191"/>
      <c r="T3625" s="191"/>
      <c r="U3625" s="439"/>
      <c r="V3625" s="441"/>
      <c r="W3625" s="178"/>
      <c r="X3625" s="172"/>
      <c r="Y3625" s="172"/>
      <c r="Z3625" s="172"/>
      <c r="AA3625" s="195"/>
      <c r="AB3625" s="172"/>
    </row>
    <row r="3626" spans="1:28" ht="12.6" customHeight="1" x14ac:dyDescent="0.3">
      <c r="A3626" s="667"/>
      <c r="B3626" s="668" t="s">
        <v>11262</v>
      </c>
      <c r="C3626" s="160" t="s">
        <v>11263</v>
      </c>
      <c r="D3626" s="160"/>
      <c r="E3626" s="439">
        <v>2</v>
      </c>
      <c r="F3626" s="161">
        <v>289.07014646699997</v>
      </c>
      <c r="G3626" s="161"/>
      <c r="H3626" s="654"/>
      <c r="I3626" s="654"/>
      <c r="J3626" s="191"/>
      <c r="K3626" s="191">
        <v>8219.7763295145596</v>
      </c>
      <c r="L3626" s="191"/>
      <c r="M3626" s="191"/>
      <c r="N3626" s="191"/>
      <c r="O3626" s="191"/>
      <c r="P3626" s="191"/>
      <c r="Q3626" s="191"/>
      <c r="R3626" s="191"/>
      <c r="S3626" s="191"/>
      <c r="T3626" s="191"/>
      <c r="U3626" s="439"/>
      <c r="V3626" s="441"/>
      <c r="W3626" s="178"/>
      <c r="X3626" s="172"/>
      <c r="Y3626" s="172"/>
      <c r="Z3626" s="172"/>
      <c r="AA3626" s="195"/>
      <c r="AB3626" s="172"/>
    </row>
    <row r="3627" spans="1:28" ht="12.6" customHeight="1" x14ac:dyDescent="0.3">
      <c r="A3627" s="667"/>
      <c r="B3627" s="668" t="s">
        <v>11264</v>
      </c>
      <c r="C3627" s="160" t="s">
        <v>11265</v>
      </c>
      <c r="D3627" s="160"/>
      <c r="E3627" s="439">
        <v>8.9700000000000006</v>
      </c>
      <c r="F3627" s="161">
        <v>439.06056544500001</v>
      </c>
      <c r="G3627" s="161"/>
      <c r="H3627" s="654"/>
      <c r="I3627" s="654"/>
      <c r="J3627" s="191"/>
      <c r="K3627" s="191">
        <v>43557.204603092097</v>
      </c>
      <c r="L3627" s="191"/>
      <c r="M3627" s="191"/>
      <c r="N3627" s="191"/>
      <c r="O3627" s="191"/>
      <c r="P3627" s="191"/>
      <c r="Q3627" s="191"/>
      <c r="R3627" s="191"/>
      <c r="S3627" s="191"/>
      <c r="T3627" s="191"/>
      <c r="U3627" s="439"/>
      <c r="V3627" s="441"/>
      <c r="W3627" s="178"/>
      <c r="X3627" s="172"/>
      <c r="Y3627" s="172"/>
      <c r="Z3627" s="172"/>
      <c r="AA3627" s="195"/>
      <c r="AB3627" s="172"/>
    </row>
    <row r="3628" spans="1:28" ht="12.6" customHeight="1" x14ac:dyDescent="0.3">
      <c r="A3628" s="667"/>
      <c r="B3628" s="668" t="s">
        <v>11266</v>
      </c>
      <c r="C3628" s="160" t="s">
        <v>11267</v>
      </c>
      <c r="D3628" s="160"/>
      <c r="E3628" s="439"/>
      <c r="F3628" s="161">
        <v>349.05130272899999</v>
      </c>
      <c r="G3628" s="161"/>
      <c r="H3628" s="654"/>
      <c r="I3628" s="654"/>
      <c r="J3628" s="191"/>
      <c r="K3628" s="191">
        <v>41972.998906909197</v>
      </c>
      <c r="L3628" s="191"/>
      <c r="M3628" s="191"/>
      <c r="N3628" s="191"/>
      <c r="O3628" s="191"/>
      <c r="P3628" s="191"/>
      <c r="Q3628" s="191"/>
      <c r="R3628" s="191"/>
      <c r="S3628" s="191"/>
      <c r="T3628" s="191"/>
      <c r="U3628" s="439"/>
      <c r="V3628" s="441"/>
      <c r="W3628" s="178"/>
      <c r="X3628" s="172"/>
      <c r="Y3628" s="172"/>
      <c r="Z3628" s="172"/>
      <c r="AA3628" s="195"/>
      <c r="AB3628" s="172"/>
    </row>
    <row r="3629" spans="1:28" ht="12.6" customHeight="1" x14ac:dyDescent="0.3">
      <c r="A3629" s="667"/>
      <c r="B3629" s="668" t="s">
        <v>11268</v>
      </c>
      <c r="C3629" s="160" t="s">
        <v>11269</v>
      </c>
      <c r="D3629" s="160"/>
      <c r="E3629" s="439">
        <v>4.83</v>
      </c>
      <c r="F3629" s="161">
        <v>359.02148219700001</v>
      </c>
      <c r="G3629" s="161"/>
      <c r="H3629" s="654"/>
      <c r="I3629" s="654"/>
      <c r="J3629" s="191"/>
      <c r="K3629" s="191">
        <v>81630.038249982303</v>
      </c>
      <c r="L3629" s="191"/>
      <c r="M3629" s="191"/>
      <c r="N3629" s="191"/>
      <c r="O3629" s="191"/>
      <c r="P3629" s="191"/>
      <c r="Q3629" s="191"/>
      <c r="R3629" s="191"/>
      <c r="S3629" s="191"/>
      <c r="T3629" s="191"/>
      <c r="U3629" s="439"/>
      <c r="V3629" s="441"/>
      <c r="W3629" s="178"/>
      <c r="X3629" s="172"/>
      <c r="Y3629" s="172"/>
      <c r="Z3629" s="172"/>
      <c r="AA3629" s="195"/>
      <c r="AB3629" s="172"/>
    </row>
    <row r="3630" spans="1:28" ht="12.6" customHeight="1" x14ac:dyDescent="0.3">
      <c r="A3630" s="667"/>
      <c r="B3630" s="668" t="s">
        <v>11270</v>
      </c>
      <c r="C3630" s="160" t="s">
        <v>11271</v>
      </c>
      <c r="D3630" s="160"/>
      <c r="E3630" s="439">
        <v>8</v>
      </c>
      <c r="F3630" s="161">
        <v>399.02926531600002</v>
      </c>
      <c r="G3630" s="161">
        <v>-59.966000000000001</v>
      </c>
      <c r="H3630" s="654">
        <v>20.412798098</v>
      </c>
      <c r="I3630" s="654">
        <v>2.3713990014317599</v>
      </c>
      <c r="J3630" s="191"/>
      <c r="K3630" s="191">
        <v>69436.848263173495</v>
      </c>
      <c r="L3630" s="191"/>
      <c r="M3630" s="191"/>
      <c r="N3630" s="191"/>
      <c r="O3630" s="191"/>
      <c r="P3630" s="191"/>
      <c r="Q3630" s="191"/>
      <c r="R3630" s="191"/>
      <c r="S3630" s="191"/>
      <c r="T3630" s="191"/>
      <c r="U3630" s="439"/>
      <c r="V3630" s="441"/>
      <c r="W3630" s="178"/>
      <c r="X3630" s="172"/>
      <c r="Y3630" s="172"/>
      <c r="Z3630" s="172"/>
      <c r="AA3630" s="195"/>
      <c r="AB3630" s="172"/>
    </row>
    <row r="3631" spans="1:28" ht="12.6" customHeight="1" x14ac:dyDescent="0.3">
      <c r="A3631" s="667"/>
      <c r="B3631" s="668" t="s">
        <v>11272</v>
      </c>
      <c r="C3631" s="160" t="s">
        <v>11273</v>
      </c>
      <c r="D3631" s="160"/>
      <c r="E3631" s="439">
        <v>9.52</v>
      </c>
      <c r="F3631" s="161">
        <v>553.03344265299995</v>
      </c>
      <c r="G3631" s="161">
        <v>-20.29</v>
      </c>
      <c r="H3631" s="654">
        <v>1.10129038236</v>
      </c>
      <c r="I3631" s="654">
        <v>4.4745714631677098E-2</v>
      </c>
      <c r="J3631" s="191"/>
      <c r="K3631" s="191">
        <v>203142.12914187301</v>
      </c>
      <c r="L3631" s="191"/>
      <c r="M3631" s="191"/>
      <c r="N3631" s="191"/>
      <c r="O3631" s="191"/>
      <c r="P3631" s="191"/>
      <c r="Q3631" s="191"/>
      <c r="R3631" s="191"/>
      <c r="S3631" s="191"/>
      <c r="T3631" s="191"/>
      <c r="U3631" s="439"/>
      <c r="V3631" s="441"/>
      <c r="W3631" s="178"/>
      <c r="X3631" s="172"/>
      <c r="Y3631" s="172"/>
      <c r="Z3631" s="172"/>
      <c r="AA3631" s="195"/>
      <c r="AB3631" s="172"/>
    </row>
    <row r="3632" spans="1:28" ht="12.6" customHeight="1" x14ac:dyDescent="0.3">
      <c r="A3632" s="667"/>
      <c r="B3632" s="668" t="s">
        <v>11274</v>
      </c>
      <c r="C3632" s="160" t="s">
        <v>11275</v>
      </c>
      <c r="D3632" s="160"/>
      <c r="E3632" s="439">
        <v>2</v>
      </c>
      <c r="F3632" s="161">
        <v>325.05130272899999</v>
      </c>
      <c r="G3632" s="161"/>
      <c r="H3632" s="654"/>
      <c r="I3632" s="654"/>
      <c r="J3632" s="191"/>
      <c r="K3632" s="191">
        <v>13174.0710094845</v>
      </c>
      <c r="L3632" s="191"/>
      <c r="M3632" s="191"/>
      <c r="N3632" s="191"/>
      <c r="O3632" s="191"/>
      <c r="P3632" s="191"/>
      <c r="Q3632" s="191"/>
      <c r="R3632" s="191"/>
      <c r="S3632" s="191"/>
      <c r="T3632" s="191"/>
      <c r="U3632" s="439"/>
      <c r="V3632" s="441"/>
      <c r="W3632" s="178"/>
      <c r="X3632" s="172"/>
      <c r="Y3632" s="172"/>
      <c r="Z3632" s="172"/>
      <c r="AA3632" s="195"/>
      <c r="AB3632" s="172"/>
    </row>
    <row r="3633" spans="1:28" ht="12.6" customHeight="1" x14ac:dyDescent="0.3">
      <c r="A3633" s="667"/>
      <c r="B3633" s="668" t="s">
        <v>11276</v>
      </c>
      <c r="C3633" s="160" t="s">
        <v>11277</v>
      </c>
      <c r="D3633" s="160"/>
      <c r="E3633" s="439">
        <v>7.91</v>
      </c>
      <c r="F3633" s="161">
        <v>280.05589338200002</v>
      </c>
      <c r="G3633" s="161"/>
      <c r="H3633" s="654"/>
      <c r="I3633" s="654"/>
      <c r="J3633" s="191"/>
      <c r="K3633" s="191">
        <v>51.494399736877199</v>
      </c>
      <c r="L3633" s="191"/>
      <c r="M3633" s="191"/>
      <c r="N3633" s="191"/>
      <c r="O3633" s="191"/>
      <c r="P3633" s="191"/>
      <c r="Q3633" s="191"/>
      <c r="R3633" s="191"/>
      <c r="S3633" s="191"/>
      <c r="T3633" s="191"/>
      <c r="U3633" s="439"/>
      <c r="V3633" s="441"/>
      <c r="W3633" s="178"/>
      <c r="X3633" s="172"/>
      <c r="Y3633" s="172"/>
      <c r="Z3633" s="172"/>
      <c r="AA3633" s="195"/>
      <c r="AB3633" s="172"/>
    </row>
    <row r="3634" spans="1:28" ht="12.6" customHeight="1" x14ac:dyDescent="0.3">
      <c r="A3634" s="667"/>
      <c r="B3634" s="668" t="s">
        <v>11278</v>
      </c>
      <c r="C3634" s="160" t="s">
        <v>11279</v>
      </c>
      <c r="D3634" s="160"/>
      <c r="E3634" s="439">
        <v>7.84</v>
      </c>
      <c r="F3634" s="161">
        <v>267.02425890199999</v>
      </c>
      <c r="G3634" s="161"/>
      <c r="H3634" s="654"/>
      <c r="I3634" s="654"/>
      <c r="J3634" s="191"/>
      <c r="K3634" s="191">
        <v>114.50118992599501</v>
      </c>
      <c r="L3634" s="191"/>
      <c r="M3634" s="191"/>
      <c r="N3634" s="191"/>
      <c r="O3634" s="191"/>
      <c r="P3634" s="191"/>
      <c r="Q3634" s="191"/>
      <c r="R3634" s="191"/>
      <c r="S3634" s="191"/>
      <c r="T3634" s="191"/>
      <c r="U3634" s="439"/>
      <c r="V3634" s="441"/>
      <c r="W3634" s="178"/>
      <c r="X3634" s="172"/>
      <c r="Y3634" s="172"/>
      <c r="Z3634" s="172"/>
      <c r="AA3634" s="195"/>
      <c r="AB3634" s="172"/>
    </row>
    <row r="3635" spans="1:28" ht="12.6" customHeight="1" x14ac:dyDescent="0.3">
      <c r="A3635" s="667"/>
      <c r="B3635" s="668" t="s">
        <v>11280</v>
      </c>
      <c r="C3635" s="160" t="s">
        <v>11281</v>
      </c>
      <c r="D3635" s="160"/>
      <c r="E3635" s="439"/>
      <c r="F3635" s="161">
        <v>348.06278263899998</v>
      </c>
      <c r="G3635" s="161">
        <v>-64.471999999999994</v>
      </c>
      <c r="H3635" s="654">
        <v>94.602358116000005</v>
      </c>
      <c r="I3635" s="654">
        <v>7.2053868885229901</v>
      </c>
      <c r="J3635" s="191"/>
      <c r="K3635" s="191">
        <v>1456.06244291854</v>
      </c>
      <c r="L3635" s="191"/>
      <c r="M3635" s="191"/>
      <c r="N3635" s="191"/>
      <c r="O3635" s="191"/>
      <c r="P3635" s="191"/>
      <c r="Q3635" s="191"/>
      <c r="R3635" s="191"/>
      <c r="S3635" s="191"/>
      <c r="T3635" s="191"/>
      <c r="U3635" s="439"/>
      <c r="V3635" s="441"/>
      <c r="W3635" s="178"/>
      <c r="X3635" s="172"/>
      <c r="Y3635" s="172"/>
      <c r="Z3635" s="172"/>
      <c r="AA3635" s="195"/>
      <c r="AB3635" s="172"/>
    </row>
    <row r="3636" spans="1:28" ht="12.6" customHeight="1" x14ac:dyDescent="0.3">
      <c r="A3636" s="667"/>
      <c r="B3636" s="668" t="s">
        <v>11282</v>
      </c>
      <c r="C3636" s="160" t="s">
        <v>11283</v>
      </c>
      <c r="D3636" s="160"/>
      <c r="E3636" s="439"/>
      <c r="F3636" s="161">
        <v>348.06278263899998</v>
      </c>
      <c r="G3636" s="161"/>
      <c r="H3636" s="654"/>
      <c r="I3636" s="654"/>
      <c r="J3636" s="191"/>
      <c r="K3636" s="191">
        <v>1418.9268276800401</v>
      </c>
      <c r="L3636" s="191"/>
      <c r="M3636" s="191"/>
      <c r="N3636" s="191"/>
      <c r="O3636" s="191"/>
      <c r="P3636" s="191"/>
      <c r="Q3636" s="191"/>
      <c r="R3636" s="191"/>
      <c r="S3636" s="191"/>
      <c r="T3636" s="191"/>
      <c r="U3636" s="439"/>
      <c r="V3636" s="441"/>
      <c r="W3636" s="178"/>
      <c r="X3636" s="172"/>
      <c r="Y3636" s="172"/>
      <c r="Z3636" s="172"/>
      <c r="AA3636" s="195"/>
      <c r="AB3636" s="172"/>
    </row>
    <row r="3637" spans="1:28" ht="12.6" customHeight="1" x14ac:dyDescent="0.3">
      <c r="A3637" s="667"/>
      <c r="B3637" s="668" t="s">
        <v>11284</v>
      </c>
      <c r="C3637" s="160" t="s">
        <v>11285</v>
      </c>
      <c r="D3637" s="160"/>
      <c r="E3637" s="439"/>
      <c r="F3637" s="161">
        <v>305.99384742400002</v>
      </c>
      <c r="G3637" s="161">
        <v>-33.594000000000001</v>
      </c>
      <c r="H3637" s="654">
        <v>122.433992226</v>
      </c>
      <c r="I3637" s="654">
        <v>22.065430533437802</v>
      </c>
      <c r="J3637" s="191"/>
      <c r="K3637" s="191">
        <v>339.578354866052</v>
      </c>
      <c r="L3637" s="191"/>
      <c r="M3637" s="191"/>
      <c r="N3637" s="191"/>
      <c r="O3637" s="191"/>
      <c r="P3637" s="191"/>
      <c r="Q3637" s="191"/>
      <c r="R3637" s="191"/>
      <c r="S3637" s="191"/>
      <c r="T3637" s="191"/>
      <c r="U3637" s="439"/>
      <c r="V3637" s="441"/>
      <c r="W3637" s="178"/>
      <c r="X3637" s="172"/>
      <c r="Y3637" s="172"/>
      <c r="Z3637" s="172"/>
      <c r="AA3637" s="195"/>
      <c r="AB3637" s="172"/>
    </row>
    <row r="3638" spans="1:28" ht="12.6" customHeight="1" x14ac:dyDescent="0.3">
      <c r="A3638" s="667"/>
      <c r="B3638" s="668" t="s">
        <v>11286</v>
      </c>
      <c r="C3638" s="160" t="s">
        <v>11287</v>
      </c>
      <c r="D3638" s="160"/>
      <c r="E3638" s="439">
        <v>5.62</v>
      </c>
      <c r="F3638" s="161">
        <v>269.02867557799999</v>
      </c>
      <c r="G3638" s="161"/>
      <c r="H3638" s="654"/>
      <c r="I3638" s="654"/>
      <c r="J3638" s="191"/>
      <c r="K3638" s="191">
        <v>118.814651910129</v>
      </c>
      <c r="L3638" s="191"/>
      <c r="M3638" s="191"/>
      <c r="N3638" s="191"/>
      <c r="O3638" s="191"/>
      <c r="P3638" s="191"/>
      <c r="Q3638" s="191"/>
      <c r="R3638" s="191"/>
      <c r="S3638" s="191"/>
      <c r="T3638" s="191"/>
      <c r="U3638" s="439"/>
      <c r="V3638" s="441"/>
      <c r="W3638" s="178"/>
      <c r="X3638" s="172"/>
      <c r="Y3638" s="172"/>
      <c r="Z3638" s="172"/>
      <c r="AA3638" s="195"/>
      <c r="AB3638" s="172"/>
    </row>
    <row r="3639" spans="1:28" ht="12.6" customHeight="1" x14ac:dyDescent="0.3">
      <c r="A3639" s="667"/>
      <c r="B3639" s="668" t="s">
        <v>11288</v>
      </c>
      <c r="C3639" s="160" t="s">
        <v>11289</v>
      </c>
      <c r="D3639" s="160"/>
      <c r="E3639" s="439"/>
      <c r="F3639" s="161">
        <v>554.01745823600004</v>
      </c>
      <c r="G3639" s="161">
        <v>-54.259</v>
      </c>
      <c r="H3639" s="654">
        <v>2.3329350170000001</v>
      </c>
      <c r="I3639" s="654">
        <v>3.0727248679159901E-2</v>
      </c>
      <c r="J3639" s="191"/>
      <c r="K3639" s="191">
        <v>386206.87452331203</v>
      </c>
      <c r="L3639" s="191"/>
      <c r="M3639" s="191"/>
      <c r="N3639" s="191"/>
      <c r="O3639" s="191"/>
      <c r="P3639" s="191"/>
      <c r="Q3639" s="191"/>
      <c r="R3639" s="191"/>
      <c r="S3639" s="191"/>
      <c r="T3639" s="191"/>
      <c r="U3639" s="439"/>
      <c r="V3639" s="441"/>
      <c r="W3639" s="178"/>
      <c r="X3639" s="172"/>
      <c r="Y3639" s="172"/>
      <c r="Z3639" s="172"/>
      <c r="AA3639" s="195"/>
      <c r="AB3639" s="172"/>
    </row>
    <row r="3640" spans="1:28" ht="12.6" customHeight="1" x14ac:dyDescent="0.3">
      <c r="A3640" s="667"/>
      <c r="B3640" s="668" t="s">
        <v>11290</v>
      </c>
      <c r="C3640" s="160" t="s">
        <v>11291</v>
      </c>
      <c r="D3640" s="160"/>
      <c r="E3640" s="439"/>
      <c r="F3640" s="161">
        <v>554.01745823600004</v>
      </c>
      <c r="G3640" s="161">
        <v>-54.259</v>
      </c>
      <c r="H3640" s="654">
        <v>2.4997741678000001</v>
      </c>
      <c r="I3640" s="654">
        <v>3.0727248679159901E-2</v>
      </c>
      <c r="J3640" s="191"/>
      <c r="K3640" s="191">
        <v>383336.34706138901</v>
      </c>
      <c r="L3640" s="191"/>
      <c r="M3640" s="191"/>
      <c r="N3640" s="191"/>
      <c r="O3640" s="191"/>
      <c r="P3640" s="191"/>
      <c r="Q3640" s="191"/>
      <c r="R3640" s="191"/>
      <c r="S3640" s="191"/>
      <c r="T3640" s="191"/>
      <c r="U3640" s="439"/>
      <c r="V3640" s="441"/>
      <c r="W3640" s="178"/>
      <c r="X3640" s="172"/>
      <c r="Y3640" s="172"/>
      <c r="Z3640" s="172"/>
      <c r="AA3640" s="195"/>
      <c r="AB3640" s="172"/>
    </row>
    <row r="3641" spans="1:28" ht="12.6" customHeight="1" x14ac:dyDescent="0.3">
      <c r="A3641" s="667"/>
      <c r="B3641" s="668" t="s">
        <v>11292</v>
      </c>
      <c r="C3641" s="160" t="s">
        <v>11293</v>
      </c>
      <c r="D3641" s="160"/>
      <c r="E3641" s="439"/>
      <c r="F3641" s="161">
        <v>354.03023293199999</v>
      </c>
      <c r="G3641" s="161">
        <v>-7.585</v>
      </c>
      <c r="H3641" s="654">
        <v>5.6221354112000004</v>
      </c>
      <c r="I3641" s="654">
        <v>1.3093029298477501</v>
      </c>
      <c r="J3641" s="191"/>
      <c r="K3641" s="191">
        <v>15631.476426409499</v>
      </c>
      <c r="L3641" s="191"/>
      <c r="M3641" s="191"/>
      <c r="N3641" s="191"/>
      <c r="O3641" s="191"/>
      <c r="P3641" s="191"/>
      <c r="Q3641" s="191"/>
      <c r="R3641" s="191"/>
      <c r="S3641" s="191"/>
      <c r="T3641" s="191"/>
      <c r="U3641" s="439"/>
      <c r="V3641" s="441"/>
      <c r="W3641" s="178"/>
      <c r="X3641" s="172"/>
      <c r="Y3641" s="172"/>
      <c r="Z3641" s="172"/>
      <c r="AA3641" s="195"/>
      <c r="AB3641" s="172"/>
    </row>
    <row r="3642" spans="1:28" ht="12.6" customHeight="1" x14ac:dyDescent="0.3">
      <c r="A3642" s="667"/>
      <c r="B3642" s="668" t="s">
        <v>11294</v>
      </c>
      <c r="C3642" s="160" t="s">
        <v>11295</v>
      </c>
      <c r="D3642" s="160"/>
      <c r="E3642" s="439"/>
      <c r="F3642" s="161">
        <v>304.03342660599998</v>
      </c>
      <c r="G3642" s="161">
        <v>-4.0960000000000001</v>
      </c>
      <c r="H3642" s="654">
        <v>1.7334126474</v>
      </c>
      <c r="I3642" s="654">
        <v>4.6017283317377702</v>
      </c>
      <c r="J3642" s="191"/>
      <c r="K3642" s="191">
        <v>11124.2310353664</v>
      </c>
      <c r="L3642" s="191"/>
      <c r="M3642" s="191"/>
      <c r="N3642" s="191"/>
      <c r="O3642" s="191"/>
      <c r="P3642" s="191"/>
      <c r="Q3642" s="191"/>
      <c r="R3642" s="191"/>
      <c r="S3642" s="191"/>
      <c r="T3642" s="191"/>
      <c r="U3642" s="439"/>
      <c r="V3642" s="441"/>
      <c r="W3642" s="178"/>
      <c r="X3642" s="172"/>
      <c r="Y3642" s="172"/>
      <c r="Z3642" s="172"/>
      <c r="AA3642" s="195"/>
      <c r="AB3642" s="172"/>
    </row>
    <row r="3643" spans="1:28" ht="12.6" customHeight="1" x14ac:dyDescent="0.3">
      <c r="A3643" s="667"/>
      <c r="B3643" s="668" t="s">
        <v>11296</v>
      </c>
      <c r="C3643" s="160" t="s">
        <v>11297</v>
      </c>
      <c r="D3643" s="160"/>
      <c r="E3643" s="439">
        <v>7.01</v>
      </c>
      <c r="F3643" s="161">
        <v>294.01269116200001</v>
      </c>
      <c r="G3643" s="161">
        <v>-9.0289999999999999</v>
      </c>
      <c r="H3643" s="654">
        <v>9.0761484617999901</v>
      </c>
      <c r="I3643" s="654">
        <v>6.8764864259733196</v>
      </c>
      <c r="J3643" s="191"/>
      <c r="K3643" s="191">
        <v>3824.1947417134202</v>
      </c>
      <c r="L3643" s="191"/>
      <c r="M3643" s="191"/>
      <c r="N3643" s="191"/>
      <c r="O3643" s="191"/>
      <c r="P3643" s="191"/>
      <c r="Q3643" s="191"/>
      <c r="R3643" s="191"/>
      <c r="S3643" s="191"/>
      <c r="T3643" s="191"/>
      <c r="U3643" s="439"/>
      <c r="V3643" s="441"/>
      <c r="W3643" s="178"/>
      <c r="X3643" s="172"/>
      <c r="Y3643" s="172"/>
      <c r="Z3643" s="172"/>
      <c r="AA3643" s="195"/>
      <c r="AB3643" s="172"/>
    </row>
    <row r="3644" spans="1:28" ht="12.6" customHeight="1" x14ac:dyDescent="0.3">
      <c r="A3644" s="667"/>
      <c r="B3644" s="668" t="s">
        <v>11298</v>
      </c>
      <c r="C3644" s="160" t="s">
        <v>11299</v>
      </c>
      <c r="D3644" s="160"/>
      <c r="E3644" s="439"/>
      <c r="F3644" s="161">
        <v>334.043991291</v>
      </c>
      <c r="G3644" s="161"/>
      <c r="H3644" s="654"/>
      <c r="I3644" s="654"/>
      <c r="J3644" s="191"/>
      <c r="K3644" s="191">
        <v>6566.8939070368997</v>
      </c>
      <c r="L3644" s="191"/>
      <c r="M3644" s="191"/>
      <c r="N3644" s="191"/>
      <c r="O3644" s="191"/>
      <c r="P3644" s="191"/>
      <c r="Q3644" s="191"/>
      <c r="R3644" s="191"/>
      <c r="S3644" s="191"/>
      <c r="T3644" s="191"/>
      <c r="U3644" s="439"/>
      <c r="V3644" s="441"/>
      <c r="W3644" s="178"/>
      <c r="X3644" s="172"/>
      <c r="Y3644" s="172"/>
      <c r="Z3644" s="172"/>
      <c r="AA3644" s="195"/>
      <c r="AB3644" s="172"/>
    </row>
    <row r="3645" spans="1:28" ht="12.6" customHeight="1" x14ac:dyDescent="0.3">
      <c r="A3645" s="667"/>
      <c r="B3645" s="668" t="s">
        <v>11300</v>
      </c>
      <c r="C3645" s="160" t="s">
        <v>11301</v>
      </c>
      <c r="D3645" s="160"/>
      <c r="E3645" s="439"/>
      <c r="F3645" s="161">
        <v>304.03342660599998</v>
      </c>
      <c r="G3645" s="161"/>
      <c r="H3645" s="654"/>
      <c r="I3645" s="654"/>
      <c r="J3645" s="191"/>
      <c r="K3645" s="191">
        <v>16931.288113295501</v>
      </c>
      <c r="L3645" s="191"/>
      <c r="M3645" s="191"/>
      <c r="N3645" s="191"/>
      <c r="O3645" s="191"/>
      <c r="P3645" s="191"/>
      <c r="Q3645" s="191"/>
      <c r="R3645" s="191"/>
      <c r="S3645" s="191"/>
      <c r="T3645" s="191"/>
      <c r="U3645" s="439"/>
      <c r="V3645" s="441"/>
      <c r="W3645" s="178"/>
      <c r="X3645" s="172"/>
      <c r="Y3645" s="172"/>
      <c r="Z3645" s="172"/>
      <c r="AA3645" s="195"/>
      <c r="AB3645" s="172"/>
    </row>
    <row r="3646" spans="1:28" ht="12.6" customHeight="1" x14ac:dyDescent="0.3">
      <c r="A3646" s="667"/>
      <c r="B3646" s="668" t="s">
        <v>11302</v>
      </c>
      <c r="C3646" s="160" t="s">
        <v>11303</v>
      </c>
      <c r="D3646" s="160"/>
      <c r="E3646" s="439"/>
      <c r="F3646" s="161">
        <v>510.067602104</v>
      </c>
      <c r="G3646" s="161">
        <v>-55.872</v>
      </c>
      <c r="H3646" s="654">
        <v>1.8616684113999999</v>
      </c>
      <c r="I3646" s="654">
        <v>6.5860948918872703E-2</v>
      </c>
      <c r="J3646" s="191"/>
      <c r="K3646" s="191">
        <v>25638936.102242898</v>
      </c>
      <c r="L3646" s="191"/>
      <c r="M3646" s="191"/>
      <c r="N3646" s="191"/>
      <c r="O3646" s="191"/>
      <c r="P3646" s="191"/>
      <c r="Q3646" s="191"/>
      <c r="R3646" s="191"/>
      <c r="S3646" s="191"/>
      <c r="T3646" s="191"/>
      <c r="U3646" s="439"/>
      <c r="V3646" s="441"/>
      <c r="W3646" s="178"/>
      <c r="X3646" s="172"/>
      <c r="Y3646" s="172"/>
      <c r="Z3646" s="172"/>
      <c r="AA3646" s="195"/>
      <c r="AB3646" s="172"/>
    </row>
    <row r="3647" spans="1:28" ht="12.6" customHeight="1" x14ac:dyDescent="0.3">
      <c r="A3647" s="667"/>
      <c r="B3647" s="668" t="s">
        <v>11304</v>
      </c>
      <c r="C3647" s="160" t="s">
        <v>11305</v>
      </c>
      <c r="D3647" s="160"/>
      <c r="E3647" s="439"/>
      <c r="F3647" s="161">
        <v>460.07079577799999</v>
      </c>
      <c r="G3647" s="161">
        <v>-59.088999999999999</v>
      </c>
      <c r="H3647" s="654">
        <v>3.2501370482</v>
      </c>
      <c r="I3647" s="654">
        <v>0.18570527636181</v>
      </c>
      <c r="J3647" s="191"/>
      <c r="K3647" s="191">
        <v>1318226.38492271</v>
      </c>
      <c r="L3647" s="191"/>
      <c r="M3647" s="191"/>
      <c r="N3647" s="191"/>
      <c r="O3647" s="191"/>
      <c r="P3647" s="191"/>
      <c r="Q3647" s="191"/>
      <c r="R3647" s="191"/>
      <c r="S3647" s="191"/>
      <c r="T3647" s="191"/>
      <c r="U3647" s="439"/>
      <c r="V3647" s="441"/>
      <c r="W3647" s="178"/>
      <c r="X3647" s="172"/>
      <c r="Y3647" s="172"/>
      <c r="Z3647" s="172"/>
      <c r="AA3647" s="195"/>
      <c r="AB3647" s="172"/>
    </row>
    <row r="3648" spans="1:28" ht="12.6" customHeight="1" x14ac:dyDescent="0.3">
      <c r="A3648" s="667"/>
      <c r="B3648" s="668" t="s">
        <v>11306</v>
      </c>
      <c r="C3648" s="160" t="s">
        <v>11307</v>
      </c>
      <c r="D3648" s="160"/>
      <c r="E3648" s="439"/>
      <c r="F3648" s="161">
        <v>410.07398945199998</v>
      </c>
      <c r="G3648" s="161">
        <v>-57.305</v>
      </c>
      <c r="H3648" s="654">
        <v>3.9075211658</v>
      </c>
      <c r="I3648" s="654">
        <v>0.37919459789828502</v>
      </c>
      <c r="J3648" s="191"/>
      <c r="K3648" s="191">
        <v>718455.70879259601</v>
      </c>
      <c r="L3648" s="191"/>
      <c r="M3648" s="191"/>
      <c r="N3648" s="191"/>
      <c r="O3648" s="191"/>
      <c r="P3648" s="191"/>
      <c r="Q3648" s="191"/>
      <c r="R3648" s="191"/>
      <c r="S3648" s="191"/>
      <c r="T3648" s="191"/>
      <c r="U3648" s="439"/>
      <c r="V3648" s="441"/>
      <c r="W3648" s="178"/>
      <c r="X3648" s="172"/>
      <c r="Y3648" s="172"/>
      <c r="Z3648" s="172"/>
      <c r="AA3648" s="195"/>
      <c r="AB3648" s="172"/>
    </row>
    <row r="3649" spans="1:28" ht="12.6" customHeight="1" x14ac:dyDescent="0.3">
      <c r="A3649" s="667"/>
      <c r="B3649" s="668" t="s">
        <v>11308</v>
      </c>
      <c r="C3649" s="160" t="s">
        <v>11309</v>
      </c>
      <c r="D3649" s="160"/>
      <c r="E3649" s="439"/>
      <c r="F3649" s="161">
        <v>360.07718312600002</v>
      </c>
      <c r="G3649" s="161">
        <v>-24.925999999999998</v>
      </c>
      <c r="H3649" s="654">
        <v>8.2395129152000006</v>
      </c>
      <c r="I3649" s="654">
        <v>1.0602184595398501</v>
      </c>
      <c r="J3649" s="191"/>
      <c r="K3649" s="191">
        <v>418947.88279375201</v>
      </c>
      <c r="L3649" s="191"/>
      <c r="M3649" s="191"/>
      <c r="N3649" s="191"/>
      <c r="O3649" s="191"/>
      <c r="P3649" s="191"/>
      <c r="Q3649" s="191"/>
      <c r="R3649" s="191"/>
      <c r="S3649" s="191"/>
      <c r="T3649" s="191"/>
      <c r="U3649" s="439"/>
      <c r="V3649" s="441"/>
      <c r="W3649" s="178"/>
      <c r="X3649" s="172"/>
      <c r="Y3649" s="172"/>
      <c r="Z3649" s="172"/>
      <c r="AA3649" s="195"/>
      <c r="AB3649" s="172"/>
    </row>
    <row r="3650" spans="1:28" ht="12.6" customHeight="1" x14ac:dyDescent="0.3">
      <c r="A3650" s="667"/>
      <c r="B3650" s="668" t="s">
        <v>11310</v>
      </c>
      <c r="C3650" s="160" t="s">
        <v>11311</v>
      </c>
      <c r="D3650" s="160"/>
      <c r="E3650" s="439"/>
      <c r="F3650" s="161">
        <v>320.00949748800002</v>
      </c>
      <c r="G3650" s="161">
        <v>-31.274000000000001</v>
      </c>
      <c r="H3650" s="654">
        <v>111.40426316600001</v>
      </c>
      <c r="I3650" s="654">
        <v>37.7713610075036</v>
      </c>
      <c r="J3650" s="191"/>
      <c r="K3650" s="191">
        <v>742.98492138875599</v>
      </c>
      <c r="L3650" s="191"/>
      <c r="M3650" s="191"/>
      <c r="N3650" s="191"/>
      <c r="O3650" s="191"/>
      <c r="P3650" s="191"/>
      <c r="Q3650" s="191"/>
      <c r="R3650" s="191"/>
      <c r="S3650" s="191"/>
      <c r="T3650" s="191"/>
      <c r="U3650" s="439"/>
      <c r="V3650" s="441"/>
      <c r="W3650" s="178"/>
      <c r="X3650" s="172"/>
      <c r="Y3650" s="172"/>
      <c r="Z3650" s="172"/>
      <c r="AA3650" s="195"/>
      <c r="AB3650" s="172"/>
    </row>
    <row r="3651" spans="1:28" ht="12.6" customHeight="1" x14ac:dyDescent="0.3">
      <c r="A3651" s="667"/>
      <c r="B3651" s="668" t="s">
        <v>11312</v>
      </c>
      <c r="C3651" s="160" t="s">
        <v>11313</v>
      </c>
      <c r="D3651" s="160"/>
      <c r="E3651" s="439"/>
      <c r="F3651" s="161">
        <v>270.01269116200001</v>
      </c>
      <c r="G3651" s="161">
        <v>-33.075000000000003</v>
      </c>
      <c r="H3651" s="654">
        <v>97.029085159999994</v>
      </c>
      <c r="I3651" s="654">
        <v>34.071011408894599</v>
      </c>
      <c r="J3651" s="191"/>
      <c r="K3651" s="191">
        <v>140.72783292640199</v>
      </c>
      <c r="L3651" s="191"/>
      <c r="M3651" s="191"/>
      <c r="N3651" s="191"/>
      <c r="O3651" s="191"/>
      <c r="P3651" s="191"/>
      <c r="Q3651" s="191"/>
      <c r="R3651" s="191"/>
      <c r="S3651" s="191"/>
      <c r="T3651" s="191"/>
      <c r="U3651" s="439"/>
      <c r="V3651" s="441"/>
      <c r="W3651" s="178"/>
      <c r="X3651" s="172"/>
      <c r="Y3651" s="172"/>
      <c r="Z3651" s="172"/>
      <c r="AA3651" s="195"/>
      <c r="AB3651" s="172"/>
    </row>
    <row r="3652" spans="1:28" ht="12.6" customHeight="1" x14ac:dyDescent="0.3">
      <c r="A3652" s="667"/>
      <c r="B3652" s="668" t="s">
        <v>11314</v>
      </c>
      <c r="C3652" s="160" t="s">
        <v>11315</v>
      </c>
      <c r="D3652" s="160"/>
      <c r="E3652" s="439"/>
      <c r="F3652" s="161">
        <v>384.02195387799998</v>
      </c>
      <c r="G3652" s="161"/>
      <c r="H3652" s="654"/>
      <c r="I3652" s="654"/>
      <c r="J3652" s="191"/>
      <c r="K3652" s="191">
        <v>4181.09465912829</v>
      </c>
      <c r="L3652" s="191"/>
      <c r="M3652" s="191"/>
      <c r="N3652" s="191"/>
      <c r="O3652" s="191"/>
      <c r="P3652" s="191"/>
      <c r="Q3652" s="191"/>
      <c r="R3652" s="191"/>
      <c r="S3652" s="191"/>
      <c r="T3652" s="191"/>
      <c r="U3652" s="439"/>
      <c r="V3652" s="441"/>
      <c r="W3652" s="178"/>
      <c r="X3652" s="172"/>
      <c r="Y3652" s="172"/>
      <c r="Z3652" s="172"/>
      <c r="AA3652" s="195"/>
      <c r="AB3652" s="172"/>
    </row>
    <row r="3653" spans="1:28" ht="12.6" customHeight="1" x14ac:dyDescent="0.3">
      <c r="A3653" s="667"/>
      <c r="B3653" s="668" t="s">
        <v>11316</v>
      </c>
      <c r="C3653" s="160" t="s">
        <v>11317</v>
      </c>
      <c r="D3653" s="160"/>
      <c r="E3653" s="439">
        <v>7.75</v>
      </c>
      <c r="F3653" s="161">
        <v>392.060703983</v>
      </c>
      <c r="G3653" s="161"/>
      <c r="H3653" s="654"/>
      <c r="I3653" s="654"/>
      <c r="J3653" s="191"/>
      <c r="K3653" s="191">
        <v>43887.414864182298</v>
      </c>
      <c r="L3653" s="191"/>
      <c r="M3653" s="191"/>
      <c r="N3653" s="191"/>
      <c r="O3653" s="191"/>
      <c r="P3653" s="191"/>
      <c r="Q3653" s="191"/>
      <c r="R3653" s="191"/>
      <c r="S3653" s="191"/>
      <c r="T3653" s="191"/>
      <c r="U3653" s="439"/>
      <c r="V3653" s="441"/>
      <c r="W3653" s="178"/>
      <c r="X3653" s="172"/>
      <c r="Y3653" s="172"/>
      <c r="Z3653" s="172"/>
      <c r="AA3653" s="195"/>
      <c r="AB3653" s="172"/>
    </row>
    <row r="3654" spans="1:28" ht="12.6" customHeight="1" x14ac:dyDescent="0.3">
      <c r="A3654" s="667"/>
      <c r="B3654" s="668" t="s">
        <v>11318</v>
      </c>
      <c r="C3654" s="160" t="s">
        <v>11319</v>
      </c>
      <c r="D3654" s="160"/>
      <c r="E3654" s="439"/>
      <c r="F3654" s="161">
        <v>349.99763083599998</v>
      </c>
      <c r="G3654" s="161"/>
      <c r="H3654" s="654"/>
      <c r="I3654" s="654"/>
      <c r="J3654" s="191"/>
      <c r="K3654" s="191">
        <v>2456.23547772848</v>
      </c>
      <c r="L3654" s="191"/>
      <c r="M3654" s="191"/>
      <c r="N3654" s="191"/>
      <c r="O3654" s="191"/>
      <c r="P3654" s="191"/>
      <c r="Q3654" s="191"/>
      <c r="R3654" s="191"/>
      <c r="S3654" s="191"/>
      <c r="T3654" s="191"/>
      <c r="U3654" s="439"/>
      <c r="V3654" s="441"/>
      <c r="W3654" s="178"/>
      <c r="X3654" s="172"/>
      <c r="Y3654" s="172"/>
      <c r="Z3654" s="172"/>
      <c r="AA3654" s="195"/>
      <c r="AB3654" s="172"/>
    </row>
    <row r="3655" spans="1:28" ht="12.6" customHeight="1" x14ac:dyDescent="0.3">
      <c r="A3655" s="667"/>
      <c r="B3655" s="668" t="s">
        <v>11320</v>
      </c>
      <c r="C3655" s="160" t="s">
        <v>11321</v>
      </c>
      <c r="D3655" s="160"/>
      <c r="E3655" s="439"/>
      <c r="F3655" s="161">
        <v>200.00721185800001</v>
      </c>
      <c r="G3655" s="161">
        <v>-81.834999999999994</v>
      </c>
      <c r="H3655" s="654">
        <v>68533.374167999995</v>
      </c>
      <c r="I3655" s="654">
        <v>119.13669582975901</v>
      </c>
      <c r="J3655" s="191"/>
      <c r="K3655" s="191">
        <v>62.280200208603397</v>
      </c>
      <c r="L3655" s="191"/>
      <c r="M3655" s="191"/>
      <c r="N3655" s="191"/>
      <c r="O3655" s="191"/>
      <c r="P3655" s="191"/>
      <c r="Q3655" s="191"/>
      <c r="R3655" s="191"/>
      <c r="S3655" s="191"/>
      <c r="T3655" s="191"/>
      <c r="U3655" s="439"/>
      <c r="V3655" s="441"/>
      <c r="W3655" s="178"/>
      <c r="X3655" s="172"/>
      <c r="Y3655" s="172"/>
      <c r="Z3655" s="172"/>
      <c r="AA3655" s="195"/>
      <c r="AB3655" s="172"/>
    </row>
    <row r="3656" spans="1:28" ht="12.6" customHeight="1" x14ac:dyDescent="0.3">
      <c r="A3656" s="667"/>
      <c r="B3656" s="668" t="s">
        <v>11322</v>
      </c>
      <c r="C3656" s="160" t="s">
        <v>11323</v>
      </c>
      <c r="D3656" s="160"/>
      <c r="E3656" s="439"/>
      <c r="F3656" s="161">
        <v>232.01344005300001</v>
      </c>
      <c r="G3656" s="161">
        <v>-100.98</v>
      </c>
      <c r="H3656" s="654">
        <v>39436.780921999998</v>
      </c>
      <c r="I3656" s="654">
        <v>69.584542886935495</v>
      </c>
      <c r="J3656" s="191"/>
      <c r="K3656" s="191">
        <v>512.76692013387003</v>
      </c>
      <c r="L3656" s="191"/>
      <c r="M3656" s="191"/>
      <c r="N3656" s="191"/>
      <c r="O3656" s="191"/>
      <c r="P3656" s="191"/>
      <c r="Q3656" s="191"/>
      <c r="R3656" s="191"/>
      <c r="S3656" s="191"/>
      <c r="T3656" s="191"/>
      <c r="U3656" s="439"/>
      <c r="V3656" s="441"/>
      <c r="W3656" s="178"/>
      <c r="X3656" s="172"/>
      <c r="Y3656" s="172"/>
      <c r="Z3656" s="172"/>
      <c r="AA3656" s="195"/>
      <c r="AB3656" s="172"/>
    </row>
    <row r="3657" spans="1:28" ht="12.6" customHeight="1" x14ac:dyDescent="0.3">
      <c r="A3657" s="667"/>
      <c r="B3657" s="668" t="s">
        <v>11324</v>
      </c>
      <c r="C3657" s="160" t="s">
        <v>11325</v>
      </c>
      <c r="D3657" s="160"/>
      <c r="E3657" s="439"/>
      <c r="F3657" s="161">
        <v>349.99763083599998</v>
      </c>
      <c r="G3657" s="161"/>
      <c r="H3657" s="654"/>
      <c r="I3657" s="654"/>
      <c r="J3657" s="191"/>
      <c r="K3657" s="191">
        <v>2026.2358732421201</v>
      </c>
      <c r="L3657" s="191"/>
      <c r="M3657" s="191"/>
      <c r="N3657" s="191"/>
      <c r="O3657" s="191"/>
      <c r="P3657" s="191"/>
      <c r="Q3657" s="191"/>
      <c r="R3657" s="191"/>
      <c r="S3657" s="191"/>
      <c r="T3657" s="191"/>
      <c r="U3657" s="439"/>
      <c r="V3657" s="441"/>
      <c r="W3657" s="178"/>
      <c r="X3657" s="172"/>
      <c r="Y3657" s="172"/>
      <c r="Z3657" s="172"/>
      <c r="AA3657" s="195"/>
      <c r="AB3657" s="172"/>
    </row>
    <row r="3658" spans="1:28" ht="12.6" customHeight="1" x14ac:dyDescent="0.3">
      <c r="A3658" s="667"/>
      <c r="B3658" s="668" t="s">
        <v>11326</v>
      </c>
      <c r="C3658" s="160" t="s">
        <v>11327</v>
      </c>
      <c r="D3658" s="160"/>
      <c r="E3658" s="439"/>
      <c r="F3658" s="161">
        <v>300.00082450999997</v>
      </c>
      <c r="G3658" s="161"/>
      <c r="H3658" s="654"/>
      <c r="I3658" s="654"/>
      <c r="J3658" s="191"/>
      <c r="K3658" s="191">
        <v>3086.52642862737</v>
      </c>
      <c r="L3658" s="191"/>
      <c r="M3658" s="191"/>
      <c r="N3658" s="191"/>
      <c r="O3658" s="191"/>
      <c r="P3658" s="191"/>
      <c r="Q3658" s="191"/>
      <c r="R3658" s="191"/>
      <c r="S3658" s="191"/>
      <c r="T3658" s="191"/>
      <c r="U3658" s="439"/>
      <c r="V3658" s="441"/>
      <c r="W3658" s="178"/>
      <c r="X3658" s="172"/>
      <c r="Y3658" s="172"/>
      <c r="Z3658" s="172"/>
      <c r="AA3658" s="195"/>
      <c r="AB3658" s="172"/>
    </row>
    <row r="3659" spans="1:28" ht="12.6" customHeight="1" x14ac:dyDescent="0.3">
      <c r="A3659" s="667"/>
      <c r="B3659" s="668" t="s">
        <v>11328</v>
      </c>
      <c r="C3659" s="160" t="s">
        <v>11329</v>
      </c>
      <c r="D3659" s="160"/>
      <c r="E3659" s="439"/>
      <c r="F3659" s="161">
        <v>250.00401818399999</v>
      </c>
      <c r="G3659" s="161">
        <v>-86.665999999999997</v>
      </c>
      <c r="H3659" s="654">
        <v>50107.340514000003</v>
      </c>
      <c r="I3659" s="654">
        <v>67.600086500880806</v>
      </c>
      <c r="J3659" s="191"/>
      <c r="K3659" s="191">
        <v>818.52132763218106</v>
      </c>
      <c r="L3659" s="191"/>
      <c r="M3659" s="191"/>
      <c r="N3659" s="191"/>
      <c r="O3659" s="191"/>
      <c r="P3659" s="191"/>
      <c r="Q3659" s="191"/>
      <c r="R3659" s="191"/>
      <c r="S3659" s="191"/>
      <c r="T3659" s="191"/>
      <c r="U3659" s="439"/>
      <c r="V3659" s="441"/>
      <c r="W3659" s="178"/>
      <c r="X3659" s="172"/>
      <c r="Y3659" s="172"/>
      <c r="Z3659" s="172"/>
      <c r="AA3659" s="195"/>
      <c r="AB3659" s="172"/>
    </row>
    <row r="3660" spans="1:28" ht="12.6" customHeight="1" x14ac:dyDescent="0.3">
      <c r="A3660" s="667"/>
      <c r="B3660" s="668" t="s">
        <v>11330</v>
      </c>
      <c r="C3660" s="160" t="s">
        <v>11331</v>
      </c>
      <c r="D3660" s="160"/>
      <c r="E3660" s="439"/>
      <c r="F3660" s="161">
        <v>200.00721185800001</v>
      </c>
      <c r="G3660" s="161">
        <v>-92.591999999999999</v>
      </c>
      <c r="H3660" s="654">
        <v>51392.697915999997</v>
      </c>
      <c r="I3660" s="654">
        <v>108.90452687831601</v>
      </c>
      <c r="J3660" s="191"/>
      <c r="K3660" s="191">
        <v>62.066892195647497</v>
      </c>
      <c r="L3660" s="191"/>
      <c r="M3660" s="191"/>
      <c r="N3660" s="191"/>
      <c r="O3660" s="191"/>
      <c r="P3660" s="191"/>
      <c r="Q3660" s="191"/>
      <c r="R3660" s="191"/>
      <c r="S3660" s="191"/>
      <c r="T3660" s="191"/>
      <c r="U3660" s="439"/>
      <c r="V3660" s="441"/>
      <c r="W3660" s="178"/>
      <c r="X3660" s="172"/>
      <c r="Y3660" s="172"/>
      <c r="Z3660" s="172"/>
      <c r="AA3660" s="195"/>
      <c r="AB3660" s="172"/>
    </row>
    <row r="3661" spans="1:28" ht="12.6" customHeight="1" x14ac:dyDescent="0.3">
      <c r="A3661" s="667"/>
      <c r="B3661" s="668" t="s">
        <v>11332</v>
      </c>
      <c r="C3661" s="160" t="s">
        <v>11333</v>
      </c>
      <c r="D3661" s="160"/>
      <c r="E3661" s="439"/>
      <c r="F3661" s="161">
        <v>290.05416205099999</v>
      </c>
      <c r="G3661" s="161">
        <v>-11.384</v>
      </c>
      <c r="H3661" s="654">
        <v>16.553926130000001</v>
      </c>
      <c r="I3661" s="654">
        <v>5.3146914166766699</v>
      </c>
      <c r="J3661" s="191"/>
      <c r="K3661" s="191">
        <v>391904.27418061101</v>
      </c>
      <c r="L3661" s="191"/>
      <c r="M3661" s="191"/>
      <c r="N3661" s="191"/>
      <c r="O3661" s="191"/>
      <c r="P3661" s="191"/>
      <c r="Q3661" s="191"/>
      <c r="R3661" s="191"/>
      <c r="S3661" s="191"/>
      <c r="T3661" s="191"/>
      <c r="U3661" s="439"/>
      <c r="V3661" s="441"/>
      <c r="W3661" s="178"/>
      <c r="X3661" s="172"/>
      <c r="Y3661" s="172"/>
      <c r="Z3661" s="172"/>
      <c r="AA3661" s="195"/>
      <c r="AB3661" s="172"/>
    </row>
    <row r="3662" spans="1:28" ht="12.6" customHeight="1" x14ac:dyDescent="0.3">
      <c r="A3662" s="667"/>
      <c r="B3662" s="668" t="s">
        <v>11334</v>
      </c>
      <c r="C3662" s="160" t="s">
        <v>11335</v>
      </c>
      <c r="D3662" s="160"/>
      <c r="E3662" s="439"/>
      <c r="F3662" s="161">
        <v>315.049411023</v>
      </c>
      <c r="G3662" s="161">
        <v>3.2210000000000001</v>
      </c>
      <c r="H3662" s="654">
        <v>1.6289281959999999E-4</v>
      </c>
      <c r="I3662" s="654">
        <v>0.53998208851698104</v>
      </c>
      <c r="J3662" s="191"/>
      <c r="K3662" s="191">
        <v>18977.543693085699</v>
      </c>
      <c r="L3662" s="191"/>
      <c r="M3662" s="191"/>
      <c r="N3662" s="191"/>
      <c r="O3662" s="191"/>
      <c r="P3662" s="191"/>
      <c r="Q3662" s="191"/>
      <c r="R3662" s="191"/>
      <c r="S3662" s="191"/>
      <c r="T3662" s="191"/>
      <c r="U3662" s="439"/>
      <c r="V3662" s="441"/>
      <c r="W3662" s="178"/>
      <c r="X3662" s="172"/>
      <c r="Y3662" s="172"/>
      <c r="Z3662" s="172"/>
      <c r="AA3662" s="195"/>
      <c r="AB3662" s="172"/>
    </row>
    <row r="3663" spans="1:28" ht="12.6" customHeight="1" x14ac:dyDescent="0.3">
      <c r="A3663" s="667"/>
      <c r="B3663" s="668" t="s">
        <v>11336</v>
      </c>
      <c r="C3663" s="160" t="s">
        <v>11337</v>
      </c>
      <c r="D3663" s="160"/>
      <c r="E3663" s="439">
        <v>3.34</v>
      </c>
      <c r="F3663" s="161">
        <v>464.03062685700002</v>
      </c>
      <c r="G3663" s="161"/>
      <c r="H3663" s="654"/>
      <c r="I3663" s="654"/>
      <c r="J3663" s="191"/>
      <c r="K3663" s="191">
        <v>7992.4513241608302</v>
      </c>
      <c r="L3663" s="191"/>
      <c r="M3663" s="191"/>
      <c r="N3663" s="191"/>
      <c r="O3663" s="191"/>
      <c r="P3663" s="191"/>
      <c r="Q3663" s="191"/>
      <c r="R3663" s="191"/>
      <c r="S3663" s="191"/>
      <c r="T3663" s="191"/>
      <c r="U3663" s="439"/>
      <c r="V3663" s="441"/>
      <c r="W3663" s="178"/>
      <c r="X3663" s="172"/>
      <c r="Y3663" s="172"/>
      <c r="Z3663" s="172"/>
      <c r="AA3663" s="195"/>
      <c r="AB3663" s="172"/>
    </row>
    <row r="3664" spans="1:28" ht="12.6" customHeight="1" x14ac:dyDescent="0.3">
      <c r="A3664" s="667"/>
      <c r="B3664" s="668" t="s">
        <v>11338</v>
      </c>
      <c r="C3664" s="160" t="s">
        <v>11339</v>
      </c>
      <c r="D3664" s="160"/>
      <c r="E3664" s="439">
        <v>3.72</v>
      </c>
      <c r="F3664" s="161">
        <v>414.033820531</v>
      </c>
      <c r="G3664" s="161"/>
      <c r="H3664" s="654"/>
      <c r="I3664" s="654"/>
      <c r="J3664" s="191"/>
      <c r="K3664" s="191">
        <v>1267.7102447278401</v>
      </c>
      <c r="L3664" s="191"/>
      <c r="M3664" s="191"/>
      <c r="N3664" s="191"/>
      <c r="O3664" s="191"/>
      <c r="P3664" s="191"/>
      <c r="Q3664" s="191"/>
      <c r="R3664" s="191"/>
      <c r="S3664" s="191"/>
      <c r="T3664" s="191"/>
      <c r="U3664" s="439"/>
      <c r="V3664" s="441"/>
      <c r="W3664" s="178"/>
      <c r="X3664" s="172"/>
      <c r="Y3664" s="172"/>
      <c r="Z3664" s="172"/>
      <c r="AA3664" s="195"/>
      <c r="AB3664" s="172"/>
    </row>
    <row r="3665" spans="1:28" ht="12.6" customHeight="1" x14ac:dyDescent="0.3">
      <c r="A3665" s="667"/>
      <c r="B3665" s="668" t="s">
        <v>11340</v>
      </c>
      <c r="C3665" s="160" t="s">
        <v>11341</v>
      </c>
      <c r="D3665" s="160"/>
      <c r="E3665" s="439">
        <v>4.2</v>
      </c>
      <c r="F3665" s="161">
        <v>482.04119154099999</v>
      </c>
      <c r="G3665" s="161"/>
      <c r="H3665" s="654"/>
      <c r="I3665" s="654"/>
      <c r="J3665" s="191"/>
      <c r="K3665" s="191">
        <v>16921.934122549101</v>
      </c>
      <c r="L3665" s="191"/>
      <c r="M3665" s="191"/>
      <c r="N3665" s="191"/>
      <c r="O3665" s="191"/>
      <c r="P3665" s="191"/>
      <c r="Q3665" s="191"/>
      <c r="R3665" s="191"/>
      <c r="S3665" s="191"/>
      <c r="T3665" s="191"/>
      <c r="U3665" s="439"/>
      <c r="V3665" s="441"/>
      <c r="W3665" s="178"/>
      <c r="X3665" s="172"/>
      <c r="Y3665" s="172"/>
      <c r="Z3665" s="172"/>
      <c r="AA3665" s="195"/>
      <c r="AB3665" s="172"/>
    </row>
    <row r="3666" spans="1:28" ht="12.6" customHeight="1" x14ac:dyDescent="0.3">
      <c r="A3666" s="667"/>
      <c r="B3666" s="668" t="s">
        <v>11342</v>
      </c>
      <c r="C3666" s="160" t="s">
        <v>11343</v>
      </c>
      <c r="D3666" s="160"/>
      <c r="E3666" s="439">
        <v>3.9</v>
      </c>
      <c r="F3666" s="161">
        <v>432.04438521499998</v>
      </c>
      <c r="G3666" s="161"/>
      <c r="H3666" s="654"/>
      <c r="I3666" s="654"/>
      <c r="J3666" s="191"/>
      <c r="K3666" s="191">
        <v>591.18036321579302</v>
      </c>
      <c r="L3666" s="191"/>
      <c r="M3666" s="191"/>
      <c r="N3666" s="191"/>
      <c r="O3666" s="191"/>
      <c r="P3666" s="191"/>
      <c r="Q3666" s="191"/>
      <c r="R3666" s="191"/>
      <c r="S3666" s="191"/>
      <c r="T3666" s="191"/>
      <c r="U3666" s="439"/>
      <c r="V3666" s="441"/>
      <c r="W3666" s="178"/>
      <c r="X3666" s="172"/>
      <c r="Y3666" s="172"/>
      <c r="Z3666" s="172"/>
      <c r="AA3666" s="195"/>
      <c r="AB3666" s="172"/>
    </row>
    <row r="3667" spans="1:28" ht="12.6" customHeight="1" x14ac:dyDescent="0.3">
      <c r="A3667" s="667"/>
      <c r="B3667" s="668" t="s">
        <v>11344</v>
      </c>
      <c r="C3667" s="160" t="s">
        <v>11345</v>
      </c>
      <c r="D3667" s="160"/>
      <c r="E3667" s="439">
        <v>1</v>
      </c>
      <c r="F3667" s="161">
        <v>291.049411023</v>
      </c>
      <c r="G3667" s="161"/>
      <c r="H3667" s="654"/>
      <c r="I3667" s="654"/>
      <c r="J3667" s="191"/>
      <c r="K3667" s="191">
        <v>6982.8063792884204</v>
      </c>
      <c r="L3667" s="191"/>
      <c r="M3667" s="191"/>
      <c r="N3667" s="191"/>
      <c r="O3667" s="191"/>
      <c r="P3667" s="191"/>
      <c r="Q3667" s="191"/>
      <c r="R3667" s="191"/>
      <c r="S3667" s="191"/>
      <c r="T3667" s="191"/>
      <c r="U3667" s="439"/>
      <c r="V3667" s="441"/>
      <c r="W3667" s="178"/>
      <c r="X3667" s="172"/>
      <c r="Y3667" s="172"/>
      <c r="Z3667" s="172"/>
      <c r="AA3667" s="195"/>
      <c r="AB3667" s="172"/>
    </row>
    <row r="3668" spans="1:28" ht="12.6" customHeight="1" x14ac:dyDescent="0.3">
      <c r="A3668" s="667"/>
      <c r="B3668" s="668" t="s">
        <v>11346</v>
      </c>
      <c r="C3668" s="160" t="s">
        <v>11347</v>
      </c>
      <c r="D3668" s="160"/>
      <c r="E3668" s="439"/>
      <c r="F3668" s="161">
        <v>336.059641355</v>
      </c>
      <c r="G3668" s="161"/>
      <c r="H3668" s="654"/>
      <c r="I3668" s="654"/>
      <c r="J3668" s="191"/>
      <c r="K3668" s="191">
        <v>5959.5024135937401</v>
      </c>
      <c r="L3668" s="191"/>
      <c r="M3668" s="191"/>
      <c r="N3668" s="191"/>
      <c r="O3668" s="191"/>
      <c r="P3668" s="191"/>
      <c r="Q3668" s="191"/>
      <c r="R3668" s="191"/>
      <c r="S3668" s="191"/>
      <c r="T3668" s="191"/>
      <c r="U3668" s="439"/>
      <c r="V3668" s="441"/>
      <c r="W3668" s="178"/>
      <c r="X3668" s="172"/>
      <c r="Y3668" s="172"/>
      <c r="Z3668" s="172"/>
      <c r="AA3668" s="195"/>
      <c r="AB3668" s="172"/>
    </row>
    <row r="3669" spans="1:28" ht="12.6" customHeight="1" x14ac:dyDescent="0.3">
      <c r="A3669" s="667"/>
      <c r="B3669" s="668" t="s">
        <v>11348</v>
      </c>
      <c r="C3669" s="160" t="s">
        <v>11349</v>
      </c>
      <c r="D3669" s="160"/>
      <c r="E3669" s="439"/>
      <c r="F3669" s="161">
        <v>403.945831</v>
      </c>
      <c r="G3669" s="161"/>
      <c r="H3669" s="654"/>
      <c r="I3669" s="654"/>
      <c r="J3669" s="191"/>
      <c r="K3669" s="191">
        <v>11527629.2417146</v>
      </c>
      <c r="L3669" s="191"/>
      <c r="M3669" s="191"/>
      <c r="N3669" s="191"/>
      <c r="O3669" s="191"/>
      <c r="P3669" s="191"/>
      <c r="Q3669" s="191"/>
      <c r="R3669" s="191"/>
      <c r="S3669" s="191"/>
      <c r="T3669" s="191"/>
      <c r="U3669" s="439"/>
      <c r="V3669" s="441"/>
      <c r="W3669" s="178"/>
      <c r="X3669" s="172"/>
      <c r="Y3669" s="172"/>
      <c r="Z3669" s="172"/>
      <c r="AA3669" s="195"/>
      <c r="AB3669" s="172"/>
    </row>
    <row r="3670" spans="1:28" ht="12.6" customHeight="1" x14ac:dyDescent="0.3">
      <c r="A3670" s="667"/>
      <c r="B3670" s="668" t="s">
        <v>11350</v>
      </c>
      <c r="C3670" s="160" t="s">
        <v>11351</v>
      </c>
      <c r="D3670" s="160"/>
      <c r="E3670" s="439">
        <v>11</v>
      </c>
      <c r="F3670" s="161">
        <v>346.043991291</v>
      </c>
      <c r="G3670" s="161"/>
      <c r="H3670" s="654"/>
      <c r="I3670" s="654"/>
      <c r="J3670" s="191"/>
      <c r="K3670" s="191">
        <v>42970.459718644801</v>
      </c>
      <c r="L3670" s="191"/>
      <c r="M3670" s="191"/>
      <c r="N3670" s="191"/>
      <c r="O3670" s="191"/>
      <c r="P3670" s="191"/>
      <c r="Q3670" s="191"/>
      <c r="R3670" s="191"/>
      <c r="S3670" s="191"/>
      <c r="T3670" s="191"/>
      <c r="U3670" s="439"/>
      <c r="V3670" s="441"/>
      <c r="W3670" s="178"/>
      <c r="X3670" s="172"/>
      <c r="Y3670" s="172"/>
      <c r="Z3670" s="172"/>
      <c r="AA3670" s="195"/>
      <c r="AB3670" s="172"/>
    </row>
    <row r="3671" spans="1:28" ht="12.6" customHeight="1" x14ac:dyDescent="0.3">
      <c r="A3671" s="667"/>
      <c r="B3671" s="668" t="s">
        <v>11352</v>
      </c>
      <c r="C3671" s="160" t="s">
        <v>11353</v>
      </c>
      <c r="D3671" s="160"/>
      <c r="E3671" s="439"/>
      <c r="F3671" s="161">
        <v>326.03531831200002</v>
      </c>
      <c r="G3671" s="161"/>
      <c r="H3671" s="654"/>
      <c r="I3671" s="654"/>
      <c r="J3671" s="191"/>
      <c r="K3671" s="191">
        <v>2106007.9195606401</v>
      </c>
      <c r="L3671" s="191"/>
      <c r="M3671" s="191"/>
      <c r="N3671" s="191"/>
      <c r="O3671" s="191"/>
      <c r="P3671" s="191"/>
      <c r="Q3671" s="191"/>
      <c r="R3671" s="191"/>
      <c r="S3671" s="191"/>
      <c r="T3671" s="191"/>
      <c r="U3671" s="439"/>
      <c r="V3671" s="441"/>
      <c r="W3671" s="178"/>
      <c r="X3671" s="172"/>
      <c r="Y3671" s="172"/>
      <c r="Z3671" s="172"/>
      <c r="AA3671" s="195"/>
      <c r="AB3671" s="172"/>
    </row>
    <row r="3672" spans="1:28" ht="12.6" customHeight="1" x14ac:dyDescent="0.3">
      <c r="A3672" s="667"/>
      <c r="B3672" s="668" t="s">
        <v>11354</v>
      </c>
      <c r="C3672" s="160" t="s">
        <v>11355</v>
      </c>
      <c r="D3672" s="160"/>
      <c r="E3672" s="439"/>
      <c r="F3672" s="161">
        <v>276.038511986</v>
      </c>
      <c r="G3672" s="161"/>
      <c r="H3672" s="654"/>
      <c r="I3672" s="654"/>
      <c r="J3672" s="191"/>
      <c r="K3672" s="191">
        <v>284033.78421757702</v>
      </c>
      <c r="L3672" s="191"/>
      <c r="M3672" s="191"/>
      <c r="N3672" s="191"/>
      <c r="O3672" s="191"/>
      <c r="P3672" s="191"/>
      <c r="Q3672" s="191"/>
      <c r="R3672" s="191"/>
      <c r="S3672" s="191"/>
      <c r="T3672" s="191"/>
      <c r="U3672" s="439"/>
      <c r="V3672" s="441"/>
      <c r="W3672" s="178"/>
      <c r="X3672" s="172"/>
      <c r="Y3672" s="172"/>
      <c r="Z3672" s="172"/>
      <c r="AA3672" s="195"/>
      <c r="AB3672" s="172"/>
    </row>
    <row r="3673" spans="1:28" ht="12.6" customHeight="1" x14ac:dyDescent="0.3">
      <c r="A3673" s="667"/>
      <c r="B3673" s="668" t="s">
        <v>11356</v>
      </c>
      <c r="C3673" s="160" t="s">
        <v>11357</v>
      </c>
      <c r="D3673" s="160"/>
      <c r="E3673" s="439"/>
      <c r="F3673" s="161">
        <v>306.04907667100002</v>
      </c>
      <c r="G3673" s="161"/>
      <c r="H3673" s="654"/>
      <c r="I3673" s="654"/>
      <c r="J3673" s="191"/>
      <c r="K3673" s="191">
        <v>4097.7928468150203</v>
      </c>
      <c r="L3673" s="191"/>
      <c r="M3673" s="191"/>
      <c r="N3673" s="191"/>
      <c r="O3673" s="191"/>
      <c r="P3673" s="191"/>
      <c r="Q3673" s="191"/>
      <c r="R3673" s="191"/>
      <c r="S3673" s="191"/>
      <c r="T3673" s="191"/>
      <c r="U3673" s="439"/>
      <c r="V3673" s="441"/>
      <c r="W3673" s="178"/>
      <c r="X3673" s="172"/>
      <c r="Y3673" s="172"/>
      <c r="Z3673" s="172"/>
      <c r="AA3673" s="195"/>
      <c r="AB3673" s="172"/>
    </row>
    <row r="3674" spans="1:28" ht="12.6" customHeight="1" x14ac:dyDescent="0.3">
      <c r="A3674" s="667"/>
      <c r="B3674" s="668" t="s">
        <v>11358</v>
      </c>
      <c r="C3674" s="160" t="s">
        <v>11359</v>
      </c>
      <c r="D3674" s="160"/>
      <c r="E3674" s="439">
        <v>6.9</v>
      </c>
      <c r="F3674" s="161">
        <v>402.08143942800001</v>
      </c>
      <c r="G3674" s="161"/>
      <c r="H3674" s="654"/>
      <c r="I3674" s="654"/>
      <c r="J3674" s="191"/>
      <c r="K3674" s="191">
        <v>11363.7062826371</v>
      </c>
      <c r="L3674" s="191"/>
      <c r="M3674" s="191"/>
      <c r="N3674" s="191"/>
      <c r="O3674" s="191"/>
      <c r="P3674" s="191"/>
      <c r="Q3674" s="191"/>
      <c r="R3674" s="191"/>
      <c r="S3674" s="191"/>
      <c r="T3674" s="191"/>
      <c r="U3674" s="439"/>
      <c r="V3674" s="441"/>
      <c r="W3674" s="178"/>
      <c r="X3674" s="172"/>
      <c r="Y3674" s="172"/>
      <c r="Z3674" s="172"/>
      <c r="AA3674" s="195"/>
      <c r="AB3674" s="172"/>
    </row>
    <row r="3675" spans="1:28" ht="12.6" customHeight="1" x14ac:dyDescent="0.3">
      <c r="A3675" s="667"/>
      <c r="B3675" s="668" t="s">
        <v>11360</v>
      </c>
      <c r="C3675" s="160" t="s">
        <v>11361</v>
      </c>
      <c r="D3675" s="160"/>
      <c r="E3675" s="439"/>
      <c r="F3675" s="161">
        <v>326.03531831200002</v>
      </c>
      <c r="G3675" s="161"/>
      <c r="H3675" s="654"/>
      <c r="I3675" s="654"/>
      <c r="J3675" s="191"/>
      <c r="K3675" s="191">
        <v>2112175.4963361402</v>
      </c>
      <c r="L3675" s="191"/>
      <c r="M3675" s="191"/>
      <c r="N3675" s="191"/>
      <c r="O3675" s="191"/>
      <c r="P3675" s="191"/>
      <c r="Q3675" s="191"/>
      <c r="R3675" s="191"/>
      <c r="S3675" s="191"/>
      <c r="T3675" s="191"/>
      <c r="U3675" s="439"/>
      <c r="V3675" s="441"/>
      <c r="W3675" s="178"/>
      <c r="X3675" s="172"/>
      <c r="Y3675" s="172"/>
      <c r="Z3675" s="172"/>
      <c r="AA3675" s="195"/>
      <c r="AB3675" s="172"/>
    </row>
    <row r="3676" spans="1:28" ht="12.6" customHeight="1" x14ac:dyDescent="0.3">
      <c r="A3676" s="667"/>
      <c r="B3676" s="668" t="s">
        <v>11362</v>
      </c>
      <c r="C3676" s="160" t="s">
        <v>11363</v>
      </c>
      <c r="D3676" s="160"/>
      <c r="E3676" s="439"/>
      <c r="F3676" s="161">
        <v>326.03531831200002</v>
      </c>
      <c r="G3676" s="161"/>
      <c r="H3676" s="654"/>
      <c r="I3676" s="654"/>
      <c r="J3676" s="191"/>
      <c r="K3676" s="191">
        <v>9388149.5685108602</v>
      </c>
      <c r="L3676" s="191"/>
      <c r="M3676" s="191"/>
      <c r="N3676" s="191"/>
      <c r="O3676" s="191"/>
      <c r="P3676" s="191"/>
      <c r="Q3676" s="191"/>
      <c r="R3676" s="191"/>
      <c r="S3676" s="191"/>
      <c r="T3676" s="191"/>
      <c r="U3676" s="439"/>
      <c r="V3676" s="441"/>
      <c r="W3676" s="178"/>
      <c r="X3676" s="172"/>
      <c r="Y3676" s="172"/>
      <c r="Z3676" s="172"/>
      <c r="AA3676" s="195"/>
      <c r="AB3676" s="172"/>
    </row>
    <row r="3677" spans="1:28" ht="12.6" customHeight="1" x14ac:dyDescent="0.3">
      <c r="A3677" s="667"/>
      <c r="B3677" s="668" t="s">
        <v>11364</v>
      </c>
      <c r="C3677" s="160" t="s">
        <v>11365</v>
      </c>
      <c r="D3677" s="160"/>
      <c r="E3677" s="439">
        <v>7.23</v>
      </c>
      <c r="F3677" s="161">
        <v>331.00549535099998</v>
      </c>
      <c r="G3677" s="161"/>
      <c r="H3677" s="654"/>
      <c r="I3677" s="654"/>
      <c r="J3677" s="191"/>
      <c r="K3677" s="191">
        <v>33559.849147909801</v>
      </c>
      <c r="L3677" s="191"/>
      <c r="M3677" s="191"/>
      <c r="N3677" s="191"/>
      <c r="O3677" s="191"/>
      <c r="P3677" s="191"/>
      <c r="Q3677" s="191"/>
      <c r="R3677" s="191"/>
      <c r="S3677" s="191"/>
      <c r="T3677" s="191"/>
      <c r="U3677" s="439"/>
      <c r="V3677" s="441"/>
      <c r="W3677" s="178"/>
      <c r="X3677" s="172"/>
      <c r="Y3677" s="172"/>
      <c r="Z3677" s="172"/>
      <c r="AA3677" s="195"/>
      <c r="AB3677" s="172"/>
    </row>
    <row r="3678" spans="1:28" ht="12.6" customHeight="1" x14ac:dyDescent="0.3">
      <c r="A3678" s="667"/>
      <c r="B3678" s="668" t="s">
        <v>11366</v>
      </c>
      <c r="C3678" s="160" t="s">
        <v>11367</v>
      </c>
      <c r="D3678" s="160"/>
      <c r="E3678" s="439">
        <v>6.98</v>
      </c>
      <c r="F3678" s="161">
        <v>281.03990896599998</v>
      </c>
      <c r="G3678" s="161"/>
      <c r="H3678" s="654"/>
      <c r="I3678" s="654"/>
      <c r="J3678" s="191"/>
      <c r="K3678" s="191">
        <v>78.480181724126297</v>
      </c>
      <c r="L3678" s="191"/>
      <c r="M3678" s="191"/>
      <c r="N3678" s="191"/>
      <c r="O3678" s="191"/>
      <c r="P3678" s="191"/>
      <c r="Q3678" s="191"/>
      <c r="R3678" s="191"/>
      <c r="S3678" s="191"/>
      <c r="T3678" s="191"/>
      <c r="U3678" s="439"/>
      <c r="V3678" s="441"/>
      <c r="W3678" s="178"/>
      <c r="X3678" s="172"/>
      <c r="Y3678" s="172"/>
      <c r="Z3678" s="172"/>
      <c r="AA3678" s="195"/>
      <c r="AB3678" s="172"/>
    </row>
    <row r="3679" spans="1:28" ht="12.6" customHeight="1" x14ac:dyDescent="0.3">
      <c r="A3679" s="667"/>
      <c r="B3679" s="668" t="s">
        <v>11368</v>
      </c>
      <c r="C3679" s="160" t="s">
        <v>11369</v>
      </c>
      <c r="D3679" s="160"/>
      <c r="E3679" s="439">
        <v>5.16</v>
      </c>
      <c r="F3679" s="161">
        <v>358.03638094000002</v>
      </c>
      <c r="G3679" s="161"/>
      <c r="H3679" s="654"/>
      <c r="I3679" s="654"/>
      <c r="J3679" s="191"/>
      <c r="K3679" s="191">
        <v>55589.145724921</v>
      </c>
      <c r="L3679" s="191"/>
      <c r="M3679" s="191"/>
      <c r="N3679" s="191"/>
      <c r="O3679" s="191"/>
      <c r="P3679" s="191"/>
      <c r="Q3679" s="191"/>
      <c r="R3679" s="191"/>
      <c r="S3679" s="191"/>
      <c r="T3679" s="191"/>
      <c r="U3679" s="439"/>
      <c r="V3679" s="441"/>
      <c r="W3679" s="178"/>
      <c r="X3679" s="172"/>
      <c r="Y3679" s="172"/>
      <c r="Z3679" s="172"/>
      <c r="AA3679" s="195"/>
      <c r="AB3679" s="172"/>
    </row>
    <row r="3680" spans="1:28" ht="12.6" customHeight="1" x14ac:dyDescent="0.3">
      <c r="A3680" s="667"/>
      <c r="B3680" s="668" t="s">
        <v>11370</v>
      </c>
      <c r="C3680" s="160" t="s">
        <v>11371</v>
      </c>
      <c r="D3680" s="160"/>
      <c r="E3680" s="439"/>
      <c r="F3680" s="161">
        <v>214.022861922</v>
      </c>
      <c r="G3680" s="161">
        <v>-76.061000000000007</v>
      </c>
      <c r="H3680" s="654">
        <v>23872.770641999999</v>
      </c>
      <c r="I3680" s="654">
        <v>101.03227426748499</v>
      </c>
      <c r="J3680" s="191"/>
      <c r="K3680" s="191">
        <v>143.27486238774799</v>
      </c>
      <c r="L3680" s="191"/>
      <c r="M3680" s="191"/>
      <c r="N3680" s="191"/>
      <c r="O3680" s="191"/>
      <c r="P3680" s="191"/>
      <c r="Q3680" s="191"/>
      <c r="R3680" s="191"/>
      <c r="S3680" s="191"/>
      <c r="T3680" s="191"/>
      <c r="U3680" s="439"/>
      <c r="V3680" s="441"/>
      <c r="W3680" s="178"/>
      <c r="X3680" s="172"/>
      <c r="Y3680" s="172"/>
      <c r="Z3680" s="172"/>
      <c r="AA3680" s="195"/>
      <c r="AB3680" s="172"/>
    </row>
    <row r="3681" spans="1:28" ht="12.6" customHeight="1" x14ac:dyDescent="0.3">
      <c r="A3681" s="667"/>
      <c r="B3681" s="668" t="s">
        <v>11372</v>
      </c>
      <c r="C3681" s="160" t="s">
        <v>11373</v>
      </c>
      <c r="D3681" s="160"/>
      <c r="E3681" s="439">
        <v>2.2200000000000002</v>
      </c>
      <c r="F3681" s="161">
        <v>350.02114784499997</v>
      </c>
      <c r="G3681" s="161"/>
      <c r="H3681" s="654"/>
      <c r="I3681" s="654"/>
      <c r="J3681" s="191"/>
      <c r="K3681" s="191">
        <v>657218.83313574502</v>
      </c>
      <c r="L3681" s="191"/>
      <c r="M3681" s="191"/>
      <c r="N3681" s="191"/>
      <c r="O3681" s="191"/>
      <c r="P3681" s="191"/>
      <c r="Q3681" s="191"/>
      <c r="R3681" s="191"/>
      <c r="S3681" s="191"/>
      <c r="T3681" s="191"/>
      <c r="U3681" s="439"/>
      <c r="V3681" s="441"/>
      <c r="W3681" s="178"/>
      <c r="X3681" s="172"/>
      <c r="Y3681" s="172"/>
      <c r="Z3681" s="172"/>
      <c r="AA3681" s="195"/>
      <c r="AB3681" s="172"/>
    </row>
    <row r="3682" spans="1:28" ht="12.6" customHeight="1" x14ac:dyDescent="0.3">
      <c r="A3682" s="667"/>
      <c r="B3682" s="668" t="s">
        <v>11374</v>
      </c>
      <c r="C3682" s="160" t="s">
        <v>11375</v>
      </c>
      <c r="D3682" s="160"/>
      <c r="E3682" s="439"/>
      <c r="F3682" s="161">
        <v>627.88763849999998</v>
      </c>
      <c r="G3682" s="161"/>
      <c r="H3682" s="654"/>
      <c r="I3682" s="654"/>
      <c r="J3682" s="191"/>
      <c r="K3682" s="191"/>
      <c r="L3682" s="191"/>
      <c r="M3682" s="191"/>
      <c r="N3682" s="191"/>
      <c r="O3682" s="191"/>
      <c r="P3682" s="191"/>
      <c r="Q3682" s="191"/>
      <c r="R3682" s="191"/>
      <c r="S3682" s="191"/>
      <c r="T3682" s="191"/>
      <c r="U3682" s="439"/>
      <c r="V3682" s="441"/>
      <c r="W3682" s="178"/>
      <c r="X3682" s="172"/>
      <c r="Y3682" s="172"/>
      <c r="Z3682" s="172"/>
      <c r="AA3682" s="195"/>
      <c r="AB3682" s="172"/>
    </row>
    <row r="3683" spans="1:28" ht="12.6" customHeight="1" x14ac:dyDescent="0.3">
      <c r="A3683" s="667"/>
      <c r="B3683" s="668" t="s">
        <v>11376</v>
      </c>
      <c r="C3683" s="160" t="s">
        <v>11377</v>
      </c>
      <c r="D3683" s="160"/>
      <c r="E3683" s="439"/>
      <c r="F3683" s="161">
        <v>331.98706615100002</v>
      </c>
      <c r="G3683" s="161"/>
      <c r="H3683" s="654"/>
      <c r="I3683" s="654"/>
      <c r="J3683" s="191"/>
      <c r="K3683" s="191">
        <v>3609.3583291494601</v>
      </c>
      <c r="L3683" s="191"/>
      <c r="M3683" s="191"/>
      <c r="N3683" s="191"/>
      <c r="O3683" s="191"/>
      <c r="P3683" s="191"/>
      <c r="Q3683" s="191"/>
      <c r="R3683" s="191"/>
      <c r="S3683" s="191"/>
      <c r="T3683" s="191"/>
      <c r="U3683" s="439"/>
      <c r="V3683" s="441"/>
      <c r="W3683" s="178"/>
      <c r="X3683" s="172"/>
      <c r="Y3683" s="172"/>
      <c r="Z3683" s="172"/>
      <c r="AA3683" s="195"/>
      <c r="AB3683" s="172"/>
    </row>
    <row r="3684" spans="1:28" ht="12.6" customHeight="1" x14ac:dyDescent="0.3">
      <c r="A3684" s="667"/>
      <c r="B3684" s="668" t="s">
        <v>11378</v>
      </c>
      <c r="C3684" s="160" t="s">
        <v>11379</v>
      </c>
      <c r="D3684" s="160"/>
      <c r="E3684" s="439"/>
      <c r="F3684" s="161">
        <v>346.00271621600001</v>
      </c>
      <c r="G3684" s="161"/>
      <c r="H3684" s="654"/>
      <c r="I3684" s="654"/>
      <c r="J3684" s="191"/>
      <c r="K3684" s="191">
        <v>7208.5846048957801</v>
      </c>
      <c r="L3684" s="191"/>
      <c r="M3684" s="191"/>
      <c r="N3684" s="191"/>
      <c r="O3684" s="191"/>
      <c r="P3684" s="191"/>
      <c r="Q3684" s="191"/>
      <c r="R3684" s="191"/>
      <c r="S3684" s="191"/>
      <c r="T3684" s="191"/>
      <c r="U3684" s="439"/>
      <c r="V3684" s="441"/>
      <c r="W3684" s="178"/>
      <c r="X3684" s="172"/>
      <c r="Y3684" s="172"/>
      <c r="Z3684" s="172"/>
      <c r="AA3684" s="195"/>
      <c r="AB3684" s="172"/>
    </row>
    <row r="3685" spans="1:28" ht="12.6" customHeight="1" x14ac:dyDescent="0.3">
      <c r="A3685" s="667"/>
      <c r="B3685" s="668" t="s">
        <v>11380</v>
      </c>
      <c r="C3685" s="160" t="s">
        <v>11381</v>
      </c>
      <c r="D3685" s="160"/>
      <c r="E3685" s="439">
        <v>10.31</v>
      </c>
      <c r="F3685" s="161">
        <v>509.97842279999998</v>
      </c>
      <c r="G3685" s="161">
        <v>192.11799999999999</v>
      </c>
      <c r="H3685" s="654">
        <v>7.1269141608E-7</v>
      </c>
      <c r="I3685" s="654">
        <v>1.0532992348826599E-2</v>
      </c>
      <c r="J3685" s="191"/>
      <c r="K3685" s="191">
        <v>131758.91200387201</v>
      </c>
      <c r="L3685" s="191"/>
      <c r="M3685" s="191"/>
      <c r="N3685" s="191"/>
      <c r="O3685" s="191"/>
      <c r="P3685" s="191"/>
      <c r="Q3685" s="191"/>
      <c r="R3685" s="191"/>
      <c r="S3685" s="191"/>
      <c r="T3685" s="191"/>
      <c r="U3685" s="439"/>
      <c r="V3685" s="441"/>
      <c r="W3685" s="178"/>
      <c r="X3685" s="172"/>
      <c r="Y3685" s="172"/>
      <c r="Z3685" s="172"/>
      <c r="AA3685" s="195"/>
      <c r="AB3685" s="172"/>
    </row>
    <row r="3686" spans="1:28" ht="12.6" customHeight="1" x14ac:dyDescent="0.3">
      <c r="A3686" s="667"/>
      <c r="B3686" s="668" t="s">
        <v>11382</v>
      </c>
      <c r="C3686" s="160" t="s">
        <v>11383</v>
      </c>
      <c r="D3686" s="160"/>
      <c r="E3686" s="439"/>
      <c r="F3686" s="161">
        <v>208.032283791</v>
      </c>
      <c r="G3686" s="161"/>
      <c r="H3686" s="654"/>
      <c r="I3686" s="654"/>
      <c r="J3686" s="191"/>
      <c r="K3686" s="191">
        <v>99.997697441416193</v>
      </c>
      <c r="L3686" s="191"/>
      <c r="M3686" s="191"/>
      <c r="N3686" s="191"/>
      <c r="O3686" s="191"/>
      <c r="P3686" s="191"/>
      <c r="Q3686" s="191"/>
      <c r="R3686" s="191"/>
      <c r="S3686" s="191"/>
      <c r="T3686" s="191"/>
      <c r="U3686" s="439"/>
      <c r="V3686" s="441"/>
      <c r="W3686" s="178"/>
      <c r="X3686" s="172"/>
      <c r="Y3686" s="172"/>
      <c r="Z3686" s="172"/>
      <c r="AA3686" s="195"/>
      <c r="AB3686" s="172"/>
    </row>
    <row r="3687" spans="1:28" ht="12.6" customHeight="1" x14ac:dyDescent="0.3">
      <c r="A3687" s="667"/>
      <c r="B3687" s="668" t="s">
        <v>11384</v>
      </c>
      <c r="C3687" s="160" t="s">
        <v>11385</v>
      </c>
      <c r="D3687" s="160"/>
      <c r="E3687" s="439"/>
      <c r="F3687" s="161">
        <v>301.99648802000002</v>
      </c>
      <c r="G3687" s="161"/>
      <c r="H3687" s="654"/>
      <c r="I3687" s="654"/>
      <c r="J3687" s="191"/>
      <c r="K3687" s="191">
        <v>2244.08860246324</v>
      </c>
      <c r="L3687" s="191"/>
      <c r="M3687" s="191"/>
      <c r="N3687" s="191"/>
      <c r="O3687" s="191"/>
      <c r="P3687" s="191"/>
      <c r="Q3687" s="191"/>
      <c r="R3687" s="191"/>
      <c r="S3687" s="191"/>
      <c r="T3687" s="191"/>
      <c r="U3687" s="439"/>
      <c r="V3687" s="441"/>
      <c r="W3687" s="178"/>
      <c r="X3687" s="172"/>
      <c r="Y3687" s="172"/>
      <c r="Z3687" s="172"/>
      <c r="AA3687" s="195"/>
      <c r="AB3687" s="172"/>
    </row>
    <row r="3688" spans="1:28" ht="12.6" customHeight="1" x14ac:dyDescent="0.3">
      <c r="A3688" s="667"/>
      <c r="B3688" s="668" t="s">
        <v>11386</v>
      </c>
      <c r="C3688" s="160" t="s">
        <v>11387</v>
      </c>
      <c r="D3688" s="160"/>
      <c r="E3688" s="439"/>
      <c r="F3688" s="161">
        <v>432.11226666599998</v>
      </c>
      <c r="G3688" s="161">
        <v>-66.968000000000004</v>
      </c>
      <c r="H3688" s="654">
        <v>24.997741678000001</v>
      </c>
      <c r="I3688" s="654">
        <v>0.109546077059297</v>
      </c>
      <c r="J3688" s="191"/>
      <c r="K3688" s="191">
        <v>106679261.359363</v>
      </c>
      <c r="L3688" s="191"/>
      <c r="M3688" s="191"/>
      <c r="N3688" s="191"/>
      <c r="O3688" s="191"/>
      <c r="P3688" s="191"/>
      <c r="Q3688" s="191"/>
      <c r="R3688" s="191"/>
      <c r="S3688" s="191"/>
      <c r="T3688" s="191"/>
      <c r="U3688" s="439"/>
      <c r="V3688" s="441"/>
      <c r="W3688" s="178"/>
      <c r="X3688" s="172"/>
      <c r="Y3688" s="172"/>
      <c r="Z3688" s="172"/>
      <c r="AA3688" s="195"/>
      <c r="AB3688" s="172"/>
    </row>
    <row r="3689" spans="1:28" ht="12.6" customHeight="1" x14ac:dyDescent="0.3">
      <c r="A3689" s="667"/>
      <c r="B3689" s="668" t="s">
        <v>11388</v>
      </c>
      <c r="C3689" s="160" t="s">
        <v>11389</v>
      </c>
      <c r="D3689" s="160"/>
      <c r="E3689" s="439"/>
      <c r="F3689" s="161">
        <v>492.000665357</v>
      </c>
      <c r="G3689" s="161"/>
      <c r="H3689" s="654"/>
      <c r="I3689" s="654"/>
      <c r="J3689" s="191"/>
      <c r="K3689" s="191">
        <v>2455556888.5398598</v>
      </c>
      <c r="L3689" s="191"/>
      <c r="M3689" s="191"/>
      <c r="N3689" s="191"/>
      <c r="O3689" s="191"/>
      <c r="P3689" s="191"/>
      <c r="Q3689" s="191"/>
      <c r="R3689" s="191"/>
      <c r="S3689" s="191"/>
      <c r="T3689" s="191"/>
      <c r="U3689" s="439"/>
      <c r="V3689" s="441"/>
      <c r="W3689" s="178"/>
      <c r="X3689" s="172"/>
      <c r="Y3689" s="172"/>
      <c r="Z3689" s="172"/>
      <c r="AA3689" s="195"/>
      <c r="AB3689" s="172"/>
    </row>
    <row r="3690" spans="1:28" ht="12.6" customHeight="1" x14ac:dyDescent="0.3">
      <c r="A3690" s="667"/>
      <c r="B3690" s="668" t="s">
        <v>11390</v>
      </c>
      <c r="C3690" s="160" t="s">
        <v>11391</v>
      </c>
      <c r="D3690" s="160"/>
      <c r="E3690" s="439">
        <v>26</v>
      </c>
      <c r="F3690" s="161">
        <v>457.97992991199999</v>
      </c>
      <c r="G3690" s="161">
        <v>-36.383000000000003</v>
      </c>
      <c r="H3690" s="654">
        <v>18.832265788000001</v>
      </c>
      <c r="I3690" s="654">
        <v>1.9945575523583401</v>
      </c>
      <c r="J3690" s="191"/>
      <c r="K3690" s="191">
        <v>17974.217804658001</v>
      </c>
      <c r="L3690" s="191"/>
      <c r="M3690" s="191"/>
      <c r="N3690" s="191"/>
      <c r="O3690" s="191"/>
      <c r="P3690" s="191"/>
      <c r="Q3690" s="191"/>
      <c r="R3690" s="191"/>
      <c r="S3690" s="191"/>
      <c r="T3690" s="191"/>
      <c r="U3690" s="439"/>
      <c r="V3690" s="441"/>
      <c r="W3690" s="178"/>
      <c r="X3690" s="172"/>
      <c r="Y3690" s="172"/>
      <c r="Z3690" s="172"/>
      <c r="AA3690" s="195"/>
      <c r="AB3690" s="172"/>
    </row>
    <row r="3691" spans="1:28" ht="12.6" customHeight="1" x14ac:dyDescent="0.3">
      <c r="A3691" s="667"/>
      <c r="B3691" s="668" t="s">
        <v>11392</v>
      </c>
      <c r="C3691" s="160" t="s">
        <v>11393</v>
      </c>
      <c r="D3691" s="160"/>
      <c r="E3691" s="439">
        <v>20</v>
      </c>
      <c r="F3691" s="161">
        <v>357.98631726000002</v>
      </c>
      <c r="G3691" s="161">
        <v>-43.149000000000001</v>
      </c>
      <c r="H3691" s="654">
        <v>181.09260581999999</v>
      </c>
      <c r="I3691" s="654">
        <v>15.519100638169901</v>
      </c>
      <c r="J3691" s="191"/>
      <c r="K3691" s="191">
        <v>1007.02441495686</v>
      </c>
      <c r="L3691" s="191"/>
      <c r="M3691" s="191"/>
      <c r="N3691" s="191"/>
      <c r="O3691" s="191"/>
      <c r="P3691" s="191"/>
      <c r="Q3691" s="191"/>
      <c r="R3691" s="191"/>
      <c r="S3691" s="191"/>
      <c r="T3691" s="191"/>
      <c r="U3691" s="439"/>
      <c r="V3691" s="441"/>
      <c r="W3691" s="178"/>
      <c r="X3691" s="172"/>
      <c r="Y3691" s="172"/>
      <c r="Z3691" s="172"/>
      <c r="AA3691" s="195"/>
      <c r="AB3691" s="172"/>
    </row>
    <row r="3692" spans="1:28" ht="12.6" customHeight="1" x14ac:dyDescent="0.3">
      <c r="A3692" s="667"/>
      <c r="B3692" s="668" t="s">
        <v>11394</v>
      </c>
      <c r="C3692" s="160" t="s">
        <v>11395</v>
      </c>
      <c r="D3692" s="160"/>
      <c r="E3692" s="439"/>
      <c r="F3692" s="161">
        <v>307.98951093400001</v>
      </c>
      <c r="G3692" s="161">
        <v>-72.864999999999995</v>
      </c>
      <c r="H3692" s="654">
        <v>280.48015715999998</v>
      </c>
      <c r="I3692" s="654">
        <v>20.584294169567301</v>
      </c>
      <c r="J3692" s="191"/>
      <c r="K3692" s="191">
        <v>587.43524525252894</v>
      </c>
      <c r="L3692" s="191"/>
      <c r="M3692" s="191"/>
      <c r="N3692" s="191"/>
      <c r="O3692" s="191"/>
      <c r="P3692" s="191"/>
      <c r="Q3692" s="191"/>
      <c r="R3692" s="191"/>
      <c r="S3692" s="191"/>
      <c r="T3692" s="191"/>
      <c r="U3692" s="439"/>
      <c r="V3692" s="441"/>
      <c r="W3692" s="178"/>
      <c r="X3692" s="172"/>
      <c r="Y3692" s="172"/>
      <c r="Z3692" s="172"/>
      <c r="AA3692" s="195"/>
      <c r="AB3692" s="172"/>
    </row>
    <row r="3693" spans="1:28" ht="12.6" customHeight="1" x14ac:dyDescent="0.3">
      <c r="A3693" s="667"/>
      <c r="B3693" s="668" t="s">
        <v>11396</v>
      </c>
      <c r="C3693" s="160" t="s">
        <v>11397</v>
      </c>
      <c r="D3693" s="160"/>
      <c r="E3693" s="439">
        <v>8.6999999999999993</v>
      </c>
      <c r="F3693" s="161">
        <v>549.978547757</v>
      </c>
      <c r="G3693" s="161"/>
      <c r="H3693" s="654"/>
      <c r="I3693" s="654"/>
      <c r="J3693" s="191"/>
      <c r="K3693" s="191">
        <v>124130.927377517</v>
      </c>
      <c r="L3693" s="191"/>
      <c r="M3693" s="191"/>
      <c r="N3693" s="191"/>
      <c r="O3693" s="191"/>
      <c r="P3693" s="191"/>
      <c r="Q3693" s="191"/>
      <c r="R3693" s="191"/>
      <c r="S3693" s="191"/>
      <c r="T3693" s="191"/>
      <c r="U3693" s="439"/>
      <c r="V3693" s="441"/>
      <c r="W3693" s="178"/>
      <c r="X3693" s="172"/>
      <c r="Y3693" s="172"/>
      <c r="Z3693" s="172"/>
      <c r="AA3693" s="195"/>
      <c r="AB3693" s="172"/>
    </row>
    <row r="3694" spans="1:28" ht="12.6" customHeight="1" x14ac:dyDescent="0.3">
      <c r="A3694" s="667"/>
      <c r="B3694" s="668" t="s">
        <v>11398</v>
      </c>
      <c r="C3694" s="160" t="s">
        <v>11399</v>
      </c>
      <c r="D3694" s="160"/>
      <c r="E3694" s="439"/>
      <c r="F3694" s="161">
        <v>274.022861922</v>
      </c>
      <c r="G3694" s="161">
        <v>-11.109</v>
      </c>
      <c r="H3694" s="654">
        <v>17.737825489999999</v>
      </c>
      <c r="I3694" s="654">
        <v>4.7183174525763398</v>
      </c>
      <c r="J3694" s="191"/>
      <c r="K3694" s="191">
        <v>39579.472336049497</v>
      </c>
      <c r="L3694" s="191"/>
      <c r="M3694" s="191"/>
      <c r="N3694" s="191"/>
      <c r="O3694" s="191"/>
      <c r="P3694" s="191"/>
      <c r="Q3694" s="191"/>
      <c r="R3694" s="191"/>
      <c r="S3694" s="191"/>
      <c r="T3694" s="191"/>
      <c r="U3694" s="439"/>
      <c r="V3694" s="441"/>
      <c r="W3694" s="178"/>
      <c r="X3694" s="172"/>
      <c r="Y3694" s="172"/>
      <c r="Z3694" s="172"/>
      <c r="AA3694" s="195"/>
      <c r="AB3694" s="172"/>
    </row>
    <row r="3695" spans="1:28" ht="12.6" customHeight="1" x14ac:dyDescent="0.3">
      <c r="A3695" s="667"/>
      <c r="B3695" s="668" t="s">
        <v>11400</v>
      </c>
      <c r="C3695" s="160" t="s">
        <v>11401</v>
      </c>
      <c r="D3695" s="160"/>
      <c r="E3695" s="439"/>
      <c r="F3695" s="161">
        <v>307.9838896</v>
      </c>
      <c r="G3695" s="161"/>
      <c r="H3695" s="654"/>
      <c r="I3695" s="654"/>
      <c r="J3695" s="191"/>
      <c r="K3695" s="191">
        <v>60942.462673512397</v>
      </c>
      <c r="L3695" s="191"/>
      <c r="M3695" s="191"/>
      <c r="N3695" s="191"/>
      <c r="O3695" s="191"/>
      <c r="P3695" s="191"/>
      <c r="Q3695" s="191"/>
      <c r="R3695" s="191"/>
      <c r="S3695" s="191"/>
      <c r="T3695" s="191"/>
      <c r="U3695" s="439"/>
      <c r="V3695" s="441"/>
      <c r="W3695" s="178"/>
      <c r="X3695" s="172"/>
      <c r="Y3695" s="172"/>
      <c r="Z3695" s="172"/>
      <c r="AA3695" s="195"/>
      <c r="AB3695" s="172"/>
    </row>
    <row r="3696" spans="1:28" ht="12.6" customHeight="1" x14ac:dyDescent="0.3">
      <c r="A3696" s="667"/>
      <c r="B3696" s="668" t="s">
        <v>11402</v>
      </c>
      <c r="C3696" s="160" t="s">
        <v>11403</v>
      </c>
      <c r="D3696" s="160"/>
      <c r="E3696" s="439"/>
      <c r="F3696" s="161">
        <v>273.92281000000003</v>
      </c>
      <c r="G3696" s="161">
        <v>-59.988</v>
      </c>
      <c r="H3696" s="654">
        <v>25816.738723999999</v>
      </c>
      <c r="I3696" s="654">
        <v>26.892317087188001</v>
      </c>
      <c r="J3696" s="191"/>
      <c r="K3696" s="191">
        <v>19702.439382140201</v>
      </c>
      <c r="L3696" s="191"/>
      <c r="M3696" s="191"/>
      <c r="N3696" s="191"/>
      <c r="O3696" s="191"/>
      <c r="P3696" s="191"/>
      <c r="Q3696" s="191"/>
      <c r="R3696" s="191"/>
      <c r="S3696" s="191"/>
      <c r="T3696" s="191"/>
      <c r="U3696" s="439"/>
      <c r="V3696" s="441"/>
      <c r="W3696" s="178"/>
      <c r="X3696" s="172"/>
      <c r="Y3696" s="172"/>
      <c r="Z3696" s="172"/>
      <c r="AA3696" s="195"/>
      <c r="AB3696" s="172"/>
    </row>
    <row r="3697" spans="1:28" ht="12.6" customHeight="1" x14ac:dyDescent="0.3">
      <c r="A3697" s="667"/>
      <c r="B3697" s="668" t="s">
        <v>11404</v>
      </c>
      <c r="C3697" s="160" t="s">
        <v>11405</v>
      </c>
      <c r="D3697" s="160"/>
      <c r="E3697" s="439">
        <v>5.79</v>
      </c>
      <c r="F3697" s="161">
        <v>414.00894441100002</v>
      </c>
      <c r="G3697" s="161">
        <v>-90.787999999999997</v>
      </c>
      <c r="H3697" s="654">
        <v>40.822663112000001</v>
      </c>
      <c r="I3697" s="654">
        <v>9.3974234256075206E-2</v>
      </c>
      <c r="J3697" s="191"/>
      <c r="K3697" s="191">
        <v>119233968.788596</v>
      </c>
      <c r="L3697" s="191"/>
      <c r="M3697" s="191"/>
      <c r="N3697" s="191"/>
      <c r="O3697" s="191"/>
      <c r="P3697" s="191"/>
      <c r="Q3697" s="191"/>
      <c r="R3697" s="191"/>
      <c r="S3697" s="191"/>
      <c r="T3697" s="191"/>
      <c r="U3697" s="439"/>
      <c r="V3697" s="441"/>
      <c r="W3697" s="178"/>
      <c r="X3697" s="172"/>
      <c r="Y3697" s="172"/>
      <c r="Z3697" s="172"/>
      <c r="AA3697" s="195"/>
      <c r="AB3697" s="172"/>
    </row>
    <row r="3698" spans="1:28" ht="12.6" customHeight="1" x14ac:dyDescent="0.3">
      <c r="A3698" s="667"/>
      <c r="B3698" s="668" t="s">
        <v>11406</v>
      </c>
      <c r="C3698" s="160" t="s">
        <v>11407</v>
      </c>
      <c r="D3698" s="160"/>
      <c r="E3698" s="439"/>
      <c r="F3698" s="161">
        <v>371.92459000000002</v>
      </c>
      <c r="G3698" s="161">
        <v>4.3010000000000002</v>
      </c>
      <c r="H3698" s="654"/>
      <c r="I3698" s="654">
        <v>3.4471086774969999</v>
      </c>
      <c r="J3698" s="191"/>
      <c r="K3698" s="191">
        <v>913902.78334875405</v>
      </c>
      <c r="L3698" s="191"/>
      <c r="M3698" s="191"/>
      <c r="N3698" s="191"/>
      <c r="O3698" s="191"/>
      <c r="P3698" s="191"/>
      <c r="Q3698" s="191"/>
      <c r="R3698" s="191"/>
      <c r="S3698" s="191"/>
      <c r="T3698" s="191"/>
      <c r="U3698" s="439"/>
      <c r="V3698" s="441"/>
      <c r="W3698" s="178"/>
      <c r="X3698" s="172"/>
      <c r="Y3698" s="172"/>
      <c r="Z3698" s="172"/>
      <c r="AA3698" s="195"/>
      <c r="AB3698" s="172"/>
    </row>
    <row r="3699" spans="1:28" ht="12.6" customHeight="1" x14ac:dyDescent="0.3">
      <c r="A3699" s="667"/>
      <c r="B3699" s="668" t="s">
        <v>11408</v>
      </c>
      <c r="C3699" s="160" t="s">
        <v>11409</v>
      </c>
      <c r="D3699" s="160"/>
      <c r="E3699" s="439">
        <v>7.89</v>
      </c>
      <c r="F3699" s="161">
        <v>422.09775819599997</v>
      </c>
      <c r="G3699" s="161">
        <v>158.35300000000001</v>
      </c>
      <c r="H3699" s="654">
        <v>1.25864100642E-6</v>
      </c>
      <c r="I3699" s="654">
        <v>1.50111047845001</v>
      </c>
      <c r="J3699" s="191"/>
      <c r="K3699" s="191">
        <v>665.93217706246196</v>
      </c>
      <c r="L3699" s="191"/>
      <c r="M3699" s="191"/>
      <c r="N3699" s="191"/>
      <c r="O3699" s="191"/>
      <c r="P3699" s="191"/>
      <c r="Q3699" s="191"/>
      <c r="R3699" s="191"/>
      <c r="S3699" s="191"/>
      <c r="T3699" s="191"/>
      <c r="U3699" s="439"/>
      <c r="V3699" s="441"/>
      <c r="W3699" s="178"/>
      <c r="X3699" s="172"/>
      <c r="Y3699" s="172"/>
      <c r="Z3699" s="172"/>
      <c r="AA3699" s="195"/>
      <c r="AB3699" s="172"/>
    </row>
    <row r="3700" spans="1:28" ht="12.6" customHeight="1" x14ac:dyDescent="0.3">
      <c r="A3700" s="667"/>
      <c r="B3700" s="668" t="s">
        <v>11410</v>
      </c>
      <c r="C3700" s="160" t="s">
        <v>11411</v>
      </c>
      <c r="D3700" s="160"/>
      <c r="E3700" s="439">
        <v>6</v>
      </c>
      <c r="F3700" s="161">
        <v>296.9791386</v>
      </c>
      <c r="G3700" s="161"/>
      <c r="H3700" s="654"/>
      <c r="I3700" s="654"/>
      <c r="J3700" s="191"/>
      <c r="K3700" s="191">
        <v>1481.97200589677</v>
      </c>
      <c r="L3700" s="191"/>
      <c r="M3700" s="191"/>
      <c r="N3700" s="191"/>
      <c r="O3700" s="191"/>
      <c r="P3700" s="191"/>
      <c r="Q3700" s="191"/>
      <c r="R3700" s="191"/>
      <c r="S3700" s="191"/>
      <c r="T3700" s="191"/>
      <c r="U3700" s="439"/>
      <c r="V3700" s="441"/>
      <c r="W3700" s="178"/>
      <c r="X3700" s="172"/>
      <c r="Y3700" s="172"/>
      <c r="Z3700" s="172"/>
      <c r="AA3700" s="195"/>
      <c r="AB3700" s="172"/>
    </row>
    <row r="3701" spans="1:28" ht="12.6" customHeight="1" x14ac:dyDescent="0.3">
      <c r="A3701" s="667"/>
      <c r="B3701" s="668" t="s">
        <v>11412</v>
      </c>
      <c r="C3701" s="160" t="s">
        <v>11413</v>
      </c>
      <c r="D3701" s="160"/>
      <c r="E3701" s="439">
        <v>8.5299999999999994</v>
      </c>
      <c r="F3701" s="161">
        <v>280.008274486</v>
      </c>
      <c r="G3701" s="161"/>
      <c r="H3701" s="654"/>
      <c r="I3701" s="654"/>
      <c r="J3701" s="191"/>
      <c r="K3701" s="191">
        <v>80.232439998092005</v>
      </c>
      <c r="L3701" s="191"/>
      <c r="M3701" s="191"/>
      <c r="N3701" s="191"/>
      <c r="O3701" s="191"/>
      <c r="P3701" s="191"/>
      <c r="Q3701" s="191"/>
      <c r="R3701" s="191"/>
      <c r="S3701" s="191"/>
      <c r="T3701" s="191"/>
      <c r="U3701" s="439"/>
      <c r="V3701" s="441"/>
      <c r="W3701" s="178"/>
      <c r="X3701" s="172"/>
      <c r="Y3701" s="172"/>
      <c r="Z3701" s="172"/>
      <c r="AA3701" s="195"/>
      <c r="AB3701" s="172"/>
    </row>
    <row r="3702" spans="1:28" ht="12.6" customHeight="1" x14ac:dyDescent="0.3">
      <c r="A3702" s="667"/>
      <c r="B3702" s="668" t="s">
        <v>11414</v>
      </c>
      <c r="C3702" s="160" t="s">
        <v>11415</v>
      </c>
      <c r="D3702" s="160"/>
      <c r="E3702" s="439">
        <v>4.83</v>
      </c>
      <c r="F3702" s="161">
        <v>272.018445246</v>
      </c>
      <c r="G3702" s="161"/>
      <c r="H3702" s="654"/>
      <c r="I3702" s="654"/>
      <c r="J3702" s="191"/>
      <c r="K3702" s="191">
        <v>953.98160374813006</v>
      </c>
      <c r="L3702" s="191"/>
      <c r="M3702" s="191"/>
      <c r="N3702" s="191"/>
      <c r="O3702" s="191"/>
      <c r="P3702" s="191"/>
      <c r="Q3702" s="191"/>
      <c r="R3702" s="191"/>
      <c r="S3702" s="191"/>
      <c r="T3702" s="191"/>
      <c r="U3702" s="439"/>
      <c r="V3702" s="441"/>
      <c r="W3702" s="178"/>
      <c r="X3702" s="172"/>
      <c r="Y3702" s="172"/>
      <c r="Z3702" s="172"/>
      <c r="AA3702" s="195"/>
      <c r="AB3702" s="172"/>
    </row>
    <row r="3703" spans="1:28" ht="12.6" customHeight="1" x14ac:dyDescent="0.3">
      <c r="A3703" s="667"/>
      <c r="B3703" s="668" t="s">
        <v>11416</v>
      </c>
      <c r="C3703" s="160" t="s">
        <v>11417</v>
      </c>
      <c r="D3703" s="160"/>
      <c r="E3703" s="439"/>
      <c r="F3703" s="161">
        <v>391.86051600000002</v>
      </c>
      <c r="G3703" s="161"/>
      <c r="H3703" s="654"/>
      <c r="I3703" s="654"/>
      <c r="J3703" s="191"/>
      <c r="K3703" s="191">
        <v>735326.13167587796</v>
      </c>
      <c r="L3703" s="191"/>
      <c r="M3703" s="191"/>
      <c r="N3703" s="191"/>
      <c r="O3703" s="191"/>
      <c r="P3703" s="191"/>
      <c r="Q3703" s="191"/>
      <c r="R3703" s="191"/>
      <c r="S3703" s="191"/>
      <c r="T3703" s="191"/>
      <c r="U3703" s="439"/>
      <c r="V3703" s="441"/>
      <c r="W3703" s="178"/>
      <c r="X3703" s="172"/>
      <c r="Y3703" s="172"/>
      <c r="Z3703" s="172"/>
      <c r="AA3703" s="195"/>
      <c r="AB3703" s="172"/>
    </row>
    <row r="3704" spans="1:28" ht="12.6" customHeight="1" x14ac:dyDescent="0.3">
      <c r="A3704" s="667"/>
      <c r="B3704" s="668" t="s">
        <v>11418</v>
      </c>
      <c r="C3704" s="160" t="s">
        <v>11419</v>
      </c>
      <c r="D3704" s="160"/>
      <c r="E3704" s="439"/>
      <c r="F3704" s="161">
        <v>323.93846000000002</v>
      </c>
      <c r="G3704" s="161"/>
      <c r="H3704" s="654"/>
      <c r="I3704" s="654"/>
      <c r="J3704" s="191"/>
      <c r="K3704" s="191">
        <v>377337.52801114798</v>
      </c>
      <c r="L3704" s="191"/>
      <c r="M3704" s="191"/>
      <c r="N3704" s="191"/>
      <c r="O3704" s="191"/>
      <c r="P3704" s="191"/>
      <c r="Q3704" s="191"/>
      <c r="R3704" s="191"/>
      <c r="S3704" s="191"/>
      <c r="T3704" s="191"/>
      <c r="U3704" s="439"/>
      <c r="V3704" s="441"/>
      <c r="W3704" s="178"/>
      <c r="X3704" s="172"/>
      <c r="Y3704" s="172"/>
      <c r="Z3704" s="172"/>
      <c r="AA3704" s="195"/>
      <c r="AB3704" s="172"/>
    </row>
    <row r="3705" spans="1:28" ht="12.6" customHeight="1" x14ac:dyDescent="0.3">
      <c r="A3705" s="667"/>
      <c r="B3705" s="668" t="s">
        <v>11420</v>
      </c>
      <c r="C3705" s="160" t="s">
        <v>11421</v>
      </c>
      <c r="D3705" s="160"/>
      <c r="E3705" s="439"/>
      <c r="F3705" s="161">
        <v>274.022861922</v>
      </c>
      <c r="G3705" s="161"/>
      <c r="H3705" s="654"/>
      <c r="I3705" s="654"/>
      <c r="J3705" s="191"/>
      <c r="K3705" s="191">
        <v>53484.753675774402</v>
      </c>
      <c r="L3705" s="191"/>
      <c r="M3705" s="191"/>
      <c r="N3705" s="191"/>
      <c r="O3705" s="191"/>
      <c r="P3705" s="191"/>
      <c r="Q3705" s="191"/>
      <c r="R3705" s="191"/>
      <c r="S3705" s="191"/>
      <c r="T3705" s="191"/>
      <c r="U3705" s="439"/>
      <c r="V3705" s="441"/>
      <c r="W3705" s="178"/>
      <c r="X3705" s="172"/>
      <c r="Y3705" s="172"/>
      <c r="Z3705" s="172"/>
      <c r="AA3705" s="195"/>
      <c r="AB3705" s="172"/>
    </row>
    <row r="3706" spans="1:28" ht="12.6" customHeight="1" x14ac:dyDescent="0.3">
      <c r="A3706" s="667"/>
      <c r="B3706" s="668" t="s">
        <v>11422</v>
      </c>
      <c r="C3706" s="160" t="s">
        <v>11423</v>
      </c>
      <c r="D3706" s="160"/>
      <c r="E3706" s="439"/>
      <c r="F3706" s="161">
        <v>294.00462499999998</v>
      </c>
      <c r="G3706" s="161"/>
      <c r="H3706" s="654"/>
      <c r="I3706" s="654"/>
      <c r="J3706" s="191"/>
      <c r="K3706" s="191">
        <v>889139.69614224404</v>
      </c>
      <c r="L3706" s="191"/>
      <c r="M3706" s="191"/>
      <c r="N3706" s="191"/>
      <c r="O3706" s="191"/>
      <c r="P3706" s="191"/>
      <c r="Q3706" s="191"/>
      <c r="R3706" s="191"/>
      <c r="S3706" s="191"/>
      <c r="T3706" s="191"/>
      <c r="U3706" s="439"/>
      <c r="V3706" s="441"/>
      <c r="W3706" s="178"/>
      <c r="X3706" s="172"/>
      <c r="Y3706" s="172"/>
      <c r="Z3706" s="172"/>
      <c r="AA3706" s="195"/>
      <c r="AB3706" s="172"/>
    </row>
    <row r="3707" spans="1:28" ht="12.6" customHeight="1" x14ac:dyDescent="0.3">
      <c r="A3707" s="667"/>
      <c r="B3707" s="668" t="s">
        <v>11424</v>
      </c>
      <c r="C3707" s="160" t="s">
        <v>11425</v>
      </c>
      <c r="D3707" s="160"/>
      <c r="E3707" s="439">
        <v>5</v>
      </c>
      <c r="F3707" s="161">
        <v>280.98422390000002</v>
      </c>
      <c r="G3707" s="161"/>
      <c r="H3707" s="654"/>
      <c r="I3707" s="654"/>
      <c r="J3707" s="191"/>
      <c r="K3707" s="191">
        <v>16134.295247621299</v>
      </c>
      <c r="L3707" s="191"/>
      <c r="M3707" s="191"/>
      <c r="N3707" s="191"/>
      <c r="O3707" s="191"/>
      <c r="P3707" s="191"/>
      <c r="Q3707" s="191"/>
      <c r="R3707" s="191"/>
      <c r="S3707" s="191"/>
      <c r="T3707" s="191"/>
      <c r="U3707" s="439"/>
      <c r="V3707" s="441"/>
      <c r="W3707" s="178"/>
      <c r="X3707" s="172"/>
      <c r="Y3707" s="172"/>
      <c r="Z3707" s="172"/>
      <c r="AA3707" s="195"/>
      <c r="AB3707" s="172"/>
    </row>
    <row r="3708" spans="1:28" ht="12.6" customHeight="1" x14ac:dyDescent="0.3">
      <c r="A3708" s="667"/>
      <c r="B3708" s="668" t="s">
        <v>11426</v>
      </c>
      <c r="C3708" s="160" t="s">
        <v>11427</v>
      </c>
      <c r="D3708" s="160"/>
      <c r="E3708" s="439"/>
      <c r="F3708" s="161">
        <v>296.04359736599997</v>
      </c>
      <c r="G3708" s="161"/>
      <c r="H3708" s="654"/>
      <c r="I3708" s="654"/>
      <c r="J3708" s="191"/>
      <c r="K3708" s="191">
        <v>154404.51658129299</v>
      </c>
      <c r="L3708" s="191"/>
      <c r="M3708" s="191"/>
      <c r="N3708" s="191"/>
      <c r="O3708" s="191"/>
      <c r="P3708" s="191"/>
      <c r="Q3708" s="191"/>
      <c r="R3708" s="191"/>
      <c r="S3708" s="191"/>
      <c r="T3708" s="191"/>
      <c r="U3708" s="439"/>
      <c r="V3708" s="441"/>
      <c r="W3708" s="178"/>
      <c r="X3708" s="172"/>
      <c r="Y3708" s="172"/>
      <c r="Z3708" s="172"/>
      <c r="AA3708" s="195"/>
      <c r="AB3708" s="172"/>
    </row>
    <row r="3709" spans="1:28" ht="12.6" customHeight="1" x14ac:dyDescent="0.3">
      <c r="A3709" s="667"/>
      <c r="B3709" s="668" t="s">
        <v>11428</v>
      </c>
      <c r="C3709" s="160" t="s">
        <v>11429</v>
      </c>
      <c r="D3709" s="160"/>
      <c r="E3709" s="439">
        <v>10.3</v>
      </c>
      <c r="F3709" s="161">
        <v>302.02900992999997</v>
      </c>
      <c r="G3709" s="161"/>
      <c r="H3709" s="654"/>
      <c r="I3709" s="654"/>
      <c r="J3709" s="191"/>
      <c r="K3709" s="191">
        <v>4428.9420719863501</v>
      </c>
      <c r="L3709" s="191"/>
      <c r="M3709" s="191"/>
      <c r="N3709" s="191"/>
      <c r="O3709" s="191"/>
      <c r="P3709" s="191"/>
      <c r="Q3709" s="191"/>
      <c r="R3709" s="191"/>
      <c r="S3709" s="191"/>
      <c r="T3709" s="191"/>
      <c r="U3709" s="439"/>
      <c r="V3709" s="441"/>
      <c r="W3709" s="178"/>
      <c r="X3709" s="172"/>
      <c r="Y3709" s="172"/>
      <c r="Z3709" s="172"/>
      <c r="AA3709" s="195"/>
      <c r="AB3709" s="172"/>
    </row>
    <row r="3710" spans="1:28" ht="12.6" customHeight="1" x14ac:dyDescent="0.3">
      <c r="A3710" s="667"/>
      <c r="B3710" s="668" t="s">
        <v>11430</v>
      </c>
      <c r="C3710" s="160" t="s">
        <v>11431</v>
      </c>
      <c r="D3710" s="160"/>
      <c r="E3710" s="439">
        <v>6.58</v>
      </c>
      <c r="F3710" s="161">
        <v>303.01302551399999</v>
      </c>
      <c r="G3710" s="161"/>
      <c r="H3710" s="654"/>
      <c r="I3710" s="654"/>
      <c r="J3710" s="191"/>
      <c r="K3710" s="191">
        <v>7120.8198718137701</v>
      </c>
      <c r="L3710" s="191"/>
      <c r="M3710" s="191"/>
      <c r="N3710" s="191"/>
      <c r="O3710" s="191"/>
      <c r="P3710" s="191"/>
      <c r="Q3710" s="191"/>
      <c r="R3710" s="191"/>
      <c r="S3710" s="191"/>
      <c r="T3710" s="191"/>
      <c r="U3710" s="439"/>
      <c r="V3710" s="441"/>
      <c r="W3710" s="178"/>
      <c r="X3710" s="172"/>
      <c r="Y3710" s="172"/>
      <c r="Z3710" s="172"/>
      <c r="AA3710" s="195"/>
      <c r="AB3710" s="172"/>
    </row>
    <row r="3711" spans="1:28" ht="12.6" customHeight="1" x14ac:dyDescent="0.3">
      <c r="A3711" s="667"/>
      <c r="B3711" s="668" t="s">
        <v>11432</v>
      </c>
      <c r="C3711" s="160" t="s">
        <v>11433</v>
      </c>
      <c r="D3711" s="160"/>
      <c r="E3711" s="439">
        <v>6.34</v>
      </c>
      <c r="F3711" s="161">
        <v>318.99018206800002</v>
      </c>
      <c r="G3711" s="161"/>
      <c r="H3711" s="654"/>
      <c r="I3711" s="654"/>
      <c r="J3711" s="191"/>
      <c r="K3711" s="191">
        <v>1463.9289524179801</v>
      </c>
      <c r="L3711" s="191"/>
      <c r="M3711" s="191"/>
      <c r="N3711" s="191"/>
      <c r="O3711" s="191"/>
      <c r="P3711" s="191"/>
      <c r="Q3711" s="191"/>
      <c r="R3711" s="191"/>
      <c r="S3711" s="191"/>
      <c r="T3711" s="191"/>
      <c r="U3711" s="439"/>
      <c r="V3711" s="441"/>
      <c r="W3711" s="178"/>
      <c r="X3711" s="172"/>
      <c r="Y3711" s="172"/>
      <c r="Z3711" s="172"/>
      <c r="AA3711" s="195"/>
      <c r="AB3711" s="172"/>
    </row>
    <row r="3712" spans="1:28" ht="12.6" customHeight="1" x14ac:dyDescent="0.3">
      <c r="A3712" s="667"/>
      <c r="B3712" s="668" t="s">
        <v>11434</v>
      </c>
      <c r="C3712" s="160" t="s">
        <v>11435</v>
      </c>
      <c r="D3712" s="160"/>
      <c r="E3712" s="439">
        <v>12</v>
      </c>
      <c r="F3712" s="161">
        <v>287.05449640299997</v>
      </c>
      <c r="G3712" s="161"/>
      <c r="H3712" s="654"/>
      <c r="I3712" s="654"/>
      <c r="J3712" s="191"/>
      <c r="K3712" s="191">
        <v>9208.3114524549601</v>
      </c>
      <c r="L3712" s="191"/>
      <c r="M3712" s="191"/>
      <c r="N3712" s="191"/>
      <c r="O3712" s="191"/>
      <c r="P3712" s="191"/>
      <c r="Q3712" s="191"/>
      <c r="R3712" s="191"/>
      <c r="S3712" s="191"/>
      <c r="T3712" s="191"/>
      <c r="U3712" s="439"/>
      <c r="V3712" s="441"/>
      <c r="W3712" s="178"/>
      <c r="X3712" s="172"/>
      <c r="Y3712" s="172"/>
      <c r="Z3712" s="172"/>
      <c r="AA3712" s="195"/>
      <c r="AB3712" s="172"/>
    </row>
    <row r="3713" spans="1:28" ht="12.6" customHeight="1" x14ac:dyDescent="0.3">
      <c r="A3713" s="667"/>
      <c r="B3713" s="668" t="s">
        <v>11436</v>
      </c>
      <c r="C3713" s="160" t="s">
        <v>11437</v>
      </c>
      <c r="D3713" s="160"/>
      <c r="E3713" s="439">
        <v>12</v>
      </c>
      <c r="F3713" s="161">
        <v>286.03409531</v>
      </c>
      <c r="G3713" s="161"/>
      <c r="H3713" s="654"/>
      <c r="I3713" s="654"/>
      <c r="J3713" s="191"/>
      <c r="K3713" s="191">
        <v>1763.4778129587801</v>
      </c>
      <c r="L3713" s="191"/>
      <c r="M3713" s="191"/>
      <c r="N3713" s="191"/>
      <c r="O3713" s="191"/>
      <c r="P3713" s="191"/>
      <c r="Q3713" s="191"/>
      <c r="R3713" s="191"/>
      <c r="S3713" s="191"/>
      <c r="T3713" s="191"/>
      <c r="U3713" s="439"/>
      <c r="V3713" s="441"/>
      <c r="W3713" s="178"/>
      <c r="X3713" s="172"/>
      <c r="Y3713" s="172"/>
      <c r="Z3713" s="172"/>
      <c r="AA3713" s="195"/>
      <c r="AB3713" s="172"/>
    </row>
    <row r="3714" spans="1:28" ht="12.6" customHeight="1" x14ac:dyDescent="0.3">
      <c r="A3714" s="667"/>
      <c r="B3714" s="668" t="s">
        <v>11438</v>
      </c>
      <c r="C3714" s="160" t="s">
        <v>11439</v>
      </c>
      <c r="D3714" s="160"/>
      <c r="E3714" s="439">
        <v>7.52</v>
      </c>
      <c r="F3714" s="161">
        <v>287.02934428200001</v>
      </c>
      <c r="G3714" s="161"/>
      <c r="H3714" s="654"/>
      <c r="I3714" s="654"/>
      <c r="J3714" s="191"/>
      <c r="K3714" s="191">
        <v>3398.1300832049801</v>
      </c>
      <c r="L3714" s="191"/>
      <c r="M3714" s="191"/>
      <c r="N3714" s="191"/>
      <c r="O3714" s="191"/>
      <c r="P3714" s="191"/>
      <c r="Q3714" s="191"/>
      <c r="R3714" s="191"/>
      <c r="S3714" s="191"/>
      <c r="T3714" s="191"/>
      <c r="U3714" s="439"/>
      <c r="V3714" s="441"/>
      <c r="W3714" s="178"/>
      <c r="X3714" s="172"/>
      <c r="Y3714" s="172"/>
      <c r="Z3714" s="172"/>
      <c r="AA3714" s="195"/>
      <c r="AB3714" s="172"/>
    </row>
    <row r="3715" spans="1:28" ht="12.6" customHeight="1" x14ac:dyDescent="0.3">
      <c r="A3715" s="667"/>
      <c r="B3715" s="668" t="s">
        <v>11440</v>
      </c>
      <c r="C3715" s="160" t="s">
        <v>11441</v>
      </c>
      <c r="D3715" s="160"/>
      <c r="E3715" s="439"/>
      <c r="F3715" s="161">
        <v>323.93846000000002</v>
      </c>
      <c r="G3715" s="161"/>
      <c r="H3715" s="654"/>
      <c r="I3715" s="654"/>
      <c r="J3715" s="191"/>
      <c r="K3715" s="191">
        <v>561060.89478826302</v>
      </c>
      <c r="L3715" s="191"/>
      <c r="M3715" s="191"/>
      <c r="N3715" s="191"/>
      <c r="O3715" s="191"/>
      <c r="P3715" s="191"/>
      <c r="Q3715" s="191"/>
      <c r="R3715" s="191"/>
      <c r="S3715" s="191"/>
      <c r="T3715" s="191"/>
      <c r="U3715" s="439"/>
      <c r="V3715" s="441"/>
      <c r="W3715" s="178"/>
      <c r="X3715" s="172"/>
      <c r="Y3715" s="172"/>
      <c r="Z3715" s="172"/>
      <c r="AA3715" s="195"/>
      <c r="AB3715" s="172"/>
    </row>
    <row r="3716" spans="1:28" ht="12.6" customHeight="1" x14ac:dyDescent="0.3">
      <c r="A3716" s="667"/>
      <c r="B3716" s="668" t="s">
        <v>11442</v>
      </c>
      <c r="C3716" s="160" t="s">
        <v>11443</v>
      </c>
      <c r="D3716" s="160"/>
      <c r="E3716" s="439"/>
      <c r="F3716" s="161">
        <v>246.027947302</v>
      </c>
      <c r="G3716" s="161"/>
      <c r="H3716" s="654"/>
      <c r="I3716" s="654"/>
      <c r="J3716" s="191"/>
      <c r="K3716" s="191">
        <v>31798.014276915201</v>
      </c>
      <c r="L3716" s="191"/>
      <c r="M3716" s="191"/>
      <c r="N3716" s="191"/>
      <c r="O3716" s="191"/>
      <c r="P3716" s="191"/>
      <c r="Q3716" s="191"/>
      <c r="R3716" s="191"/>
      <c r="S3716" s="191"/>
      <c r="T3716" s="191"/>
      <c r="U3716" s="439"/>
      <c r="V3716" s="441"/>
      <c r="W3716" s="178"/>
      <c r="X3716" s="172"/>
      <c r="Y3716" s="172"/>
      <c r="Z3716" s="172"/>
      <c r="AA3716" s="195"/>
      <c r="AB3716" s="172"/>
    </row>
    <row r="3717" spans="1:28" ht="12.6" customHeight="1" x14ac:dyDescent="0.3">
      <c r="A3717" s="667"/>
      <c r="B3717" s="668" t="s">
        <v>11444</v>
      </c>
      <c r="C3717" s="160" t="s">
        <v>11445</v>
      </c>
      <c r="D3717" s="160"/>
      <c r="E3717" s="439"/>
      <c r="F3717" s="161">
        <v>377.97154</v>
      </c>
      <c r="G3717" s="161">
        <v>-39.389000000000003</v>
      </c>
      <c r="H3717" s="654">
        <v>161.77158158</v>
      </c>
      <c r="I3717" s="654">
        <v>1.4075357772368</v>
      </c>
      <c r="J3717" s="191"/>
      <c r="K3717" s="191">
        <v>86892.041310109795</v>
      </c>
      <c r="L3717" s="191"/>
      <c r="M3717" s="191"/>
      <c r="N3717" s="191"/>
      <c r="O3717" s="191"/>
      <c r="P3717" s="191"/>
      <c r="Q3717" s="191"/>
      <c r="R3717" s="191"/>
      <c r="S3717" s="191"/>
      <c r="T3717" s="191"/>
      <c r="U3717" s="439"/>
      <c r="V3717" s="441"/>
      <c r="W3717" s="178"/>
      <c r="X3717" s="172"/>
      <c r="Y3717" s="172"/>
      <c r="Z3717" s="172"/>
      <c r="AA3717" s="195"/>
      <c r="AB3717" s="172"/>
    </row>
    <row r="3718" spans="1:28" ht="12.6" customHeight="1" x14ac:dyDescent="0.3">
      <c r="A3718" s="667"/>
      <c r="B3718" s="668" t="s">
        <v>11446</v>
      </c>
      <c r="C3718" s="160" t="s">
        <v>11447</v>
      </c>
      <c r="D3718" s="160"/>
      <c r="E3718" s="439">
        <v>6.36</v>
      </c>
      <c r="F3718" s="161">
        <v>280.98422390000002</v>
      </c>
      <c r="G3718" s="161"/>
      <c r="H3718" s="654"/>
      <c r="I3718" s="654"/>
      <c r="J3718" s="191"/>
      <c r="K3718" s="191">
        <v>15889.491536039801</v>
      </c>
      <c r="L3718" s="191"/>
      <c r="M3718" s="191"/>
      <c r="N3718" s="191"/>
      <c r="O3718" s="191"/>
      <c r="P3718" s="191"/>
      <c r="Q3718" s="191"/>
      <c r="R3718" s="191"/>
      <c r="S3718" s="191"/>
      <c r="T3718" s="191"/>
      <c r="U3718" s="439"/>
      <c r="V3718" s="441"/>
      <c r="W3718" s="178"/>
      <c r="X3718" s="172"/>
      <c r="Y3718" s="172"/>
      <c r="Z3718" s="172"/>
      <c r="AA3718" s="195"/>
      <c r="AB3718" s="172"/>
    </row>
    <row r="3719" spans="1:28" ht="12.6" customHeight="1" x14ac:dyDescent="0.3">
      <c r="A3719" s="667"/>
      <c r="B3719" s="668" t="s">
        <v>11448</v>
      </c>
      <c r="C3719" s="160" t="s">
        <v>11449</v>
      </c>
      <c r="D3719" s="160"/>
      <c r="E3719" s="439">
        <v>7.5</v>
      </c>
      <c r="F3719" s="161">
        <v>280.98422390000002</v>
      </c>
      <c r="G3719" s="161"/>
      <c r="H3719" s="654"/>
      <c r="I3719" s="654"/>
      <c r="J3719" s="191"/>
      <c r="K3719" s="191">
        <v>16062.383841683801</v>
      </c>
      <c r="L3719" s="191"/>
      <c r="M3719" s="191"/>
      <c r="N3719" s="191"/>
      <c r="O3719" s="191"/>
      <c r="P3719" s="191"/>
      <c r="Q3719" s="191"/>
      <c r="R3719" s="191"/>
      <c r="S3719" s="191"/>
      <c r="T3719" s="191"/>
      <c r="U3719" s="439"/>
      <c r="V3719" s="441"/>
      <c r="W3719" s="178"/>
      <c r="X3719" s="172"/>
      <c r="Y3719" s="172"/>
      <c r="Z3719" s="172"/>
      <c r="AA3719" s="195"/>
      <c r="AB3719" s="172"/>
    </row>
    <row r="3720" spans="1:28" ht="12.6" customHeight="1" x14ac:dyDescent="0.3">
      <c r="A3720" s="667"/>
      <c r="B3720" s="668" t="s">
        <v>11450</v>
      </c>
      <c r="C3720" s="160" t="s">
        <v>11451</v>
      </c>
      <c r="D3720" s="160"/>
      <c r="E3720" s="439">
        <v>7.33</v>
      </c>
      <c r="F3720" s="161">
        <v>324.93370900000002</v>
      </c>
      <c r="G3720" s="161"/>
      <c r="H3720" s="654"/>
      <c r="I3720" s="654"/>
      <c r="J3720" s="191"/>
      <c r="K3720" s="191">
        <v>18704.237139290599</v>
      </c>
      <c r="L3720" s="191"/>
      <c r="M3720" s="191"/>
      <c r="N3720" s="191"/>
      <c r="O3720" s="191"/>
      <c r="P3720" s="191"/>
      <c r="Q3720" s="191"/>
      <c r="R3720" s="191"/>
      <c r="S3720" s="191"/>
      <c r="T3720" s="191"/>
      <c r="U3720" s="439"/>
      <c r="V3720" s="441"/>
      <c r="W3720" s="178"/>
      <c r="X3720" s="172"/>
      <c r="Y3720" s="172"/>
      <c r="Z3720" s="172"/>
      <c r="AA3720" s="195"/>
      <c r="AB3720" s="172"/>
    </row>
    <row r="3721" spans="1:28" ht="12.6" customHeight="1" x14ac:dyDescent="0.3">
      <c r="A3721" s="667"/>
      <c r="B3721" s="668" t="s">
        <v>11452</v>
      </c>
      <c r="C3721" s="160" t="s">
        <v>11453</v>
      </c>
      <c r="D3721" s="160"/>
      <c r="E3721" s="439">
        <v>3.99</v>
      </c>
      <c r="F3721" s="161">
        <v>584.97568843500005</v>
      </c>
      <c r="G3721" s="161"/>
      <c r="H3721" s="654"/>
      <c r="I3721" s="654"/>
      <c r="J3721" s="191"/>
      <c r="K3721" s="191">
        <v>249953.94754829101</v>
      </c>
      <c r="L3721" s="191"/>
      <c r="M3721" s="191"/>
      <c r="N3721" s="191"/>
      <c r="O3721" s="191"/>
      <c r="P3721" s="191"/>
      <c r="Q3721" s="191"/>
      <c r="R3721" s="191"/>
      <c r="S3721" s="191"/>
      <c r="T3721" s="191"/>
      <c r="U3721" s="439"/>
      <c r="V3721" s="441"/>
      <c r="W3721" s="178"/>
      <c r="X3721" s="172"/>
      <c r="Y3721" s="172"/>
      <c r="Z3721" s="172"/>
      <c r="AA3721" s="195"/>
      <c r="AB3721" s="172"/>
    </row>
    <row r="3722" spans="1:28" ht="12.6" customHeight="1" x14ac:dyDescent="0.3">
      <c r="A3722" s="667"/>
      <c r="B3722" s="668" t="s">
        <v>11454</v>
      </c>
      <c r="C3722" s="160" t="s">
        <v>11455</v>
      </c>
      <c r="D3722" s="160"/>
      <c r="E3722" s="439">
        <v>9.0299999999999994</v>
      </c>
      <c r="F3722" s="161">
        <v>236.018445246</v>
      </c>
      <c r="G3722" s="161"/>
      <c r="H3722" s="654"/>
      <c r="I3722" s="654"/>
      <c r="J3722" s="191"/>
      <c r="K3722" s="191">
        <v>199.940143743108</v>
      </c>
      <c r="L3722" s="191"/>
      <c r="M3722" s="191"/>
      <c r="N3722" s="191"/>
      <c r="O3722" s="191"/>
      <c r="P3722" s="191"/>
      <c r="Q3722" s="191"/>
      <c r="R3722" s="191"/>
      <c r="S3722" s="191"/>
      <c r="T3722" s="191"/>
      <c r="U3722" s="439"/>
      <c r="V3722" s="441"/>
      <c r="W3722" s="178"/>
      <c r="X3722" s="172"/>
      <c r="Y3722" s="172"/>
      <c r="Z3722" s="172"/>
      <c r="AA3722" s="195"/>
      <c r="AB3722" s="172"/>
    </row>
    <row r="3723" spans="1:28" ht="12.6" customHeight="1" x14ac:dyDescent="0.3">
      <c r="A3723" s="667"/>
      <c r="B3723" s="668" t="s">
        <v>11456</v>
      </c>
      <c r="C3723" s="160" t="s">
        <v>11457</v>
      </c>
      <c r="D3723" s="160"/>
      <c r="E3723" s="439">
        <v>9.1199999999999992</v>
      </c>
      <c r="F3723" s="161">
        <v>236.018445246</v>
      </c>
      <c r="G3723" s="161"/>
      <c r="H3723" s="654"/>
      <c r="I3723" s="654"/>
      <c r="J3723" s="191"/>
      <c r="K3723" s="191">
        <v>201.12682599127999</v>
      </c>
      <c r="L3723" s="191"/>
      <c r="M3723" s="191"/>
      <c r="N3723" s="191"/>
      <c r="O3723" s="191"/>
      <c r="P3723" s="191"/>
      <c r="Q3723" s="191"/>
      <c r="R3723" s="191"/>
      <c r="S3723" s="191"/>
      <c r="T3723" s="191"/>
      <c r="U3723" s="439"/>
      <c r="V3723" s="441"/>
      <c r="W3723" s="178"/>
      <c r="X3723" s="172"/>
      <c r="Y3723" s="172"/>
      <c r="Z3723" s="172"/>
      <c r="AA3723" s="195"/>
      <c r="AB3723" s="172"/>
    </row>
    <row r="3724" spans="1:28" ht="12.6" customHeight="1" x14ac:dyDescent="0.3">
      <c r="A3724" s="667"/>
      <c r="B3724" s="668" t="s">
        <v>11458</v>
      </c>
      <c r="C3724" s="160" t="s">
        <v>11459</v>
      </c>
      <c r="D3724" s="160"/>
      <c r="E3724" s="439"/>
      <c r="F3724" s="161">
        <v>288.038511986</v>
      </c>
      <c r="G3724" s="161"/>
      <c r="H3724" s="654"/>
      <c r="I3724" s="654"/>
      <c r="J3724" s="191"/>
      <c r="K3724" s="191">
        <v>93736.773358938401</v>
      </c>
      <c r="L3724" s="191"/>
      <c r="M3724" s="191"/>
      <c r="N3724" s="191"/>
      <c r="O3724" s="191"/>
      <c r="P3724" s="191"/>
      <c r="Q3724" s="191"/>
      <c r="R3724" s="191"/>
      <c r="S3724" s="191"/>
      <c r="T3724" s="191"/>
      <c r="U3724" s="439"/>
      <c r="V3724" s="441"/>
      <c r="W3724" s="178"/>
      <c r="X3724" s="172"/>
      <c r="Y3724" s="172"/>
      <c r="Z3724" s="172"/>
      <c r="AA3724" s="195"/>
      <c r="AB3724" s="172"/>
    </row>
    <row r="3725" spans="1:28" ht="12.6" customHeight="1" x14ac:dyDescent="0.3">
      <c r="A3725" s="667"/>
      <c r="B3725" s="668" t="s">
        <v>11460</v>
      </c>
      <c r="C3725" s="160" t="s">
        <v>11461</v>
      </c>
      <c r="D3725" s="160"/>
      <c r="E3725" s="439"/>
      <c r="F3725" s="161">
        <v>377.97154</v>
      </c>
      <c r="G3725" s="161">
        <v>-19.704999999999998</v>
      </c>
      <c r="H3725" s="654">
        <v>114.525331186</v>
      </c>
      <c r="I3725" s="654">
        <v>1.5720252117294</v>
      </c>
      <c r="J3725" s="191"/>
      <c r="K3725" s="191">
        <v>27930.582942043799</v>
      </c>
      <c r="L3725" s="191"/>
      <c r="M3725" s="191"/>
      <c r="N3725" s="191"/>
      <c r="O3725" s="191"/>
      <c r="P3725" s="191"/>
      <c r="Q3725" s="191"/>
      <c r="R3725" s="191"/>
      <c r="S3725" s="191"/>
      <c r="T3725" s="191"/>
      <c r="U3725" s="439"/>
      <c r="V3725" s="441"/>
      <c r="W3725" s="178"/>
      <c r="X3725" s="172"/>
      <c r="Y3725" s="172"/>
      <c r="Z3725" s="172"/>
      <c r="AA3725" s="195"/>
      <c r="AB3725" s="172"/>
    </row>
    <row r="3726" spans="1:28" ht="12.6" customHeight="1" x14ac:dyDescent="0.3">
      <c r="A3726" s="667"/>
      <c r="B3726" s="668" t="s">
        <v>11462</v>
      </c>
      <c r="C3726" s="160" t="s">
        <v>11463</v>
      </c>
      <c r="D3726" s="160"/>
      <c r="E3726" s="439"/>
      <c r="F3726" s="161">
        <v>377.97154</v>
      </c>
      <c r="G3726" s="161">
        <v>-19.704999999999998</v>
      </c>
      <c r="H3726" s="654">
        <v>114.525331186</v>
      </c>
      <c r="I3726" s="654">
        <v>1.5720252117294</v>
      </c>
      <c r="J3726" s="191"/>
      <c r="K3726" s="191">
        <v>27930.582942043799</v>
      </c>
      <c r="L3726" s="191"/>
      <c r="M3726" s="191"/>
      <c r="N3726" s="191"/>
      <c r="O3726" s="191"/>
      <c r="P3726" s="191"/>
      <c r="Q3726" s="191"/>
      <c r="R3726" s="191"/>
      <c r="S3726" s="191"/>
      <c r="T3726" s="191"/>
      <c r="U3726" s="439"/>
      <c r="V3726" s="441"/>
      <c r="W3726" s="178"/>
      <c r="X3726" s="172"/>
      <c r="Y3726" s="172"/>
      <c r="Z3726" s="172"/>
      <c r="AA3726" s="195"/>
      <c r="AB3726" s="172"/>
    </row>
    <row r="3727" spans="1:28" ht="12.6" customHeight="1" x14ac:dyDescent="0.3">
      <c r="A3727" s="667"/>
      <c r="B3727" s="668" t="s">
        <v>11464</v>
      </c>
      <c r="C3727" s="160" t="s">
        <v>11465</v>
      </c>
      <c r="D3727" s="160"/>
      <c r="E3727" s="439">
        <v>4.7</v>
      </c>
      <c r="F3727" s="161">
        <v>342.02392455</v>
      </c>
      <c r="G3727" s="161"/>
      <c r="H3727" s="654"/>
      <c r="I3727" s="654"/>
      <c r="J3727" s="191"/>
      <c r="K3727" s="191">
        <v>8929.7643844694503</v>
      </c>
      <c r="L3727" s="191"/>
      <c r="M3727" s="191"/>
      <c r="N3727" s="191"/>
      <c r="O3727" s="191"/>
      <c r="P3727" s="191"/>
      <c r="Q3727" s="191"/>
      <c r="R3727" s="191"/>
      <c r="S3727" s="191"/>
      <c r="T3727" s="191"/>
      <c r="U3727" s="439"/>
      <c r="V3727" s="441"/>
      <c r="W3727" s="178"/>
      <c r="X3727" s="172"/>
      <c r="Y3727" s="172"/>
      <c r="Z3727" s="172"/>
      <c r="AA3727" s="195"/>
      <c r="AB3727" s="172"/>
    </row>
    <row r="3728" spans="1:28" ht="12.6" customHeight="1" x14ac:dyDescent="0.3">
      <c r="A3728" s="667"/>
      <c r="B3728" s="668" t="s">
        <v>11466</v>
      </c>
      <c r="C3728" s="160" t="s">
        <v>11467</v>
      </c>
      <c r="D3728" s="160"/>
      <c r="E3728" s="439"/>
      <c r="F3728" s="161">
        <v>302.01777654199998</v>
      </c>
      <c r="G3728" s="161">
        <v>26.468</v>
      </c>
      <c r="H3728" s="654">
        <v>1.28204035064</v>
      </c>
      <c r="I3728" s="654">
        <v>10.890126784773701</v>
      </c>
      <c r="J3728" s="191"/>
      <c r="K3728" s="191">
        <v>30467.0215671757</v>
      </c>
      <c r="L3728" s="191"/>
      <c r="M3728" s="191"/>
      <c r="N3728" s="191"/>
      <c r="O3728" s="191"/>
      <c r="P3728" s="191"/>
      <c r="Q3728" s="191"/>
      <c r="R3728" s="191"/>
      <c r="S3728" s="191"/>
      <c r="T3728" s="191"/>
      <c r="U3728" s="439"/>
      <c r="V3728" s="441"/>
      <c r="W3728" s="178"/>
      <c r="X3728" s="172"/>
      <c r="Y3728" s="172"/>
      <c r="Z3728" s="172"/>
      <c r="AA3728" s="195"/>
      <c r="AB3728" s="172"/>
    </row>
    <row r="3729" spans="1:28" ht="12.6" customHeight="1" x14ac:dyDescent="0.3">
      <c r="A3729" s="667"/>
      <c r="B3729" s="668" t="s">
        <v>11468</v>
      </c>
      <c r="C3729" s="160" t="s">
        <v>11469</v>
      </c>
      <c r="D3729" s="160"/>
      <c r="E3729" s="439"/>
      <c r="F3729" s="161">
        <v>583.15111318799995</v>
      </c>
      <c r="G3729" s="161"/>
      <c r="H3729" s="654"/>
      <c r="I3729" s="654"/>
      <c r="J3729" s="191"/>
      <c r="K3729" s="191">
        <v>555469.22185164003</v>
      </c>
      <c r="L3729" s="191"/>
      <c r="M3729" s="191"/>
      <c r="N3729" s="191"/>
      <c r="O3729" s="191"/>
      <c r="P3729" s="191"/>
      <c r="Q3729" s="191"/>
      <c r="R3729" s="191"/>
      <c r="S3729" s="191"/>
      <c r="T3729" s="191"/>
      <c r="U3729" s="439"/>
      <c r="V3729" s="441"/>
      <c r="W3729" s="178"/>
      <c r="X3729" s="172"/>
      <c r="Y3729" s="172"/>
      <c r="Z3729" s="172"/>
      <c r="AA3729" s="195"/>
      <c r="AB3729" s="172"/>
    </row>
    <row r="3730" spans="1:28" ht="12.6" customHeight="1" x14ac:dyDescent="0.3">
      <c r="A3730" s="667"/>
      <c r="B3730" s="668" t="s">
        <v>11470</v>
      </c>
      <c r="C3730" s="160" t="s">
        <v>11471</v>
      </c>
      <c r="D3730" s="160"/>
      <c r="E3730" s="439"/>
      <c r="F3730" s="161">
        <v>298.022861922</v>
      </c>
      <c r="G3730" s="161">
        <v>26.773</v>
      </c>
      <c r="H3730" s="654"/>
      <c r="I3730" s="654"/>
      <c r="J3730" s="191"/>
      <c r="K3730" s="191">
        <v>49702.7021108997</v>
      </c>
      <c r="L3730" s="191"/>
      <c r="M3730" s="191"/>
      <c r="N3730" s="191"/>
      <c r="O3730" s="191"/>
      <c r="P3730" s="191"/>
      <c r="Q3730" s="191"/>
      <c r="R3730" s="191"/>
      <c r="S3730" s="191"/>
      <c r="T3730" s="191"/>
      <c r="U3730" s="439"/>
      <c r="V3730" s="441"/>
      <c r="W3730" s="178"/>
      <c r="X3730" s="172"/>
      <c r="Y3730" s="172"/>
      <c r="Z3730" s="172"/>
      <c r="AA3730" s="195"/>
      <c r="AB3730" s="172"/>
    </row>
    <row r="3731" spans="1:28" ht="12.6" customHeight="1" x14ac:dyDescent="0.3">
      <c r="A3731" s="667"/>
      <c r="B3731" s="668" t="s">
        <v>11472</v>
      </c>
      <c r="C3731" s="160" t="s">
        <v>11473</v>
      </c>
      <c r="D3731" s="160"/>
      <c r="E3731" s="439">
        <v>8.24</v>
      </c>
      <c r="F3731" s="161">
        <v>315.049411023</v>
      </c>
      <c r="G3731" s="161"/>
      <c r="H3731" s="654"/>
      <c r="I3731" s="654"/>
      <c r="J3731" s="191"/>
      <c r="K3731" s="191"/>
      <c r="L3731" s="191"/>
      <c r="M3731" s="191"/>
      <c r="N3731" s="191"/>
      <c r="O3731" s="191"/>
      <c r="P3731" s="191"/>
      <c r="Q3731" s="191"/>
      <c r="R3731" s="191"/>
      <c r="S3731" s="191"/>
      <c r="T3731" s="191"/>
      <c r="U3731" s="439"/>
      <c r="V3731" s="441"/>
      <c r="W3731" s="178"/>
      <c r="X3731" s="172"/>
      <c r="Y3731" s="172"/>
      <c r="Z3731" s="172"/>
      <c r="AA3731" s="195"/>
      <c r="AB3731" s="172"/>
    </row>
    <row r="3732" spans="1:28" ht="12.6" customHeight="1" x14ac:dyDescent="0.3">
      <c r="A3732" s="667"/>
      <c r="B3732" s="668" t="s">
        <v>11474</v>
      </c>
      <c r="C3732" s="160" t="s">
        <v>11475</v>
      </c>
      <c r="D3732" s="160"/>
      <c r="E3732" s="439"/>
      <c r="F3732" s="161">
        <v>429.84388799999999</v>
      </c>
      <c r="G3732" s="161">
        <v>40.024999999999999</v>
      </c>
      <c r="H3732" s="654">
        <v>0.53076421454</v>
      </c>
      <c r="I3732" s="654">
        <v>0.721621919174399</v>
      </c>
      <c r="J3732" s="191"/>
      <c r="K3732" s="191">
        <v>433351.19649403001</v>
      </c>
      <c r="L3732" s="191"/>
      <c r="M3732" s="191"/>
      <c r="N3732" s="191"/>
      <c r="O3732" s="191"/>
      <c r="P3732" s="191"/>
      <c r="Q3732" s="191"/>
      <c r="R3732" s="191"/>
      <c r="S3732" s="191"/>
      <c r="T3732" s="191"/>
      <c r="U3732" s="439"/>
      <c r="V3732" s="441"/>
      <c r="W3732" s="178"/>
      <c r="X3732" s="172"/>
      <c r="Y3732" s="172"/>
      <c r="Z3732" s="172"/>
      <c r="AA3732" s="195"/>
      <c r="AB3732" s="172"/>
    </row>
    <row r="3733" spans="1:28" ht="12.6" customHeight="1" x14ac:dyDescent="0.3">
      <c r="A3733" s="667"/>
      <c r="B3733" s="668" t="s">
        <v>11476</v>
      </c>
      <c r="C3733" s="160" t="s">
        <v>11477</v>
      </c>
      <c r="D3733" s="160"/>
      <c r="E3733" s="439"/>
      <c r="F3733" s="161">
        <v>274.022861922</v>
      </c>
      <c r="G3733" s="161">
        <v>19.562000000000001</v>
      </c>
      <c r="H3733" s="654">
        <v>5.8600618524000003</v>
      </c>
      <c r="I3733" s="654">
        <v>4.1094660556718496</v>
      </c>
      <c r="J3733" s="191"/>
      <c r="K3733" s="191">
        <v>275752.84382998903</v>
      </c>
      <c r="L3733" s="191"/>
      <c r="M3733" s="191"/>
      <c r="N3733" s="191"/>
      <c r="O3733" s="191"/>
      <c r="P3733" s="191"/>
      <c r="Q3733" s="191"/>
      <c r="R3733" s="191"/>
      <c r="S3733" s="191"/>
      <c r="T3733" s="191"/>
      <c r="U3733" s="439"/>
      <c r="V3733" s="441"/>
      <c r="W3733" s="178"/>
      <c r="X3733" s="172"/>
      <c r="Y3733" s="172"/>
      <c r="Z3733" s="172"/>
      <c r="AA3733" s="195"/>
      <c r="AB3733" s="172"/>
    </row>
    <row r="3734" spans="1:28" ht="12.6" customHeight="1" x14ac:dyDescent="0.3">
      <c r="A3734" s="667"/>
      <c r="B3734" s="668" t="s">
        <v>11478</v>
      </c>
      <c r="C3734" s="160" t="s">
        <v>11479</v>
      </c>
      <c r="D3734" s="160"/>
      <c r="E3734" s="439">
        <v>44.774999999999999</v>
      </c>
      <c r="F3734" s="161">
        <v>280.03342660599998</v>
      </c>
      <c r="G3734" s="161">
        <v>-7.3109999999999999</v>
      </c>
      <c r="H3734" s="654">
        <v>16.900563329999901</v>
      </c>
      <c r="I3734" s="654">
        <v>23.345854712631599</v>
      </c>
      <c r="J3734" s="191"/>
      <c r="K3734" s="191">
        <v>2921.59491519737</v>
      </c>
      <c r="L3734" s="191"/>
      <c r="M3734" s="191"/>
      <c r="N3734" s="191"/>
      <c r="O3734" s="191"/>
      <c r="P3734" s="191"/>
      <c r="Q3734" s="191"/>
      <c r="R3734" s="191"/>
      <c r="S3734" s="191"/>
      <c r="T3734" s="191"/>
      <c r="U3734" s="439"/>
      <c r="V3734" s="441"/>
      <c r="W3734" s="178"/>
      <c r="X3734" s="172"/>
      <c r="Y3734" s="172"/>
      <c r="Z3734" s="172"/>
      <c r="AA3734" s="195"/>
      <c r="AB3734" s="172"/>
    </row>
    <row r="3735" spans="1:28" ht="12.6" customHeight="1" x14ac:dyDescent="0.3">
      <c r="A3735" s="667"/>
      <c r="B3735" s="668" t="s">
        <v>11480</v>
      </c>
      <c r="C3735" s="160" t="s">
        <v>11481</v>
      </c>
      <c r="D3735" s="160"/>
      <c r="E3735" s="439"/>
      <c r="F3735" s="161">
        <v>294.04907667100002</v>
      </c>
      <c r="G3735" s="161">
        <v>0.14399999999999999</v>
      </c>
      <c r="H3735" s="654">
        <v>3.8362072280000001</v>
      </c>
      <c r="I3735" s="654">
        <v>17.235333770178599</v>
      </c>
      <c r="J3735" s="191"/>
      <c r="K3735" s="191">
        <v>7900.7805661041202</v>
      </c>
      <c r="L3735" s="191"/>
      <c r="M3735" s="191"/>
      <c r="N3735" s="191"/>
      <c r="O3735" s="191"/>
      <c r="P3735" s="191"/>
      <c r="Q3735" s="191"/>
      <c r="R3735" s="191"/>
      <c r="S3735" s="191"/>
      <c r="T3735" s="191"/>
      <c r="U3735" s="439"/>
      <c r="V3735" s="441"/>
      <c r="W3735" s="178"/>
      <c r="X3735" s="172"/>
      <c r="Y3735" s="172"/>
      <c r="Z3735" s="172"/>
      <c r="AA3735" s="195"/>
      <c r="AB3735" s="172"/>
    </row>
    <row r="3736" spans="1:28" ht="12.6" customHeight="1" x14ac:dyDescent="0.3">
      <c r="A3736" s="667"/>
      <c r="B3736" s="668" t="s">
        <v>11482</v>
      </c>
      <c r="C3736" s="160" t="s">
        <v>11483</v>
      </c>
      <c r="D3736" s="160"/>
      <c r="E3736" s="439">
        <v>19</v>
      </c>
      <c r="F3736" s="161">
        <v>407.98312358599998</v>
      </c>
      <c r="G3736" s="161">
        <v>-38.933</v>
      </c>
      <c r="H3736" s="654">
        <v>30.472076319999999</v>
      </c>
      <c r="I3736" s="654">
        <v>4.4222514714857297</v>
      </c>
      <c r="J3736" s="191"/>
      <c r="K3736" s="191">
        <v>6898.7435336600602</v>
      </c>
      <c r="L3736" s="191"/>
      <c r="M3736" s="191"/>
      <c r="N3736" s="191"/>
      <c r="O3736" s="191"/>
      <c r="P3736" s="191"/>
      <c r="Q3736" s="191"/>
      <c r="R3736" s="191"/>
      <c r="S3736" s="191"/>
      <c r="T3736" s="191"/>
      <c r="U3736" s="439"/>
      <c r="V3736" s="441"/>
      <c r="W3736" s="178"/>
      <c r="X3736" s="172"/>
      <c r="Y3736" s="172"/>
      <c r="Z3736" s="172"/>
      <c r="AA3736" s="195"/>
      <c r="AB3736" s="172"/>
    </row>
    <row r="3737" spans="1:28" ht="12.6" customHeight="1" x14ac:dyDescent="0.3">
      <c r="A3737" s="667"/>
      <c r="B3737" s="668" t="s">
        <v>11484</v>
      </c>
      <c r="C3737" s="160" t="s">
        <v>11485</v>
      </c>
      <c r="D3737" s="160"/>
      <c r="E3737" s="439"/>
      <c r="F3737" s="161">
        <v>804.00543140000002</v>
      </c>
      <c r="G3737" s="161"/>
      <c r="H3737" s="654"/>
      <c r="I3737" s="654"/>
      <c r="J3737" s="191"/>
      <c r="K3737" s="191">
        <v>130833813.425561</v>
      </c>
      <c r="L3737" s="191"/>
      <c r="M3737" s="191"/>
      <c r="N3737" s="191"/>
      <c r="O3737" s="191"/>
      <c r="P3737" s="191"/>
      <c r="Q3737" s="191"/>
      <c r="R3737" s="191"/>
      <c r="S3737" s="191"/>
      <c r="T3737" s="191"/>
      <c r="U3737" s="439"/>
      <c r="V3737" s="441"/>
      <c r="W3737" s="178"/>
      <c r="X3737" s="172"/>
      <c r="Y3737" s="172"/>
      <c r="Z3737" s="172"/>
      <c r="AA3737" s="195"/>
      <c r="AB3737" s="172"/>
    </row>
    <row r="3738" spans="1:28" ht="12.6" customHeight="1" x14ac:dyDescent="0.3">
      <c r="A3738" s="667"/>
      <c r="B3738" s="668" t="s">
        <v>11486</v>
      </c>
      <c r="C3738" s="160" t="s">
        <v>11487</v>
      </c>
      <c r="D3738" s="160"/>
      <c r="E3738" s="439">
        <v>13</v>
      </c>
      <c r="F3738" s="161">
        <v>316.03342660599998</v>
      </c>
      <c r="G3738" s="161">
        <v>21.395</v>
      </c>
      <c r="H3738" s="654">
        <v>0.88287961552000005</v>
      </c>
      <c r="I3738" s="654">
        <v>2.8955646215837501</v>
      </c>
      <c r="J3738" s="191"/>
      <c r="K3738" s="191">
        <v>36648.8203366874</v>
      </c>
      <c r="L3738" s="191"/>
      <c r="M3738" s="191"/>
      <c r="N3738" s="191"/>
      <c r="O3738" s="191"/>
      <c r="P3738" s="191"/>
      <c r="Q3738" s="191"/>
      <c r="R3738" s="191"/>
      <c r="S3738" s="191"/>
      <c r="T3738" s="191"/>
      <c r="U3738" s="439"/>
      <c r="V3738" s="441"/>
      <c r="W3738" s="178"/>
      <c r="X3738" s="172"/>
      <c r="Y3738" s="172"/>
      <c r="Z3738" s="172"/>
      <c r="AA3738" s="195"/>
      <c r="AB3738" s="172"/>
    </row>
    <row r="3739" spans="1:28" ht="12.6" customHeight="1" x14ac:dyDescent="0.3">
      <c r="A3739" s="667"/>
      <c r="B3739" s="668" t="s">
        <v>11488</v>
      </c>
      <c r="C3739" s="160" t="s">
        <v>11489</v>
      </c>
      <c r="D3739" s="160"/>
      <c r="E3739" s="439">
        <v>6.2</v>
      </c>
      <c r="F3739" s="161">
        <v>306.01269116200001</v>
      </c>
      <c r="G3739" s="161">
        <v>24.172999999999998</v>
      </c>
      <c r="H3739" s="654">
        <v>0.92661989728000005</v>
      </c>
      <c r="I3739" s="654">
        <v>18.102547960917502</v>
      </c>
      <c r="J3739" s="191"/>
      <c r="K3739" s="191">
        <v>2896.47643807231</v>
      </c>
      <c r="L3739" s="191"/>
      <c r="M3739" s="191"/>
      <c r="N3739" s="191"/>
      <c r="O3739" s="191"/>
      <c r="P3739" s="191"/>
      <c r="Q3739" s="191"/>
      <c r="R3739" s="191"/>
      <c r="S3739" s="191"/>
      <c r="T3739" s="191"/>
      <c r="U3739" s="439"/>
      <c r="V3739" s="441"/>
      <c r="W3739" s="178"/>
      <c r="X3739" s="172"/>
      <c r="Y3739" s="172"/>
      <c r="Z3739" s="172"/>
      <c r="AA3739" s="195"/>
      <c r="AB3739" s="172"/>
    </row>
    <row r="3740" spans="1:28" ht="12.6" customHeight="1" x14ac:dyDescent="0.3">
      <c r="A3740" s="667"/>
      <c r="B3740" s="668" t="s">
        <v>11490</v>
      </c>
      <c r="C3740" s="160" t="s">
        <v>11491</v>
      </c>
      <c r="D3740" s="160"/>
      <c r="E3740" s="439"/>
      <c r="F3740" s="161">
        <v>321.98984771599999</v>
      </c>
      <c r="G3740" s="161">
        <v>51.585000000000001</v>
      </c>
      <c r="H3740" s="654">
        <v>0.19719790341999999</v>
      </c>
      <c r="I3740" s="654">
        <v>9.88193282437358</v>
      </c>
      <c r="J3740" s="191"/>
      <c r="K3740" s="191">
        <v>94793.814584065403</v>
      </c>
      <c r="L3740" s="191"/>
      <c r="M3740" s="191"/>
      <c r="N3740" s="191"/>
      <c r="O3740" s="191"/>
      <c r="P3740" s="191"/>
      <c r="Q3740" s="191"/>
      <c r="R3740" s="191"/>
      <c r="S3740" s="191"/>
      <c r="T3740" s="191"/>
      <c r="U3740" s="439"/>
      <c r="V3740" s="441"/>
      <c r="W3740" s="178"/>
      <c r="X3740" s="172"/>
      <c r="Y3740" s="172"/>
      <c r="Z3740" s="172"/>
      <c r="AA3740" s="195"/>
      <c r="AB3740" s="172"/>
    </row>
    <row r="3741" spans="1:28" ht="12.6" customHeight="1" x14ac:dyDescent="0.3">
      <c r="A3741" s="667"/>
      <c r="B3741" s="668" t="s">
        <v>11492</v>
      </c>
      <c r="C3741" s="160" t="s">
        <v>11493</v>
      </c>
      <c r="D3741" s="160"/>
      <c r="E3741" s="439">
        <v>44.179000000000002</v>
      </c>
      <c r="F3741" s="161">
        <v>288.038511986</v>
      </c>
      <c r="G3741" s="161">
        <v>-35.372999999999998</v>
      </c>
      <c r="H3741" s="654">
        <v>6.6665666269999999</v>
      </c>
      <c r="I3741" s="654">
        <v>11.952273270263801</v>
      </c>
      <c r="J3741" s="191"/>
      <c r="K3741" s="191">
        <v>360852.733935597</v>
      </c>
      <c r="L3741" s="191"/>
      <c r="M3741" s="191"/>
      <c r="N3741" s="191"/>
      <c r="O3741" s="191"/>
      <c r="P3741" s="191"/>
      <c r="Q3741" s="191"/>
      <c r="R3741" s="191"/>
      <c r="S3741" s="191"/>
      <c r="T3741" s="191"/>
      <c r="U3741" s="439"/>
      <c r="V3741" s="441"/>
      <c r="W3741" s="178"/>
      <c r="X3741" s="172"/>
      <c r="Y3741" s="172"/>
      <c r="Z3741" s="172"/>
      <c r="AA3741" s="195"/>
      <c r="AB3741" s="172"/>
    </row>
    <row r="3742" spans="1:28" ht="12.6" customHeight="1" x14ac:dyDescent="0.3">
      <c r="A3742" s="667"/>
      <c r="B3742" s="668" t="s">
        <v>11494</v>
      </c>
      <c r="C3742" s="160" t="s">
        <v>11495</v>
      </c>
      <c r="D3742" s="160"/>
      <c r="E3742" s="439">
        <v>8.91</v>
      </c>
      <c r="F3742" s="161">
        <v>289.03376095800002</v>
      </c>
      <c r="G3742" s="161">
        <v>-16.55</v>
      </c>
      <c r="H3742" s="654">
        <v>3.748881318</v>
      </c>
      <c r="I3742" s="654">
        <v>28.2454485457313</v>
      </c>
      <c r="J3742" s="191"/>
      <c r="K3742" s="191">
        <v>6243.52708403203</v>
      </c>
      <c r="L3742" s="191"/>
      <c r="M3742" s="191"/>
      <c r="N3742" s="191"/>
      <c r="O3742" s="191"/>
      <c r="P3742" s="191"/>
      <c r="Q3742" s="191"/>
      <c r="R3742" s="191"/>
      <c r="S3742" s="191"/>
      <c r="T3742" s="191"/>
      <c r="U3742" s="439"/>
      <c r="V3742" s="441"/>
      <c r="W3742" s="178"/>
      <c r="X3742" s="172"/>
      <c r="Y3742" s="172"/>
      <c r="Z3742" s="172"/>
      <c r="AA3742" s="195"/>
      <c r="AB3742" s="172"/>
    </row>
    <row r="3743" spans="1:28" ht="12.6" customHeight="1" x14ac:dyDescent="0.3">
      <c r="A3743" s="667"/>
      <c r="B3743" s="668" t="s">
        <v>11496</v>
      </c>
      <c r="C3743" s="160" t="s">
        <v>11497</v>
      </c>
      <c r="D3743" s="160"/>
      <c r="E3743" s="439"/>
      <c r="F3743" s="161">
        <v>267.049411023</v>
      </c>
      <c r="G3743" s="161">
        <v>-14.646000000000001</v>
      </c>
      <c r="H3743" s="654">
        <v>6.5750944027999996</v>
      </c>
      <c r="I3743" s="654">
        <v>43.410217008843702</v>
      </c>
      <c r="J3743" s="191"/>
      <c r="K3743" s="191">
        <v>442.66990766315701</v>
      </c>
      <c r="L3743" s="191"/>
      <c r="M3743" s="191"/>
      <c r="N3743" s="191"/>
      <c r="O3743" s="191"/>
      <c r="P3743" s="191"/>
      <c r="Q3743" s="191"/>
      <c r="R3743" s="191"/>
      <c r="S3743" s="191"/>
      <c r="T3743" s="191"/>
      <c r="U3743" s="439"/>
      <c r="V3743" s="441"/>
      <c r="W3743" s="178"/>
      <c r="X3743" s="172"/>
      <c r="Y3743" s="172"/>
      <c r="Z3743" s="172"/>
      <c r="AA3743" s="195"/>
      <c r="AB3743" s="172"/>
    </row>
    <row r="3744" spans="1:28" ht="12.6" customHeight="1" x14ac:dyDescent="0.3">
      <c r="A3744" s="667"/>
      <c r="B3744" s="668" t="s">
        <v>11498</v>
      </c>
      <c r="C3744" s="160" t="s">
        <v>11499</v>
      </c>
      <c r="D3744" s="160"/>
      <c r="E3744" s="439"/>
      <c r="F3744" s="161">
        <v>401.930181</v>
      </c>
      <c r="G3744" s="161"/>
      <c r="H3744" s="654"/>
      <c r="I3744" s="654"/>
      <c r="J3744" s="191"/>
      <c r="K3744" s="191">
        <v>5645598.6425160402</v>
      </c>
      <c r="L3744" s="191"/>
      <c r="M3744" s="191"/>
      <c r="N3744" s="191"/>
      <c r="O3744" s="191"/>
      <c r="P3744" s="191"/>
      <c r="Q3744" s="191"/>
      <c r="R3744" s="191"/>
      <c r="S3744" s="191"/>
      <c r="T3744" s="191"/>
      <c r="U3744" s="439"/>
      <c r="V3744" s="441"/>
      <c r="W3744" s="178"/>
      <c r="X3744" s="172"/>
      <c r="Y3744" s="172"/>
      <c r="Z3744" s="172"/>
      <c r="AA3744" s="195"/>
      <c r="AB3744" s="172"/>
    </row>
    <row r="3745" spans="1:28" ht="12.6" customHeight="1" x14ac:dyDescent="0.3">
      <c r="A3745" s="667"/>
      <c r="B3745" s="668" t="s">
        <v>11500</v>
      </c>
      <c r="C3745" s="160" t="s">
        <v>11501</v>
      </c>
      <c r="D3745" s="160"/>
      <c r="E3745" s="439">
        <v>6</v>
      </c>
      <c r="F3745" s="161">
        <v>330.03023293199999</v>
      </c>
      <c r="G3745" s="161"/>
      <c r="H3745" s="654"/>
      <c r="I3745" s="654"/>
      <c r="J3745" s="191"/>
      <c r="K3745" s="191">
        <v>10690.3026360777</v>
      </c>
      <c r="L3745" s="191"/>
      <c r="M3745" s="191"/>
      <c r="N3745" s="191"/>
      <c r="O3745" s="191"/>
      <c r="P3745" s="191"/>
      <c r="Q3745" s="191"/>
      <c r="R3745" s="191"/>
      <c r="S3745" s="191"/>
      <c r="T3745" s="191"/>
      <c r="U3745" s="439"/>
      <c r="V3745" s="441"/>
      <c r="W3745" s="178"/>
      <c r="X3745" s="172"/>
      <c r="Y3745" s="172"/>
      <c r="Z3745" s="172"/>
      <c r="AA3745" s="195"/>
      <c r="AB3745" s="172"/>
    </row>
    <row r="3746" spans="1:28" ht="12.6" customHeight="1" x14ac:dyDescent="0.3">
      <c r="A3746" s="667"/>
      <c r="B3746" s="668" t="s">
        <v>11502</v>
      </c>
      <c r="C3746" s="160" t="s">
        <v>11503</v>
      </c>
      <c r="D3746" s="160"/>
      <c r="E3746" s="439">
        <v>6</v>
      </c>
      <c r="F3746" s="161">
        <v>507.976736238</v>
      </c>
      <c r="G3746" s="161"/>
      <c r="H3746" s="654"/>
      <c r="I3746" s="654"/>
      <c r="J3746" s="191"/>
      <c r="K3746" s="191">
        <v>52436.053753733097</v>
      </c>
      <c r="L3746" s="191"/>
      <c r="M3746" s="191"/>
      <c r="N3746" s="191"/>
      <c r="O3746" s="191"/>
      <c r="P3746" s="191"/>
      <c r="Q3746" s="191"/>
      <c r="R3746" s="191"/>
      <c r="S3746" s="191"/>
      <c r="T3746" s="191"/>
      <c r="U3746" s="439"/>
      <c r="V3746" s="441"/>
      <c r="W3746" s="178"/>
      <c r="X3746" s="172"/>
      <c r="Y3746" s="172"/>
      <c r="Z3746" s="172"/>
      <c r="AA3746" s="195"/>
      <c r="AB3746" s="172"/>
    </row>
    <row r="3747" spans="1:28" ht="12.6" customHeight="1" x14ac:dyDescent="0.3">
      <c r="A3747" s="667"/>
      <c r="B3747" s="668" t="s">
        <v>11504</v>
      </c>
      <c r="C3747" s="160" t="s">
        <v>11505</v>
      </c>
      <c r="D3747" s="160"/>
      <c r="E3747" s="439">
        <v>3</v>
      </c>
      <c r="F3747" s="161">
        <v>366.03023293199999</v>
      </c>
      <c r="G3747" s="161"/>
      <c r="H3747" s="654"/>
      <c r="I3747" s="654"/>
      <c r="J3747" s="191"/>
      <c r="K3747" s="191">
        <v>216955.16813037</v>
      </c>
      <c r="L3747" s="191"/>
      <c r="M3747" s="191"/>
      <c r="N3747" s="191"/>
      <c r="O3747" s="191"/>
      <c r="P3747" s="191"/>
      <c r="Q3747" s="191"/>
      <c r="R3747" s="191"/>
      <c r="S3747" s="191"/>
      <c r="T3747" s="191"/>
      <c r="U3747" s="439"/>
      <c r="V3747" s="441"/>
      <c r="W3747" s="178"/>
      <c r="X3747" s="172"/>
      <c r="Y3747" s="172"/>
      <c r="Z3747" s="172"/>
      <c r="AA3747" s="195"/>
      <c r="AB3747" s="172"/>
    </row>
    <row r="3748" spans="1:28" ht="12.6" customHeight="1" x14ac:dyDescent="0.3">
      <c r="A3748" s="667"/>
      <c r="B3748" s="668" t="s">
        <v>11506</v>
      </c>
      <c r="C3748" s="160" t="s">
        <v>11507</v>
      </c>
      <c r="D3748" s="160"/>
      <c r="E3748" s="439"/>
      <c r="F3748" s="161">
        <v>444.039495649</v>
      </c>
      <c r="G3748" s="161">
        <v>-9.5739999999999998</v>
      </c>
      <c r="H3748" s="654">
        <v>1.7414119673999999</v>
      </c>
      <c r="I3748" s="654">
        <v>0.59899151805067496</v>
      </c>
      <c r="J3748" s="191"/>
      <c r="K3748" s="191">
        <v>9940082.7531589791</v>
      </c>
      <c r="L3748" s="191"/>
      <c r="M3748" s="191"/>
      <c r="N3748" s="191"/>
      <c r="O3748" s="191"/>
      <c r="P3748" s="191"/>
      <c r="Q3748" s="191"/>
      <c r="R3748" s="191"/>
      <c r="S3748" s="191"/>
      <c r="T3748" s="191"/>
      <c r="U3748" s="439"/>
      <c r="V3748" s="441"/>
      <c r="W3748" s="178"/>
      <c r="X3748" s="172"/>
      <c r="Y3748" s="172"/>
      <c r="Z3748" s="172"/>
      <c r="AA3748" s="195"/>
      <c r="AB3748" s="172"/>
    </row>
    <row r="3749" spans="1:28" ht="12.6" customHeight="1" x14ac:dyDescent="0.3">
      <c r="A3749" s="667"/>
      <c r="B3749" s="668" t="s">
        <v>11508</v>
      </c>
      <c r="C3749" s="160" t="s">
        <v>11509</v>
      </c>
      <c r="D3749" s="160"/>
      <c r="E3749" s="439">
        <v>39</v>
      </c>
      <c r="F3749" s="161">
        <v>707.96396154199999</v>
      </c>
      <c r="G3749" s="161">
        <v>-21.300999999999998</v>
      </c>
      <c r="H3749" s="654">
        <v>2.7919093342000001</v>
      </c>
      <c r="I3749" s="654"/>
      <c r="J3749" s="191"/>
      <c r="K3749" s="191">
        <v>260225.588879858</v>
      </c>
      <c r="L3749" s="191"/>
      <c r="M3749" s="191"/>
      <c r="N3749" s="191"/>
      <c r="O3749" s="191"/>
      <c r="P3749" s="191"/>
      <c r="Q3749" s="191"/>
      <c r="R3749" s="191"/>
      <c r="S3749" s="191"/>
      <c r="T3749" s="191"/>
      <c r="U3749" s="439"/>
      <c r="V3749" s="441"/>
      <c r="W3749" s="178"/>
      <c r="X3749" s="172"/>
      <c r="Y3749" s="172"/>
      <c r="Z3749" s="172"/>
      <c r="AA3749" s="195"/>
      <c r="AB3749" s="172"/>
    </row>
    <row r="3750" spans="1:28" ht="12.6" customHeight="1" x14ac:dyDescent="0.3">
      <c r="A3750" s="667"/>
      <c r="B3750" s="668" t="s">
        <v>11510</v>
      </c>
      <c r="C3750" s="160" t="s">
        <v>11511</v>
      </c>
      <c r="D3750" s="160"/>
      <c r="E3750" s="439">
        <v>23</v>
      </c>
      <c r="F3750" s="161">
        <v>466.02384558400001</v>
      </c>
      <c r="G3750" s="161">
        <v>-1.3080000000000001</v>
      </c>
      <c r="H3750" s="654">
        <v>0.87277380792000003</v>
      </c>
      <c r="I3750" s="654">
        <v>0.241773171088979</v>
      </c>
      <c r="J3750" s="191"/>
      <c r="K3750" s="191">
        <v>6142285.51346057</v>
      </c>
      <c r="L3750" s="191"/>
      <c r="M3750" s="191"/>
      <c r="N3750" s="191"/>
      <c r="O3750" s="191"/>
      <c r="P3750" s="191"/>
      <c r="Q3750" s="191"/>
      <c r="R3750" s="191"/>
      <c r="S3750" s="191"/>
      <c r="T3750" s="191"/>
      <c r="U3750" s="439"/>
      <c r="V3750" s="441"/>
      <c r="W3750" s="178"/>
      <c r="X3750" s="172"/>
      <c r="Y3750" s="172"/>
      <c r="Z3750" s="172"/>
      <c r="AA3750" s="195"/>
      <c r="AB3750" s="172"/>
    </row>
    <row r="3751" spans="1:28" ht="12.6" customHeight="1" x14ac:dyDescent="0.3">
      <c r="A3751" s="667"/>
      <c r="B3751" s="668" t="s">
        <v>11512</v>
      </c>
      <c r="C3751" s="160" t="s">
        <v>11513</v>
      </c>
      <c r="D3751" s="160"/>
      <c r="E3751" s="439">
        <v>39</v>
      </c>
      <c r="F3751" s="161">
        <v>584.11332929399998</v>
      </c>
      <c r="G3751" s="161"/>
      <c r="H3751" s="654"/>
      <c r="I3751" s="654"/>
      <c r="J3751" s="191"/>
      <c r="K3751" s="191">
        <v>1587157406.1675799</v>
      </c>
      <c r="L3751" s="191"/>
      <c r="M3751" s="191"/>
      <c r="N3751" s="191"/>
      <c r="O3751" s="191"/>
      <c r="P3751" s="191"/>
      <c r="Q3751" s="191"/>
      <c r="R3751" s="191"/>
      <c r="S3751" s="191"/>
      <c r="T3751" s="191"/>
      <c r="U3751" s="439"/>
      <c r="V3751" s="441"/>
      <c r="W3751" s="178"/>
      <c r="X3751" s="172"/>
      <c r="Y3751" s="172"/>
      <c r="Z3751" s="172"/>
      <c r="AA3751" s="195"/>
      <c r="AB3751" s="172"/>
    </row>
    <row r="3752" spans="1:28" ht="12.6" customHeight="1" x14ac:dyDescent="0.3">
      <c r="A3752" s="667"/>
      <c r="B3752" s="668" t="s">
        <v>11514</v>
      </c>
      <c r="C3752" s="160" t="s">
        <v>11515</v>
      </c>
      <c r="D3752" s="160"/>
      <c r="E3752" s="439">
        <v>35</v>
      </c>
      <c r="F3752" s="161">
        <v>534.09767923000004</v>
      </c>
      <c r="G3752" s="161"/>
      <c r="H3752" s="654"/>
      <c r="I3752" s="654"/>
      <c r="J3752" s="191"/>
      <c r="K3752" s="191">
        <v>3151446.9441166199</v>
      </c>
      <c r="L3752" s="191"/>
      <c r="M3752" s="191"/>
      <c r="N3752" s="191"/>
      <c r="O3752" s="191"/>
      <c r="P3752" s="191"/>
      <c r="Q3752" s="191"/>
      <c r="R3752" s="191"/>
      <c r="S3752" s="191"/>
      <c r="T3752" s="191"/>
      <c r="U3752" s="439"/>
      <c r="V3752" s="441"/>
      <c r="W3752" s="178"/>
      <c r="X3752" s="172"/>
      <c r="Y3752" s="172"/>
      <c r="Z3752" s="172"/>
      <c r="AA3752" s="195"/>
      <c r="AB3752" s="172"/>
    </row>
    <row r="3753" spans="1:28" ht="12.6" customHeight="1" x14ac:dyDescent="0.3">
      <c r="A3753" s="667"/>
      <c r="B3753" s="668" t="s">
        <v>11516</v>
      </c>
      <c r="C3753" s="160" t="s">
        <v>11517</v>
      </c>
      <c r="D3753" s="160"/>
      <c r="E3753" s="439"/>
      <c r="F3753" s="161">
        <v>807.95757419400002</v>
      </c>
      <c r="G3753" s="161">
        <v>-24.869</v>
      </c>
      <c r="H3753" s="654">
        <v>1.7494512840000001</v>
      </c>
      <c r="I3753" s="654"/>
      <c r="J3753" s="191"/>
      <c r="K3753" s="191">
        <v>9946035.3852749895</v>
      </c>
      <c r="L3753" s="191"/>
      <c r="M3753" s="191"/>
      <c r="N3753" s="191"/>
      <c r="O3753" s="191"/>
      <c r="P3753" s="191"/>
      <c r="Q3753" s="191"/>
      <c r="R3753" s="191"/>
      <c r="S3753" s="191"/>
      <c r="T3753" s="191"/>
      <c r="U3753" s="439"/>
      <c r="V3753" s="441"/>
      <c r="W3753" s="178"/>
      <c r="X3753" s="172"/>
      <c r="Y3753" s="172"/>
      <c r="Z3753" s="172"/>
      <c r="AA3753" s="195"/>
      <c r="AB3753" s="172"/>
    </row>
    <row r="3754" spans="1:28" ht="12.6" customHeight="1" x14ac:dyDescent="0.3">
      <c r="A3754" s="667"/>
      <c r="B3754" s="668" t="s">
        <v>11518</v>
      </c>
      <c r="C3754" s="160" t="s">
        <v>11519</v>
      </c>
      <c r="D3754" s="160"/>
      <c r="E3754" s="439">
        <v>29</v>
      </c>
      <c r="F3754" s="161">
        <v>566.01745823600004</v>
      </c>
      <c r="G3754" s="161">
        <v>-25.709</v>
      </c>
      <c r="H3754" s="654">
        <v>0.46870682319999901</v>
      </c>
      <c r="I3754" s="654">
        <v>4.7624425927247901E-2</v>
      </c>
      <c r="J3754" s="191"/>
      <c r="K3754" s="191">
        <v>1697969949.98385</v>
      </c>
      <c r="L3754" s="191"/>
      <c r="M3754" s="191"/>
      <c r="N3754" s="191"/>
      <c r="O3754" s="191"/>
      <c r="P3754" s="191"/>
      <c r="Q3754" s="191"/>
      <c r="R3754" s="191"/>
      <c r="S3754" s="191"/>
      <c r="T3754" s="191"/>
      <c r="U3754" s="439"/>
      <c r="V3754" s="441"/>
      <c r="W3754" s="178"/>
      <c r="X3754" s="172"/>
      <c r="Y3754" s="172"/>
      <c r="Z3754" s="172"/>
      <c r="AA3754" s="195"/>
      <c r="AB3754" s="172"/>
    </row>
    <row r="3755" spans="1:28" ht="12.6" customHeight="1" x14ac:dyDescent="0.3">
      <c r="A3755" s="667"/>
      <c r="B3755" s="668" t="s">
        <v>11520</v>
      </c>
      <c r="C3755" s="160" t="s">
        <v>11521</v>
      </c>
      <c r="D3755" s="160"/>
      <c r="E3755" s="439">
        <v>9.66</v>
      </c>
      <c r="F3755" s="161">
        <v>585.99608952799997</v>
      </c>
      <c r="G3755" s="161"/>
      <c r="H3755" s="654"/>
      <c r="I3755" s="654"/>
      <c r="J3755" s="191"/>
      <c r="K3755" s="191">
        <v>523491.94071768498</v>
      </c>
      <c r="L3755" s="191"/>
      <c r="M3755" s="191"/>
      <c r="N3755" s="191"/>
      <c r="O3755" s="191"/>
      <c r="P3755" s="191"/>
      <c r="Q3755" s="191"/>
      <c r="R3755" s="191"/>
      <c r="S3755" s="191"/>
      <c r="T3755" s="191"/>
      <c r="U3755" s="439"/>
      <c r="V3755" s="441"/>
      <c r="W3755" s="178"/>
      <c r="X3755" s="172"/>
      <c r="Y3755" s="172"/>
      <c r="Z3755" s="172"/>
      <c r="AA3755" s="195"/>
      <c r="AB3755" s="172"/>
    </row>
    <row r="3756" spans="1:28" ht="12.6" customHeight="1" x14ac:dyDescent="0.3">
      <c r="A3756" s="667"/>
      <c r="B3756" s="668" t="s">
        <v>11522</v>
      </c>
      <c r="C3756" s="160" t="s">
        <v>11523</v>
      </c>
      <c r="D3756" s="160"/>
      <c r="E3756" s="439">
        <v>8.52</v>
      </c>
      <c r="F3756" s="161">
        <v>585.99608952799997</v>
      </c>
      <c r="G3756" s="161"/>
      <c r="H3756" s="654"/>
      <c r="I3756" s="654"/>
      <c r="J3756" s="191"/>
      <c r="K3756" s="191">
        <v>526890.05332232499</v>
      </c>
      <c r="L3756" s="191"/>
      <c r="M3756" s="191"/>
      <c r="N3756" s="191"/>
      <c r="O3756" s="191"/>
      <c r="P3756" s="191"/>
      <c r="Q3756" s="191"/>
      <c r="R3756" s="191"/>
      <c r="S3756" s="191"/>
      <c r="T3756" s="191"/>
      <c r="U3756" s="439"/>
      <c r="V3756" s="441"/>
      <c r="W3756" s="178"/>
      <c r="X3756" s="172"/>
      <c r="Y3756" s="172"/>
      <c r="Z3756" s="172"/>
      <c r="AA3756" s="195"/>
      <c r="AB3756" s="172"/>
    </row>
    <row r="3757" spans="1:28" ht="12.6" customHeight="1" x14ac:dyDescent="0.3">
      <c r="A3757" s="667"/>
      <c r="B3757" s="668" t="s">
        <v>11524</v>
      </c>
      <c r="C3757" s="160" t="s">
        <v>11525</v>
      </c>
      <c r="D3757" s="160"/>
      <c r="E3757" s="439">
        <v>6.98</v>
      </c>
      <c r="F3757" s="161">
        <v>615.005096858</v>
      </c>
      <c r="G3757" s="161"/>
      <c r="H3757" s="654"/>
      <c r="I3757" s="654"/>
      <c r="J3757" s="191"/>
      <c r="K3757" s="191">
        <v>16181918.145128701</v>
      </c>
      <c r="L3757" s="191"/>
      <c r="M3757" s="191"/>
      <c r="N3757" s="191"/>
      <c r="O3757" s="191"/>
      <c r="P3757" s="191"/>
      <c r="Q3757" s="191"/>
      <c r="R3757" s="191"/>
      <c r="S3757" s="191"/>
      <c r="T3757" s="191"/>
      <c r="U3757" s="439"/>
      <c r="V3757" s="441"/>
      <c r="W3757" s="178"/>
      <c r="X3757" s="172"/>
      <c r="Y3757" s="172"/>
      <c r="Z3757" s="172"/>
      <c r="AA3757" s="195"/>
      <c r="AB3757" s="172"/>
    </row>
    <row r="3758" spans="1:28" ht="12.6" customHeight="1" x14ac:dyDescent="0.3">
      <c r="A3758" s="667"/>
      <c r="B3758" s="668" t="s">
        <v>11526</v>
      </c>
      <c r="C3758" s="160" t="s">
        <v>11527</v>
      </c>
      <c r="D3758" s="160"/>
      <c r="E3758" s="439">
        <v>7.88</v>
      </c>
      <c r="F3758" s="161">
        <v>586.99894885000003</v>
      </c>
      <c r="G3758" s="161">
        <v>-48.872</v>
      </c>
      <c r="H3758" s="654">
        <v>2.3763046636</v>
      </c>
      <c r="I3758" s="654"/>
      <c r="J3758" s="191"/>
      <c r="K3758" s="191">
        <v>418639.30428434501</v>
      </c>
      <c r="L3758" s="191"/>
      <c r="M3758" s="191"/>
      <c r="N3758" s="191"/>
      <c r="O3758" s="191"/>
      <c r="P3758" s="191"/>
      <c r="Q3758" s="191"/>
      <c r="R3758" s="191"/>
      <c r="S3758" s="191"/>
      <c r="T3758" s="191"/>
      <c r="U3758" s="439"/>
      <c r="V3758" s="441"/>
      <c r="W3758" s="178"/>
      <c r="X3758" s="172"/>
      <c r="Y3758" s="172"/>
      <c r="Z3758" s="172"/>
      <c r="AA3758" s="195"/>
      <c r="AB3758" s="172"/>
    </row>
    <row r="3759" spans="1:28" ht="12.6" customHeight="1" x14ac:dyDescent="0.3">
      <c r="A3759" s="667"/>
      <c r="B3759" s="668" t="s">
        <v>11528</v>
      </c>
      <c r="C3759" s="160" t="s">
        <v>11529</v>
      </c>
      <c r="D3759" s="160"/>
      <c r="E3759" s="439"/>
      <c r="F3759" s="161">
        <v>573.92249200000003</v>
      </c>
      <c r="G3759" s="161">
        <v>-43.417999999999999</v>
      </c>
      <c r="H3759" s="654">
        <v>1.9674460862000001</v>
      </c>
      <c r="I3759" s="654">
        <v>1.9536780765673601E-2</v>
      </c>
      <c r="J3759" s="191"/>
      <c r="K3759" s="191">
        <v>1696875581.1219499</v>
      </c>
      <c r="L3759" s="191"/>
      <c r="M3759" s="191"/>
      <c r="N3759" s="191"/>
      <c r="O3759" s="191"/>
      <c r="P3759" s="191"/>
      <c r="Q3759" s="191"/>
      <c r="R3759" s="191"/>
      <c r="S3759" s="191"/>
      <c r="T3759" s="191"/>
      <c r="U3759" s="439"/>
      <c r="V3759" s="441"/>
      <c r="W3759" s="178"/>
      <c r="X3759" s="172"/>
      <c r="Y3759" s="172"/>
      <c r="Z3759" s="172"/>
      <c r="AA3759" s="195"/>
      <c r="AB3759" s="172"/>
    </row>
    <row r="3760" spans="1:28" ht="12.6" customHeight="1" x14ac:dyDescent="0.3">
      <c r="A3760" s="667"/>
      <c r="B3760" s="668" t="s">
        <v>11530</v>
      </c>
      <c r="C3760" s="160" t="s">
        <v>11531</v>
      </c>
      <c r="D3760" s="160"/>
      <c r="E3760" s="439"/>
      <c r="F3760" s="161">
        <v>573.92249200000003</v>
      </c>
      <c r="G3760" s="161">
        <v>-43.417999999999999</v>
      </c>
      <c r="H3760" s="654">
        <v>2.0040163108</v>
      </c>
      <c r="I3760" s="654">
        <v>1.9536780765673601E-2</v>
      </c>
      <c r="J3760" s="191"/>
      <c r="K3760" s="191">
        <v>1697031876.33621</v>
      </c>
      <c r="L3760" s="191"/>
      <c r="M3760" s="191"/>
      <c r="N3760" s="191"/>
      <c r="O3760" s="191"/>
      <c r="P3760" s="191"/>
      <c r="Q3760" s="191"/>
      <c r="R3760" s="191"/>
      <c r="S3760" s="191"/>
      <c r="T3760" s="191"/>
      <c r="U3760" s="439"/>
      <c r="V3760" s="441"/>
      <c r="W3760" s="178"/>
      <c r="X3760" s="172"/>
      <c r="Y3760" s="172"/>
      <c r="Z3760" s="172"/>
      <c r="AA3760" s="195"/>
      <c r="AB3760" s="172"/>
    </row>
    <row r="3761" spans="1:28" ht="12.6" customHeight="1" x14ac:dyDescent="0.3">
      <c r="A3761" s="667"/>
      <c r="B3761" s="668" t="s">
        <v>11532</v>
      </c>
      <c r="C3761" s="160" t="s">
        <v>11533</v>
      </c>
      <c r="D3761" s="160"/>
      <c r="E3761" s="439"/>
      <c r="F3761" s="161">
        <v>522.02762899599998</v>
      </c>
      <c r="G3761" s="161">
        <v>-58.204000000000001</v>
      </c>
      <c r="H3761" s="654">
        <v>5.8870995539999997</v>
      </c>
      <c r="I3761" s="654">
        <v>1.2814264411727699E-2</v>
      </c>
      <c r="J3761" s="191"/>
      <c r="K3761" s="191">
        <v>1698126345.9978499</v>
      </c>
      <c r="L3761" s="191"/>
      <c r="M3761" s="191"/>
      <c r="N3761" s="191"/>
      <c r="O3761" s="191"/>
      <c r="P3761" s="191"/>
      <c r="Q3761" s="191"/>
      <c r="R3761" s="191"/>
      <c r="S3761" s="191"/>
      <c r="T3761" s="191"/>
      <c r="U3761" s="439"/>
      <c r="V3761" s="441"/>
      <c r="W3761" s="178"/>
      <c r="X3761" s="172"/>
      <c r="Y3761" s="172"/>
      <c r="Z3761" s="172"/>
      <c r="AA3761" s="195"/>
      <c r="AB3761" s="172"/>
    </row>
    <row r="3762" spans="1:28" ht="12.6" customHeight="1" x14ac:dyDescent="0.3">
      <c r="A3762" s="667"/>
      <c r="B3762" s="668" t="s">
        <v>11534</v>
      </c>
      <c r="C3762" s="160" t="s">
        <v>11535</v>
      </c>
      <c r="D3762" s="160"/>
      <c r="E3762" s="439"/>
      <c r="F3762" s="161">
        <v>496.01197893199998</v>
      </c>
      <c r="G3762" s="161">
        <v>-57.865000000000002</v>
      </c>
      <c r="H3762" s="654">
        <v>5.7530976118000003</v>
      </c>
      <c r="I3762" s="654">
        <v>4.6504198299144303E-2</v>
      </c>
      <c r="J3762" s="191"/>
      <c r="K3762" s="191">
        <v>1697774475.22174</v>
      </c>
      <c r="L3762" s="191"/>
      <c r="M3762" s="191"/>
      <c r="N3762" s="191"/>
      <c r="O3762" s="191"/>
      <c r="P3762" s="191"/>
      <c r="Q3762" s="191"/>
      <c r="R3762" s="191"/>
      <c r="S3762" s="191"/>
      <c r="T3762" s="191"/>
      <c r="U3762" s="439"/>
      <c r="V3762" s="441"/>
      <c r="W3762" s="178"/>
      <c r="X3762" s="172"/>
      <c r="Y3762" s="172"/>
      <c r="Z3762" s="172"/>
      <c r="AA3762" s="195"/>
      <c r="AB3762" s="172"/>
    </row>
    <row r="3763" spans="1:28" ht="12.6" customHeight="1" x14ac:dyDescent="0.3">
      <c r="A3763" s="667"/>
      <c r="B3763" s="668" t="s">
        <v>11536</v>
      </c>
      <c r="C3763" s="160" t="s">
        <v>11537</v>
      </c>
      <c r="D3763" s="160"/>
      <c r="E3763" s="439">
        <v>9.91</v>
      </c>
      <c r="F3763" s="161">
        <v>486.002476876</v>
      </c>
      <c r="G3763" s="161">
        <v>-22.536999999999999</v>
      </c>
      <c r="H3763" s="654"/>
      <c r="I3763" s="654"/>
      <c r="J3763" s="191"/>
      <c r="K3763" s="191">
        <v>54530.565313216001</v>
      </c>
      <c r="L3763" s="191"/>
      <c r="M3763" s="191"/>
      <c r="N3763" s="191"/>
      <c r="O3763" s="191"/>
      <c r="P3763" s="191"/>
      <c r="Q3763" s="191"/>
      <c r="R3763" s="191"/>
      <c r="S3763" s="191"/>
      <c r="T3763" s="191"/>
      <c r="U3763" s="439"/>
      <c r="V3763" s="441"/>
      <c r="W3763" s="178"/>
      <c r="X3763" s="172"/>
      <c r="Y3763" s="172"/>
      <c r="Z3763" s="172"/>
      <c r="AA3763" s="195"/>
      <c r="AB3763" s="172"/>
    </row>
    <row r="3764" spans="1:28" ht="12.6" customHeight="1" x14ac:dyDescent="0.3">
      <c r="A3764" s="667"/>
      <c r="B3764" s="668" t="s">
        <v>11538</v>
      </c>
      <c r="C3764" s="160" t="s">
        <v>11539</v>
      </c>
      <c r="D3764" s="160"/>
      <c r="E3764" s="439"/>
      <c r="F3764" s="161">
        <v>501.96840004199998</v>
      </c>
      <c r="G3764" s="161">
        <v>-55.530999999999999</v>
      </c>
      <c r="H3764" s="654">
        <v>18.234849906000001</v>
      </c>
      <c r="I3764" s="654">
        <v>5.6451366268723303E-2</v>
      </c>
      <c r="J3764" s="191"/>
      <c r="K3764" s="191">
        <v>1217418788.6051099</v>
      </c>
      <c r="L3764" s="191"/>
      <c r="M3764" s="191"/>
      <c r="N3764" s="191"/>
      <c r="O3764" s="191"/>
      <c r="P3764" s="191"/>
      <c r="Q3764" s="191"/>
      <c r="R3764" s="191"/>
      <c r="S3764" s="191"/>
      <c r="T3764" s="191"/>
      <c r="U3764" s="439"/>
      <c r="V3764" s="441"/>
      <c r="W3764" s="178"/>
      <c r="X3764" s="172"/>
      <c r="Y3764" s="172"/>
      <c r="Z3764" s="172"/>
      <c r="AA3764" s="195"/>
      <c r="AB3764" s="172"/>
    </row>
    <row r="3765" spans="1:28" ht="12.6" customHeight="1" x14ac:dyDescent="0.3">
      <c r="A3765" s="667"/>
      <c r="B3765" s="668" t="s">
        <v>11540</v>
      </c>
      <c r="C3765" s="160" t="s">
        <v>11541</v>
      </c>
      <c r="D3765" s="160"/>
      <c r="E3765" s="439"/>
      <c r="F3765" s="161">
        <v>501.96840004199998</v>
      </c>
      <c r="G3765" s="161"/>
      <c r="H3765" s="654"/>
      <c r="I3765" s="654"/>
      <c r="J3765" s="191"/>
      <c r="K3765" s="191">
        <v>427927306.33796299</v>
      </c>
      <c r="L3765" s="191"/>
      <c r="M3765" s="191"/>
      <c r="N3765" s="191"/>
      <c r="O3765" s="191"/>
      <c r="P3765" s="191"/>
      <c r="Q3765" s="191"/>
      <c r="R3765" s="191"/>
      <c r="S3765" s="191"/>
      <c r="T3765" s="191"/>
      <c r="U3765" s="439"/>
      <c r="V3765" s="441"/>
      <c r="W3765" s="178"/>
      <c r="X3765" s="172"/>
      <c r="Y3765" s="172"/>
      <c r="Z3765" s="172"/>
      <c r="AA3765" s="195"/>
      <c r="AB3765" s="172"/>
    </row>
    <row r="3766" spans="1:28" ht="12.6" customHeight="1" x14ac:dyDescent="0.3">
      <c r="A3766" s="667"/>
      <c r="B3766" s="668" t="s">
        <v>11542</v>
      </c>
      <c r="C3766" s="160" t="s">
        <v>11543</v>
      </c>
      <c r="D3766" s="160"/>
      <c r="E3766" s="439">
        <v>8.52</v>
      </c>
      <c r="F3766" s="161">
        <v>486.002476876</v>
      </c>
      <c r="G3766" s="161"/>
      <c r="H3766" s="654"/>
      <c r="I3766" s="654"/>
      <c r="J3766" s="191"/>
      <c r="K3766" s="191">
        <v>50264.341806736898</v>
      </c>
      <c r="L3766" s="191"/>
      <c r="M3766" s="191"/>
      <c r="N3766" s="191"/>
      <c r="O3766" s="191"/>
      <c r="P3766" s="191"/>
      <c r="Q3766" s="191"/>
      <c r="R3766" s="191"/>
      <c r="S3766" s="191"/>
      <c r="T3766" s="191"/>
      <c r="U3766" s="439"/>
      <c r="V3766" s="441"/>
      <c r="W3766" s="178"/>
      <c r="X3766" s="172"/>
      <c r="Y3766" s="172"/>
      <c r="Z3766" s="172"/>
      <c r="AA3766" s="195"/>
      <c r="AB3766" s="172"/>
    </row>
    <row r="3767" spans="1:28" ht="12.6" customHeight="1" x14ac:dyDescent="0.3">
      <c r="A3767" s="667"/>
      <c r="B3767" s="668" t="s">
        <v>11544</v>
      </c>
      <c r="C3767" s="160" t="s">
        <v>11545</v>
      </c>
      <c r="D3767" s="160"/>
      <c r="E3767" s="439">
        <v>41.061</v>
      </c>
      <c r="F3767" s="161">
        <v>493.98107272800002</v>
      </c>
      <c r="G3767" s="161">
        <v>-73.572999999999993</v>
      </c>
      <c r="H3767" s="654"/>
      <c r="I3767" s="654"/>
      <c r="J3767" s="191"/>
      <c r="K3767" s="191">
        <v>12707.7891406333</v>
      </c>
      <c r="L3767" s="191"/>
      <c r="M3767" s="191"/>
      <c r="N3767" s="191"/>
      <c r="O3767" s="191"/>
      <c r="P3767" s="191"/>
      <c r="Q3767" s="191"/>
      <c r="R3767" s="191"/>
      <c r="S3767" s="191"/>
      <c r="T3767" s="191"/>
      <c r="U3767" s="439"/>
      <c r="V3767" s="441"/>
      <c r="W3767" s="178"/>
      <c r="X3767" s="172"/>
      <c r="Y3767" s="172"/>
      <c r="Z3767" s="172"/>
      <c r="AA3767" s="195"/>
      <c r="AB3767" s="172"/>
    </row>
    <row r="3768" spans="1:28" ht="12.6" customHeight="1" x14ac:dyDescent="0.3">
      <c r="A3768" s="667"/>
      <c r="B3768" s="668" t="s">
        <v>11546</v>
      </c>
      <c r="C3768" s="160" t="s">
        <v>11547</v>
      </c>
      <c r="D3768" s="160"/>
      <c r="E3768" s="439">
        <v>7.1</v>
      </c>
      <c r="F3768" s="161">
        <v>543.93810069999995</v>
      </c>
      <c r="G3768" s="161">
        <v>-35.716000000000001</v>
      </c>
      <c r="H3768" s="654">
        <v>2.2075056794000001</v>
      </c>
      <c r="I3768" s="654">
        <v>6.7538074273415405E-2</v>
      </c>
      <c r="J3768" s="191"/>
      <c r="K3768" s="191">
        <v>21512951.592891902</v>
      </c>
      <c r="L3768" s="191"/>
      <c r="M3768" s="191"/>
      <c r="N3768" s="191"/>
      <c r="O3768" s="191"/>
      <c r="P3768" s="191"/>
      <c r="Q3768" s="191"/>
      <c r="R3768" s="191"/>
      <c r="S3768" s="191"/>
      <c r="T3768" s="191"/>
      <c r="U3768" s="439"/>
      <c r="V3768" s="441"/>
      <c r="W3768" s="178"/>
      <c r="X3768" s="172"/>
      <c r="Y3768" s="172"/>
      <c r="Z3768" s="172"/>
      <c r="AA3768" s="195"/>
      <c r="AB3768" s="172"/>
    </row>
    <row r="3769" spans="1:28" ht="12.6" customHeight="1" x14ac:dyDescent="0.3">
      <c r="A3769" s="667"/>
      <c r="B3769" s="668" t="s">
        <v>11548</v>
      </c>
      <c r="C3769" s="160" t="s">
        <v>11549</v>
      </c>
      <c r="D3769" s="160"/>
      <c r="E3769" s="439">
        <v>1.65</v>
      </c>
      <c r="F3769" s="161">
        <v>918.95352292400003</v>
      </c>
      <c r="G3769" s="161"/>
      <c r="H3769" s="654"/>
      <c r="I3769" s="654"/>
      <c r="J3769" s="191"/>
      <c r="K3769" s="191">
        <v>35715768.555775397</v>
      </c>
      <c r="L3769" s="191"/>
      <c r="M3769" s="191"/>
      <c r="N3769" s="191"/>
      <c r="O3769" s="191"/>
      <c r="P3769" s="191"/>
      <c r="Q3769" s="191"/>
      <c r="R3769" s="191"/>
      <c r="S3769" s="191"/>
      <c r="T3769" s="191"/>
      <c r="U3769" s="439"/>
      <c r="V3769" s="441"/>
      <c r="W3769" s="178"/>
      <c r="X3769" s="172"/>
      <c r="Y3769" s="172"/>
      <c r="Z3769" s="172"/>
      <c r="AA3769" s="195"/>
      <c r="AB3769" s="172"/>
    </row>
    <row r="3770" spans="1:28" ht="12.6" customHeight="1" x14ac:dyDescent="0.3">
      <c r="A3770" s="667"/>
      <c r="B3770" s="668" t="s">
        <v>11550</v>
      </c>
      <c r="C3770" s="160" t="s">
        <v>11551</v>
      </c>
      <c r="D3770" s="160"/>
      <c r="E3770" s="439">
        <v>8.39</v>
      </c>
      <c r="F3770" s="161">
        <v>436.00567054999999</v>
      </c>
      <c r="G3770" s="161"/>
      <c r="H3770" s="654"/>
      <c r="I3770" s="654"/>
      <c r="J3770" s="191"/>
      <c r="K3770" s="191">
        <v>65495.279526517203</v>
      </c>
      <c r="L3770" s="191"/>
      <c r="M3770" s="191"/>
      <c r="N3770" s="191"/>
      <c r="O3770" s="191"/>
      <c r="P3770" s="191"/>
      <c r="Q3770" s="191"/>
      <c r="R3770" s="191"/>
      <c r="S3770" s="191"/>
      <c r="T3770" s="191"/>
      <c r="U3770" s="439"/>
      <c r="V3770" s="441"/>
      <c r="W3770" s="178"/>
      <c r="X3770" s="172"/>
      <c r="Y3770" s="172"/>
      <c r="Z3770" s="172"/>
      <c r="AA3770" s="195"/>
      <c r="AB3770" s="172"/>
    </row>
    <row r="3771" spans="1:28" ht="12.6" customHeight="1" x14ac:dyDescent="0.3">
      <c r="A3771" s="667"/>
      <c r="B3771" s="668" t="s">
        <v>11552</v>
      </c>
      <c r="C3771" s="160" t="s">
        <v>11553</v>
      </c>
      <c r="D3771" s="160"/>
      <c r="E3771" s="439"/>
      <c r="F3771" s="161">
        <v>473.92887899999999</v>
      </c>
      <c r="G3771" s="161">
        <v>-44.850999999999999</v>
      </c>
      <c r="H3771" s="654">
        <v>4.5175359767999996</v>
      </c>
      <c r="I3771" s="654">
        <v>0.12097982494232901</v>
      </c>
      <c r="J3771" s="191"/>
      <c r="K3771" s="191">
        <v>562509679.42417097</v>
      </c>
      <c r="L3771" s="191"/>
      <c r="M3771" s="191"/>
      <c r="N3771" s="191"/>
      <c r="O3771" s="191"/>
      <c r="P3771" s="191"/>
      <c r="Q3771" s="191"/>
      <c r="R3771" s="191"/>
      <c r="S3771" s="191"/>
      <c r="T3771" s="191"/>
      <c r="U3771" s="439"/>
      <c r="V3771" s="441"/>
      <c r="W3771" s="178"/>
      <c r="X3771" s="172"/>
      <c r="Y3771" s="172"/>
      <c r="Z3771" s="172"/>
      <c r="AA3771" s="195"/>
      <c r="AB3771" s="172"/>
    </row>
    <row r="3772" spans="1:28" ht="12.6" customHeight="1" x14ac:dyDescent="0.3">
      <c r="A3772" s="667"/>
      <c r="B3772" s="668" t="s">
        <v>11554</v>
      </c>
      <c r="C3772" s="160" t="s">
        <v>11555</v>
      </c>
      <c r="D3772" s="160"/>
      <c r="E3772" s="439">
        <v>15</v>
      </c>
      <c r="F3772" s="161">
        <v>489.03983000099998</v>
      </c>
      <c r="G3772" s="161">
        <v>-14.348000000000001</v>
      </c>
      <c r="H3772" s="654">
        <v>0.29710007768000002</v>
      </c>
      <c r="I3772" s="654">
        <v>0.202929033618234</v>
      </c>
      <c r="J3772" s="191"/>
      <c r="K3772" s="191">
        <v>680236.60727267002</v>
      </c>
      <c r="L3772" s="191"/>
      <c r="M3772" s="191"/>
      <c r="N3772" s="191"/>
      <c r="O3772" s="191"/>
      <c r="P3772" s="191"/>
      <c r="Q3772" s="191"/>
      <c r="R3772" s="191"/>
      <c r="S3772" s="191"/>
      <c r="T3772" s="191"/>
      <c r="U3772" s="439"/>
      <c r="V3772" s="441"/>
      <c r="W3772" s="178"/>
      <c r="X3772" s="172"/>
      <c r="Y3772" s="172"/>
      <c r="Z3772" s="172"/>
      <c r="AA3772" s="195"/>
      <c r="AB3772" s="172"/>
    </row>
    <row r="3773" spans="1:28" ht="12.6" customHeight="1" x14ac:dyDescent="0.3">
      <c r="A3773" s="667"/>
      <c r="B3773" s="668" t="s">
        <v>11556</v>
      </c>
      <c r="C3773" s="160" t="s">
        <v>11557</v>
      </c>
      <c r="D3773" s="160"/>
      <c r="E3773" s="439"/>
      <c r="F3773" s="161">
        <v>806.01599711599999</v>
      </c>
      <c r="G3773" s="161">
        <v>-8.3840000000000003</v>
      </c>
      <c r="H3773" s="654">
        <v>0.18616684114000001</v>
      </c>
      <c r="I3773" s="654"/>
      <c r="J3773" s="191"/>
      <c r="K3773" s="191">
        <v>663651377.24202394</v>
      </c>
      <c r="L3773" s="191"/>
      <c r="M3773" s="191"/>
      <c r="N3773" s="191"/>
      <c r="O3773" s="191"/>
      <c r="P3773" s="191"/>
      <c r="Q3773" s="191"/>
      <c r="R3773" s="191"/>
      <c r="S3773" s="191"/>
      <c r="T3773" s="191"/>
      <c r="U3773" s="439"/>
      <c r="V3773" s="441"/>
      <c r="W3773" s="178"/>
      <c r="X3773" s="172"/>
      <c r="Y3773" s="172"/>
      <c r="Z3773" s="172"/>
      <c r="AA3773" s="195"/>
      <c r="AB3773" s="172"/>
    </row>
    <row r="3774" spans="1:28" ht="12.6" customHeight="1" x14ac:dyDescent="0.3">
      <c r="A3774" s="667"/>
      <c r="B3774" s="668" t="s">
        <v>11558</v>
      </c>
      <c r="C3774" s="160" t="s">
        <v>11559</v>
      </c>
      <c r="D3774" s="160"/>
      <c r="E3774" s="439"/>
      <c r="F3774" s="161">
        <v>396.01836628000001</v>
      </c>
      <c r="G3774" s="161">
        <v>-59.296999999999997</v>
      </c>
      <c r="H3774" s="654">
        <v>13.179586306599999</v>
      </c>
      <c r="I3774" s="654">
        <v>0.32041687608368202</v>
      </c>
      <c r="J3774" s="191"/>
      <c r="K3774" s="191">
        <v>161402404.36734101</v>
      </c>
      <c r="L3774" s="191"/>
      <c r="M3774" s="191"/>
      <c r="N3774" s="191"/>
      <c r="O3774" s="191"/>
      <c r="P3774" s="191"/>
      <c r="Q3774" s="191"/>
      <c r="R3774" s="191"/>
      <c r="S3774" s="191"/>
      <c r="T3774" s="191"/>
      <c r="U3774" s="439"/>
      <c r="V3774" s="441"/>
      <c r="W3774" s="178"/>
      <c r="X3774" s="172"/>
      <c r="Y3774" s="172"/>
      <c r="Z3774" s="172"/>
      <c r="AA3774" s="195"/>
      <c r="AB3774" s="172"/>
    </row>
    <row r="3775" spans="1:28" ht="12.6" customHeight="1" x14ac:dyDescent="0.3">
      <c r="A3775" s="667"/>
      <c r="B3775" s="668" t="s">
        <v>11560</v>
      </c>
      <c r="C3775" s="160" t="s">
        <v>11561</v>
      </c>
      <c r="D3775" s="160"/>
      <c r="E3775" s="439"/>
      <c r="F3775" s="161">
        <v>401.97478739000002</v>
      </c>
      <c r="G3775" s="161">
        <v>-56.963999999999999</v>
      </c>
      <c r="H3775" s="654">
        <v>21.325653832</v>
      </c>
      <c r="I3775" s="654">
        <v>1.31280141864125</v>
      </c>
      <c r="J3775" s="191"/>
      <c r="K3775" s="191">
        <v>11498203.7461487</v>
      </c>
      <c r="L3775" s="191"/>
      <c r="M3775" s="191"/>
      <c r="N3775" s="191"/>
      <c r="O3775" s="191"/>
      <c r="P3775" s="191"/>
      <c r="Q3775" s="191"/>
      <c r="R3775" s="191"/>
      <c r="S3775" s="191"/>
      <c r="T3775" s="191"/>
      <c r="U3775" s="439"/>
      <c r="V3775" s="441"/>
      <c r="W3775" s="178"/>
      <c r="X3775" s="172"/>
      <c r="Y3775" s="172"/>
      <c r="Z3775" s="172"/>
      <c r="AA3775" s="195"/>
      <c r="AB3775" s="172"/>
    </row>
    <row r="3776" spans="1:28" ht="12.6" customHeight="1" x14ac:dyDescent="0.3">
      <c r="A3776" s="667"/>
      <c r="B3776" s="668" t="s">
        <v>11562</v>
      </c>
      <c r="C3776" s="160" t="s">
        <v>11563</v>
      </c>
      <c r="D3776" s="160"/>
      <c r="E3776" s="439">
        <v>40.67</v>
      </c>
      <c r="F3776" s="161">
        <v>401.97478739000002</v>
      </c>
      <c r="G3776" s="161">
        <v>-56.963999999999999</v>
      </c>
      <c r="H3776" s="654">
        <v>22.485421909999999</v>
      </c>
      <c r="I3776" s="654">
        <v>1.11480471736443</v>
      </c>
      <c r="J3776" s="191"/>
      <c r="K3776" s="191">
        <v>14399254.243840899</v>
      </c>
      <c r="L3776" s="191"/>
      <c r="M3776" s="191"/>
      <c r="N3776" s="191"/>
      <c r="O3776" s="191"/>
      <c r="P3776" s="191"/>
      <c r="Q3776" s="191"/>
      <c r="R3776" s="191"/>
      <c r="S3776" s="191"/>
      <c r="T3776" s="191"/>
      <c r="U3776" s="439"/>
      <c r="V3776" s="441"/>
      <c r="W3776" s="178"/>
      <c r="X3776" s="172"/>
      <c r="Y3776" s="172"/>
      <c r="Z3776" s="172"/>
      <c r="AA3776" s="195"/>
      <c r="AB3776" s="172"/>
    </row>
    <row r="3777" spans="1:28" ht="12.6" customHeight="1" x14ac:dyDescent="0.3">
      <c r="A3777" s="667"/>
      <c r="B3777" s="668" t="s">
        <v>11564</v>
      </c>
      <c r="C3777" s="160" t="s">
        <v>11565</v>
      </c>
      <c r="D3777" s="160"/>
      <c r="E3777" s="439">
        <v>9.83</v>
      </c>
      <c r="F3777" s="161">
        <v>436.02451428799998</v>
      </c>
      <c r="G3777" s="161">
        <v>7.4619999999999997</v>
      </c>
      <c r="H3777" s="654">
        <v>0.30824846332</v>
      </c>
      <c r="I3777" s="654">
        <v>0.15293647043554401</v>
      </c>
      <c r="J3777" s="191"/>
      <c r="K3777" s="191">
        <v>425627.813446032</v>
      </c>
      <c r="L3777" s="191"/>
      <c r="M3777" s="191"/>
      <c r="N3777" s="191"/>
      <c r="O3777" s="191"/>
      <c r="P3777" s="191"/>
      <c r="Q3777" s="191"/>
      <c r="R3777" s="191"/>
      <c r="S3777" s="191"/>
      <c r="T3777" s="191"/>
      <c r="U3777" s="439"/>
      <c r="V3777" s="441"/>
      <c r="W3777" s="178"/>
      <c r="X3777" s="172"/>
      <c r="Y3777" s="172"/>
      <c r="Z3777" s="172"/>
      <c r="AA3777" s="195"/>
      <c r="AB3777" s="172"/>
    </row>
    <row r="3778" spans="1:28" ht="12.6" customHeight="1" x14ac:dyDescent="0.3">
      <c r="A3778" s="667"/>
      <c r="B3778" s="668" t="s">
        <v>11566</v>
      </c>
      <c r="C3778" s="160" t="s">
        <v>11567</v>
      </c>
      <c r="D3778" s="160"/>
      <c r="E3778" s="439">
        <v>6.91</v>
      </c>
      <c r="F3778" s="161">
        <v>808.00649505900003</v>
      </c>
      <c r="G3778" s="161">
        <v>-4.07</v>
      </c>
      <c r="H3778" s="654">
        <v>7.0941702775999997E-3</v>
      </c>
      <c r="I3778" s="654"/>
      <c r="J3778" s="191"/>
      <c r="K3778" s="191">
        <v>58790885.294183299</v>
      </c>
      <c r="L3778" s="191"/>
      <c r="M3778" s="191"/>
      <c r="N3778" s="191"/>
      <c r="O3778" s="191"/>
      <c r="P3778" s="191"/>
      <c r="Q3778" s="191"/>
      <c r="R3778" s="191"/>
      <c r="S3778" s="191"/>
      <c r="T3778" s="191"/>
      <c r="U3778" s="439"/>
      <c r="V3778" s="441"/>
      <c r="W3778" s="178"/>
      <c r="X3778" s="172"/>
      <c r="Y3778" s="172"/>
      <c r="Z3778" s="172"/>
      <c r="AA3778" s="195"/>
      <c r="AB3778" s="172"/>
    </row>
    <row r="3779" spans="1:28" ht="12.6" customHeight="1" x14ac:dyDescent="0.3">
      <c r="A3779" s="667"/>
      <c r="B3779" s="668" t="s">
        <v>11568</v>
      </c>
      <c r="C3779" s="160" t="s">
        <v>11569</v>
      </c>
      <c r="D3779" s="160"/>
      <c r="E3779" s="439">
        <v>10.86</v>
      </c>
      <c r="F3779" s="161">
        <v>462.04016435199998</v>
      </c>
      <c r="G3779" s="161"/>
      <c r="H3779" s="654"/>
      <c r="I3779" s="654"/>
      <c r="J3779" s="191"/>
      <c r="K3779" s="191">
        <v>25311040.573511701</v>
      </c>
      <c r="L3779" s="191"/>
      <c r="M3779" s="191"/>
      <c r="N3779" s="191"/>
      <c r="O3779" s="191"/>
      <c r="P3779" s="191"/>
      <c r="Q3779" s="191"/>
      <c r="R3779" s="191"/>
      <c r="S3779" s="191"/>
      <c r="T3779" s="191"/>
      <c r="U3779" s="439"/>
      <c r="V3779" s="441"/>
      <c r="W3779" s="178"/>
      <c r="X3779" s="172"/>
      <c r="Y3779" s="172"/>
      <c r="Z3779" s="172"/>
      <c r="AA3779" s="195"/>
      <c r="AB3779" s="172"/>
    </row>
    <row r="3780" spans="1:28" ht="12.6" customHeight="1" x14ac:dyDescent="0.3">
      <c r="A3780" s="667"/>
      <c r="B3780" s="668" t="s">
        <v>11570</v>
      </c>
      <c r="C3780" s="160" t="s">
        <v>11571</v>
      </c>
      <c r="D3780" s="160"/>
      <c r="E3780" s="439"/>
      <c r="F3780" s="161">
        <v>521.91501000000005</v>
      </c>
      <c r="G3780" s="161"/>
      <c r="H3780" s="654"/>
      <c r="I3780" s="654"/>
      <c r="J3780" s="191"/>
      <c r="K3780" s="191">
        <v>119011793.49101999</v>
      </c>
      <c r="L3780" s="191"/>
      <c r="M3780" s="191"/>
      <c r="N3780" s="191"/>
      <c r="O3780" s="191"/>
      <c r="P3780" s="191"/>
      <c r="Q3780" s="191"/>
      <c r="R3780" s="191"/>
      <c r="S3780" s="191"/>
      <c r="T3780" s="191"/>
      <c r="U3780" s="439"/>
      <c r="V3780" s="441"/>
      <c r="W3780" s="178"/>
      <c r="X3780" s="172"/>
      <c r="Y3780" s="172"/>
      <c r="Z3780" s="172"/>
      <c r="AA3780" s="195"/>
      <c r="AB3780" s="172"/>
    </row>
    <row r="3781" spans="1:28" ht="12.6" customHeight="1" x14ac:dyDescent="0.3">
      <c r="A3781" s="667"/>
      <c r="B3781" s="668" t="s">
        <v>11572</v>
      </c>
      <c r="C3781" s="160" t="s">
        <v>11573</v>
      </c>
      <c r="D3781" s="160"/>
      <c r="E3781" s="439"/>
      <c r="F3781" s="161">
        <v>561.87302199999999</v>
      </c>
      <c r="G3781" s="161"/>
      <c r="H3781" s="654"/>
      <c r="I3781" s="654"/>
      <c r="J3781" s="191"/>
      <c r="K3781" s="191">
        <v>48409433.450766802</v>
      </c>
      <c r="L3781" s="191"/>
      <c r="M3781" s="191"/>
      <c r="N3781" s="191"/>
      <c r="O3781" s="191"/>
      <c r="P3781" s="191"/>
      <c r="Q3781" s="191"/>
      <c r="R3781" s="191"/>
      <c r="S3781" s="191"/>
      <c r="T3781" s="191"/>
      <c r="U3781" s="439"/>
      <c r="V3781" s="441"/>
      <c r="W3781" s="178"/>
      <c r="X3781" s="172"/>
      <c r="Y3781" s="172"/>
      <c r="Z3781" s="172"/>
      <c r="AA3781" s="195"/>
      <c r="AB3781" s="172"/>
    </row>
    <row r="3782" spans="1:28" ht="12.6" customHeight="1" x14ac:dyDescent="0.3">
      <c r="A3782" s="667"/>
      <c r="B3782" s="668" t="s">
        <v>11574</v>
      </c>
      <c r="C3782" s="160" t="s">
        <v>11575</v>
      </c>
      <c r="D3782" s="160"/>
      <c r="E3782" s="439"/>
      <c r="F3782" s="161">
        <v>483.96250862800002</v>
      </c>
      <c r="G3782" s="161"/>
      <c r="H3782" s="654"/>
      <c r="I3782" s="654"/>
      <c r="J3782" s="191"/>
      <c r="K3782" s="191">
        <v>119099516.935669</v>
      </c>
      <c r="L3782" s="191"/>
      <c r="M3782" s="191"/>
      <c r="N3782" s="191"/>
      <c r="O3782" s="191"/>
      <c r="P3782" s="191"/>
      <c r="Q3782" s="191"/>
      <c r="R3782" s="191"/>
      <c r="S3782" s="191"/>
      <c r="T3782" s="191"/>
      <c r="U3782" s="439"/>
      <c r="V3782" s="441"/>
      <c r="W3782" s="178"/>
      <c r="X3782" s="172"/>
      <c r="Y3782" s="172"/>
      <c r="Z3782" s="172"/>
      <c r="AA3782" s="195"/>
      <c r="AB3782" s="172"/>
    </row>
    <row r="3783" spans="1:28" ht="12.6" customHeight="1" x14ac:dyDescent="0.3">
      <c r="A3783" s="667"/>
      <c r="B3783" s="668" t="s">
        <v>11576</v>
      </c>
      <c r="C3783" s="160" t="s">
        <v>11577</v>
      </c>
      <c r="D3783" s="160"/>
      <c r="E3783" s="439"/>
      <c r="F3783" s="161">
        <v>473.92887899999999</v>
      </c>
      <c r="G3783" s="161"/>
      <c r="H3783" s="654"/>
      <c r="I3783" s="654"/>
      <c r="J3783" s="191"/>
      <c r="K3783" s="191">
        <v>141110717.465262</v>
      </c>
      <c r="L3783" s="191"/>
      <c r="M3783" s="191"/>
      <c r="N3783" s="191"/>
      <c r="O3783" s="191"/>
      <c r="P3783" s="191"/>
      <c r="Q3783" s="191"/>
      <c r="R3783" s="191"/>
      <c r="S3783" s="191"/>
      <c r="T3783" s="191"/>
      <c r="U3783" s="439"/>
      <c r="V3783" s="441"/>
      <c r="W3783" s="178"/>
      <c r="X3783" s="172"/>
      <c r="Y3783" s="172"/>
      <c r="Z3783" s="172"/>
      <c r="AA3783" s="195"/>
      <c r="AB3783" s="172"/>
    </row>
    <row r="3784" spans="1:28" ht="12.6" customHeight="1" x14ac:dyDescent="0.3">
      <c r="A3784" s="667"/>
      <c r="B3784" s="668" t="s">
        <v>11578</v>
      </c>
      <c r="C3784" s="160" t="s">
        <v>11579</v>
      </c>
      <c r="D3784" s="160"/>
      <c r="E3784" s="439"/>
      <c r="F3784" s="161">
        <v>713.98978236699998</v>
      </c>
      <c r="G3784" s="161"/>
      <c r="H3784" s="654"/>
      <c r="I3784" s="654"/>
      <c r="J3784" s="191"/>
      <c r="K3784" s="191">
        <v>24760533.618289899</v>
      </c>
      <c r="L3784" s="191"/>
      <c r="M3784" s="191"/>
      <c r="N3784" s="191"/>
      <c r="O3784" s="191"/>
      <c r="P3784" s="191"/>
      <c r="Q3784" s="191"/>
      <c r="R3784" s="191"/>
      <c r="S3784" s="191"/>
      <c r="T3784" s="191"/>
      <c r="U3784" s="439"/>
      <c r="V3784" s="441"/>
      <c r="W3784" s="178"/>
      <c r="X3784" s="172"/>
      <c r="Y3784" s="172"/>
      <c r="Z3784" s="172"/>
      <c r="AA3784" s="195"/>
      <c r="AB3784" s="172"/>
    </row>
    <row r="3785" spans="1:28" ht="12.6" customHeight="1" x14ac:dyDescent="0.3">
      <c r="A3785" s="667"/>
      <c r="B3785" s="668" t="s">
        <v>11580</v>
      </c>
      <c r="C3785" s="160" t="s">
        <v>11581</v>
      </c>
      <c r="D3785" s="160"/>
      <c r="E3785" s="439">
        <v>9.92</v>
      </c>
      <c r="F3785" s="161">
        <v>530.06637910100005</v>
      </c>
      <c r="G3785" s="161"/>
      <c r="H3785" s="654"/>
      <c r="I3785" s="654"/>
      <c r="J3785" s="191"/>
      <c r="K3785" s="191">
        <v>18224683.715872999</v>
      </c>
      <c r="L3785" s="191"/>
      <c r="M3785" s="191"/>
      <c r="N3785" s="191"/>
      <c r="O3785" s="191"/>
      <c r="P3785" s="191"/>
      <c r="Q3785" s="191"/>
      <c r="R3785" s="191"/>
      <c r="S3785" s="191"/>
      <c r="T3785" s="191"/>
      <c r="U3785" s="439"/>
      <c r="V3785" s="441"/>
      <c r="W3785" s="178"/>
      <c r="X3785" s="172"/>
      <c r="Y3785" s="172"/>
      <c r="Z3785" s="172"/>
      <c r="AA3785" s="195"/>
      <c r="AB3785" s="172"/>
    </row>
    <row r="3786" spans="1:28" ht="12.6" customHeight="1" x14ac:dyDescent="0.3">
      <c r="A3786" s="667"/>
      <c r="B3786" s="668" t="s">
        <v>11582</v>
      </c>
      <c r="C3786" s="160" t="s">
        <v>11583</v>
      </c>
      <c r="D3786" s="160"/>
      <c r="E3786" s="439"/>
      <c r="F3786" s="161">
        <v>527.87143000000003</v>
      </c>
      <c r="G3786" s="161"/>
      <c r="H3786" s="654"/>
      <c r="I3786" s="654"/>
      <c r="J3786" s="191"/>
      <c r="K3786" s="191">
        <v>10645841.600100899</v>
      </c>
      <c r="L3786" s="191"/>
      <c r="M3786" s="191"/>
      <c r="N3786" s="191"/>
      <c r="O3786" s="191"/>
      <c r="P3786" s="191"/>
      <c r="Q3786" s="191"/>
      <c r="R3786" s="191"/>
      <c r="S3786" s="191"/>
      <c r="T3786" s="191"/>
      <c r="U3786" s="439"/>
      <c r="V3786" s="441"/>
      <c r="W3786" s="178"/>
      <c r="X3786" s="172"/>
      <c r="Y3786" s="172"/>
      <c r="Z3786" s="172"/>
      <c r="AA3786" s="195"/>
      <c r="AB3786" s="172"/>
    </row>
    <row r="3787" spans="1:28" ht="12.6" customHeight="1" x14ac:dyDescent="0.3">
      <c r="A3787" s="667"/>
      <c r="B3787" s="668" t="s">
        <v>11584</v>
      </c>
      <c r="C3787" s="160" t="s">
        <v>11585</v>
      </c>
      <c r="D3787" s="160"/>
      <c r="E3787" s="439"/>
      <c r="F3787" s="161">
        <v>527.87143000000003</v>
      </c>
      <c r="G3787" s="161"/>
      <c r="H3787" s="654"/>
      <c r="I3787" s="654"/>
      <c r="J3787" s="191"/>
      <c r="K3787" s="191">
        <v>18947852.705338001</v>
      </c>
      <c r="L3787" s="191"/>
      <c r="M3787" s="191"/>
      <c r="N3787" s="191"/>
      <c r="O3787" s="191"/>
      <c r="P3787" s="191"/>
      <c r="Q3787" s="191"/>
      <c r="R3787" s="191"/>
      <c r="S3787" s="191"/>
      <c r="T3787" s="191"/>
      <c r="U3787" s="439"/>
      <c r="V3787" s="441"/>
      <c r="W3787" s="178"/>
      <c r="X3787" s="172"/>
      <c r="Y3787" s="172"/>
      <c r="Z3787" s="172"/>
      <c r="AA3787" s="195"/>
      <c r="AB3787" s="172"/>
    </row>
    <row r="3788" spans="1:28" ht="12.6" customHeight="1" x14ac:dyDescent="0.3">
      <c r="A3788" s="667"/>
      <c r="B3788" s="668" t="s">
        <v>11586</v>
      </c>
      <c r="C3788" s="160" t="s">
        <v>11587</v>
      </c>
      <c r="D3788" s="160"/>
      <c r="E3788" s="439">
        <v>6.38</v>
      </c>
      <c r="F3788" s="161">
        <v>464.01942890800001</v>
      </c>
      <c r="G3788" s="161"/>
      <c r="H3788" s="654"/>
      <c r="I3788" s="654"/>
      <c r="J3788" s="191"/>
      <c r="K3788" s="191">
        <v>295917.05760213902</v>
      </c>
      <c r="L3788" s="191"/>
      <c r="M3788" s="191"/>
      <c r="N3788" s="191"/>
      <c r="O3788" s="191"/>
      <c r="P3788" s="191"/>
      <c r="Q3788" s="191"/>
      <c r="R3788" s="191"/>
      <c r="S3788" s="191"/>
      <c r="T3788" s="191"/>
      <c r="U3788" s="439"/>
      <c r="V3788" s="441"/>
      <c r="W3788" s="178"/>
      <c r="X3788" s="172"/>
      <c r="Y3788" s="172"/>
      <c r="Z3788" s="172"/>
      <c r="AA3788" s="195"/>
      <c r="AB3788" s="172"/>
    </row>
    <row r="3789" spans="1:28" ht="12.6" customHeight="1" x14ac:dyDescent="0.3">
      <c r="A3789" s="667"/>
      <c r="B3789" s="668" t="s">
        <v>11588</v>
      </c>
      <c r="C3789" s="160" t="s">
        <v>11589</v>
      </c>
      <c r="D3789" s="160"/>
      <c r="E3789" s="439"/>
      <c r="F3789" s="161">
        <v>722.05238262399996</v>
      </c>
      <c r="G3789" s="161"/>
      <c r="H3789" s="654"/>
      <c r="I3789" s="654"/>
      <c r="J3789" s="191"/>
      <c r="K3789" s="191">
        <v>2920653.2560571101</v>
      </c>
      <c r="L3789" s="191"/>
      <c r="M3789" s="191"/>
      <c r="N3789" s="191"/>
      <c r="O3789" s="191"/>
      <c r="P3789" s="191"/>
      <c r="Q3789" s="191"/>
      <c r="R3789" s="191"/>
      <c r="S3789" s="191"/>
      <c r="T3789" s="191"/>
      <c r="U3789" s="439"/>
      <c r="V3789" s="441"/>
      <c r="W3789" s="178"/>
      <c r="X3789" s="172"/>
      <c r="Y3789" s="172"/>
      <c r="Z3789" s="172"/>
      <c r="AA3789" s="195"/>
      <c r="AB3789" s="172"/>
    </row>
    <row r="3790" spans="1:28" ht="12.6" customHeight="1" x14ac:dyDescent="0.3">
      <c r="A3790" s="667"/>
      <c r="B3790" s="668" t="s">
        <v>11590</v>
      </c>
      <c r="C3790" s="160" t="s">
        <v>11591</v>
      </c>
      <c r="D3790" s="160"/>
      <c r="E3790" s="439">
        <v>7.85</v>
      </c>
      <c r="F3790" s="161">
        <v>336.01205789800002</v>
      </c>
      <c r="G3790" s="161">
        <v>11.468</v>
      </c>
      <c r="H3790" s="654">
        <v>11.140426316599999</v>
      </c>
      <c r="I3790" s="654">
        <v>8.4987529804141104</v>
      </c>
      <c r="J3790" s="191"/>
      <c r="K3790" s="191">
        <v>2017.15838563071</v>
      </c>
      <c r="L3790" s="191"/>
      <c r="M3790" s="191"/>
      <c r="N3790" s="191"/>
      <c r="O3790" s="191"/>
      <c r="P3790" s="191"/>
      <c r="Q3790" s="191"/>
      <c r="R3790" s="191"/>
      <c r="S3790" s="191"/>
      <c r="T3790" s="191"/>
      <c r="U3790" s="439"/>
      <c r="V3790" s="441"/>
      <c r="W3790" s="178"/>
      <c r="X3790" s="172"/>
      <c r="Y3790" s="172"/>
      <c r="Z3790" s="172"/>
      <c r="AA3790" s="195"/>
      <c r="AB3790" s="172"/>
    </row>
    <row r="3791" spans="1:28" ht="12.6" customHeight="1" x14ac:dyDescent="0.3">
      <c r="A3791" s="667"/>
      <c r="B3791" s="668" t="s">
        <v>11592</v>
      </c>
      <c r="C3791" s="160" t="s">
        <v>11593</v>
      </c>
      <c r="D3791" s="160"/>
      <c r="E3791" s="439"/>
      <c r="F3791" s="161">
        <v>565.99616971499995</v>
      </c>
      <c r="G3791" s="161"/>
      <c r="H3791" s="654"/>
      <c r="I3791" s="654"/>
      <c r="J3791" s="191"/>
      <c r="K3791" s="191">
        <v>204150.28944326</v>
      </c>
      <c r="L3791" s="191"/>
      <c r="M3791" s="191"/>
      <c r="N3791" s="191"/>
      <c r="O3791" s="191"/>
      <c r="P3791" s="191"/>
      <c r="Q3791" s="191"/>
      <c r="R3791" s="191"/>
      <c r="S3791" s="191"/>
      <c r="T3791" s="191"/>
      <c r="U3791" s="439"/>
      <c r="V3791" s="441"/>
      <c r="W3791" s="178"/>
      <c r="X3791" s="172"/>
      <c r="Y3791" s="172"/>
      <c r="Z3791" s="172"/>
      <c r="AA3791" s="195"/>
      <c r="AB3791" s="172"/>
    </row>
    <row r="3792" spans="1:28" ht="12.6" customHeight="1" x14ac:dyDescent="0.3">
      <c r="A3792" s="667"/>
      <c r="B3792" s="668" t="s">
        <v>11594</v>
      </c>
      <c r="C3792" s="160" t="s">
        <v>11595</v>
      </c>
      <c r="D3792" s="160"/>
      <c r="E3792" s="439"/>
      <c r="F3792" s="161">
        <v>622.05876997200005</v>
      </c>
      <c r="G3792" s="161"/>
      <c r="H3792" s="654"/>
      <c r="I3792" s="654"/>
      <c r="J3792" s="191"/>
      <c r="K3792" s="191">
        <v>4068740.5759778898</v>
      </c>
      <c r="L3792" s="191"/>
      <c r="M3792" s="191"/>
      <c r="N3792" s="191"/>
      <c r="O3792" s="191"/>
      <c r="P3792" s="191"/>
      <c r="Q3792" s="191"/>
      <c r="R3792" s="191"/>
      <c r="S3792" s="191"/>
      <c r="T3792" s="191"/>
      <c r="U3792" s="439"/>
      <c r="V3792" s="441"/>
      <c r="W3792" s="178"/>
      <c r="X3792" s="172"/>
      <c r="Y3792" s="172"/>
      <c r="Z3792" s="172"/>
      <c r="AA3792" s="195"/>
      <c r="AB3792" s="172"/>
    </row>
    <row r="3793" spans="1:28" ht="12.6" customHeight="1" x14ac:dyDescent="0.3">
      <c r="A3793" s="667"/>
      <c r="B3793" s="668" t="s">
        <v>11596</v>
      </c>
      <c r="C3793" s="160" t="s">
        <v>11597</v>
      </c>
      <c r="D3793" s="160"/>
      <c r="E3793" s="439"/>
      <c r="F3793" s="161">
        <v>678.12137023000003</v>
      </c>
      <c r="G3793" s="161"/>
      <c r="H3793" s="654"/>
      <c r="I3793" s="654"/>
      <c r="J3793" s="191"/>
      <c r="K3793" s="191">
        <v>3782247.98343533</v>
      </c>
      <c r="L3793" s="191"/>
      <c r="M3793" s="191"/>
      <c r="N3793" s="191"/>
      <c r="O3793" s="191"/>
      <c r="P3793" s="191"/>
      <c r="Q3793" s="191"/>
      <c r="R3793" s="191"/>
      <c r="S3793" s="191"/>
      <c r="T3793" s="191"/>
      <c r="U3793" s="439"/>
      <c r="V3793" s="441"/>
      <c r="W3793" s="178"/>
      <c r="X3793" s="172"/>
      <c r="Y3793" s="172"/>
      <c r="Z3793" s="172"/>
      <c r="AA3793" s="195"/>
      <c r="AB3793" s="172"/>
    </row>
    <row r="3794" spans="1:28" ht="12.6" customHeight="1" x14ac:dyDescent="0.3">
      <c r="A3794" s="667"/>
      <c r="B3794" s="668" t="s">
        <v>11598</v>
      </c>
      <c r="C3794" s="160" t="s">
        <v>11599</v>
      </c>
      <c r="D3794" s="160"/>
      <c r="E3794" s="439"/>
      <c r="F3794" s="161">
        <v>720.16832042299995</v>
      </c>
      <c r="G3794" s="161"/>
      <c r="H3794" s="654"/>
      <c r="I3794" s="654"/>
      <c r="J3794" s="191"/>
      <c r="K3794" s="191">
        <v>3673922.5779186101</v>
      </c>
      <c r="L3794" s="191"/>
      <c r="M3794" s="191"/>
      <c r="N3794" s="191"/>
      <c r="O3794" s="191"/>
      <c r="P3794" s="191"/>
      <c r="Q3794" s="191"/>
      <c r="R3794" s="191"/>
      <c r="S3794" s="191"/>
      <c r="T3794" s="191"/>
      <c r="U3794" s="439"/>
      <c r="V3794" s="441"/>
      <c r="W3794" s="178"/>
      <c r="X3794" s="172"/>
      <c r="Y3794" s="172"/>
      <c r="Z3794" s="172"/>
      <c r="AA3794" s="195"/>
      <c r="AB3794" s="172"/>
    </row>
    <row r="3795" spans="1:28" ht="12.6" customHeight="1" x14ac:dyDescent="0.3">
      <c r="A3795" s="667"/>
      <c r="B3795" s="668" t="s">
        <v>11600</v>
      </c>
      <c r="C3795" s="160" t="s">
        <v>11601</v>
      </c>
      <c r="D3795" s="160"/>
      <c r="E3795" s="439"/>
      <c r="F3795" s="161">
        <v>364.01458286799999</v>
      </c>
      <c r="G3795" s="161"/>
      <c r="H3795" s="654"/>
      <c r="I3795" s="654"/>
      <c r="J3795" s="191"/>
      <c r="K3795" s="191">
        <v>121352.85550608201</v>
      </c>
      <c r="L3795" s="191"/>
      <c r="M3795" s="191"/>
      <c r="N3795" s="191"/>
      <c r="O3795" s="191"/>
      <c r="P3795" s="191"/>
      <c r="Q3795" s="191"/>
      <c r="R3795" s="191"/>
      <c r="S3795" s="191"/>
      <c r="T3795" s="191"/>
      <c r="U3795" s="439"/>
      <c r="V3795" s="441"/>
      <c r="W3795" s="178"/>
      <c r="X3795" s="172"/>
      <c r="Y3795" s="172"/>
      <c r="Z3795" s="172"/>
      <c r="AA3795" s="195"/>
      <c r="AB3795" s="172"/>
    </row>
    <row r="3796" spans="1:28" ht="12.6" customHeight="1" x14ac:dyDescent="0.3">
      <c r="A3796" s="667"/>
      <c r="B3796" s="668" t="s">
        <v>11602</v>
      </c>
      <c r="C3796" s="160" t="s">
        <v>11603</v>
      </c>
      <c r="D3796" s="160"/>
      <c r="E3796" s="439">
        <v>6.49</v>
      </c>
      <c r="F3796" s="161">
        <v>390.04146631999998</v>
      </c>
      <c r="G3796" s="161"/>
      <c r="H3796" s="654"/>
      <c r="I3796" s="654"/>
      <c r="J3796" s="191"/>
      <c r="K3796" s="191">
        <v>11388.5910955823</v>
      </c>
      <c r="L3796" s="191"/>
      <c r="M3796" s="191"/>
      <c r="N3796" s="191"/>
      <c r="O3796" s="191"/>
      <c r="P3796" s="191"/>
      <c r="Q3796" s="191"/>
      <c r="R3796" s="191"/>
      <c r="S3796" s="191"/>
      <c r="T3796" s="191"/>
      <c r="U3796" s="439"/>
      <c r="V3796" s="441"/>
      <c r="W3796" s="178"/>
      <c r="X3796" s="172"/>
      <c r="Y3796" s="172"/>
      <c r="Z3796" s="172"/>
      <c r="AA3796" s="195"/>
      <c r="AB3796" s="172"/>
    </row>
    <row r="3797" spans="1:28" ht="12.6" customHeight="1" x14ac:dyDescent="0.3">
      <c r="A3797" s="667"/>
      <c r="B3797" s="668" t="s">
        <v>11604</v>
      </c>
      <c r="C3797" s="160" t="s">
        <v>11605</v>
      </c>
      <c r="D3797" s="160"/>
      <c r="E3797" s="439">
        <v>8.26</v>
      </c>
      <c r="F3797" s="161">
        <v>345.98223736599999</v>
      </c>
      <c r="G3797" s="161"/>
      <c r="H3797" s="654"/>
      <c r="I3797" s="654"/>
      <c r="J3797" s="191"/>
      <c r="K3797" s="191">
        <v>845.74609260602801</v>
      </c>
      <c r="L3797" s="191"/>
      <c r="M3797" s="191"/>
      <c r="N3797" s="191"/>
      <c r="O3797" s="191"/>
      <c r="P3797" s="191"/>
      <c r="Q3797" s="191"/>
      <c r="R3797" s="191"/>
      <c r="S3797" s="191"/>
      <c r="T3797" s="191"/>
      <c r="U3797" s="439"/>
      <c r="V3797" s="441"/>
      <c r="W3797" s="178"/>
      <c r="X3797" s="172"/>
      <c r="Y3797" s="172"/>
      <c r="Z3797" s="172"/>
      <c r="AA3797" s="195"/>
      <c r="AB3797" s="172"/>
    </row>
    <row r="3798" spans="1:28" ht="12.6" customHeight="1" x14ac:dyDescent="0.3">
      <c r="A3798" s="667"/>
      <c r="B3798" s="668" t="s">
        <v>11606</v>
      </c>
      <c r="C3798" s="160" t="s">
        <v>11607</v>
      </c>
      <c r="D3798" s="160"/>
      <c r="E3798" s="439">
        <v>24</v>
      </c>
      <c r="F3798" s="161">
        <v>459.08808216199998</v>
      </c>
      <c r="G3798" s="161"/>
      <c r="H3798" s="654"/>
      <c r="I3798" s="654"/>
      <c r="J3798" s="191"/>
      <c r="K3798" s="191">
        <v>22908.676527677701</v>
      </c>
      <c r="L3798" s="191"/>
      <c r="M3798" s="191"/>
      <c r="N3798" s="191"/>
      <c r="O3798" s="191"/>
      <c r="P3798" s="191"/>
      <c r="Q3798" s="191"/>
      <c r="R3798" s="191"/>
      <c r="S3798" s="191"/>
      <c r="T3798" s="191"/>
      <c r="U3798" s="439"/>
      <c r="V3798" s="441"/>
      <c r="W3798" s="178"/>
      <c r="X3798" s="172"/>
      <c r="Y3798" s="172"/>
      <c r="Z3798" s="172"/>
      <c r="AA3798" s="195"/>
      <c r="AB3798" s="172"/>
    </row>
    <row r="3799" spans="1:28" ht="12.6" customHeight="1" x14ac:dyDescent="0.3">
      <c r="A3799" s="667"/>
      <c r="B3799" s="668" t="s">
        <v>11608</v>
      </c>
      <c r="C3799" s="160" t="s">
        <v>11609</v>
      </c>
      <c r="D3799" s="160"/>
      <c r="E3799" s="439"/>
      <c r="F3799" s="161">
        <v>296.02475362799998</v>
      </c>
      <c r="G3799" s="161">
        <v>-2.2010000000000001</v>
      </c>
      <c r="H3799" s="654">
        <v>37.488813180000001</v>
      </c>
      <c r="I3799" s="654">
        <v>3.90237591717647</v>
      </c>
      <c r="J3799" s="191"/>
      <c r="K3799" s="191">
        <v>4217936.1381665496</v>
      </c>
      <c r="L3799" s="191"/>
      <c r="M3799" s="191"/>
      <c r="N3799" s="191"/>
      <c r="O3799" s="191"/>
      <c r="P3799" s="191"/>
      <c r="Q3799" s="191"/>
      <c r="R3799" s="191"/>
      <c r="S3799" s="191"/>
      <c r="T3799" s="191"/>
      <c r="U3799" s="439"/>
      <c r="V3799" s="441"/>
      <c r="W3799" s="178"/>
      <c r="X3799" s="172"/>
      <c r="Y3799" s="172"/>
      <c r="Z3799" s="172"/>
      <c r="AA3799" s="195"/>
      <c r="AB3799" s="172"/>
    </row>
    <row r="3800" spans="1:28" ht="12.6" customHeight="1" x14ac:dyDescent="0.3">
      <c r="A3800" s="667"/>
      <c r="B3800" s="668" t="s">
        <v>11610</v>
      </c>
      <c r="C3800" s="160" t="s">
        <v>11611</v>
      </c>
      <c r="D3800" s="160"/>
      <c r="E3800" s="439"/>
      <c r="F3800" s="161">
        <v>334.04040369199998</v>
      </c>
      <c r="G3800" s="161"/>
      <c r="H3800" s="654"/>
      <c r="I3800" s="654"/>
      <c r="J3800" s="191"/>
      <c r="K3800" s="191">
        <v>20431958.602988299</v>
      </c>
      <c r="L3800" s="191"/>
      <c r="M3800" s="191"/>
      <c r="N3800" s="191"/>
      <c r="O3800" s="191"/>
      <c r="P3800" s="191"/>
      <c r="Q3800" s="191"/>
      <c r="R3800" s="191"/>
      <c r="S3800" s="191"/>
      <c r="T3800" s="191"/>
      <c r="U3800" s="439"/>
      <c r="V3800" s="441"/>
      <c r="W3800" s="178"/>
      <c r="X3800" s="172"/>
      <c r="Y3800" s="172"/>
      <c r="Z3800" s="172"/>
      <c r="AA3800" s="195"/>
      <c r="AB3800" s="172"/>
    </row>
    <row r="3801" spans="1:28" ht="12.6" customHeight="1" x14ac:dyDescent="0.3">
      <c r="A3801" s="667"/>
      <c r="B3801" s="668" t="s">
        <v>11612</v>
      </c>
      <c r="C3801" s="160" t="s">
        <v>11613</v>
      </c>
      <c r="D3801" s="160"/>
      <c r="E3801" s="439">
        <v>8.6</v>
      </c>
      <c r="F3801" s="161">
        <v>330.00508081200002</v>
      </c>
      <c r="G3801" s="161">
        <v>98.13</v>
      </c>
      <c r="H3801" s="654">
        <v>7.1598180304000003E-2</v>
      </c>
      <c r="I3801" s="654">
        <v>15.0494527038262</v>
      </c>
      <c r="J3801" s="191"/>
      <c r="K3801" s="191">
        <v>351.34194404074202</v>
      </c>
      <c r="L3801" s="191"/>
      <c r="M3801" s="191"/>
      <c r="N3801" s="191"/>
      <c r="O3801" s="191"/>
      <c r="P3801" s="191"/>
      <c r="Q3801" s="191"/>
      <c r="R3801" s="191"/>
      <c r="S3801" s="191"/>
      <c r="T3801" s="191"/>
      <c r="U3801" s="439"/>
      <c r="V3801" s="441"/>
      <c r="W3801" s="178"/>
      <c r="X3801" s="172"/>
      <c r="Y3801" s="172"/>
      <c r="Z3801" s="172"/>
      <c r="AA3801" s="195"/>
      <c r="AB3801" s="172"/>
    </row>
    <row r="3802" spans="1:28" ht="12.6" customHeight="1" x14ac:dyDescent="0.3">
      <c r="A3802" s="667"/>
      <c r="B3802" s="668" t="s">
        <v>11614</v>
      </c>
      <c r="C3802" s="160" t="s">
        <v>11615</v>
      </c>
      <c r="D3802" s="160"/>
      <c r="E3802" s="439">
        <v>9.39</v>
      </c>
      <c r="F3802" s="161">
        <v>378.04146631999998</v>
      </c>
      <c r="G3802" s="161"/>
      <c r="H3802" s="654"/>
      <c r="I3802" s="654"/>
      <c r="J3802" s="191"/>
      <c r="K3802" s="191">
        <v>337971.43834368902</v>
      </c>
      <c r="L3802" s="191"/>
      <c r="M3802" s="191"/>
      <c r="N3802" s="191"/>
      <c r="O3802" s="191"/>
      <c r="P3802" s="191"/>
      <c r="Q3802" s="191"/>
      <c r="R3802" s="191"/>
      <c r="S3802" s="191"/>
      <c r="T3802" s="191"/>
      <c r="U3802" s="439"/>
      <c r="V3802" s="441"/>
      <c r="W3802" s="178"/>
      <c r="X3802" s="172"/>
      <c r="Y3802" s="172"/>
      <c r="Z3802" s="172"/>
      <c r="AA3802" s="195"/>
      <c r="AB3802" s="172"/>
    </row>
    <row r="3803" spans="1:28" ht="12.6" customHeight="1" x14ac:dyDescent="0.3">
      <c r="A3803" s="667"/>
      <c r="B3803" s="668" t="s">
        <v>11616</v>
      </c>
      <c r="C3803" s="160" t="s">
        <v>11617</v>
      </c>
      <c r="D3803" s="160"/>
      <c r="E3803" s="439">
        <v>8.09</v>
      </c>
      <c r="F3803" s="161">
        <v>336.01966824800002</v>
      </c>
      <c r="G3803" s="161"/>
      <c r="H3803" s="654"/>
      <c r="I3803" s="654"/>
      <c r="J3803" s="191"/>
      <c r="K3803" s="191">
        <v>6344537.9577571303</v>
      </c>
      <c r="L3803" s="191"/>
      <c r="M3803" s="191"/>
      <c r="N3803" s="191"/>
      <c r="O3803" s="191"/>
      <c r="P3803" s="191"/>
      <c r="Q3803" s="191"/>
      <c r="R3803" s="191"/>
      <c r="S3803" s="191"/>
      <c r="T3803" s="191"/>
      <c r="U3803" s="439"/>
      <c r="V3803" s="441"/>
      <c r="W3803" s="178"/>
      <c r="X3803" s="172"/>
      <c r="Y3803" s="172"/>
      <c r="Z3803" s="172"/>
      <c r="AA3803" s="195"/>
      <c r="AB3803" s="172"/>
    </row>
    <row r="3804" spans="1:28" ht="12.6" customHeight="1" x14ac:dyDescent="0.3">
      <c r="A3804" s="667"/>
      <c r="B3804" s="668" t="s">
        <v>11618</v>
      </c>
      <c r="C3804" s="160" t="s">
        <v>11619</v>
      </c>
      <c r="D3804" s="160"/>
      <c r="E3804" s="439"/>
      <c r="F3804" s="161">
        <v>351.99682480199999</v>
      </c>
      <c r="G3804" s="161"/>
      <c r="H3804" s="654"/>
      <c r="I3804" s="654"/>
      <c r="J3804" s="191"/>
      <c r="K3804" s="191">
        <v>692819.33604938397</v>
      </c>
      <c r="L3804" s="191"/>
      <c r="M3804" s="191"/>
      <c r="N3804" s="191"/>
      <c r="O3804" s="191"/>
      <c r="P3804" s="191"/>
      <c r="Q3804" s="191"/>
      <c r="R3804" s="191"/>
      <c r="S3804" s="191"/>
      <c r="T3804" s="191"/>
      <c r="U3804" s="439"/>
      <c r="V3804" s="441"/>
      <c r="W3804" s="178"/>
      <c r="X3804" s="172"/>
      <c r="Y3804" s="172"/>
      <c r="Z3804" s="172"/>
      <c r="AA3804" s="195"/>
      <c r="AB3804" s="172"/>
    </row>
    <row r="3805" spans="1:28" ht="12.6" customHeight="1" x14ac:dyDescent="0.3">
      <c r="A3805" s="667"/>
      <c r="B3805" s="668" t="s">
        <v>11620</v>
      </c>
      <c r="C3805" s="160" t="s">
        <v>11621</v>
      </c>
      <c r="D3805" s="160"/>
      <c r="E3805" s="439"/>
      <c r="F3805" s="161">
        <v>346.01525157200001</v>
      </c>
      <c r="G3805" s="161"/>
      <c r="H3805" s="654"/>
      <c r="I3805" s="654"/>
      <c r="J3805" s="191"/>
      <c r="K3805" s="191">
        <v>12833.6443554292</v>
      </c>
      <c r="L3805" s="191"/>
      <c r="M3805" s="191"/>
      <c r="N3805" s="191"/>
      <c r="O3805" s="191"/>
      <c r="P3805" s="191"/>
      <c r="Q3805" s="191"/>
      <c r="R3805" s="191"/>
      <c r="S3805" s="191"/>
      <c r="T3805" s="191"/>
      <c r="U3805" s="439"/>
      <c r="V3805" s="441"/>
      <c r="W3805" s="178"/>
      <c r="X3805" s="172"/>
      <c r="Y3805" s="172"/>
      <c r="Z3805" s="172"/>
      <c r="AA3805" s="195"/>
      <c r="AB3805" s="172"/>
    </row>
    <row r="3806" spans="1:28" ht="12.6" customHeight="1" x14ac:dyDescent="0.3">
      <c r="A3806" s="667"/>
      <c r="B3806" s="668" t="s">
        <v>11622</v>
      </c>
      <c r="C3806" s="160" t="s">
        <v>11623</v>
      </c>
      <c r="D3806" s="160"/>
      <c r="E3806" s="439"/>
      <c r="F3806" s="161">
        <v>322.04040369199998</v>
      </c>
      <c r="G3806" s="161"/>
      <c r="H3806" s="654"/>
      <c r="I3806" s="654"/>
      <c r="J3806" s="191"/>
      <c r="K3806" s="191">
        <v>21473854.1962815</v>
      </c>
      <c r="L3806" s="191"/>
      <c r="M3806" s="191"/>
      <c r="N3806" s="191"/>
      <c r="O3806" s="191"/>
      <c r="P3806" s="191"/>
      <c r="Q3806" s="191"/>
      <c r="R3806" s="191"/>
      <c r="S3806" s="191"/>
      <c r="T3806" s="191"/>
      <c r="U3806" s="439"/>
      <c r="V3806" s="441"/>
      <c r="W3806" s="178"/>
      <c r="X3806" s="172"/>
      <c r="Y3806" s="172"/>
      <c r="Z3806" s="172"/>
      <c r="AA3806" s="195"/>
      <c r="AB3806" s="172"/>
    </row>
    <row r="3807" spans="1:28" ht="12.6" customHeight="1" x14ac:dyDescent="0.3">
      <c r="A3807" s="667"/>
      <c r="B3807" s="668" t="s">
        <v>11624</v>
      </c>
      <c r="C3807" s="160" t="s">
        <v>11625</v>
      </c>
      <c r="D3807" s="160"/>
      <c r="E3807" s="439"/>
      <c r="F3807" s="161">
        <v>321.0200026</v>
      </c>
      <c r="G3807" s="161"/>
      <c r="H3807" s="654"/>
      <c r="I3807" s="654"/>
      <c r="J3807" s="191"/>
      <c r="K3807" s="191">
        <v>33815.825987862198</v>
      </c>
      <c r="L3807" s="191"/>
      <c r="M3807" s="191"/>
      <c r="N3807" s="191"/>
      <c r="O3807" s="191"/>
      <c r="P3807" s="191"/>
      <c r="Q3807" s="191"/>
      <c r="R3807" s="191"/>
      <c r="S3807" s="191"/>
      <c r="T3807" s="191"/>
      <c r="U3807" s="439"/>
      <c r="V3807" s="441"/>
      <c r="W3807" s="178"/>
      <c r="X3807" s="172"/>
      <c r="Y3807" s="172"/>
      <c r="Z3807" s="172"/>
      <c r="AA3807" s="195"/>
      <c r="AB3807" s="172"/>
    </row>
    <row r="3808" spans="1:28" ht="12.6" customHeight="1" x14ac:dyDescent="0.3">
      <c r="A3808" s="667"/>
      <c r="B3808" s="668" t="s">
        <v>11626</v>
      </c>
      <c r="C3808" s="160" t="s">
        <v>11627</v>
      </c>
      <c r="D3808" s="160"/>
      <c r="E3808" s="439"/>
      <c r="F3808" s="161">
        <v>351.99682480199999</v>
      </c>
      <c r="G3808" s="161"/>
      <c r="H3808" s="654"/>
      <c r="I3808" s="654"/>
      <c r="J3808" s="191"/>
      <c r="K3808" s="191">
        <v>4568251.4421979096</v>
      </c>
      <c r="L3808" s="191"/>
      <c r="M3808" s="191"/>
      <c r="N3808" s="191"/>
      <c r="O3808" s="191"/>
      <c r="P3808" s="191"/>
      <c r="Q3808" s="191"/>
      <c r="R3808" s="191"/>
      <c r="S3808" s="191"/>
      <c r="T3808" s="191"/>
      <c r="U3808" s="439"/>
      <c r="V3808" s="441"/>
      <c r="W3808" s="178"/>
      <c r="X3808" s="172"/>
      <c r="Y3808" s="172"/>
      <c r="Z3808" s="172"/>
      <c r="AA3808" s="195"/>
      <c r="AB3808" s="172"/>
    </row>
    <row r="3809" spans="1:28" ht="12.6" customHeight="1" x14ac:dyDescent="0.3">
      <c r="A3809" s="667"/>
      <c r="B3809" s="668" t="s">
        <v>11628</v>
      </c>
      <c r="C3809" s="160" t="s">
        <v>11629</v>
      </c>
      <c r="D3809" s="160"/>
      <c r="E3809" s="439"/>
      <c r="F3809" s="161">
        <v>290.03531831200002</v>
      </c>
      <c r="G3809" s="161"/>
      <c r="H3809" s="654"/>
      <c r="I3809" s="654"/>
      <c r="J3809" s="191"/>
      <c r="K3809" s="191"/>
      <c r="L3809" s="191"/>
      <c r="M3809" s="191"/>
      <c r="N3809" s="191"/>
      <c r="O3809" s="191"/>
      <c r="P3809" s="191"/>
      <c r="Q3809" s="191"/>
      <c r="R3809" s="191"/>
      <c r="S3809" s="191"/>
      <c r="T3809" s="191"/>
      <c r="U3809" s="439"/>
      <c r="V3809" s="441"/>
      <c r="W3809" s="178"/>
      <c r="X3809" s="172"/>
      <c r="Y3809" s="172"/>
      <c r="Z3809" s="172"/>
      <c r="AA3809" s="195"/>
      <c r="AB3809" s="172"/>
    </row>
    <row r="3810" spans="1:28" ht="12.6" customHeight="1" x14ac:dyDescent="0.3">
      <c r="A3810" s="667"/>
      <c r="B3810" s="668" t="s">
        <v>11630</v>
      </c>
      <c r="C3810" s="160" t="s">
        <v>11631</v>
      </c>
      <c r="D3810" s="160"/>
      <c r="E3810" s="439"/>
      <c r="F3810" s="161">
        <v>301.98117473799999</v>
      </c>
      <c r="G3810" s="161"/>
      <c r="H3810" s="654"/>
      <c r="I3810" s="654"/>
      <c r="J3810" s="191"/>
      <c r="K3810" s="191">
        <v>327483.93487249699</v>
      </c>
      <c r="L3810" s="191"/>
      <c r="M3810" s="191"/>
      <c r="N3810" s="191"/>
      <c r="O3810" s="191"/>
      <c r="P3810" s="191"/>
      <c r="Q3810" s="191"/>
      <c r="R3810" s="191"/>
      <c r="S3810" s="191"/>
      <c r="T3810" s="191"/>
      <c r="U3810" s="439"/>
      <c r="V3810" s="441"/>
      <c r="W3810" s="178"/>
      <c r="X3810" s="172"/>
      <c r="Y3810" s="172"/>
      <c r="Z3810" s="172"/>
      <c r="AA3810" s="195"/>
      <c r="AB3810" s="172"/>
    </row>
    <row r="3811" spans="1:28" ht="12.6" customHeight="1" x14ac:dyDescent="0.3">
      <c r="A3811" s="667"/>
      <c r="B3811" s="668" t="s">
        <v>11632</v>
      </c>
      <c r="C3811" s="160" t="s">
        <v>11633</v>
      </c>
      <c r="D3811" s="160"/>
      <c r="E3811" s="439">
        <v>16</v>
      </c>
      <c r="F3811" s="161">
        <v>335.035652664</v>
      </c>
      <c r="G3811" s="161"/>
      <c r="H3811" s="654"/>
      <c r="I3811" s="654"/>
      <c r="J3811" s="191"/>
      <c r="K3811" s="191">
        <v>48825.871071239802</v>
      </c>
      <c r="L3811" s="191"/>
      <c r="M3811" s="191"/>
      <c r="N3811" s="191"/>
      <c r="O3811" s="191"/>
      <c r="P3811" s="191"/>
      <c r="Q3811" s="191"/>
      <c r="R3811" s="191"/>
      <c r="S3811" s="191"/>
      <c r="T3811" s="191"/>
      <c r="U3811" s="439"/>
      <c r="V3811" s="441"/>
      <c r="W3811" s="178"/>
      <c r="X3811" s="172"/>
      <c r="Y3811" s="172"/>
      <c r="Z3811" s="172"/>
      <c r="AA3811" s="195"/>
      <c r="AB3811" s="172"/>
    </row>
    <row r="3812" spans="1:28" ht="12.6" customHeight="1" x14ac:dyDescent="0.3">
      <c r="A3812" s="667"/>
      <c r="B3812" s="668" t="s">
        <v>11634</v>
      </c>
      <c r="C3812" s="160" t="s">
        <v>11635</v>
      </c>
      <c r="D3812" s="160"/>
      <c r="E3812" s="439"/>
      <c r="F3812" s="161">
        <v>305.99384742400002</v>
      </c>
      <c r="G3812" s="161"/>
      <c r="H3812" s="654"/>
      <c r="I3812" s="654"/>
      <c r="J3812" s="191"/>
      <c r="K3812" s="191">
        <v>842.18984411282497</v>
      </c>
      <c r="L3812" s="191"/>
      <c r="M3812" s="191"/>
      <c r="N3812" s="191"/>
      <c r="O3812" s="191"/>
      <c r="P3812" s="191"/>
      <c r="Q3812" s="191"/>
      <c r="R3812" s="191"/>
      <c r="S3812" s="191"/>
      <c r="T3812" s="191"/>
      <c r="U3812" s="439"/>
      <c r="V3812" s="441"/>
      <c r="W3812" s="178"/>
      <c r="X3812" s="172"/>
      <c r="Y3812" s="172"/>
      <c r="Z3812" s="172"/>
      <c r="AA3812" s="195"/>
      <c r="AB3812" s="172"/>
    </row>
    <row r="3813" spans="1:28" ht="12.6" customHeight="1" x14ac:dyDescent="0.3">
      <c r="A3813" s="667"/>
      <c r="B3813" s="668" t="s">
        <v>11636</v>
      </c>
      <c r="C3813" s="160" t="s">
        <v>11637</v>
      </c>
      <c r="D3813" s="160"/>
      <c r="E3813" s="439"/>
      <c r="F3813" s="161">
        <v>351.99682480199999</v>
      </c>
      <c r="G3813" s="161"/>
      <c r="H3813" s="654"/>
      <c r="I3813" s="654"/>
      <c r="J3813" s="191"/>
      <c r="K3813" s="191">
        <v>698843.612455972</v>
      </c>
      <c r="L3813" s="191"/>
      <c r="M3813" s="191"/>
      <c r="N3813" s="191"/>
      <c r="O3813" s="191"/>
      <c r="P3813" s="191"/>
      <c r="Q3813" s="191"/>
      <c r="R3813" s="191"/>
      <c r="S3813" s="191"/>
      <c r="T3813" s="191"/>
      <c r="U3813" s="439"/>
      <c r="V3813" s="441"/>
      <c r="W3813" s="178"/>
      <c r="X3813" s="172"/>
      <c r="Y3813" s="172"/>
      <c r="Z3813" s="172"/>
      <c r="AA3813" s="195"/>
      <c r="AB3813" s="172"/>
    </row>
    <row r="3814" spans="1:28" ht="12.6" customHeight="1" x14ac:dyDescent="0.3">
      <c r="A3814" s="667"/>
      <c r="B3814" s="668" t="s">
        <v>11638</v>
      </c>
      <c r="C3814" s="160" t="s">
        <v>11639</v>
      </c>
      <c r="D3814" s="160"/>
      <c r="E3814" s="439">
        <v>22</v>
      </c>
      <c r="F3814" s="161">
        <v>335.035652664</v>
      </c>
      <c r="G3814" s="161"/>
      <c r="H3814" s="654"/>
      <c r="I3814" s="654"/>
      <c r="J3814" s="191"/>
      <c r="K3814" s="191">
        <v>209575.25342806699</v>
      </c>
      <c r="L3814" s="191"/>
      <c r="M3814" s="191"/>
      <c r="N3814" s="191"/>
      <c r="O3814" s="191"/>
      <c r="P3814" s="191"/>
      <c r="Q3814" s="191"/>
      <c r="R3814" s="191"/>
      <c r="S3814" s="191"/>
      <c r="T3814" s="191"/>
      <c r="U3814" s="439"/>
      <c r="V3814" s="441"/>
      <c r="W3814" s="178"/>
      <c r="X3814" s="172"/>
      <c r="Y3814" s="172"/>
      <c r="Z3814" s="172"/>
      <c r="AA3814" s="195"/>
      <c r="AB3814" s="172"/>
    </row>
    <row r="3815" spans="1:28" ht="12.6" customHeight="1" x14ac:dyDescent="0.3">
      <c r="A3815" s="667"/>
      <c r="B3815" s="668" t="s">
        <v>11640</v>
      </c>
      <c r="C3815" s="160" t="s">
        <v>11641</v>
      </c>
      <c r="D3815" s="160"/>
      <c r="E3815" s="439">
        <v>7</v>
      </c>
      <c r="F3815" s="161">
        <v>362.04655170000001</v>
      </c>
      <c r="G3815" s="161"/>
      <c r="H3815" s="654"/>
      <c r="I3815" s="654"/>
      <c r="J3815" s="191"/>
      <c r="K3815" s="191">
        <v>28906.798823654699</v>
      </c>
      <c r="L3815" s="191"/>
      <c r="M3815" s="191"/>
      <c r="N3815" s="191"/>
      <c r="O3815" s="191"/>
      <c r="P3815" s="191"/>
      <c r="Q3815" s="191"/>
      <c r="R3815" s="191"/>
      <c r="S3815" s="191"/>
      <c r="T3815" s="191"/>
      <c r="U3815" s="439"/>
      <c r="V3815" s="441"/>
      <c r="W3815" s="178"/>
      <c r="X3815" s="172"/>
      <c r="Y3815" s="172"/>
      <c r="Z3815" s="172"/>
      <c r="AA3815" s="195"/>
      <c r="AB3815" s="172"/>
    </row>
    <row r="3816" spans="1:28" ht="12.6" customHeight="1" x14ac:dyDescent="0.3">
      <c r="A3816" s="667"/>
      <c r="B3816" s="668" t="s">
        <v>11642</v>
      </c>
      <c r="C3816" s="160" t="s">
        <v>11643</v>
      </c>
      <c r="D3816" s="160"/>
      <c r="E3816" s="439"/>
      <c r="F3816" s="161">
        <v>442.04377499499998</v>
      </c>
      <c r="G3816" s="161"/>
      <c r="H3816" s="654"/>
      <c r="I3816" s="654"/>
      <c r="J3816" s="191"/>
      <c r="K3816" s="191">
        <v>61064667.965753302</v>
      </c>
      <c r="L3816" s="191"/>
      <c r="M3816" s="191"/>
      <c r="N3816" s="191"/>
      <c r="O3816" s="191"/>
      <c r="P3816" s="191"/>
      <c r="Q3816" s="191"/>
      <c r="R3816" s="191"/>
      <c r="S3816" s="191"/>
      <c r="T3816" s="191"/>
      <c r="U3816" s="439"/>
      <c r="V3816" s="441"/>
      <c r="W3816" s="178"/>
      <c r="X3816" s="172"/>
      <c r="Y3816" s="172"/>
      <c r="Z3816" s="172"/>
      <c r="AA3816" s="195"/>
      <c r="AB3816" s="172"/>
    </row>
    <row r="3817" spans="1:28" ht="12.6" customHeight="1" x14ac:dyDescent="0.3">
      <c r="A3817" s="667"/>
      <c r="B3817" s="668" t="s">
        <v>11644</v>
      </c>
      <c r="C3817" s="160" t="s">
        <v>11645</v>
      </c>
      <c r="D3817" s="160"/>
      <c r="E3817" s="439"/>
      <c r="F3817" s="161">
        <v>466.00255706299998</v>
      </c>
      <c r="G3817" s="161">
        <v>-54.695999999999998</v>
      </c>
      <c r="H3817" s="654">
        <v>140.57338357999899</v>
      </c>
      <c r="I3817" s="654">
        <v>0.22048957587691501</v>
      </c>
      <c r="J3817" s="191"/>
      <c r="K3817" s="191">
        <v>77780.369149582097</v>
      </c>
      <c r="L3817" s="191"/>
      <c r="M3817" s="191"/>
      <c r="N3817" s="191"/>
      <c r="O3817" s="191"/>
      <c r="P3817" s="191"/>
      <c r="Q3817" s="191"/>
      <c r="R3817" s="191"/>
      <c r="S3817" s="191"/>
      <c r="T3817" s="191"/>
      <c r="U3817" s="439"/>
      <c r="V3817" s="441"/>
      <c r="W3817" s="178"/>
      <c r="X3817" s="172"/>
      <c r="Y3817" s="172"/>
      <c r="Z3817" s="172"/>
      <c r="AA3817" s="195"/>
      <c r="AB3817" s="172"/>
    </row>
    <row r="3818" spans="1:28" ht="12.6" customHeight="1" x14ac:dyDescent="0.3">
      <c r="A3818" s="667"/>
      <c r="B3818" s="668" t="s">
        <v>11646</v>
      </c>
      <c r="C3818" s="160" t="s">
        <v>11647</v>
      </c>
      <c r="D3818" s="160"/>
      <c r="E3818" s="439"/>
      <c r="F3818" s="161">
        <v>550.09645744900001</v>
      </c>
      <c r="G3818" s="161"/>
      <c r="H3818" s="654"/>
      <c r="I3818" s="654"/>
      <c r="J3818" s="191"/>
      <c r="K3818" s="191">
        <v>33076534.401553102</v>
      </c>
      <c r="L3818" s="191"/>
      <c r="M3818" s="191"/>
      <c r="N3818" s="191"/>
      <c r="O3818" s="191"/>
      <c r="P3818" s="191"/>
      <c r="Q3818" s="191"/>
      <c r="R3818" s="191"/>
      <c r="S3818" s="191"/>
      <c r="T3818" s="191"/>
      <c r="U3818" s="439"/>
      <c r="V3818" s="441"/>
      <c r="W3818" s="178"/>
      <c r="X3818" s="172"/>
      <c r="Y3818" s="172"/>
      <c r="Z3818" s="172"/>
      <c r="AA3818" s="195"/>
      <c r="AB3818" s="172"/>
    </row>
    <row r="3819" spans="1:28" ht="12.6" customHeight="1" x14ac:dyDescent="0.3">
      <c r="A3819" s="667"/>
      <c r="B3819" s="668" t="s">
        <v>11648</v>
      </c>
      <c r="C3819" s="160" t="s">
        <v>11649</v>
      </c>
      <c r="D3819" s="160"/>
      <c r="E3819" s="439"/>
      <c r="F3819" s="161">
        <v>578.127757578</v>
      </c>
      <c r="G3819" s="161"/>
      <c r="H3819" s="654"/>
      <c r="I3819" s="654"/>
      <c r="J3819" s="191"/>
      <c r="K3819" s="191">
        <v>35386694.766417898</v>
      </c>
      <c r="L3819" s="191"/>
      <c r="M3819" s="191"/>
      <c r="N3819" s="191"/>
      <c r="O3819" s="191"/>
      <c r="P3819" s="191"/>
      <c r="Q3819" s="191"/>
      <c r="R3819" s="191"/>
      <c r="S3819" s="191"/>
      <c r="T3819" s="191"/>
      <c r="U3819" s="439"/>
      <c r="V3819" s="441"/>
      <c r="W3819" s="178"/>
      <c r="X3819" s="172"/>
      <c r="Y3819" s="172"/>
      <c r="Z3819" s="172"/>
      <c r="AA3819" s="195"/>
      <c r="AB3819" s="172"/>
    </row>
    <row r="3820" spans="1:28" ht="12.6" customHeight="1" x14ac:dyDescent="0.3">
      <c r="A3820" s="667"/>
      <c r="B3820" s="668" t="s">
        <v>11650</v>
      </c>
      <c r="C3820" s="160" t="s">
        <v>11651</v>
      </c>
      <c r="D3820" s="160"/>
      <c r="E3820" s="439"/>
      <c r="F3820" s="161">
        <v>452.07611700000001</v>
      </c>
      <c r="G3820" s="161"/>
      <c r="H3820" s="654"/>
      <c r="I3820" s="654"/>
      <c r="J3820" s="191"/>
      <c r="K3820" s="191">
        <v>1707890410.29546</v>
      </c>
      <c r="L3820" s="191"/>
      <c r="M3820" s="191"/>
      <c r="N3820" s="191"/>
      <c r="O3820" s="191"/>
      <c r="P3820" s="191"/>
      <c r="Q3820" s="191"/>
      <c r="R3820" s="191"/>
      <c r="S3820" s="191"/>
      <c r="T3820" s="191"/>
      <c r="U3820" s="439"/>
      <c r="V3820" s="441"/>
      <c r="W3820" s="178"/>
      <c r="X3820" s="172"/>
      <c r="Y3820" s="172"/>
      <c r="Z3820" s="172"/>
      <c r="AA3820" s="195"/>
      <c r="AB3820" s="172"/>
    </row>
    <row r="3821" spans="1:28" ht="12.6" customHeight="1" x14ac:dyDescent="0.3">
      <c r="A3821" s="667"/>
      <c r="B3821" s="668" t="s">
        <v>11652</v>
      </c>
      <c r="C3821" s="160" t="s">
        <v>11653</v>
      </c>
      <c r="D3821" s="160"/>
      <c r="E3821" s="439"/>
      <c r="F3821" s="161">
        <v>341.98130279999998</v>
      </c>
      <c r="G3821" s="161">
        <v>54.301000000000002</v>
      </c>
      <c r="H3821" s="654">
        <v>1.0712769337200001</v>
      </c>
      <c r="I3821" s="654">
        <v>1.1091821575015199</v>
      </c>
      <c r="J3821" s="191"/>
      <c r="K3821" s="191">
        <v>4415907.8289214298</v>
      </c>
      <c r="L3821" s="191"/>
      <c r="M3821" s="191"/>
      <c r="N3821" s="191"/>
      <c r="O3821" s="191"/>
      <c r="P3821" s="191"/>
      <c r="Q3821" s="191"/>
      <c r="R3821" s="191"/>
      <c r="S3821" s="191"/>
      <c r="T3821" s="191"/>
      <c r="U3821" s="439"/>
      <c r="V3821" s="441"/>
      <c r="W3821" s="178"/>
      <c r="X3821" s="172"/>
      <c r="Y3821" s="172"/>
      <c r="Z3821" s="172"/>
      <c r="AA3821" s="195"/>
      <c r="AB3821" s="172"/>
    </row>
    <row r="3822" spans="1:28" ht="12.6" customHeight="1" x14ac:dyDescent="0.3">
      <c r="A3822" s="667"/>
      <c r="B3822" s="668" t="s">
        <v>11654</v>
      </c>
      <c r="C3822" s="160" t="s">
        <v>11655</v>
      </c>
      <c r="D3822" s="160"/>
      <c r="E3822" s="439">
        <v>8</v>
      </c>
      <c r="F3822" s="161">
        <v>312.049745374</v>
      </c>
      <c r="G3822" s="161">
        <v>118.34399999999999</v>
      </c>
      <c r="H3822" s="654"/>
      <c r="I3822" s="654">
        <v>1.74270421299017</v>
      </c>
      <c r="J3822" s="191"/>
      <c r="K3822" s="191">
        <v>11176.350161087799</v>
      </c>
      <c r="L3822" s="191"/>
      <c r="M3822" s="191"/>
      <c r="N3822" s="191"/>
      <c r="O3822" s="191"/>
      <c r="P3822" s="191"/>
      <c r="Q3822" s="191"/>
      <c r="R3822" s="191"/>
      <c r="S3822" s="191"/>
      <c r="T3822" s="191"/>
      <c r="U3822" s="439"/>
      <c r="V3822" s="441"/>
      <c r="W3822" s="178"/>
      <c r="X3822" s="172"/>
      <c r="Y3822" s="172"/>
      <c r="Z3822" s="172"/>
      <c r="AA3822" s="195"/>
      <c r="AB3822" s="172"/>
    </row>
    <row r="3823" spans="1:28" ht="12.6" customHeight="1" x14ac:dyDescent="0.3">
      <c r="A3823" s="667"/>
      <c r="B3823" s="668" t="s">
        <v>11656</v>
      </c>
      <c r="C3823" s="160" t="s">
        <v>11657</v>
      </c>
      <c r="D3823" s="160"/>
      <c r="E3823" s="439">
        <v>7.58</v>
      </c>
      <c r="F3823" s="161">
        <v>295.98543103999998</v>
      </c>
      <c r="G3823" s="161">
        <v>99.933999999999997</v>
      </c>
      <c r="H3823" s="654">
        <v>4.874185659E-3</v>
      </c>
      <c r="I3823" s="654">
        <v>8.9798723937794502</v>
      </c>
      <c r="J3823" s="191"/>
      <c r="K3823" s="191">
        <v>6.7105791013441198</v>
      </c>
      <c r="L3823" s="191"/>
      <c r="M3823" s="191"/>
      <c r="N3823" s="191"/>
      <c r="O3823" s="191"/>
      <c r="P3823" s="191"/>
      <c r="Q3823" s="191"/>
      <c r="R3823" s="191"/>
      <c r="S3823" s="191"/>
      <c r="T3823" s="191"/>
      <c r="U3823" s="439"/>
      <c r="V3823" s="441"/>
      <c r="W3823" s="178"/>
      <c r="X3823" s="172"/>
      <c r="Y3823" s="172"/>
      <c r="Z3823" s="172"/>
      <c r="AA3823" s="195"/>
      <c r="AB3823" s="172"/>
    </row>
    <row r="3824" spans="1:28" ht="12.6" customHeight="1" x14ac:dyDescent="0.3">
      <c r="A3824" s="667"/>
      <c r="B3824" s="668" t="s">
        <v>11658</v>
      </c>
      <c r="C3824" s="160" t="s">
        <v>11659</v>
      </c>
      <c r="D3824" s="160"/>
      <c r="E3824" s="439"/>
      <c r="F3824" s="161">
        <v>323.93846000000002</v>
      </c>
      <c r="G3824" s="161">
        <v>-32.832999999999998</v>
      </c>
      <c r="H3824" s="654">
        <v>101.135136116</v>
      </c>
      <c r="I3824" s="654">
        <v>5.3760502883139996</v>
      </c>
      <c r="J3824" s="191"/>
      <c r="K3824" s="191">
        <v>867021.76543144905</v>
      </c>
      <c r="L3824" s="191"/>
      <c r="M3824" s="191"/>
      <c r="N3824" s="191"/>
      <c r="O3824" s="191"/>
      <c r="P3824" s="191"/>
      <c r="Q3824" s="191"/>
      <c r="R3824" s="191"/>
      <c r="S3824" s="191"/>
      <c r="T3824" s="191"/>
      <c r="U3824" s="439"/>
      <c r="V3824" s="441"/>
      <c r="W3824" s="178"/>
      <c r="X3824" s="172"/>
      <c r="Y3824" s="172"/>
      <c r="Z3824" s="172"/>
      <c r="AA3824" s="195"/>
      <c r="AB3824" s="172"/>
    </row>
    <row r="3825" spans="1:28" ht="12.6" customHeight="1" x14ac:dyDescent="0.3">
      <c r="A3825" s="667"/>
      <c r="B3825" s="668" t="s">
        <v>11660</v>
      </c>
      <c r="C3825" s="160" t="s">
        <v>11661</v>
      </c>
      <c r="D3825" s="160"/>
      <c r="E3825" s="439"/>
      <c r="F3825" s="161">
        <v>302.05416205099999</v>
      </c>
      <c r="G3825" s="161">
        <v>4.2759999999999998</v>
      </c>
      <c r="H3825" s="654">
        <v>4.3142199268000003E-2</v>
      </c>
      <c r="I3825" s="654">
        <v>0.94424547490439004</v>
      </c>
      <c r="J3825" s="191"/>
      <c r="K3825" s="191">
        <v>144933.90710335999</v>
      </c>
      <c r="L3825" s="191"/>
      <c r="M3825" s="191"/>
      <c r="N3825" s="191"/>
      <c r="O3825" s="191"/>
      <c r="P3825" s="191"/>
      <c r="Q3825" s="191"/>
      <c r="R3825" s="191"/>
      <c r="S3825" s="191"/>
      <c r="T3825" s="191"/>
      <c r="U3825" s="439"/>
      <c r="V3825" s="441"/>
      <c r="W3825" s="178"/>
      <c r="X3825" s="172"/>
      <c r="Y3825" s="172"/>
      <c r="Z3825" s="172"/>
      <c r="AA3825" s="195"/>
      <c r="AB3825" s="172"/>
    </row>
    <row r="3826" spans="1:28" ht="12.6" customHeight="1" x14ac:dyDescent="0.3">
      <c r="A3826" s="667"/>
      <c r="B3826" s="668" t="s">
        <v>11662</v>
      </c>
      <c r="C3826" s="160" t="s">
        <v>11663</v>
      </c>
      <c r="D3826" s="160"/>
      <c r="E3826" s="439">
        <v>6.7</v>
      </c>
      <c r="F3826" s="161">
        <v>383.03924026300001</v>
      </c>
      <c r="G3826" s="161"/>
      <c r="H3826" s="654"/>
      <c r="I3826" s="654"/>
      <c r="J3826" s="191"/>
      <c r="K3826" s="191">
        <v>1657.2193669476901</v>
      </c>
      <c r="L3826" s="191"/>
      <c r="M3826" s="191"/>
      <c r="N3826" s="191"/>
      <c r="O3826" s="191"/>
      <c r="P3826" s="191"/>
      <c r="Q3826" s="191"/>
      <c r="R3826" s="191"/>
      <c r="S3826" s="191"/>
      <c r="T3826" s="191"/>
      <c r="U3826" s="439"/>
      <c r="V3826" s="441"/>
      <c r="W3826" s="178"/>
      <c r="X3826" s="172"/>
      <c r="Y3826" s="172"/>
      <c r="Z3826" s="172"/>
      <c r="AA3826" s="195"/>
      <c r="AB3826" s="172"/>
    </row>
    <row r="3827" spans="1:28" ht="12.6" customHeight="1" x14ac:dyDescent="0.3">
      <c r="A3827" s="667"/>
      <c r="B3827" s="668" t="s">
        <v>11664</v>
      </c>
      <c r="C3827" s="160" t="s">
        <v>11665</v>
      </c>
      <c r="D3827" s="160"/>
      <c r="E3827" s="439">
        <v>8.0500000000000007</v>
      </c>
      <c r="F3827" s="161">
        <v>297.03884633799998</v>
      </c>
      <c r="G3827" s="161">
        <v>25.436</v>
      </c>
      <c r="H3827" s="654">
        <v>0.15237104736000001</v>
      </c>
      <c r="I3827" s="654">
        <v>0.87864387785626696</v>
      </c>
      <c r="J3827" s="191"/>
      <c r="K3827" s="191">
        <v>59250.224468124303</v>
      </c>
      <c r="L3827" s="191"/>
      <c r="M3827" s="191"/>
      <c r="N3827" s="191"/>
      <c r="O3827" s="191"/>
      <c r="P3827" s="191"/>
      <c r="Q3827" s="191"/>
      <c r="R3827" s="191"/>
      <c r="S3827" s="191"/>
      <c r="T3827" s="191"/>
      <c r="U3827" s="439"/>
      <c r="V3827" s="441"/>
      <c r="W3827" s="178"/>
      <c r="X3827" s="172"/>
      <c r="Y3827" s="172"/>
      <c r="Z3827" s="172"/>
      <c r="AA3827" s="195"/>
      <c r="AB3827" s="172"/>
    </row>
    <row r="3828" spans="1:28" ht="12.6" customHeight="1" x14ac:dyDescent="0.3">
      <c r="A3828" s="667"/>
      <c r="B3828" s="668" t="s">
        <v>11666</v>
      </c>
      <c r="C3828" s="160" t="s">
        <v>11667</v>
      </c>
      <c r="D3828" s="160"/>
      <c r="E3828" s="439">
        <v>7.81</v>
      </c>
      <c r="F3828" s="161">
        <v>280.008274486</v>
      </c>
      <c r="G3828" s="161">
        <v>99.424999999999997</v>
      </c>
      <c r="H3828" s="654">
        <v>0.22075056794</v>
      </c>
      <c r="I3828" s="654">
        <v>31.927943498266099</v>
      </c>
      <c r="J3828" s="191"/>
      <c r="K3828" s="191">
        <v>230.23428689061501</v>
      </c>
      <c r="L3828" s="191"/>
      <c r="M3828" s="191"/>
      <c r="N3828" s="191"/>
      <c r="O3828" s="191"/>
      <c r="P3828" s="191"/>
      <c r="Q3828" s="191"/>
      <c r="R3828" s="191"/>
      <c r="S3828" s="191"/>
      <c r="T3828" s="191"/>
      <c r="U3828" s="439"/>
      <c r="V3828" s="441"/>
      <c r="W3828" s="178"/>
      <c r="X3828" s="172"/>
      <c r="Y3828" s="172"/>
      <c r="Z3828" s="172"/>
      <c r="AA3828" s="195"/>
      <c r="AB3828" s="172"/>
    </row>
    <row r="3829" spans="1:28" ht="12.6" customHeight="1" x14ac:dyDescent="0.3">
      <c r="A3829" s="667"/>
      <c r="B3829" s="668" t="s">
        <v>11668</v>
      </c>
      <c r="C3829" s="160" t="s">
        <v>11669</v>
      </c>
      <c r="D3829" s="160"/>
      <c r="E3829" s="439">
        <v>8.16</v>
      </c>
      <c r="F3829" s="161">
        <v>295.98543103999998</v>
      </c>
      <c r="G3829" s="161"/>
      <c r="H3829" s="654"/>
      <c r="I3829" s="654"/>
      <c r="J3829" s="191"/>
      <c r="K3829" s="191">
        <v>0.75314396429040298</v>
      </c>
      <c r="L3829" s="191"/>
      <c r="M3829" s="191"/>
      <c r="N3829" s="191"/>
      <c r="O3829" s="191"/>
      <c r="P3829" s="191"/>
      <c r="Q3829" s="191"/>
      <c r="R3829" s="191"/>
      <c r="S3829" s="191"/>
      <c r="T3829" s="191"/>
      <c r="U3829" s="439"/>
      <c r="V3829" s="441"/>
      <c r="W3829" s="178"/>
      <c r="X3829" s="172"/>
      <c r="Y3829" s="172"/>
      <c r="Z3829" s="172"/>
      <c r="AA3829" s="195"/>
      <c r="AB3829" s="172"/>
    </row>
    <row r="3830" spans="1:28" ht="12.6" customHeight="1" x14ac:dyDescent="0.3">
      <c r="A3830" s="667"/>
      <c r="B3830" s="668" t="s">
        <v>11670</v>
      </c>
      <c r="C3830" s="160" t="s">
        <v>11671</v>
      </c>
      <c r="D3830" s="160"/>
      <c r="E3830" s="439">
        <v>7.89</v>
      </c>
      <c r="F3830" s="161">
        <v>329.065061087</v>
      </c>
      <c r="G3830" s="161"/>
      <c r="H3830" s="654"/>
      <c r="I3830" s="654"/>
      <c r="J3830" s="191"/>
      <c r="K3830" s="191">
        <v>3850.25949026439</v>
      </c>
      <c r="L3830" s="191"/>
      <c r="M3830" s="191"/>
      <c r="N3830" s="191"/>
      <c r="O3830" s="191"/>
      <c r="P3830" s="191"/>
      <c r="Q3830" s="191"/>
      <c r="R3830" s="191"/>
      <c r="S3830" s="191"/>
      <c r="T3830" s="191"/>
      <c r="U3830" s="439"/>
      <c r="V3830" s="441"/>
      <c r="W3830" s="178"/>
      <c r="X3830" s="172"/>
      <c r="Y3830" s="172"/>
      <c r="Z3830" s="172"/>
      <c r="AA3830" s="195"/>
      <c r="AB3830" s="172"/>
    </row>
    <row r="3831" spans="1:28" ht="12.6" customHeight="1" x14ac:dyDescent="0.3">
      <c r="A3831" s="667"/>
      <c r="B3831" s="668" t="s">
        <v>11672</v>
      </c>
      <c r="C3831" s="160" t="s">
        <v>11673</v>
      </c>
      <c r="D3831" s="160"/>
      <c r="E3831" s="439">
        <v>2.42</v>
      </c>
      <c r="F3831" s="161">
        <v>584.97568843500005</v>
      </c>
      <c r="G3831" s="161">
        <v>-68.123999999999995</v>
      </c>
      <c r="H3831" s="654">
        <v>4.3341249014000001</v>
      </c>
      <c r="I3831" s="654">
        <v>0.107185680367633</v>
      </c>
      <c r="J3831" s="191"/>
      <c r="K3831" s="191">
        <v>83500.677646909302</v>
      </c>
      <c r="L3831" s="191"/>
      <c r="M3831" s="191"/>
      <c r="N3831" s="191"/>
      <c r="O3831" s="191"/>
      <c r="P3831" s="191"/>
      <c r="Q3831" s="191"/>
      <c r="R3831" s="191"/>
      <c r="S3831" s="191"/>
      <c r="T3831" s="191"/>
      <c r="U3831" s="439"/>
      <c r="V3831" s="441"/>
      <c r="W3831" s="178"/>
      <c r="X3831" s="172"/>
      <c r="Y3831" s="172"/>
      <c r="Z3831" s="172"/>
      <c r="AA3831" s="195"/>
      <c r="AB3831" s="172"/>
    </row>
    <row r="3832" spans="1:28" ht="12.6" customHeight="1" x14ac:dyDescent="0.3">
      <c r="A3832" s="667"/>
      <c r="B3832" s="668" t="s">
        <v>11674</v>
      </c>
      <c r="C3832" s="160" t="s">
        <v>11675</v>
      </c>
      <c r="D3832" s="160"/>
      <c r="E3832" s="439">
        <v>3.16</v>
      </c>
      <c r="F3832" s="161">
        <v>253.99262442099999</v>
      </c>
      <c r="G3832" s="161">
        <v>-22.045999999999999</v>
      </c>
      <c r="H3832" s="654">
        <v>272.20886028000001</v>
      </c>
      <c r="I3832" s="654">
        <v>111.640426123255</v>
      </c>
      <c r="J3832" s="191"/>
      <c r="K3832" s="191">
        <v>74.922110046751001</v>
      </c>
      <c r="L3832" s="191"/>
      <c r="M3832" s="191"/>
      <c r="N3832" s="191"/>
      <c r="O3832" s="191"/>
      <c r="P3832" s="191"/>
      <c r="Q3832" s="191"/>
      <c r="R3832" s="191"/>
      <c r="S3832" s="191"/>
      <c r="T3832" s="191"/>
      <c r="U3832" s="439"/>
      <c r="V3832" s="441"/>
      <c r="W3832" s="178"/>
      <c r="X3832" s="172"/>
      <c r="Y3832" s="172"/>
      <c r="Z3832" s="172"/>
      <c r="AA3832" s="195"/>
      <c r="AB3832" s="172"/>
    </row>
    <row r="3833" spans="1:28" ht="12.6" customHeight="1" x14ac:dyDescent="0.3">
      <c r="A3833" s="667"/>
      <c r="B3833" s="668" t="s">
        <v>11676</v>
      </c>
      <c r="C3833" s="160" t="s">
        <v>11677</v>
      </c>
      <c r="D3833" s="160"/>
      <c r="E3833" s="439"/>
      <c r="F3833" s="161">
        <v>319.99512299999998</v>
      </c>
      <c r="G3833" s="161">
        <v>25.25</v>
      </c>
      <c r="H3833" s="654">
        <v>7.3097386194000006E-5</v>
      </c>
      <c r="I3833" s="654">
        <v>0.58903742256470903</v>
      </c>
      <c r="J3833" s="191"/>
      <c r="K3833" s="191">
        <v>17179.0838715758</v>
      </c>
      <c r="L3833" s="191"/>
      <c r="M3833" s="191"/>
      <c r="N3833" s="191"/>
      <c r="O3833" s="191"/>
      <c r="P3833" s="191"/>
      <c r="Q3833" s="191"/>
      <c r="R3833" s="191"/>
      <c r="S3833" s="191"/>
      <c r="T3833" s="191"/>
      <c r="U3833" s="439"/>
      <c r="V3833" s="441"/>
      <c r="W3833" s="178"/>
      <c r="X3833" s="172"/>
      <c r="Y3833" s="172"/>
      <c r="Z3833" s="172"/>
      <c r="AA3833" s="195"/>
      <c r="AB3833" s="172"/>
    </row>
    <row r="3834" spans="1:28" ht="12.6" customHeight="1" x14ac:dyDescent="0.3">
      <c r="A3834" s="667"/>
      <c r="B3834" s="668" t="s">
        <v>11678</v>
      </c>
      <c r="C3834" s="160" t="s">
        <v>11679</v>
      </c>
      <c r="D3834" s="160"/>
      <c r="E3834" s="439">
        <v>2.81</v>
      </c>
      <c r="F3834" s="161">
        <v>286.03409531</v>
      </c>
      <c r="G3834" s="161">
        <v>15.813000000000001</v>
      </c>
      <c r="H3834" s="654">
        <v>1.8616684114E-4</v>
      </c>
      <c r="I3834" s="654">
        <v>2.88679910691617</v>
      </c>
      <c r="J3834" s="191"/>
      <c r="K3834" s="191">
        <v>3821.0260630324901</v>
      </c>
      <c r="L3834" s="191"/>
      <c r="M3834" s="191"/>
      <c r="N3834" s="191"/>
      <c r="O3834" s="191"/>
      <c r="P3834" s="191"/>
      <c r="Q3834" s="191"/>
      <c r="R3834" s="191"/>
      <c r="S3834" s="191"/>
      <c r="T3834" s="191"/>
      <c r="U3834" s="439"/>
      <c r="V3834" s="441"/>
      <c r="W3834" s="178"/>
      <c r="X3834" s="172"/>
      <c r="Y3834" s="172"/>
      <c r="Z3834" s="172"/>
      <c r="AA3834" s="195"/>
      <c r="AB3834" s="172"/>
    </row>
    <row r="3835" spans="1:28" ht="12.6" customHeight="1" x14ac:dyDescent="0.3">
      <c r="A3835" s="667"/>
      <c r="B3835" s="668" t="s">
        <v>11680</v>
      </c>
      <c r="C3835" s="160" t="s">
        <v>11681</v>
      </c>
      <c r="D3835" s="160"/>
      <c r="E3835" s="439">
        <v>9.24</v>
      </c>
      <c r="F3835" s="161">
        <v>328.04465999400003</v>
      </c>
      <c r="G3835" s="161"/>
      <c r="H3835" s="654"/>
      <c r="I3835" s="654"/>
      <c r="J3835" s="191"/>
      <c r="K3835" s="191">
        <v>20328.718403778599</v>
      </c>
      <c r="L3835" s="191"/>
      <c r="M3835" s="191"/>
      <c r="N3835" s="191"/>
      <c r="O3835" s="191"/>
      <c r="P3835" s="191"/>
      <c r="Q3835" s="191"/>
      <c r="R3835" s="191"/>
      <c r="S3835" s="191"/>
      <c r="T3835" s="191"/>
      <c r="U3835" s="439"/>
      <c r="V3835" s="441"/>
      <c r="W3835" s="178"/>
      <c r="X3835" s="172"/>
      <c r="Y3835" s="172"/>
      <c r="Z3835" s="172"/>
      <c r="AA3835" s="195"/>
      <c r="AB3835" s="172"/>
    </row>
    <row r="3836" spans="1:28" ht="12.6" customHeight="1" x14ac:dyDescent="0.3">
      <c r="A3836" s="667"/>
      <c r="B3836" s="668" t="s">
        <v>11682</v>
      </c>
      <c r="C3836" s="160" t="s">
        <v>11683</v>
      </c>
      <c r="D3836" s="160"/>
      <c r="E3836" s="439">
        <v>5.94</v>
      </c>
      <c r="F3836" s="161">
        <v>238.03409531</v>
      </c>
      <c r="G3836" s="161">
        <v>-41.578000000000003</v>
      </c>
      <c r="H3836" s="654">
        <v>1061.4551019800001</v>
      </c>
      <c r="I3836" s="654">
        <v>43.116067819881501</v>
      </c>
      <c r="J3836" s="191"/>
      <c r="K3836" s="191">
        <v>137.15763879090099</v>
      </c>
      <c r="L3836" s="191"/>
      <c r="M3836" s="191"/>
      <c r="N3836" s="191"/>
      <c r="O3836" s="191"/>
      <c r="P3836" s="191"/>
      <c r="Q3836" s="191"/>
      <c r="R3836" s="191"/>
      <c r="S3836" s="191"/>
      <c r="T3836" s="191"/>
      <c r="U3836" s="439"/>
      <c r="V3836" s="441"/>
      <c r="W3836" s="178"/>
      <c r="X3836" s="172"/>
      <c r="Y3836" s="172"/>
      <c r="Z3836" s="172"/>
      <c r="AA3836" s="195"/>
      <c r="AB3836" s="172"/>
    </row>
    <row r="3837" spans="1:28" ht="12.6" customHeight="1" x14ac:dyDescent="0.3">
      <c r="A3837" s="667"/>
      <c r="B3837" s="668" t="s">
        <v>11684</v>
      </c>
      <c r="C3837" s="160" t="s">
        <v>11685</v>
      </c>
      <c r="D3837" s="160"/>
      <c r="E3837" s="439">
        <v>12</v>
      </c>
      <c r="F3837" s="161">
        <v>314.06539543899999</v>
      </c>
      <c r="G3837" s="161"/>
      <c r="H3837" s="654"/>
      <c r="I3837" s="654"/>
      <c r="J3837" s="191"/>
      <c r="K3837" s="191">
        <v>68257.440628119599</v>
      </c>
      <c r="L3837" s="191"/>
      <c r="M3837" s="191"/>
      <c r="N3837" s="191"/>
      <c r="O3837" s="191"/>
      <c r="P3837" s="191"/>
      <c r="Q3837" s="191"/>
      <c r="R3837" s="191"/>
      <c r="S3837" s="191"/>
      <c r="T3837" s="191"/>
      <c r="U3837" s="439"/>
      <c r="V3837" s="441"/>
      <c r="W3837" s="178"/>
      <c r="X3837" s="172"/>
      <c r="Y3837" s="172"/>
      <c r="Z3837" s="172"/>
      <c r="AA3837" s="195"/>
      <c r="AB3837" s="172"/>
    </row>
    <row r="3838" spans="1:28" ht="12.6" customHeight="1" x14ac:dyDescent="0.3">
      <c r="A3838" s="667"/>
      <c r="B3838" s="668" t="s">
        <v>11686</v>
      </c>
      <c r="C3838" s="160" t="s">
        <v>11687</v>
      </c>
      <c r="D3838" s="160"/>
      <c r="E3838" s="439">
        <v>12</v>
      </c>
      <c r="F3838" s="161">
        <v>328.08104550299998</v>
      </c>
      <c r="G3838" s="161"/>
      <c r="H3838" s="654"/>
      <c r="I3838" s="654"/>
      <c r="J3838" s="191"/>
      <c r="K3838" s="191">
        <v>9874.6110896438604</v>
      </c>
      <c r="L3838" s="191"/>
      <c r="M3838" s="191"/>
      <c r="N3838" s="191"/>
      <c r="O3838" s="191"/>
      <c r="P3838" s="191"/>
      <c r="Q3838" s="191"/>
      <c r="R3838" s="191"/>
      <c r="S3838" s="191"/>
      <c r="T3838" s="191"/>
      <c r="U3838" s="439"/>
      <c r="V3838" s="441"/>
      <c r="W3838" s="178"/>
      <c r="X3838" s="172"/>
      <c r="Y3838" s="172"/>
      <c r="Z3838" s="172"/>
      <c r="AA3838" s="195"/>
      <c r="AB3838" s="172"/>
    </row>
    <row r="3839" spans="1:28" ht="12.6" customHeight="1" x14ac:dyDescent="0.3">
      <c r="A3839" s="667"/>
      <c r="B3839" s="668" t="s">
        <v>11688</v>
      </c>
      <c r="C3839" s="160" t="s">
        <v>11689</v>
      </c>
      <c r="D3839" s="160"/>
      <c r="E3839" s="439">
        <v>3.8940000000000001</v>
      </c>
      <c r="F3839" s="161">
        <v>314.02900992999997</v>
      </c>
      <c r="G3839" s="161">
        <v>23.856000000000002</v>
      </c>
      <c r="H3839" s="654">
        <v>5.33214672899999E-3</v>
      </c>
      <c r="I3839" s="654">
        <v>2.2488967725829898</v>
      </c>
      <c r="J3839" s="191"/>
      <c r="K3839" s="191">
        <v>19140.796236539001</v>
      </c>
      <c r="L3839" s="191"/>
      <c r="M3839" s="191"/>
      <c r="N3839" s="191"/>
      <c r="O3839" s="191"/>
      <c r="P3839" s="191"/>
      <c r="Q3839" s="191"/>
      <c r="R3839" s="191"/>
      <c r="S3839" s="191"/>
      <c r="T3839" s="191"/>
      <c r="U3839" s="439"/>
      <c r="V3839" s="441"/>
      <c r="W3839" s="178"/>
      <c r="X3839" s="172"/>
      <c r="Y3839" s="172"/>
      <c r="Z3839" s="172"/>
      <c r="AA3839" s="195"/>
      <c r="AB3839" s="172"/>
    </row>
    <row r="3840" spans="1:28" ht="12.6" customHeight="1" x14ac:dyDescent="0.3">
      <c r="A3840" s="667"/>
      <c r="B3840" s="668" t="s">
        <v>11690</v>
      </c>
      <c r="C3840" s="160" t="s">
        <v>11691</v>
      </c>
      <c r="D3840" s="160"/>
      <c r="E3840" s="439">
        <v>3.34</v>
      </c>
      <c r="F3840" s="161">
        <v>314.04024331800002</v>
      </c>
      <c r="G3840" s="161">
        <v>58.401000000000003</v>
      </c>
      <c r="H3840" s="654">
        <v>7.1433527634000001E-5</v>
      </c>
      <c r="I3840" s="654">
        <v>5.3209094586342003</v>
      </c>
      <c r="J3840" s="191"/>
      <c r="K3840" s="191">
        <v>2509.34283404297</v>
      </c>
      <c r="L3840" s="191"/>
      <c r="M3840" s="191"/>
      <c r="N3840" s="191"/>
      <c r="O3840" s="191"/>
      <c r="P3840" s="191"/>
      <c r="Q3840" s="191"/>
      <c r="R3840" s="191"/>
      <c r="S3840" s="191"/>
      <c r="T3840" s="191"/>
      <c r="U3840" s="439"/>
      <c r="V3840" s="441"/>
      <c r="W3840" s="178"/>
      <c r="X3840" s="172"/>
      <c r="Y3840" s="172"/>
      <c r="Z3840" s="172"/>
      <c r="AA3840" s="195"/>
      <c r="AB3840" s="172"/>
    </row>
    <row r="3841" spans="1:28" ht="12.6" customHeight="1" x14ac:dyDescent="0.3">
      <c r="A3841" s="667"/>
      <c r="B3841" s="668" t="s">
        <v>11692</v>
      </c>
      <c r="C3841" s="160" t="s">
        <v>11693</v>
      </c>
      <c r="D3841" s="160"/>
      <c r="E3841" s="439">
        <v>5.76</v>
      </c>
      <c r="F3841" s="161">
        <v>324.93370900000002</v>
      </c>
      <c r="G3841" s="161"/>
      <c r="H3841" s="654"/>
      <c r="I3841" s="654"/>
      <c r="J3841" s="191"/>
      <c r="K3841" s="191">
        <v>13109.9187464977</v>
      </c>
      <c r="L3841" s="191"/>
      <c r="M3841" s="191"/>
      <c r="N3841" s="191"/>
      <c r="O3841" s="191"/>
      <c r="P3841" s="191"/>
      <c r="Q3841" s="191"/>
      <c r="R3841" s="191"/>
      <c r="S3841" s="191"/>
      <c r="T3841" s="191"/>
      <c r="U3841" s="439"/>
      <c r="V3841" s="441"/>
      <c r="W3841" s="178"/>
      <c r="X3841" s="172"/>
      <c r="Y3841" s="172"/>
      <c r="Z3841" s="172"/>
      <c r="AA3841" s="195"/>
      <c r="AB3841" s="172"/>
    </row>
    <row r="3842" spans="1:28" ht="12.6" customHeight="1" x14ac:dyDescent="0.3">
      <c r="A3842" s="667"/>
      <c r="B3842" s="668" t="s">
        <v>11694</v>
      </c>
      <c r="C3842" s="160" t="s">
        <v>11695</v>
      </c>
      <c r="D3842" s="160"/>
      <c r="E3842" s="439">
        <v>5</v>
      </c>
      <c r="F3842" s="161">
        <v>280.98422390000002</v>
      </c>
      <c r="G3842" s="161"/>
      <c r="H3842" s="654"/>
      <c r="I3842" s="654"/>
      <c r="J3842" s="191"/>
      <c r="K3842" s="191">
        <v>13449.3098768812</v>
      </c>
      <c r="L3842" s="191"/>
      <c r="M3842" s="191"/>
      <c r="N3842" s="191"/>
      <c r="O3842" s="191"/>
      <c r="P3842" s="191"/>
      <c r="Q3842" s="191"/>
      <c r="R3842" s="191"/>
      <c r="S3842" s="191"/>
      <c r="T3842" s="191"/>
      <c r="U3842" s="439"/>
      <c r="V3842" s="441"/>
      <c r="W3842" s="178"/>
      <c r="X3842" s="172"/>
      <c r="Y3842" s="172"/>
      <c r="Z3842" s="172"/>
      <c r="AA3842" s="195"/>
      <c r="AB3842" s="172"/>
    </row>
    <row r="3843" spans="1:28" ht="12.6" customHeight="1" x14ac:dyDescent="0.3">
      <c r="A3843" s="667"/>
      <c r="B3843" s="668" t="s">
        <v>11696</v>
      </c>
      <c r="C3843" s="160" t="s">
        <v>11697</v>
      </c>
      <c r="D3843" s="160"/>
      <c r="E3843" s="439"/>
      <c r="F3843" s="161">
        <v>323.93846000000002</v>
      </c>
      <c r="G3843" s="161"/>
      <c r="H3843" s="654"/>
      <c r="I3843" s="654"/>
      <c r="J3843" s="191"/>
      <c r="K3843" s="191">
        <v>879346.42035544</v>
      </c>
      <c r="L3843" s="191"/>
      <c r="M3843" s="191"/>
      <c r="N3843" s="191"/>
      <c r="O3843" s="191"/>
      <c r="P3843" s="191"/>
      <c r="Q3843" s="191"/>
      <c r="R3843" s="191"/>
      <c r="S3843" s="191"/>
      <c r="T3843" s="191"/>
      <c r="U3843" s="439"/>
      <c r="V3843" s="441"/>
      <c r="W3843" s="178"/>
      <c r="X3843" s="172"/>
      <c r="Y3843" s="172"/>
      <c r="Z3843" s="172"/>
      <c r="AA3843" s="195"/>
      <c r="AB3843" s="172"/>
    </row>
    <row r="3844" spans="1:28" ht="12.6" customHeight="1" x14ac:dyDescent="0.3">
      <c r="A3844" s="667"/>
      <c r="B3844" s="668" t="s">
        <v>11698</v>
      </c>
      <c r="C3844" s="160" t="s">
        <v>11699</v>
      </c>
      <c r="D3844" s="160"/>
      <c r="E3844" s="439">
        <v>6.33</v>
      </c>
      <c r="F3844" s="161">
        <v>324.93370900000002</v>
      </c>
      <c r="G3844" s="161"/>
      <c r="H3844" s="654"/>
      <c r="I3844" s="654"/>
      <c r="J3844" s="191"/>
      <c r="K3844" s="191">
        <v>13700.9285027512</v>
      </c>
      <c r="L3844" s="191"/>
      <c r="M3844" s="191"/>
      <c r="N3844" s="191"/>
      <c r="O3844" s="191"/>
      <c r="P3844" s="191"/>
      <c r="Q3844" s="191"/>
      <c r="R3844" s="191"/>
      <c r="S3844" s="191"/>
      <c r="T3844" s="191"/>
      <c r="U3844" s="439"/>
      <c r="V3844" s="441"/>
      <c r="W3844" s="178"/>
      <c r="X3844" s="172"/>
      <c r="Y3844" s="172"/>
      <c r="Z3844" s="172"/>
      <c r="AA3844" s="195"/>
      <c r="AB3844" s="172"/>
    </row>
    <row r="3845" spans="1:28" ht="12.6" customHeight="1" x14ac:dyDescent="0.3">
      <c r="A3845" s="667"/>
      <c r="B3845" s="668" t="s">
        <v>11700</v>
      </c>
      <c r="C3845" s="160" t="s">
        <v>11701</v>
      </c>
      <c r="D3845" s="160"/>
      <c r="E3845" s="439"/>
      <c r="F3845" s="161">
        <v>371.92459000000002</v>
      </c>
      <c r="G3845" s="161"/>
      <c r="H3845" s="654"/>
      <c r="I3845" s="654"/>
      <c r="J3845" s="191"/>
      <c r="K3845" s="191">
        <v>97326.252186350001</v>
      </c>
      <c r="L3845" s="191"/>
      <c r="M3845" s="191"/>
      <c r="N3845" s="191"/>
      <c r="O3845" s="191"/>
      <c r="P3845" s="191"/>
      <c r="Q3845" s="191"/>
      <c r="R3845" s="191"/>
      <c r="S3845" s="191"/>
      <c r="T3845" s="191"/>
      <c r="U3845" s="439"/>
      <c r="V3845" s="441"/>
      <c r="W3845" s="178"/>
      <c r="X3845" s="172"/>
      <c r="Y3845" s="172"/>
      <c r="Z3845" s="172"/>
      <c r="AA3845" s="195"/>
      <c r="AB3845" s="172"/>
    </row>
    <row r="3846" spans="1:28" ht="12.6" customHeight="1" x14ac:dyDescent="0.3">
      <c r="A3846" s="667"/>
      <c r="B3846" s="668" t="s">
        <v>11702</v>
      </c>
      <c r="C3846" s="160" t="s">
        <v>11703</v>
      </c>
      <c r="D3846" s="160"/>
      <c r="E3846" s="439">
        <v>8.98</v>
      </c>
      <c r="F3846" s="161">
        <v>441.09636121599999</v>
      </c>
      <c r="G3846" s="161"/>
      <c r="H3846" s="654"/>
      <c r="I3846" s="654"/>
      <c r="J3846" s="191"/>
      <c r="K3846" s="191">
        <v>16250248.2519604</v>
      </c>
      <c r="L3846" s="191"/>
      <c r="M3846" s="191"/>
      <c r="N3846" s="191"/>
      <c r="O3846" s="191"/>
      <c r="P3846" s="191"/>
      <c r="Q3846" s="191"/>
      <c r="R3846" s="191"/>
      <c r="S3846" s="191"/>
      <c r="T3846" s="191"/>
      <c r="U3846" s="439"/>
      <c r="V3846" s="441"/>
      <c r="W3846" s="178"/>
      <c r="X3846" s="172"/>
      <c r="Y3846" s="172"/>
      <c r="Z3846" s="172"/>
      <c r="AA3846" s="195"/>
      <c r="AB3846" s="172"/>
    </row>
    <row r="3847" spans="1:28" ht="12.6" customHeight="1" x14ac:dyDescent="0.3">
      <c r="A3847" s="667"/>
      <c r="B3847" s="668" t="s">
        <v>11704</v>
      </c>
      <c r="C3847" s="160" t="s">
        <v>11705</v>
      </c>
      <c r="D3847" s="160"/>
      <c r="E3847" s="439">
        <v>6.28</v>
      </c>
      <c r="F3847" s="161">
        <v>297.03884633799998</v>
      </c>
      <c r="G3847" s="161"/>
      <c r="H3847" s="654"/>
      <c r="I3847" s="654"/>
      <c r="J3847" s="191"/>
      <c r="K3847" s="191">
        <v>59575.816066091997</v>
      </c>
      <c r="L3847" s="191"/>
      <c r="M3847" s="191"/>
      <c r="N3847" s="191"/>
      <c r="O3847" s="191"/>
      <c r="P3847" s="191"/>
      <c r="Q3847" s="191"/>
      <c r="R3847" s="191"/>
      <c r="S3847" s="191"/>
      <c r="T3847" s="191"/>
      <c r="U3847" s="439"/>
      <c r="V3847" s="441"/>
      <c r="W3847" s="178"/>
      <c r="X3847" s="172"/>
      <c r="Y3847" s="172"/>
      <c r="Z3847" s="172"/>
      <c r="AA3847" s="195"/>
      <c r="AB3847" s="172"/>
    </row>
    <row r="3848" spans="1:28" ht="12.6" customHeight="1" x14ac:dyDescent="0.3">
      <c r="A3848" s="667"/>
      <c r="B3848" s="668" t="s">
        <v>11706</v>
      </c>
      <c r="C3848" s="160" t="s">
        <v>11707</v>
      </c>
      <c r="D3848" s="160"/>
      <c r="E3848" s="439">
        <v>7.57</v>
      </c>
      <c r="F3848" s="161">
        <v>325.03376095800002</v>
      </c>
      <c r="G3848" s="161"/>
      <c r="H3848" s="654"/>
      <c r="I3848" s="654"/>
      <c r="J3848" s="191"/>
      <c r="K3848" s="191">
        <v>37607.979374643801</v>
      </c>
      <c r="L3848" s="191"/>
      <c r="M3848" s="191"/>
      <c r="N3848" s="191"/>
      <c r="O3848" s="191"/>
      <c r="P3848" s="191"/>
      <c r="Q3848" s="191"/>
      <c r="R3848" s="191"/>
      <c r="S3848" s="191"/>
      <c r="T3848" s="191"/>
      <c r="U3848" s="439"/>
      <c r="V3848" s="441"/>
      <c r="W3848" s="178"/>
      <c r="X3848" s="172"/>
      <c r="Y3848" s="172"/>
      <c r="Z3848" s="172"/>
      <c r="AA3848" s="195"/>
      <c r="AB3848" s="172"/>
    </row>
    <row r="3849" spans="1:28" ht="12.6" customHeight="1" x14ac:dyDescent="0.3">
      <c r="A3849" s="667"/>
      <c r="B3849" s="668" t="s">
        <v>11708</v>
      </c>
      <c r="C3849" s="160" t="s">
        <v>11709</v>
      </c>
      <c r="D3849" s="160"/>
      <c r="E3849" s="439"/>
      <c r="F3849" s="161">
        <v>246.027947302</v>
      </c>
      <c r="G3849" s="161"/>
      <c r="H3849" s="654"/>
      <c r="I3849" s="654"/>
      <c r="J3849" s="191"/>
      <c r="K3849" s="191">
        <v>132721.108407558</v>
      </c>
      <c r="L3849" s="191"/>
      <c r="M3849" s="191"/>
      <c r="N3849" s="191"/>
      <c r="O3849" s="191"/>
      <c r="P3849" s="191"/>
      <c r="Q3849" s="191"/>
      <c r="R3849" s="191"/>
      <c r="S3849" s="191"/>
      <c r="T3849" s="191"/>
      <c r="U3849" s="439"/>
      <c r="V3849" s="441"/>
      <c r="W3849" s="178"/>
      <c r="X3849" s="172"/>
      <c r="Y3849" s="172"/>
      <c r="Z3849" s="172"/>
      <c r="AA3849" s="195"/>
      <c r="AB3849" s="172"/>
    </row>
    <row r="3850" spans="1:28" ht="12.6" customHeight="1" x14ac:dyDescent="0.3">
      <c r="A3850" s="667"/>
      <c r="B3850" s="668" t="s">
        <v>11710</v>
      </c>
      <c r="C3850" s="160" t="s">
        <v>11711</v>
      </c>
      <c r="D3850" s="160"/>
      <c r="E3850" s="439">
        <v>42.036999999999999</v>
      </c>
      <c r="F3850" s="161">
        <v>266.05416205099999</v>
      </c>
      <c r="G3850" s="161">
        <v>-14.401999999999999</v>
      </c>
      <c r="H3850" s="654">
        <v>41.011180420000002</v>
      </c>
      <c r="I3850" s="654">
        <v>9.6598413049152896</v>
      </c>
      <c r="J3850" s="191"/>
      <c r="K3850" s="191">
        <v>63924.891563431003</v>
      </c>
      <c r="L3850" s="191"/>
      <c r="M3850" s="191"/>
      <c r="N3850" s="191"/>
      <c r="O3850" s="191"/>
      <c r="P3850" s="191"/>
      <c r="Q3850" s="191"/>
      <c r="R3850" s="191"/>
      <c r="S3850" s="191"/>
      <c r="T3850" s="191"/>
      <c r="U3850" s="439"/>
      <c r="V3850" s="441"/>
      <c r="W3850" s="178"/>
      <c r="X3850" s="172"/>
      <c r="Y3850" s="172"/>
      <c r="Z3850" s="172"/>
      <c r="AA3850" s="195"/>
      <c r="AB3850" s="172"/>
    </row>
    <row r="3851" spans="1:28" ht="12.6" customHeight="1" x14ac:dyDescent="0.3">
      <c r="A3851" s="667"/>
      <c r="B3851" s="668" t="s">
        <v>11712</v>
      </c>
      <c r="C3851" s="160" t="s">
        <v>11713</v>
      </c>
      <c r="D3851" s="160"/>
      <c r="E3851" s="439"/>
      <c r="F3851" s="161">
        <v>377.97154</v>
      </c>
      <c r="G3851" s="161">
        <v>-19.704999999999998</v>
      </c>
      <c r="H3851" s="654">
        <v>114.525331186</v>
      </c>
      <c r="I3851" s="654">
        <v>1.5720252117294</v>
      </c>
      <c r="J3851" s="191"/>
      <c r="K3851" s="191">
        <v>27930.582942043799</v>
      </c>
      <c r="L3851" s="191"/>
      <c r="M3851" s="191"/>
      <c r="N3851" s="191"/>
      <c r="O3851" s="191"/>
      <c r="P3851" s="191"/>
      <c r="Q3851" s="191"/>
      <c r="R3851" s="191"/>
      <c r="S3851" s="191"/>
      <c r="T3851" s="191"/>
      <c r="U3851" s="439"/>
      <c r="V3851" s="441"/>
      <c r="W3851" s="178"/>
      <c r="X3851" s="172"/>
      <c r="Y3851" s="172"/>
      <c r="Z3851" s="172"/>
      <c r="AA3851" s="195"/>
      <c r="AB3851" s="172"/>
    </row>
    <row r="3852" spans="1:28" ht="12.6" customHeight="1" x14ac:dyDescent="0.3">
      <c r="A3852" s="667"/>
      <c r="B3852" s="668" t="s">
        <v>11714</v>
      </c>
      <c r="C3852" s="160" t="s">
        <v>11715</v>
      </c>
      <c r="D3852" s="160"/>
      <c r="E3852" s="439"/>
      <c r="F3852" s="161">
        <v>240.038511986</v>
      </c>
      <c r="G3852" s="161">
        <v>-84.090999999999994</v>
      </c>
      <c r="H3852" s="654">
        <v>1153.1926369600001</v>
      </c>
      <c r="I3852" s="654">
        <v>18.335005684133801</v>
      </c>
      <c r="J3852" s="191"/>
      <c r="K3852" s="191">
        <v>33130.653317138502</v>
      </c>
      <c r="L3852" s="191"/>
      <c r="M3852" s="191"/>
      <c r="N3852" s="191"/>
      <c r="O3852" s="191"/>
      <c r="P3852" s="191"/>
      <c r="Q3852" s="191"/>
      <c r="R3852" s="191"/>
      <c r="S3852" s="191"/>
      <c r="T3852" s="191"/>
      <c r="U3852" s="439"/>
      <c r="V3852" s="441"/>
      <c r="W3852" s="178"/>
      <c r="X3852" s="172"/>
      <c r="Y3852" s="172"/>
      <c r="Z3852" s="172"/>
      <c r="AA3852" s="195"/>
      <c r="AB3852" s="172"/>
    </row>
    <row r="3853" spans="1:28" ht="12.6" customHeight="1" x14ac:dyDescent="0.3">
      <c r="A3853" s="667"/>
      <c r="B3853" s="668" t="s">
        <v>11716</v>
      </c>
      <c r="C3853" s="160" t="s">
        <v>11717</v>
      </c>
      <c r="D3853" s="160"/>
      <c r="E3853" s="439">
        <v>7</v>
      </c>
      <c r="F3853" s="161">
        <v>282.02392455</v>
      </c>
      <c r="G3853" s="161">
        <v>83.180999999999997</v>
      </c>
      <c r="H3853" s="654">
        <v>0.25521297172000001</v>
      </c>
      <c r="I3853" s="654">
        <v>35.915746791442501</v>
      </c>
      <c r="J3853" s="191"/>
      <c r="K3853" s="191">
        <v>172.289971833094</v>
      </c>
      <c r="L3853" s="191"/>
      <c r="M3853" s="191"/>
      <c r="N3853" s="191"/>
      <c r="O3853" s="191"/>
      <c r="P3853" s="191"/>
      <c r="Q3853" s="191"/>
      <c r="R3853" s="191"/>
      <c r="S3853" s="191"/>
      <c r="T3853" s="191"/>
      <c r="U3853" s="439"/>
      <c r="V3853" s="441"/>
      <c r="W3853" s="178"/>
      <c r="X3853" s="172"/>
      <c r="Y3853" s="172"/>
      <c r="Z3853" s="172"/>
      <c r="AA3853" s="195"/>
      <c r="AB3853" s="172"/>
    </row>
    <row r="3854" spans="1:28" ht="12.6" customHeight="1" x14ac:dyDescent="0.3">
      <c r="A3854" s="667"/>
      <c r="B3854" s="668" t="s">
        <v>11718</v>
      </c>
      <c r="C3854" s="160" t="s">
        <v>11719</v>
      </c>
      <c r="D3854" s="160"/>
      <c r="E3854" s="439">
        <v>7.49</v>
      </c>
      <c r="F3854" s="161">
        <v>248.018445246</v>
      </c>
      <c r="G3854" s="161"/>
      <c r="H3854" s="654"/>
      <c r="I3854" s="654"/>
      <c r="J3854" s="191"/>
      <c r="K3854" s="191">
        <v>167.80697168292599</v>
      </c>
      <c r="L3854" s="191"/>
      <c r="M3854" s="191"/>
      <c r="N3854" s="191"/>
      <c r="O3854" s="191"/>
      <c r="P3854" s="191"/>
      <c r="Q3854" s="191"/>
      <c r="R3854" s="191"/>
      <c r="S3854" s="191"/>
      <c r="T3854" s="191"/>
      <c r="U3854" s="439"/>
      <c r="V3854" s="441"/>
      <c r="W3854" s="178"/>
      <c r="X3854" s="172"/>
      <c r="Y3854" s="172"/>
      <c r="Z3854" s="172"/>
      <c r="AA3854" s="195"/>
      <c r="AB3854" s="172"/>
    </row>
    <row r="3855" spans="1:28" ht="12.6" customHeight="1" x14ac:dyDescent="0.3">
      <c r="A3855" s="667"/>
      <c r="B3855" s="668" t="s">
        <v>11720</v>
      </c>
      <c r="C3855" s="160" t="s">
        <v>11721</v>
      </c>
      <c r="D3855" s="160"/>
      <c r="E3855" s="439">
        <v>7</v>
      </c>
      <c r="F3855" s="161">
        <v>263.01811089400002</v>
      </c>
      <c r="G3855" s="161"/>
      <c r="H3855" s="654"/>
      <c r="I3855" s="654"/>
      <c r="J3855" s="191"/>
      <c r="K3855" s="191">
        <v>1880.4855475239799</v>
      </c>
      <c r="L3855" s="191"/>
      <c r="M3855" s="191"/>
      <c r="N3855" s="191"/>
      <c r="O3855" s="191"/>
      <c r="P3855" s="191"/>
      <c r="Q3855" s="191"/>
      <c r="R3855" s="191"/>
      <c r="S3855" s="191"/>
      <c r="T3855" s="191"/>
      <c r="U3855" s="439"/>
      <c r="V3855" s="441"/>
      <c r="W3855" s="178"/>
      <c r="X3855" s="172"/>
      <c r="Y3855" s="172"/>
      <c r="Z3855" s="172"/>
      <c r="AA3855" s="195"/>
      <c r="AB3855" s="172"/>
    </row>
    <row r="3856" spans="1:28" ht="12.6" customHeight="1" x14ac:dyDescent="0.3">
      <c r="A3856" s="667"/>
      <c r="B3856" s="668" t="s">
        <v>11722</v>
      </c>
      <c r="C3856" s="160" t="s">
        <v>11723</v>
      </c>
      <c r="D3856" s="160"/>
      <c r="E3856" s="439">
        <v>5.05</v>
      </c>
      <c r="F3856" s="161">
        <v>315.94050060000001</v>
      </c>
      <c r="G3856" s="161"/>
      <c r="H3856" s="654"/>
      <c r="I3856" s="654"/>
      <c r="J3856" s="191"/>
      <c r="K3856" s="191">
        <v>17763.968729524</v>
      </c>
      <c r="L3856" s="191"/>
      <c r="M3856" s="191"/>
      <c r="N3856" s="191"/>
      <c r="O3856" s="191"/>
      <c r="P3856" s="191"/>
      <c r="Q3856" s="191"/>
      <c r="R3856" s="191"/>
      <c r="S3856" s="191"/>
      <c r="T3856" s="191"/>
      <c r="U3856" s="439"/>
      <c r="V3856" s="441"/>
      <c r="W3856" s="178"/>
      <c r="X3856" s="172"/>
      <c r="Y3856" s="172"/>
      <c r="Z3856" s="172"/>
      <c r="AA3856" s="195"/>
      <c r="AB3856" s="172"/>
    </row>
    <row r="3857" spans="1:28" ht="12.6" customHeight="1" x14ac:dyDescent="0.3">
      <c r="A3857" s="667"/>
      <c r="B3857" s="668" t="s">
        <v>11724</v>
      </c>
      <c r="C3857" s="160" t="s">
        <v>11725</v>
      </c>
      <c r="D3857" s="160"/>
      <c r="E3857" s="439">
        <v>19</v>
      </c>
      <c r="F3857" s="161">
        <v>285.03884633799998</v>
      </c>
      <c r="G3857" s="161"/>
      <c r="H3857" s="654"/>
      <c r="I3857" s="654"/>
      <c r="J3857" s="191"/>
      <c r="K3857" s="191">
        <v>41678.300347049299</v>
      </c>
      <c r="L3857" s="191"/>
      <c r="M3857" s="191"/>
      <c r="N3857" s="191"/>
      <c r="O3857" s="191"/>
      <c r="P3857" s="191"/>
      <c r="Q3857" s="191"/>
      <c r="R3857" s="191"/>
      <c r="S3857" s="191"/>
      <c r="T3857" s="191"/>
      <c r="U3857" s="439"/>
      <c r="V3857" s="441"/>
      <c r="W3857" s="178"/>
      <c r="X3857" s="172"/>
      <c r="Y3857" s="172"/>
      <c r="Z3857" s="172"/>
      <c r="AA3857" s="195"/>
      <c r="AB3857" s="172"/>
    </row>
    <row r="3858" spans="1:28" ht="12.6" customHeight="1" x14ac:dyDescent="0.3">
      <c r="A3858" s="667"/>
      <c r="B3858" s="668" t="s">
        <v>11726</v>
      </c>
      <c r="C3858" s="160" t="s">
        <v>11727</v>
      </c>
      <c r="D3858" s="160"/>
      <c r="E3858" s="439">
        <v>12</v>
      </c>
      <c r="F3858" s="161">
        <v>374.06539543899999</v>
      </c>
      <c r="G3858" s="161"/>
      <c r="H3858" s="654"/>
      <c r="I3858" s="654"/>
      <c r="J3858" s="191"/>
      <c r="K3858" s="191">
        <v>66230.799861284599</v>
      </c>
      <c r="L3858" s="191"/>
      <c r="M3858" s="191"/>
      <c r="N3858" s="191"/>
      <c r="O3858" s="191"/>
      <c r="P3858" s="191"/>
      <c r="Q3858" s="191"/>
      <c r="R3858" s="191"/>
      <c r="S3858" s="191"/>
      <c r="T3858" s="191"/>
      <c r="U3858" s="439"/>
      <c r="V3858" s="441"/>
      <c r="W3858" s="178"/>
      <c r="X3858" s="172"/>
      <c r="Y3858" s="172"/>
      <c r="Z3858" s="172"/>
      <c r="AA3858" s="195"/>
      <c r="AB3858" s="172"/>
    </row>
    <row r="3859" spans="1:28" ht="12.6" customHeight="1" x14ac:dyDescent="0.3">
      <c r="A3859" s="667"/>
      <c r="B3859" s="668" t="s">
        <v>11728</v>
      </c>
      <c r="C3859" s="160" t="s">
        <v>11729</v>
      </c>
      <c r="D3859" s="160"/>
      <c r="E3859" s="439">
        <v>5.24</v>
      </c>
      <c r="F3859" s="161">
        <v>281.97947290000002</v>
      </c>
      <c r="G3859" s="161"/>
      <c r="H3859" s="654"/>
      <c r="I3859" s="654"/>
      <c r="J3859" s="191"/>
      <c r="K3859" s="191">
        <v>615.72955469689703</v>
      </c>
      <c r="L3859" s="191"/>
      <c r="M3859" s="191"/>
      <c r="N3859" s="191"/>
      <c r="O3859" s="191"/>
      <c r="P3859" s="191"/>
      <c r="Q3859" s="191"/>
      <c r="R3859" s="191"/>
      <c r="S3859" s="191"/>
      <c r="T3859" s="191"/>
      <c r="U3859" s="439"/>
      <c r="V3859" s="441"/>
      <c r="W3859" s="178"/>
      <c r="X3859" s="172"/>
      <c r="Y3859" s="172"/>
      <c r="Z3859" s="172"/>
      <c r="AA3859" s="195"/>
      <c r="AB3859" s="172"/>
    </row>
    <row r="3860" spans="1:28" ht="12.6" customHeight="1" x14ac:dyDescent="0.3">
      <c r="A3860" s="667"/>
      <c r="B3860" s="668" t="s">
        <v>11730</v>
      </c>
      <c r="C3860" s="160" t="s">
        <v>11731</v>
      </c>
      <c r="D3860" s="160"/>
      <c r="E3860" s="439">
        <v>9.52</v>
      </c>
      <c r="F3860" s="161">
        <v>235.02319627399999</v>
      </c>
      <c r="G3860" s="161"/>
      <c r="H3860" s="654"/>
      <c r="I3860" s="654"/>
      <c r="J3860" s="191"/>
      <c r="K3860" s="191">
        <v>10546.5398992562</v>
      </c>
      <c r="L3860" s="191"/>
      <c r="M3860" s="191"/>
      <c r="N3860" s="191"/>
      <c r="O3860" s="191"/>
      <c r="P3860" s="191"/>
      <c r="Q3860" s="191"/>
      <c r="R3860" s="191"/>
      <c r="S3860" s="191"/>
      <c r="T3860" s="191"/>
      <c r="U3860" s="439"/>
      <c r="V3860" s="441"/>
      <c r="W3860" s="178"/>
      <c r="X3860" s="172"/>
      <c r="Y3860" s="172"/>
      <c r="Z3860" s="172"/>
      <c r="AA3860" s="195"/>
      <c r="AB3860" s="172"/>
    </row>
    <row r="3861" spans="1:28" ht="12.6" customHeight="1" x14ac:dyDescent="0.3">
      <c r="A3861" s="667"/>
      <c r="B3861" s="668" t="s">
        <v>11732</v>
      </c>
      <c r="C3861" s="160" t="s">
        <v>11733</v>
      </c>
      <c r="D3861" s="160"/>
      <c r="E3861" s="439">
        <v>5.86</v>
      </c>
      <c r="F3861" s="161">
        <v>297.03884633799998</v>
      </c>
      <c r="G3861" s="161"/>
      <c r="H3861" s="654"/>
      <c r="I3861" s="654"/>
      <c r="J3861" s="191"/>
      <c r="K3861" s="191">
        <v>4369.8849193237802</v>
      </c>
      <c r="L3861" s="191"/>
      <c r="M3861" s="191"/>
      <c r="N3861" s="191"/>
      <c r="O3861" s="191"/>
      <c r="P3861" s="191"/>
      <c r="Q3861" s="191"/>
      <c r="R3861" s="191"/>
      <c r="S3861" s="191"/>
      <c r="T3861" s="191"/>
      <c r="U3861" s="439"/>
      <c r="V3861" s="441"/>
      <c r="W3861" s="178"/>
      <c r="X3861" s="172"/>
      <c r="Y3861" s="172"/>
      <c r="Z3861" s="172"/>
      <c r="AA3861" s="195"/>
      <c r="AB3861" s="172"/>
    </row>
    <row r="3862" spans="1:28" ht="12.6" customHeight="1" x14ac:dyDescent="0.3">
      <c r="A3862" s="667"/>
      <c r="B3862" s="668" t="s">
        <v>11734</v>
      </c>
      <c r="C3862" s="160" t="s">
        <v>11735</v>
      </c>
      <c r="D3862" s="160"/>
      <c r="E3862" s="439">
        <v>6.01</v>
      </c>
      <c r="F3862" s="161">
        <v>248.018445246</v>
      </c>
      <c r="G3862" s="161"/>
      <c r="H3862" s="654"/>
      <c r="I3862" s="654"/>
      <c r="J3862" s="191"/>
      <c r="K3862" s="191">
        <v>1397.6872388665199</v>
      </c>
      <c r="L3862" s="191"/>
      <c r="M3862" s="191"/>
      <c r="N3862" s="191"/>
      <c r="O3862" s="191"/>
      <c r="P3862" s="191"/>
      <c r="Q3862" s="191"/>
      <c r="R3862" s="191"/>
      <c r="S3862" s="191"/>
      <c r="T3862" s="191"/>
      <c r="U3862" s="439"/>
      <c r="V3862" s="441"/>
      <c r="W3862" s="178"/>
      <c r="X3862" s="172"/>
      <c r="Y3862" s="172"/>
      <c r="Z3862" s="172"/>
      <c r="AA3862" s="195"/>
      <c r="AB3862" s="172"/>
    </row>
    <row r="3863" spans="1:28" ht="12.6" customHeight="1" x14ac:dyDescent="0.3">
      <c r="A3863" s="667"/>
      <c r="B3863" s="668" t="s">
        <v>4831</v>
      </c>
      <c r="C3863" s="160" t="s">
        <v>11736</v>
      </c>
      <c r="D3863" s="160"/>
      <c r="E3863" s="439">
        <v>7.81</v>
      </c>
      <c r="F3863" s="161">
        <v>240.049745374</v>
      </c>
      <c r="G3863" s="161">
        <v>-37.984999999999999</v>
      </c>
      <c r="H3863" s="654">
        <v>240.93551873999999</v>
      </c>
      <c r="I3863" s="654">
        <v>62.994334280535803</v>
      </c>
      <c r="J3863" s="191"/>
      <c r="K3863" s="191">
        <v>84.323767085107306</v>
      </c>
      <c r="L3863" s="191"/>
      <c r="M3863" s="191"/>
      <c r="N3863" s="191"/>
      <c r="O3863" s="191"/>
      <c r="P3863" s="191"/>
      <c r="Q3863" s="191"/>
      <c r="R3863" s="191"/>
      <c r="S3863" s="191"/>
      <c r="T3863" s="191"/>
      <c r="U3863" s="439"/>
      <c r="V3863" s="441"/>
      <c r="W3863" s="178"/>
      <c r="X3863" s="172"/>
      <c r="Y3863" s="172"/>
      <c r="Z3863" s="172"/>
      <c r="AA3863" s="195"/>
      <c r="AB3863" s="172"/>
    </row>
    <row r="3864" spans="1:28" ht="12.6" customHeight="1" x14ac:dyDescent="0.3">
      <c r="A3864" s="667"/>
      <c r="B3864" s="668" t="s">
        <v>4829</v>
      </c>
      <c r="C3864" s="160" t="s">
        <v>4830</v>
      </c>
      <c r="D3864" s="160"/>
      <c r="E3864" s="439">
        <v>9.09</v>
      </c>
      <c r="F3864" s="161">
        <v>236.018445246</v>
      </c>
      <c r="G3864" s="161"/>
      <c r="H3864" s="654"/>
      <c r="I3864" s="654"/>
      <c r="J3864" s="191"/>
      <c r="K3864" s="191">
        <v>189.47416419929101</v>
      </c>
      <c r="L3864" s="191"/>
      <c r="M3864" s="191"/>
      <c r="N3864" s="191"/>
      <c r="O3864" s="191"/>
      <c r="P3864" s="191"/>
      <c r="Q3864" s="191"/>
      <c r="R3864" s="191"/>
      <c r="S3864" s="191"/>
      <c r="T3864" s="191"/>
      <c r="U3864" s="439"/>
      <c r="V3864" s="441"/>
      <c r="W3864" s="178"/>
      <c r="X3864" s="172"/>
      <c r="Y3864" s="172"/>
      <c r="Z3864" s="172"/>
      <c r="AA3864" s="195"/>
      <c r="AB3864" s="172"/>
    </row>
    <row r="3865" spans="1:28" ht="12.6" customHeight="1" x14ac:dyDescent="0.3">
      <c r="A3865" s="667"/>
      <c r="B3865" s="668" t="s">
        <v>11737</v>
      </c>
      <c r="C3865" s="160" t="s">
        <v>11738</v>
      </c>
      <c r="D3865" s="160"/>
      <c r="E3865" s="439">
        <v>4</v>
      </c>
      <c r="F3865" s="161">
        <v>389.96025800000001</v>
      </c>
      <c r="G3865" s="161"/>
      <c r="H3865" s="654"/>
      <c r="I3865" s="654"/>
      <c r="J3865" s="191"/>
      <c r="K3865" s="191">
        <v>31863.2447865102</v>
      </c>
      <c r="L3865" s="191"/>
      <c r="M3865" s="191"/>
      <c r="N3865" s="191"/>
      <c r="O3865" s="191"/>
      <c r="P3865" s="191"/>
      <c r="Q3865" s="191"/>
      <c r="R3865" s="191"/>
      <c r="S3865" s="191"/>
      <c r="T3865" s="191"/>
      <c r="U3865" s="439"/>
      <c r="V3865" s="441"/>
      <c r="W3865" s="178"/>
      <c r="X3865" s="172"/>
      <c r="Y3865" s="172"/>
      <c r="Z3865" s="172"/>
      <c r="AA3865" s="195"/>
      <c r="AB3865" s="172"/>
    </row>
    <row r="3866" spans="1:28" ht="12.6" customHeight="1" x14ac:dyDescent="0.3">
      <c r="A3866" s="667"/>
      <c r="B3866" s="668" t="s">
        <v>11739</v>
      </c>
      <c r="C3866" s="160" t="s">
        <v>11740</v>
      </c>
      <c r="D3866" s="160"/>
      <c r="E3866" s="439">
        <v>8.5</v>
      </c>
      <c r="F3866" s="161">
        <v>313.04499434600001</v>
      </c>
      <c r="G3866" s="161"/>
      <c r="H3866" s="654"/>
      <c r="I3866" s="654"/>
      <c r="J3866" s="191"/>
      <c r="K3866" s="191">
        <v>4179.3620994738203</v>
      </c>
      <c r="L3866" s="191"/>
      <c r="M3866" s="191"/>
      <c r="N3866" s="191"/>
      <c r="O3866" s="191"/>
      <c r="P3866" s="191"/>
      <c r="Q3866" s="191"/>
      <c r="R3866" s="191"/>
      <c r="S3866" s="191"/>
      <c r="T3866" s="191"/>
      <c r="U3866" s="439"/>
      <c r="V3866" s="441"/>
      <c r="W3866" s="178"/>
      <c r="X3866" s="172"/>
      <c r="Y3866" s="172"/>
      <c r="Z3866" s="172"/>
      <c r="AA3866" s="195"/>
      <c r="AB3866" s="172"/>
    </row>
    <row r="3867" spans="1:28" ht="12.6" customHeight="1" x14ac:dyDescent="0.3">
      <c r="A3867" s="667"/>
      <c r="B3867" s="668" t="s">
        <v>11741</v>
      </c>
      <c r="C3867" s="160" t="s">
        <v>11742</v>
      </c>
      <c r="D3867" s="160"/>
      <c r="E3867" s="439">
        <v>4.7</v>
      </c>
      <c r="F3867" s="161">
        <v>373.077357103</v>
      </c>
      <c r="G3867" s="161"/>
      <c r="H3867" s="654"/>
      <c r="I3867" s="654"/>
      <c r="J3867" s="191"/>
      <c r="K3867" s="191">
        <v>273.35687437707901</v>
      </c>
      <c r="L3867" s="191"/>
      <c r="M3867" s="191"/>
      <c r="N3867" s="191"/>
      <c r="O3867" s="191"/>
      <c r="P3867" s="191"/>
      <c r="Q3867" s="191"/>
      <c r="R3867" s="191"/>
      <c r="S3867" s="191"/>
      <c r="T3867" s="191"/>
      <c r="U3867" s="439"/>
      <c r="V3867" s="441"/>
      <c r="W3867" s="178"/>
      <c r="X3867" s="172"/>
      <c r="Y3867" s="172"/>
      <c r="Z3867" s="172"/>
      <c r="AA3867" s="195"/>
      <c r="AB3867" s="172"/>
    </row>
    <row r="3868" spans="1:28" ht="12.6" customHeight="1" x14ac:dyDescent="0.3">
      <c r="A3868" s="667"/>
      <c r="B3868" s="668" t="s">
        <v>11743</v>
      </c>
      <c r="C3868" s="160" t="s">
        <v>11744</v>
      </c>
      <c r="D3868" s="160"/>
      <c r="E3868" s="439">
        <v>10.42</v>
      </c>
      <c r="F3868" s="161">
        <v>236.018445246</v>
      </c>
      <c r="G3868" s="161"/>
      <c r="H3868" s="654"/>
      <c r="I3868" s="654"/>
      <c r="J3868" s="191"/>
      <c r="K3868" s="191">
        <v>85.390587189779296</v>
      </c>
      <c r="L3868" s="191"/>
      <c r="M3868" s="191"/>
      <c r="N3868" s="191"/>
      <c r="O3868" s="191"/>
      <c r="P3868" s="191"/>
      <c r="Q3868" s="191"/>
      <c r="R3868" s="191"/>
      <c r="S3868" s="191"/>
      <c r="T3868" s="191"/>
      <c r="U3868" s="439"/>
      <c r="V3868" s="441"/>
      <c r="W3868" s="178"/>
      <c r="X3868" s="172"/>
      <c r="Y3868" s="172"/>
      <c r="Z3868" s="172"/>
      <c r="AA3868" s="195"/>
      <c r="AB3868" s="172"/>
    </row>
    <row r="3869" spans="1:28" ht="12.6" customHeight="1" x14ac:dyDescent="0.3">
      <c r="A3869" s="667"/>
      <c r="B3869" s="668" t="s">
        <v>11745</v>
      </c>
      <c r="C3869" s="160" t="s">
        <v>11746</v>
      </c>
      <c r="D3869" s="160"/>
      <c r="E3869" s="439"/>
      <c r="F3869" s="161">
        <v>252.00212647800001</v>
      </c>
      <c r="G3869" s="161">
        <v>-52.38</v>
      </c>
      <c r="H3869" s="654">
        <v>172.14803284000001</v>
      </c>
      <c r="I3869" s="654">
        <v>117.870214628187</v>
      </c>
      <c r="J3869" s="191"/>
      <c r="K3869" s="191">
        <v>173.188878533967</v>
      </c>
      <c r="L3869" s="191"/>
      <c r="M3869" s="191"/>
      <c r="N3869" s="191"/>
      <c r="O3869" s="191"/>
      <c r="P3869" s="191"/>
      <c r="Q3869" s="191"/>
      <c r="R3869" s="191"/>
      <c r="S3869" s="191"/>
      <c r="T3869" s="191"/>
      <c r="U3869" s="439"/>
      <c r="V3869" s="441"/>
      <c r="W3869" s="178"/>
      <c r="X3869" s="172"/>
      <c r="Y3869" s="172"/>
      <c r="Z3869" s="172"/>
      <c r="AA3869" s="195"/>
      <c r="AB3869" s="172"/>
    </row>
    <row r="3870" spans="1:28" ht="12.6" customHeight="1" x14ac:dyDescent="0.3">
      <c r="A3870" s="667"/>
      <c r="B3870" s="668" t="s">
        <v>11747</v>
      </c>
      <c r="C3870" s="160" t="s">
        <v>11748</v>
      </c>
      <c r="D3870" s="160"/>
      <c r="E3870" s="439"/>
      <c r="F3870" s="161">
        <v>242.01777654200001</v>
      </c>
      <c r="G3870" s="161"/>
      <c r="H3870" s="654"/>
      <c r="I3870" s="654"/>
      <c r="J3870" s="191"/>
      <c r="K3870" s="191">
        <v>160.65342914663501</v>
      </c>
      <c r="L3870" s="191"/>
      <c r="M3870" s="191"/>
      <c r="N3870" s="191"/>
      <c r="O3870" s="191"/>
      <c r="P3870" s="191"/>
      <c r="Q3870" s="191"/>
      <c r="R3870" s="191"/>
      <c r="S3870" s="191"/>
      <c r="T3870" s="191"/>
      <c r="U3870" s="439"/>
      <c r="V3870" s="441"/>
      <c r="W3870" s="178"/>
      <c r="X3870" s="172"/>
      <c r="Y3870" s="172"/>
      <c r="Z3870" s="172"/>
      <c r="AA3870" s="195"/>
      <c r="AB3870" s="172"/>
    </row>
    <row r="3871" spans="1:28" ht="12.6" customHeight="1" x14ac:dyDescent="0.3">
      <c r="A3871" s="667"/>
      <c r="B3871" s="668" t="s">
        <v>11749</v>
      </c>
      <c r="C3871" s="160" t="s">
        <v>11750</v>
      </c>
      <c r="D3871" s="160"/>
      <c r="E3871" s="439"/>
      <c r="F3871" s="161">
        <v>515.999363389</v>
      </c>
      <c r="G3871" s="161"/>
      <c r="H3871" s="654"/>
      <c r="I3871" s="654"/>
      <c r="J3871" s="191"/>
      <c r="K3871" s="191">
        <v>136291.88558568101</v>
      </c>
      <c r="L3871" s="191"/>
      <c r="M3871" s="191"/>
      <c r="N3871" s="191"/>
      <c r="O3871" s="191"/>
      <c r="P3871" s="191"/>
      <c r="Q3871" s="191"/>
      <c r="R3871" s="191"/>
      <c r="S3871" s="191"/>
      <c r="T3871" s="191"/>
      <c r="U3871" s="439"/>
      <c r="V3871" s="441"/>
      <c r="W3871" s="178"/>
      <c r="X3871" s="172"/>
      <c r="Y3871" s="172"/>
      <c r="Z3871" s="172"/>
      <c r="AA3871" s="195"/>
      <c r="AB3871" s="172"/>
    </row>
    <row r="3872" spans="1:28" ht="12.6" customHeight="1" x14ac:dyDescent="0.3">
      <c r="A3872" s="667"/>
      <c r="B3872" s="668" t="s">
        <v>11751</v>
      </c>
      <c r="C3872" s="160" t="s">
        <v>11752</v>
      </c>
      <c r="D3872" s="160"/>
      <c r="E3872" s="439"/>
      <c r="F3872" s="161">
        <v>366.00894441100002</v>
      </c>
      <c r="G3872" s="161"/>
      <c r="H3872" s="654"/>
      <c r="I3872" s="654"/>
      <c r="J3872" s="191"/>
      <c r="K3872" s="191">
        <v>27033.358263617702</v>
      </c>
      <c r="L3872" s="191"/>
      <c r="M3872" s="191"/>
      <c r="N3872" s="191"/>
      <c r="O3872" s="191"/>
      <c r="P3872" s="191"/>
      <c r="Q3872" s="191"/>
      <c r="R3872" s="191"/>
      <c r="S3872" s="191"/>
      <c r="T3872" s="191"/>
      <c r="U3872" s="439"/>
      <c r="V3872" s="441"/>
      <c r="W3872" s="178"/>
      <c r="X3872" s="172"/>
      <c r="Y3872" s="172"/>
      <c r="Z3872" s="172"/>
      <c r="AA3872" s="195"/>
      <c r="AB3872" s="172"/>
    </row>
    <row r="3873" spans="1:28" ht="12.6" customHeight="1" x14ac:dyDescent="0.3">
      <c r="A3873" s="667"/>
      <c r="B3873" s="668" t="s">
        <v>11753</v>
      </c>
      <c r="C3873" s="160" t="s">
        <v>11754</v>
      </c>
      <c r="D3873" s="160"/>
      <c r="E3873" s="439"/>
      <c r="F3873" s="161">
        <v>422.071544668</v>
      </c>
      <c r="G3873" s="161"/>
      <c r="H3873" s="654"/>
      <c r="I3873" s="654"/>
      <c r="J3873" s="191"/>
      <c r="K3873" s="191">
        <v>6540033.9078622404</v>
      </c>
      <c r="L3873" s="191"/>
      <c r="M3873" s="191"/>
      <c r="N3873" s="191"/>
      <c r="O3873" s="191"/>
      <c r="P3873" s="191"/>
      <c r="Q3873" s="191"/>
      <c r="R3873" s="191"/>
      <c r="S3873" s="191"/>
      <c r="T3873" s="191"/>
      <c r="U3873" s="439"/>
      <c r="V3873" s="441"/>
      <c r="W3873" s="178"/>
      <c r="X3873" s="172"/>
      <c r="Y3873" s="172"/>
      <c r="Z3873" s="172"/>
      <c r="AA3873" s="195"/>
      <c r="AB3873" s="172"/>
    </row>
    <row r="3874" spans="1:28" ht="12.6" customHeight="1" x14ac:dyDescent="0.3">
      <c r="A3874" s="667"/>
      <c r="B3874" s="668" t="s">
        <v>11755</v>
      </c>
      <c r="C3874" s="160" t="s">
        <v>11756</v>
      </c>
      <c r="D3874" s="160"/>
      <c r="E3874" s="439"/>
      <c r="F3874" s="161">
        <v>450.10284479699999</v>
      </c>
      <c r="G3874" s="161"/>
      <c r="H3874" s="654"/>
      <c r="I3874" s="654"/>
      <c r="J3874" s="191"/>
      <c r="K3874" s="191">
        <v>48631761.4424899</v>
      </c>
      <c r="L3874" s="191"/>
      <c r="M3874" s="191"/>
      <c r="N3874" s="191"/>
      <c r="O3874" s="191"/>
      <c r="P3874" s="191"/>
      <c r="Q3874" s="191"/>
      <c r="R3874" s="191"/>
      <c r="S3874" s="191"/>
      <c r="T3874" s="191"/>
      <c r="U3874" s="439"/>
      <c r="V3874" s="441"/>
      <c r="W3874" s="178"/>
      <c r="X3874" s="172"/>
      <c r="Y3874" s="172"/>
      <c r="Z3874" s="172"/>
      <c r="AA3874" s="195"/>
      <c r="AB3874" s="172"/>
    </row>
    <row r="3875" spans="1:28" ht="12.6" customHeight="1" x14ac:dyDescent="0.3">
      <c r="A3875" s="667"/>
      <c r="B3875" s="668" t="s">
        <v>11757</v>
      </c>
      <c r="C3875" s="160" t="s">
        <v>11758</v>
      </c>
      <c r="D3875" s="160"/>
      <c r="E3875" s="439"/>
      <c r="F3875" s="161">
        <v>478.13414492599998</v>
      </c>
      <c r="G3875" s="161"/>
      <c r="H3875" s="654"/>
      <c r="I3875" s="654"/>
      <c r="J3875" s="191"/>
      <c r="K3875" s="191">
        <v>1013421234.62985</v>
      </c>
      <c r="L3875" s="191"/>
      <c r="M3875" s="191"/>
      <c r="N3875" s="191"/>
      <c r="O3875" s="191"/>
      <c r="P3875" s="191"/>
      <c r="Q3875" s="191"/>
      <c r="R3875" s="191"/>
      <c r="S3875" s="191"/>
      <c r="T3875" s="191"/>
      <c r="U3875" s="439"/>
      <c r="V3875" s="441"/>
      <c r="W3875" s="178"/>
      <c r="X3875" s="172"/>
      <c r="Y3875" s="172"/>
      <c r="Z3875" s="172"/>
      <c r="AA3875" s="195"/>
      <c r="AB3875" s="172"/>
    </row>
    <row r="3876" spans="1:28" ht="12.6" customHeight="1" x14ac:dyDescent="0.3">
      <c r="A3876" s="667"/>
      <c r="B3876" s="668" t="s">
        <v>11759</v>
      </c>
      <c r="C3876" s="160" t="s">
        <v>11760</v>
      </c>
      <c r="D3876" s="160"/>
      <c r="E3876" s="439"/>
      <c r="F3876" s="161">
        <v>313.99648802000002</v>
      </c>
      <c r="G3876" s="161"/>
      <c r="H3876" s="654"/>
      <c r="I3876" s="654"/>
      <c r="J3876" s="191"/>
      <c r="K3876" s="191">
        <v>5678.45253554378</v>
      </c>
      <c r="L3876" s="191"/>
      <c r="M3876" s="191"/>
      <c r="N3876" s="191"/>
      <c r="O3876" s="191"/>
      <c r="P3876" s="191"/>
      <c r="Q3876" s="191"/>
      <c r="R3876" s="191"/>
      <c r="S3876" s="191"/>
      <c r="T3876" s="191"/>
      <c r="U3876" s="439"/>
      <c r="V3876" s="441"/>
      <c r="W3876" s="178"/>
      <c r="X3876" s="172"/>
      <c r="Y3876" s="172"/>
      <c r="Z3876" s="172"/>
      <c r="AA3876" s="195"/>
      <c r="AB3876" s="172"/>
    </row>
    <row r="3877" spans="1:28" ht="12.6" customHeight="1" x14ac:dyDescent="0.3">
      <c r="A3877" s="667"/>
      <c r="B3877" s="668" t="s">
        <v>11761</v>
      </c>
      <c r="C3877" s="160" t="s">
        <v>11762</v>
      </c>
      <c r="D3877" s="160"/>
      <c r="E3877" s="439"/>
      <c r="F3877" s="161">
        <v>366.00894441100002</v>
      </c>
      <c r="G3877" s="161"/>
      <c r="H3877" s="654"/>
      <c r="I3877" s="654"/>
      <c r="J3877" s="191"/>
      <c r="K3877" s="191">
        <v>27151.260715193101</v>
      </c>
      <c r="L3877" s="191"/>
      <c r="M3877" s="191"/>
      <c r="N3877" s="191"/>
      <c r="O3877" s="191"/>
      <c r="P3877" s="191"/>
      <c r="Q3877" s="191"/>
      <c r="R3877" s="191"/>
      <c r="S3877" s="191"/>
      <c r="T3877" s="191"/>
      <c r="U3877" s="439"/>
      <c r="V3877" s="441"/>
      <c r="W3877" s="178"/>
      <c r="X3877" s="172"/>
      <c r="Y3877" s="172"/>
      <c r="Z3877" s="172"/>
      <c r="AA3877" s="195"/>
      <c r="AB3877" s="172"/>
    </row>
    <row r="3878" spans="1:28" ht="12.6" customHeight="1" x14ac:dyDescent="0.3">
      <c r="A3878" s="667"/>
      <c r="B3878" s="668" t="s">
        <v>11763</v>
      </c>
      <c r="C3878" s="160" t="s">
        <v>11764</v>
      </c>
      <c r="D3878" s="160"/>
      <c r="E3878" s="439">
        <v>9.1999999999999993</v>
      </c>
      <c r="F3878" s="161">
        <v>319.04432564299998</v>
      </c>
      <c r="G3878" s="161">
        <v>24.204000000000001</v>
      </c>
      <c r="H3878" s="654">
        <v>8.6477182148000001E-2</v>
      </c>
      <c r="I3878" s="654">
        <v>6.9478601839601701</v>
      </c>
      <c r="J3878" s="191"/>
      <c r="K3878" s="191">
        <v>9300.3651475396</v>
      </c>
      <c r="L3878" s="191"/>
      <c r="M3878" s="191"/>
      <c r="N3878" s="191"/>
      <c r="O3878" s="191"/>
      <c r="P3878" s="191"/>
      <c r="Q3878" s="191"/>
      <c r="R3878" s="191"/>
      <c r="S3878" s="191"/>
      <c r="T3878" s="191"/>
      <c r="U3878" s="439"/>
      <c r="V3878" s="441"/>
      <c r="W3878" s="178"/>
      <c r="X3878" s="172"/>
      <c r="Y3878" s="172"/>
      <c r="Z3878" s="172"/>
      <c r="AA3878" s="195"/>
      <c r="AB3878" s="172"/>
    </row>
    <row r="3879" spans="1:28" ht="12.6" customHeight="1" x14ac:dyDescent="0.3">
      <c r="A3879" s="667"/>
      <c r="B3879" s="668" t="s">
        <v>11765</v>
      </c>
      <c r="C3879" s="160" t="s">
        <v>11766</v>
      </c>
      <c r="D3879" s="160"/>
      <c r="E3879" s="439"/>
      <c r="F3879" s="161">
        <v>226.022861922</v>
      </c>
      <c r="G3879" s="161">
        <v>-112.202</v>
      </c>
      <c r="H3879" s="654">
        <v>40916.788443999998</v>
      </c>
      <c r="I3879" s="654">
        <v>76.059405311096</v>
      </c>
      <c r="J3879" s="191"/>
      <c r="K3879" s="191">
        <v>160.49074756587001</v>
      </c>
      <c r="L3879" s="191"/>
      <c r="M3879" s="191"/>
      <c r="N3879" s="191"/>
      <c r="O3879" s="191"/>
      <c r="P3879" s="191"/>
      <c r="Q3879" s="191"/>
      <c r="R3879" s="191"/>
      <c r="S3879" s="191"/>
      <c r="T3879" s="191"/>
      <c r="U3879" s="439"/>
      <c r="V3879" s="441"/>
      <c r="W3879" s="178"/>
      <c r="X3879" s="172"/>
      <c r="Y3879" s="172"/>
      <c r="Z3879" s="172"/>
      <c r="AA3879" s="195"/>
      <c r="AB3879" s="172"/>
    </row>
    <row r="3880" spans="1:28" ht="12.6" customHeight="1" x14ac:dyDescent="0.3">
      <c r="A3880" s="667"/>
      <c r="B3880" s="668" t="s">
        <v>11767</v>
      </c>
      <c r="C3880" s="160" t="s">
        <v>11768</v>
      </c>
      <c r="D3880" s="160"/>
      <c r="E3880" s="439"/>
      <c r="F3880" s="161">
        <v>359.91417159999997</v>
      </c>
      <c r="G3880" s="161"/>
      <c r="H3880" s="654"/>
      <c r="I3880" s="654"/>
      <c r="J3880" s="191"/>
      <c r="K3880" s="191">
        <v>2450755.5792438202</v>
      </c>
      <c r="L3880" s="191"/>
      <c r="M3880" s="191"/>
      <c r="N3880" s="191"/>
      <c r="O3880" s="191"/>
      <c r="P3880" s="191"/>
      <c r="Q3880" s="191"/>
      <c r="R3880" s="191"/>
      <c r="S3880" s="191"/>
      <c r="T3880" s="191"/>
      <c r="U3880" s="439"/>
      <c r="V3880" s="441"/>
      <c r="W3880" s="178"/>
      <c r="X3880" s="172"/>
      <c r="Y3880" s="172"/>
      <c r="Z3880" s="172"/>
      <c r="AA3880" s="195"/>
      <c r="AB3880" s="172"/>
    </row>
    <row r="3881" spans="1:28" ht="12.6" customHeight="1" x14ac:dyDescent="0.3">
      <c r="A3881" s="667"/>
      <c r="B3881" s="668" t="s">
        <v>11769</v>
      </c>
      <c r="C3881" s="160" t="s">
        <v>11770</v>
      </c>
      <c r="D3881" s="160"/>
      <c r="E3881" s="439"/>
      <c r="F3881" s="161">
        <v>339.968794</v>
      </c>
      <c r="G3881" s="161"/>
      <c r="H3881" s="654"/>
      <c r="I3881" s="654"/>
      <c r="J3881" s="191"/>
      <c r="K3881" s="191">
        <v>72866.850741205693</v>
      </c>
      <c r="L3881" s="191"/>
      <c r="M3881" s="191"/>
      <c r="N3881" s="191"/>
      <c r="O3881" s="191"/>
      <c r="P3881" s="191"/>
      <c r="Q3881" s="191"/>
      <c r="R3881" s="191"/>
      <c r="S3881" s="191"/>
      <c r="T3881" s="191"/>
      <c r="U3881" s="439"/>
      <c r="V3881" s="441"/>
      <c r="W3881" s="178"/>
      <c r="X3881" s="172"/>
      <c r="Y3881" s="172"/>
      <c r="Z3881" s="172"/>
      <c r="AA3881" s="195"/>
      <c r="AB3881" s="172"/>
    </row>
    <row r="3882" spans="1:28" ht="12.6" customHeight="1" x14ac:dyDescent="0.3">
      <c r="A3882" s="667"/>
      <c r="B3882" s="668" t="s">
        <v>11771</v>
      </c>
      <c r="C3882" s="160" t="s">
        <v>11772</v>
      </c>
      <c r="D3882" s="160"/>
      <c r="E3882" s="439"/>
      <c r="F3882" s="161">
        <v>319.964675</v>
      </c>
      <c r="G3882" s="161">
        <v>-92.814999999999998</v>
      </c>
      <c r="H3882" s="654">
        <v>193.15291393999999</v>
      </c>
      <c r="I3882" s="654">
        <v>13.934845553859899</v>
      </c>
      <c r="J3882" s="191"/>
      <c r="K3882" s="191">
        <v>11492.115972032299</v>
      </c>
      <c r="L3882" s="191"/>
      <c r="M3882" s="191"/>
      <c r="N3882" s="191"/>
      <c r="O3882" s="191"/>
      <c r="P3882" s="191"/>
      <c r="Q3882" s="191"/>
      <c r="R3882" s="191"/>
      <c r="S3882" s="191"/>
      <c r="T3882" s="191"/>
      <c r="U3882" s="439"/>
      <c r="V3882" s="441"/>
      <c r="W3882" s="178"/>
      <c r="X3882" s="172"/>
      <c r="Y3882" s="172"/>
      <c r="Z3882" s="172"/>
      <c r="AA3882" s="195"/>
      <c r="AB3882" s="172"/>
    </row>
    <row r="3883" spans="1:28" ht="12.6" customHeight="1" x14ac:dyDescent="0.3">
      <c r="A3883" s="667"/>
      <c r="B3883" s="668" t="s">
        <v>11773</v>
      </c>
      <c r="C3883" s="160" t="s">
        <v>11774</v>
      </c>
      <c r="D3883" s="160"/>
      <c r="E3883" s="439"/>
      <c r="F3883" s="161">
        <v>266.01533175899999</v>
      </c>
      <c r="G3883" s="161"/>
      <c r="H3883" s="654"/>
      <c r="I3883" s="654"/>
      <c r="J3883" s="191"/>
      <c r="K3883" s="191">
        <v>2562.0051594145002</v>
      </c>
      <c r="L3883" s="191"/>
      <c r="M3883" s="191"/>
      <c r="N3883" s="191"/>
      <c r="O3883" s="191"/>
      <c r="P3883" s="191"/>
      <c r="Q3883" s="191"/>
      <c r="R3883" s="191"/>
      <c r="S3883" s="191"/>
      <c r="T3883" s="191"/>
      <c r="U3883" s="439"/>
      <c r="V3883" s="441"/>
      <c r="W3883" s="178"/>
      <c r="X3883" s="172"/>
      <c r="Y3883" s="172"/>
      <c r="Z3883" s="172"/>
      <c r="AA3883" s="195"/>
      <c r="AB3883" s="172"/>
    </row>
    <row r="3884" spans="1:28" ht="12.6" customHeight="1" x14ac:dyDescent="0.3">
      <c r="A3884" s="667"/>
      <c r="B3884" s="668" t="s">
        <v>11775</v>
      </c>
      <c r="C3884" s="160" t="s">
        <v>11776</v>
      </c>
      <c r="D3884" s="160"/>
      <c r="E3884" s="439"/>
      <c r="F3884" s="161">
        <v>353.91516999999999</v>
      </c>
      <c r="G3884" s="161"/>
      <c r="H3884" s="654"/>
      <c r="I3884" s="654"/>
      <c r="J3884" s="191"/>
      <c r="K3884" s="191">
        <v>5017.5302561332301</v>
      </c>
      <c r="L3884" s="191"/>
      <c r="M3884" s="191"/>
      <c r="N3884" s="191"/>
      <c r="O3884" s="191"/>
      <c r="P3884" s="191"/>
      <c r="Q3884" s="191"/>
      <c r="R3884" s="191"/>
      <c r="S3884" s="191"/>
      <c r="T3884" s="191"/>
      <c r="U3884" s="439"/>
      <c r="V3884" s="441"/>
      <c r="W3884" s="178"/>
      <c r="X3884" s="172"/>
      <c r="Y3884" s="172"/>
      <c r="Z3884" s="172"/>
      <c r="AA3884" s="195"/>
      <c r="AB3884" s="172"/>
    </row>
    <row r="3885" spans="1:28" ht="12.6" customHeight="1" x14ac:dyDescent="0.3">
      <c r="A3885" s="667"/>
      <c r="B3885" s="668" t="s">
        <v>11777</v>
      </c>
      <c r="C3885" s="160" t="s">
        <v>11778</v>
      </c>
      <c r="D3885" s="160"/>
      <c r="E3885" s="439"/>
      <c r="F3885" s="161">
        <v>231.993453499</v>
      </c>
      <c r="G3885" s="161"/>
      <c r="H3885" s="654"/>
      <c r="I3885" s="654"/>
      <c r="J3885" s="191"/>
      <c r="K3885" s="191">
        <v>455.41779894487502</v>
      </c>
      <c r="L3885" s="191"/>
      <c r="M3885" s="191"/>
      <c r="N3885" s="191"/>
      <c r="O3885" s="191"/>
      <c r="P3885" s="191"/>
      <c r="Q3885" s="191"/>
      <c r="R3885" s="191"/>
      <c r="S3885" s="191"/>
      <c r="T3885" s="191"/>
      <c r="U3885" s="439"/>
      <c r="V3885" s="441"/>
      <c r="W3885" s="178"/>
      <c r="X3885" s="172"/>
      <c r="Y3885" s="172"/>
      <c r="Z3885" s="172"/>
      <c r="AA3885" s="195"/>
      <c r="AB3885" s="172"/>
    </row>
    <row r="3886" spans="1:28" ht="12.6" customHeight="1" x14ac:dyDescent="0.3">
      <c r="A3886" s="667"/>
      <c r="B3886" s="668" t="s">
        <v>11779</v>
      </c>
      <c r="C3886" s="160" t="s">
        <v>11780</v>
      </c>
      <c r="D3886" s="160"/>
      <c r="E3886" s="439"/>
      <c r="F3886" s="161">
        <v>456.01950909499999</v>
      </c>
      <c r="G3886" s="161">
        <v>-4.45</v>
      </c>
      <c r="H3886" s="654">
        <v>4.1773648938000001</v>
      </c>
      <c r="I3886" s="654">
        <v>0.10279774181823099</v>
      </c>
      <c r="J3886" s="191"/>
      <c r="K3886" s="191">
        <v>593471680.553056</v>
      </c>
      <c r="L3886" s="191"/>
      <c r="M3886" s="191"/>
      <c r="N3886" s="191"/>
      <c r="O3886" s="191"/>
      <c r="P3886" s="191"/>
      <c r="Q3886" s="191"/>
      <c r="R3886" s="191"/>
      <c r="S3886" s="191"/>
      <c r="T3886" s="191"/>
      <c r="U3886" s="439"/>
      <c r="V3886" s="441"/>
      <c r="W3886" s="178"/>
      <c r="X3886" s="172"/>
      <c r="Y3886" s="172"/>
      <c r="Z3886" s="172"/>
      <c r="AA3886" s="195"/>
      <c r="AB3886" s="172"/>
    </row>
    <row r="3887" spans="1:28" ht="12.6" customHeight="1" x14ac:dyDescent="0.3">
      <c r="A3887" s="667"/>
      <c r="B3887" s="668" t="s">
        <v>11781</v>
      </c>
      <c r="C3887" s="160" t="s">
        <v>11782</v>
      </c>
      <c r="D3887" s="160"/>
      <c r="E3887" s="439"/>
      <c r="F3887" s="161">
        <v>719.96151675900001</v>
      </c>
      <c r="G3887" s="161"/>
      <c r="H3887" s="654"/>
      <c r="I3887" s="654"/>
      <c r="J3887" s="191"/>
      <c r="K3887" s="191">
        <v>246728.88720869101</v>
      </c>
      <c r="L3887" s="191"/>
      <c r="M3887" s="191"/>
      <c r="N3887" s="191"/>
      <c r="O3887" s="191"/>
      <c r="P3887" s="191"/>
      <c r="Q3887" s="191"/>
      <c r="R3887" s="191"/>
      <c r="S3887" s="191"/>
      <c r="T3887" s="191"/>
      <c r="U3887" s="439"/>
      <c r="V3887" s="441"/>
      <c r="W3887" s="178"/>
      <c r="X3887" s="172"/>
      <c r="Y3887" s="172"/>
      <c r="Z3887" s="172"/>
      <c r="AA3887" s="195"/>
      <c r="AB3887" s="172"/>
    </row>
    <row r="3888" spans="1:28" ht="12.6" customHeight="1" x14ac:dyDescent="0.3">
      <c r="A3888" s="667"/>
      <c r="B3888" s="668" t="s">
        <v>11783</v>
      </c>
      <c r="C3888" s="160" t="s">
        <v>11784</v>
      </c>
      <c r="D3888" s="160"/>
      <c r="E3888" s="439"/>
      <c r="F3888" s="161">
        <v>669.96471043300005</v>
      </c>
      <c r="G3888" s="161">
        <v>-50.652000000000001</v>
      </c>
      <c r="H3888" s="654">
        <v>21.67215771</v>
      </c>
      <c r="I3888" s="654"/>
      <c r="J3888" s="191"/>
      <c r="K3888" s="191">
        <v>260567.35229872301</v>
      </c>
      <c r="L3888" s="191"/>
      <c r="M3888" s="191"/>
      <c r="N3888" s="191"/>
      <c r="O3888" s="191"/>
      <c r="P3888" s="191"/>
      <c r="Q3888" s="191"/>
      <c r="R3888" s="191"/>
      <c r="S3888" s="191"/>
      <c r="T3888" s="191"/>
      <c r="U3888" s="439"/>
      <c r="V3888" s="441"/>
      <c r="W3888" s="178"/>
      <c r="X3888" s="172"/>
      <c r="Y3888" s="172"/>
      <c r="Z3888" s="172"/>
      <c r="AA3888" s="195"/>
      <c r="AB3888" s="172"/>
    </row>
    <row r="3889" spans="1:28" ht="12.6" customHeight="1" x14ac:dyDescent="0.3">
      <c r="A3889" s="667"/>
      <c r="B3889" s="668" t="s">
        <v>11785</v>
      </c>
      <c r="C3889" s="160" t="s">
        <v>11786</v>
      </c>
      <c r="D3889" s="160"/>
      <c r="E3889" s="439"/>
      <c r="F3889" s="161">
        <v>619.96790410699998</v>
      </c>
      <c r="G3889" s="161"/>
      <c r="H3889" s="654"/>
      <c r="I3889" s="654"/>
      <c r="J3889" s="191"/>
      <c r="K3889" s="191">
        <v>267657.85917883401</v>
      </c>
      <c r="L3889" s="191"/>
      <c r="M3889" s="191"/>
      <c r="N3889" s="191"/>
      <c r="O3889" s="191"/>
      <c r="P3889" s="191"/>
      <c r="Q3889" s="191"/>
      <c r="R3889" s="191"/>
      <c r="S3889" s="191"/>
      <c r="T3889" s="191"/>
      <c r="U3889" s="439"/>
      <c r="V3889" s="441"/>
      <c r="W3889" s="178"/>
      <c r="X3889" s="172"/>
      <c r="Y3889" s="172"/>
      <c r="Z3889" s="172"/>
      <c r="AA3889" s="195"/>
      <c r="AB3889" s="172"/>
    </row>
    <row r="3890" spans="1:28" ht="12.6" customHeight="1" x14ac:dyDescent="0.3">
      <c r="A3890" s="667"/>
      <c r="B3890" s="668" t="s">
        <v>11787</v>
      </c>
      <c r="C3890" s="160" t="s">
        <v>11788</v>
      </c>
      <c r="D3890" s="160"/>
      <c r="E3890" s="439">
        <v>7.2510000000000003</v>
      </c>
      <c r="F3890" s="161">
        <v>519.97429145499996</v>
      </c>
      <c r="G3890" s="161">
        <v>-46.067999999999998</v>
      </c>
      <c r="H3890" s="654">
        <v>94.384776611999996</v>
      </c>
      <c r="I3890" s="654"/>
      <c r="J3890" s="191"/>
      <c r="K3890" s="191">
        <v>118910.44380072699</v>
      </c>
      <c r="L3890" s="191"/>
      <c r="M3890" s="191"/>
      <c r="N3890" s="191"/>
      <c r="O3890" s="191"/>
      <c r="P3890" s="191"/>
      <c r="Q3890" s="191"/>
      <c r="R3890" s="191"/>
      <c r="S3890" s="191"/>
      <c r="T3890" s="191"/>
      <c r="U3890" s="439"/>
      <c r="V3890" s="441"/>
      <c r="W3890" s="178"/>
      <c r="X3890" s="172"/>
      <c r="Y3890" s="172"/>
      <c r="Z3890" s="172"/>
      <c r="AA3890" s="195"/>
      <c r="AB3890" s="172"/>
    </row>
    <row r="3891" spans="1:28" ht="12.6" customHeight="1" x14ac:dyDescent="0.3">
      <c r="A3891" s="667"/>
      <c r="B3891" s="668" t="s">
        <v>11789</v>
      </c>
      <c r="C3891" s="160" t="s">
        <v>11790</v>
      </c>
      <c r="D3891" s="160"/>
      <c r="E3891" s="439"/>
      <c r="F3891" s="161">
        <v>469.977485129</v>
      </c>
      <c r="G3891" s="161">
        <v>-31.381</v>
      </c>
      <c r="H3891" s="654">
        <v>192.26632264</v>
      </c>
      <c r="I3891" s="654"/>
      <c r="J3891" s="191"/>
      <c r="K3891" s="191">
        <v>63033.2935468945</v>
      </c>
      <c r="L3891" s="191"/>
      <c r="M3891" s="191"/>
      <c r="N3891" s="191"/>
      <c r="O3891" s="191"/>
      <c r="P3891" s="191"/>
      <c r="Q3891" s="191"/>
      <c r="R3891" s="191"/>
      <c r="S3891" s="191"/>
      <c r="T3891" s="191"/>
      <c r="U3891" s="439"/>
      <c r="V3891" s="441"/>
      <c r="W3891" s="178"/>
      <c r="X3891" s="172"/>
      <c r="Y3891" s="172"/>
      <c r="Z3891" s="172"/>
      <c r="AA3891" s="195"/>
      <c r="AB3891" s="172"/>
    </row>
    <row r="3892" spans="1:28" ht="12.6" customHeight="1" x14ac:dyDescent="0.3">
      <c r="A3892" s="667"/>
      <c r="B3892" s="668" t="s">
        <v>11791</v>
      </c>
      <c r="C3892" s="160" t="s">
        <v>11792</v>
      </c>
      <c r="D3892" s="160"/>
      <c r="E3892" s="439">
        <v>5.97</v>
      </c>
      <c r="F3892" s="161">
        <v>419.98067880299999</v>
      </c>
      <c r="G3892" s="161">
        <v>-34.29</v>
      </c>
      <c r="H3892" s="654">
        <v>627.91595594</v>
      </c>
      <c r="I3892" s="654">
        <v>0.49230135169287598</v>
      </c>
      <c r="J3892" s="191"/>
      <c r="K3892" s="191">
        <v>12343.2634923474</v>
      </c>
      <c r="L3892" s="191"/>
      <c r="M3892" s="191"/>
      <c r="N3892" s="191"/>
      <c r="O3892" s="191"/>
      <c r="P3892" s="191"/>
      <c r="Q3892" s="191"/>
      <c r="R3892" s="191"/>
      <c r="S3892" s="191"/>
      <c r="T3892" s="191"/>
      <c r="U3892" s="439"/>
      <c r="V3892" s="441"/>
      <c r="W3892" s="178"/>
      <c r="X3892" s="172"/>
      <c r="Y3892" s="172"/>
      <c r="Z3892" s="172"/>
      <c r="AA3892" s="195"/>
      <c r="AB3892" s="172"/>
    </row>
    <row r="3893" spans="1:28" ht="12.6" customHeight="1" x14ac:dyDescent="0.3">
      <c r="A3893" s="667"/>
      <c r="B3893" s="668" t="s">
        <v>11793</v>
      </c>
      <c r="C3893" s="160" t="s">
        <v>11794</v>
      </c>
      <c r="D3893" s="160"/>
      <c r="E3893" s="439"/>
      <c r="F3893" s="161">
        <v>401.99010067199998</v>
      </c>
      <c r="G3893" s="161">
        <v>-33.692</v>
      </c>
      <c r="H3893" s="654">
        <v>373.16561156</v>
      </c>
      <c r="I3893" s="654"/>
      <c r="J3893" s="191"/>
      <c r="K3893" s="191">
        <v>19074.361096506898</v>
      </c>
      <c r="L3893" s="191"/>
      <c r="M3893" s="191"/>
      <c r="N3893" s="191"/>
      <c r="O3893" s="191"/>
      <c r="P3893" s="191"/>
      <c r="Q3893" s="191"/>
      <c r="R3893" s="191"/>
      <c r="S3893" s="191"/>
      <c r="T3893" s="191"/>
      <c r="U3893" s="439"/>
      <c r="V3893" s="441"/>
      <c r="W3893" s="178"/>
      <c r="X3893" s="172"/>
      <c r="Y3893" s="172"/>
      <c r="Z3893" s="172"/>
      <c r="AA3893" s="195"/>
      <c r="AB3893" s="172"/>
    </row>
    <row r="3894" spans="1:28" ht="12.6" customHeight="1" x14ac:dyDescent="0.3">
      <c r="A3894" s="667"/>
      <c r="B3894" s="668" t="s">
        <v>11795</v>
      </c>
      <c r="C3894" s="160" t="s">
        <v>11796</v>
      </c>
      <c r="D3894" s="160"/>
      <c r="E3894" s="439"/>
      <c r="F3894" s="161">
        <v>399.994437162</v>
      </c>
      <c r="G3894" s="161"/>
      <c r="H3894" s="654"/>
      <c r="I3894" s="654"/>
      <c r="J3894" s="191"/>
      <c r="K3894" s="191">
        <v>6259.5051343938903</v>
      </c>
      <c r="L3894" s="191"/>
      <c r="M3894" s="191"/>
      <c r="N3894" s="191"/>
      <c r="O3894" s="191"/>
      <c r="P3894" s="191"/>
      <c r="Q3894" s="191"/>
      <c r="R3894" s="191"/>
      <c r="S3894" s="191"/>
      <c r="T3894" s="191"/>
      <c r="U3894" s="439"/>
      <c r="V3894" s="441"/>
      <c r="W3894" s="178"/>
      <c r="X3894" s="172"/>
      <c r="Y3894" s="172"/>
      <c r="Z3894" s="172"/>
      <c r="AA3894" s="195"/>
      <c r="AB3894" s="172"/>
    </row>
    <row r="3895" spans="1:28" ht="12.6" customHeight="1" x14ac:dyDescent="0.3">
      <c r="A3895" s="667"/>
      <c r="B3895" s="668" t="s">
        <v>11797</v>
      </c>
      <c r="C3895" s="160" t="s">
        <v>11798</v>
      </c>
      <c r="D3895" s="160"/>
      <c r="E3895" s="439">
        <v>4.3680000000000003</v>
      </c>
      <c r="F3895" s="161">
        <v>319.98706615100002</v>
      </c>
      <c r="G3895" s="161">
        <v>-69.247</v>
      </c>
      <c r="H3895" s="654">
        <v>4196.643255</v>
      </c>
      <c r="I3895" s="654">
        <v>2.3127705180195801</v>
      </c>
      <c r="J3895" s="191"/>
      <c r="K3895" s="191">
        <v>3989.51406028259</v>
      </c>
      <c r="L3895" s="191"/>
      <c r="M3895" s="191"/>
      <c r="N3895" s="191"/>
      <c r="O3895" s="191"/>
      <c r="P3895" s="191"/>
      <c r="Q3895" s="191"/>
      <c r="R3895" s="191"/>
      <c r="S3895" s="191"/>
      <c r="T3895" s="191"/>
      <c r="U3895" s="439"/>
      <c r="V3895" s="441"/>
      <c r="W3895" s="178"/>
      <c r="X3895" s="172"/>
      <c r="Y3895" s="172"/>
      <c r="Z3895" s="172"/>
      <c r="AA3895" s="195"/>
      <c r="AB3895" s="172"/>
    </row>
    <row r="3896" spans="1:28" ht="12.6" customHeight="1" x14ac:dyDescent="0.3">
      <c r="A3896" s="667"/>
      <c r="B3896" s="668" t="s">
        <v>11799</v>
      </c>
      <c r="C3896" s="160" t="s">
        <v>11800</v>
      </c>
      <c r="D3896" s="160"/>
      <c r="E3896" s="439"/>
      <c r="F3896" s="161">
        <v>301.99648802000002</v>
      </c>
      <c r="G3896" s="161">
        <v>-50.817999999999998</v>
      </c>
      <c r="H3896" s="654">
        <v>5833.1308084000002</v>
      </c>
      <c r="I3896" s="654">
        <v>2.1037890745990802</v>
      </c>
      <c r="J3896" s="191"/>
      <c r="K3896" s="191">
        <v>2415.6833168548701</v>
      </c>
      <c r="L3896" s="191"/>
      <c r="M3896" s="191"/>
      <c r="N3896" s="191"/>
      <c r="O3896" s="191"/>
      <c r="P3896" s="191"/>
      <c r="Q3896" s="191"/>
      <c r="R3896" s="191"/>
      <c r="S3896" s="191"/>
      <c r="T3896" s="191"/>
      <c r="U3896" s="439"/>
      <c r="V3896" s="441"/>
      <c r="W3896" s="178"/>
      <c r="X3896" s="172"/>
      <c r="Y3896" s="172"/>
      <c r="Z3896" s="172"/>
      <c r="AA3896" s="195"/>
      <c r="AB3896" s="172"/>
    </row>
    <row r="3897" spans="1:28" ht="12.6" customHeight="1" x14ac:dyDescent="0.3">
      <c r="A3897" s="667"/>
      <c r="B3897" s="668" t="s">
        <v>11801</v>
      </c>
      <c r="C3897" s="160" t="s">
        <v>11802</v>
      </c>
      <c r="D3897" s="160"/>
      <c r="E3897" s="439"/>
      <c r="F3897" s="161">
        <v>269.99025982500001</v>
      </c>
      <c r="G3897" s="161"/>
      <c r="H3897" s="654"/>
      <c r="I3897" s="654"/>
      <c r="J3897" s="191"/>
      <c r="K3897" s="191">
        <v>1159.01751755088</v>
      </c>
      <c r="L3897" s="191"/>
      <c r="M3897" s="191"/>
      <c r="N3897" s="191"/>
      <c r="O3897" s="191"/>
      <c r="P3897" s="191"/>
      <c r="Q3897" s="191"/>
      <c r="R3897" s="191"/>
      <c r="S3897" s="191"/>
      <c r="T3897" s="191"/>
      <c r="U3897" s="439"/>
      <c r="V3897" s="441"/>
      <c r="W3897" s="178"/>
      <c r="X3897" s="172"/>
      <c r="Y3897" s="172"/>
      <c r="Z3897" s="172"/>
      <c r="AA3897" s="195"/>
      <c r="AB3897" s="172"/>
    </row>
    <row r="3898" spans="1:28" ht="12.6" customHeight="1" x14ac:dyDescent="0.3">
      <c r="A3898" s="667"/>
      <c r="B3898" s="668" t="s">
        <v>11803</v>
      </c>
      <c r="C3898" s="160" t="s">
        <v>11804</v>
      </c>
      <c r="D3898" s="160"/>
      <c r="E3898" s="439"/>
      <c r="F3898" s="161">
        <v>219.993453499</v>
      </c>
      <c r="G3898" s="161">
        <v>-87.478999999999999</v>
      </c>
      <c r="H3898" s="654">
        <v>108868.34540400001</v>
      </c>
      <c r="I3898" s="654">
        <v>33.605539976146702</v>
      </c>
      <c r="J3898" s="191"/>
      <c r="K3898" s="191">
        <v>102.81820081310001</v>
      </c>
      <c r="L3898" s="191"/>
      <c r="M3898" s="191"/>
      <c r="N3898" s="191"/>
      <c r="O3898" s="191"/>
      <c r="P3898" s="191"/>
      <c r="Q3898" s="191"/>
      <c r="R3898" s="191"/>
      <c r="S3898" s="191"/>
      <c r="T3898" s="191"/>
      <c r="U3898" s="439"/>
      <c r="V3898" s="441"/>
      <c r="W3898" s="178"/>
      <c r="X3898" s="172"/>
      <c r="Y3898" s="172"/>
      <c r="Z3898" s="172"/>
      <c r="AA3898" s="195"/>
      <c r="AB3898" s="172"/>
    </row>
    <row r="3899" spans="1:28" ht="12.6" customHeight="1" x14ac:dyDescent="0.3">
      <c r="A3899" s="667"/>
      <c r="B3899" s="668" t="s">
        <v>11805</v>
      </c>
      <c r="C3899" s="160" t="s">
        <v>11806</v>
      </c>
      <c r="D3899" s="160"/>
      <c r="E3899" s="439"/>
      <c r="F3899" s="161">
        <v>196.012297238</v>
      </c>
      <c r="G3899" s="161">
        <v>-79.203000000000003</v>
      </c>
      <c r="H3899" s="654">
        <v>37575.205836000001</v>
      </c>
      <c r="I3899" s="654">
        <v>49.920999897465499</v>
      </c>
      <c r="J3899" s="191"/>
      <c r="K3899" s="191">
        <v>99.868838741365593</v>
      </c>
      <c r="L3899" s="191"/>
      <c r="M3899" s="191"/>
      <c r="N3899" s="191"/>
      <c r="O3899" s="191"/>
      <c r="P3899" s="191"/>
      <c r="Q3899" s="191"/>
      <c r="R3899" s="191"/>
      <c r="S3899" s="191"/>
      <c r="T3899" s="191"/>
      <c r="U3899" s="439"/>
      <c r="V3899" s="441"/>
      <c r="W3899" s="178"/>
      <c r="X3899" s="172"/>
      <c r="Y3899" s="172"/>
      <c r="Z3899" s="172"/>
      <c r="AA3899" s="195"/>
      <c r="AB3899" s="172"/>
    </row>
    <row r="3900" spans="1:28" ht="12.6" customHeight="1" x14ac:dyDescent="0.3">
      <c r="A3900" s="667"/>
      <c r="B3900" s="668" t="s">
        <v>11807</v>
      </c>
      <c r="C3900" s="160" t="s">
        <v>11808</v>
      </c>
      <c r="D3900" s="160"/>
      <c r="E3900" s="439"/>
      <c r="F3900" s="161">
        <v>332.00705270499998</v>
      </c>
      <c r="G3900" s="161">
        <v>-82.159000000000006</v>
      </c>
      <c r="H3900" s="654">
        <v>477.42074911999998</v>
      </c>
      <c r="I3900" s="654">
        <v>12.5935255196797</v>
      </c>
      <c r="J3900" s="191"/>
      <c r="K3900" s="191">
        <v>2081.32547531298</v>
      </c>
      <c r="L3900" s="191"/>
      <c r="M3900" s="191"/>
      <c r="N3900" s="191"/>
      <c r="O3900" s="191"/>
      <c r="P3900" s="191"/>
      <c r="Q3900" s="191"/>
      <c r="R3900" s="191"/>
      <c r="S3900" s="191"/>
      <c r="T3900" s="191"/>
      <c r="U3900" s="439"/>
      <c r="V3900" s="441"/>
      <c r="W3900" s="178"/>
      <c r="X3900" s="172"/>
      <c r="Y3900" s="172"/>
      <c r="Z3900" s="172"/>
      <c r="AA3900" s="195"/>
      <c r="AB3900" s="172"/>
    </row>
    <row r="3901" spans="1:28" ht="12.6" customHeight="1" x14ac:dyDescent="0.3">
      <c r="A3901" s="667"/>
      <c r="B3901" s="668" t="s">
        <v>11809</v>
      </c>
      <c r="C3901" s="160" t="s">
        <v>11810</v>
      </c>
      <c r="D3901" s="160"/>
      <c r="E3901" s="439"/>
      <c r="F3901" s="161">
        <v>381.98387247699998</v>
      </c>
      <c r="G3901" s="161"/>
      <c r="H3901" s="654"/>
      <c r="I3901" s="654"/>
      <c r="J3901" s="191"/>
      <c r="K3901" s="191">
        <v>14565.318976562099</v>
      </c>
      <c r="L3901" s="191"/>
      <c r="M3901" s="191"/>
      <c r="N3901" s="191"/>
      <c r="O3901" s="191"/>
      <c r="P3901" s="191"/>
      <c r="Q3901" s="191"/>
      <c r="R3901" s="191"/>
      <c r="S3901" s="191"/>
      <c r="T3901" s="191"/>
      <c r="U3901" s="439"/>
      <c r="V3901" s="441"/>
      <c r="W3901" s="178"/>
      <c r="X3901" s="172"/>
      <c r="Y3901" s="172"/>
      <c r="Z3901" s="172"/>
      <c r="AA3901" s="195"/>
      <c r="AB3901" s="172"/>
    </row>
    <row r="3902" spans="1:28" ht="12.6" customHeight="1" x14ac:dyDescent="0.3">
      <c r="A3902" s="667"/>
      <c r="B3902" s="668" t="s">
        <v>11811</v>
      </c>
      <c r="C3902" s="160" t="s">
        <v>11812</v>
      </c>
      <c r="D3902" s="160"/>
      <c r="E3902" s="439"/>
      <c r="F3902" s="161">
        <v>281.99025982500001</v>
      </c>
      <c r="G3902" s="161"/>
      <c r="H3902" s="654"/>
      <c r="I3902" s="654"/>
      <c r="J3902" s="191"/>
      <c r="K3902" s="191">
        <v>4362.0435781589404</v>
      </c>
      <c r="L3902" s="191"/>
      <c r="M3902" s="191"/>
      <c r="N3902" s="191"/>
      <c r="O3902" s="191"/>
      <c r="P3902" s="191"/>
      <c r="Q3902" s="191"/>
      <c r="R3902" s="191"/>
      <c r="S3902" s="191"/>
      <c r="T3902" s="191"/>
      <c r="U3902" s="439"/>
      <c r="V3902" s="441"/>
      <c r="W3902" s="178"/>
      <c r="X3902" s="172"/>
      <c r="Y3902" s="172"/>
      <c r="Z3902" s="172"/>
      <c r="AA3902" s="195"/>
      <c r="AB3902" s="172"/>
    </row>
    <row r="3903" spans="1:28" ht="12.6" customHeight="1" x14ac:dyDescent="0.3">
      <c r="A3903" s="667"/>
      <c r="B3903" s="668" t="s">
        <v>11813</v>
      </c>
      <c r="C3903" s="160" t="s">
        <v>11814</v>
      </c>
      <c r="D3903" s="160"/>
      <c r="E3903" s="439"/>
      <c r="F3903" s="161">
        <v>331.98706615100002</v>
      </c>
      <c r="G3903" s="161"/>
      <c r="H3903" s="654"/>
      <c r="I3903" s="654"/>
      <c r="J3903" s="191"/>
      <c r="K3903" s="191"/>
      <c r="L3903" s="191"/>
      <c r="M3903" s="191"/>
      <c r="N3903" s="191"/>
      <c r="O3903" s="191"/>
      <c r="P3903" s="191"/>
      <c r="Q3903" s="191"/>
      <c r="R3903" s="191"/>
      <c r="S3903" s="191"/>
      <c r="T3903" s="191"/>
      <c r="U3903" s="439"/>
      <c r="V3903" s="441"/>
      <c r="W3903" s="178"/>
      <c r="X3903" s="172"/>
      <c r="Y3903" s="172"/>
      <c r="Z3903" s="172"/>
      <c r="AA3903" s="195"/>
      <c r="AB3903" s="172"/>
    </row>
    <row r="3904" spans="1:28" ht="12.6" customHeight="1" x14ac:dyDescent="0.3">
      <c r="A3904" s="667"/>
      <c r="B3904" s="668" t="s">
        <v>11815</v>
      </c>
      <c r="C3904" s="160" t="s">
        <v>11816</v>
      </c>
      <c r="D3904" s="160"/>
      <c r="E3904" s="439"/>
      <c r="F3904" s="161">
        <v>281.99025982500001</v>
      </c>
      <c r="G3904" s="161"/>
      <c r="H3904" s="654"/>
      <c r="I3904" s="654"/>
      <c r="J3904" s="191"/>
      <c r="K3904" s="191">
        <v>4362.0435781589404</v>
      </c>
      <c r="L3904" s="191"/>
      <c r="M3904" s="191"/>
      <c r="N3904" s="191"/>
      <c r="O3904" s="191"/>
      <c r="P3904" s="191"/>
      <c r="Q3904" s="191"/>
      <c r="R3904" s="191"/>
      <c r="S3904" s="191"/>
      <c r="T3904" s="191"/>
      <c r="U3904" s="439"/>
      <c r="V3904" s="441"/>
      <c r="W3904" s="178"/>
      <c r="X3904" s="172"/>
      <c r="Y3904" s="172"/>
      <c r="Z3904" s="172"/>
      <c r="AA3904" s="195"/>
      <c r="AB3904" s="172"/>
    </row>
    <row r="3905" spans="1:28" ht="12.6" customHeight="1" x14ac:dyDescent="0.3">
      <c r="A3905" s="667"/>
      <c r="B3905" s="668" t="s">
        <v>11817</v>
      </c>
      <c r="C3905" s="160" t="s">
        <v>11818</v>
      </c>
      <c r="D3905" s="160"/>
      <c r="E3905" s="439"/>
      <c r="F3905" s="161">
        <v>281.99025982500001</v>
      </c>
      <c r="G3905" s="161"/>
      <c r="H3905" s="654"/>
      <c r="I3905" s="654"/>
      <c r="J3905" s="191"/>
      <c r="K3905" s="191">
        <v>4362.0435781589404</v>
      </c>
      <c r="L3905" s="191"/>
      <c r="M3905" s="191"/>
      <c r="N3905" s="191"/>
      <c r="O3905" s="191"/>
      <c r="P3905" s="191"/>
      <c r="Q3905" s="191"/>
      <c r="R3905" s="191"/>
      <c r="S3905" s="191"/>
      <c r="T3905" s="191"/>
      <c r="U3905" s="439"/>
      <c r="V3905" s="441"/>
      <c r="W3905" s="178"/>
      <c r="X3905" s="172"/>
      <c r="Y3905" s="172"/>
      <c r="Z3905" s="172"/>
      <c r="AA3905" s="195"/>
      <c r="AB3905" s="172"/>
    </row>
    <row r="3906" spans="1:28" ht="12.6" customHeight="1" x14ac:dyDescent="0.3">
      <c r="A3906" s="667"/>
      <c r="B3906" s="668" t="s">
        <v>11819</v>
      </c>
      <c r="C3906" s="160" t="s">
        <v>11820</v>
      </c>
      <c r="D3906" s="160"/>
      <c r="E3906" s="439"/>
      <c r="F3906" s="161">
        <v>214.00287536799999</v>
      </c>
      <c r="G3906" s="161"/>
      <c r="H3906" s="654"/>
      <c r="I3906" s="654"/>
      <c r="J3906" s="191"/>
      <c r="K3906" s="191">
        <v>84.197655760917598</v>
      </c>
      <c r="L3906" s="191"/>
      <c r="M3906" s="191"/>
      <c r="N3906" s="191"/>
      <c r="O3906" s="191"/>
      <c r="P3906" s="191"/>
      <c r="Q3906" s="191"/>
      <c r="R3906" s="191"/>
      <c r="S3906" s="191"/>
      <c r="T3906" s="191"/>
      <c r="U3906" s="439"/>
      <c r="V3906" s="441"/>
      <c r="W3906" s="178"/>
      <c r="X3906" s="172"/>
      <c r="Y3906" s="172"/>
      <c r="Z3906" s="172"/>
      <c r="AA3906" s="195"/>
      <c r="AB3906" s="172"/>
    </row>
    <row r="3907" spans="1:28" ht="12.6" customHeight="1" x14ac:dyDescent="0.3">
      <c r="A3907" s="667"/>
      <c r="B3907" s="668" t="s">
        <v>11821</v>
      </c>
      <c r="C3907" s="160" t="s">
        <v>11822</v>
      </c>
      <c r="D3907" s="160"/>
      <c r="E3907" s="439"/>
      <c r="F3907" s="161">
        <v>214.00287536799999</v>
      </c>
      <c r="G3907" s="161"/>
      <c r="H3907" s="654"/>
      <c r="I3907" s="654"/>
      <c r="J3907" s="191"/>
      <c r="K3907" s="191">
        <v>84.197655760917598</v>
      </c>
      <c r="L3907" s="191"/>
      <c r="M3907" s="191"/>
      <c r="N3907" s="191"/>
      <c r="O3907" s="191"/>
      <c r="P3907" s="191"/>
      <c r="Q3907" s="191"/>
      <c r="R3907" s="191"/>
      <c r="S3907" s="191"/>
      <c r="T3907" s="191"/>
      <c r="U3907" s="439"/>
      <c r="V3907" s="441"/>
      <c r="W3907" s="178"/>
      <c r="X3907" s="172"/>
      <c r="Y3907" s="172"/>
      <c r="Z3907" s="172"/>
      <c r="AA3907" s="195"/>
      <c r="AB3907" s="172"/>
    </row>
    <row r="3908" spans="1:28" ht="12.6" customHeight="1" x14ac:dyDescent="0.3">
      <c r="A3908" s="667"/>
      <c r="B3908" s="668" t="s">
        <v>11823</v>
      </c>
      <c r="C3908" s="160" t="s">
        <v>11824</v>
      </c>
      <c r="D3908" s="160"/>
      <c r="E3908" s="439"/>
      <c r="F3908" s="161">
        <v>176.00606904200001</v>
      </c>
      <c r="G3908" s="161">
        <v>-35.835000000000001</v>
      </c>
      <c r="H3908" s="654">
        <v>21473.50793</v>
      </c>
      <c r="I3908" s="654">
        <v>213.072947182245</v>
      </c>
      <c r="J3908" s="191"/>
      <c r="K3908" s="191">
        <v>8323.1936657084098</v>
      </c>
      <c r="L3908" s="191"/>
      <c r="M3908" s="191"/>
      <c r="N3908" s="191"/>
      <c r="O3908" s="191"/>
      <c r="P3908" s="191"/>
      <c r="Q3908" s="191"/>
      <c r="R3908" s="191"/>
      <c r="S3908" s="191"/>
      <c r="T3908" s="191"/>
      <c r="U3908" s="439"/>
      <c r="V3908" s="441"/>
      <c r="W3908" s="178"/>
      <c r="X3908" s="172"/>
      <c r="Y3908" s="172"/>
      <c r="Z3908" s="172"/>
      <c r="AA3908" s="195"/>
      <c r="AB3908" s="172"/>
    </row>
    <row r="3909" spans="1:28" ht="12.6" customHeight="1" x14ac:dyDescent="0.3">
      <c r="A3909" s="667"/>
      <c r="B3909" s="668" t="s">
        <v>11825</v>
      </c>
      <c r="C3909" s="160" t="s">
        <v>11826</v>
      </c>
      <c r="D3909" s="160"/>
      <c r="E3909" s="439"/>
      <c r="F3909" s="161">
        <v>193.99664717300001</v>
      </c>
      <c r="G3909" s="161">
        <v>-47.290999999999997</v>
      </c>
      <c r="H3909" s="654">
        <v>27409.536658000001</v>
      </c>
      <c r="I3909" s="654">
        <v>107.595584434972</v>
      </c>
      <c r="J3909" s="191"/>
      <c r="K3909" s="191">
        <v>49570.123395393202</v>
      </c>
      <c r="L3909" s="191"/>
      <c r="M3909" s="191"/>
      <c r="N3909" s="191"/>
      <c r="O3909" s="191"/>
      <c r="P3909" s="191"/>
      <c r="Q3909" s="191"/>
      <c r="R3909" s="191"/>
      <c r="S3909" s="191"/>
      <c r="T3909" s="191"/>
      <c r="U3909" s="439"/>
      <c r="V3909" s="441"/>
      <c r="W3909" s="178"/>
      <c r="X3909" s="172"/>
      <c r="Y3909" s="172"/>
      <c r="Z3909" s="172"/>
      <c r="AA3909" s="195"/>
      <c r="AB3909" s="172"/>
    </row>
    <row r="3910" spans="1:28" ht="12.6" customHeight="1" x14ac:dyDescent="0.3">
      <c r="A3910" s="667"/>
      <c r="B3910" s="668" t="s">
        <v>11827</v>
      </c>
      <c r="C3910" s="160" t="s">
        <v>11828</v>
      </c>
      <c r="D3910" s="160"/>
      <c r="E3910" s="439"/>
      <c r="F3910" s="161">
        <v>433.88899290000001</v>
      </c>
      <c r="G3910" s="161"/>
      <c r="H3910" s="654"/>
      <c r="I3910" s="654"/>
      <c r="J3910" s="191"/>
      <c r="K3910" s="191">
        <v>2101599.7107274602</v>
      </c>
      <c r="L3910" s="191"/>
      <c r="M3910" s="191"/>
      <c r="N3910" s="191"/>
      <c r="O3910" s="191"/>
      <c r="P3910" s="191"/>
      <c r="Q3910" s="191"/>
      <c r="R3910" s="191"/>
      <c r="S3910" s="191"/>
      <c r="T3910" s="191"/>
      <c r="U3910" s="439"/>
      <c r="V3910" s="441"/>
      <c r="W3910" s="178"/>
      <c r="X3910" s="172"/>
      <c r="Y3910" s="172"/>
      <c r="Z3910" s="172"/>
      <c r="AA3910" s="195"/>
      <c r="AB3910" s="172"/>
    </row>
    <row r="3911" spans="1:28" ht="12.6" customHeight="1" x14ac:dyDescent="0.3">
      <c r="A3911" s="667"/>
      <c r="B3911" s="668" t="s">
        <v>11829</v>
      </c>
      <c r="C3911" s="160" t="s">
        <v>11830</v>
      </c>
      <c r="D3911" s="160"/>
      <c r="E3911" s="439"/>
      <c r="F3911" s="161">
        <v>342.98550879700002</v>
      </c>
      <c r="G3911" s="161"/>
      <c r="H3911" s="654"/>
      <c r="I3911" s="654"/>
      <c r="J3911" s="191"/>
      <c r="K3911" s="191">
        <v>555277.40270706196</v>
      </c>
      <c r="L3911" s="191"/>
      <c r="M3911" s="191"/>
      <c r="N3911" s="191"/>
      <c r="O3911" s="191"/>
      <c r="P3911" s="191"/>
      <c r="Q3911" s="191"/>
      <c r="R3911" s="191"/>
      <c r="S3911" s="191"/>
      <c r="T3911" s="191"/>
      <c r="U3911" s="439"/>
      <c r="V3911" s="441"/>
      <c r="W3911" s="178"/>
      <c r="X3911" s="172"/>
      <c r="Y3911" s="172"/>
      <c r="Z3911" s="172"/>
      <c r="AA3911" s="195"/>
      <c r="AB3911" s="172"/>
    </row>
    <row r="3912" spans="1:28" ht="12.6" customHeight="1" x14ac:dyDescent="0.3">
      <c r="A3912" s="667"/>
      <c r="B3912" s="668" t="s">
        <v>11831</v>
      </c>
      <c r="C3912" s="160" t="s">
        <v>11832</v>
      </c>
      <c r="D3912" s="160"/>
      <c r="E3912" s="439">
        <v>6.42</v>
      </c>
      <c r="F3912" s="161">
        <v>603.96912588800001</v>
      </c>
      <c r="G3912" s="161"/>
      <c r="H3912" s="654"/>
      <c r="I3912" s="654"/>
      <c r="J3912" s="191"/>
      <c r="K3912" s="191">
        <v>312528768.03765899</v>
      </c>
      <c r="L3912" s="191"/>
      <c r="M3912" s="191"/>
      <c r="N3912" s="191"/>
      <c r="O3912" s="191"/>
      <c r="P3912" s="191"/>
      <c r="Q3912" s="191"/>
      <c r="R3912" s="191"/>
      <c r="S3912" s="191"/>
      <c r="T3912" s="191"/>
      <c r="U3912" s="439"/>
      <c r="V3912" s="441"/>
      <c r="W3912" s="178"/>
      <c r="X3912" s="172"/>
      <c r="Y3912" s="172"/>
      <c r="Z3912" s="172"/>
      <c r="AA3912" s="195"/>
      <c r="AB3912" s="172"/>
    </row>
    <row r="3913" spans="1:28" ht="12.6" customHeight="1" x14ac:dyDescent="0.3">
      <c r="A3913" s="667"/>
      <c r="B3913" s="668" t="s">
        <v>11833</v>
      </c>
      <c r="C3913" s="160" t="s">
        <v>11834</v>
      </c>
      <c r="D3913" s="160"/>
      <c r="E3913" s="439"/>
      <c r="F3913" s="161">
        <v>391.97066719600002</v>
      </c>
      <c r="G3913" s="161"/>
      <c r="H3913" s="654"/>
      <c r="I3913" s="654"/>
      <c r="J3913" s="191"/>
      <c r="K3913" s="191">
        <v>621240.84249813994</v>
      </c>
      <c r="L3913" s="191"/>
      <c r="M3913" s="191"/>
      <c r="N3913" s="191"/>
      <c r="O3913" s="191"/>
      <c r="P3913" s="191"/>
      <c r="Q3913" s="191"/>
      <c r="R3913" s="191"/>
      <c r="S3913" s="191"/>
      <c r="T3913" s="191"/>
      <c r="U3913" s="439"/>
      <c r="V3913" s="441"/>
      <c r="W3913" s="178"/>
      <c r="X3913" s="172"/>
      <c r="Y3913" s="172"/>
      <c r="Z3913" s="172"/>
      <c r="AA3913" s="195"/>
      <c r="AB3913" s="172"/>
    </row>
    <row r="3914" spans="1:28" ht="12.6" customHeight="1" x14ac:dyDescent="0.3">
      <c r="A3914" s="667"/>
      <c r="B3914" s="668" t="s">
        <v>11835</v>
      </c>
      <c r="C3914" s="160" t="s">
        <v>11836</v>
      </c>
      <c r="D3914" s="160"/>
      <c r="E3914" s="439">
        <v>9.98</v>
      </c>
      <c r="F3914" s="161">
        <v>407.99321415899999</v>
      </c>
      <c r="G3914" s="161"/>
      <c r="H3914" s="654"/>
      <c r="I3914" s="654"/>
      <c r="J3914" s="191"/>
      <c r="K3914" s="191">
        <v>23670.639977221599</v>
      </c>
      <c r="L3914" s="191"/>
      <c r="M3914" s="191"/>
      <c r="N3914" s="191"/>
      <c r="O3914" s="191"/>
      <c r="P3914" s="191"/>
      <c r="Q3914" s="191"/>
      <c r="R3914" s="191"/>
      <c r="S3914" s="191"/>
      <c r="T3914" s="191"/>
      <c r="U3914" s="439"/>
      <c r="V3914" s="441"/>
      <c r="W3914" s="178"/>
      <c r="X3914" s="172"/>
      <c r="Y3914" s="172"/>
      <c r="Z3914" s="172"/>
      <c r="AA3914" s="195"/>
      <c r="AB3914" s="172"/>
    </row>
    <row r="3915" spans="1:28" ht="12.6" customHeight="1" x14ac:dyDescent="0.3">
      <c r="A3915" s="667"/>
      <c r="B3915" s="668" t="s">
        <v>11837</v>
      </c>
      <c r="C3915" s="160" t="s">
        <v>11838</v>
      </c>
      <c r="D3915" s="160"/>
      <c r="E3915" s="439">
        <v>9.9499999999999993</v>
      </c>
      <c r="F3915" s="161">
        <v>357.99640783299998</v>
      </c>
      <c r="G3915" s="161"/>
      <c r="H3915" s="654"/>
      <c r="I3915" s="654"/>
      <c r="J3915" s="191"/>
      <c r="K3915" s="191">
        <v>19449.569812506801</v>
      </c>
      <c r="L3915" s="191"/>
      <c r="M3915" s="191"/>
      <c r="N3915" s="191"/>
      <c r="O3915" s="191"/>
      <c r="P3915" s="191"/>
      <c r="Q3915" s="191"/>
      <c r="R3915" s="191"/>
      <c r="S3915" s="191"/>
      <c r="T3915" s="191"/>
      <c r="U3915" s="439"/>
      <c r="V3915" s="441"/>
      <c r="W3915" s="178"/>
      <c r="X3915" s="172"/>
      <c r="Y3915" s="172"/>
      <c r="Z3915" s="172"/>
      <c r="AA3915" s="195"/>
      <c r="AB3915" s="172"/>
    </row>
    <row r="3916" spans="1:28" ht="12.6" customHeight="1" x14ac:dyDescent="0.3">
      <c r="A3916" s="667"/>
      <c r="B3916" s="668" t="s">
        <v>11839</v>
      </c>
      <c r="C3916" s="160" t="s">
        <v>11840</v>
      </c>
      <c r="D3916" s="160"/>
      <c r="E3916" s="439"/>
      <c r="F3916" s="161">
        <v>196.012297238</v>
      </c>
      <c r="G3916" s="161"/>
      <c r="H3916" s="654"/>
      <c r="I3916" s="654"/>
      <c r="J3916" s="191"/>
      <c r="K3916" s="191">
        <v>11069.041099743999</v>
      </c>
      <c r="L3916" s="191"/>
      <c r="M3916" s="191"/>
      <c r="N3916" s="191"/>
      <c r="O3916" s="191"/>
      <c r="P3916" s="191"/>
      <c r="Q3916" s="191"/>
      <c r="R3916" s="191"/>
      <c r="S3916" s="191"/>
      <c r="T3916" s="191"/>
      <c r="U3916" s="439"/>
      <c r="V3916" s="441"/>
      <c r="W3916" s="178"/>
      <c r="X3916" s="172"/>
      <c r="Y3916" s="172"/>
      <c r="Z3916" s="172"/>
      <c r="AA3916" s="195"/>
      <c r="AB3916" s="172"/>
    </row>
    <row r="3917" spans="1:28" ht="12.6" customHeight="1" x14ac:dyDescent="0.3">
      <c r="A3917" s="667"/>
      <c r="B3917" s="668" t="s">
        <v>11841</v>
      </c>
      <c r="C3917" s="160" t="s">
        <v>11842</v>
      </c>
      <c r="D3917" s="160"/>
      <c r="E3917" s="439"/>
      <c r="F3917" s="161">
        <v>317.99025982500001</v>
      </c>
      <c r="G3917" s="161"/>
      <c r="H3917" s="654"/>
      <c r="I3917" s="654"/>
      <c r="J3917" s="191"/>
      <c r="K3917" s="191">
        <v>2105474.5682397201</v>
      </c>
      <c r="L3917" s="191"/>
      <c r="M3917" s="191"/>
      <c r="N3917" s="191"/>
      <c r="O3917" s="191"/>
      <c r="P3917" s="191"/>
      <c r="Q3917" s="191"/>
      <c r="R3917" s="191"/>
      <c r="S3917" s="191"/>
      <c r="T3917" s="191"/>
      <c r="U3917" s="439"/>
      <c r="V3917" s="441"/>
      <c r="W3917" s="178"/>
      <c r="X3917" s="172"/>
      <c r="Y3917" s="172"/>
      <c r="Z3917" s="172"/>
      <c r="AA3917" s="195"/>
      <c r="AB3917" s="172"/>
    </row>
    <row r="3918" spans="1:28" ht="12.6" customHeight="1" x14ac:dyDescent="0.3">
      <c r="A3918" s="667"/>
      <c r="B3918" s="668" t="s">
        <v>11843</v>
      </c>
      <c r="C3918" s="160" t="s">
        <v>11844</v>
      </c>
      <c r="D3918" s="160"/>
      <c r="E3918" s="439">
        <v>3</v>
      </c>
      <c r="F3918" s="161">
        <v>334.02400473699998</v>
      </c>
      <c r="G3918" s="161"/>
      <c r="H3918" s="654"/>
      <c r="I3918" s="654"/>
      <c r="J3918" s="191"/>
      <c r="K3918" s="191">
        <v>41944.980806027699</v>
      </c>
      <c r="L3918" s="191"/>
      <c r="M3918" s="191"/>
      <c r="N3918" s="191"/>
      <c r="O3918" s="191"/>
      <c r="P3918" s="191"/>
      <c r="Q3918" s="191"/>
      <c r="R3918" s="191"/>
      <c r="S3918" s="191"/>
      <c r="T3918" s="191"/>
      <c r="U3918" s="439"/>
      <c r="V3918" s="441"/>
      <c r="W3918" s="178"/>
      <c r="X3918" s="172"/>
      <c r="Y3918" s="172"/>
      <c r="Z3918" s="172"/>
      <c r="AA3918" s="195"/>
      <c r="AB3918" s="172"/>
    </row>
    <row r="3919" spans="1:28" ht="12.6" customHeight="1" x14ac:dyDescent="0.3">
      <c r="A3919" s="667"/>
      <c r="B3919" s="668" t="s">
        <v>11845</v>
      </c>
      <c r="C3919" s="160" t="s">
        <v>11846</v>
      </c>
      <c r="D3919" s="160"/>
      <c r="E3919" s="439"/>
      <c r="F3919" s="161">
        <v>264.01852543299998</v>
      </c>
      <c r="G3919" s="161"/>
      <c r="H3919" s="654"/>
      <c r="I3919" s="654"/>
      <c r="J3919" s="191"/>
      <c r="K3919" s="191">
        <v>15298.5404804789</v>
      </c>
      <c r="L3919" s="191"/>
      <c r="M3919" s="191"/>
      <c r="N3919" s="191"/>
      <c r="O3919" s="191"/>
      <c r="P3919" s="191"/>
      <c r="Q3919" s="191"/>
      <c r="R3919" s="191"/>
      <c r="S3919" s="191"/>
      <c r="T3919" s="191"/>
      <c r="U3919" s="439"/>
      <c r="V3919" s="441"/>
      <c r="W3919" s="178"/>
      <c r="X3919" s="172"/>
      <c r="Y3919" s="172"/>
      <c r="Z3919" s="172"/>
      <c r="AA3919" s="195"/>
      <c r="AB3919" s="172"/>
    </row>
    <row r="3920" spans="1:28" ht="12.6" customHeight="1" x14ac:dyDescent="0.3">
      <c r="A3920" s="667"/>
      <c r="B3920" s="668" t="s">
        <v>11847</v>
      </c>
      <c r="C3920" s="160" t="s">
        <v>11848</v>
      </c>
      <c r="D3920" s="160"/>
      <c r="E3920" s="439">
        <v>5.48</v>
      </c>
      <c r="F3920" s="161">
        <v>284.99485047899998</v>
      </c>
      <c r="G3920" s="161"/>
      <c r="H3920" s="654"/>
      <c r="I3920" s="654"/>
      <c r="J3920" s="191"/>
      <c r="K3920" s="191">
        <v>140.78293013705499</v>
      </c>
      <c r="L3920" s="191"/>
      <c r="M3920" s="191"/>
      <c r="N3920" s="191"/>
      <c r="O3920" s="191"/>
      <c r="P3920" s="191"/>
      <c r="Q3920" s="191"/>
      <c r="R3920" s="191"/>
      <c r="S3920" s="191"/>
      <c r="T3920" s="191"/>
      <c r="U3920" s="439"/>
      <c r="V3920" s="441"/>
      <c r="W3920" s="178"/>
      <c r="X3920" s="172"/>
      <c r="Y3920" s="172"/>
      <c r="Z3920" s="172"/>
      <c r="AA3920" s="195"/>
      <c r="AB3920" s="172"/>
    </row>
    <row r="3921" spans="1:28" ht="12.6" customHeight="1" x14ac:dyDescent="0.3">
      <c r="A3921" s="667"/>
      <c r="B3921" s="668" t="s">
        <v>11849</v>
      </c>
      <c r="C3921" s="160" t="s">
        <v>11850</v>
      </c>
      <c r="D3921" s="160"/>
      <c r="E3921" s="439">
        <v>4.08</v>
      </c>
      <c r="F3921" s="161">
        <v>434.98526945700002</v>
      </c>
      <c r="G3921" s="161"/>
      <c r="H3921" s="654"/>
      <c r="I3921" s="654"/>
      <c r="J3921" s="191"/>
      <c r="K3921" s="191">
        <v>220825.89535919001</v>
      </c>
      <c r="L3921" s="191"/>
      <c r="M3921" s="191"/>
      <c r="N3921" s="191"/>
      <c r="O3921" s="191"/>
      <c r="P3921" s="191"/>
      <c r="Q3921" s="191"/>
      <c r="R3921" s="191"/>
      <c r="S3921" s="191"/>
      <c r="T3921" s="191"/>
      <c r="U3921" s="439"/>
      <c r="V3921" s="441"/>
      <c r="W3921" s="178"/>
      <c r="X3921" s="172"/>
      <c r="Y3921" s="172"/>
      <c r="Z3921" s="172"/>
      <c r="AA3921" s="195"/>
      <c r="AB3921" s="172"/>
    </row>
    <row r="3922" spans="1:28" ht="12.6" customHeight="1" x14ac:dyDescent="0.3">
      <c r="A3922" s="667"/>
      <c r="B3922" s="668" t="s">
        <v>11851</v>
      </c>
      <c r="C3922" s="160" t="s">
        <v>11852</v>
      </c>
      <c r="D3922" s="160"/>
      <c r="E3922" s="439"/>
      <c r="F3922" s="161">
        <v>202.00287536799999</v>
      </c>
      <c r="G3922" s="161"/>
      <c r="H3922" s="654"/>
      <c r="I3922" s="654"/>
      <c r="J3922" s="191"/>
      <c r="K3922" s="191">
        <v>106.044952033863</v>
      </c>
      <c r="L3922" s="191"/>
      <c r="M3922" s="191"/>
      <c r="N3922" s="191"/>
      <c r="O3922" s="191"/>
      <c r="P3922" s="191"/>
      <c r="Q3922" s="191"/>
      <c r="R3922" s="191"/>
      <c r="S3922" s="191"/>
      <c r="T3922" s="191"/>
      <c r="U3922" s="439"/>
      <c r="V3922" s="441"/>
      <c r="W3922" s="178"/>
      <c r="X3922" s="172"/>
      <c r="Y3922" s="172"/>
      <c r="Z3922" s="172"/>
      <c r="AA3922" s="195"/>
      <c r="AB3922" s="172"/>
    </row>
    <row r="3923" spans="1:28" ht="12.6" customHeight="1" x14ac:dyDescent="0.3">
      <c r="A3923" s="667"/>
      <c r="B3923" s="668" t="s">
        <v>11853</v>
      </c>
      <c r="C3923" s="160" t="s">
        <v>11854</v>
      </c>
      <c r="D3923" s="160"/>
      <c r="E3923" s="439">
        <v>8.5299999999999994</v>
      </c>
      <c r="F3923" s="161">
        <v>345.07751747700001</v>
      </c>
      <c r="G3923" s="161"/>
      <c r="H3923" s="654"/>
      <c r="I3923" s="654"/>
      <c r="J3923" s="191"/>
      <c r="K3923" s="191">
        <v>8706.4277421154893</v>
      </c>
      <c r="L3923" s="191"/>
      <c r="M3923" s="191"/>
      <c r="N3923" s="191"/>
      <c r="O3923" s="191"/>
      <c r="P3923" s="191"/>
      <c r="Q3923" s="191"/>
      <c r="R3923" s="191"/>
      <c r="S3923" s="191"/>
      <c r="T3923" s="191"/>
      <c r="U3923" s="439"/>
      <c r="V3923" s="441"/>
      <c r="W3923" s="178"/>
      <c r="X3923" s="172"/>
      <c r="Y3923" s="172"/>
      <c r="Z3923" s="172"/>
      <c r="AA3923" s="195"/>
      <c r="AB3923" s="172"/>
    </row>
    <row r="3924" spans="1:28" ht="12.6" customHeight="1" x14ac:dyDescent="0.3">
      <c r="A3924" s="667"/>
      <c r="B3924" s="668" t="s">
        <v>11855</v>
      </c>
      <c r="C3924" s="160" t="s">
        <v>11856</v>
      </c>
      <c r="D3924" s="160"/>
      <c r="E3924" s="439">
        <v>8.48</v>
      </c>
      <c r="F3924" s="161">
        <v>295.080711151</v>
      </c>
      <c r="G3924" s="161"/>
      <c r="H3924" s="654"/>
      <c r="I3924" s="654"/>
      <c r="J3924" s="191"/>
      <c r="K3924" s="191">
        <v>3728.3785436532398</v>
      </c>
      <c r="L3924" s="191"/>
      <c r="M3924" s="191"/>
      <c r="N3924" s="191"/>
      <c r="O3924" s="191"/>
      <c r="P3924" s="191"/>
      <c r="Q3924" s="191"/>
      <c r="R3924" s="191"/>
      <c r="S3924" s="191"/>
      <c r="T3924" s="191"/>
      <c r="U3924" s="439"/>
      <c r="V3924" s="441"/>
      <c r="W3924" s="178"/>
      <c r="X3924" s="172"/>
      <c r="Y3924" s="172"/>
      <c r="Z3924" s="172"/>
      <c r="AA3924" s="195"/>
      <c r="AB3924" s="172"/>
    </row>
    <row r="3925" spans="1:28" ht="12.6" customHeight="1" x14ac:dyDescent="0.3">
      <c r="A3925" s="667"/>
      <c r="B3925" s="668" t="s">
        <v>11857</v>
      </c>
      <c r="C3925" s="160" t="s">
        <v>11858</v>
      </c>
      <c r="D3925" s="160"/>
      <c r="E3925" s="439">
        <v>8.5299999999999994</v>
      </c>
      <c r="F3925" s="161">
        <v>345.07751747700001</v>
      </c>
      <c r="G3925" s="161"/>
      <c r="H3925" s="654"/>
      <c r="I3925" s="654"/>
      <c r="J3925" s="191"/>
      <c r="K3925" s="191">
        <v>8706.4277421154893</v>
      </c>
      <c r="L3925" s="191"/>
      <c r="M3925" s="191"/>
      <c r="N3925" s="191"/>
      <c r="O3925" s="191"/>
      <c r="P3925" s="191"/>
      <c r="Q3925" s="191"/>
      <c r="R3925" s="191"/>
      <c r="S3925" s="191"/>
      <c r="T3925" s="191"/>
      <c r="U3925" s="439"/>
      <c r="V3925" s="441"/>
      <c r="W3925" s="178"/>
      <c r="X3925" s="172"/>
      <c r="Y3925" s="172"/>
      <c r="Z3925" s="172"/>
      <c r="AA3925" s="195"/>
      <c r="AB3925" s="172"/>
    </row>
    <row r="3926" spans="1:28" ht="12.6" customHeight="1" x14ac:dyDescent="0.3">
      <c r="A3926" s="667"/>
      <c r="B3926" s="668" t="s">
        <v>11859</v>
      </c>
      <c r="C3926" s="160" t="s">
        <v>11860</v>
      </c>
      <c r="D3926" s="160"/>
      <c r="E3926" s="439">
        <v>8.48</v>
      </c>
      <c r="F3926" s="161">
        <v>295.080711151</v>
      </c>
      <c r="G3926" s="161"/>
      <c r="H3926" s="654"/>
      <c r="I3926" s="654"/>
      <c r="J3926" s="191"/>
      <c r="K3926" s="191">
        <v>3728.3785436532398</v>
      </c>
      <c r="L3926" s="191"/>
      <c r="M3926" s="191"/>
      <c r="N3926" s="191"/>
      <c r="O3926" s="191"/>
      <c r="P3926" s="191"/>
      <c r="Q3926" s="191"/>
      <c r="R3926" s="191"/>
      <c r="S3926" s="191"/>
      <c r="T3926" s="191"/>
      <c r="U3926" s="439"/>
      <c r="V3926" s="441"/>
      <c r="W3926" s="178"/>
      <c r="X3926" s="172"/>
      <c r="Y3926" s="172"/>
      <c r="Z3926" s="172"/>
      <c r="AA3926" s="195"/>
      <c r="AB3926" s="172"/>
    </row>
    <row r="3927" spans="1:28" ht="12.6" customHeight="1" x14ac:dyDescent="0.3">
      <c r="A3927" s="667"/>
      <c r="B3927" s="668" t="s">
        <v>11861</v>
      </c>
      <c r="C3927" s="160" t="s">
        <v>11862</v>
      </c>
      <c r="D3927" s="160"/>
      <c r="E3927" s="439"/>
      <c r="F3927" s="161">
        <v>389.96025800000001</v>
      </c>
      <c r="G3927" s="161">
        <v>124.658</v>
      </c>
      <c r="H3927" s="654">
        <v>2.2850857511999998E-3</v>
      </c>
      <c r="I3927" s="654">
        <v>0.85905515115594</v>
      </c>
      <c r="J3927" s="191"/>
      <c r="K3927" s="191">
        <v>48575.804275733499</v>
      </c>
      <c r="L3927" s="191"/>
      <c r="M3927" s="191"/>
      <c r="N3927" s="191"/>
      <c r="O3927" s="191"/>
      <c r="P3927" s="191"/>
      <c r="Q3927" s="191"/>
      <c r="R3927" s="191"/>
      <c r="S3927" s="191"/>
      <c r="T3927" s="191"/>
      <c r="U3927" s="439"/>
      <c r="V3927" s="441"/>
      <c r="W3927" s="178"/>
      <c r="X3927" s="172"/>
      <c r="Y3927" s="172"/>
      <c r="Z3927" s="172"/>
      <c r="AA3927" s="195"/>
      <c r="AB3927" s="172"/>
    </row>
    <row r="3928" spans="1:28" ht="12.6" customHeight="1" x14ac:dyDescent="0.3">
      <c r="A3928" s="667"/>
      <c r="B3928" s="668" t="s">
        <v>11863</v>
      </c>
      <c r="C3928" s="160" t="s">
        <v>11864</v>
      </c>
      <c r="D3928" s="160"/>
      <c r="E3928" s="439">
        <v>9</v>
      </c>
      <c r="F3928" s="161">
        <v>412.02451428799998</v>
      </c>
      <c r="G3928" s="161">
        <v>-25.222000000000001</v>
      </c>
      <c r="H3928" s="654">
        <v>1.7254533240000001</v>
      </c>
      <c r="I3928" s="654">
        <v>0.545660545252169</v>
      </c>
      <c r="J3928" s="191"/>
      <c r="K3928" s="191">
        <v>941889.59652284102</v>
      </c>
      <c r="L3928" s="191"/>
      <c r="M3928" s="191"/>
      <c r="N3928" s="191"/>
      <c r="O3928" s="191"/>
      <c r="P3928" s="191"/>
      <c r="Q3928" s="191"/>
      <c r="R3928" s="191"/>
      <c r="S3928" s="191"/>
      <c r="T3928" s="191"/>
      <c r="U3928" s="439"/>
      <c r="V3928" s="441"/>
      <c r="W3928" s="178"/>
      <c r="X3928" s="172"/>
      <c r="Y3928" s="172"/>
      <c r="Z3928" s="172"/>
      <c r="AA3928" s="195"/>
      <c r="AB3928" s="172"/>
    </row>
    <row r="3929" spans="1:28" ht="12.6" customHeight="1" x14ac:dyDescent="0.3">
      <c r="A3929" s="667"/>
      <c r="B3929" s="668" t="s">
        <v>11865</v>
      </c>
      <c r="C3929" s="160" t="s">
        <v>11866</v>
      </c>
      <c r="D3929" s="160"/>
      <c r="E3929" s="439">
        <v>8.6199999999999992</v>
      </c>
      <c r="F3929" s="161">
        <v>329.026230795</v>
      </c>
      <c r="G3929" s="161">
        <v>38.033000000000001</v>
      </c>
      <c r="H3929" s="654">
        <v>4.2746632894000003</v>
      </c>
      <c r="I3929" s="654">
        <v>1.56038057744682</v>
      </c>
      <c r="J3929" s="191"/>
      <c r="K3929" s="191">
        <v>13938.627113848401</v>
      </c>
      <c r="L3929" s="191"/>
      <c r="M3929" s="191"/>
      <c r="N3929" s="191"/>
      <c r="O3929" s="191"/>
      <c r="P3929" s="191"/>
      <c r="Q3929" s="191"/>
      <c r="R3929" s="191"/>
      <c r="S3929" s="191"/>
      <c r="T3929" s="191"/>
      <c r="U3929" s="439"/>
      <c r="V3929" s="441"/>
      <c r="W3929" s="178"/>
      <c r="X3929" s="172"/>
      <c r="Y3929" s="172"/>
      <c r="Z3929" s="172"/>
      <c r="AA3929" s="195"/>
      <c r="AB3929" s="172"/>
    </row>
    <row r="3930" spans="1:28" ht="12.6" customHeight="1" x14ac:dyDescent="0.3">
      <c r="A3930" s="667"/>
      <c r="B3930" s="668" t="s">
        <v>11867</v>
      </c>
      <c r="C3930" s="160" t="s">
        <v>11868</v>
      </c>
      <c r="D3930" s="160"/>
      <c r="E3930" s="439"/>
      <c r="F3930" s="161">
        <v>277.03376095800002</v>
      </c>
      <c r="G3930" s="161">
        <v>60.52</v>
      </c>
      <c r="H3930" s="654">
        <v>2.4711632666000001</v>
      </c>
      <c r="I3930" s="654">
        <v>36.943006091271201</v>
      </c>
      <c r="J3930" s="191"/>
      <c r="K3930" s="191">
        <v>4855.4557438391203</v>
      </c>
      <c r="L3930" s="191"/>
      <c r="M3930" s="191"/>
      <c r="N3930" s="191"/>
      <c r="O3930" s="191"/>
      <c r="P3930" s="191"/>
      <c r="Q3930" s="191"/>
      <c r="R3930" s="191"/>
      <c r="S3930" s="191"/>
      <c r="T3930" s="191"/>
      <c r="U3930" s="439"/>
      <c r="V3930" s="441"/>
      <c r="W3930" s="178"/>
      <c r="X3930" s="172"/>
      <c r="Y3930" s="172"/>
      <c r="Z3930" s="172"/>
      <c r="AA3930" s="195"/>
      <c r="AB3930" s="172"/>
    </row>
    <row r="3931" spans="1:28" ht="12.6" customHeight="1" x14ac:dyDescent="0.3">
      <c r="A3931" s="667"/>
      <c r="B3931" s="668" t="s">
        <v>11869</v>
      </c>
      <c r="C3931" s="160" t="s">
        <v>11870</v>
      </c>
      <c r="D3931" s="160"/>
      <c r="E3931" s="439"/>
      <c r="F3931" s="161">
        <v>326.96523819999999</v>
      </c>
      <c r="G3931" s="161"/>
      <c r="H3931" s="654"/>
      <c r="I3931" s="654"/>
      <c r="J3931" s="191"/>
      <c r="K3931" s="191"/>
      <c r="L3931" s="191"/>
      <c r="M3931" s="191"/>
      <c r="N3931" s="191"/>
      <c r="O3931" s="191"/>
      <c r="P3931" s="191"/>
      <c r="Q3931" s="191"/>
      <c r="R3931" s="191"/>
      <c r="S3931" s="191"/>
      <c r="T3931" s="191"/>
      <c r="U3931" s="439"/>
      <c r="V3931" s="441"/>
      <c r="W3931" s="178"/>
      <c r="X3931" s="172"/>
      <c r="Y3931" s="172"/>
      <c r="Z3931" s="172"/>
      <c r="AA3931" s="195"/>
      <c r="AB3931" s="172"/>
    </row>
    <row r="3932" spans="1:28" ht="12.6" customHeight="1" x14ac:dyDescent="0.3">
      <c r="A3932" s="667"/>
      <c r="B3932" s="668" t="s">
        <v>11871</v>
      </c>
      <c r="C3932" s="160" t="s">
        <v>11872</v>
      </c>
      <c r="D3932" s="160"/>
      <c r="E3932" s="439"/>
      <c r="F3932" s="161">
        <v>276.049745374</v>
      </c>
      <c r="G3932" s="161">
        <v>33.347999999999999</v>
      </c>
      <c r="H3932" s="654">
        <v>5.7796553542000001E-2</v>
      </c>
      <c r="I3932" s="654">
        <v>10.3273246291612</v>
      </c>
      <c r="J3932" s="191"/>
      <c r="K3932" s="191">
        <v>3784.6872750764601</v>
      </c>
      <c r="L3932" s="191"/>
      <c r="M3932" s="191"/>
      <c r="N3932" s="191"/>
      <c r="O3932" s="191"/>
      <c r="P3932" s="191"/>
      <c r="Q3932" s="191"/>
      <c r="R3932" s="191"/>
      <c r="S3932" s="191"/>
      <c r="T3932" s="191"/>
      <c r="U3932" s="439"/>
      <c r="V3932" s="441"/>
      <c r="W3932" s="178"/>
      <c r="X3932" s="172"/>
      <c r="Y3932" s="172"/>
      <c r="Z3932" s="172"/>
      <c r="AA3932" s="195"/>
      <c r="AB3932" s="172"/>
    </row>
    <row r="3933" spans="1:28" ht="12.6" customHeight="1" x14ac:dyDescent="0.3">
      <c r="A3933" s="667"/>
      <c r="B3933" s="668" t="s">
        <v>11873</v>
      </c>
      <c r="C3933" s="160" t="s">
        <v>11874</v>
      </c>
      <c r="D3933" s="160"/>
      <c r="E3933" s="439"/>
      <c r="F3933" s="161">
        <v>261.03884633799998</v>
      </c>
      <c r="G3933" s="161">
        <v>-54.744999999999997</v>
      </c>
      <c r="H3933" s="654">
        <v>10.254194986</v>
      </c>
      <c r="I3933" s="654">
        <v>12.4366998599659</v>
      </c>
      <c r="J3933" s="191"/>
      <c r="K3933" s="191">
        <v>3221.1429599871499</v>
      </c>
      <c r="L3933" s="191"/>
      <c r="M3933" s="191"/>
      <c r="N3933" s="191"/>
      <c r="O3933" s="191"/>
      <c r="P3933" s="191"/>
      <c r="Q3933" s="191"/>
      <c r="R3933" s="191"/>
      <c r="S3933" s="191"/>
      <c r="T3933" s="191"/>
      <c r="U3933" s="439"/>
      <c r="V3933" s="441"/>
      <c r="W3933" s="178"/>
      <c r="X3933" s="172"/>
      <c r="Y3933" s="172"/>
      <c r="Z3933" s="172"/>
      <c r="AA3933" s="195"/>
      <c r="AB3933" s="172"/>
    </row>
    <row r="3934" spans="1:28" ht="12.6" customHeight="1" x14ac:dyDescent="0.3">
      <c r="A3934" s="667"/>
      <c r="B3934" s="668" t="s">
        <v>11875</v>
      </c>
      <c r="C3934" s="160" t="s">
        <v>11876</v>
      </c>
      <c r="D3934" s="160"/>
      <c r="E3934" s="439">
        <v>10.19</v>
      </c>
      <c r="F3934" s="161">
        <v>511.02287796799999</v>
      </c>
      <c r="G3934" s="161">
        <v>-30.779</v>
      </c>
      <c r="H3934" s="654">
        <v>1.8488561671999999</v>
      </c>
      <c r="I3934" s="654">
        <v>3.36078283878678E-2</v>
      </c>
      <c r="J3934" s="191"/>
      <c r="K3934" s="191">
        <v>1697774475.22174</v>
      </c>
      <c r="L3934" s="191"/>
      <c r="M3934" s="191"/>
      <c r="N3934" s="191"/>
      <c r="O3934" s="191"/>
      <c r="P3934" s="191"/>
      <c r="Q3934" s="191"/>
      <c r="R3934" s="191"/>
      <c r="S3934" s="191"/>
      <c r="T3934" s="191"/>
      <c r="U3934" s="439"/>
      <c r="V3934" s="441"/>
      <c r="W3934" s="178"/>
      <c r="X3934" s="172"/>
      <c r="Y3934" s="172"/>
      <c r="Z3934" s="172"/>
      <c r="AA3934" s="195"/>
      <c r="AB3934" s="172"/>
    </row>
    <row r="3935" spans="1:28" ht="12.6" customHeight="1" x14ac:dyDescent="0.3">
      <c r="A3935" s="667"/>
      <c r="B3935" s="668" t="s">
        <v>11877</v>
      </c>
      <c r="C3935" s="160" t="s">
        <v>11878</v>
      </c>
      <c r="D3935" s="160"/>
      <c r="E3935" s="439">
        <v>9.93</v>
      </c>
      <c r="F3935" s="161">
        <v>411.02926531600002</v>
      </c>
      <c r="G3935" s="161">
        <v>-32.210999999999999</v>
      </c>
      <c r="H3935" s="654">
        <v>3.4665853152000001</v>
      </c>
      <c r="I3935" s="654">
        <v>0.20317628716761699</v>
      </c>
      <c r="J3935" s="191"/>
      <c r="K3935" s="191">
        <v>30109947.6197135</v>
      </c>
      <c r="L3935" s="191"/>
      <c r="M3935" s="191"/>
      <c r="N3935" s="191"/>
      <c r="O3935" s="191"/>
      <c r="P3935" s="191"/>
      <c r="Q3935" s="191"/>
      <c r="R3935" s="191"/>
      <c r="S3935" s="191"/>
      <c r="T3935" s="191"/>
      <c r="U3935" s="439"/>
      <c r="V3935" s="441"/>
      <c r="W3935" s="178"/>
      <c r="X3935" s="172"/>
      <c r="Y3935" s="172"/>
      <c r="Z3935" s="172"/>
      <c r="AA3935" s="195"/>
      <c r="AB3935" s="172"/>
    </row>
    <row r="3936" spans="1:28" ht="12.6" customHeight="1" x14ac:dyDescent="0.3">
      <c r="A3936" s="667"/>
      <c r="B3936" s="668" t="s">
        <v>11879</v>
      </c>
      <c r="C3936" s="160" t="s">
        <v>11880</v>
      </c>
      <c r="D3936" s="160"/>
      <c r="E3936" s="439"/>
      <c r="F3936" s="161">
        <v>311.035652664</v>
      </c>
      <c r="G3936" s="161">
        <v>27.981000000000002</v>
      </c>
      <c r="H3936" s="654">
        <v>4.4864452864000004</v>
      </c>
      <c r="I3936" s="654">
        <v>3.80900480965387</v>
      </c>
      <c r="J3936" s="191"/>
      <c r="K3936" s="191">
        <v>17740.260795251499</v>
      </c>
      <c r="L3936" s="191"/>
      <c r="M3936" s="191"/>
      <c r="N3936" s="191"/>
      <c r="O3936" s="191"/>
      <c r="P3936" s="191"/>
      <c r="Q3936" s="191"/>
      <c r="R3936" s="191"/>
      <c r="S3936" s="191"/>
      <c r="T3936" s="191"/>
      <c r="U3936" s="439"/>
      <c r="V3936" s="441"/>
      <c r="W3936" s="178"/>
      <c r="X3936" s="172"/>
      <c r="Y3936" s="172"/>
      <c r="Z3936" s="172"/>
      <c r="AA3936" s="195"/>
      <c r="AB3936" s="172"/>
    </row>
    <row r="3937" spans="1:28" ht="12.6" customHeight="1" x14ac:dyDescent="0.3">
      <c r="A3937" s="667"/>
      <c r="B3937" s="668" t="s">
        <v>11881</v>
      </c>
      <c r="C3937" s="160" t="s">
        <v>11882</v>
      </c>
      <c r="D3937" s="160"/>
      <c r="E3937" s="439">
        <v>9.4</v>
      </c>
      <c r="F3937" s="161">
        <v>327.03056728400003</v>
      </c>
      <c r="G3937" s="161">
        <v>31.725000000000001</v>
      </c>
      <c r="H3937" s="654">
        <v>1.9674460862000001</v>
      </c>
      <c r="I3937" s="654">
        <v>3.24779288858816</v>
      </c>
      <c r="J3937" s="191"/>
      <c r="K3937" s="191">
        <v>5296.0246764428903</v>
      </c>
      <c r="L3937" s="191"/>
      <c r="M3937" s="191"/>
      <c r="N3937" s="191"/>
      <c r="O3937" s="191"/>
      <c r="P3937" s="191"/>
      <c r="Q3937" s="191"/>
      <c r="R3937" s="191"/>
      <c r="S3937" s="191"/>
      <c r="T3937" s="191"/>
      <c r="U3937" s="439"/>
      <c r="V3937" s="441"/>
      <c r="W3937" s="178"/>
      <c r="X3937" s="172"/>
      <c r="Y3937" s="172"/>
      <c r="Z3937" s="172"/>
      <c r="AA3937" s="195"/>
      <c r="AB3937" s="172"/>
    </row>
    <row r="3938" spans="1:28" ht="12.6" customHeight="1" x14ac:dyDescent="0.3">
      <c r="A3938" s="667"/>
      <c r="B3938" s="668" t="s">
        <v>11883</v>
      </c>
      <c r="C3938" s="160" t="s">
        <v>11884</v>
      </c>
      <c r="D3938" s="160"/>
      <c r="E3938" s="439">
        <v>9.81</v>
      </c>
      <c r="F3938" s="161">
        <v>511.02287796799999</v>
      </c>
      <c r="G3938" s="161">
        <v>-30.779</v>
      </c>
      <c r="H3938" s="654">
        <v>1.7214803284</v>
      </c>
      <c r="I3938" s="654">
        <v>3.36078283878678E-2</v>
      </c>
      <c r="J3938" s="191"/>
      <c r="K3938" s="191">
        <v>1697735382.96983</v>
      </c>
      <c r="L3938" s="191"/>
      <c r="M3938" s="191"/>
      <c r="N3938" s="191"/>
      <c r="O3938" s="191"/>
      <c r="P3938" s="191"/>
      <c r="Q3938" s="191"/>
      <c r="R3938" s="191"/>
      <c r="S3938" s="191"/>
      <c r="T3938" s="191"/>
      <c r="U3938" s="439"/>
      <c r="V3938" s="441"/>
      <c r="W3938" s="178"/>
      <c r="X3938" s="172"/>
      <c r="Y3938" s="172"/>
      <c r="Z3938" s="172"/>
      <c r="AA3938" s="195"/>
      <c r="AB3938" s="172"/>
    </row>
    <row r="3939" spans="1:28" ht="12.6" customHeight="1" x14ac:dyDescent="0.3">
      <c r="A3939" s="667"/>
      <c r="B3939" s="668" t="s">
        <v>11885</v>
      </c>
      <c r="C3939" s="160" t="s">
        <v>11886</v>
      </c>
      <c r="D3939" s="160"/>
      <c r="E3939" s="439">
        <v>5.0199999999999996</v>
      </c>
      <c r="F3939" s="161">
        <v>268.98576539099997</v>
      </c>
      <c r="G3939" s="161">
        <v>-34.429000000000002</v>
      </c>
      <c r="H3939" s="654">
        <v>5.9142839098</v>
      </c>
      <c r="I3939" s="654">
        <v>108.32514048096699</v>
      </c>
      <c r="J3939" s="191"/>
      <c r="K3939" s="191">
        <v>104.443159223355</v>
      </c>
      <c r="L3939" s="191"/>
      <c r="M3939" s="191"/>
      <c r="N3939" s="191"/>
      <c r="O3939" s="191"/>
      <c r="P3939" s="191"/>
      <c r="Q3939" s="191"/>
      <c r="R3939" s="191"/>
      <c r="S3939" s="191"/>
      <c r="T3939" s="191"/>
      <c r="U3939" s="439"/>
      <c r="V3939" s="441"/>
      <c r="W3939" s="178"/>
      <c r="X3939" s="172"/>
      <c r="Y3939" s="172"/>
      <c r="Z3939" s="172"/>
      <c r="AA3939" s="195"/>
      <c r="AB3939" s="172"/>
    </row>
    <row r="3940" spans="1:28" ht="12.6" customHeight="1" x14ac:dyDescent="0.3">
      <c r="A3940" s="667"/>
      <c r="B3940" s="668" t="s">
        <v>11887</v>
      </c>
      <c r="C3940" s="160" t="s">
        <v>11888</v>
      </c>
      <c r="D3940" s="160"/>
      <c r="E3940" s="439">
        <v>1</v>
      </c>
      <c r="F3940" s="161">
        <v>404.94108</v>
      </c>
      <c r="G3940" s="161"/>
      <c r="H3940" s="654"/>
      <c r="I3940" s="654"/>
      <c r="J3940" s="191"/>
      <c r="K3940" s="191">
        <v>109948.674996987</v>
      </c>
      <c r="L3940" s="191"/>
      <c r="M3940" s="191"/>
      <c r="N3940" s="191"/>
      <c r="O3940" s="191"/>
      <c r="P3940" s="191"/>
      <c r="Q3940" s="191"/>
      <c r="R3940" s="191"/>
      <c r="S3940" s="191"/>
      <c r="T3940" s="191"/>
      <c r="U3940" s="439"/>
      <c r="V3940" s="441"/>
      <c r="W3940" s="178"/>
      <c r="X3940" s="172"/>
      <c r="Y3940" s="172"/>
      <c r="Z3940" s="172"/>
      <c r="AA3940" s="195"/>
      <c r="AB3940" s="172"/>
    </row>
    <row r="3941" spans="1:28" ht="12.6" customHeight="1" x14ac:dyDescent="0.3">
      <c r="A3941" s="667"/>
      <c r="B3941" s="668" t="s">
        <v>11889</v>
      </c>
      <c r="C3941" s="160" t="s">
        <v>11890</v>
      </c>
      <c r="D3941" s="160"/>
      <c r="E3941" s="439">
        <v>7.93</v>
      </c>
      <c r="F3941" s="161">
        <v>360.99159500000002</v>
      </c>
      <c r="G3941" s="161"/>
      <c r="H3941" s="654"/>
      <c r="I3941" s="654"/>
      <c r="J3941" s="191"/>
      <c r="K3941" s="191">
        <v>64763.453592866703</v>
      </c>
      <c r="L3941" s="191"/>
      <c r="M3941" s="191"/>
      <c r="N3941" s="191"/>
      <c r="O3941" s="191"/>
      <c r="P3941" s="191"/>
      <c r="Q3941" s="191"/>
      <c r="R3941" s="191"/>
      <c r="S3941" s="191"/>
      <c r="T3941" s="191"/>
      <c r="U3941" s="439"/>
      <c r="V3941" s="441"/>
      <c r="W3941" s="178"/>
      <c r="X3941" s="172"/>
      <c r="Y3941" s="172"/>
      <c r="Z3941" s="172"/>
      <c r="AA3941" s="195"/>
      <c r="AB3941" s="172"/>
    </row>
    <row r="3942" spans="1:28" ht="12.6" customHeight="1" x14ac:dyDescent="0.3">
      <c r="A3942" s="667"/>
      <c r="B3942" s="668" t="s">
        <v>11891</v>
      </c>
      <c r="C3942" s="160" t="s">
        <v>11892</v>
      </c>
      <c r="D3942" s="160"/>
      <c r="E3942" s="439">
        <v>8.58</v>
      </c>
      <c r="F3942" s="161">
        <v>454.92288000000002</v>
      </c>
      <c r="G3942" s="161"/>
      <c r="H3942" s="654"/>
      <c r="I3942" s="654"/>
      <c r="J3942" s="191"/>
      <c r="K3942" s="191">
        <v>1600221.12734586</v>
      </c>
      <c r="L3942" s="191"/>
      <c r="M3942" s="191"/>
      <c r="N3942" s="191"/>
      <c r="O3942" s="191"/>
      <c r="P3942" s="191"/>
      <c r="Q3942" s="191"/>
      <c r="R3942" s="191"/>
      <c r="S3942" s="191"/>
      <c r="T3942" s="191"/>
      <c r="U3942" s="439"/>
      <c r="V3942" s="441"/>
      <c r="W3942" s="178"/>
      <c r="X3942" s="172"/>
      <c r="Y3942" s="172"/>
      <c r="Z3942" s="172"/>
      <c r="AA3942" s="195"/>
      <c r="AB3942" s="172"/>
    </row>
    <row r="3943" spans="1:28" ht="12.6" customHeight="1" x14ac:dyDescent="0.3">
      <c r="A3943" s="667"/>
      <c r="B3943" s="668" t="s">
        <v>11893</v>
      </c>
      <c r="C3943" s="160" t="s">
        <v>11894</v>
      </c>
      <c r="D3943" s="160"/>
      <c r="E3943" s="439">
        <v>7</v>
      </c>
      <c r="F3943" s="161">
        <v>286.03409531</v>
      </c>
      <c r="G3943" s="161"/>
      <c r="H3943" s="654"/>
      <c r="I3943" s="654"/>
      <c r="J3943" s="191"/>
      <c r="K3943" s="191">
        <v>4955.6428556229703</v>
      </c>
      <c r="L3943" s="191"/>
      <c r="M3943" s="191"/>
      <c r="N3943" s="191"/>
      <c r="O3943" s="191"/>
      <c r="P3943" s="191"/>
      <c r="Q3943" s="191"/>
      <c r="R3943" s="191"/>
      <c r="S3943" s="191"/>
      <c r="T3943" s="191"/>
      <c r="U3943" s="439"/>
      <c r="V3943" s="441"/>
      <c r="W3943" s="178"/>
      <c r="X3943" s="172"/>
      <c r="Y3943" s="172"/>
      <c r="Z3943" s="172"/>
      <c r="AA3943" s="195"/>
      <c r="AB3943" s="172"/>
    </row>
    <row r="3944" spans="1:28" ht="12.6" customHeight="1" x14ac:dyDescent="0.3">
      <c r="A3944" s="667"/>
      <c r="B3944" s="668" t="s">
        <v>11895</v>
      </c>
      <c r="C3944" s="160" t="s">
        <v>11896</v>
      </c>
      <c r="D3944" s="160"/>
      <c r="E3944" s="439">
        <v>8.48</v>
      </c>
      <c r="F3944" s="161">
        <v>386.02770796200002</v>
      </c>
      <c r="G3944" s="161"/>
      <c r="H3944" s="654"/>
      <c r="I3944" s="654"/>
      <c r="J3944" s="191"/>
      <c r="K3944" s="191">
        <v>17288.208834229601</v>
      </c>
      <c r="L3944" s="191"/>
      <c r="M3944" s="191"/>
      <c r="N3944" s="191"/>
      <c r="O3944" s="191"/>
      <c r="P3944" s="191"/>
      <c r="Q3944" s="191"/>
      <c r="R3944" s="191"/>
      <c r="S3944" s="191"/>
      <c r="T3944" s="191"/>
      <c r="U3944" s="439"/>
      <c r="V3944" s="441"/>
      <c r="W3944" s="178"/>
      <c r="X3944" s="172"/>
      <c r="Y3944" s="172"/>
      <c r="Z3944" s="172"/>
      <c r="AA3944" s="195"/>
      <c r="AB3944" s="172"/>
    </row>
    <row r="3945" spans="1:28" ht="12.6" customHeight="1" x14ac:dyDescent="0.3">
      <c r="A3945" s="667"/>
      <c r="B3945" s="668" t="s">
        <v>11897</v>
      </c>
      <c r="C3945" s="160" t="s">
        <v>11898</v>
      </c>
      <c r="D3945" s="160"/>
      <c r="E3945" s="439">
        <v>7.67</v>
      </c>
      <c r="F3945" s="161">
        <v>328.05589338200002</v>
      </c>
      <c r="G3945" s="161"/>
      <c r="H3945" s="654"/>
      <c r="I3945" s="654"/>
      <c r="J3945" s="191"/>
      <c r="K3945" s="191">
        <v>1339.9234877219701</v>
      </c>
      <c r="L3945" s="191"/>
      <c r="M3945" s="191"/>
      <c r="N3945" s="191"/>
      <c r="O3945" s="191"/>
      <c r="P3945" s="191"/>
      <c r="Q3945" s="191"/>
      <c r="R3945" s="191"/>
      <c r="S3945" s="191"/>
      <c r="T3945" s="191"/>
      <c r="U3945" s="439"/>
      <c r="V3945" s="441"/>
      <c r="W3945" s="178"/>
      <c r="X3945" s="172"/>
      <c r="Y3945" s="172"/>
      <c r="Z3945" s="172"/>
      <c r="AA3945" s="195"/>
      <c r="AB3945" s="172"/>
    </row>
    <row r="3946" spans="1:28" ht="12.6" customHeight="1" x14ac:dyDescent="0.3">
      <c r="A3946" s="667"/>
      <c r="B3946" s="668" t="s">
        <v>11899</v>
      </c>
      <c r="C3946" s="160" t="s">
        <v>11900</v>
      </c>
      <c r="D3946" s="160"/>
      <c r="E3946" s="439">
        <v>4</v>
      </c>
      <c r="F3946" s="161">
        <v>262.03409531</v>
      </c>
      <c r="G3946" s="161"/>
      <c r="H3946" s="654"/>
      <c r="I3946" s="654"/>
      <c r="J3946" s="191"/>
      <c r="K3946" s="191">
        <v>216.84529326038901</v>
      </c>
      <c r="L3946" s="191"/>
      <c r="M3946" s="191"/>
      <c r="N3946" s="191"/>
      <c r="O3946" s="191"/>
      <c r="P3946" s="191"/>
      <c r="Q3946" s="191"/>
      <c r="R3946" s="191"/>
      <c r="S3946" s="191"/>
      <c r="T3946" s="191"/>
      <c r="U3946" s="439"/>
      <c r="V3946" s="441"/>
      <c r="W3946" s="178"/>
      <c r="X3946" s="172"/>
      <c r="Y3946" s="172"/>
      <c r="Z3946" s="172"/>
      <c r="AA3946" s="195"/>
      <c r="AB3946" s="172"/>
    </row>
    <row r="3947" spans="1:28" ht="12.6" customHeight="1" x14ac:dyDescent="0.3">
      <c r="A3947" s="667"/>
      <c r="B3947" s="668" t="s">
        <v>11901</v>
      </c>
      <c r="C3947" s="160" t="s">
        <v>11902</v>
      </c>
      <c r="D3947" s="160"/>
      <c r="E3947" s="439">
        <v>6</v>
      </c>
      <c r="F3947" s="161">
        <v>261.03884633799998</v>
      </c>
      <c r="G3947" s="161"/>
      <c r="H3947" s="654"/>
      <c r="I3947" s="654"/>
      <c r="J3947" s="191"/>
      <c r="K3947" s="191">
        <v>4552.1860125702897</v>
      </c>
      <c r="L3947" s="191"/>
      <c r="M3947" s="191"/>
      <c r="N3947" s="191"/>
      <c r="O3947" s="191"/>
      <c r="P3947" s="191"/>
      <c r="Q3947" s="191"/>
      <c r="R3947" s="191"/>
      <c r="S3947" s="191"/>
      <c r="T3947" s="191"/>
      <c r="U3947" s="439"/>
      <c r="V3947" s="441"/>
      <c r="W3947" s="178"/>
      <c r="X3947" s="172"/>
      <c r="Y3947" s="172"/>
      <c r="Z3947" s="172"/>
      <c r="AA3947" s="195"/>
      <c r="AB3947" s="172"/>
    </row>
    <row r="3948" spans="1:28" ht="12.6" customHeight="1" x14ac:dyDescent="0.3">
      <c r="A3948" s="667"/>
      <c r="B3948" s="668" t="s">
        <v>11903</v>
      </c>
      <c r="C3948" s="160" t="s">
        <v>11904</v>
      </c>
      <c r="D3948" s="160"/>
      <c r="E3948" s="439">
        <v>9.56</v>
      </c>
      <c r="F3948" s="161">
        <v>411.02926531600002</v>
      </c>
      <c r="G3948" s="161"/>
      <c r="H3948" s="654"/>
      <c r="I3948" s="654"/>
      <c r="J3948" s="191"/>
      <c r="K3948" s="191">
        <v>30244053.6648403</v>
      </c>
      <c r="L3948" s="191"/>
      <c r="M3948" s="191"/>
      <c r="N3948" s="191"/>
      <c r="O3948" s="191"/>
      <c r="P3948" s="191"/>
      <c r="Q3948" s="191"/>
      <c r="R3948" s="191"/>
      <c r="S3948" s="191"/>
      <c r="T3948" s="191"/>
      <c r="U3948" s="439"/>
      <c r="V3948" s="441"/>
      <c r="W3948" s="178"/>
      <c r="X3948" s="172"/>
      <c r="Y3948" s="172"/>
      <c r="Z3948" s="172"/>
      <c r="AA3948" s="195"/>
      <c r="AB3948" s="172"/>
    </row>
    <row r="3949" spans="1:28" ht="12.6" customHeight="1" x14ac:dyDescent="0.3">
      <c r="A3949" s="667"/>
      <c r="B3949" s="668" t="s">
        <v>11905</v>
      </c>
      <c r="C3949" s="160" t="s">
        <v>11906</v>
      </c>
      <c r="D3949" s="160"/>
      <c r="E3949" s="439">
        <v>9</v>
      </c>
      <c r="F3949" s="161">
        <v>261.03884633799998</v>
      </c>
      <c r="G3949" s="161"/>
      <c r="H3949" s="654"/>
      <c r="I3949" s="654"/>
      <c r="J3949" s="191"/>
      <c r="K3949" s="191">
        <v>6109.42024905572</v>
      </c>
      <c r="L3949" s="191"/>
      <c r="M3949" s="191"/>
      <c r="N3949" s="191"/>
      <c r="O3949" s="191"/>
      <c r="P3949" s="191"/>
      <c r="Q3949" s="191"/>
      <c r="R3949" s="191"/>
      <c r="S3949" s="191"/>
      <c r="T3949" s="191"/>
      <c r="U3949" s="439"/>
      <c r="V3949" s="441"/>
      <c r="W3949" s="178"/>
      <c r="X3949" s="172"/>
      <c r="Y3949" s="172"/>
      <c r="Z3949" s="172"/>
      <c r="AA3949" s="195"/>
      <c r="AB3949" s="172"/>
    </row>
    <row r="3950" spans="1:28" ht="12.6" customHeight="1" x14ac:dyDescent="0.3">
      <c r="A3950" s="667"/>
      <c r="B3950" s="668" t="s">
        <v>11907</v>
      </c>
      <c r="C3950" s="160" t="s">
        <v>11908</v>
      </c>
      <c r="D3950" s="160"/>
      <c r="E3950" s="439">
        <v>9.8800000000000008</v>
      </c>
      <c r="F3950" s="161">
        <v>411.02926531600002</v>
      </c>
      <c r="G3950" s="161"/>
      <c r="H3950" s="654"/>
      <c r="I3950" s="654"/>
      <c r="J3950" s="191"/>
      <c r="K3950" s="191">
        <v>204521985.40251899</v>
      </c>
      <c r="L3950" s="191"/>
      <c r="M3950" s="191"/>
      <c r="N3950" s="191"/>
      <c r="O3950" s="191"/>
      <c r="P3950" s="191"/>
      <c r="Q3950" s="191"/>
      <c r="R3950" s="191"/>
      <c r="S3950" s="191"/>
      <c r="T3950" s="191"/>
      <c r="U3950" s="439"/>
      <c r="V3950" s="441"/>
      <c r="W3950" s="178"/>
      <c r="X3950" s="172"/>
      <c r="Y3950" s="172"/>
      <c r="Z3950" s="172"/>
      <c r="AA3950" s="195"/>
      <c r="AB3950" s="172"/>
    </row>
    <row r="3951" spans="1:28" ht="12.6" customHeight="1" x14ac:dyDescent="0.3">
      <c r="A3951" s="667"/>
      <c r="B3951" s="668" t="s">
        <v>11909</v>
      </c>
      <c r="C3951" s="160" t="s">
        <v>11910</v>
      </c>
      <c r="D3951" s="160"/>
      <c r="E3951" s="439">
        <v>10</v>
      </c>
      <c r="F3951" s="161">
        <v>311.035652664</v>
      </c>
      <c r="G3951" s="161"/>
      <c r="H3951" s="654"/>
      <c r="I3951" s="654"/>
      <c r="J3951" s="191"/>
      <c r="K3951" s="191">
        <v>291024.80037045502</v>
      </c>
      <c r="L3951" s="191"/>
      <c r="M3951" s="191"/>
      <c r="N3951" s="191"/>
      <c r="O3951" s="191"/>
      <c r="P3951" s="191"/>
      <c r="Q3951" s="191"/>
      <c r="R3951" s="191"/>
      <c r="S3951" s="191"/>
      <c r="T3951" s="191"/>
      <c r="U3951" s="439"/>
      <c r="V3951" s="441"/>
      <c r="W3951" s="178"/>
      <c r="X3951" s="172"/>
      <c r="Y3951" s="172"/>
      <c r="Z3951" s="172"/>
      <c r="AA3951" s="195"/>
      <c r="AB3951" s="172"/>
    </row>
    <row r="3952" spans="1:28" ht="12.6" customHeight="1" x14ac:dyDescent="0.3">
      <c r="A3952" s="667"/>
      <c r="B3952" s="668" t="s">
        <v>11911</v>
      </c>
      <c r="C3952" s="160" t="s">
        <v>11912</v>
      </c>
      <c r="D3952" s="160"/>
      <c r="E3952" s="439">
        <v>8.2100000000000009</v>
      </c>
      <c r="F3952" s="161">
        <v>316.00582970200003</v>
      </c>
      <c r="G3952" s="161"/>
      <c r="H3952" s="654"/>
      <c r="I3952" s="654"/>
      <c r="J3952" s="191"/>
      <c r="K3952" s="191">
        <v>5670.48231095345</v>
      </c>
      <c r="L3952" s="191"/>
      <c r="M3952" s="191"/>
      <c r="N3952" s="191"/>
      <c r="O3952" s="191"/>
      <c r="P3952" s="191"/>
      <c r="Q3952" s="191"/>
      <c r="R3952" s="191"/>
      <c r="S3952" s="191"/>
      <c r="T3952" s="191"/>
      <c r="U3952" s="439"/>
      <c r="V3952" s="441"/>
      <c r="W3952" s="178"/>
      <c r="X3952" s="172"/>
      <c r="Y3952" s="172"/>
      <c r="Z3952" s="172"/>
      <c r="AA3952" s="195"/>
      <c r="AB3952" s="172"/>
    </row>
    <row r="3953" spans="1:28" ht="12.6" customHeight="1" x14ac:dyDescent="0.3">
      <c r="A3953" s="667"/>
      <c r="B3953" s="668" t="s">
        <v>11913</v>
      </c>
      <c r="C3953" s="160" t="s">
        <v>11914</v>
      </c>
      <c r="D3953" s="160"/>
      <c r="E3953" s="439">
        <v>3.87</v>
      </c>
      <c r="F3953" s="161">
        <v>303.03549228999998</v>
      </c>
      <c r="G3953" s="161"/>
      <c r="H3953" s="654"/>
      <c r="I3953" s="654"/>
      <c r="J3953" s="191"/>
      <c r="K3953" s="191">
        <v>84.220923647389299</v>
      </c>
      <c r="L3953" s="191"/>
      <c r="M3953" s="191"/>
      <c r="N3953" s="191"/>
      <c r="O3953" s="191"/>
      <c r="P3953" s="191"/>
      <c r="Q3953" s="191"/>
      <c r="R3953" s="191"/>
      <c r="S3953" s="191"/>
      <c r="T3953" s="191"/>
      <c r="U3953" s="439"/>
      <c r="V3953" s="441"/>
      <c r="W3953" s="178"/>
      <c r="X3953" s="172"/>
      <c r="Y3953" s="172"/>
      <c r="Z3953" s="172"/>
      <c r="AA3953" s="195"/>
      <c r="AB3953" s="172"/>
    </row>
    <row r="3954" spans="1:28" ht="12.6" customHeight="1" x14ac:dyDescent="0.3">
      <c r="A3954" s="667"/>
      <c r="B3954" s="668" t="s">
        <v>11915</v>
      </c>
      <c r="C3954" s="160" t="s">
        <v>11916</v>
      </c>
      <c r="D3954" s="160"/>
      <c r="E3954" s="439">
        <v>6.49</v>
      </c>
      <c r="F3954" s="161">
        <v>288.02459325400002</v>
      </c>
      <c r="G3954" s="161"/>
      <c r="H3954" s="654"/>
      <c r="I3954" s="654"/>
      <c r="J3954" s="191"/>
      <c r="K3954" s="191">
        <v>32.441430790488397</v>
      </c>
      <c r="L3954" s="191"/>
      <c r="M3954" s="191"/>
      <c r="N3954" s="191"/>
      <c r="O3954" s="191"/>
      <c r="P3954" s="191"/>
      <c r="Q3954" s="191"/>
      <c r="R3954" s="191"/>
      <c r="S3954" s="191"/>
      <c r="T3954" s="191"/>
      <c r="U3954" s="439"/>
      <c r="V3954" s="441"/>
      <c r="W3954" s="178"/>
      <c r="X3954" s="172"/>
      <c r="Y3954" s="172"/>
      <c r="Z3954" s="172"/>
      <c r="AA3954" s="195"/>
      <c r="AB3954" s="172"/>
    </row>
    <row r="3955" spans="1:28" ht="12.6" customHeight="1" x14ac:dyDescent="0.3">
      <c r="A3955" s="667"/>
      <c r="B3955" s="668" t="s">
        <v>11917</v>
      </c>
      <c r="C3955" s="160" t="s">
        <v>11918</v>
      </c>
      <c r="D3955" s="160"/>
      <c r="E3955" s="439">
        <v>29</v>
      </c>
      <c r="F3955" s="161">
        <v>435.07775102699998</v>
      </c>
      <c r="G3955" s="161"/>
      <c r="H3955" s="654"/>
      <c r="I3955" s="654"/>
      <c r="J3955" s="191"/>
      <c r="K3955" s="191">
        <v>41.800357873459902</v>
      </c>
      <c r="L3955" s="191"/>
      <c r="M3955" s="191"/>
      <c r="N3955" s="191"/>
      <c r="O3955" s="191"/>
      <c r="P3955" s="191"/>
      <c r="Q3955" s="191"/>
      <c r="R3955" s="191"/>
      <c r="S3955" s="191"/>
      <c r="T3955" s="191"/>
      <c r="U3955" s="439"/>
      <c r="V3955" s="441"/>
      <c r="W3955" s="178"/>
      <c r="X3955" s="172"/>
      <c r="Y3955" s="172"/>
      <c r="Z3955" s="172"/>
      <c r="AA3955" s="195"/>
      <c r="AB3955" s="172"/>
    </row>
    <row r="3956" spans="1:28" ht="12.6" customHeight="1" x14ac:dyDescent="0.3">
      <c r="A3956" s="667"/>
      <c r="B3956" s="668" t="s">
        <v>11919</v>
      </c>
      <c r="C3956" s="160" t="s">
        <v>11920</v>
      </c>
      <c r="D3956" s="160"/>
      <c r="E3956" s="439">
        <v>7.79</v>
      </c>
      <c r="F3956" s="161">
        <v>252.024593254</v>
      </c>
      <c r="G3956" s="161"/>
      <c r="H3956" s="654"/>
      <c r="I3956" s="654"/>
      <c r="J3956" s="191"/>
      <c r="K3956" s="191">
        <v>35.827788351023699</v>
      </c>
      <c r="L3956" s="191"/>
      <c r="M3956" s="191"/>
      <c r="N3956" s="191"/>
      <c r="O3956" s="191"/>
      <c r="P3956" s="191"/>
      <c r="Q3956" s="191"/>
      <c r="R3956" s="191"/>
      <c r="S3956" s="191"/>
      <c r="T3956" s="191"/>
      <c r="U3956" s="439"/>
      <c r="V3956" s="441"/>
      <c r="W3956" s="178"/>
      <c r="X3956" s="172"/>
      <c r="Y3956" s="172"/>
      <c r="Z3956" s="172"/>
      <c r="AA3956" s="195"/>
      <c r="AB3956" s="172"/>
    </row>
    <row r="3957" spans="1:28" ht="12.6" customHeight="1" x14ac:dyDescent="0.3">
      <c r="A3957" s="667"/>
      <c r="B3957" s="668" t="s">
        <v>11921</v>
      </c>
      <c r="C3957" s="160" t="s">
        <v>11922</v>
      </c>
      <c r="D3957" s="160"/>
      <c r="E3957" s="439">
        <v>6.5</v>
      </c>
      <c r="F3957" s="161">
        <v>362.06726900000001</v>
      </c>
      <c r="G3957" s="161"/>
      <c r="H3957" s="654"/>
      <c r="I3957" s="654"/>
      <c r="J3957" s="191"/>
      <c r="K3957" s="191">
        <v>72.363572616965101</v>
      </c>
      <c r="L3957" s="191"/>
      <c r="M3957" s="191"/>
      <c r="N3957" s="191"/>
      <c r="O3957" s="191"/>
      <c r="P3957" s="191"/>
      <c r="Q3957" s="191"/>
      <c r="R3957" s="191"/>
      <c r="S3957" s="191"/>
      <c r="T3957" s="191"/>
      <c r="U3957" s="439"/>
      <c r="V3957" s="441"/>
      <c r="W3957" s="178"/>
      <c r="X3957" s="172"/>
      <c r="Y3957" s="172"/>
      <c r="Z3957" s="172"/>
      <c r="AA3957" s="195"/>
      <c r="AB3957" s="172"/>
    </row>
    <row r="3958" spans="1:28" ht="12.6" customHeight="1" x14ac:dyDescent="0.3">
      <c r="A3958" s="667"/>
      <c r="B3958" s="668" t="s">
        <v>11923</v>
      </c>
      <c r="C3958" s="160" t="s">
        <v>11924</v>
      </c>
      <c r="D3958" s="160"/>
      <c r="E3958" s="439">
        <v>7.91</v>
      </c>
      <c r="F3958" s="161">
        <v>362.06726900000001</v>
      </c>
      <c r="G3958" s="161"/>
      <c r="H3958" s="654"/>
      <c r="I3958" s="654"/>
      <c r="J3958" s="191"/>
      <c r="K3958" s="191">
        <v>95.235748619191895</v>
      </c>
      <c r="L3958" s="191"/>
      <c r="M3958" s="191"/>
      <c r="N3958" s="191"/>
      <c r="O3958" s="191"/>
      <c r="P3958" s="191"/>
      <c r="Q3958" s="191"/>
      <c r="R3958" s="191"/>
      <c r="S3958" s="191"/>
      <c r="T3958" s="191"/>
      <c r="U3958" s="439"/>
      <c r="V3958" s="441"/>
      <c r="W3958" s="178"/>
      <c r="X3958" s="172"/>
      <c r="Y3958" s="172"/>
      <c r="Z3958" s="172"/>
      <c r="AA3958" s="195"/>
      <c r="AB3958" s="172"/>
    </row>
    <row r="3959" spans="1:28" ht="12.6" customHeight="1" x14ac:dyDescent="0.3">
      <c r="A3959" s="667"/>
      <c r="B3959" s="668" t="s">
        <v>11925</v>
      </c>
      <c r="C3959" s="160" t="s">
        <v>11926</v>
      </c>
      <c r="D3959" s="160"/>
      <c r="E3959" s="439">
        <v>19</v>
      </c>
      <c r="F3959" s="161">
        <v>746.02961500000004</v>
      </c>
      <c r="G3959" s="161"/>
      <c r="H3959" s="654"/>
      <c r="I3959" s="654"/>
      <c r="J3959" s="191"/>
      <c r="K3959" s="191"/>
      <c r="L3959" s="191"/>
      <c r="M3959" s="191"/>
      <c r="N3959" s="191"/>
      <c r="O3959" s="191"/>
      <c r="P3959" s="191"/>
      <c r="Q3959" s="191"/>
      <c r="R3959" s="191"/>
      <c r="S3959" s="191"/>
      <c r="T3959" s="191"/>
      <c r="U3959" s="439"/>
      <c r="V3959" s="441"/>
      <c r="W3959" s="178"/>
      <c r="X3959" s="172"/>
      <c r="Y3959" s="172"/>
      <c r="Z3959" s="172"/>
      <c r="AA3959" s="195"/>
      <c r="AB3959" s="172"/>
    </row>
    <row r="3960" spans="1:28" ht="12.6" customHeight="1" x14ac:dyDescent="0.3">
      <c r="A3960" s="667"/>
      <c r="B3960" s="668" t="s">
        <v>11927</v>
      </c>
      <c r="C3960" s="160" t="s">
        <v>11928</v>
      </c>
      <c r="D3960" s="160"/>
      <c r="E3960" s="439">
        <v>3.5179999999999998</v>
      </c>
      <c r="F3960" s="161">
        <v>282.04907667100002</v>
      </c>
      <c r="G3960" s="161">
        <v>-19.001000000000001</v>
      </c>
      <c r="H3960" s="654">
        <v>40.635212379999999</v>
      </c>
      <c r="I3960" s="654">
        <v>23.513895628815501</v>
      </c>
      <c r="J3960" s="191"/>
      <c r="K3960" s="191">
        <v>2582.5575014399101</v>
      </c>
      <c r="L3960" s="191"/>
      <c r="M3960" s="191"/>
      <c r="N3960" s="191"/>
      <c r="O3960" s="191"/>
      <c r="P3960" s="191"/>
      <c r="Q3960" s="191"/>
      <c r="R3960" s="191"/>
      <c r="S3960" s="191"/>
      <c r="T3960" s="191"/>
      <c r="U3960" s="439"/>
      <c r="V3960" s="441"/>
      <c r="W3960" s="178"/>
      <c r="X3960" s="172"/>
      <c r="Y3960" s="172"/>
      <c r="Z3960" s="172"/>
      <c r="AA3960" s="195"/>
      <c r="AB3960" s="172"/>
    </row>
    <row r="3961" spans="1:28" ht="12.6" customHeight="1" x14ac:dyDescent="0.3">
      <c r="A3961" s="667"/>
      <c r="B3961" s="668" t="s">
        <v>11929</v>
      </c>
      <c r="C3961" s="160" t="s">
        <v>11930</v>
      </c>
      <c r="D3961" s="160"/>
      <c r="E3961" s="439">
        <v>7.05</v>
      </c>
      <c r="F3961" s="161">
        <v>458.01590399999998</v>
      </c>
      <c r="G3961" s="161"/>
      <c r="H3961" s="654"/>
      <c r="I3961" s="654"/>
      <c r="J3961" s="191"/>
      <c r="K3961" s="191">
        <v>998826.37084459804</v>
      </c>
      <c r="L3961" s="191"/>
      <c r="M3961" s="191"/>
      <c r="N3961" s="191"/>
      <c r="O3961" s="191"/>
      <c r="P3961" s="191"/>
      <c r="Q3961" s="191"/>
      <c r="R3961" s="191"/>
      <c r="S3961" s="191"/>
      <c r="T3961" s="191"/>
      <c r="U3961" s="439"/>
      <c r="V3961" s="441"/>
      <c r="W3961" s="178"/>
      <c r="X3961" s="172"/>
      <c r="Y3961" s="172"/>
      <c r="Z3961" s="172"/>
      <c r="AA3961" s="195"/>
      <c r="AB3961" s="172"/>
    </row>
    <row r="3962" spans="1:28" ht="12.6" customHeight="1" x14ac:dyDescent="0.3">
      <c r="A3962" s="667"/>
      <c r="B3962" s="668" t="s">
        <v>11931</v>
      </c>
      <c r="C3962" s="160" t="s">
        <v>11932</v>
      </c>
      <c r="D3962" s="160"/>
      <c r="E3962" s="439">
        <v>6.54</v>
      </c>
      <c r="F3962" s="161">
        <v>290.03490699999998</v>
      </c>
      <c r="G3962" s="161"/>
      <c r="H3962" s="654"/>
      <c r="I3962" s="654"/>
      <c r="J3962" s="191"/>
      <c r="K3962" s="191">
        <v>9797.1554728038609</v>
      </c>
      <c r="L3962" s="191"/>
      <c r="M3962" s="191"/>
      <c r="N3962" s="191"/>
      <c r="O3962" s="191"/>
      <c r="P3962" s="191"/>
      <c r="Q3962" s="191"/>
      <c r="R3962" s="191"/>
      <c r="S3962" s="191"/>
      <c r="T3962" s="191"/>
      <c r="U3962" s="439"/>
      <c r="V3962" s="441"/>
      <c r="W3962" s="178"/>
      <c r="X3962" s="172"/>
      <c r="Y3962" s="172"/>
      <c r="Z3962" s="172"/>
      <c r="AA3962" s="195"/>
      <c r="AB3962" s="172"/>
    </row>
    <row r="3963" spans="1:28" ht="12.6" customHeight="1" x14ac:dyDescent="0.3">
      <c r="A3963" s="667"/>
      <c r="B3963" s="668" t="s">
        <v>11933</v>
      </c>
      <c r="C3963" s="160" t="s">
        <v>11934</v>
      </c>
      <c r="D3963" s="160"/>
      <c r="E3963" s="439">
        <v>3.31</v>
      </c>
      <c r="F3963" s="161">
        <v>346.06153306099998</v>
      </c>
      <c r="G3963" s="161"/>
      <c r="H3963" s="654"/>
      <c r="I3963" s="654"/>
      <c r="J3963" s="191"/>
      <c r="K3963" s="191">
        <v>164713.80507523299</v>
      </c>
      <c r="L3963" s="191"/>
      <c r="M3963" s="191"/>
      <c r="N3963" s="191"/>
      <c r="O3963" s="191"/>
      <c r="P3963" s="191"/>
      <c r="Q3963" s="191"/>
      <c r="R3963" s="191"/>
      <c r="S3963" s="191"/>
      <c r="T3963" s="191"/>
      <c r="U3963" s="439"/>
      <c r="V3963" s="441"/>
      <c r="W3963" s="178"/>
      <c r="X3963" s="172"/>
      <c r="Y3963" s="172"/>
      <c r="Z3963" s="172"/>
      <c r="AA3963" s="195"/>
      <c r="AB3963" s="172"/>
    </row>
    <row r="3964" spans="1:28" ht="12.6" customHeight="1" x14ac:dyDescent="0.3">
      <c r="A3964" s="667"/>
      <c r="B3964" s="668" t="s">
        <v>11935</v>
      </c>
      <c r="C3964" s="160" t="s">
        <v>11936</v>
      </c>
      <c r="D3964" s="160"/>
      <c r="E3964" s="439">
        <v>3.35</v>
      </c>
      <c r="F3964" s="161">
        <v>296.06472673500002</v>
      </c>
      <c r="G3964" s="161"/>
      <c r="H3964" s="654"/>
      <c r="I3964" s="654"/>
      <c r="J3964" s="191"/>
      <c r="K3964" s="191">
        <v>33412.579107512502</v>
      </c>
      <c r="L3964" s="191"/>
      <c r="M3964" s="191"/>
      <c r="N3964" s="191"/>
      <c r="O3964" s="191"/>
      <c r="P3964" s="191"/>
      <c r="Q3964" s="191"/>
      <c r="R3964" s="191"/>
      <c r="S3964" s="191"/>
      <c r="T3964" s="191"/>
      <c r="U3964" s="439"/>
      <c r="V3964" s="441"/>
      <c r="W3964" s="178"/>
      <c r="X3964" s="172"/>
      <c r="Y3964" s="172"/>
      <c r="Z3964" s="172"/>
      <c r="AA3964" s="195"/>
      <c r="AB3964" s="172"/>
    </row>
    <row r="3965" spans="1:28" ht="12.6" customHeight="1" x14ac:dyDescent="0.3">
      <c r="A3965" s="667"/>
      <c r="B3965" s="668" t="s">
        <v>11937</v>
      </c>
      <c r="C3965" s="160" t="s">
        <v>11938</v>
      </c>
      <c r="D3965" s="160"/>
      <c r="E3965" s="439">
        <v>3.31</v>
      </c>
      <c r="F3965" s="161">
        <v>346.06153306099998</v>
      </c>
      <c r="G3965" s="161"/>
      <c r="H3965" s="654"/>
      <c r="I3965" s="654"/>
      <c r="J3965" s="191"/>
      <c r="K3965" s="191">
        <v>164713.80507523299</v>
      </c>
      <c r="L3965" s="191"/>
      <c r="M3965" s="191"/>
      <c r="N3965" s="191"/>
      <c r="O3965" s="191"/>
      <c r="P3965" s="191"/>
      <c r="Q3965" s="191"/>
      <c r="R3965" s="191"/>
      <c r="S3965" s="191"/>
      <c r="T3965" s="191"/>
      <c r="U3965" s="439"/>
      <c r="V3965" s="441"/>
      <c r="W3965" s="178"/>
      <c r="X3965" s="172"/>
      <c r="Y3965" s="172"/>
      <c r="Z3965" s="172"/>
      <c r="AA3965" s="195"/>
      <c r="AB3965" s="172"/>
    </row>
    <row r="3966" spans="1:28" ht="12.6" customHeight="1" x14ac:dyDescent="0.3">
      <c r="A3966" s="667"/>
      <c r="B3966" s="668" t="s">
        <v>11939</v>
      </c>
      <c r="C3966" s="160" t="s">
        <v>11940</v>
      </c>
      <c r="D3966" s="160"/>
      <c r="E3966" s="439">
        <v>3.35</v>
      </c>
      <c r="F3966" s="161">
        <v>296.06472673500002</v>
      </c>
      <c r="G3966" s="161"/>
      <c r="H3966" s="654"/>
      <c r="I3966" s="654"/>
      <c r="J3966" s="191"/>
      <c r="K3966" s="191">
        <v>33412.579107512502</v>
      </c>
      <c r="L3966" s="191"/>
      <c r="M3966" s="191"/>
      <c r="N3966" s="191"/>
      <c r="O3966" s="191"/>
      <c r="P3966" s="191"/>
      <c r="Q3966" s="191"/>
      <c r="R3966" s="191"/>
      <c r="S3966" s="191"/>
      <c r="T3966" s="191"/>
      <c r="U3966" s="439"/>
      <c r="V3966" s="441"/>
      <c r="W3966" s="178"/>
      <c r="X3966" s="172"/>
      <c r="Y3966" s="172"/>
      <c r="Z3966" s="172"/>
      <c r="AA3966" s="195"/>
      <c r="AB3966" s="172"/>
    </row>
    <row r="3967" spans="1:28" ht="12.6" customHeight="1" x14ac:dyDescent="0.3">
      <c r="A3967" s="667"/>
      <c r="B3967" s="668" t="s">
        <v>11941</v>
      </c>
      <c r="C3967" s="160" t="s">
        <v>11942</v>
      </c>
      <c r="D3967" s="160"/>
      <c r="E3967" s="439">
        <v>1.83</v>
      </c>
      <c r="F3967" s="161">
        <v>343.99065374999998</v>
      </c>
      <c r="G3967" s="161">
        <v>-22.946999999999999</v>
      </c>
      <c r="H3967" s="654">
        <v>25.935928592</v>
      </c>
      <c r="I3967" s="654">
        <v>20.349179911365699</v>
      </c>
      <c r="J3967" s="191"/>
      <c r="K3967" s="191">
        <v>634.10328051101806</v>
      </c>
      <c r="L3967" s="191"/>
      <c r="M3967" s="191"/>
      <c r="N3967" s="191"/>
      <c r="O3967" s="191"/>
      <c r="P3967" s="191"/>
      <c r="Q3967" s="191"/>
      <c r="R3967" s="191"/>
      <c r="S3967" s="191"/>
      <c r="T3967" s="191"/>
      <c r="U3967" s="439"/>
      <c r="V3967" s="441"/>
      <c r="W3967" s="178"/>
      <c r="X3967" s="172"/>
      <c r="Y3967" s="172"/>
      <c r="Z3967" s="172"/>
      <c r="AA3967" s="195"/>
      <c r="AB3967" s="172"/>
    </row>
    <row r="3968" spans="1:28" ht="12.6" customHeight="1" x14ac:dyDescent="0.3">
      <c r="A3968" s="667"/>
      <c r="B3968" s="668" t="s">
        <v>11943</v>
      </c>
      <c r="C3968" s="160" t="s">
        <v>11944</v>
      </c>
      <c r="D3968" s="160"/>
      <c r="E3968" s="439">
        <v>2.68</v>
      </c>
      <c r="F3968" s="161">
        <v>290.01777654199998</v>
      </c>
      <c r="G3968" s="161">
        <v>38.192999999999998</v>
      </c>
      <c r="H3968" s="654">
        <v>0.30401948948000002</v>
      </c>
      <c r="I3968" s="654">
        <v>12.4860483281297</v>
      </c>
      <c r="J3968" s="191"/>
      <c r="K3968" s="191">
        <v>9997.23727958991</v>
      </c>
      <c r="L3968" s="191"/>
      <c r="M3968" s="191"/>
      <c r="N3968" s="191"/>
      <c r="O3968" s="191"/>
      <c r="P3968" s="191"/>
      <c r="Q3968" s="191"/>
      <c r="R3968" s="191"/>
      <c r="S3968" s="191"/>
      <c r="T3968" s="191"/>
      <c r="U3968" s="439"/>
      <c r="V3968" s="441"/>
      <c r="W3968" s="178"/>
      <c r="X3968" s="172"/>
      <c r="Y3968" s="172"/>
      <c r="Z3968" s="172"/>
      <c r="AA3968" s="195"/>
      <c r="AB3968" s="172"/>
    </row>
    <row r="3969" spans="1:28" ht="12.6" customHeight="1" x14ac:dyDescent="0.3">
      <c r="A3969" s="667"/>
      <c r="B3969" s="668" t="s">
        <v>11945</v>
      </c>
      <c r="C3969" s="160" t="s">
        <v>11946</v>
      </c>
      <c r="D3969" s="160"/>
      <c r="E3969" s="439">
        <v>3.13</v>
      </c>
      <c r="F3969" s="161">
        <v>540.00180817199998</v>
      </c>
      <c r="G3969" s="161">
        <v>1.802</v>
      </c>
      <c r="H3969" s="654">
        <v>0.52711119173999998</v>
      </c>
      <c r="I3969" s="654">
        <v>4.6386911324506203E-2</v>
      </c>
      <c r="J3969" s="191"/>
      <c r="K3969" s="191">
        <v>1697813568.3738</v>
      </c>
      <c r="L3969" s="191"/>
      <c r="M3969" s="191"/>
      <c r="N3969" s="191"/>
      <c r="O3969" s="191"/>
      <c r="P3969" s="191"/>
      <c r="Q3969" s="191"/>
      <c r="R3969" s="191"/>
      <c r="S3969" s="191"/>
      <c r="T3969" s="191"/>
      <c r="U3969" s="439"/>
      <c r="V3969" s="441"/>
      <c r="W3969" s="178"/>
      <c r="X3969" s="172"/>
      <c r="Y3969" s="172"/>
      <c r="Z3969" s="172"/>
      <c r="AA3969" s="195"/>
      <c r="AB3969" s="172"/>
    </row>
    <row r="3970" spans="1:28" ht="12.6" customHeight="1" x14ac:dyDescent="0.3">
      <c r="A3970" s="667"/>
      <c r="B3970" s="668" t="s">
        <v>11947</v>
      </c>
      <c r="C3970" s="160" t="s">
        <v>11948</v>
      </c>
      <c r="D3970" s="160"/>
      <c r="E3970" s="439">
        <v>2.41</v>
      </c>
      <c r="F3970" s="161">
        <v>340.01458286799999</v>
      </c>
      <c r="G3970" s="161">
        <v>61.283000000000001</v>
      </c>
      <c r="H3970" s="654">
        <v>1.7294263195999999</v>
      </c>
      <c r="I3970" s="654">
        <v>2.2568229927655401</v>
      </c>
      <c r="J3970" s="191"/>
      <c r="K3970" s="191">
        <v>668390.08672546898</v>
      </c>
      <c r="L3970" s="191"/>
      <c r="M3970" s="191"/>
      <c r="N3970" s="191"/>
      <c r="O3970" s="191"/>
      <c r="P3970" s="191"/>
      <c r="Q3970" s="191"/>
      <c r="R3970" s="191"/>
      <c r="S3970" s="191"/>
      <c r="T3970" s="191"/>
      <c r="U3970" s="439"/>
      <c r="V3970" s="441"/>
      <c r="W3970" s="178"/>
      <c r="X3970" s="172"/>
      <c r="Y3970" s="172"/>
      <c r="Z3970" s="172"/>
      <c r="AA3970" s="195"/>
      <c r="AB3970" s="172"/>
    </row>
    <row r="3971" spans="1:28" ht="12.6" customHeight="1" x14ac:dyDescent="0.3">
      <c r="A3971" s="667"/>
      <c r="B3971" s="668" t="s">
        <v>11949</v>
      </c>
      <c r="C3971" s="160" t="s">
        <v>11950</v>
      </c>
      <c r="D3971" s="160"/>
      <c r="E3971" s="439">
        <v>2.1</v>
      </c>
      <c r="F3971" s="161">
        <v>290.01777654199998</v>
      </c>
      <c r="G3971" s="161">
        <v>59.548999999999999</v>
      </c>
      <c r="H3971" s="654">
        <v>2.3275621404</v>
      </c>
      <c r="I3971" s="654">
        <v>13.8173459295681</v>
      </c>
      <c r="J3971" s="191"/>
      <c r="K3971" s="191">
        <v>18466.7300227989</v>
      </c>
      <c r="L3971" s="191"/>
      <c r="M3971" s="191"/>
      <c r="N3971" s="191"/>
      <c r="O3971" s="191"/>
      <c r="P3971" s="191"/>
      <c r="Q3971" s="191"/>
      <c r="R3971" s="191"/>
      <c r="S3971" s="191"/>
      <c r="T3971" s="191"/>
      <c r="U3971" s="439"/>
      <c r="V3971" s="441"/>
      <c r="W3971" s="178"/>
      <c r="X3971" s="172"/>
      <c r="Y3971" s="172"/>
      <c r="Z3971" s="172"/>
      <c r="AA3971" s="195"/>
      <c r="AB3971" s="172"/>
    </row>
    <row r="3972" spans="1:28" ht="12.6" customHeight="1" x14ac:dyDescent="0.3">
      <c r="A3972" s="667"/>
      <c r="B3972" s="668" t="s">
        <v>11951</v>
      </c>
      <c r="C3972" s="160" t="s">
        <v>11952</v>
      </c>
      <c r="D3972" s="160"/>
      <c r="E3972" s="439">
        <v>2.79</v>
      </c>
      <c r="F3972" s="161">
        <v>318.01269116200001</v>
      </c>
      <c r="G3972" s="161">
        <v>59.512</v>
      </c>
      <c r="H3972" s="654">
        <v>0.41295422924000003</v>
      </c>
      <c r="I3972" s="654">
        <v>7.7883216141720704</v>
      </c>
      <c r="J3972" s="191"/>
      <c r="K3972" s="191">
        <v>16685.529763283499</v>
      </c>
      <c r="L3972" s="191"/>
      <c r="M3972" s="191"/>
      <c r="N3972" s="191"/>
      <c r="O3972" s="191"/>
      <c r="P3972" s="191"/>
      <c r="Q3972" s="191"/>
      <c r="R3972" s="191"/>
      <c r="S3972" s="191"/>
      <c r="T3972" s="191"/>
      <c r="U3972" s="439"/>
      <c r="V3972" s="441"/>
      <c r="W3972" s="178"/>
      <c r="X3972" s="172"/>
      <c r="Y3972" s="172"/>
      <c r="Z3972" s="172"/>
      <c r="AA3972" s="195"/>
      <c r="AB3972" s="172"/>
    </row>
    <row r="3973" spans="1:28" ht="12.6" customHeight="1" x14ac:dyDescent="0.3">
      <c r="A3973" s="667"/>
      <c r="B3973" s="668" t="s">
        <v>11953</v>
      </c>
      <c r="C3973" s="160" t="s">
        <v>11954</v>
      </c>
      <c r="D3973" s="160"/>
      <c r="E3973" s="439">
        <v>2.74</v>
      </c>
      <c r="F3973" s="161">
        <v>361.98008906500002</v>
      </c>
      <c r="G3973" s="161"/>
      <c r="H3973" s="654"/>
      <c r="I3973" s="654"/>
      <c r="J3973" s="191"/>
      <c r="K3973" s="191">
        <v>908280.52016099496</v>
      </c>
      <c r="L3973" s="191"/>
      <c r="M3973" s="191"/>
      <c r="N3973" s="191"/>
      <c r="O3973" s="191"/>
      <c r="P3973" s="191"/>
      <c r="Q3973" s="191"/>
      <c r="R3973" s="191"/>
      <c r="S3973" s="191"/>
      <c r="T3973" s="191"/>
      <c r="U3973" s="439"/>
      <c r="V3973" s="441"/>
      <c r="W3973" s="178"/>
      <c r="X3973" s="172"/>
      <c r="Y3973" s="172"/>
      <c r="Z3973" s="172"/>
      <c r="AA3973" s="195"/>
      <c r="AB3973" s="172"/>
    </row>
    <row r="3974" spans="1:28" ht="12.6" customHeight="1" x14ac:dyDescent="0.3">
      <c r="A3974" s="667"/>
      <c r="B3974" s="668" t="s">
        <v>11955</v>
      </c>
      <c r="C3974" s="160" t="s">
        <v>11956</v>
      </c>
      <c r="D3974" s="160"/>
      <c r="E3974" s="439">
        <v>3.42</v>
      </c>
      <c r="F3974" s="161">
        <v>496.05195203900001</v>
      </c>
      <c r="G3974" s="161">
        <v>30.956</v>
      </c>
      <c r="H3974" s="654">
        <v>0.28372788108000002</v>
      </c>
      <c r="I3974" s="654">
        <v>0.104118328421273</v>
      </c>
      <c r="J3974" s="191"/>
      <c r="K3974" s="191">
        <v>44024050.704491802</v>
      </c>
      <c r="L3974" s="191"/>
      <c r="M3974" s="191"/>
      <c r="N3974" s="191"/>
      <c r="O3974" s="191"/>
      <c r="P3974" s="191"/>
      <c r="Q3974" s="191"/>
      <c r="R3974" s="191"/>
      <c r="S3974" s="191"/>
      <c r="T3974" s="191"/>
      <c r="U3974" s="439"/>
      <c r="V3974" s="441"/>
      <c r="W3974" s="178"/>
      <c r="X3974" s="172"/>
      <c r="Y3974" s="172"/>
      <c r="Z3974" s="172"/>
      <c r="AA3974" s="195"/>
      <c r="AB3974" s="172"/>
    </row>
    <row r="3975" spans="1:28" ht="12.6" customHeight="1" x14ac:dyDescent="0.3">
      <c r="A3975" s="667"/>
      <c r="B3975" s="668" t="s">
        <v>11957</v>
      </c>
      <c r="C3975" s="160" t="s">
        <v>11958</v>
      </c>
      <c r="D3975" s="160"/>
      <c r="E3975" s="439">
        <v>3.42</v>
      </c>
      <c r="F3975" s="161">
        <v>446.055145713</v>
      </c>
      <c r="G3975" s="161">
        <v>41.151000000000003</v>
      </c>
      <c r="H3975" s="654">
        <v>0.47087063926</v>
      </c>
      <c r="I3975" s="654">
        <v>0.37015930872507802</v>
      </c>
      <c r="J3975" s="191"/>
      <c r="K3975" s="191">
        <v>3948025.96287777</v>
      </c>
      <c r="L3975" s="191"/>
      <c r="M3975" s="191"/>
      <c r="N3975" s="191"/>
      <c r="O3975" s="191"/>
      <c r="P3975" s="191"/>
      <c r="Q3975" s="191"/>
      <c r="R3975" s="191"/>
      <c r="S3975" s="191"/>
      <c r="T3975" s="191"/>
      <c r="U3975" s="439"/>
      <c r="V3975" s="441"/>
      <c r="W3975" s="178"/>
      <c r="X3975" s="172"/>
      <c r="Y3975" s="172"/>
      <c r="Z3975" s="172"/>
      <c r="AA3975" s="195"/>
      <c r="AB3975" s="172"/>
    </row>
    <row r="3976" spans="1:28" ht="12.6" customHeight="1" x14ac:dyDescent="0.3">
      <c r="A3976" s="667"/>
      <c r="B3976" s="668" t="s">
        <v>11959</v>
      </c>
      <c r="C3976" s="160" t="s">
        <v>11960</v>
      </c>
      <c r="D3976" s="160"/>
      <c r="E3976" s="439">
        <v>3.44</v>
      </c>
      <c r="F3976" s="161">
        <v>396.05833938699999</v>
      </c>
      <c r="G3976" s="161">
        <v>37.649000000000001</v>
      </c>
      <c r="H3976" s="654">
        <v>0.59006717336000003</v>
      </c>
      <c r="I3976" s="654">
        <v>0.58312065366287302</v>
      </c>
      <c r="J3976" s="191"/>
      <c r="K3976" s="191">
        <v>851765.41098949895</v>
      </c>
      <c r="L3976" s="191"/>
      <c r="M3976" s="191"/>
      <c r="N3976" s="191"/>
      <c r="O3976" s="191"/>
      <c r="P3976" s="191"/>
      <c r="Q3976" s="191"/>
      <c r="R3976" s="191"/>
      <c r="S3976" s="191"/>
      <c r="T3976" s="191"/>
      <c r="U3976" s="439"/>
      <c r="V3976" s="441"/>
      <c r="W3976" s="178"/>
      <c r="X3976" s="172"/>
      <c r="Y3976" s="172"/>
      <c r="Z3976" s="172"/>
      <c r="AA3976" s="195"/>
      <c r="AB3976" s="172"/>
    </row>
    <row r="3977" spans="1:28" ht="12.6" customHeight="1" x14ac:dyDescent="0.3">
      <c r="A3977" s="667"/>
      <c r="B3977" s="668" t="s">
        <v>11961</v>
      </c>
      <c r="C3977" s="160" t="s">
        <v>11962</v>
      </c>
      <c r="D3977" s="160"/>
      <c r="E3977" s="439">
        <v>3.35</v>
      </c>
      <c r="F3977" s="161">
        <v>296.06472673500002</v>
      </c>
      <c r="G3977" s="161"/>
      <c r="H3977" s="654"/>
      <c r="I3977" s="654"/>
      <c r="J3977" s="191"/>
      <c r="K3977" s="191">
        <v>33412.579107512502</v>
      </c>
      <c r="L3977" s="191"/>
      <c r="M3977" s="191"/>
      <c r="N3977" s="191"/>
      <c r="O3977" s="191"/>
      <c r="P3977" s="191"/>
      <c r="Q3977" s="191"/>
      <c r="R3977" s="191"/>
      <c r="S3977" s="191"/>
      <c r="T3977" s="191"/>
      <c r="U3977" s="439"/>
      <c r="V3977" s="441"/>
      <c r="W3977" s="178"/>
      <c r="X3977" s="172"/>
      <c r="Y3977" s="172"/>
      <c r="Z3977" s="172"/>
      <c r="AA3977" s="195"/>
      <c r="AB3977" s="172"/>
    </row>
    <row r="3978" spans="1:28" ht="12.6" customHeight="1" x14ac:dyDescent="0.3">
      <c r="A3978" s="667"/>
      <c r="B3978" s="668" t="s">
        <v>11963</v>
      </c>
      <c r="C3978" s="160" t="s">
        <v>11964</v>
      </c>
      <c r="D3978" s="160"/>
      <c r="E3978" s="439">
        <v>2.13</v>
      </c>
      <c r="F3978" s="161">
        <v>291.01302551399999</v>
      </c>
      <c r="G3978" s="161"/>
      <c r="H3978" s="654"/>
      <c r="I3978" s="654"/>
      <c r="J3978" s="191"/>
      <c r="K3978" s="191">
        <v>3528.6615077837</v>
      </c>
      <c r="L3978" s="191"/>
      <c r="M3978" s="191"/>
      <c r="N3978" s="191"/>
      <c r="O3978" s="191"/>
      <c r="P3978" s="191"/>
      <c r="Q3978" s="191"/>
      <c r="R3978" s="191"/>
      <c r="S3978" s="191"/>
      <c r="T3978" s="191"/>
      <c r="U3978" s="439"/>
      <c r="V3978" s="441"/>
      <c r="W3978" s="178"/>
      <c r="X3978" s="172"/>
      <c r="Y3978" s="172"/>
      <c r="Z3978" s="172"/>
      <c r="AA3978" s="195"/>
      <c r="AB3978" s="172"/>
    </row>
    <row r="3979" spans="1:28" ht="12.6" customHeight="1" x14ac:dyDescent="0.3">
      <c r="A3979" s="667"/>
      <c r="B3979" s="668" t="s">
        <v>11965</v>
      </c>
      <c r="C3979" s="160" t="s">
        <v>11966</v>
      </c>
      <c r="D3979" s="160"/>
      <c r="E3979" s="439">
        <v>2.4900000000000002</v>
      </c>
      <c r="F3979" s="161">
        <v>505.999916466</v>
      </c>
      <c r="G3979" s="161"/>
      <c r="H3979" s="654"/>
      <c r="I3979" s="654"/>
      <c r="J3979" s="191"/>
      <c r="K3979" s="191">
        <v>16846900.0782963</v>
      </c>
      <c r="L3979" s="191"/>
      <c r="M3979" s="191"/>
      <c r="N3979" s="191"/>
      <c r="O3979" s="191"/>
      <c r="P3979" s="191"/>
      <c r="Q3979" s="191"/>
      <c r="R3979" s="191"/>
      <c r="S3979" s="191"/>
      <c r="T3979" s="191"/>
      <c r="U3979" s="439"/>
      <c r="V3979" s="441"/>
      <c r="W3979" s="178"/>
      <c r="X3979" s="172"/>
      <c r="Y3979" s="172"/>
      <c r="Z3979" s="172"/>
      <c r="AA3979" s="195"/>
      <c r="AB3979" s="172"/>
    </row>
    <row r="3980" spans="1:28" ht="12.6" customHeight="1" x14ac:dyDescent="0.3">
      <c r="A3980" s="667"/>
      <c r="B3980" s="668" t="s">
        <v>11967</v>
      </c>
      <c r="C3980" s="160" t="s">
        <v>11968</v>
      </c>
      <c r="D3980" s="160"/>
      <c r="E3980" s="439">
        <v>2.91</v>
      </c>
      <c r="F3980" s="161">
        <v>290.01777654199998</v>
      </c>
      <c r="G3980" s="161"/>
      <c r="H3980" s="654"/>
      <c r="I3980" s="654"/>
      <c r="J3980" s="191"/>
      <c r="K3980" s="191">
        <v>10147.054663930499</v>
      </c>
      <c r="L3980" s="191"/>
      <c r="M3980" s="191"/>
      <c r="N3980" s="191"/>
      <c r="O3980" s="191"/>
      <c r="P3980" s="191"/>
      <c r="Q3980" s="191"/>
      <c r="R3980" s="191"/>
      <c r="S3980" s="191"/>
      <c r="T3980" s="191"/>
      <c r="U3980" s="439"/>
      <c r="V3980" s="441"/>
      <c r="W3980" s="178"/>
      <c r="X3980" s="172"/>
      <c r="Y3980" s="172"/>
      <c r="Z3980" s="172"/>
      <c r="AA3980" s="195"/>
      <c r="AB3980" s="172"/>
    </row>
    <row r="3981" spans="1:28" ht="12.6" customHeight="1" x14ac:dyDescent="0.3">
      <c r="A3981" s="667"/>
      <c r="B3981" s="668" t="s">
        <v>11969</v>
      </c>
      <c r="C3981" s="160" t="s">
        <v>11970</v>
      </c>
      <c r="D3981" s="160"/>
      <c r="E3981" s="439">
        <v>2.4500000000000002</v>
      </c>
      <c r="F3981" s="161">
        <v>340.01458286799999</v>
      </c>
      <c r="G3981" s="161"/>
      <c r="H3981" s="654"/>
      <c r="I3981" s="654"/>
      <c r="J3981" s="191"/>
      <c r="K3981" s="191">
        <v>844870.21540491201</v>
      </c>
      <c r="L3981" s="191"/>
      <c r="M3981" s="191"/>
      <c r="N3981" s="191"/>
      <c r="O3981" s="191"/>
      <c r="P3981" s="191"/>
      <c r="Q3981" s="191"/>
      <c r="R3981" s="191"/>
      <c r="S3981" s="191"/>
      <c r="T3981" s="191"/>
      <c r="U3981" s="439"/>
      <c r="V3981" s="441"/>
      <c r="W3981" s="178"/>
      <c r="X3981" s="172"/>
      <c r="Y3981" s="172"/>
      <c r="Z3981" s="172"/>
      <c r="AA3981" s="195"/>
      <c r="AB3981" s="172"/>
    </row>
    <row r="3982" spans="1:28" ht="12.6" customHeight="1" x14ac:dyDescent="0.3">
      <c r="A3982" s="667"/>
      <c r="B3982" s="668" t="s">
        <v>11971</v>
      </c>
      <c r="C3982" s="160" t="s">
        <v>11972</v>
      </c>
      <c r="D3982" s="160"/>
      <c r="E3982" s="439">
        <v>1.17</v>
      </c>
      <c r="F3982" s="161">
        <v>291.01302551399999</v>
      </c>
      <c r="G3982" s="161"/>
      <c r="H3982" s="654"/>
      <c r="I3982" s="654"/>
      <c r="J3982" s="191"/>
      <c r="K3982" s="191">
        <v>3615.4303548339899</v>
      </c>
      <c r="L3982" s="191"/>
      <c r="M3982" s="191"/>
      <c r="N3982" s="191"/>
      <c r="O3982" s="191"/>
      <c r="P3982" s="191"/>
      <c r="Q3982" s="191"/>
      <c r="R3982" s="191"/>
      <c r="S3982" s="191"/>
      <c r="T3982" s="191"/>
      <c r="U3982" s="439"/>
      <c r="V3982" s="441"/>
      <c r="W3982" s="178"/>
      <c r="X3982" s="172"/>
      <c r="Y3982" s="172"/>
      <c r="Z3982" s="172"/>
      <c r="AA3982" s="195"/>
      <c r="AB3982" s="172"/>
    </row>
    <row r="3983" spans="1:28" ht="12.6" customHeight="1" x14ac:dyDescent="0.3">
      <c r="A3983" s="667"/>
      <c r="B3983" s="668" t="s">
        <v>11973</v>
      </c>
      <c r="C3983" s="160" t="s">
        <v>11974</v>
      </c>
      <c r="D3983" s="160"/>
      <c r="E3983" s="439">
        <v>3.58</v>
      </c>
      <c r="F3983" s="161">
        <v>270.01269116200001</v>
      </c>
      <c r="G3983" s="161">
        <v>-39.295999999999999</v>
      </c>
      <c r="H3983" s="654">
        <v>5.1038994649999996</v>
      </c>
      <c r="I3983" s="654">
        <v>133.77778783621201</v>
      </c>
      <c r="J3983" s="191"/>
      <c r="K3983" s="191">
        <v>5524.9709644247496</v>
      </c>
      <c r="L3983" s="191"/>
      <c r="M3983" s="191"/>
      <c r="N3983" s="191"/>
      <c r="O3983" s="191"/>
      <c r="P3983" s="191"/>
      <c r="Q3983" s="191"/>
      <c r="R3983" s="191"/>
      <c r="S3983" s="191"/>
      <c r="T3983" s="191"/>
      <c r="U3983" s="439"/>
      <c r="V3983" s="441"/>
      <c r="W3983" s="178"/>
      <c r="X3983" s="172"/>
      <c r="Y3983" s="172"/>
      <c r="Z3983" s="172"/>
      <c r="AA3983" s="195"/>
      <c r="AB3983" s="172"/>
    </row>
    <row r="3984" spans="1:28" ht="12.6" customHeight="1" x14ac:dyDescent="0.3">
      <c r="A3984" s="667"/>
      <c r="B3984" s="668" t="s">
        <v>11975</v>
      </c>
      <c r="C3984" s="160" t="s">
        <v>11976</v>
      </c>
      <c r="D3984" s="160"/>
      <c r="E3984" s="439">
        <v>3.88</v>
      </c>
      <c r="F3984" s="161">
        <v>308.00949748800002</v>
      </c>
      <c r="G3984" s="161">
        <v>-19.614000000000001</v>
      </c>
      <c r="H3984" s="654">
        <v>22.589279747999999</v>
      </c>
      <c r="I3984" s="654">
        <v>25.209499336151499</v>
      </c>
      <c r="J3984" s="191"/>
      <c r="K3984" s="191">
        <v>276.815242277572</v>
      </c>
      <c r="L3984" s="191"/>
      <c r="M3984" s="191"/>
      <c r="N3984" s="191"/>
      <c r="O3984" s="191"/>
      <c r="P3984" s="191"/>
      <c r="Q3984" s="191"/>
      <c r="R3984" s="191"/>
      <c r="S3984" s="191"/>
      <c r="T3984" s="191"/>
      <c r="U3984" s="439"/>
      <c r="V3984" s="441"/>
      <c r="W3984" s="178"/>
      <c r="X3984" s="172"/>
      <c r="Y3984" s="172"/>
      <c r="Z3984" s="172"/>
      <c r="AA3984" s="195"/>
      <c r="AB3984" s="172"/>
    </row>
    <row r="3985" spans="1:28" ht="12.6" customHeight="1" x14ac:dyDescent="0.3">
      <c r="A3985" s="667"/>
      <c r="B3985" s="668" t="s">
        <v>11977</v>
      </c>
      <c r="C3985" s="160" t="s">
        <v>11978</v>
      </c>
      <c r="D3985" s="160"/>
      <c r="E3985" s="439">
        <v>8.51</v>
      </c>
      <c r="F3985" s="161">
        <v>827.98264612800006</v>
      </c>
      <c r="G3985" s="161"/>
      <c r="H3985" s="654"/>
      <c r="I3985" s="654"/>
      <c r="J3985" s="191"/>
      <c r="K3985" s="191">
        <v>19523154.897322498</v>
      </c>
      <c r="L3985" s="191"/>
      <c r="M3985" s="191"/>
      <c r="N3985" s="191"/>
      <c r="O3985" s="191"/>
      <c r="P3985" s="191"/>
      <c r="Q3985" s="191"/>
      <c r="R3985" s="191"/>
      <c r="S3985" s="191"/>
      <c r="T3985" s="191"/>
      <c r="U3985" s="439"/>
      <c r="V3985" s="441"/>
      <c r="W3985" s="178"/>
      <c r="X3985" s="172"/>
      <c r="Y3985" s="172"/>
      <c r="Z3985" s="172"/>
      <c r="AA3985" s="195"/>
      <c r="AB3985" s="172"/>
    </row>
    <row r="3986" spans="1:28" ht="12.6" customHeight="1" x14ac:dyDescent="0.3">
      <c r="A3986" s="667"/>
      <c r="B3986" s="668" t="s">
        <v>11979</v>
      </c>
      <c r="C3986" s="160" t="s">
        <v>11980</v>
      </c>
      <c r="D3986" s="160"/>
      <c r="E3986" s="439">
        <v>8.31</v>
      </c>
      <c r="F3986" s="161">
        <v>409.91756600000002</v>
      </c>
      <c r="G3986" s="161">
        <v>-54.067999999999998</v>
      </c>
      <c r="H3986" s="654">
        <v>154.13489741999999</v>
      </c>
      <c r="I3986" s="654">
        <v>8.2736531768742001</v>
      </c>
      <c r="J3986" s="191"/>
      <c r="K3986" s="191">
        <v>8510.7924570025498</v>
      </c>
      <c r="L3986" s="191"/>
      <c r="M3986" s="191"/>
      <c r="N3986" s="191"/>
      <c r="O3986" s="191"/>
      <c r="P3986" s="191"/>
      <c r="Q3986" s="191"/>
      <c r="R3986" s="191"/>
      <c r="S3986" s="191"/>
      <c r="T3986" s="191"/>
      <c r="U3986" s="439"/>
      <c r="V3986" s="441"/>
      <c r="W3986" s="178"/>
      <c r="X3986" s="172"/>
      <c r="Y3986" s="172"/>
      <c r="Z3986" s="172"/>
      <c r="AA3986" s="195"/>
      <c r="AB3986" s="172"/>
    </row>
    <row r="3987" spans="1:28" ht="12.6" customHeight="1" x14ac:dyDescent="0.3">
      <c r="A3987" s="667"/>
      <c r="B3987" s="668" t="s">
        <v>11981</v>
      </c>
      <c r="C3987" s="160" t="s">
        <v>11982</v>
      </c>
      <c r="D3987" s="160"/>
      <c r="E3987" s="439">
        <v>7.09</v>
      </c>
      <c r="F3987" s="161">
        <v>562.04095220099998</v>
      </c>
      <c r="G3987" s="161"/>
      <c r="H3987" s="654"/>
      <c r="I3987" s="654"/>
      <c r="J3987" s="191"/>
      <c r="K3987" s="191">
        <v>20068.735078306199</v>
      </c>
      <c r="L3987" s="191"/>
      <c r="M3987" s="191"/>
      <c r="N3987" s="191"/>
      <c r="O3987" s="191"/>
      <c r="P3987" s="191"/>
      <c r="Q3987" s="191"/>
      <c r="R3987" s="191"/>
      <c r="S3987" s="191"/>
      <c r="T3987" s="191"/>
      <c r="U3987" s="439"/>
      <c r="V3987" s="441"/>
      <c r="W3987" s="178"/>
      <c r="X3987" s="172"/>
      <c r="Y3987" s="172"/>
      <c r="Z3987" s="172"/>
      <c r="AA3987" s="195"/>
      <c r="AB3987" s="172"/>
    </row>
    <row r="3988" spans="1:28" ht="12.6" customHeight="1" x14ac:dyDescent="0.3">
      <c r="A3988" s="667"/>
      <c r="B3988" s="668" t="s">
        <v>11983</v>
      </c>
      <c r="C3988" s="160" t="s">
        <v>11984</v>
      </c>
      <c r="D3988" s="160"/>
      <c r="E3988" s="439">
        <v>7.35</v>
      </c>
      <c r="F3988" s="161">
        <v>412.050533223</v>
      </c>
      <c r="G3988" s="161"/>
      <c r="H3988" s="654"/>
      <c r="I3988" s="654"/>
      <c r="J3988" s="191"/>
      <c r="K3988" s="191">
        <v>180.72989654887601</v>
      </c>
      <c r="L3988" s="191"/>
      <c r="M3988" s="191"/>
      <c r="N3988" s="191"/>
      <c r="O3988" s="191"/>
      <c r="P3988" s="191"/>
      <c r="Q3988" s="191"/>
      <c r="R3988" s="191"/>
      <c r="S3988" s="191"/>
      <c r="T3988" s="191"/>
      <c r="U3988" s="439"/>
      <c r="V3988" s="441"/>
      <c r="W3988" s="178"/>
      <c r="X3988" s="172"/>
      <c r="Y3988" s="172"/>
      <c r="Z3988" s="172"/>
      <c r="AA3988" s="195"/>
      <c r="AB3988" s="172"/>
    </row>
    <row r="3989" spans="1:28" ht="12.6" customHeight="1" x14ac:dyDescent="0.3">
      <c r="A3989" s="667"/>
      <c r="B3989" s="668" t="s">
        <v>11985</v>
      </c>
      <c r="C3989" s="160" t="s">
        <v>11986</v>
      </c>
      <c r="D3989" s="160"/>
      <c r="E3989" s="439">
        <v>6.41</v>
      </c>
      <c r="F3989" s="161">
        <v>546.04603758099995</v>
      </c>
      <c r="G3989" s="161"/>
      <c r="H3989" s="654"/>
      <c r="I3989" s="654"/>
      <c r="J3989" s="191"/>
      <c r="K3989" s="191">
        <v>23314.709041600599</v>
      </c>
      <c r="L3989" s="191"/>
      <c r="M3989" s="191"/>
      <c r="N3989" s="191"/>
      <c r="O3989" s="191"/>
      <c r="P3989" s="191"/>
      <c r="Q3989" s="191"/>
      <c r="R3989" s="191"/>
      <c r="S3989" s="191"/>
      <c r="T3989" s="191"/>
      <c r="U3989" s="439"/>
      <c r="V3989" s="441"/>
      <c r="W3989" s="178"/>
      <c r="X3989" s="172"/>
      <c r="Y3989" s="172"/>
      <c r="Z3989" s="172"/>
      <c r="AA3989" s="195"/>
      <c r="AB3989" s="172"/>
    </row>
    <row r="3990" spans="1:28" ht="12.6" customHeight="1" x14ac:dyDescent="0.3">
      <c r="A3990" s="667"/>
      <c r="B3990" s="668" t="s">
        <v>11987</v>
      </c>
      <c r="C3990" s="160" t="s">
        <v>11988</v>
      </c>
      <c r="D3990" s="160"/>
      <c r="E3990" s="439">
        <v>6.89</v>
      </c>
      <c r="F3990" s="161">
        <v>446.05242492899998</v>
      </c>
      <c r="G3990" s="161">
        <v>119.989</v>
      </c>
      <c r="H3990" s="654">
        <v>5.4563495042E-5</v>
      </c>
      <c r="I3990" s="654">
        <v>13.626544739641</v>
      </c>
      <c r="J3990" s="191"/>
      <c r="K3990" s="191">
        <v>3962.3241368690201</v>
      </c>
      <c r="L3990" s="191"/>
      <c r="M3990" s="191"/>
      <c r="N3990" s="191"/>
      <c r="O3990" s="191"/>
      <c r="P3990" s="191"/>
      <c r="Q3990" s="191"/>
      <c r="R3990" s="191"/>
      <c r="S3990" s="191"/>
      <c r="T3990" s="191"/>
      <c r="U3990" s="439"/>
      <c r="V3990" s="441"/>
      <c r="W3990" s="178"/>
      <c r="X3990" s="172"/>
      <c r="Y3990" s="172"/>
      <c r="Z3990" s="172"/>
      <c r="AA3990" s="195"/>
      <c r="AB3990" s="172"/>
    </row>
    <row r="3991" spans="1:28" ht="12.6" customHeight="1" x14ac:dyDescent="0.3">
      <c r="A3991" s="667"/>
      <c r="B3991" s="668" t="s">
        <v>11989</v>
      </c>
      <c r="C3991" s="160" t="s">
        <v>11990</v>
      </c>
      <c r="D3991" s="160"/>
      <c r="E3991" s="439">
        <v>6.65</v>
      </c>
      <c r="F3991" s="161">
        <v>396.05561860300003</v>
      </c>
      <c r="G3991" s="161"/>
      <c r="H3991" s="654"/>
      <c r="I3991" s="654"/>
      <c r="J3991" s="191"/>
      <c r="K3991" s="191">
        <v>588.99281913373898</v>
      </c>
      <c r="L3991" s="191"/>
      <c r="M3991" s="191"/>
      <c r="N3991" s="191"/>
      <c r="O3991" s="191"/>
      <c r="P3991" s="191"/>
      <c r="Q3991" s="191"/>
      <c r="R3991" s="191"/>
      <c r="S3991" s="191"/>
      <c r="T3991" s="191"/>
      <c r="U3991" s="439"/>
      <c r="V3991" s="441"/>
      <c r="W3991" s="178"/>
      <c r="X3991" s="172"/>
      <c r="Y3991" s="172"/>
      <c r="Z3991" s="172"/>
      <c r="AA3991" s="195"/>
      <c r="AB3991" s="172"/>
    </row>
    <row r="3992" spans="1:28" ht="12.6" customHeight="1" x14ac:dyDescent="0.3">
      <c r="A3992" s="667"/>
      <c r="B3992" s="668" t="s">
        <v>11991</v>
      </c>
      <c r="C3992" s="160" t="s">
        <v>11992</v>
      </c>
      <c r="D3992" s="160"/>
      <c r="E3992" s="439">
        <v>5.62</v>
      </c>
      <c r="F3992" s="161">
        <v>389.97500368499999</v>
      </c>
      <c r="G3992" s="161"/>
      <c r="H3992" s="654"/>
      <c r="I3992" s="654"/>
      <c r="J3992" s="191"/>
      <c r="K3992" s="191">
        <v>322946.06710838299</v>
      </c>
      <c r="L3992" s="191"/>
      <c r="M3992" s="191"/>
      <c r="N3992" s="191"/>
      <c r="O3992" s="191"/>
      <c r="P3992" s="191"/>
      <c r="Q3992" s="191"/>
      <c r="R3992" s="191"/>
      <c r="S3992" s="191"/>
      <c r="T3992" s="191"/>
      <c r="U3992" s="439"/>
      <c r="V3992" s="441"/>
      <c r="W3992" s="178"/>
      <c r="X3992" s="172"/>
      <c r="Y3992" s="172"/>
      <c r="Z3992" s="172"/>
      <c r="AA3992" s="195"/>
      <c r="AB3992" s="172"/>
    </row>
    <row r="3993" spans="1:28" ht="12.6" customHeight="1" x14ac:dyDescent="0.3">
      <c r="A3993" s="667"/>
      <c r="B3993" s="668" t="s">
        <v>11993</v>
      </c>
      <c r="C3993" s="160" t="s">
        <v>11994</v>
      </c>
      <c r="D3993" s="160"/>
      <c r="E3993" s="439">
        <v>6.91</v>
      </c>
      <c r="F3993" s="161">
        <v>418.02384558400001</v>
      </c>
      <c r="G3993" s="161"/>
      <c r="H3993" s="654"/>
      <c r="I3993" s="654"/>
      <c r="J3993" s="191"/>
      <c r="K3993" s="191">
        <v>41924.7035125119</v>
      </c>
      <c r="L3993" s="191"/>
      <c r="M3993" s="191"/>
      <c r="N3993" s="191"/>
      <c r="O3993" s="191"/>
      <c r="P3993" s="191"/>
      <c r="Q3993" s="191"/>
      <c r="R3993" s="191"/>
      <c r="S3993" s="191"/>
      <c r="T3993" s="191"/>
      <c r="U3993" s="439"/>
      <c r="V3993" s="441"/>
      <c r="W3993" s="178"/>
      <c r="X3993" s="172"/>
      <c r="Y3993" s="172"/>
      <c r="Z3993" s="172"/>
      <c r="AA3993" s="195"/>
      <c r="AB3993" s="172"/>
    </row>
    <row r="3994" spans="1:28" ht="12.6" customHeight="1" x14ac:dyDescent="0.3">
      <c r="A3994" s="667"/>
      <c r="B3994" s="668" t="s">
        <v>11995</v>
      </c>
      <c r="C3994" s="160" t="s">
        <v>11996</v>
      </c>
      <c r="D3994" s="160"/>
      <c r="E3994" s="439">
        <v>4.8899999999999997</v>
      </c>
      <c r="F3994" s="161">
        <v>307.00794013400002</v>
      </c>
      <c r="G3994" s="161">
        <v>51.075000000000003</v>
      </c>
      <c r="H3994" s="654">
        <v>1.3393794764</v>
      </c>
      <c r="I3994" s="654">
        <v>8.5733195314180008</v>
      </c>
      <c r="J3994" s="191"/>
      <c r="K3994" s="191">
        <v>1693.55770869151</v>
      </c>
      <c r="L3994" s="191"/>
      <c r="M3994" s="191"/>
      <c r="N3994" s="191"/>
      <c r="O3994" s="191"/>
      <c r="P3994" s="191"/>
      <c r="Q3994" s="191"/>
      <c r="R3994" s="191"/>
      <c r="S3994" s="191"/>
      <c r="T3994" s="191"/>
      <c r="U3994" s="439"/>
      <c r="V3994" s="441"/>
      <c r="W3994" s="178"/>
      <c r="X3994" s="172"/>
      <c r="Y3994" s="172"/>
      <c r="Z3994" s="172"/>
      <c r="AA3994" s="195"/>
      <c r="AB3994" s="172"/>
    </row>
    <row r="3995" spans="1:28" ht="12.6" customHeight="1" x14ac:dyDescent="0.3">
      <c r="A3995" s="667"/>
      <c r="B3995" s="668" t="s">
        <v>11997</v>
      </c>
      <c r="C3995" s="160" t="s">
        <v>11998</v>
      </c>
      <c r="D3995" s="160"/>
      <c r="E3995" s="439">
        <v>6.63</v>
      </c>
      <c r="F3995" s="161">
        <v>306.01269116200001</v>
      </c>
      <c r="G3995" s="161">
        <v>68.534999999999997</v>
      </c>
      <c r="H3995" s="654">
        <v>0.18488561671999901</v>
      </c>
      <c r="I3995" s="654">
        <v>21.864484378448399</v>
      </c>
      <c r="J3995" s="191"/>
      <c r="K3995" s="191">
        <v>2755.1167048931102</v>
      </c>
      <c r="L3995" s="191"/>
      <c r="M3995" s="191"/>
      <c r="N3995" s="191"/>
      <c r="O3995" s="191"/>
      <c r="P3995" s="191"/>
      <c r="Q3995" s="191"/>
      <c r="R3995" s="191"/>
      <c r="S3995" s="191"/>
      <c r="T3995" s="191"/>
      <c r="U3995" s="439"/>
      <c r="V3995" s="441"/>
      <c r="W3995" s="178"/>
      <c r="X3995" s="172"/>
      <c r="Y3995" s="172"/>
      <c r="Z3995" s="172"/>
      <c r="AA3995" s="195"/>
      <c r="AB3995" s="172"/>
    </row>
    <row r="3996" spans="1:28" ht="12.6" customHeight="1" x14ac:dyDescent="0.3">
      <c r="A3996" s="667"/>
      <c r="B3996" s="668" t="s">
        <v>11999</v>
      </c>
      <c r="C3996" s="160" t="s">
        <v>12000</v>
      </c>
      <c r="D3996" s="160"/>
      <c r="E3996" s="439"/>
      <c r="F3996" s="161">
        <v>312.01966824800002</v>
      </c>
      <c r="G3996" s="161">
        <v>32.624000000000002</v>
      </c>
      <c r="H3996" s="654">
        <v>7.6015404807999998</v>
      </c>
      <c r="I3996" s="654">
        <v>5.4850561520652397</v>
      </c>
      <c r="J3996" s="191"/>
      <c r="K3996" s="191">
        <v>933275.79001880402</v>
      </c>
      <c r="L3996" s="191"/>
      <c r="M3996" s="191"/>
      <c r="N3996" s="191"/>
      <c r="O3996" s="191"/>
      <c r="P3996" s="191"/>
      <c r="Q3996" s="191"/>
      <c r="R3996" s="191"/>
      <c r="S3996" s="191"/>
      <c r="T3996" s="191"/>
      <c r="U3996" s="439"/>
      <c r="V3996" s="441"/>
      <c r="W3996" s="178"/>
      <c r="X3996" s="172"/>
      <c r="Y3996" s="172"/>
      <c r="Z3996" s="172"/>
      <c r="AA3996" s="195"/>
      <c r="AB3996" s="172"/>
    </row>
    <row r="3997" spans="1:28" ht="12.6" customHeight="1" x14ac:dyDescent="0.3">
      <c r="A3997" s="667"/>
      <c r="B3997" s="668" t="s">
        <v>12001</v>
      </c>
      <c r="C3997" s="160" t="s">
        <v>12002</v>
      </c>
      <c r="D3997" s="160"/>
      <c r="E3997" s="439"/>
      <c r="F3997" s="161">
        <v>262.022861922</v>
      </c>
      <c r="G3997" s="161">
        <v>-8.4380000000000006</v>
      </c>
      <c r="H3997" s="654">
        <v>23.872770641999999</v>
      </c>
      <c r="I3997" s="654">
        <v>38.048601802555503</v>
      </c>
      <c r="J3997" s="191"/>
      <c r="K3997" s="191">
        <v>27381.674281099298</v>
      </c>
      <c r="L3997" s="191"/>
      <c r="M3997" s="191"/>
      <c r="N3997" s="191"/>
      <c r="O3997" s="191"/>
      <c r="P3997" s="191"/>
      <c r="Q3997" s="191"/>
      <c r="R3997" s="191"/>
      <c r="S3997" s="191"/>
      <c r="T3997" s="191"/>
      <c r="U3997" s="439"/>
      <c r="V3997" s="441"/>
      <c r="W3997" s="178"/>
      <c r="X3997" s="172"/>
      <c r="Y3997" s="172"/>
      <c r="Z3997" s="172"/>
      <c r="AA3997" s="195"/>
      <c r="AB3997" s="172"/>
    </row>
    <row r="3998" spans="1:28" ht="12.6" customHeight="1" x14ac:dyDescent="0.3">
      <c r="A3998" s="667"/>
      <c r="B3998" s="668" t="s">
        <v>12003</v>
      </c>
      <c r="C3998" s="160" t="s">
        <v>12004</v>
      </c>
      <c r="D3998" s="160"/>
      <c r="E3998" s="439">
        <v>9.01</v>
      </c>
      <c r="F3998" s="161">
        <v>378.04146631999998</v>
      </c>
      <c r="G3998" s="161"/>
      <c r="H3998" s="654"/>
      <c r="I3998" s="654"/>
      <c r="J3998" s="191"/>
      <c r="K3998" s="191">
        <v>39895.140602825901</v>
      </c>
      <c r="L3998" s="191"/>
      <c r="M3998" s="191"/>
      <c r="N3998" s="191"/>
      <c r="O3998" s="191"/>
      <c r="P3998" s="191"/>
      <c r="Q3998" s="191"/>
      <c r="R3998" s="191"/>
      <c r="S3998" s="191"/>
      <c r="T3998" s="191"/>
      <c r="U3998" s="439"/>
      <c r="V3998" s="441"/>
      <c r="W3998" s="178"/>
      <c r="X3998" s="172"/>
      <c r="Y3998" s="172"/>
      <c r="Z3998" s="172"/>
      <c r="AA3998" s="195"/>
      <c r="AB3998" s="172"/>
    </row>
    <row r="3999" spans="1:28" ht="12.6" customHeight="1" x14ac:dyDescent="0.3">
      <c r="A3999" s="667"/>
      <c r="B3999" s="668" t="s">
        <v>12005</v>
      </c>
      <c r="C3999" s="160" t="s">
        <v>12006</v>
      </c>
      <c r="D3999" s="160"/>
      <c r="E3999" s="439">
        <v>7</v>
      </c>
      <c r="F3999" s="161">
        <v>262.022861922</v>
      </c>
      <c r="G3999" s="161"/>
      <c r="H3999" s="654"/>
      <c r="I3999" s="654"/>
      <c r="J3999" s="191"/>
      <c r="K3999" s="191">
        <v>9123.6790627216105</v>
      </c>
      <c r="L3999" s="191"/>
      <c r="M3999" s="191"/>
      <c r="N3999" s="191"/>
      <c r="O3999" s="191"/>
      <c r="P3999" s="191"/>
      <c r="Q3999" s="191"/>
      <c r="R3999" s="191"/>
      <c r="S3999" s="191"/>
      <c r="T3999" s="191"/>
      <c r="U3999" s="439"/>
      <c r="V3999" s="441"/>
      <c r="W3999" s="178"/>
      <c r="X3999" s="172"/>
      <c r="Y3999" s="172"/>
      <c r="Z3999" s="172"/>
      <c r="AA3999" s="195"/>
      <c r="AB3999" s="172"/>
    </row>
    <row r="4000" spans="1:28" ht="12.6" customHeight="1" x14ac:dyDescent="0.3">
      <c r="A4000" s="667"/>
      <c r="B4000" s="668" t="s">
        <v>12007</v>
      </c>
      <c r="C4000" s="160" t="s">
        <v>12008</v>
      </c>
      <c r="D4000" s="160"/>
      <c r="E4000" s="439">
        <v>8.7100000000000009</v>
      </c>
      <c r="F4000" s="161">
        <v>412.01328089999998</v>
      </c>
      <c r="G4000" s="161"/>
      <c r="H4000" s="654"/>
      <c r="I4000" s="654"/>
      <c r="J4000" s="191"/>
      <c r="K4000" s="191">
        <v>33878954.531523898</v>
      </c>
      <c r="L4000" s="191"/>
      <c r="M4000" s="191"/>
      <c r="N4000" s="191"/>
      <c r="O4000" s="191"/>
      <c r="P4000" s="191"/>
      <c r="Q4000" s="191"/>
      <c r="R4000" s="191"/>
      <c r="S4000" s="191"/>
      <c r="T4000" s="191"/>
      <c r="U4000" s="439"/>
      <c r="V4000" s="441"/>
      <c r="W4000" s="178"/>
      <c r="X4000" s="172"/>
      <c r="Y4000" s="172"/>
      <c r="Z4000" s="172"/>
      <c r="AA4000" s="195"/>
      <c r="AB4000" s="172"/>
    </row>
    <row r="4001" spans="1:28" ht="12.6" customHeight="1" x14ac:dyDescent="0.3">
      <c r="A4001" s="667"/>
      <c r="B4001" s="668" t="s">
        <v>12009</v>
      </c>
      <c r="C4001" s="160" t="s">
        <v>12010</v>
      </c>
      <c r="D4001" s="160"/>
      <c r="E4001" s="439">
        <v>5.75</v>
      </c>
      <c r="F4001" s="161">
        <v>460.08218831800002</v>
      </c>
      <c r="G4001" s="161"/>
      <c r="H4001" s="654"/>
      <c r="I4001" s="654"/>
      <c r="J4001" s="191"/>
      <c r="K4001" s="191">
        <v>30556949.7495462</v>
      </c>
      <c r="L4001" s="191"/>
      <c r="M4001" s="191"/>
      <c r="N4001" s="191"/>
      <c r="O4001" s="191"/>
      <c r="P4001" s="191"/>
      <c r="Q4001" s="191"/>
      <c r="R4001" s="191"/>
      <c r="S4001" s="191"/>
      <c r="T4001" s="191"/>
      <c r="U4001" s="439"/>
      <c r="V4001" s="441"/>
      <c r="W4001" s="178"/>
      <c r="X4001" s="172"/>
      <c r="Y4001" s="172"/>
      <c r="Z4001" s="172"/>
      <c r="AA4001" s="195"/>
      <c r="AB4001" s="172"/>
    </row>
    <row r="4002" spans="1:28" ht="12.6" customHeight="1" x14ac:dyDescent="0.3">
      <c r="A4002" s="667"/>
      <c r="B4002" s="668" t="s">
        <v>12011</v>
      </c>
      <c r="C4002" s="160" t="s">
        <v>12012</v>
      </c>
      <c r="D4002" s="160"/>
      <c r="E4002" s="439">
        <v>6.59</v>
      </c>
      <c r="F4002" s="161">
        <v>520.03310830099997</v>
      </c>
      <c r="G4002" s="161"/>
      <c r="H4002" s="654"/>
      <c r="I4002" s="654"/>
      <c r="J4002" s="191"/>
      <c r="K4002" s="191">
        <v>230982.99061256601</v>
      </c>
      <c r="L4002" s="191"/>
      <c r="M4002" s="191"/>
      <c r="N4002" s="191"/>
      <c r="O4002" s="191"/>
      <c r="P4002" s="191"/>
      <c r="Q4002" s="191"/>
      <c r="R4002" s="191"/>
      <c r="S4002" s="191"/>
      <c r="T4002" s="191"/>
      <c r="U4002" s="439"/>
      <c r="V4002" s="441"/>
      <c r="W4002" s="178"/>
      <c r="X4002" s="172"/>
      <c r="Y4002" s="172"/>
      <c r="Z4002" s="172"/>
      <c r="AA4002" s="195"/>
      <c r="AB4002" s="172"/>
    </row>
    <row r="4003" spans="1:28" ht="12.6" customHeight="1" x14ac:dyDescent="0.3">
      <c r="A4003" s="667"/>
      <c r="B4003" s="668" t="s">
        <v>12013</v>
      </c>
      <c r="C4003" s="160" t="s">
        <v>12014</v>
      </c>
      <c r="D4003" s="160"/>
      <c r="E4003" s="439">
        <v>6.51</v>
      </c>
      <c r="F4003" s="161">
        <v>420.039495649</v>
      </c>
      <c r="G4003" s="161"/>
      <c r="H4003" s="654"/>
      <c r="I4003" s="654"/>
      <c r="J4003" s="191"/>
      <c r="K4003" s="191">
        <v>158913.20986666801</v>
      </c>
      <c r="L4003" s="191"/>
      <c r="M4003" s="191"/>
      <c r="N4003" s="191"/>
      <c r="O4003" s="191"/>
      <c r="P4003" s="191"/>
      <c r="Q4003" s="191"/>
      <c r="R4003" s="191"/>
      <c r="S4003" s="191"/>
      <c r="T4003" s="191"/>
      <c r="U4003" s="439"/>
      <c r="V4003" s="441"/>
      <c r="W4003" s="178"/>
      <c r="X4003" s="172"/>
      <c r="Y4003" s="172"/>
      <c r="Z4003" s="172"/>
      <c r="AA4003" s="195"/>
      <c r="AB4003" s="172"/>
    </row>
    <row r="4004" spans="1:28" ht="12.6" customHeight="1" x14ac:dyDescent="0.3">
      <c r="A4004" s="667"/>
      <c r="B4004" s="668" t="s">
        <v>12015</v>
      </c>
      <c r="C4004" s="160" t="s">
        <v>12016</v>
      </c>
      <c r="D4004" s="160"/>
      <c r="E4004" s="439">
        <v>9.92</v>
      </c>
      <c r="F4004" s="161">
        <v>526.02254361600001</v>
      </c>
      <c r="G4004" s="161">
        <v>-46.405999999999999</v>
      </c>
      <c r="H4004" s="654">
        <v>2.4038223244000001</v>
      </c>
      <c r="I4004" s="654">
        <v>5.37037455679319E-2</v>
      </c>
      <c r="J4004" s="191"/>
      <c r="K4004" s="191">
        <v>1697344509.95401</v>
      </c>
      <c r="L4004" s="191"/>
      <c r="M4004" s="191"/>
      <c r="N4004" s="191"/>
      <c r="O4004" s="191"/>
      <c r="P4004" s="191"/>
      <c r="Q4004" s="191"/>
      <c r="R4004" s="191"/>
      <c r="S4004" s="191"/>
      <c r="T4004" s="191"/>
      <c r="U4004" s="439"/>
      <c r="V4004" s="441"/>
      <c r="W4004" s="178"/>
      <c r="X4004" s="172"/>
      <c r="Y4004" s="172"/>
      <c r="Z4004" s="172"/>
      <c r="AA4004" s="195"/>
      <c r="AB4004" s="172"/>
    </row>
    <row r="4005" spans="1:28" ht="12.6" customHeight="1" x14ac:dyDescent="0.3">
      <c r="A4005" s="667"/>
      <c r="B4005" s="668" t="s">
        <v>12017</v>
      </c>
      <c r="C4005" s="160" t="s">
        <v>12018</v>
      </c>
      <c r="D4005" s="160"/>
      <c r="E4005" s="439">
        <v>1</v>
      </c>
      <c r="F4005" s="161">
        <v>276.038511986</v>
      </c>
      <c r="G4005" s="161"/>
      <c r="H4005" s="654"/>
      <c r="I4005" s="654"/>
      <c r="J4005" s="191"/>
      <c r="K4005" s="191">
        <v>5974.2033356922802</v>
      </c>
      <c r="L4005" s="191"/>
      <c r="M4005" s="191"/>
      <c r="N4005" s="191"/>
      <c r="O4005" s="191"/>
      <c r="P4005" s="191"/>
      <c r="Q4005" s="191"/>
      <c r="R4005" s="191"/>
      <c r="S4005" s="191"/>
      <c r="T4005" s="191"/>
      <c r="U4005" s="439"/>
      <c r="V4005" s="441"/>
      <c r="W4005" s="178"/>
      <c r="X4005" s="172"/>
      <c r="Y4005" s="172"/>
      <c r="Z4005" s="172"/>
      <c r="AA4005" s="195"/>
      <c r="AB4005" s="172"/>
    </row>
    <row r="4006" spans="1:28" ht="12.6" customHeight="1" x14ac:dyDescent="0.3">
      <c r="A4006" s="667"/>
      <c r="B4006" s="668" t="s">
        <v>12019</v>
      </c>
      <c r="C4006" s="160" t="s">
        <v>12020</v>
      </c>
      <c r="D4006" s="160"/>
      <c r="E4006" s="439">
        <v>4.82</v>
      </c>
      <c r="F4006" s="161">
        <v>425.04219459699999</v>
      </c>
      <c r="G4006" s="161"/>
      <c r="H4006" s="654"/>
      <c r="I4006" s="654"/>
      <c r="J4006" s="191"/>
      <c r="K4006" s="191">
        <v>9771.4721822636093</v>
      </c>
      <c r="L4006" s="191"/>
      <c r="M4006" s="191"/>
      <c r="N4006" s="191"/>
      <c r="O4006" s="191"/>
      <c r="P4006" s="191"/>
      <c r="Q4006" s="191"/>
      <c r="R4006" s="191"/>
      <c r="S4006" s="191"/>
      <c r="T4006" s="191"/>
      <c r="U4006" s="439"/>
      <c r="V4006" s="441"/>
      <c r="W4006" s="178"/>
      <c r="X4006" s="172"/>
      <c r="Y4006" s="172"/>
      <c r="Z4006" s="172"/>
      <c r="AA4006" s="195"/>
      <c r="AB4006" s="172"/>
    </row>
    <row r="4007" spans="1:28" ht="12.6" customHeight="1" x14ac:dyDescent="0.3">
      <c r="A4007" s="667" t="s">
        <v>4414</v>
      </c>
      <c r="B4007" s="668" t="s">
        <v>12021</v>
      </c>
      <c r="C4007" s="160" t="s">
        <v>12022</v>
      </c>
      <c r="D4007" s="160"/>
      <c r="E4007" s="439"/>
      <c r="F4007" s="161"/>
      <c r="G4007" s="161"/>
      <c r="H4007" s="654"/>
      <c r="I4007" s="654"/>
      <c r="J4007" s="191"/>
      <c r="K4007" s="191"/>
      <c r="L4007" s="191"/>
      <c r="M4007" s="191"/>
      <c r="N4007" s="191"/>
      <c r="O4007" s="191"/>
      <c r="P4007" s="191"/>
      <c r="Q4007" s="191"/>
      <c r="R4007" s="191"/>
      <c r="S4007" s="191"/>
      <c r="T4007" s="191"/>
      <c r="U4007" s="439"/>
      <c r="V4007" s="441"/>
      <c r="W4007" s="178"/>
      <c r="X4007" s="172"/>
      <c r="Y4007" s="172"/>
      <c r="Z4007" s="172"/>
      <c r="AA4007" s="195"/>
      <c r="AB4007" s="172"/>
    </row>
    <row r="4008" spans="1:28" ht="12.75" customHeight="1" x14ac:dyDescent="0.3">
      <c r="A4008" s="161">
        <v>8</v>
      </c>
      <c r="B4008" s="160" t="s">
        <v>1836</v>
      </c>
      <c r="C4008" s="160" t="s">
        <v>1535</v>
      </c>
      <c r="D4008" s="160" t="s">
        <v>2408</v>
      </c>
      <c r="E4008" s="545"/>
      <c r="F4008" s="161">
        <v>120</v>
      </c>
      <c r="G4008" s="161">
        <v>-64</v>
      </c>
      <c r="H4008" s="191">
        <v>21000</v>
      </c>
      <c r="I4008" s="191">
        <v>8000</v>
      </c>
      <c r="J4008" s="191"/>
      <c r="K4008" s="191">
        <v>100</v>
      </c>
      <c r="L4008" s="191"/>
      <c r="M4008" s="191"/>
      <c r="N4008" s="191"/>
      <c r="O4008" s="191"/>
      <c r="P4008" s="191"/>
      <c r="Q4008" s="191">
        <v>2.3999999999999998E-7</v>
      </c>
      <c r="R4008" s="191">
        <v>5.3000000000000003E-10</v>
      </c>
      <c r="S4008" s="191"/>
      <c r="T4008" s="191">
        <v>4.4999999999999998E-7</v>
      </c>
      <c r="U4008" s="439"/>
      <c r="V4008" s="439"/>
      <c r="W4008" s="178">
        <v>30000</v>
      </c>
      <c r="X4008" s="172">
        <f t="shared" si="1"/>
        <v>0.33333333333333331</v>
      </c>
      <c r="Y4008" s="172">
        <f t="shared" si="1"/>
        <v>0.33333333333333331</v>
      </c>
      <c r="Z4008" s="172">
        <f t="shared" si="1"/>
        <v>0.33333333333333331</v>
      </c>
      <c r="AA4008" s="195"/>
      <c r="AB4008" s="172"/>
    </row>
    <row r="4009" spans="1:28" ht="12.75" customHeight="1" x14ac:dyDescent="0.3">
      <c r="A4009" s="161">
        <v>9</v>
      </c>
      <c r="B4009" s="160" t="s">
        <v>1962</v>
      </c>
      <c r="C4009" s="160" t="s">
        <v>1703</v>
      </c>
      <c r="D4009" s="160" t="s">
        <v>2408</v>
      </c>
      <c r="E4009" s="545"/>
      <c r="F4009" s="161">
        <v>130</v>
      </c>
      <c r="G4009" s="161">
        <v>-42</v>
      </c>
      <c r="H4009" s="191">
        <v>100</v>
      </c>
      <c r="I4009" s="191">
        <v>120000</v>
      </c>
      <c r="J4009" s="191"/>
      <c r="K4009" s="191">
        <v>1.8</v>
      </c>
      <c r="L4009" s="191"/>
      <c r="M4009" s="191"/>
      <c r="N4009" s="191"/>
      <c r="O4009" s="191"/>
      <c r="P4009" s="191"/>
      <c r="Q4009" s="191">
        <v>1.1000000000000001E-6</v>
      </c>
      <c r="R4009" s="191">
        <v>5.3000000000000001E-7</v>
      </c>
      <c r="S4009" s="191"/>
      <c r="T4009" s="191">
        <v>5.7000000000000005E-7</v>
      </c>
      <c r="U4009" s="439"/>
      <c r="V4009" s="439"/>
      <c r="W4009" s="178">
        <v>30000</v>
      </c>
      <c r="X4009" s="172">
        <f t="shared" si="1"/>
        <v>0.33333333333333331</v>
      </c>
      <c r="Y4009" s="172">
        <f t="shared" si="1"/>
        <v>0.33333333333333331</v>
      </c>
      <c r="Z4009" s="172">
        <f t="shared" si="1"/>
        <v>0.33333333333333331</v>
      </c>
      <c r="AA4009" s="195"/>
      <c r="AB4009" s="172"/>
    </row>
    <row r="4010" spans="1:28" ht="12.75" customHeight="1" x14ac:dyDescent="0.3">
      <c r="A4010" s="161">
        <v>10</v>
      </c>
      <c r="B4010" s="160" t="s">
        <v>1802</v>
      </c>
      <c r="C4010" s="160" t="s">
        <v>1676</v>
      </c>
      <c r="D4010" s="160" t="s">
        <v>2408</v>
      </c>
      <c r="E4010" s="545"/>
      <c r="F4010" s="161">
        <v>160</v>
      </c>
      <c r="G4010" s="161">
        <v>-64</v>
      </c>
      <c r="H4010" s="191">
        <v>31</v>
      </c>
      <c r="I4010" s="191">
        <v>7800</v>
      </c>
      <c r="J4010" s="191"/>
      <c r="K4010" s="191">
        <v>32</v>
      </c>
      <c r="L4010" s="191"/>
      <c r="M4010" s="191"/>
      <c r="N4010" s="191"/>
      <c r="O4010" s="191"/>
      <c r="P4010" s="191"/>
      <c r="Q4010" s="191"/>
      <c r="R4010" s="191">
        <v>5.3000000000000001E-7</v>
      </c>
      <c r="S4010" s="191"/>
      <c r="T4010" s="191"/>
      <c r="U4010" s="439"/>
      <c r="V4010" s="439"/>
      <c r="W4010" s="178">
        <v>30000</v>
      </c>
      <c r="X4010" s="172">
        <f t="shared" si="1"/>
        <v>0.33333333333333331</v>
      </c>
      <c r="Y4010" s="172">
        <f t="shared" si="1"/>
        <v>0.33333333333333331</v>
      </c>
      <c r="Z4010" s="172">
        <f t="shared" si="1"/>
        <v>0.33333333333333331</v>
      </c>
      <c r="AA4010" s="195"/>
      <c r="AB4010" s="172"/>
    </row>
    <row r="4011" spans="1:28" ht="12.75" customHeight="1" x14ac:dyDescent="0.3">
      <c r="A4011" s="161">
        <v>11</v>
      </c>
      <c r="B4011" s="160" t="s">
        <v>1838</v>
      </c>
      <c r="C4011" s="160" t="s">
        <v>1618</v>
      </c>
      <c r="D4011" s="160" t="s">
        <v>2408</v>
      </c>
      <c r="E4011" s="545"/>
      <c r="F4011" s="161">
        <v>223</v>
      </c>
      <c r="G4011" s="161"/>
      <c r="H4011" s="191">
        <v>1.6000000000000001E-8</v>
      </c>
      <c r="I4011" s="191">
        <v>1800</v>
      </c>
      <c r="J4011" s="191"/>
      <c r="K4011" s="191">
        <v>6.9000000000000006E-2</v>
      </c>
      <c r="L4011" s="191"/>
      <c r="M4011" s="191"/>
      <c r="N4011" s="191"/>
      <c r="O4011" s="191"/>
      <c r="P4011" s="191"/>
      <c r="Q4011" s="191"/>
      <c r="R4011" s="191">
        <v>5.3000000000000003E-10</v>
      </c>
      <c r="S4011" s="191"/>
      <c r="T4011" s="191"/>
      <c r="U4011" s="439"/>
      <c r="V4011" s="439"/>
      <c r="W4011" s="178">
        <v>30000</v>
      </c>
      <c r="X4011" s="172">
        <f t="shared" si="1"/>
        <v>0.33333333333333331</v>
      </c>
      <c r="Y4011" s="172">
        <f t="shared" si="1"/>
        <v>0.33333333333333331</v>
      </c>
      <c r="Z4011" s="172">
        <f t="shared" si="1"/>
        <v>0.33333333333333331</v>
      </c>
      <c r="AA4011" s="195"/>
      <c r="AB4011" s="172"/>
    </row>
    <row r="4012" spans="1:28" ht="12.75" customHeight="1" x14ac:dyDescent="0.3">
      <c r="A4012" s="161">
        <v>12</v>
      </c>
      <c r="B4012" s="160" t="s">
        <v>1771</v>
      </c>
      <c r="C4012" s="160" t="s">
        <v>1603</v>
      </c>
      <c r="D4012" s="160" t="s">
        <v>2408</v>
      </c>
      <c r="E4012" s="545"/>
      <c r="F4012" s="161">
        <v>111</v>
      </c>
      <c r="G4012" s="161">
        <v>14</v>
      </c>
      <c r="H4012" s="191">
        <v>12</v>
      </c>
      <c r="I4012" s="191">
        <v>1.6</v>
      </c>
      <c r="J4012" s="191"/>
      <c r="K4012" s="191">
        <v>2.5</v>
      </c>
      <c r="L4012" s="191"/>
      <c r="M4012" s="191"/>
      <c r="N4012" s="191"/>
      <c r="O4012" s="191"/>
      <c r="P4012" s="191"/>
      <c r="Q4012" s="191"/>
      <c r="R4012" s="191">
        <v>5.3000000000000003E-10</v>
      </c>
      <c r="S4012" s="191"/>
      <c r="T4012" s="191"/>
      <c r="U4012" s="439"/>
      <c r="V4012" s="439"/>
      <c r="W4012" s="178">
        <v>30000</v>
      </c>
      <c r="X4012" s="172">
        <f t="shared" si="1"/>
        <v>0.33333333333333331</v>
      </c>
      <c r="Y4012" s="172">
        <f t="shared" si="1"/>
        <v>0.33333333333333331</v>
      </c>
      <c r="Z4012" s="172">
        <f t="shared" si="1"/>
        <v>0.33333333333333331</v>
      </c>
      <c r="AA4012" s="195"/>
      <c r="AB4012" s="172"/>
    </row>
    <row r="4013" spans="1:28" ht="12.75" customHeight="1" x14ac:dyDescent="0.3">
      <c r="A4013" s="161">
        <v>13</v>
      </c>
      <c r="B4013" s="160" t="s">
        <v>1855</v>
      </c>
      <c r="C4013" s="160">
        <v>27398</v>
      </c>
      <c r="D4013" s="160" t="s">
        <v>2408</v>
      </c>
      <c r="E4013" s="545"/>
      <c r="F4013" s="161">
        <v>63</v>
      </c>
      <c r="G4013" s="161">
        <v>-154</v>
      </c>
      <c r="H4013" s="191">
        <v>330000</v>
      </c>
      <c r="I4013" s="191">
        <v>2700</v>
      </c>
      <c r="J4013" s="191"/>
      <c r="K4013" s="191">
        <v>38</v>
      </c>
      <c r="L4013" s="191"/>
      <c r="M4013" s="191"/>
      <c r="N4013" s="191"/>
      <c r="O4013" s="191"/>
      <c r="P4013" s="191"/>
      <c r="Q4013" s="191">
        <v>2.3E-5</v>
      </c>
      <c r="R4013" s="191">
        <v>5.3000000000000003E-10</v>
      </c>
      <c r="S4013" s="191"/>
      <c r="T4013" s="191">
        <v>7.5000000000000002E-7</v>
      </c>
      <c r="U4013" s="439"/>
      <c r="V4013" s="439"/>
      <c r="W4013" s="178">
        <v>30000</v>
      </c>
      <c r="X4013" s="172">
        <f t="shared" si="1"/>
        <v>0.33333333333333331</v>
      </c>
      <c r="Y4013" s="172">
        <f t="shared" si="1"/>
        <v>0.33333333333333331</v>
      </c>
      <c r="Z4013" s="172">
        <f t="shared" si="1"/>
        <v>0.33333333333333331</v>
      </c>
      <c r="AA4013" s="195"/>
      <c r="AB4013" s="172"/>
    </row>
    <row r="4014" spans="1:28" ht="12.75" customHeight="1" x14ac:dyDescent="0.3">
      <c r="A4014" s="161">
        <v>14</v>
      </c>
      <c r="B4014" s="160" t="s">
        <v>457</v>
      </c>
      <c r="C4014" s="160" t="s">
        <v>456</v>
      </c>
      <c r="D4014" s="160" t="s">
        <v>2408</v>
      </c>
      <c r="E4014" s="545"/>
      <c r="F4014" s="161">
        <v>100</v>
      </c>
      <c r="G4014" s="161">
        <v>-50</v>
      </c>
      <c r="H4014" s="191">
        <v>5300</v>
      </c>
      <c r="I4014" s="191">
        <v>15000</v>
      </c>
      <c r="J4014" s="191"/>
      <c r="K4014" s="191">
        <v>11</v>
      </c>
      <c r="L4014" s="191"/>
      <c r="M4014" s="191"/>
      <c r="N4014" s="191"/>
      <c r="O4014" s="191"/>
      <c r="P4014" s="191"/>
      <c r="Q4014" s="191"/>
      <c r="R4014" s="191">
        <v>5.2999999999999998E-8</v>
      </c>
      <c r="S4014" s="191"/>
      <c r="T4014" s="191"/>
      <c r="U4014" s="439"/>
      <c r="V4014" s="439"/>
      <c r="W4014" s="178">
        <v>30000</v>
      </c>
      <c r="X4014" s="172">
        <f t="shared" si="1"/>
        <v>0.33333333333333331</v>
      </c>
      <c r="Y4014" s="172">
        <f t="shared" si="1"/>
        <v>0.33333333333333331</v>
      </c>
      <c r="Z4014" s="172">
        <f t="shared" si="1"/>
        <v>0.33333333333333331</v>
      </c>
      <c r="AA4014" s="195"/>
      <c r="AB4014" s="172"/>
    </row>
    <row r="4015" spans="1:28" ht="12.75" customHeight="1" x14ac:dyDescent="0.3">
      <c r="A4015" s="161">
        <v>15</v>
      </c>
      <c r="B4015" s="160" t="s">
        <v>1931</v>
      </c>
      <c r="C4015" s="160" t="s">
        <v>1565</v>
      </c>
      <c r="D4015" s="160" t="s">
        <v>2408</v>
      </c>
      <c r="E4015" s="545"/>
      <c r="F4015" s="161">
        <v>192</v>
      </c>
      <c r="G4015" s="161">
        <v>40</v>
      </c>
      <c r="H4015" s="191">
        <v>1</v>
      </c>
      <c r="I4015" s="191">
        <v>150</v>
      </c>
      <c r="J4015" s="191"/>
      <c r="K4015" s="191">
        <v>990</v>
      </c>
      <c r="L4015" s="191"/>
      <c r="M4015" s="191"/>
      <c r="N4015" s="191"/>
      <c r="O4015" s="191"/>
      <c r="P4015" s="191"/>
      <c r="Q4015" s="191">
        <v>3.2999999999999998E-8</v>
      </c>
      <c r="R4015" s="191">
        <v>5.3000000000000003E-10</v>
      </c>
      <c r="S4015" s="191"/>
      <c r="T4015" s="191">
        <v>5.5000000000000003E-8</v>
      </c>
      <c r="U4015" s="439"/>
      <c r="V4015" s="439"/>
      <c r="W4015" s="178">
        <v>30000</v>
      </c>
      <c r="X4015" s="172">
        <f t="shared" si="1"/>
        <v>0.33333333333333331</v>
      </c>
      <c r="Y4015" s="172">
        <f t="shared" si="1"/>
        <v>0.33333333333333331</v>
      </c>
      <c r="Z4015" s="172">
        <f t="shared" si="1"/>
        <v>0.33333333333333331</v>
      </c>
      <c r="AA4015" s="195"/>
      <c r="AB4015" s="172"/>
    </row>
    <row r="4016" spans="1:28" ht="12.75" customHeight="1" x14ac:dyDescent="0.3">
      <c r="A4016" s="161">
        <v>16</v>
      </c>
      <c r="B4016" s="160" t="s">
        <v>1918</v>
      </c>
      <c r="C4016" s="160" t="s">
        <v>1998</v>
      </c>
      <c r="D4016" s="160" t="s">
        <v>2408</v>
      </c>
      <c r="E4016" s="545"/>
      <c r="F4016" s="161">
        <v>175</v>
      </c>
      <c r="G4016" s="161">
        <v>-50</v>
      </c>
      <c r="H4016" s="191">
        <v>4.7</v>
      </c>
      <c r="I4016" s="191">
        <v>3.9</v>
      </c>
      <c r="J4016" s="191"/>
      <c r="K4016" s="191">
        <v>14000</v>
      </c>
      <c r="L4016" s="191"/>
      <c r="M4016" s="191"/>
      <c r="N4016" s="191"/>
      <c r="O4016" s="191"/>
      <c r="P4016" s="191"/>
      <c r="Q4016" s="191"/>
      <c r="R4016" s="191">
        <v>5.3000000000000003E-10</v>
      </c>
      <c r="S4016" s="191"/>
      <c r="T4016" s="191"/>
      <c r="U4016" s="439"/>
      <c r="V4016" s="439"/>
      <c r="W4016" s="178">
        <v>30000</v>
      </c>
      <c r="X4016" s="172">
        <f t="shared" si="1"/>
        <v>0.33333333333333331</v>
      </c>
      <c r="Y4016" s="172">
        <f t="shared" si="1"/>
        <v>0.33333333333333331</v>
      </c>
      <c r="Z4016" s="172">
        <f t="shared" si="1"/>
        <v>0.33333333333333331</v>
      </c>
      <c r="AA4016" s="195"/>
      <c r="AB4016" s="172"/>
    </row>
    <row r="4017" spans="1:28" ht="12.75" customHeight="1" x14ac:dyDescent="0.3">
      <c r="A4017" s="161">
        <v>17</v>
      </c>
      <c r="B4017" s="160" t="s">
        <v>1893</v>
      </c>
      <c r="C4017" s="160" t="s">
        <v>1680</v>
      </c>
      <c r="D4017" s="160" t="s">
        <v>2408</v>
      </c>
      <c r="E4017" s="545"/>
      <c r="F4017" s="161">
        <v>164</v>
      </c>
      <c r="G4017" s="161">
        <v>-45</v>
      </c>
      <c r="H4017" s="191">
        <v>10</v>
      </c>
      <c r="I4017" s="191">
        <v>5.8</v>
      </c>
      <c r="J4017" s="191"/>
      <c r="K4017" s="191">
        <v>7.3999999999999996E-2</v>
      </c>
      <c r="L4017" s="191"/>
      <c r="M4017" s="191"/>
      <c r="N4017" s="191"/>
      <c r="O4017" s="191"/>
      <c r="P4017" s="191"/>
      <c r="Q4017" s="191"/>
      <c r="R4017" s="191">
        <v>5.3000000000000003E-10</v>
      </c>
      <c r="S4017" s="191"/>
      <c r="T4017" s="191"/>
      <c r="U4017" s="439"/>
      <c r="V4017" s="439"/>
      <c r="W4017" s="178">
        <v>30000</v>
      </c>
      <c r="X4017" s="172">
        <f t="shared" si="1"/>
        <v>0.33333333333333331</v>
      </c>
      <c r="Y4017" s="172">
        <f t="shared" si="1"/>
        <v>0.33333333333333331</v>
      </c>
      <c r="Z4017" s="172">
        <f t="shared" si="1"/>
        <v>0.33333333333333331</v>
      </c>
      <c r="AA4017" s="195"/>
      <c r="AB4017" s="172"/>
    </row>
    <row r="4018" spans="1:28" ht="12.75" customHeight="1" x14ac:dyDescent="0.3">
      <c r="A4018" s="161">
        <v>18</v>
      </c>
      <c r="B4018" s="160" t="s">
        <v>1906</v>
      </c>
      <c r="C4018" s="160" t="s">
        <v>1721</v>
      </c>
      <c r="D4018" s="160" t="s">
        <v>2408</v>
      </c>
      <c r="E4018" s="545"/>
      <c r="F4018" s="161">
        <v>154</v>
      </c>
      <c r="G4018" s="161"/>
      <c r="H4018" s="191">
        <v>10</v>
      </c>
      <c r="I4018" s="191">
        <v>1400</v>
      </c>
      <c r="J4018" s="191"/>
      <c r="K4018" s="191">
        <v>930</v>
      </c>
      <c r="L4018" s="191"/>
      <c r="M4018" s="191"/>
      <c r="N4018" s="191"/>
      <c r="O4018" s="191"/>
      <c r="P4018" s="191"/>
      <c r="Q4018" s="191"/>
      <c r="R4018" s="191">
        <v>5.3000000000000001E-7</v>
      </c>
      <c r="S4018" s="191"/>
      <c r="T4018" s="191"/>
      <c r="U4018" s="439"/>
      <c r="V4018" s="439"/>
      <c r="W4018" s="178">
        <v>30000</v>
      </c>
      <c r="X4018" s="172">
        <f t="shared" si="1"/>
        <v>0.33333333333333331</v>
      </c>
      <c r="Y4018" s="172">
        <f t="shared" si="1"/>
        <v>0.33333333333333331</v>
      </c>
      <c r="Z4018" s="172">
        <f t="shared" si="1"/>
        <v>0.33333333333333331</v>
      </c>
      <c r="AA4018" s="195"/>
      <c r="AB4018" s="172"/>
    </row>
    <row r="4019" spans="1:28" ht="12.75" customHeight="1" x14ac:dyDescent="0.3">
      <c r="A4019" s="161">
        <v>19</v>
      </c>
      <c r="B4019" s="160" t="s">
        <v>1797</v>
      </c>
      <c r="C4019" s="160" t="s">
        <v>1574</v>
      </c>
      <c r="D4019" s="160" t="s">
        <v>2408</v>
      </c>
      <c r="E4019" s="545"/>
      <c r="F4019" s="161">
        <v>90</v>
      </c>
      <c r="G4019" s="161">
        <v>-96</v>
      </c>
      <c r="H4019" s="191">
        <v>1200</v>
      </c>
      <c r="I4019" s="191">
        <v>1.9</v>
      </c>
      <c r="J4019" s="191"/>
      <c r="K4019" s="191">
        <v>0.37</v>
      </c>
      <c r="L4019" s="191"/>
      <c r="M4019" s="191"/>
      <c r="N4019" s="191"/>
      <c r="O4019" s="191"/>
      <c r="P4019" s="191"/>
      <c r="Q4019" s="191">
        <v>1.2999999999999999E-5</v>
      </c>
      <c r="R4019" s="191">
        <v>5.3000000000000001E-7</v>
      </c>
      <c r="S4019" s="191"/>
      <c r="T4019" s="191">
        <v>5.9999999999999997E-7</v>
      </c>
      <c r="U4019" s="439"/>
      <c r="V4019" s="439"/>
      <c r="W4019" s="178">
        <v>30000</v>
      </c>
      <c r="X4019" s="172">
        <f t="shared" si="1"/>
        <v>0.33333333333333331</v>
      </c>
      <c r="Y4019" s="172">
        <f t="shared" si="1"/>
        <v>0.33333333333333331</v>
      </c>
      <c r="Z4019" s="172">
        <f t="shared" si="1"/>
        <v>0.33333333333333331</v>
      </c>
      <c r="AA4019" s="195"/>
      <c r="AB4019" s="172"/>
    </row>
    <row r="4020" spans="1:28" ht="12.75" customHeight="1" x14ac:dyDescent="0.3">
      <c r="A4020" s="161">
        <v>20</v>
      </c>
      <c r="B4020" s="160" t="s">
        <v>1967</v>
      </c>
      <c r="C4020" s="160" t="s">
        <v>2005</v>
      </c>
      <c r="D4020" s="160" t="s">
        <v>2408</v>
      </c>
      <c r="E4020" s="545"/>
      <c r="F4020" s="161">
        <v>205</v>
      </c>
      <c r="G4020" s="161">
        <v>88</v>
      </c>
      <c r="H4020" s="191">
        <v>2.2000000000000001E-4</v>
      </c>
      <c r="I4020" s="191">
        <v>3.6999999999999998E-2</v>
      </c>
      <c r="J4020" s="191"/>
      <c r="K4020" s="191">
        <v>32</v>
      </c>
      <c r="L4020" s="191"/>
      <c r="M4020" s="191"/>
      <c r="N4020" s="191"/>
      <c r="O4020" s="191"/>
      <c r="P4020" s="191"/>
      <c r="Q4020" s="191"/>
      <c r="R4020" s="191">
        <v>5.3000000000000003E-10</v>
      </c>
      <c r="S4020" s="191"/>
      <c r="T4020" s="191"/>
      <c r="U4020" s="439"/>
      <c r="V4020" s="439"/>
      <c r="W4020" s="178">
        <v>30000</v>
      </c>
      <c r="X4020" s="172">
        <f t="shared" si="1"/>
        <v>0.33333333333333331</v>
      </c>
      <c r="Y4020" s="172">
        <f t="shared" si="1"/>
        <v>0.33333333333333331</v>
      </c>
      <c r="Z4020" s="172">
        <f t="shared" si="1"/>
        <v>0.33333333333333331</v>
      </c>
      <c r="AA4020" s="195"/>
      <c r="AB4020" s="172"/>
    </row>
    <row r="4021" spans="1:28" ht="12.75" customHeight="1" x14ac:dyDescent="0.3">
      <c r="A4021" s="161">
        <v>21</v>
      </c>
      <c r="B4021" s="160" t="s">
        <v>1835</v>
      </c>
      <c r="C4021" s="160" t="s">
        <v>1714</v>
      </c>
      <c r="D4021" s="160" t="s">
        <v>2408</v>
      </c>
      <c r="E4021" s="545"/>
      <c r="F4021" s="161">
        <v>192</v>
      </c>
      <c r="G4021" s="161">
        <v>30</v>
      </c>
      <c r="H4021" s="191">
        <v>1</v>
      </c>
      <c r="I4021" s="191">
        <v>190</v>
      </c>
      <c r="J4021" s="191"/>
      <c r="K4021" s="191">
        <v>1200</v>
      </c>
      <c r="L4021" s="191"/>
      <c r="M4021" s="191"/>
      <c r="N4021" s="191"/>
      <c r="O4021" s="191"/>
      <c r="P4021" s="191"/>
      <c r="Q4021" s="191"/>
      <c r="R4021" s="191">
        <v>5.3000000000000003E-10</v>
      </c>
      <c r="S4021" s="191"/>
      <c r="T4021" s="191"/>
      <c r="U4021" s="439"/>
      <c r="V4021" s="439"/>
      <c r="W4021" s="178">
        <v>30000</v>
      </c>
      <c r="X4021" s="172">
        <f t="shared" si="1"/>
        <v>0.33333333333333331</v>
      </c>
      <c r="Y4021" s="172">
        <f t="shared" si="1"/>
        <v>0.33333333333333331</v>
      </c>
      <c r="Z4021" s="172">
        <f t="shared" si="1"/>
        <v>0.33333333333333331</v>
      </c>
      <c r="AA4021" s="195"/>
      <c r="AB4021" s="172"/>
    </row>
    <row r="4022" spans="1:28" ht="12.75" customHeight="1" x14ac:dyDescent="0.3">
      <c r="A4022" s="161">
        <v>22</v>
      </c>
      <c r="B4022" s="160" t="s">
        <v>1557</v>
      </c>
      <c r="C4022" s="160" t="s">
        <v>1606</v>
      </c>
      <c r="D4022" s="160" t="s">
        <v>2408</v>
      </c>
      <c r="E4022" s="545"/>
      <c r="F4022" s="161">
        <v>147</v>
      </c>
      <c r="G4022" s="161">
        <v>-17</v>
      </c>
      <c r="H4022" s="191">
        <v>130</v>
      </c>
      <c r="I4022" s="191">
        <v>160</v>
      </c>
      <c r="J4022" s="191"/>
      <c r="K4022" s="191">
        <v>2500</v>
      </c>
      <c r="L4022" s="191"/>
      <c r="M4022" s="191"/>
      <c r="N4022" s="191"/>
      <c r="O4022" s="191"/>
      <c r="P4022" s="191"/>
      <c r="Q4022" s="191">
        <v>2.3999999999999998E-7</v>
      </c>
      <c r="R4022" s="191">
        <v>5.3000000000000003E-10</v>
      </c>
      <c r="S4022" s="191"/>
      <c r="T4022" s="191">
        <v>1.4999999999999999E-7</v>
      </c>
      <c r="U4022" s="439"/>
      <c r="V4022" s="439"/>
      <c r="W4022" s="178">
        <v>30000</v>
      </c>
      <c r="X4022" s="172">
        <f t="shared" si="1"/>
        <v>0.33333333333333331</v>
      </c>
      <c r="Y4022" s="172">
        <f t="shared" si="1"/>
        <v>0.33333333333333331</v>
      </c>
      <c r="Z4022" s="172">
        <f t="shared" si="1"/>
        <v>0.33333333333333331</v>
      </c>
      <c r="AA4022" s="195"/>
      <c r="AB4022" s="172"/>
    </row>
    <row r="4023" spans="1:28" ht="12.75" customHeight="1" x14ac:dyDescent="0.3">
      <c r="A4023" s="161">
        <v>23</v>
      </c>
      <c r="B4023" s="160" t="s">
        <v>1929</v>
      </c>
      <c r="C4023" s="160">
        <v>35983</v>
      </c>
      <c r="D4023" s="160" t="s">
        <v>2408</v>
      </c>
      <c r="E4023" s="545"/>
      <c r="F4023" s="161">
        <v>195</v>
      </c>
      <c r="G4023" s="161">
        <v>-6</v>
      </c>
      <c r="H4023" s="191">
        <v>16</v>
      </c>
      <c r="I4023" s="191">
        <v>10</v>
      </c>
      <c r="J4023" s="191"/>
      <c r="K4023" s="191">
        <v>3000</v>
      </c>
      <c r="L4023" s="191"/>
      <c r="M4023" s="191"/>
      <c r="N4023" s="191"/>
      <c r="O4023" s="191"/>
      <c r="P4023" s="191"/>
      <c r="Q4023" s="191">
        <v>9.9999999999999995E-7</v>
      </c>
      <c r="R4023" s="191">
        <v>5.3000000000000003E-10</v>
      </c>
      <c r="S4023" s="191"/>
      <c r="T4023" s="191">
        <v>5.2E-7</v>
      </c>
      <c r="U4023" s="439"/>
      <c r="V4023" s="439"/>
      <c r="W4023" s="178">
        <v>30000</v>
      </c>
      <c r="X4023" s="172">
        <f t="shared" si="1"/>
        <v>0.33333333333333331</v>
      </c>
      <c r="Y4023" s="172">
        <f t="shared" si="1"/>
        <v>0.33333333333333331</v>
      </c>
      <c r="Z4023" s="172">
        <f t="shared" si="1"/>
        <v>0.33333333333333331</v>
      </c>
      <c r="AA4023" s="195"/>
      <c r="AB4023" s="172"/>
    </row>
    <row r="4024" spans="1:28" ht="12.75" customHeight="1" x14ac:dyDescent="0.3">
      <c r="A4024" s="161">
        <v>24</v>
      </c>
      <c r="B4024" s="160" t="s">
        <v>1773</v>
      </c>
      <c r="C4024" s="160" t="s">
        <v>1605</v>
      </c>
      <c r="D4024" s="160" t="s">
        <v>2408</v>
      </c>
      <c r="E4024" s="545"/>
      <c r="F4024" s="161">
        <v>232</v>
      </c>
      <c r="G4024" s="161">
        <v>96</v>
      </c>
      <c r="H4024" s="191">
        <v>1.5E-6</v>
      </c>
      <c r="I4024" s="191">
        <v>38</v>
      </c>
      <c r="J4024" s="191"/>
      <c r="K4024" s="191">
        <v>6600</v>
      </c>
      <c r="L4024" s="191"/>
      <c r="M4024" s="191"/>
      <c r="N4024" s="191"/>
      <c r="O4024" s="191"/>
      <c r="P4024" s="191"/>
      <c r="Q4024" s="191">
        <v>5.8999999999999998E-5</v>
      </c>
      <c r="R4024" s="191">
        <v>5.3000000000000003E-10</v>
      </c>
      <c r="S4024" s="191"/>
      <c r="T4024" s="191">
        <v>1.9000000000000001E-7</v>
      </c>
      <c r="U4024" s="439"/>
      <c r="V4024" s="439"/>
      <c r="W4024" s="178">
        <v>30000</v>
      </c>
      <c r="X4024" s="172">
        <f t="shared" si="1"/>
        <v>0.33333333333333331</v>
      </c>
      <c r="Y4024" s="172">
        <f t="shared" si="1"/>
        <v>0.33333333333333331</v>
      </c>
      <c r="Z4024" s="172">
        <f t="shared" si="1"/>
        <v>0.33333333333333331</v>
      </c>
      <c r="AA4024" s="195"/>
      <c r="AB4024" s="172"/>
    </row>
    <row r="4025" spans="1:28" ht="12.75" customHeight="1" x14ac:dyDescent="0.3">
      <c r="A4025" s="161">
        <v>25</v>
      </c>
      <c r="B4025" s="160" t="s">
        <v>1875</v>
      </c>
      <c r="C4025" s="160" t="s">
        <v>1989</v>
      </c>
      <c r="D4025" s="160" t="s">
        <v>2408</v>
      </c>
      <c r="E4025" s="545"/>
      <c r="F4025" s="161">
        <v>296</v>
      </c>
      <c r="G4025" s="161"/>
      <c r="H4025" s="191">
        <v>2.2000000000000001E-6</v>
      </c>
      <c r="I4025" s="191">
        <v>3800</v>
      </c>
      <c r="J4025" s="191"/>
      <c r="K4025" s="191">
        <v>180</v>
      </c>
      <c r="L4025" s="191"/>
      <c r="M4025" s="191"/>
      <c r="N4025" s="191"/>
      <c r="O4025" s="191"/>
      <c r="P4025" s="191"/>
      <c r="Q4025" s="191"/>
      <c r="R4025" s="191">
        <v>5.3000000000000003E-10</v>
      </c>
      <c r="S4025" s="191"/>
      <c r="T4025" s="191"/>
      <c r="U4025" s="439"/>
      <c r="V4025" s="439"/>
      <c r="W4025" s="178">
        <v>30000</v>
      </c>
      <c r="X4025" s="172">
        <f t="shared" si="1"/>
        <v>0.33333333333333331</v>
      </c>
      <c r="Y4025" s="172">
        <f t="shared" si="1"/>
        <v>0.33333333333333331</v>
      </c>
      <c r="Z4025" s="172">
        <f t="shared" si="1"/>
        <v>0.33333333333333331</v>
      </c>
      <c r="AA4025" s="195"/>
      <c r="AB4025" s="172"/>
    </row>
    <row r="4026" spans="1:28" ht="12.75" customHeight="1" x14ac:dyDescent="0.3">
      <c r="A4026" s="161">
        <v>26</v>
      </c>
      <c r="B4026" s="160" t="s">
        <v>1889</v>
      </c>
      <c r="C4026" s="160" t="s">
        <v>1993</v>
      </c>
      <c r="D4026" s="160" t="s">
        <v>2408</v>
      </c>
      <c r="E4026" s="545"/>
      <c r="F4026" s="161">
        <v>132</v>
      </c>
      <c r="G4026" s="161">
        <v>-87</v>
      </c>
      <c r="H4026" s="191">
        <v>340</v>
      </c>
      <c r="I4026" s="191">
        <v>20000</v>
      </c>
      <c r="J4026" s="191"/>
      <c r="K4026" s="191">
        <v>2.7</v>
      </c>
      <c r="L4026" s="191"/>
      <c r="M4026" s="191"/>
      <c r="N4026" s="191"/>
      <c r="O4026" s="191"/>
      <c r="P4026" s="191"/>
      <c r="Q4026" s="191">
        <v>8.8999999999999995E-6</v>
      </c>
      <c r="R4026" s="191">
        <v>5.2999999999999998E-8</v>
      </c>
      <c r="S4026" s="191"/>
      <c r="T4026" s="191">
        <v>2.0999999999999998E-6</v>
      </c>
      <c r="U4026" s="439"/>
      <c r="V4026" s="439"/>
      <c r="W4026" s="178">
        <v>30000</v>
      </c>
      <c r="X4026" s="172">
        <f t="shared" si="1"/>
        <v>0.33333333333333331</v>
      </c>
      <c r="Y4026" s="172">
        <f t="shared" si="1"/>
        <v>0.33333333333333331</v>
      </c>
      <c r="Z4026" s="172">
        <f t="shared" si="1"/>
        <v>0.33333333333333331</v>
      </c>
      <c r="AA4026" s="195"/>
      <c r="AB4026" s="172"/>
    </row>
    <row r="4027" spans="1:28" ht="12.75" customHeight="1" x14ac:dyDescent="0.3">
      <c r="A4027" s="161">
        <v>27</v>
      </c>
      <c r="B4027" s="160" t="s">
        <v>1760</v>
      </c>
      <c r="C4027" s="160" t="s">
        <v>1675</v>
      </c>
      <c r="D4027" s="160" t="s">
        <v>2408</v>
      </c>
      <c r="E4027" s="545"/>
      <c r="F4027" s="161">
        <v>134</v>
      </c>
      <c r="G4027" s="161">
        <v>-10</v>
      </c>
      <c r="H4027" s="191">
        <v>1800</v>
      </c>
      <c r="I4027" s="191">
        <v>1.3</v>
      </c>
      <c r="J4027" s="191"/>
      <c r="K4027" s="191">
        <v>0.16</v>
      </c>
      <c r="L4027" s="191"/>
      <c r="M4027" s="191"/>
      <c r="N4027" s="191"/>
      <c r="O4027" s="191"/>
      <c r="P4027" s="191"/>
      <c r="Q4027" s="191">
        <v>2.4000000000000001E-5</v>
      </c>
      <c r="R4027" s="191">
        <v>5.3000000000000001E-7</v>
      </c>
      <c r="S4027" s="191"/>
      <c r="T4027" s="191">
        <v>4.1000000000000003E-8</v>
      </c>
      <c r="U4027" s="439"/>
      <c r="V4027" s="439"/>
      <c r="W4027" s="178">
        <v>30000</v>
      </c>
      <c r="X4027" s="172">
        <f t="shared" si="1"/>
        <v>0.33333333333333331</v>
      </c>
      <c r="Y4027" s="172">
        <f t="shared" si="1"/>
        <v>0.33333333333333331</v>
      </c>
      <c r="Z4027" s="172">
        <f t="shared" si="1"/>
        <v>0.33333333333333331</v>
      </c>
      <c r="AA4027" s="195"/>
      <c r="AB4027" s="172"/>
    </row>
    <row r="4028" spans="1:28" ht="12.75" customHeight="1" x14ac:dyDescent="0.3">
      <c r="A4028" s="161">
        <v>28</v>
      </c>
      <c r="B4028" s="160" t="s">
        <v>1886</v>
      </c>
      <c r="C4028" s="160" t="s">
        <v>1735</v>
      </c>
      <c r="D4028" s="160" t="s">
        <v>2408</v>
      </c>
      <c r="E4028" s="545"/>
      <c r="F4028" s="161">
        <v>108</v>
      </c>
      <c r="G4028" s="161">
        <v>101</v>
      </c>
      <c r="H4028" s="191">
        <v>1.3</v>
      </c>
      <c r="I4028" s="191">
        <v>54000</v>
      </c>
      <c r="J4028" s="191"/>
      <c r="K4028" s="191">
        <v>1.6</v>
      </c>
      <c r="L4028" s="191"/>
      <c r="M4028" s="191"/>
      <c r="N4028" s="191"/>
      <c r="O4028" s="191"/>
      <c r="P4028" s="191"/>
      <c r="Q4028" s="191">
        <v>1.8000000000000001E-4</v>
      </c>
      <c r="R4028" s="191">
        <v>5.3000000000000003E-10</v>
      </c>
      <c r="S4028" s="191"/>
      <c r="T4028" s="191">
        <v>1.1999999999999999E-7</v>
      </c>
      <c r="U4028" s="439"/>
      <c r="V4028" s="439"/>
      <c r="W4028" s="178">
        <v>30000</v>
      </c>
      <c r="X4028" s="172">
        <f t="shared" si="1"/>
        <v>0.33333333333333331</v>
      </c>
      <c r="Y4028" s="172">
        <f t="shared" si="1"/>
        <v>0.33333333333333331</v>
      </c>
      <c r="Z4028" s="172">
        <f t="shared" si="1"/>
        <v>0.33333333333333331</v>
      </c>
      <c r="AA4028" s="195"/>
      <c r="AB4028" s="172"/>
    </row>
    <row r="4029" spans="1:28" ht="12.75" customHeight="1" x14ac:dyDescent="0.3">
      <c r="A4029" s="161">
        <v>29</v>
      </c>
      <c r="B4029" s="160" t="s">
        <v>1968</v>
      </c>
      <c r="C4029" s="160" t="s">
        <v>1562</v>
      </c>
      <c r="D4029" s="160" t="s">
        <v>2408</v>
      </c>
      <c r="E4029" s="545"/>
      <c r="F4029" s="161">
        <v>142</v>
      </c>
      <c r="G4029" s="161">
        <v>-36</v>
      </c>
      <c r="H4029" s="191">
        <v>130</v>
      </c>
      <c r="I4029" s="191">
        <v>130</v>
      </c>
      <c r="J4029" s="191"/>
      <c r="K4029" s="191">
        <v>130</v>
      </c>
      <c r="L4029" s="191"/>
      <c r="M4029" s="191"/>
      <c r="N4029" s="191"/>
      <c r="O4029" s="191"/>
      <c r="P4029" s="191"/>
      <c r="Q4029" s="191">
        <v>2.5000000000000001E-5</v>
      </c>
      <c r="R4029" s="191">
        <v>5.3000000000000001E-7</v>
      </c>
      <c r="S4029" s="191"/>
      <c r="T4029" s="191">
        <v>5.4000000000000002E-7</v>
      </c>
      <c r="U4029" s="439"/>
      <c r="V4029" s="439"/>
      <c r="W4029" s="178">
        <v>30000</v>
      </c>
      <c r="X4029" s="172">
        <f t="shared" si="1"/>
        <v>0.33333333333333331</v>
      </c>
      <c r="Y4029" s="172">
        <f t="shared" si="1"/>
        <v>0.33333333333333331</v>
      </c>
      <c r="Z4029" s="172">
        <f t="shared" si="1"/>
        <v>0.33333333333333331</v>
      </c>
      <c r="AA4029" s="195"/>
      <c r="AB4029" s="172"/>
    </row>
    <row r="4030" spans="1:28" ht="12.75" customHeight="1" x14ac:dyDescent="0.3">
      <c r="A4030" s="161">
        <v>30</v>
      </c>
      <c r="B4030" s="160" t="s">
        <v>1807</v>
      </c>
      <c r="C4030" s="160" t="s">
        <v>1708</v>
      </c>
      <c r="D4030" s="160" t="s">
        <v>2408</v>
      </c>
      <c r="E4030" s="545"/>
      <c r="F4030" s="161">
        <v>143</v>
      </c>
      <c r="G4030" s="161">
        <v>-60</v>
      </c>
      <c r="H4030" s="191">
        <v>68</v>
      </c>
      <c r="I4030" s="191">
        <v>0.11</v>
      </c>
      <c r="J4030" s="191"/>
      <c r="K4030" s="191">
        <v>5.8</v>
      </c>
      <c r="L4030" s="191"/>
      <c r="M4030" s="191"/>
      <c r="N4030" s="191"/>
      <c r="O4030" s="191"/>
      <c r="P4030" s="191"/>
      <c r="Q4030" s="191">
        <v>6.8999999999999997E-5</v>
      </c>
      <c r="R4030" s="191">
        <v>5.3000000000000001E-7</v>
      </c>
      <c r="S4030" s="191"/>
      <c r="T4030" s="191">
        <v>9.4E-7</v>
      </c>
      <c r="U4030" s="439"/>
      <c r="V4030" s="439"/>
      <c r="W4030" s="178">
        <v>30000</v>
      </c>
      <c r="X4030" s="172">
        <f t="shared" si="1"/>
        <v>0.33333333333333331</v>
      </c>
      <c r="Y4030" s="172">
        <f t="shared" si="1"/>
        <v>0.33333333333333331</v>
      </c>
      <c r="Z4030" s="172">
        <f t="shared" si="1"/>
        <v>0.33333333333333331</v>
      </c>
      <c r="AA4030" s="195"/>
      <c r="AB4030" s="172"/>
    </row>
    <row r="4031" spans="1:28" ht="12.75" customHeight="1" x14ac:dyDescent="0.3">
      <c r="A4031" s="161">
        <v>31</v>
      </c>
      <c r="B4031" s="160" t="s">
        <v>1755</v>
      </c>
      <c r="C4031" s="160" t="s">
        <v>31</v>
      </c>
      <c r="D4031" s="160" t="s">
        <v>2408</v>
      </c>
      <c r="E4031" s="545"/>
      <c r="F4031" s="161">
        <v>72</v>
      </c>
      <c r="G4031" s="161">
        <v>-50</v>
      </c>
      <c r="H4031" s="191">
        <v>68000</v>
      </c>
      <c r="I4031" s="191">
        <v>38</v>
      </c>
      <c r="J4031" s="191"/>
      <c r="K4031" s="191">
        <v>2500</v>
      </c>
      <c r="L4031" s="191"/>
      <c r="M4031" s="191"/>
      <c r="N4031" s="191"/>
      <c r="O4031" s="191"/>
      <c r="P4031" s="191"/>
      <c r="Q4031" s="191">
        <v>3.0000000000000001E-6</v>
      </c>
      <c r="R4031" s="191">
        <v>5.3000000000000003E-10</v>
      </c>
      <c r="S4031" s="191"/>
      <c r="T4031" s="191">
        <v>6.3E-7</v>
      </c>
      <c r="U4031" s="439"/>
      <c r="V4031" s="439"/>
      <c r="W4031" s="178">
        <v>30000</v>
      </c>
      <c r="X4031" s="172">
        <f t="shared" si="1"/>
        <v>0.33333333333333331</v>
      </c>
      <c r="Y4031" s="172">
        <f t="shared" si="1"/>
        <v>0.33333333333333331</v>
      </c>
      <c r="Z4031" s="172">
        <f t="shared" si="1"/>
        <v>0.33333333333333331</v>
      </c>
      <c r="AA4031" s="195"/>
      <c r="AB4031" s="172"/>
    </row>
    <row r="4032" spans="1:28" ht="12.75" customHeight="1" x14ac:dyDescent="0.3">
      <c r="A4032" s="161">
        <v>32</v>
      </c>
      <c r="B4032" s="160" t="s">
        <v>1750</v>
      </c>
      <c r="C4032" s="160" t="s">
        <v>1656</v>
      </c>
      <c r="D4032" s="160" t="s">
        <v>2408</v>
      </c>
      <c r="E4032" s="545"/>
      <c r="F4032" s="161">
        <v>228</v>
      </c>
      <c r="G4032" s="161">
        <v>-53</v>
      </c>
      <c r="H4032" s="191">
        <v>2.3999999999999998E-3</v>
      </c>
      <c r="I4032" s="191">
        <v>350</v>
      </c>
      <c r="J4032" s="191"/>
      <c r="K4032" s="191">
        <v>2400</v>
      </c>
      <c r="L4032" s="191"/>
      <c r="M4032" s="191"/>
      <c r="N4032" s="191"/>
      <c r="O4032" s="191"/>
      <c r="P4032" s="191"/>
      <c r="Q4032" s="191">
        <v>1.5E-5</v>
      </c>
      <c r="R4032" s="191">
        <v>5.3000000000000001E-7</v>
      </c>
      <c r="S4032" s="191"/>
      <c r="T4032" s="191">
        <v>3.4000000000000001E-6</v>
      </c>
      <c r="U4032" s="439"/>
      <c r="V4032" s="439"/>
      <c r="W4032" s="178">
        <v>30000</v>
      </c>
      <c r="X4032" s="172">
        <f t="shared" si="1"/>
        <v>0.33333333333333331</v>
      </c>
      <c r="Y4032" s="172">
        <f t="shared" si="1"/>
        <v>0.33333333333333331</v>
      </c>
      <c r="Z4032" s="172">
        <f t="shared" si="1"/>
        <v>0.33333333333333331</v>
      </c>
      <c r="AA4032" s="195"/>
      <c r="AB4032" s="172"/>
    </row>
    <row r="4033" spans="1:28" ht="12.75" customHeight="1" x14ac:dyDescent="0.3">
      <c r="A4033" s="161">
        <v>33</v>
      </c>
      <c r="B4033" s="160" t="s">
        <v>900</v>
      </c>
      <c r="C4033" s="160" t="s">
        <v>899</v>
      </c>
      <c r="D4033" s="160" t="s">
        <v>2408</v>
      </c>
      <c r="E4033" s="545"/>
      <c r="F4033" s="161">
        <v>169</v>
      </c>
      <c r="G4033" s="161">
        <v>54</v>
      </c>
      <c r="H4033" s="191">
        <v>2.1999999999999999E-2</v>
      </c>
      <c r="I4033" s="191">
        <v>50</v>
      </c>
      <c r="J4033" s="191"/>
      <c r="K4033" s="191">
        <v>3200</v>
      </c>
      <c r="L4033" s="191"/>
      <c r="M4033" s="191"/>
      <c r="N4033" s="191"/>
      <c r="O4033" s="191"/>
      <c r="P4033" s="191"/>
      <c r="Q4033" s="191">
        <v>1.4999999999999999E-4</v>
      </c>
      <c r="R4033" s="191">
        <v>5.3000000000000003E-10</v>
      </c>
      <c r="S4033" s="191"/>
      <c r="T4033" s="191">
        <v>2.2999999999999999E-7</v>
      </c>
      <c r="U4033" s="439"/>
      <c r="V4033" s="439"/>
      <c r="W4033" s="178">
        <v>30000</v>
      </c>
      <c r="X4033" s="172">
        <f t="shared" si="1"/>
        <v>0.33333333333333331</v>
      </c>
      <c r="Y4033" s="172">
        <f t="shared" si="1"/>
        <v>0.33333333333333331</v>
      </c>
      <c r="Z4033" s="172">
        <f t="shared" si="1"/>
        <v>0.33333333333333331</v>
      </c>
      <c r="AA4033" s="195"/>
      <c r="AB4033" s="172"/>
    </row>
    <row r="4034" spans="1:28" ht="12.75" customHeight="1" x14ac:dyDescent="0.3">
      <c r="A4034" s="161">
        <v>34</v>
      </c>
      <c r="B4034" s="160" t="s">
        <v>1927</v>
      </c>
      <c r="C4034" s="160" t="s">
        <v>1633</v>
      </c>
      <c r="D4034" s="160" t="s">
        <v>2408</v>
      </c>
      <c r="E4034" s="545"/>
      <c r="F4034" s="161">
        <v>87</v>
      </c>
      <c r="G4034" s="161">
        <v>-22</v>
      </c>
      <c r="H4034" s="191">
        <v>350</v>
      </c>
      <c r="I4034" s="191">
        <v>110000</v>
      </c>
      <c r="J4034" s="191"/>
      <c r="K4034" s="191">
        <v>4.5</v>
      </c>
      <c r="L4034" s="191"/>
      <c r="M4034" s="191"/>
      <c r="N4034" s="191"/>
      <c r="O4034" s="191"/>
      <c r="P4034" s="191"/>
      <c r="Q4034" s="191">
        <v>1.1000000000000001E-6</v>
      </c>
      <c r="R4034" s="191">
        <v>5.3000000000000001E-7</v>
      </c>
      <c r="S4034" s="191"/>
      <c r="T4034" s="191">
        <v>2.6E-7</v>
      </c>
      <c r="U4034" s="439"/>
      <c r="V4034" s="439"/>
      <c r="W4034" s="178">
        <v>30000</v>
      </c>
      <c r="X4034" s="172">
        <f t="shared" si="1"/>
        <v>0.33333333333333331</v>
      </c>
      <c r="Y4034" s="172">
        <f t="shared" si="1"/>
        <v>0.33333333333333331</v>
      </c>
      <c r="Z4034" s="172">
        <f t="shared" si="1"/>
        <v>0.33333333333333331</v>
      </c>
      <c r="AA4034" s="195"/>
      <c r="AB4034" s="172"/>
    </row>
    <row r="4035" spans="1:28" ht="12.75" customHeight="1" x14ac:dyDescent="0.3">
      <c r="A4035" s="161">
        <v>35</v>
      </c>
      <c r="B4035" s="160" t="s">
        <v>1879</v>
      </c>
      <c r="C4035" s="160" t="s">
        <v>1592</v>
      </c>
      <c r="D4035" s="160" t="s">
        <v>2408</v>
      </c>
      <c r="E4035" s="545"/>
      <c r="F4035" s="161">
        <v>92</v>
      </c>
      <c r="G4035" s="161">
        <v>18</v>
      </c>
      <c r="H4035" s="191">
        <v>1.0999999999999999E-2</v>
      </c>
      <c r="I4035" s="191">
        <v>280000000</v>
      </c>
      <c r="J4035" s="191"/>
      <c r="K4035" s="191">
        <v>6.6E-3</v>
      </c>
      <c r="L4035" s="191"/>
      <c r="M4035" s="191"/>
      <c r="N4035" s="191"/>
      <c r="O4035" s="191"/>
      <c r="P4035" s="191"/>
      <c r="Q4035" s="191">
        <v>1.4E-5</v>
      </c>
      <c r="R4035" s="191">
        <v>5.3000000000000001E-7</v>
      </c>
      <c r="S4035" s="191"/>
      <c r="T4035" s="191">
        <v>4.5000000000000001E-6</v>
      </c>
      <c r="U4035" s="439"/>
      <c r="V4035" s="439"/>
      <c r="W4035" s="178">
        <v>30000</v>
      </c>
      <c r="X4035" s="172">
        <f t="shared" si="1"/>
        <v>0.33333333333333331</v>
      </c>
      <c r="Y4035" s="172">
        <f t="shared" si="1"/>
        <v>0.33333333333333331</v>
      </c>
      <c r="Z4035" s="172">
        <f t="shared" si="1"/>
        <v>0.33333333333333331</v>
      </c>
      <c r="AA4035" s="195"/>
      <c r="AB4035" s="172"/>
    </row>
    <row r="4036" spans="1:28" ht="12.75" customHeight="1" x14ac:dyDescent="0.3">
      <c r="A4036" s="161">
        <v>36</v>
      </c>
      <c r="B4036" s="160" t="s">
        <v>1880</v>
      </c>
      <c r="C4036" s="160" t="s">
        <v>1595</v>
      </c>
      <c r="D4036" s="160" t="s">
        <v>2408</v>
      </c>
      <c r="E4036" s="545"/>
      <c r="F4036" s="161">
        <v>297</v>
      </c>
      <c r="G4036" s="161">
        <v>153</v>
      </c>
      <c r="H4036" s="191">
        <v>5.8E-5</v>
      </c>
      <c r="I4036" s="191">
        <v>330000</v>
      </c>
      <c r="J4036" s="191"/>
      <c r="K4036" s="191">
        <v>0.11</v>
      </c>
      <c r="L4036" s="191"/>
      <c r="M4036" s="191"/>
      <c r="N4036" s="191"/>
      <c r="O4036" s="191"/>
      <c r="P4036" s="191"/>
      <c r="Q4036" s="191"/>
      <c r="R4036" s="191">
        <v>5.3000000000000003E-10</v>
      </c>
      <c r="S4036" s="191"/>
      <c r="T4036" s="191">
        <v>5.7000000000000005E-7</v>
      </c>
      <c r="U4036" s="439"/>
      <c r="V4036" s="439"/>
      <c r="W4036" s="178">
        <v>30000</v>
      </c>
      <c r="X4036" s="172">
        <f t="shared" si="1"/>
        <v>0.33333333333333331</v>
      </c>
      <c r="Y4036" s="172">
        <f t="shared" si="1"/>
        <v>0.33333333333333331</v>
      </c>
      <c r="Z4036" s="172">
        <f t="shared" si="1"/>
        <v>0.33333333333333331</v>
      </c>
      <c r="AA4036" s="195"/>
      <c r="AB4036" s="172"/>
    </row>
    <row r="4037" spans="1:28" ht="12.75" customHeight="1" x14ac:dyDescent="0.3">
      <c r="A4037" s="161">
        <v>37</v>
      </c>
      <c r="B4037" s="160" t="s">
        <v>1756</v>
      </c>
      <c r="C4037" s="160" t="s">
        <v>1665</v>
      </c>
      <c r="D4037" s="160" t="s">
        <v>2408</v>
      </c>
      <c r="E4037" s="545"/>
      <c r="F4037" s="161">
        <v>116</v>
      </c>
      <c r="G4037" s="161">
        <v>-88</v>
      </c>
      <c r="H4037" s="191">
        <v>1700</v>
      </c>
      <c r="I4037" s="191">
        <v>53000</v>
      </c>
      <c r="J4037" s="191"/>
      <c r="K4037" s="191">
        <v>52</v>
      </c>
      <c r="L4037" s="191"/>
      <c r="M4037" s="191"/>
      <c r="N4037" s="191"/>
      <c r="O4037" s="191"/>
      <c r="P4037" s="191"/>
      <c r="Q4037" s="191">
        <v>3.1E-6</v>
      </c>
      <c r="R4037" s="191">
        <v>5.3000000000000001E-7</v>
      </c>
      <c r="S4037" s="191"/>
      <c r="T4037" s="191">
        <v>1.1999999999999999E-6</v>
      </c>
      <c r="U4037" s="439"/>
      <c r="V4037" s="439"/>
      <c r="W4037" s="178">
        <v>30000</v>
      </c>
      <c r="X4037" s="172">
        <f t="shared" si="1"/>
        <v>0.33333333333333331</v>
      </c>
      <c r="Y4037" s="172">
        <f t="shared" si="1"/>
        <v>0.33333333333333331</v>
      </c>
      <c r="Z4037" s="172">
        <f t="shared" si="1"/>
        <v>0.33333333333333331</v>
      </c>
      <c r="AA4037" s="195"/>
      <c r="AB4037" s="172"/>
    </row>
    <row r="4038" spans="1:28" ht="12.75" customHeight="1" x14ac:dyDescent="0.3">
      <c r="A4038" s="161">
        <v>38</v>
      </c>
      <c r="B4038" s="160" t="s">
        <v>1789</v>
      </c>
      <c r="C4038" s="160" t="s">
        <v>1599</v>
      </c>
      <c r="D4038" s="160" t="s">
        <v>2408</v>
      </c>
      <c r="E4038" s="545"/>
      <c r="F4038" s="161">
        <v>138</v>
      </c>
      <c r="G4038" s="161">
        <v>-8</v>
      </c>
      <c r="H4038" s="191">
        <v>40</v>
      </c>
      <c r="I4038" s="191">
        <v>12000</v>
      </c>
      <c r="J4038" s="191"/>
      <c r="K4038" s="191">
        <v>46</v>
      </c>
      <c r="L4038" s="191"/>
      <c r="M4038" s="191"/>
      <c r="N4038" s="191"/>
      <c r="O4038" s="191"/>
      <c r="P4038" s="191"/>
      <c r="Q4038" s="191">
        <v>1.3999999999999999E-4</v>
      </c>
      <c r="R4038" s="191">
        <v>5.2999999999999998E-8</v>
      </c>
      <c r="S4038" s="191"/>
      <c r="T4038" s="191">
        <v>2.3999999999999998E-7</v>
      </c>
      <c r="U4038" s="439"/>
      <c r="V4038" s="439"/>
      <c r="W4038" s="178">
        <v>30000</v>
      </c>
      <c r="X4038" s="172">
        <f t="shared" si="1"/>
        <v>0.33333333333333331</v>
      </c>
      <c r="Y4038" s="172">
        <f t="shared" si="1"/>
        <v>0.33333333333333331</v>
      </c>
      <c r="Z4038" s="172">
        <f t="shared" si="1"/>
        <v>0.33333333333333331</v>
      </c>
      <c r="AA4038" s="195"/>
      <c r="AB4038" s="172"/>
    </row>
    <row r="4039" spans="1:28" ht="12.75" customHeight="1" x14ac:dyDescent="0.3">
      <c r="A4039" s="161">
        <v>39</v>
      </c>
      <c r="B4039" s="160" t="s">
        <v>1863</v>
      </c>
      <c r="C4039" s="160" t="s">
        <v>1658</v>
      </c>
      <c r="D4039" s="160" t="s">
        <v>2408</v>
      </c>
      <c r="E4039" s="545"/>
      <c r="F4039" s="161">
        <v>118</v>
      </c>
      <c r="G4039" s="161">
        <v>40</v>
      </c>
      <c r="H4039" s="191">
        <v>7</v>
      </c>
      <c r="I4039" s="191">
        <v>4.9000000000000004</v>
      </c>
      <c r="J4039" s="191"/>
      <c r="K4039" s="191">
        <v>0.54</v>
      </c>
      <c r="L4039" s="191"/>
      <c r="M4039" s="191"/>
      <c r="N4039" s="191"/>
      <c r="O4039" s="191"/>
      <c r="P4039" s="191"/>
      <c r="Q4039" s="191"/>
      <c r="R4039" s="191">
        <v>5.3000000000000001E-7</v>
      </c>
      <c r="S4039" s="191"/>
      <c r="T4039" s="191"/>
      <c r="U4039" s="439"/>
      <c r="V4039" s="439"/>
      <c r="W4039" s="178">
        <v>30000</v>
      </c>
      <c r="X4039" s="172">
        <f t="shared" si="1"/>
        <v>0.33333333333333331</v>
      </c>
      <c r="Y4039" s="172">
        <f t="shared" si="1"/>
        <v>0.33333333333333331</v>
      </c>
      <c r="Z4039" s="172">
        <f t="shared" si="1"/>
        <v>0.33333333333333331</v>
      </c>
      <c r="AA4039" s="195"/>
      <c r="AB4039" s="172"/>
    </row>
    <row r="4040" spans="1:28" ht="12.75" customHeight="1" x14ac:dyDescent="0.3">
      <c r="A4040" s="161">
        <v>40</v>
      </c>
      <c r="B4040" s="160" t="s">
        <v>1953</v>
      </c>
      <c r="C4040" s="160" t="s">
        <v>1728</v>
      </c>
      <c r="D4040" s="160" t="s">
        <v>2408</v>
      </c>
      <c r="E4040" s="545"/>
      <c r="F4040" s="161">
        <v>136</v>
      </c>
      <c r="G4040" s="161">
        <v>-55</v>
      </c>
      <c r="H4040" s="191">
        <v>59</v>
      </c>
      <c r="I4040" s="191">
        <v>2.5</v>
      </c>
      <c r="J4040" s="191"/>
      <c r="K4040" s="191">
        <v>68000</v>
      </c>
      <c r="L4040" s="191"/>
      <c r="M4040" s="191"/>
      <c r="N4040" s="191"/>
      <c r="O4040" s="191"/>
      <c r="P4040" s="191"/>
      <c r="Q4040" s="191">
        <v>3.1E-4</v>
      </c>
      <c r="R4040" s="191">
        <v>5.3000000000000003E-10</v>
      </c>
      <c r="S4040" s="191"/>
      <c r="T4040" s="191">
        <v>2.1E-7</v>
      </c>
      <c r="U4040" s="439"/>
      <c r="V4040" s="439"/>
      <c r="W4040" s="178">
        <v>30000</v>
      </c>
      <c r="X4040" s="172">
        <f t="shared" si="1"/>
        <v>0.33333333333333331</v>
      </c>
      <c r="Y4040" s="172">
        <f t="shared" si="1"/>
        <v>0.33333333333333331</v>
      </c>
      <c r="Z4040" s="172">
        <f t="shared" si="1"/>
        <v>0.33333333333333331</v>
      </c>
      <c r="AA4040" s="195"/>
      <c r="AB4040" s="172"/>
    </row>
    <row r="4041" spans="1:28" ht="12.75" customHeight="1" x14ac:dyDescent="0.3">
      <c r="A4041" s="161">
        <v>41</v>
      </c>
      <c r="B4041" s="160" t="s">
        <v>1924</v>
      </c>
      <c r="C4041" s="160" t="s">
        <v>880</v>
      </c>
      <c r="D4041" s="160" t="s">
        <v>2408</v>
      </c>
      <c r="E4041" s="545"/>
      <c r="F4041" s="161">
        <v>312</v>
      </c>
      <c r="G4041" s="161">
        <v>-35</v>
      </c>
      <c r="H4041" s="191">
        <v>4.1E-5</v>
      </c>
      <c r="I4041" s="191">
        <v>2.7</v>
      </c>
      <c r="J4041" s="191"/>
      <c r="K4041" s="191">
        <v>17000</v>
      </c>
      <c r="L4041" s="191"/>
      <c r="M4041" s="191"/>
      <c r="N4041" s="191"/>
      <c r="O4041" s="191"/>
      <c r="P4041" s="191"/>
      <c r="Q4041" s="191">
        <v>7.3E-7</v>
      </c>
      <c r="R4041" s="191">
        <v>5.3000000000000001E-7</v>
      </c>
      <c r="S4041" s="191"/>
      <c r="T4041" s="191">
        <v>4.5000000000000001E-6</v>
      </c>
      <c r="U4041" s="439"/>
      <c r="V4041" s="439"/>
      <c r="W4041" s="178">
        <v>30000</v>
      </c>
      <c r="X4041" s="172">
        <f t="shared" si="1"/>
        <v>0.33333333333333331</v>
      </c>
      <c r="Y4041" s="172">
        <f t="shared" si="1"/>
        <v>0.33333333333333331</v>
      </c>
      <c r="Z4041" s="172">
        <f t="shared" si="1"/>
        <v>0.33333333333333331</v>
      </c>
      <c r="AA4041" s="195"/>
      <c r="AB4041" s="172"/>
    </row>
    <row r="4042" spans="1:28" ht="12.75" customHeight="1" x14ac:dyDescent="0.3">
      <c r="A4042" s="161">
        <v>42</v>
      </c>
      <c r="B4042" s="160" t="s">
        <v>858</v>
      </c>
      <c r="C4042" s="160" t="s">
        <v>857</v>
      </c>
      <c r="D4042" s="160" t="s">
        <v>2408</v>
      </c>
      <c r="E4042" s="545"/>
      <c r="F4042" s="161">
        <v>106</v>
      </c>
      <c r="G4042" s="161">
        <v>-95</v>
      </c>
      <c r="H4042" s="191">
        <v>950</v>
      </c>
      <c r="I4042" s="191">
        <v>200</v>
      </c>
      <c r="J4042" s="191"/>
      <c r="K4042" s="191">
        <v>1400</v>
      </c>
      <c r="L4042" s="191"/>
      <c r="M4042" s="191"/>
      <c r="N4042" s="191"/>
      <c r="O4042" s="191"/>
      <c r="P4042" s="191"/>
      <c r="Q4042" s="191">
        <v>2.3E-5</v>
      </c>
      <c r="R4042" s="191">
        <v>5.3000000000000003E-10</v>
      </c>
      <c r="S4042" s="191"/>
      <c r="T4042" s="191">
        <v>3.9999999999999998E-7</v>
      </c>
      <c r="U4042" s="439"/>
      <c r="V4042" s="439"/>
      <c r="W4042" s="178">
        <v>30000</v>
      </c>
      <c r="X4042" s="172">
        <f t="shared" si="1"/>
        <v>0.33333333333333331</v>
      </c>
      <c r="Y4042" s="172">
        <f t="shared" si="1"/>
        <v>0.33333333333333331</v>
      </c>
      <c r="Z4042" s="172">
        <f t="shared" si="1"/>
        <v>0.33333333333333331</v>
      </c>
      <c r="AA4042" s="195"/>
      <c r="AB4042" s="172"/>
    </row>
    <row r="4043" spans="1:28" ht="12.75" customHeight="1" x14ac:dyDescent="0.3">
      <c r="A4043" s="161">
        <v>43</v>
      </c>
      <c r="B4043" s="160" t="s">
        <v>1960</v>
      </c>
      <c r="C4043" s="160" t="s">
        <v>1587</v>
      </c>
      <c r="D4043" s="160" t="s">
        <v>2408</v>
      </c>
      <c r="E4043" s="545"/>
      <c r="F4043" s="161">
        <v>110</v>
      </c>
      <c r="G4043" s="161">
        <v>171</v>
      </c>
      <c r="H4043" s="191">
        <v>2E-3</v>
      </c>
      <c r="I4043" s="191">
        <v>73000</v>
      </c>
      <c r="J4043" s="191"/>
      <c r="K4043" s="191">
        <v>3.5</v>
      </c>
      <c r="L4043" s="191"/>
      <c r="M4043" s="191"/>
      <c r="N4043" s="191"/>
      <c r="O4043" s="191"/>
      <c r="P4043" s="191"/>
      <c r="Q4043" s="191"/>
      <c r="R4043" s="191">
        <v>5.3000000000000001E-7</v>
      </c>
      <c r="S4043" s="191"/>
      <c r="T4043" s="191"/>
      <c r="U4043" s="439"/>
      <c r="V4043" s="439"/>
      <c r="W4043" s="178">
        <v>30000</v>
      </c>
      <c r="X4043" s="172">
        <f t="shared" si="1"/>
        <v>0.33333333333333331</v>
      </c>
      <c r="Y4043" s="172">
        <f t="shared" si="1"/>
        <v>0.33333333333333331</v>
      </c>
      <c r="Z4043" s="172">
        <f t="shared" si="1"/>
        <v>0.33333333333333331</v>
      </c>
      <c r="AA4043" s="195"/>
      <c r="AB4043" s="172"/>
    </row>
    <row r="4044" spans="1:28" ht="12.75" customHeight="1" x14ac:dyDescent="0.3">
      <c r="A4044" s="161">
        <v>44</v>
      </c>
      <c r="B4044" s="160" t="s">
        <v>1904</v>
      </c>
      <c r="C4044" s="160" t="s">
        <v>1719</v>
      </c>
      <c r="D4044" s="160" t="s">
        <v>2408</v>
      </c>
      <c r="E4044" s="545"/>
      <c r="F4044" s="161">
        <v>132</v>
      </c>
      <c r="G4044" s="161">
        <v>33</v>
      </c>
      <c r="H4044" s="191">
        <v>190</v>
      </c>
      <c r="I4044" s="191">
        <v>40</v>
      </c>
      <c r="J4044" s="191"/>
      <c r="K4044" s="191">
        <v>780</v>
      </c>
      <c r="L4044" s="191"/>
      <c r="M4044" s="191"/>
      <c r="N4044" s="191"/>
      <c r="O4044" s="191"/>
      <c r="P4044" s="191"/>
      <c r="Q4044" s="191">
        <v>3.6999999999999999E-4</v>
      </c>
      <c r="R4044" s="191">
        <v>5.3000000000000003E-10</v>
      </c>
      <c r="S4044" s="191"/>
      <c r="T4044" s="191">
        <v>4.0999999999999999E-7</v>
      </c>
      <c r="U4044" s="439"/>
      <c r="V4044" s="439"/>
      <c r="W4044" s="178">
        <v>30000</v>
      </c>
      <c r="X4044" s="172">
        <f t="shared" si="1"/>
        <v>0.33333333333333331</v>
      </c>
      <c r="Y4044" s="172">
        <f t="shared" si="1"/>
        <v>0.33333333333333331</v>
      </c>
      <c r="Z4044" s="172">
        <f t="shared" si="1"/>
        <v>0.33333333333333331</v>
      </c>
      <c r="AA4044" s="195"/>
      <c r="AB4044" s="172"/>
    </row>
    <row r="4045" spans="1:28" ht="12.75" customHeight="1" x14ac:dyDescent="0.3">
      <c r="A4045" s="161">
        <v>45</v>
      </c>
      <c r="B4045" s="160" t="s">
        <v>1944</v>
      </c>
      <c r="C4045" s="160" t="s">
        <v>1707</v>
      </c>
      <c r="D4045" s="160" t="s">
        <v>2408</v>
      </c>
      <c r="E4045" s="545"/>
      <c r="F4045" s="161">
        <v>178</v>
      </c>
      <c r="G4045" s="161">
        <v>-33</v>
      </c>
      <c r="H4045" s="191">
        <v>1.5E-6</v>
      </c>
      <c r="I4045" s="191">
        <v>76</v>
      </c>
      <c r="J4045" s="191"/>
      <c r="K4045" s="191">
        <v>6.3E-3</v>
      </c>
      <c r="L4045" s="191"/>
      <c r="M4045" s="191"/>
      <c r="N4045" s="191"/>
      <c r="O4045" s="191"/>
      <c r="P4045" s="191"/>
      <c r="Q4045" s="191">
        <v>5.5000000000000002E-5</v>
      </c>
      <c r="R4045" s="191">
        <v>5.3000000000000003E-10</v>
      </c>
      <c r="S4045" s="191"/>
      <c r="T4045" s="191">
        <v>6.7999999999999995E-7</v>
      </c>
      <c r="U4045" s="439"/>
      <c r="V4045" s="439"/>
      <c r="W4045" s="178">
        <v>30000</v>
      </c>
      <c r="X4045" s="172">
        <f t="shared" si="1"/>
        <v>0.33333333333333331</v>
      </c>
      <c r="Y4045" s="172">
        <f t="shared" si="1"/>
        <v>0.33333333333333331</v>
      </c>
      <c r="Z4045" s="172">
        <f t="shared" si="1"/>
        <v>0.33333333333333331</v>
      </c>
      <c r="AA4045" s="195"/>
      <c r="AB4045" s="172"/>
    </row>
    <row r="4046" spans="1:28" ht="12.75" customHeight="1" x14ac:dyDescent="0.3">
      <c r="A4046" s="161">
        <v>46</v>
      </c>
      <c r="B4046" s="160" t="s">
        <v>1783</v>
      </c>
      <c r="C4046" s="160" t="s">
        <v>1617</v>
      </c>
      <c r="D4046" s="160" t="s">
        <v>2408</v>
      </c>
      <c r="E4046" s="545"/>
      <c r="F4046" s="161">
        <v>341</v>
      </c>
      <c r="G4046" s="161">
        <v>125</v>
      </c>
      <c r="H4046" s="191">
        <v>4.5E-11</v>
      </c>
      <c r="I4046" s="191">
        <v>10</v>
      </c>
      <c r="J4046" s="191"/>
      <c r="K4046" s="191">
        <v>580000</v>
      </c>
      <c r="L4046" s="191"/>
      <c r="M4046" s="191"/>
      <c r="N4046" s="191"/>
      <c r="O4046" s="191"/>
      <c r="P4046" s="191"/>
      <c r="Q4046" s="191"/>
      <c r="R4046" s="191">
        <v>5.3000000000000003E-10</v>
      </c>
      <c r="S4046" s="191"/>
      <c r="T4046" s="191"/>
      <c r="U4046" s="439"/>
      <c r="V4046" s="439"/>
      <c r="W4046" s="178">
        <v>30000</v>
      </c>
      <c r="X4046" s="172">
        <f t="shared" si="1"/>
        <v>0.33333333333333331</v>
      </c>
      <c r="Y4046" s="172">
        <f t="shared" si="1"/>
        <v>0.33333333333333331</v>
      </c>
      <c r="Z4046" s="172">
        <f t="shared" si="1"/>
        <v>0.33333333333333331</v>
      </c>
      <c r="AA4046" s="195"/>
      <c r="AB4046" s="172"/>
    </row>
    <row r="4047" spans="1:28" ht="12.75" customHeight="1" x14ac:dyDescent="0.3">
      <c r="A4047" s="161">
        <v>47</v>
      </c>
      <c r="B4047" s="160" t="s">
        <v>1963</v>
      </c>
      <c r="C4047" s="160" t="s">
        <v>1630</v>
      </c>
      <c r="D4047" s="160" t="s">
        <v>2408</v>
      </c>
      <c r="E4047" s="545"/>
      <c r="F4047" s="161">
        <v>58</v>
      </c>
      <c r="G4047" s="161">
        <v>-110</v>
      </c>
      <c r="H4047" s="191">
        <v>44000</v>
      </c>
      <c r="I4047" s="191">
        <v>400000</v>
      </c>
      <c r="J4047" s="191"/>
      <c r="K4047" s="191">
        <v>0.8</v>
      </c>
      <c r="L4047" s="191"/>
      <c r="M4047" s="191"/>
      <c r="N4047" s="191"/>
      <c r="O4047" s="191"/>
      <c r="P4047" s="191"/>
      <c r="Q4047" s="191">
        <v>5.2E-7</v>
      </c>
      <c r="R4047" s="191">
        <v>5.3000000000000003E-10</v>
      </c>
      <c r="S4047" s="191"/>
      <c r="T4047" s="191">
        <v>2.7000000000000001E-7</v>
      </c>
      <c r="U4047" s="439"/>
      <c r="V4047" s="439"/>
      <c r="W4047" s="178">
        <v>30000</v>
      </c>
      <c r="X4047" s="172">
        <f t="shared" si="1"/>
        <v>0.33333333333333331</v>
      </c>
      <c r="Y4047" s="172">
        <f t="shared" si="1"/>
        <v>0.33333333333333331</v>
      </c>
      <c r="Z4047" s="172">
        <f t="shared" si="1"/>
        <v>0.33333333333333331</v>
      </c>
      <c r="AA4047" s="195"/>
      <c r="AB4047" s="172"/>
    </row>
    <row r="4048" spans="1:28" ht="12.75" customHeight="1" x14ac:dyDescent="0.3">
      <c r="A4048" s="161">
        <v>48</v>
      </c>
      <c r="B4048" s="160" t="s">
        <v>854</v>
      </c>
      <c r="C4048" s="160" t="s">
        <v>853</v>
      </c>
      <c r="D4048" s="160" t="s">
        <v>2408</v>
      </c>
      <c r="E4048" s="545"/>
      <c r="F4048" s="161">
        <v>147</v>
      </c>
      <c r="G4048" s="161">
        <v>-15</v>
      </c>
      <c r="H4048" s="191">
        <v>490</v>
      </c>
      <c r="I4048" s="191">
        <v>2000</v>
      </c>
      <c r="J4048" s="191"/>
      <c r="K4048" s="191">
        <v>99</v>
      </c>
      <c r="L4048" s="191"/>
      <c r="M4048" s="191"/>
      <c r="N4048" s="191"/>
      <c r="O4048" s="191"/>
      <c r="P4048" s="191"/>
      <c r="Q4048" s="191"/>
      <c r="R4048" s="191">
        <v>5.3000000000000003E-10</v>
      </c>
      <c r="S4048" s="191"/>
      <c r="T4048" s="191"/>
      <c r="U4048" s="439"/>
      <c r="V4048" s="439"/>
      <c r="W4048" s="178">
        <v>30000</v>
      </c>
      <c r="X4048" s="172">
        <f t="shared" si="1"/>
        <v>0.33333333333333331</v>
      </c>
      <c r="Y4048" s="172">
        <f t="shared" si="1"/>
        <v>0.33333333333333331</v>
      </c>
      <c r="Z4048" s="172">
        <f t="shared" si="1"/>
        <v>0.33333333333333331</v>
      </c>
      <c r="AA4048" s="195"/>
      <c r="AB4048" s="172"/>
    </row>
    <row r="4049" spans="1:28" ht="12.75" customHeight="1" x14ac:dyDescent="0.3">
      <c r="A4049" s="161">
        <v>49</v>
      </c>
      <c r="B4049" s="160" t="s">
        <v>1822</v>
      </c>
      <c r="C4049" s="160" t="s">
        <v>1660</v>
      </c>
      <c r="D4049" s="160" t="s">
        <v>2408</v>
      </c>
      <c r="E4049" s="545"/>
      <c r="F4049" s="161">
        <v>102</v>
      </c>
      <c r="G4049" s="161">
        <v>-86</v>
      </c>
      <c r="H4049" s="191">
        <v>16000</v>
      </c>
      <c r="I4049" s="191">
        <v>11000</v>
      </c>
      <c r="J4049" s="191"/>
      <c r="K4049" s="191">
        <v>33</v>
      </c>
      <c r="L4049" s="191"/>
      <c r="M4049" s="191"/>
      <c r="N4049" s="191"/>
      <c r="O4049" s="191"/>
      <c r="P4049" s="191"/>
      <c r="Q4049" s="191">
        <v>2.4000000000000001E-5</v>
      </c>
      <c r="R4049" s="191">
        <v>5.3000000000000003E-10</v>
      </c>
      <c r="S4049" s="191"/>
      <c r="T4049" s="191">
        <v>1.1999999999999999E-7</v>
      </c>
      <c r="U4049" s="439"/>
      <c r="V4049" s="439"/>
      <c r="W4049" s="178">
        <v>30000</v>
      </c>
      <c r="X4049" s="172">
        <f t="shared" si="1"/>
        <v>0.33333333333333331</v>
      </c>
      <c r="Y4049" s="172">
        <f t="shared" si="1"/>
        <v>0.33333333333333331</v>
      </c>
      <c r="Z4049" s="172">
        <f t="shared" si="1"/>
        <v>0.33333333333333331</v>
      </c>
      <c r="AA4049" s="195"/>
      <c r="AB4049" s="172"/>
    </row>
    <row r="4050" spans="1:28" ht="12.75" customHeight="1" x14ac:dyDescent="0.3">
      <c r="A4050" s="161">
        <v>50</v>
      </c>
      <c r="B4050" s="160" t="s">
        <v>1823</v>
      </c>
      <c r="C4050" s="160" t="s">
        <v>1576</v>
      </c>
      <c r="D4050" s="160" t="s">
        <v>2408</v>
      </c>
      <c r="E4050" s="545"/>
      <c r="F4050" s="161">
        <v>110</v>
      </c>
      <c r="G4050" s="161">
        <v>110</v>
      </c>
      <c r="H4050" s="191">
        <v>2.7E-2</v>
      </c>
      <c r="I4050" s="191">
        <v>1400000</v>
      </c>
      <c r="J4050" s="191"/>
      <c r="K4050" s="191">
        <v>7.7</v>
      </c>
      <c r="L4050" s="191"/>
      <c r="M4050" s="191"/>
      <c r="N4050" s="191"/>
      <c r="O4050" s="191"/>
      <c r="P4050" s="191"/>
      <c r="Q4050" s="191">
        <v>5.0000000000000002E-5</v>
      </c>
      <c r="R4050" s="191">
        <v>5.2999999999999998E-8</v>
      </c>
      <c r="S4050" s="191"/>
      <c r="T4050" s="191">
        <v>4.5000000000000001E-6</v>
      </c>
      <c r="U4050" s="439"/>
      <c r="V4050" s="439"/>
      <c r="W4050" s="178">
        <v>30000</v>
      </c>
      <c r="X4050" s="172">
        <f t="shared" si="1"/>
        <v>0.33333333333333331</v>
      </c>
      <c r="Y4050" s="172">
        <f t="shared" si="1"/>
        <v>0.33333333333333331</v>
      </c>
      <c r="Z4050" s="172">
        <f t="shared" si="1"/>
        <v>0.33333333333333331</v>
      </c>
      <c r="AA4050" s="195"/>
      <c r="AB4050" s="172"/>
    </row>
    <row r="4051" spans="1:28" ht="12.75" customHeight="1" x14ac:dyDescent="0.3">
      <c r="A4051" s="161">
        <v>51</v>
      </c>
      <c r="B4051" s="160" t="s">
        <v>1815</v>
      </c>
      <c r="C4051" s="160" t="s">
        <v>1723</v>
      </c>
      <c r="D4051" s="160" t="s">
        <v>2408</v>
      </c>
      <c r="E4051" s="545"/>
      <c r="F4051" s="161">
        <v>88</v>
      </c>
      <c r="G4051" s="161">
        <v>-46</v>
      </c>
      <c r="H4051" s="191">
        <v>200</v>
      </c>
      <c r="I4051" s="191">
        <v>210000</v>
      </c>
      <c r="J4051" s="191"/>
      <c r="K4051" s="191">
        <v>7.6</v>
      </c>
      <c r="L4051" s="191"/>
      <c r="M4051" s="191"/>
      <c r="N4051" s="191"/>
      <c r="O4051" s="191"/>
      <c r="P4051" s="191"/>
      <c r="Q4051" s="191">
        <v>2.5000000000000002E-6</v>
      </c>
      <c r="R4051" s="191">
        <v>5.3000000000000003E-10</v>
      </c>
      <c r="S4051" s="191"/>
      <c r="T4051" s="191">
        <v>1.1999999999999999E-6</v>
      </c>
      <c r="U4051" s="439"/>
      <c r="V4051" s="439"/>
      <c r="W4051" s="178">
        <v>30000</v>
      </c>
      <c r="X4051" s="172">
        <f t="shared" si="1"/>
        <v>0.33333333333333331</v>
      </c>
      <c r="Y4051" s="172">
        <f t="shared" si="1"/>
        <v>0.33333333333333331</v>
      </c>
      <c r="Z4051" s="172">
        <f t="shared" si="1"/>
        <v>0.33333333333333331</v>
      </c>
      <c r="AA4051" s="195"/>
      <c r="AB4051" s="172"/>
    </row>
    <row r="4052" spans="1:28" ht="12.75" customHeight="1" x14ac:dyDescent="0.3">
      <c r="A4052" s="161">
        <v>52</v>
      </c>
      <c r="B4052" s="160" t="s">
        <v>1762</v>
      </c>
      <c r="C4052" s="160" t="s">
        <v>1972</v>
      </c>
      <c r="D4052" s="160" t="s">
        <v>2408</v>
      </c>
      <c r="E4052" s="545"/>
      <c r="F4052" s="161">
        <v>148</v>
      </c>
      <c r="G4052" s="161">
        <v>-61</v>
      </c>
      <c r="H4052" s="191">
        <v>400</v>
      </c>
      <c r="I4052" s="191">
        <v>1300</v>
      </c>
      <c r="J4052" s="191"/>
      <c r="K4052" s="191">
        <v>16</v>
      </c>
      <c r="L4052" s="191"/>
      <c r="M4052" s="191"/>
      <c r="N4052" s="191"/>
      <c r="O4052" s="191"/>
      <c r="P4052" s="191"/>
      <c r="Q4052" s="191"/>
      <c r="R4052" s="191">
        <v>5.2999999999999998E-8</v>
      </c>
      <c r="S4052" s="191"/>
      <c r="T4052" s="191"/>
      <c r="U4052" s="439"/>
      <c r="V4052" s="439"/>
      <c r="W4052" s="178">
        <v>30000</v>
      </c>
      <c r="X4052" s="172">
        <f t="shared" si="1"/>
        <v>0.33333333333333331</v>
      </c>
      <c r="Y4052" s="172">
        <f t="shared" si="1"/>
        <v>0.33333333333333331</v>
      </c>
      <c r="Z4052" s="172">
        <f t="shared" si="1"/>
        <v>0.33333333333333331</v>
      </c>
      <c r="AA4052" s="195"/>
      <c r="AB4052" s="172"/>
    </row>
    <row r="4053" spans="1:28" ht="12.75" customHeight="1" x14ac:dyDescent="0.3">
      <c r="A4053" s="161">
        <v>53</v>
      </c>
      <c r="B4053" s="160" t="s">
        <v>1922</v>
      </c>
      <c r="C4053" s="160" t="s">
        <v>1999</v>
      </c>
      <c r="D4053" s="160" t="s">
        <v>2408</v>
      </c>
      <c r="E4053" s="545"/>
      <c r="F4053" s="161">
        <v>330</v>
      </c>
      <c r="G4053" s="161">
        <v>64</v>
      </c>
      <c r="H4053" s="191">
        <v>3.8E-6</v>
      </c>
      <c r="I4053" s="191">
        <v>0.2</v>
      </c>
      <c r="J4053" s="191"/>
      <c r="K4053" s="191">
        <v>400000</v>
      </c>
      <c r="L4053" s="191"/>
      <c r="M4053" s="191"/>
      <c r="N4053" s="191"/>
      <c r="O4053" s="191"/>
      <c r="P4053" s="191"/>
      <c r="Q4053" s="191"/>
      <c r="R4053" s="191">
        <v>5.3000000000000003E-10</v>
      </c>
      <c r="S4053" s="191"/>
      <c r="T4053" s="191"/>
      <c r="U4053" s="439"/>
      <c r="V4053" s="439"/>
      <c r="W4053" s="178">
        <v>30000</v>
      </c>
      <c r="X4053" s="172">
        <f t="shared" si="1"/>
        <v>0.33333333333333331</v>
      </c>
      <c r="Y4053" s="172">
        <f t="shared" si="1"/>
        <v>0.33333333333333331</v>
      </c>
      <c r="Z4053" s="172">
        <f t="shared" si="1"/>
        <v>0.33333333333333331</v>
      </c>
      <c r="AA4053" s="195"/>
      <c r="AB4053" s="172"/>
    </row>
    <row r="4054" spans="1:28" ht="12.75" customHeight="1" x14ac:dyDescent="0.3">
      <c r="A4054" s="161">
        <v>54</v>
      </c>
      <c r="B4054" s="160" t="s">
        <v>1910</v>
      </c>
      <c r="C4054" s="160" t="s">
        <v>1653</v>
      </c>
      <c r="D4054" s="160" t="s">
        <v>2408</v>
      </c>
      <c r="E4054" s="545"/>
      <c r="F4054" s="161">
        <v>184</v>
      </c>
      <c r="G4054" s="161">
        <v>-90</v>
      </c>
      <c r="H4054" s="191">
        <v>10</v>
      </c>
      <c r="I4054" s="191">
        <v>100</v>
      </c>
      <c r="J4054" s="191"/>
      <c r="K4054" s="191">
        <v>44000</v>
      </c>
      <c r="L4054" s="191"/>
      <c r="M4054" s="191"/>
      <c r="N4054" s="191"/>
      <c r="O4054" s="191"/>
      <c r="P4054" s="191"/>
      <c r="Q4054" s="191"/>
      <c r="R4054" s="191">
        <v>5.3000000000000003E-10</v>
      </c>
      <c r="S4054" s="191"/>
      <c r="T4054" s="191"/>
      <c r="U4054" s="439"/>
      <c r="V4054" s="439"/>
      <c r="W4054" s="178">
        <v>30000</v>
      </c>
      <c r="X4054" s="172">
        <f t="shared" si="1"/>
        <v>0.33333333333333331</v>
      </c>
      <c r="Y4054" s="172">
        <f t="shared" si="1"/>
        <v>0.33333333333333331</v>
      </c>
      <c r="Z4054" s="172">
        <f t="shared" si="1"/>
        <v>0.33333333333333331</v>
      </c>
      <c r="AA4054" s="195"/>
      <c r="AB4054" s="172"/>
    </row>
    <row r="4055" spans="1:28" ht="12.75" customHeight="1" x14ac:dyDescent="0.3">
      <c r="A4055" s="161">
        <v>55</v>
      </c>
      <c r="B4055" s="160" t="s">
        <v>1926</v>
      </c>
      <c r="C4055" s="160" t="s">
        <v>12</v>
      </c>
      <c r="D4055" s="160" t="s">
        <v>2408</v>
      </c>
      <c r="E4055" s="545"/>
      <c r="F4055" s="161">
        <v>221</v>
      </c>
      <c r="G4055" s="161">
        <v>140</v>
      </c>
      <c r="H4055" s="191">
        <v>1.1E-5</v>
      </c>
      <c r="I4055" s="191">
        <v>310</v>
      </c>
      <c r="J4055" s="191"/>
      <c r="K4055" s="191">
        <v>510</v>
      </c>
      <c r="L4055" s="191"/>
      <c r="M4055" s="191"/>
      <c r="N4055" s="191"/>
      <c r="O4055" s="191"/>
      <c r="P4055" s="191"/>
      <c r="Q4055" s="191"/>
      <c r="R4055" s="191">
        <v>5.3000000000000001E-7</v>
      </c>
      <c r="S4055" s="191"/>
      <c r="T4055" s="191">
        <v>7.9999999999999996E-7</v>
      </c>
      <c r="U4055" s="439"/>
      <c r="V4055" s="439"/>
      <c r="W4055" s="178">
        <v>30000</v>
      </c>
      <c r="X4055" s="172">
        <f t="shared" si="1"/>
        <v>0.33333333333333331</v>
      </c>
      <c r="Y4055" s="172">
        <f t="shared" si="1"/>
        <v>0.33333333333333331</v>
      </c>
      <c r="Z4055" s="172">
        <f t="shared" si="1"/>
        <v>0.33333333333333331</v>
      </c>
      <c r="AA4055" s="195"/>
      <c r="AB4055" s="172"/>
    </row>
    <row r="4056" spans="1:28" ht="12.75" customHeight="1" x14ac:dyDescent="0.3">
      <c r="A4056" s="161">
        <v>56</v>
      </c>
      <c r="B4056" s="160" t="s">
        <v>1767</v>
      </c>
      <c r="C4056" s="160" t="s">
        <v>1974</v>
      </c>
      <c r="D4056" s="160" t="s">
        <v>2408</v>
      </c>
      <c r="E4056" s="545"/>
      <c r="F4056" s="161">
        <v>801</v>
      </c>
      <c r="G4056" s="161">
        <v>212</v>
      </c>
      <c r="H4056" s="191">
        <v>5.4000000000000001E-11</v>
      </c>
      <c r="I4056" s="191">
        <v>1000</v>
      </c>
      <c r="J4056" s="191"/>
      <c r="K4056" s="191">
        <v>100</v>
      </c>
      <c r="L4056" s="191"/>
      <c r="M4056" s="191"/>
      <c r="N4056" s="191"/>
      <c r="O4056" s="191"/>
      <c r="P4056" s="191"/>
      <c r="Q4056" s="191"/>
      <c r="R4056" s="191">
        <v>5.3000000000000003E-10</v>
      </c>
      <c r="S4056" s="191"/>
      <c r="T4056" s="191"/>
      <c r="U4056" s="439"/>
      <c r="V4056" s="439"/>
      <c r="W4056" s="178">
        <v>30000</v>
      </c>
      <c r="X4056" s="172">
        <f t="shared" si="1"/>
        <v>0.33333333333333331</v>
      </c>
      <c r="Y4056" s="172">
        <f t="shared" si="1"/>
        <v>0.33333333333333331</v>
      </c>
      <c r="Z4056" s="172">
        <f t="shared" si="1"/>
        <v>0.33333333333333331</v>
      </c>
      <c r="AA4056" s="195"/>
      <c r="AB4056" s="172"/>
    </row>
    <row r="4057" spans="1:28" ht="12.75" customHeight="1" x14ac:dyDescent="0.3">
      <c r="A4057" s="161">
        <v>57</v>
      </c>
      <c r="B4057" s="160" t="s">
        <v>1534</v>
      </c>
      <c r="C4057" s="160" t="s">
        <v>1533</v>
      </c>
      <c r="D4057" s="160" t="s">
        <v>2408</v>
      </c>
      <c r="E4057" s="545"/>
      <c r="F4057" s="161">
        <v>93</v>
      </c>
      <c r="G4057" s="161">
        <v>-6</v>
      </c>
      <c r="H4057" s="191">
        <v>40</v>
      </c>
      <c r="I4057" s="191">
        <v>36000</v>
      </c>
      <c r="J4057" s="191"/>
      <c r="K4057" s="191">
        <v>8</v>
      </c>
      <c r="L4057" s="191"/>
      <c r="M4057" s="191"/>
      <c r="N4057" s="191"/>
      <c r="O4057" s="191"/>
      <c r="P4057" s="191"/>
      <c r="Q4057" s="191"/>
      <c r="R4057" s="191">
        <v>5.3000000000000001E-7</v>
      </c>
      <c r="S4057" s="191"/>
      <c r="T4057" s="191"/>
      <c r="U4057" s="439"/>
      <c r="V4057" s="439"/>
      <c r="W4057" s="178">
        <v>30000</v>
      </c>
      <c r="X4057" s="172">
        <f t="shared" si="1"/>
        <v>0.33333333333333331</v>
      </c>
      <c r="Y4057" s="172">
        <f t="shared" si="1"/>
        <v>0.33333333333333331</v>
      </c>
      <c r="Z4057" s="172">
        <f t="shared" si="1"/>
        <v>0.33333333333333331</v>
      </c>
      <c r="AA4057" s="195"/>
      <c r="AB4057" s="172"/>
    </row>
    <row r="4058" spans="1:28" ht="12.75" customHeight="1" x14ac:dyDescent="0.3">
      <c r="A4058" s="161">
        <v>58</v>
      </c>
      <c r="B4058" s="160" t="s">
        <v>1862</v>
      </c>
      <c r="C4058" s="160" t="s">
        <v>1654</v>
      </c>
      <c r="D4058" s="160" t="s">
        <v>2408</v>
      </c>
      <c r="E4058" s="545"/>
      <c r="F4058" s="161">
        <v>121</v>
      </c>
      <c r="G4058" s="161"/>
      <c r="H4058" s="191">
        <v>1.4</v>
      </c>
      <c r="I4058" s="191">
        <v>1600</v>
      </c>
      <c r="J4058" s="191"/>
      <c r="K4058" s="191">
        <v>150</v>
      </c>
      <c r="L4058" s="191"/>
      <c r="M4058" s="191"/>
      <c r="N4058" s="191"/>
      <c r="O4058" s="191"/>
      <c r="P4058" s="191"/>
      <c r="Q4058" s="191"/>
      <c r="R4058" s="191">
        <v>5.3000000000000003E-10</v>
      </c>
      <c r="S4058" s="191"/>
      <c r="T4058" s="191"/>
      <c r="U4058" s="439"/>
      <c r="V4058" s="439"/>
      <c r="W4058" s="178">
        <v>30000</v>
      </c>
      <c r="X4058" s="172">
        <f t="shared" si="1"/>
        <v>0.33333333333333331</v>
      </c>
      <c r="Y4058" s="172">
        <f t="shared" si="1"/>
        <v>0.33333333333333331</v>
      </c>
      <c r="Z4058" s="172">
        <f t="shared" si="1"/>
        <v>0.33333333333333331</v>
      </c>
      <c r="AA4058" s="195"/>
      <c r="AB4058" s="172"/>
    </row>
    <row r="4059" spans="1:28" ht="12.75" customHeight="1" x14ac:dyDescent="0.3">
      <c r="A4059" s="161">
        <v>59</v>
      </c>
      <c r="B4059" s="160" t="s">
        <v>905</v>
      </c>
      <c r="C4059" s="160" t="s">
        <v>904</v>
      </c>
      <c r="D4059" s="160" t="s">
        <v>2408</v>
      </c>
      <c r="E4059" s="545"/>
      <c r="F4059" s="161">
        <v>233</v>
      </c>
      <c r="G4059" s="161">
        <v>157</v>
      </c>
      <c r="H4059" s="191">
        <v>2.2999999999999999E-7</v>
      </c>
      <c r="I4059" s="191">
        <v>35</v>
      </c>
      <c r="J4059" s="191"/>
      <c r="K4059" s="191">
        <v>660</v>
      </c>
      <c r="L4059" s="191"/>
      <c r="M4059" s="191"/>
      <c r="N4059" s="191"/>
      <c r="O4059" s="191"/>
      <c r="P4059" s="191"/>
      <c r="Q4059" s="191">
        <v>8.1999999999999994E-6</v>
      </c>
      <c r="R4059" s="191">
        <v>5.3000000000000003E-10</v>
      </c>
      <c r="S4059" s="191"/>
      <c r="T4059" s="191">
        <v>1.1999999999999999E-7</v>
      </c>
      <c r="U4059" s="439"/>
      <c r="V4059" s="439"/>
      <c r="W4059" s="178">
        <v>30000</v>
      </c>
      <c r="X4059" s="172">
        <f t="shared" si="1"/>
        <v>0.33333333333333331</v>
      </c>
      <c r="Y4059" s="172">
        <f t="shared" si="1"/>
        <v>0.33333333333333331</v>
      </c>
      <c r="Z4059" s="172">
        <f t="shared" si="1"/>
        <v>0.33333333333333331</v>
      </c>
      <c r="AA4059" s="195"/>
      <c r="AB4059" s="172"/>
    </row>
    <row r="4060" spans="1:28" ht="12.75" customHeight="1" x14ac:dyDescent="0.3">
      <c r="A4060" s="161">
        <v>60</v>
      </c>
      <c r="B4060" s="160" t="s">
        <v>1877</v>
      </c>
      <c r="C4060" s="160" t="s">
        <v>1990</v>
      </c>
      <c r="D4060" s="160" t="s">
        <v>2408</v>
      </c>
      <c r="E4060" s="545"/>
      <c r="F4060" s="161">
        <v>281</v>
      </c>
      <c r="G4060" s="161">
        <v>277</v>
      </c>
      <c r="H4060" s="191">
        <v>1.2000000000000001E-11</v>
      </c>
      <c r="I4060" s="191">
        <v>3500</v>
      </c>
      <c r="J4060" s="191"/>
      <c r="K4060" s="191">
        <v>0.54</v>
      </c>
      <c r="L4060" s="191"/>
      <c r="M4060" s="191"/>
      <c r="N4060" s="191"/>
      <c r="O4060" s="191"/>
      <c r="P4060" s="191"/>
      <c r="Q4060" s="191"/>
      <c r="R4060" s="191">
        <v>5.3000000000000003E-10</v>
      </c>
      <c r="S4060" s="191"/>
      <c r="T4060" s="191"/>
      <c r="U4060" s="439"/>
      <c r="V4060" s="439"/>
      <c r="W4060" s="178">
        <v>30000</v>
      </c>
      <c r="X4060" s="172">
        <f t="shared" si="1"/>
        <v>0.33333333333333331</v>
      </c>
      <c r="Y4060" s="172">
        <f t="shared" si="1"/>
        <v>0.33333333333333331</v>
      </c>
      <c r="Z4060" s="172">
        <f t="shared" si="1"/>
        <v>0.33333333333333331</v>
      </c>
      <c r="AA4060" s="195"/>
      <c r="AB4060" s="172"/>
    </row>
    <row r="4061" spans="1:28" ht="12.75" customHeight="1" x14ac:dyDescent="0.3">
      <c r="A4061" s="161">
        <v>61</v>
      </c>
      <c r="B4061" s="160" t="s">
        <v>1917</v>
      </c>
      <c r="C4061" s="160" t="s">
        <v>1641</v>
      </c>
      <c r="D4061" s="160" t="s">
        <v>2408</v>
      </c>
      <c r="E4061" s="545"/>
      <c r="F4061" s="161">
        <v>138</v>
      </c>
      <c r="G4061" s="161">
        <v>55</v>
      </c>
      <c r="H4061" s="191">
        <v>1.1000000000000001</v>
      </c>
      <c r="I4061" s="191">
        <v>830</v>
      </c>
      <c r="J4061" s="191"/>
      <c r="K4061" s="191">
        <v>110</v>
      </c>
      <c r="L4061" s="191"/>
      <c r="M4061" s="191"/>
      <c r="N4061" s="191"/>
      <c r="O4061" s="191"/>
      <c r="P4061" s="191"/>
      <c r="Q4061" s="191"/>
      <c r="R4061" s="191">
        <v>5.3000000000000003E-10</v>
      </c>
      <c r="S4061" s="191"/>
      <c r="T4061" s="191"/>
      <c r="U4061" s="439"/>
      <c r="V4061" s="439"/>
      <c r="W4061" s="178">
        <v>30000</v>
      </c>
      <c r="X4061" s="172">
        <f t="shared" si="1"/>
        <v>0.33333333333333331</v>
      </c>
      <c r="Y4061" s="172">
        <f t="shared" si="1"/>
        <v>0.33333333333333331</v>
      </c>
      <c r="Z4061" s="172">
        <f t="shared" si="1"/>
        <v>0.33333333333333331</v>
      </c>
      <c r="AA4061" s="195"/>
      <c r="AB4061" s="172"/>
    </row>
    <row r="4062" spans="1:28" ht="12.75" customHeight="1" x14ac:dyDescent="0.3">
      <c r="A4062" s="161">
        <v>62</v>
      </c>
      <c r="B4062" s="160" t="s">
        <v>902</v>
      </c>
      <c r="C4062" s="160" t="s">
        <v>901</v>
      </c>
      <c r="D4062" s="160" t="s">
        <v>2408</v>
      </c>
      <c r="E4062" s="545"/>
      <c r="F4062" s="161">
        <v>166</v>
      </c>
      <c r="G4062" s="161">
        <v>-21</v>
      </c>
      <c r="H4062" s="191">
        <v>1800</v>
      </c>
      <c r="I4062" s="191">
        <v>160</v>
      </c>
      <c r="J4062" s="191"/>
      <c r="K4062" s="191">
        <v>920</v>
      </c>
      <c r="L4062" s="191"/>
      <c r="M4062" s="191"/>
      <c r="N4062" s="191"/>
      <c r="O4062" s="191"/>
      <c r="P4062" s="191"/>
      <c r="Q4062" s="191">
        <v>2.3999999999999998E-7</v>
      </c>
      <c r="R4062" s="191">
        <v>5.3000000000000003E-10</v>
      </c>
      <c r="S4062" s="191"/>
      <c r="T4062" s="191">
        <v>4.1000000000000003E-8</v>
      </c>
      <c r="U4062" s="439"/>
      <c r="V4062" s="439"/>
      <c r="W4062" s="178">
        <v>30000</v>
      </c>
      <c r="X4062" s="172">
        <f t="shared" si="1"/>
        <v>0.33333333333333331</v>
      </c>
      <c r="Y4062" s="172">
        <f t="shared" si="1"/>
        <v>0.33333333333333331</v>
      </c>
      <c r="Z4062" s="172">
        <f t="shared" si="1"/>
        <v>0.33333333333333331</v>
      </c>
      <c r="AA4062" s="195"/>
      <c r="AB4062" s="172"/>
    </row>
    <row r="4063" spans="1:28" ht="12.75" customHeight="1" x14ac:dyDescent="0.3">
      <c r="A4063" s="161">
        <v>63</v>
      </c>
      <c r="B4063" s="160" t="s">
        <v>1814</v>
      </c>
      <c r="C4063" s="160" t="s">
        <v>1600</v>
      </c>
      <c r="D4063" s="160" t="s">
        <v>2408</v>
      </c>
      <c r="E4063" s="545"/>
      <c r="F4063" s="161">
        <v>72</v>
      </c>
      <c r="G4063" s="161">
        <v>-59</v>
      </c>
      <c r="H4063" s="191">
        <v>19000</v>
      </c>
      <c r="I4063" s="191">
        <v>75000</v>
      </c>
      <c r="J4063" s="191"/>
      <c r="K4063" s="191">
        <v>5.9</v>
      </c>
      <c r="L4063" s="191"/>
      <c r="M4063" s="191"/>
      <c r="N4063" s="191"/>
      <c r="O4063" s="191"/>
      <c r="P4063" s="191"/>
      <c r="Q4063" s="191">
        <v>2.0000000000000002E-5</v>
      </c>
      <c r="R4063" s="191">
        <v>5.3000000000000003E-10</v>
      </c>
      <c r="S4063" s="191"/>
      <c r="T4063" s="191">
        <v>1.3999999999999999E-6</v>
      </c>
      <c r="U4063" s="439"/>
      <c r="V4063" s="439"/>
      <c r="W4063" s="178">
        <v>30000</v>
      </c>
      <c r="X4063" s="172">
        <f t="shared" si="1"/>
        <v>0.33333333333333331</v>
      </c>
      <c r="Y4063" s="172">
        <f t="shared" si="1"/>
        <v>0.33333333333333331</v>
      </c>
      <c r="Z4063" s="172">
        <f t="shared" si="1"/>
        <v>0.33333333333333331</v>
      </c>
      <c r="AA4063" s="195"/>
      <c r="AB4063" s="172"/>
    </row>
    <row r="4064" spans="1:28" ht="12.75" customHeight="1" x14ac:dyDescent="0.3">
      <c r="A4064" s="161">
        <v>64</v>
      </c>
      <c r="B4064" s="160" t="s">
        <v>1759</v>
      </c>
      <c r="C4064" s="160" t="s">
        <v>1669</v>
      </c>
      <c r="D4064" s="160" t="s">
        <v>2408</v>
      </c>
      <c r="E4064" s="545"/>
      <c r="F4064" s="161">
        <v>103</v>
      </c>
      <c r="G4064" s="161">
        <v>-39</v>
      </c>
      <c r="H4064" s="191">
        <v>7.4</v>
      </c>
      <c r="I4064" s="191">
        <v>26</v>
      </c>
      <c r="J4064" s="191"/>
      <c r="K4064" s="191">
        <v>0.05</v>
      </c>
      <c r="L4064" s="191"/>
      <c r="M4064" s="191"/>
      <c r="N4064" s="191"/>
      <c r="O4064" s="191"/>
      <c r="P4064" s="191"/>
      <c r="Q4064" s="191"/>
      <c r="R4064" s="191">
        <v>5.3000000000000003E-10</v>
      </c>
      <c r="S4064" s="191"/>
      <c r="T4064" s="191"/>
      <c r="U4064" s="439"/>
      <c r="V4064" s="439"/>
      <c r="W4064" s="178">
        <v>30000</v>
      </c>
      <c r="X4064" s="172">
        <f t="shared" si="1"/>
        <v>0.33333333333333331</v>
      </c>
      <c r="Y4064" s="172">
        <f t="shared" si="1"/>
        <v>0.33333333333333331</v>
      </c>
      <c r="Z4064" s="172">
        <f t="shared" si="1"/>
        <v>0.33333333333333331</v>
      </c>
      <c r="AA4064" s="195"/>
      <c r="AB4064" s="172"/>
    </row>
    <row r="4065" spans="1:28" ht="12.75" customHeight="1" x14ac:dyDescent="0.3">
      <c r="A4065" s="161">
        <v>65</v>
      </c>
      <c r="B4065" s="160" t="s">
        <v>455</v>
      </c>
      <c r="C4065" s="160">
        <v>28861</v>
      </c>
      <c r="D4065" s="160" t="s">
        <v>2408</v>
      </c>
      <c r="E4065" s="545"/>
      <c r="F4065" s="161">
        <v>132</v>
      </c>
      <c r="G4065" s="161">
        <v>-81</v>
      </c>
      <c r="H4065" s="191">
        <v>7700</v>
      </c>
      <c r="I4065" s="191">
        <v>1100</v>
      </c>
      <c r="J4065" s="191"/>
      <c r="K4065" s="191">
        <v>200</v>
      </c>
      <c r="L4065" s="191"/>
      <c r="M4065" s="191"/>
      <c r="N4065" s="191"/>
      <c r="O4065" s="191"/>
      <c r="P4065" s="191"/>
      <c r="Q4065" s="191">
        <v>4.8999999999999997E-6</v>
      </c>
      <c r="R4065" s="191">
        <v>5.3000000000000003E-10</v>
      </c>
      <c r="S4065" s="191"/>
      <c r="T4065" s="191">
        <v>2.8000000000000002E-7</v>
      </c>
      <c r="U4065" s="439"/>
      <c r="V4065" s="439"/>
      <c r="W4065" s="178">
        <v>30000</v>
      </c>
      <c r="X4065" s="172">
        <f t="shared" si="1"/>
        <v>0.33333333333333331</v>
      </c>
      <c r="Y4065" s="172">
        <f t="shared" si="1"/>
        <v>0.33333333333333331</v>
      </c>
      <c r="Z4065" s="172">
        <f t="shared" si="1"/>
        <v>0.33333333333333331</v>
      </c>
      <c r="AA4065" s="195"/>
      <c r="AB4065" s="172"/>
    </row>
    <row r="4066" spans="1:28" ht="12.75" customHeight="1" x14ac:dyDescent="0.3">
      <c r="A4066" s="161">
        <v>66</v>
      </c>
      <c r="B4066" s="160" t="s">
        <v>1909</v>
      </c>
      <c r="C4066" s="160" t="s">
        <v>1648</v>
      </c>
      <c r="D4066" s="160" t="s">
        <v>2408</v>
      </c>
      <c r="E4066" s="545"/>
      <c r="F4066" s="161">
        <v>139</v>
      </c>
      <c r="G4066" s="161">
        <v>113</v>
      </c>
      <c r="H4066" s="191">
        <v>5.4000000000000003E-3</v>
      </c>
      <c r="I4066" s="191">
        <v>15000</v>
      </c>
      <c r="J4066" s="191"/>
      <c r="K4066" s="191">
        <v>89</v>
      </c>
      <c r="L4066" s="191"/>
      <c r="M4066" s="191"/>
      <c r="N4066" s="191"/>
      <c r="O4066" s="191"/>
      <c r="P4066" s="191"/>
      <c r="Q4066" s="191"/>
      <c r="R4066" s="191">
        <v>5.3000000000000003E-10</v>
      </c>
      <c r="S4066" s="191"/>
      <c r="T4066" s="191"/>
      <c r="U4066" s="439"/>
      <c r="V4066" s="439"/>
      <c r="W4066" s="178">
        <v>30000</v>
      </c>
      <c r="X4066" s="172">
        <f t="shared" ref="X4066:Z4129" si="3">1/3</f>
        <v>0.33333333333333331</v>
      </c>
      <c r="Y4066" s="172">
        <f t="shared" si="3"/>
        <v>0.33333333333333331</v>
      </c>
      <c r="Z4066" s="172">
        <f t="shared" si="3"/>
        <v>0.33333333333333331</v>
      </c>
      <c r="AA4066" s="195"/>
      <c r="AB4066" s="172"/>
    </row>
    <row r="4067" spans="1:28" ht="12.75" customHeight="1" x14ac:dyDescent="0.3">
      <c r="A4067" s="161">
        <v>67</v>
      </c>
      <c r="B4067" s="160" t="s">
        <v>1791</v>
      </c>
      <c r="C4067" s="160" t="s">
        <v>1978</v>
      </c>
      <c r="D4067" s="160" t="s">
        <v>2408</v>
      </c>
      <c r="E4067" s="545"/>
      <c r="F4067" s="161">
        <v>223</v>
      </c>
      <c r="G4067" s="161">
        <v>260</v>
      </c>
      <c r="H4067" s="191">
        <v>9.9999999999999995E-8</v>
      </c>
      <c r="I4067" s="191">
        <v>20</v>
      </c>
      <c r="J4067" s="191"/>
      <c r="K4067" s="191">
        <v>160</v>
      </c>
      <c r="L4067" s="191"/>
      <c r="M4067" s="191"/>
      <c r="N4067" s="191"/>
      <c r="O4067" s="191"/>
      <c r="P4067" s="191"/>
      <c r="Q4067" s="191"/>
      <c r="R4067" s="191">
        <v>5.3000000000000003E-10</v>
      </c>
      <c r="S4067" s="191"/>
      <c r="T4067" s="191"/>
      <c r="U4067" s="439"/>
      <c r="V4067" s="439"/>
      <c r="W4067" s="178">
        <v>30000</v>
      </c>
      <c r="X4067" s="172">
        <f t="shared" si="3"/>
        <v>0.33333333333333331</v>
      </c>
      <c r="Y4067" s="172">
        <f t="shared" si="3"/>
        <v>0.33333333333333331</v>
      </c>
      <c r="Z4067" s="172">
        <f t="shared" si="3"/>
        <v>0.33333333333333331</v>
      </c>
      <c r="AA4067" s="195"/>
      <c r="AB4067" s="172"/>
    </row>
    <row r="4068" spans="1:28" ht="12.75" customHeight="1" x14ac:dyDescent="0.3">
      <c r="A4068" s="161">
        <v>68</v>
      </c>
      <c r="B4068" s="160" t="s">
        <v>1894</v>
      </c>
      <c r="C4068" s="160" t="s">
        <v>1684</v>
      </c>
      <c r="D4068" s="160" t="s">
        <v>2408</v>
      </c>
      <c r="E4068" s="545"/>
      <c r="F4068" s="161">
        <v>326</v>
      </c>
      <c r="G4068" s="161">
        <v>50</v>
      </c>
      <c r="H4068" s="191">
        <v>1.4999999999999999E-4</v>
      </c>
      <c r="I4068" s="191">
        <v>0.75</v>
      </c>
      <c r="J4068" s="191"/>
      <c r="K4068" s="191">
        <v>43000</v>
      </c>
      <c r="L4068" s="191"/>
      <c r="M4068" s="191"/>
      <c r="N4068" s="191"/>
      <c r="O4068" s="191"/>
      <c r="P4068" s="191"/>
      <c r="Q4068" s="191"/>
      <c r="R4068" s="191">
        <v>5.2999999999999998E-8</v>
      </c>
      <c r="S4068" s="191"/>
      <c r="T4068" s="191"/>
      <c r="U4068" s="439"/>
      <c r="V4068" s="439"/>
      <c r="W4068" s="178">
        <v>30000</v>
      </c>
      <c r="X4068" s="172">
        <f t="shared" si="3"/>
        <v>0.33333333333333331</v>
      </c>
      <c r="Y4068" s="172">
        <f t="shared" si="3"/>
        <v>0.33333333333333331</v>
      </c>
      <c r="Z4068" s="172">
        <f t="shared" si="3"/>
        <v>0.33333333333333331</v>
      </c>
      <c r="AA4068" s="195"/>
      <c r="AB4068" s="172"/>
    </row>
    <row r="4069" spans="1:28" ht="12.75" customHeight="1" x14ac:dyDescent="0.3">
      <c r="A4069" s="161">
        <v>69</v>
      </c>
      <c r="B4069" s="160" t="s">
        <v>1834</v>
      </c>
      <c r="C4069" s="160" t="s">
        <v>1709</v>
      </c>
      <c r="D4069" s="160" t="s">
        <v>2408</v>
      </c>
      <c r="E4069" s="545"/>
      <c r="F4069" s="161">
        <v>220</v>
      </c>
      <c r="G4069" s="161">
        <v>6</v>
      </c>
      <c r="H4069" s="191">
        <v>4.5999999999999999E-3</v>
      </c>
      <c r="I4069" s="191">
        <v>11</v>
      </c>
      <c r="J4069" s="191"/>
      <c r="K4069" s="191">
        <v>1900</v>
      </c>
      <c r="L4069" s="191"/>
      <c r="M4069" s="191"/>
      <c r="N4069" s="191"/>
      <c r="O4069" s="191"/>
      <c r="P4069" s="191"/>
      <c r="Q4069" s="191">
        <v>3.1999999999999999E-5</v>
      </c>
      <c r="R4069" s="191">
        <v>5.3000000000000003E-10</v>
      </c>
      <c r="S4069" s="191"/>
      <c r="T4069" s="191">
        <v>4.0000000000000001E-8</v>
      </c>
      <c r="U4069" s="439"/>
      <c r="V4069" s="439"/>
      <c r="W4069" s="178">
        <v>30000</v>
      </c>
      <c r="X4069" s="172">
        <f t="shared" si="3"/>
        <v>0.33333333333333331</v>
      </c>
      <c r="Y4069" s="172">
        <f t="shared" si="3"/>
        <v>0.33333333333333331</v>
      </c>
      <c r="Z4069" s="172">
        <f t="shared" si="3"/>
        <v>0.33333333333333331</v>
      </c>
      <c r="AA4069" s="195"/>
      <c r="AB4069" s="172"/>
    </row>
    <row r="4070" spans="1:28" ht="12.75" customHeight="1" x14ac:dyDescent="0.3">
      <c r="A4070" s="161">
        <v>70</v>
      </c>
      <c r="B4070" s="160" t="s">
        <v>1954</v>
      </c>
      <c r="C4070" s="160" t="s">
        <v>1731</v>
      </c>
      <c r="D4070" s="160" t="s">
        <v>2408</v>
      </c>
      <c r="E4070" s="545"/>
      <c r="F4070" s="161">
        <v>152</v>
      </c>
      <c r="G4070" s="161">
        <v>100</v>
      </c>
      <c r="H4070" s="191">
        <v>0.03</v>
      </c>
      <c r="I4070" s="191">
        <v>10000</v>
      </c>
      <c r="J4070" s="191"/>
      <c r="K4070" s="191">
        <v>1</v>
      </c>
      <c r="L4070" s="191"/>
      <c r="M4070" s="191"/>
      <c r="N4070" s="191"/>
      <c r="O4070" s="191"/>
      <c r="P4070" s="191"/>
      <c r="Q4070" s="191"/>
      <c r="R4070" s="191">
        <v>5.3000000000000003E-10</v>
      </c>
      <c r="S4070" s="191"/>
      <c r="T4070" s="191"/>
      <c r="U4070" s="439"/>
      <c r="V4070" s="439"/>
      <c r="W4070" s="178">
        <v>30000</v>
      </c>
      <c r="X4070" s="172">
        <f t="shared" si="3"/>
        <v>0.33333333333333331</v>
      </c>
      <c r="Y4070" s="172">
        <f t="shared" si="3"/>
        <v>0.33333333333333331</v>
      </c>
      <c r="Z4070" s="172">
        <f t="shared" si="3"/>
        <v>0.33333333333333331</v>
      </c>
      <c r="AA4070" s="195"/>
      <c r="AB4070" s="172"/>
    </row>
    <row r="4071" spans="1:28" ht="12.75" customHeight="1" x14ac:dyDescent="0.3">
      <c r="A4071" s="161">
        <v>71</v>
      </c>
      <c r="B4071" s="160" t="s">
        <v>1912</v>
      </c>
      <c r="C4071" s="160" t="s">
        <v>1663</v>
      </c>
      <c r="D4071" s="160" t="s">
        <v>2408</v>
      </c>
      <c r="E4071" s="545"/>
      <c r="F4071" s="161">
        <v>102</v>
      </c>
      <c r="G4071" s="161">
        <v>-60</v>
      </c>
      <c r="H4071" s="191">
        <v>1000</v>
      </c>
      <c r="I4071" s="191">
        <v>11</v>
      </c>
      <c r="J4071" s="191"/>
      <c r="K4071" s="191">
        <v>0.44</v>
      </c>
      <c r="L4071" s="191"/>
      <c r="M4071" s="191"/>
      <c r="N4071" s="191"/>
      <c r="O4071" s="191"/>
      <c r="P4071" s="191"/>
      <c r="Q4071" s="191"/>
      <c r="R4071" s="191">
        <v>5.2999999999999998E-8</v>
      </c>
      <c r="S4071" s="191"/>
      <c r="T4071" s="191"/>
      <c r="U4071" s="439"/>
      <c r="V4071" s="439"/>
      <c r="W4071" s="178">
        <v>30000</v>
      </c>
      <c r="X4071" s="172">
        <f t="shared" si="3"/>
        <v>0.33333333333333331</v>
      </c>
      <c r="Y4071" s="172">
        <f t="shared" si="3"/>
        <v>0.33333333333333331</v>
      </c>
      <c r="Z4071" s="172">
        <f t="shared" si="3"/>
        <v>0.33333333333333331</v>
      </c>
      <c r="AA4071" s="195"/>
      <c r="AB4071" s="172"/>
    </row>
    <row r="4072" spans="1:28" ht="12.75" customHeight="1" x14ac:dyDescent="0.3">
      <c r="A4072" s="161">
        <v>72</v>
      </c>
      <c r="B4072" s="160" t="s">
        <v>863</v>
      </c>
      <c r="C4072" s="160" t="s">
        <v>862</v>
      </c>
      <c r="D4072" s="160" t="s">
        <v>2408</v>
      </c>
      <c r="E4072" s="545"/>
      <c r="F4072" s="161">
        <v>147</v>
      </c>
      <c r="G4072" s="161">
        <v>54</v>
      </c>
      <c r="H4072" s="191">
        <v>230</v>
      </c>
      <c r="I4072" s="191">
        <v>60</v>
      </c>
      <c r="J4072" s="191"/>
      <c r="K4072" s="191">
        <v>3700</v>
      </c>
      <c r="L4072" s="191"/>
      <c r="M4072" s="191"/>
      <c r="N4072" s="191"/>
      <c r="O4072" s="191"/>
      <c r="P4072" s="191"/>
      <c r="Q4072" s="191">
        <v>5.2E-7</v>
      </c>
      <c r="R4072" s="191">
        <v>5.3000000000000003E-10</v>
      </c>
      <c r="S4072" s="191"/>
      <c r="T4072" s="191">
        <v>9.6999999999999995E-8</v>
      </c>
      <c r="U4072" s="439"/>
      <c r="V4072" s="439"/>
      <c r="W4072" s="178">
        <v>30000</v>
      </c>
      <c r="X4072" s="172">
        <f t="shared" si="3"/>
        <v>0.33333333333333331</v>
      </c>
      <c r="Y4072" s="172">
        <f t="shared" si="3"/>
        <v>0.33333333333333331</v>
      </c>
      <c r="Z4072" s="172">
        <f t="shared" si="3"/>
        <v>0.33333333333333331</v>
      </c>
      <c r="AA4072" s="195"/>
      <c r="AB4072" s="172"/>
    </row>
    <row r="4073" spans="1:28" ht="12.75" customHeight="1" x14ac:dyDescent="0.3">
      <c r="A4073" s="161">
        <v>73</v>
      </c>
      <c r="B4073" s="160" t="s">
        <v>1808</v>
      </c>
      <c r="C4073" s="160" t="s">
        <v>1643</v>
      </c>
      <c r="D4073" s="160" t="s">
        <v>2408</v>
      </c>
      <c r="E4073" s="545"/>
      <c r="F4073" s="161">
        <v>157</v>
      </c>
      <c r="G4073" s="161">
        <v>-40</v>
      </c>
      <c r="H4073" s="191">
        <v>1</v>
      </c>
      <c r="I4073" s="191">
        <v>500000</v>
      </c>
      <c r="J4073" s="191"/>
      <c r="K4073" s="191">
        <v>2.8</v>
      </c>
      <c r="L4073" s="191"/>
      <c r="M4073" s="191"/>
      <c r="N4073" s="191"/>
      <c r="O4073" s="191"/>
      <c r="P4073" s="191"/>
      <c r="Q4073" s="191"/>
      <c r="R4073" s="191">
        <v>5.3000000000000001E-7</v>
      </c>
      <c r="S4073" s="191"/>
      <c r="T4073" s="191"/>
      <c r="U4073" s="439"/>
      <c r="V4073" s="439"/>
      <c r="W4073" s="178">
        <v>30000</v>
      </c>
      <c r="X4073" s="172">
        <f t="shared" si="3"/>
        <v>0.33333333333333331</v>
      </c>
      <c r="Y4073" s="172">
        <f t="shared" si="3"/>
        <v>0.33333333333333331</v>
      </c>
      <c r="Z4073" s="172">
        <f t="shared" si="3"/>
        <v>0.33333333333333331</v>
      </c>
      <c r="AA4073" s="195"/>
      <c r="AB4073" s="172"/>
    </row>
    <row r="4074" spans="1:28" ht="12.75" customHeight="1" x14ac:dyDescent="0.3">
      <c r="A4074" s="161">
        <v>74</v>
      </c>
      <c r="B4074" s="160" t="s">
        <v>1776</v>
      </c>
      <c r="C4074" s="160" t="s">
        <v>1569</v>
      </c>
      <c r="D4074" s="160" t="s">
        <v>2408</v>
      </c>
      <c r="E4074" s="545"/>
      <c r="F4074" s="161">
        <v>371</v>
      </c>
      <c r="G4074" s="161">
        <v>-76</v>
      </c>
      <c r="H4074" s="191">
        <v>1E-8</v>
      </c>
      <c r="I4074" s="191">
        <v>0.5</v>
      </c>
      <c r="J4074" s="191"/>
      <c r="K4074" s="191">
        <v>130000000</v>
      </c>
      <c r="L4074" s="191"/>
      <c r="M4074" s="191"/>
      <c r="N4074" s="191"/>
      <c r="O4074" s="191"/>
      <c r="P4074" s="191"/>
      <c r="Q4074" s="191">
        <v>1.4E-5</v>
      </c>
      <c r="R4074" s="191">
        <v>5.3000000000000001E-7</v>
      </c>
      <c r="S4074" s="191"/>
      <c r="T4074" s="191">
        <v>8.8999999999999995E-6</v>
      </c>
      <c r="U4074" s="439"/>
      <c r="V4074" s="439"/>
      <c r="W4074" s="178">
        <v>30000</v>
      </c>
      <c r="X4074" s="172">
        <f t="shared" si="3"/>
        <v>0.33333333333333331</v>
      </c>
      <c r="Y4074" s="172">
        <f t="shared" si="3"/>
        <v>0.33333333333333331</v>
      </c>
      <c r="Z4074" s="172">
        <f t="shared" si="3"/>
        <v>0.33333333333333331</v>
      </c>
      <c r="AA4074" s="195"/>
      <c r="AB4074" s="172"/>
    </row>
    <row r="4075" spans="1:28" ht="12.75" customHeight="1" x14ac:dyDescent="0.3">
      <c r="A4075" s="161">
        <v>75</v>
      </c>
      <c r="B4075" s="160" t="s">
        <v>1766</v>
      </c>
      <c r="C4075" s="160" t="s">
        <v>1973</v>
      </c>
      <c r="D4075" s="160" t="s">
        <v>2408</v>
      </c>
      <c r="E4075" s="545"/>
      <c r="F4075" s="161">
        <v>69</v>
      </c>
      <c r="G4075" s="161">
        <v>120</v>
      </c>
      <c r="H4075" s="191">
        <v>0.22</v>
      </c>
      <c r="I4075" s="191">
        <v>1200000</v>
      </c>
      <c r="J4075" s="191"/>
      <c r="K4075" s="191">
        <v>0.26</v>
      </c>
      <c r="L4075" s="191"/>
      <c r="M4075" s="191"/>
      <c r="N4075" s="191"/>
      <c r="O4075" s="191"/>
      <c r="P4075" s="191"/>
      <c r="Q4075" s="191"/>
      <c r="R4075" s="191">
        <v>5.3000000000000003E-10</v>
      </c>
      <c r="S4075" s="191"/>
      <c r="T4075" s="191"/>
      <c r="U4075" s="439"/>
      <c r="V4075" s="439"/>
      <c r="W4075" s="178">
        <v>30000</v>
      </c>
      <c r="X4075" s="172">
        <f t="shared" si="3"/>
        <v>0.33333333333333331</v>
      </c>
      <c r="Y4075" s="172">
        <f t="shared" si="3"/>
        <v>0.33333333333333331</v>
      </c>
      <c r="Z4075" s="172">
        <f t="shared" si="3"/>
        <v>0.33333333333333331</v>
      </c>
      <c r="AA4075" s="195"/>
      <c r="AB4075" s="172"/>
    </row>
    <row r="4076" spans="1:28" ht="12.75" customHeight="1" x14ac:dyDescent="0.3">
      <c r="A4076" s="161">
        <v>76</v>
      </c>
      <c r="B4076" s="160" t="s">
        <v>1819</v>
      </c>
      <c r="C4076" s="160" t="s">
        <v>1564</v>
      </c>
      <c r="D4076" s="160" t="s">
        <v>2408</v>
      </c>
      <c r="E4076" s="545"/>
      <c r="F4076" s="161">
        <v>127</v>
      </c>
      <c r="G4076" s="161">
        <v>-60</v>
      </c>
      <c r="H4076" s="191">
        <v>360</v>
      </c>
      <c r="I4076" s="191">
        <v>20000</v>
      </c>
      <c r="J4076" s="191"/>
      <c r="K4076" s="191">
        <v>100</v>
      </c>
      <c r="L4076" s="191"/>
      <c r="M4076" s="191"/>
      <c r="N4076" s="191"/>
      <c r="O4076" s="191"/>
      <c r="P4076" s="191"/>
      <c r="Q4076" s="191">
        <v>7.7000000000000001E-5</v>
      </c>
      <c r="R4076" s="191">
        <v>5.3000000000000003E-10</v>
      </c>
      <c r="S4076" s="191"/>
      <c r="T4076" s="191">
        <v>1.8E-7</v>
      </c>
      <c r="U4076" s="439"/>
      <c r="V4076" s="439"/>
      <c r="W4076" s="178">
        <v>30000</v>
      </c>
      <c r="X4076" s="172">
        <f t="shared" si="3"/>
        <v>0.33333333333333331</v>
      </c>
      <c r="Y4076" s="172">
        <f t="shared" si="3"/>
        <v>0.33333333333333331</v>
      </c>
      <c r="Z4076" s="172">
        <f t="shared" si="3"/>
        <v>0.33333333333333331</v>
      </c>
      <c r="AA4076" s="195"/>
      <c r="AB4076" s="172"/>
    </row>
    <row r="4077" spans="1:28" ht="12.75" customHeight="1" x14ac:dyDescent="0.3">
      <c r="A4077" s="161">
        <v>77</v>
      </c>
      <c r="B4077" s="160" t="s">
        <v>1780</v>
      </c>
      <c r="C4077" s="160" t="s">
        <v>1670</v>
      </c>
      <c r="D4077" s="160" t="s">
        <v>2408</v>
      </c>
      <c r="E4077" s="545"/>
      <c r="F4077" s="161">
        <v>104</v>
      </c>
      <c r="G4077" s="161">
        <v>-18</v>
      </c>
      <c r="H4077" s="191">
        <v>2.6</v>
      </c>
      <c r="I4077" s="191">
        <v>33</v>
      </c>
      <c r="J4077" s="191"/>
      <c r="K4077" s="191">
        <v>4.2999999999999997E-2</v>
      </c>
      <c r="L4077" s="191"/>
      <c r="M4077" s="191"/>
      <c r="N4077" s="191"/>
      <c r="O4077" s="191"/>
      <c r="P4077" s="191"/>
      <c r="Q4077" s="191"/>
      <c r="R4077" s="191">
        <v>5.3000000000000003E-10</v>
      </c>
      <c r="S4077" s="191"/>
      <c r="T4077" s="191"/>
      <c r="U4077" s="439"/>
      <c r="V4077" s="439"/>
      <c r="W4077" s="178">
        <v>30000</v>
      </c>
      <c r="X4077" s="172">
        <f t="shared" si="3"/>
        <v>0.33333333333333331</v>
      </c>
      <c r="Y4077" s="172">
        <f t="shared" si="3"/>
        <v>0.33333333333333331</v>
      </c>
      <c r="Z4077" s="172">
        <f t="shared" si="3"/>
        <v>0.33333333333333331</v>
      </c>
      <c r="AA4077" s="195"/>
      <c r="AB4077" s="172"/>
    </row>
    <row r="4078" spans="1:28" ht="12.75" customHeight="1" x14ac:dyDescent="0.3">
      <c r="A4078" s="161">
        <v>78</v>
      </c>
      <c r="B4078" s="160" t="s">
        <v>1854</v>
      </c>
      <c r="C4078" s="160" t="s">
        <v>1713</v>
      </c>
      <c r="D4078" s="160" t="s">
        <v>2408</v>
      </c>
      <c r="E4078" s="545"/>
      <c r="F4078" s="161">
        <v>292</v>
      </c>
      <c r="G4078" s="161">
        <v>220</v>
      </c>
      <c r="H4078" s="191">
        <v>2.4E-8</v>
      </c>
      <c r="I4078" s="191">
        <v>500</v>
      </c>
      <c r="J4078" s="191"/>
      <c r="K4078" s="191">
        <v>6.7000000000000002E-5</v>
      </c>
      <c r="L4078" s="191"/>
      <c r="M4078" s="191"/>
      <c r="N4078" s="191"/>
      <c r="O4078" s="191"/>
      <c r="P4078" s="191"/>
      <c r="Q4078" s="191"/>
      <c r="R4078" s="191">
        <v>5.3000000000000003E-10</v>
      </c>
      <c r="S4078" s="191"/>
      <c r="T4078" s="191"/>
      <c r="U4078" s="439"/>
      <c r="V4078" s="439"/>
      <c r="W4078" s="178">
        <v>30000</v>
      </c>
      <c r="X4078" s="172">
        <f t="shared" si="3"/>
        <v>0.33333333333333331</v>
      </c>
      <c r="Y4078" s="172">
        <f t="shared" si="3"/>
        <v>0.33333333333333331</v>
      </c>
      <c r="Z4078" s="172">
        <f t="shared" si="3"/>
        <v>0.33333333333333331</v>
      </c>
      <c r="AA4078" s="195"/>
      <c r="AB4078" s="172"/>
    </row>
    <row r="4079" spans="1:28" ht="12.75" customHeight="1" x14ac:dyDescent="0.3">
      <c r="A4079" s="161">
        <v>79</v>
      </c>
      <c r="B4079" s="160" t="s">
        <v>1965</v>
      </c>
      <c r="C4079" s="160" t="s">
        <v>1645</v>
      </c>
      <c r="D4079" s="160" t="s">
        <v>2408</v>
      </c>
      <c r="E4079" s="545"/>
      <c r="F4079" s="161">
        <v>130</v>
      </c>
      <c r="G4079" s="161">
        <v>-36</v>
      </c>
      <c r="H4079" s="191">
        <v>10</v>
      </c>
      <c r="I4079" s="191">
        <v>0.39</v>
      </c>
      <c r="J4079" s="191"/>
      <c r="K4079" s="191">
        <v>1.7E+23</v>
      </c>
      <c r="L4079" s="191"/>
      <c r="M4079" s="191"/>
      <c r="N4079" s="191"/>
      <c r="O4079" s="191"/>
      <c r="P4079" s="191"/>
      <c r="Q4079" s="191"/>
      <c r="R4079" s="191">
        <v>5.3000000000000001E-7</v>
      </c>
      <c r="S4079" s="191"/>
      <c r="T4079" s="191"/>
      <c r="U4079" s="439"/>
      <c r="V4079" s="439"/>
      <c r="W4079" s="178">
        <v>30000</v>
      </c>
      <c r="X4079" s="172">
        <f t="shared" si="3"/>
        <v>0.33333333333333331</v>
      </c>
      <c r="Y4079" s="172">
        <f t="shared" si="3"/>
        <v>0.33333333333333331</v>
      </c>
      <c r="Z4079" s="172">
        <f t="shared" si="3"/>
        <v>0.33333333333333331</v>
      </c>
      <c r="AA4079" s="195"/>
      <c r="AB4079" s="172"/>
    </row>
    <row r="4080" spans="1:28" ht="12.75" customHeight="1" x14ac:dyDescent="0.3">
      <c r="A4080" s="161">
        <v>80</v>
      </c>
      <c r="B4080" s="160" t="s">
        <v>1825</v>
      </c>
      <c r="C4080" s="160" t="s">
        <v>1673</v>
      </c>
      <c r="D4080" s="160" t="s">
        <v>2408</v>
      </c>
      <c r="E4080" s="545"/>
      <c r="F4080" s="161">
        <v>108</v>
      </c>
      <c r="G4080" s="161">
        <v>1</v>
      </c>
      <c r="H4080" s="191">
        <v>0.33</v>
      </c>
      <c r="I4080" s="191">
        <v>83000</v>
      </c>
      <c r="J4080" s="191"/>
      <c r="K4080" s="191">
        <v>0.48</v>
      </c>
      <c r="L4080" s="191"/>
      <c r="M4080" s="191"/>
      <c r="N4080" s="191"/>
      <c r="O4080" s="191"/>
      <c r="P4080" s="191"/>
      <c r="Q4080" s="191">
        <v>6.0999999999999998E-7</v>
      </c>
      <c r="R4080" s="191">
        <v>5.2999999999999998E-8</v>
      </c>
      <c r="S4080" s="191"/>
      <c r="T4080" s="191">
        <v>2.8000000000000002E-7</v>
      </c>
      <c r="U4080" s="439"/>
      <c r="V4080" s="439"/>
      <c r="W4080" s="178">
        <v>30000</v>
      </c>
      <c r="X4080" s="172">
        <f t="shared" si="3"/>
        <v>0.33333333333333331</v>
      </c>
      <c r="Y4080" s="172">
        <f t="shared" si="3"/>
        <v>0.33333333333333331</v>
      </c>
      <c r="Z4080" s="172">
        <f t="shared" si="3"/>
        <v>0.33333333333333331</v>
      </c>
      <c r="AA4080" s="195"/>
      <c r="AB4080" s="172"/>
    </row>
    <row r="4081" spans="1:28" ht="12.75" customHeight="1" x14ac:dyDescent="0.3">
      <c r="A4081" s="161">
        <v>81</v>
      </c>
      <c r="B4081" s="160" t="s">
        <v>1828</v>
      </c>
      <c r="C4081" s="160" t="s">
        <v>1685</v>
      </c>
      <c r="D4081" s="160" t="s">
        <v>2408</v>
      </c>
      <c r="E4081" s="545"/>
      <c r="F4081" s="161">
        <v>173</v>
      </c>
      <c r="G4081" s="161">
        <v>289</v>
      </c>
      <c r="H4081" s="191">
        <v>3.1999999999999999E-6</v>
      </c>
      <c r="I4081" s="191">
        <v>10000</v>
      </c>
      <c r="J4081" s="191"/>
      <c r="K4081" s="191">
        <v>0.13</v>
      </c>
      <c r="L4081" s="191"/>
      <c r="M4081" s="191"/>
      <c r="N4081" s="191"/>
      <c r="O4081" s="191"/>
      <c r="P4081" s="191"/>
      <c r="Q4081" s="191"/>
      <c r="R4081" s="191">
        <v>5.3000000000000003E-10</v>
      </c>
      <c r="S4081" s="191"/>
      <c r="T4081" s="191"/>
      <c r="U4081" s="439"/>
      <c r="V4081" s="439"/>
      <c r="W4081" s="178">
        <v>30000</v>
      </c>
      <c r="X4081" s="172">
        <f t="shared" si="3"/>
        <v>0.33333333333333331</v>
      </c>
      <c r="Y4081" s="172">
        <f t="shared" si="3"/>
        <v>0.33333333333333331</v>
      </c>
      <c r="Z4081" s="172">
        <f t="shared" si="3"/>
        <v>0.33333333333333331</v>
      </c>
      <c r="AA4081" s="195"/>
      <c r="AB4081" s="172"/>
    </row>
    <row r="4082" spans="1:28" ht="12.75" customHeight="1" x14ac:dyDescent="0.3">
      <c r="A4082" s="161">
        <v>82</v>
      </c>
      <c r="B4082" s="160" t="s">
        <v>30</v>
      </c>
      <c r="C4082" s="160" t="s">
        <v>29</v>
      </c>
      <c r="D4082" s="160" t="s">
        <v>2408</v>
      </c>
      <c r="E4082" s="545"/>
      <c r="F4082" s="161">
        <v>98</v>
      </c>
      <c r="G4082" s="161">
        <v>-29</v>
      </c>
      <c r="H4082" s="191">
        <v>450</v>
      </c>
      <c r="I4082" s="191">
        <v>95000</v>
      </c>
      <c r="J4082" s="191"/>
      <c r="K4082" s="191">
        <v>7.2</v>
      </c>
      <c r="L4082" s="191"/>
      <c r="M4082" s="191"/>
      <c r="N4082" s="191"/>
      <c r="O4082" s="191"/>
      <c r="P4082" s="191"/>
      <c r="Q4082" s="191">
        <v>4.5000000000000001E-6</v>
      </c>
      <c r="R4082" s="191">
        <v>5.3000000000000001E-7</v>
      </c>
      <c r="S4082" s="191"/>
      <c r="T4082" s="191">
        <v>5.6000000000000004E-7</v>
      </c>
      <c r="U4082" s="439"/>
      <c r="V4082" s="439"/>
      <c r="W4082" s="178">
        <v>30000</v>
      </c>
      <c r="X4082" s="172">
        <f t="shared" si="3"/>
        <v>0.33333333333333331</v>
      </c>
      <c r="Y4082" s="172">
        <f t="shared" si="3"/>
        <v>0.33333333333333331</v>
      </c>
      <c r="Z4082" s="172">
        <f t="shared" si="3"/>
        <v>0.33333333333333331</v>
      </c>
      <c r="AA4082" s="195"/>
      <c r="AB4082" s="172"/>
    </row>
    <row r="4083" spans="1:28" ht="12.75" customHeight="1" x14ac:dyDescent="0.3">
      <c r="A4083" s="161">
        <v>83</v>
      </c>
      <c r="B4083" s="160" t="s">
        <v>1847</v>
      </c>
      <c r="C4083" s="160" t="s">
        <v>1693</v>
      </c>
      <c r="D4083" s="160" t="s">
        <v>2408</v>
      </c>
      <c r="E4083" s="545"/>
      <c r="F4083" s="161">
        <v>116</v>
      </c>
      <c r="G4083" s="161">
        <v>41</v>
      </c>
      <c r="H4083" s="191">
        <v>4</v>
      </c>
      <c r="I4083" s="191">
        <v>0.55000000000000004</v>
      </c>
      <c r="J4083" s="191"/>
      <c r="K4083" s="191">
        <v>1</v>
      </c>
      <c r="L4083" s="191"/>
      <c r="M4083" s="191"/>
      <c r="N4083" s="191"/>
      <c r="O4083" s="191"/>
      <c r="P4083" s="191"/>
      <c r="Q4083" s="191"/>
      <c r="R4083" s="191">
        <v>5.3000000000000003E-10</v>
      </c>
      <c r="S4083" s="191"/>
      <c r="T4083" s="191"/>
      <c r="U4083" s="439"/>
      <c r="V4083" s="439"/>
      <c r="W4083" s="178">
        <v>30000</v>
      </c>
      <c r="X4083" s="172">
        <f t="shared" si="3"/>
        <v>0.33333333333333331</v>
      </c>
      <c r="Y4083" s="172">
        <f t="shared" si="3"/>
        <v>0.33333333333333331</v>
      </c>
      <c r="Z4083" s="172">
        <f t="shared" si="3"/>
        <v>0.33333333333333331</v>
      </c>
      <c r="AA4083" s="195"/>
      <c r="AB4083" s="172"/>
    </row>
    <row r="4084" spans="1:28" ht="12.75" customHeight="1" x14ac:dyDescent="0.3">
      <c r="A4084" s="161">
        <v>84</v>
      </c>
      <c r="B4084" s="160" t="s">
        <v>1812</v>
      </c>
      <c r="C4084" s="160" t="s">
        <v>1981</v>
      </c>
      <c r="D4084" s="160" t="s">
        <v>2408</v>
      </c>
      <c r="E4084" s="545"/>
      <c r="F4084" s="161">
        <v>230</v>
      </c>
      <c r="G4084" s="161">
        <v>128</v>
      </c>
      <c r="H4084" s="191">
        <v>1.4999999999999999E-4</v>
      </c>
      <c r="I4084" s="191">
        <v>100</v>
      </c>
      <c r="J4084" s="191"/>
      <c r="K4084" s="191">
        <v>1200</v>
      </c>
      <c r="L4084" s="191"/>
      <c r="M4084" s="191"/>
      <c r="N4084" s="191"/>
      <c r="O4084" s="191"/>
      <c r="P4084" s="191"/>
      <c r="Q4084" s="191"/>
      <c r="R4084" s="191">
        <v>5.3000000000000001E-7</v>
      </c>
      <c r="S4084" s="191"/>
      <c r="T4084" s="191"/>
      <c r="U4084" s="439"/>
      <c r="V4084" s="439"/>
      <c r="W4084" s="178">
        <v>30000</v>
      </c>
      <c r="X4084" s="172">
        <f t="shared" si="3"/>
        <v>0.33333333333333331</v>
      </c>
      <c r="Y4084" s="172">
        <f t="shared" si="3"/>
        <v>0.33333333333333331</v>
      </c>
      <c r="Z4084" s="172">
        <f t="shared" si="3"/>
        <v>0.33333333333333331</v>
      </c>
      <c r="AA4084" s="195"/>
      <c r="AB4084" s="172"/>
    </row>
    <row r="4085" spans="1:28" ht="12.75" customHeight="1" x14ac:dyDescent="0.3">
      <c r="A4085" s="161">
        <v>85</v>
      </c>
      <c r="B4085" s="160" t="s">
        <v>1858</v>
      </c>
      <c r="C4085" s="160" t="s">
        <v>1602</v>
      </c>
      <c r="D4085" s="160" t="s">
        <v>2408</v>
      </c>
      <c r="E4085" s="545"/>
      <c r="F4085" s="161">
        <v>99</v>
      </c>
      <c r="G4085" s="161">
        <v>-24</v>
      </c>
      <c r="H4085" s="191">
        <v>25</v>
      </c>
      <c r="I4085" s="191">
        <v>1000000</v>
      </c>
      <c r="J4085" s="191"/>
      <c r="K4085" s="191">
        <v>0.35</v>
      </c>
      <c r="L4085" s="191"/>
      <c r="M4085" s="191"/>
      <c r="N4085" s="191"/>
      <c r="O4085" s="191"/>
      <c r="P4085" s="191"/>
      <c r="Q4085" s="191">
        <v>2.5000000000000001E-5</v>
      </c>
      <c r="R4085" s="191">
        <v>5.3000000000000001E-7</v>
      </c>
      <c r="S4085" s="191"/>
      <c r="T4085" s="191">
        <v>1.3999999999999999E-6</v>
      </c>
      <c r="U4085" s="439"/>
      <c r="V4085" s="439"/>
      <c r="W4085" s="178">
        <v>30000</v>
      </c>
      <c r="X4085" s="172">
        <f t="shared" si="3"/>
        <v>0.33333333333333331</v>
      </c>
      <c r="Y4085" s="172">
        <f t="shared" si="3"/>
        <v>0.33333333333333331</v>
      </c>
      <c r="Z4085" s="172">
        <f t="shared" si="3"/>
        <v>0.33333333333333331</v>
      </c>
      <c r="AA4085" s="195"/>
      <c r="AB4085" s="172"/>
    </row>
    <row r="4086" spans="1:28" ht="12.75" customHeight="1" x14ac:dyDescent="0.3">
      <c r="A4086" s="161">
        <v>86</v>
      </c>
      <c r="B4086" s="160" t="s">
        <v>1913</v>
      </c>
      <c r="C4086" s="160" t="s">
        <v>1616</v>
      </c>
      <c r="D4086" s="160" t="s">
        <v>2408</v>
      </c>
      <c r="E4086" s="545"/>
      <c r="F4086" s="161">
        <v>56</v>
      </c>
      <c r="G4086" s="161">
        <v>-142</v>
      </c>
      <c r="H4086" s="191">
        <v>260000</v>
      </c>
      <c r="I4086" s="191">
        <v>260</v>
      </c>
      <c r="J4086" s="191"/>
      <c r="K4086" s="191">
        <v>130</v>
      </c>
      <c r="L4086" s="191"/>
      <c r="M4086" s="191"/>
      <c r="N4086" s="191"/>
      <c r="O4086" s="191"/>
      <c r="P4086" s="191"/>
      <c r="Q4086" s="191">
        <v>4.0000000000000003E-5</v>
      </c>
      <c r="R4086" s="191">
        <v>5.3000000000000003E-10</v>
      </c>
      <c r="S4086" s="191"/>
      <c r="T4086" s="191">
        <v>9.1999999999999998E-7</v>
      </c>
      <c r="U4086" s="439"/>
      <c r="V4086" s="439"/>
      <c r="W4086" s="178">
        <v>30000</v>
      </c>
      <c r="X4086" s="172">
        <f t="shared" si="3"/>
        <v>0.33333333333333331</v>
      </c>
      <c r="Y4086" s="172">
        <f t="shared" si="3"/>
        <v>0.33333333333333331</v>
      </c>
      <c r="Z4086" s="172">
        <f t="shared" si="3"/>
        <v>0.33333333333333331</v>
      </c>
      <c r="AA4086" s="195"/>
      <c r="AB4086" s="172"/>
    </row>
    <row r="4087" spans="1:28" ht="12.75" customHeight="1" x14ac:dyDescent="0.3">
      <c r="A4087" s="161">
        <v>87</v>
      </c>
      <c r="B4087" s="160" t="s">
        <v>1945</v>
      </c>
      <c r="C4087" s="160" t="s">
        <v>2001</v>
      </c>
      <c r="D4087" s="160" t="s">
        <v>2408</v>
      </c>
      <c r="E4087" s="545"/>
      <c r="F4087" s="161">
        <v>208</v>
      </c>
      <c r="G4087" s="161">
        <v>-39</v>
      </c>
      <c r="H4087" s="191">
        <v>1.2999999999999999E-2</v>
      </c>
      <c r="I4087" s="191">
        <v>6.1</v>
      </c>
      <c r="J4087" s="191"/>
      <c r="K4087" s="191">
        <v>0.25</v>
      </c>
      <c r="L4087" s="191"/>
      <c r="M4087" s="191"/>
      <c r="N4087" s="191"/>
      <c r="O4087" s="191"/>
      <c r="P4087" s="191"/>
      <c r="Q4087" s="191"/>
      <c r="R4087" s="191">
        <v>5.3000000000000003E-10</v>
      </c>
      <c r="S4087" s="191"/>
      <c r="T4087" s="191"/>
      <c r="U4087" s="439"/>
      <c r="V4087" s="439"/>
      <c r="W4087" s="178">
        <v>30000</v>
      </c>
      <c r="X4087" s="172">
        <f t="shared" si="3"/>
        <v>0.33333333333333331</v>
      </c>
      <c r="Y4087" s="172">
        <f t="shared" si="3"/>
        <v>0.33333333333333331</v>
      </c>
      <c r="Z4087" s="172">
        <f t="shared" si="3"/>
        <v>0.33333333333333331</v>
      </c>
      <c r="AA4087" s="195"/>
      <c r="AB4087" s="172"/>
    </row>
    <row r="4088" spans="1:28" ht="12.75" customHeight="1" x14ac:dyDescent="0.3">
      <c r="A4088" s="161">
        <v>88</v>
      </c>
      <c r="B4088" s="160" t="s">
        <v>1866</v>
      </c>
      <c r="C4088" s="160" t="s">
        <v>1638</v>
      </c>
      <c r="D4088" s="160" t="s">
        <v>2408</v>
      </c>
      <c r="E4088" s="545"/>
      <c r="F4088" s="161">
        <v>134</v>
      </c>
      <c r="G4088" s="161">
        <v>-35</v>
      </c>
      <c r="H4088" s="191">
        <v>0.28999999999999998</v>
      </c>
      <c r="I4088" s="191">
        <v>5.8</v>
      </c>
      <c r="J4088" s="191"/>
      <c r="K4088" s="191">
        <v>6.3E-2</v>
      </c>
      <c r="L4088" s="191"/>
      <c r="M4088" s="191"/>
      <c r="N4088" s="191"/>
      <c r="O4088" s="191"/>
      <c r="P4088" s="191"/>
      <c r="Q4088" s="191">
        <v>1.9000000000000001E-5</v>
      </c>
      <c r="R4088" s="191">
        <v>5.3000000000000003E-10</v>
      </c>
      <c r="S4088" s="191"/>
      <c r="T4088" s="191">
        <v>5.9999999999999997E-7</v>
      </c>
      <c r="U4088" s="439"/>
      <c r="V4088" s="439"/>
      <c r="W4088" s="178">
        <v>30000</v>
      </c>
      <c r="X4088" s="172">
        <f t="shared" si="3"/>
        <v>0.33333333333333331</v>
      </c>
      <c r="Y4088" s="172">
        <f t="shared" si="3"/>
        <v>0.33333333333333331</v>
      </c>
      <c r="Z4088" s="172">
        <f t="shared" si="3"/>
        <v>0.33333333333333331</v>
      </c>
      <c r="AA4088" s="195"/>
      <c r="AB4088" s="172"/>
    </row>
    <row r="4089" spans="1:28" ht="12.75" customHeight="1" x14ac:dyDescent="0.3">
      <c r="A4089" s="161">
        <v>89</v>
      </c>
      <c r="B4089" s="160" t="s">
        <v>1895</v>
      </c>
      <c r="C4089" s="160" t="s">
        <v>1704</v>
      </c>
      <c r="D4089" s="160" t="s">
        <v>2408</v>
      </c>
      <c r="E4089" s="545"/>
      <c r="F4089" s="161">
        <v>206</v>
      </c>
      <c r="G4089" s="161">
        <v>-35</v>
      </c>
      <c r="H4089" s="191">
        <v>10</v>
      </c>
      <c r="I4089" s="191">
        <v>8.2000000000000003E-2</v>
      </c>
      <c r="J4089" s="191"/>
      <c r="K4089" s="191">
        <v>3.2</v>
      </c>
      <c r="L4089" s="191"/>
      <c r="M4089" s="191"/>
      <c r="N4089" s="191"/>
      <c r="O4089" s="191"/>
      <c r="P4089" s="191"/>
      <c r="Q4089" s="191"/>
      <c r="R4089" s="191">
        <v>5.3000000000000003E-10</v>
      </c>
      <c r="S4089" s="191"/>
      <c r="T4089" s="191"/>
      <c r="U4089" s="439"/>
      <c r="V4089" s="439"/>
      <c r="W4089" s="178">
        <v>30000</v>
      </c>
      <c r="X4089" s="172">
        <f t="shared" si="3"/>
        <v>0.33333333333333331</v>
      </c>
      <c r="Y4089" s="172">
        <f t="shared" si="3"/>
        <v>0.33333333333333331</v>
      </c>
      <c r="Z4089" s="172">
        <f t="shared" si="3"/>
        <v>0.33333333333333331</v>
      </c>
      <c r="AA4089" s="195"/>
      <c r="AB4089" s="172"/>
    </row>
    <row r="4090" spans="1:28" ht="12.75" customHeight="1" x14ac:dyDescent="0.3">
      <c r="A4090" s="161">
        <v>90</v>
      </c>
      <c r="B4090" s="160" t="s">
        <v>1775</v>
      </c>
      <c r="C4090" s="160" t="s">
        <v>1976</v>
      </c>
      <c r="D4090" s="160" t="s">
        <v>2408</v>
      </c>
      <c r="E4090" s="545"/>
      <c r="F4090" s="161">
        <v>218</v>
      </c>
      <c r="G4090" s="161">
        <v>2</v>
      </c>
      <c r="H4090" s="191">
        <v>0.33</v>
      </c>
      <c r="I4090" s="191">
        <v>0.48</v>
      </c>
      <c r="J4090" s="191"/>
      <c r="K4090" s="191">
        <v>1.7</v>
      </c>
      <c r="L4090" s="191"/>
      <c r="M4090" s="191"/>
      <c r="N4090" s="191"/>
      <c r="O4090" s="191"/>
      <c r="P4090" s="191"/>
      <c r="Q4090" s="191">
        <v>6.3999999999999997E-6</v>
      </c>
      <c r="R4090" s="191">
        <v>5.3000000000000001E-7</v>
      </c>
      <c r="S4090" s="191"/>
      <c r="T4090" s="191">
        <v>4.8999999999999997E-6</v>
      </c>
      <c r="U4090" s="439"/>
      <c r="V4090" s="439"/>
      <c r="W4090" s="178">
        <v>30000</v>
      </c>
      <c r="X4090" s="172">
        <f t="shared" si="3"/>
        <v>0.33333333333333331</v>
      </c>
      <c r="Y4090" s="172">
        <f t="shared" si="3"/>
        <v>0.33333333333333331</v>
      </c>
      <c r="Z4090" s="172">
        <f t="shared" si="3"/>
        <v>0.33333333333333331</v>
      </c>
      <c r="AA4090" s="195"/>
      <c r="AB4090" s="172"/>
    </row>
    <row r="4091" spans="1:28" ht="12.75" customHeight="1" x14ac:dyDescent="0.3">
      <c r="A4091" s="161">
        <v>91</v>
      </c>
      <c r="B4091" s="160" t="s">
        <v>1839</v>
      </c>
      <c r="C4091" s="160" t="s">
        <v>1604</v>
      </c>
      <c r="D4091" s="160" t="s">
        <v>2408</v>
      </c>
      <c r="E4091" s="545"/>
      <c r="F4091" s="161">
        <v>158</v>
      </c>
      <c r="G4091" s="161">
        <v>32</v>
      </c>
      <c r="H4091" s="191">
        <v>5.8</v>
      </c>
      <c r="I4091" s="191">
        <v>590</v>
      </c>
      <c r="J4091" s="191"/>
      <c r="K4091" s="191">
        <v>200</v>
      </c>
      <c r="L4091" s="191"/>
      <c r="M4091" s="191"/>
      <c r="N4091" s="191"/>
      <c r="O4091" s="191"/>
      <c r="P4091" s="191"/>
      <c r="Q4091" s="191">
        <v>1.3E-7</v>
      </c>
      <c r="R4091" s="191">
        <v>5.3000000000000003E-10</v>
      </c>
      <c r="S4091" s="191"/>
      <c r="T4091" s="191">
        <v>4.0000000000000001E-8</v>
      </c>
      <c r="U4091" s="439"/>
      <c r="V4091" s="439"/>
      <c r="W4091" s="178">
        <v>30000</v>
      </c>
      <c r="X4091" s="172">
        <f t="shared" si="3"/>
        <v>0.33333333333333331</v>
      </c>
      <c r="Y4091" s="172">
        <f t="shared" si="3"/>
        <v>0.33333333333333331</v>
      </c>
      <c r="Z4091" s="172">
        <f t="shared" si="3"/>
        <v>0.33333333333333331</v>
      </c>
      <c r="AA4091" s="195"/>
      <c r="AB4091" s="172"/>
    </row>
    <row r="4092" spans="1:28" ht="12.75" customHeight="1" x14ac:dyDescent="0.3">
      <c r="A4092" s="161">
        <v>92</v>
      </c>
      <c r="B4092" s="160" t="s">
        <v>1949</v>
      </c>
      <c r="C4092" s="160" t="s">
        <v>1596</v>
      </c>
      <c r="D4092" s="160" t="s">
        <v>2408</v>
      </c>
      <c r="E4092" s="545"/>
      <c r="F4092" s="161">
        <v>218</v>
      </c>
      <c r="G4092" s="161">
        <v>85</v>
      </c>
      <c r="H4092" s="191">
        <v>1.2E-4</v>
      </c>
      <c r="I4092" s="191">
        <v>55</v>
      </c>
      <c r="J4092" s="191"/>
      <c r="K4092" s="191">
        <v>190</v>
      </c>
      <c r="L4092" s="191"/>
      <c r="M4092" s="191"/>
      <c r="N4092" s="191"/>
      <c r="O4092" s="191"/>
      <c r="P4092" s="191"/>
      <c r="Q4092" s="191">
        <v>2.7999999999999999E-6</v>
      </c>
      <c r="R4092" s="191">
        <v>5.3000000000000003E-10</v>
      </c>
      <c r="S4092" s="191"/>
      <c r="T4092" s="191">
        <v>4.0999999999999997E-6</v>
      </c>
      <c r="U4092" s="439"/>
      <c r="V4092" s="439"/>
      <c r="W4092" s="178">
        <v>30000</v>
      </c>
      <c r="X4092" s="172">
        <f t="shared" si="3"/>
        <v>0.33333333333333331</v>
      </c>
      <c r="Y4092" s="172">
        <f t="shared" si="3"/>
        <v>0.33333333333333331</v>
      </c>
      <c r="Z4092" s="172">
        <f t="shared" si="3"/>
        <v>0.33333333333333331</v>
      </c>
      <c r="AA4092" s="195"/>
      <c r="AB4092" s="172"/>
    </row>
    <row r="4093" spans="1:28" ht="12.75" customHeight="1" x14ac:dyDescent="0.3">
      <c r="A4093" s="161">
        <v>93</v>
      </c>
      <c r="B4093" s="160" t="s">
        <v>1951</v>
      </c>
      <c r="C4093" s="160">
        <v>27522</v>
      </c>
      <c r="D4093" s="160" t="s">
        <v>2408</v>
      </c>
      <c r="E4093" s="545"/>
      <c r="F4093" s="161">
        <v>41</v>
      </c>
      <c r="G4093" s="161">
        <v>-45</v>
      </c>
      <c r="H4093" s="191">
        <v>7300</v>
      </c>
      <c r="I4093" s="191">
        <v>1000000</v>
      </c>
      <c r="J4093" s="191"/>
      <c r="K4093" s="191">
        <v>0.46</v>
      </c>
      <c r="L4093" s="191"/>
      <c r="M4093" s="191"/>
      <c r="N4093" s="191"/>
      <c r="O4093" s="191"/>
      <c r="P4093" s="191"/>
      <c r="Q4093" s="191">
        <v>1.9000000000000001E-8</v>
      </c>
      <c r="R4093" s="191">
        <v>5.3000000000000001E-7</v>
      </c>
      <c r="S4093" s="191"/>
      <c r="T4093" s="191">
        <v>8.2999999999999999E-7</v>
      </c>
      <c r="U4093" s="439"/>
      <c r="V4093" s="439"/>
      <c r="W4093" s="178">
        <v>30000</v>
      </c>
      <c r="X4093" s="172">
        <f t="shared" si="3"/>
        <v>0.33333333333333331</v>
      </c>
      <c r="Y4093" s="172">
        <f t="shared" si="3"/>
        <v>0.33333333333333331</v>
      </c>
      <c r="Z4093" s="172">
        <f t="shared" si="3"/>
        <v>0.33333333333333331</v>
      </c>
      <c r="AA4093" s="195"/>
      <c r="AB4093" s="172"/>
    </row>
    <row r="4094" spans="1:28" ht="12.75" customHeight="1" x14ac:dyDescent="0.3">
      <c r="A4094" s="161">
        <v>94</v>
      </c>
      <c r="B4094" s="160" t="s">
        <v>1532</v>
      </c>
      <c r="C4094" s="160" t="s">
        <v>849</v>
      </c>
      <c r="D4094" s="160" t="s">
        <v>2408</v>
      </c>
      <c r="E4094" s="545"/>
      <c r="F4094" s="161">
        <v>154</v>
      </c>
      <c r="G4094" s="161">
        <v>-23</v>
      </c>
      <c r="H4094" s="191">
        <v>12000</v>
      </c>
      <c r="I4094" s="191">
        <v>800</v>
      </c>
      <c r="J4094" s="191"/>
      <c r="K4094" s="191">
        <v>560</v>
      </c>
      <c r="L4094" s="191"/>
      <c r="M4094" s="191"/>
      <c r="N4094" s="191"/>
      <c r="O4094" s="191"/>
      <c r="P4094" s="191"/>
      <c r="Q4094" s="191">
        <v>9.2999999999999999E-7</v>
      </c>
      <c r="R4094" s="191">
        <v>5.3000000000000003E-10</v>
      </c>
      <c r="S4094" s="191"/>
      <c r="T4094" s="191">
        <v>4.0000000000000001E-8</v>
      </c>
      <c r="U4094" s="439"/>
      <c r="V4094" s="439"/>
      <c r="W4094" s="178">
        <v>30000</v>
      </c>
      <c r="X4094" s="172">
        <f t="shared" si="3"/>
        <v>0.33333333333333331</v>
      </c>
      <c r="Y4094" s="172">
        <f t="shared" si="3"/>
        <v>0.33333333333333331</v>
      </c>
      <c r="Z4094" s="172">
        <f t="shared" si="3"/>
        <v>0.33333333333333331</v>
      </c>
      <c r="AA4094" s="195"/>
      <c r="AB4094" s="172"/>
    </row>
    <row r="4095" spans="1:28" ht="12.75" customHeight="1" x14ac:dyDescent="0.3">
      <c r="A4095" s="161">
        <v>95</v>
      </c>
      <c r="B4095" s="160" t="s">
        <v>28</v>
      </c>
      <c r="C4095" s="160" t="s">
        <v>27</v>
      </c>
      <c r="D4095" s="160" t="s">
        <v>2408</v>
      </c>
      <c r="E4095" s="545"/>
      <c r="F4095" s="161">
        <v>100</v>
      </c>
      <c r="G4095" s="161">
        <v>24</v>
      </c>
      <c r="H4095" s="191">
        <v>130</v>
      </c>
      <c r="I4095" s="191">
        <v>40000</v>
      </c>
      <c r="J4095" s="191"/>
      <c r="K4095" s="191">
        <v>18</v>
      </c>
      <c r="L4095" s="191"/>
      <c r="M4095" s="191"/>
      <c r="N4095" s="191"/>
      <c r="O4095" s="191"/>
      <c r="P4095" s="191"/>
      <c r="Q4095" s="191">
        <v>1.2999999999999999E-5</v>
      </c>
      <c r="R4095" s="191">
        <v>5.3000000000000001E-7</v>
      </c>
      <c r="S4095" s="191"/>
      <c r="T4095" s="191">
        <v>4.0000000000000001E-8</v>
      </c>
      <c r="U4095" s="439"/>
      <c r="V4095" s="439"/>
      <c r="W4095" s="178">
        <v>30000</v>
      </c>
      <c r="X4095" s="172">
        <f t="shared" si="3"/>
        <v>0.33333333333333331</v>
      </c>
      <c r="Y4095" s="172">
        <f t="shared" si="3"/>
        <v>0.33333333333333331</v>
      </c>
      <c r="Z4095" s="172">
        <f t="shared" si="3"/>
        <v>0.33333333333333331</v>
      </c>
      <c r="AA4095" s="195"/>
      <c r="AB4095" s="172"/>
    </row>
    <row r="4096" spans="1:28" ht="12.75" customHeight="1" x14ac:dyDescent="0.3">
      <c r="A4096" s="161">
        <v>96</v>
      </c>
      <c r="B4096" s="160" t="s">
        <v>1820</v>
      </c>
      <c r="C4096" s="160" t="s">
        <v>1982</v>
      </c>
      <c r="D4096" s="160" t="s">
        <v>2408</v>
      </c>
      <c r="E4096" s="545"/>
      <c r="F4096" s="161">
        <v>116</v>
      </c>
      <c r="G4096" s="161">
        <v>-35</v>
      </c>
      <c r="H4096" s="191">
        <v>4.7</v>
      </c>
      <c r="I4096" s="191">
        <v>460000</v>
      </c>
      <c r="J4096" s="191"/>
      <c r="K4096" s="191">
        <v>0.33</v>
      </c>
      <c r="L4096" s="191"/>
      <c r="M4096" s="191"/>
      <c r="N4096" s="191"/>
      <c r="O4096" s="191"/>
      <c r="P4096" s="191"/>
      <c r="Q4096" s="191">
        <v>2.6E-7</v>
      </c>
      <c r="R4096" s="191">
        <v>5.3000000000000003E-10</v>
      </c>
      <c r="S4096" s="191"/>
      <c r="T4096" s="191">
        <v>3.1999999999999999E-6</v>
      </c>
      <c r="U4096" s="439"/>
      <c r="V4096" s="439"/>
      <c r="W4096" s="178">
        <v>30000</v>
      </c>
      <c r="X4096" s="172">
        <f t="shared" si="3"/>
        <v>0.33333333333333331</v>
      </c>
      <c r="Y4096" s="172">
        <f t="shared" si="3"/>
        <v>0.33333333333333331</v>
      </c>
      <c r="Z4096" s="172">
        <f t="shared" si="3"/>
        <v>0.33333333333333331</v>
      </c>
      <c r="AA4096" s="195"/>
      <c r="AB4096" s="172"/>
    </row>
    <row r="4097" spans="1:28" ht="12.75" customHeight="1" x14ac:dyDescent="0.3">
      <c r="A4097" s="161">
        <v>97</v>
      </c>
      <c r="B4097" s="160" t="s">
        <v>1874</v>
      </c>
      <c r="C4097" s="160" t="s">
        <v>1702</v>
      </c>
      <c r="D4097" s="160" t="s">
        <v>2408</v>
      </c>
      <c r="E4097" s="545"/>
      <c r="F4097" s="161">
        <v>61</v>
      </c>
      <c r="G4097" s="161">
        <v>11</v>
      </c>
      <c r="H4097" s="191">
        <v>18</v>
      </c>
      <c r="I4097" s="191">
        <v>15</v>
      </c>
      <c r="J4097" s="191"/>
      <c r="K4097" s="191">
        <v>1.2E-2</v>
      </c>
      <c r="L4097" s="191"/>
      <c r="M4097" s="191"/>
      <c r="N4097" s="191"/>
      <c r="O4097" s="191"/>
      <c r="P4097" s="191"/>
      <c r="Q4097" s="191">
        <v>1.1E-5</v>
      </c>
      <c r="R4097" s="191">
        <v>5.3000000000000001E-7</v>
      </c>
      <c r="S4097" s="191"/>
      <c r="T4097" s="191">
        <v>4.1000000000000003E-8</v>
      </c>
      <c r="U4097" s="439"/>
      <c r="V4097" s="439"/>
      <c r="W4097" s="178">
        <v>30000</v>
      </c>
      <c r="X4097" s="172">
        <f t="shared" si="3"/>
        <v>0.33333333333333331</v>
      </c>
      <c r="Y4097" s="172">
        <f t="shared" si="3"/>
        <v>0.33333333333333331</v>
      </c>
      <c r="Z4097" s="172">
        <f t="shared" si="3"/>
        <v>0.33333333333333331</v>
      </c>
      <c r="AA4097" s="195"/>
      <c r="AB4097" s="172"/>
    </row>
    <row r="4098" spans="1:28" ht="12.75" customHeight="1" x14ac:dyDescent="0.3">
      <c r="A4098" s="161">
        <v>98</v>
      </c>
      <c r="B4098" s="160" t="s">
        <v>1769</v>
      </c>
      <c r="C4098" s="160" t="s">
        <v>1975</v>
      </c>
      <c r="D4098" s="160" t="s">
        <v>2408</v>
      </c>
      <c r="E4098" s="545"/>
      <c r="F4098" s="161">
        <v>174</v>
      </c>
      <c r="G4098" s="161">
        <v>9</v>
      </c>
      <c r="H4098" s="191">
        <v>17</v>
      </c>
      <c r="I4098" s="191">
        <v>30000</v>
      </c>
      <c r="J4098" s="191"/>
      <c r="K4098" s="191">
        <v>4.5</v>
      </c>
      <c r="L4098" s="191"/>
      <c r="M4098" s="191"/>
      <c r="N4098" s="191"/>
      <c r="O4098" s="191"/>
      <c r="P4098" s="191"/>
      <c r="Q4098" s="191"/>
      <c r="R4098" s="191">
        <v>5.3000000000000003E-10</v>
      </c>
      <c r="S4098" s="191"/>
      <c r="T4098" s="191"/>
      <c r="U4098" s="439"/>
      <c r="V4098" s="439"/>
      <c r="W4098" s="178">
        <v>30000</v>
      </c>
      <c r="X4098" s="172">
        <f t="shared" si="3"/>
        <v>0.33333333333333331</v>
      </c>
      <c r="Y4098" s="172">
        <f t="shared" si="3"/>
        <v>0.33333333333333331</v>
      </c>
      <c r="Z4098" s="172">
        <f t="shared" si="3"/>
        <v>0.33333333333333331</v>
      </c>
      <c r="AA4098" s="195"/>
      <c r="AB4098" s="172"/>
    </row>
    <row r="4099" spans="1:28" ht="12.75" customHeight="1" x14ac:dyDescent="0.3">
      <c r="A4099" s="161">
        <v>99</v>
      </c>
      <c r="B4099" s="160" t="s">
        <v>1860</v>
      </c>
      <c r="C4099" s="160" t="s">
        <v>1609</v>
      </c>
      <c r="D4099" s="160" t="s">
        <v>2408</v>
      </c>
      <c r="E4099" s="545"/>
      <c r="F4099" s="161">
        <v>150</v>
      </c>
      <c r="G4099" s="161">
        <v>100</v>
      </c>
      <c r="H4099" s="191">
        <v>0.5</v>
      </c>
      <c r="I4099" s="191">
        <v>800</v>
      </c>
      <c r="J4099" s="191"/>
      <c r="K4099" s="191">
        <v>280</v>
      </c>
      <c r="L4099" s="191"/>
      <c r="M4099" s="191"/>
      <c r="N4099" s="191"/>
      <c r="O4099" s="191"/>
      <c r="P4099" s="191"/>
      <c r="Q4099" s="191">
        <v>2.5000000000000001E-5</v>
      </c>
      <c r="R4099" s="191">
        <v>5.3000000000000001E-7</v>
      </c>
      <c r="S4099" s="191"/>
      <c r="T4099" s="191">
        <v>8.4999999999999994E-8</v>
      </c>
      <c r="U4099" s="439"/>
      <c r="V4099" s="439"/>
      <c r="W4099" s="178">
        <v>30000</v>
      </c>
      <c r="X4099" s="172">
        <f t="shared" si="3"/>
        <v>0.33333333333333331</v>
      </c>
      <c r="Y4099" s="172">
        <f t="shared" si="3"/>
        <v>0.33333333333333331</v>
      </c>
      <c r="Z4099" s="172">
        <f t="shared" si="3"/>
        <v>0.33333333333333331</v>
      </c>
      <c r="AA4099" s="195"/>
      <c r="AB4099" s="172"/>
    </row>
    <row r="4100" spans="1:28" ht="12.75" customHeight="1" x14ac:dyDescent="0.3">
      <c r="A4100" s="161">
        <v>100</v>
      </c>
      <c r="B4100" s="160" t="s">
        <v>1540</v>
      </c>
      <c r="C4100" s="160">
        <v>27639</v>
      </c>
      <c r="D4100" s="160" t="s">
        <v>2408</v>
      </c>
      <c r="E4100" s="545"/>
      <c r="F4100" s="161">
        <v>85</v>
      </c>
      <c r="G4100" s="161">
        <v>-95</v>
      </c>
      <c r="H4100" s="191">
        <v>47000</v>
      </c>
      <c r="I4100" s="191">
        <v>20000</v>
      </c>
      <c r="J4100" s="191"/>
      <c r="K4100" s="191">
        <v>18</v>
      </c>
      <c r="L4100" s="191"/>
      <c r="M4100" s="191"/>
      <c r="N4100" s="191"/>
      <c r="O4100" s="191"/>
      <c r="P4100" s="191"/>
      <c r="Q4100" s="191">
        <v>7.4000000000000001E-7</v>
      </c>
      <c r="R4100" s="191">
        <v>5.2999999999999998E-8</v>
      </c>
      <c r="S4100" s="191"/>
      <c r="T4100" s="191">
        <v>4.5000000000000001E-6</v>
      </c>
      <c r="U4100" s="439"/>
      <c r="V4100" s="439"/>
      <c r="W4100" s="178">
        <v>30000</v>
      </c>
      <c r="X4100" s="172">
        <f t="shared" si="3"/>
        <v>0.33333333333333331</v>
      </c>
      <c r="Y4100" s="172">
        <f t="shared" si="3"/>
        <v>0.33333333333333331</v>
      </c>
      <c r="Z4100" s="172">
        <f t="shared" si="3"/>
        <v>0.33333333333333331</v>
      </c>
      <c r="AA4100" s="195"/>
      <c r="AB4100" s="172"/>
    </row>
    <row r="4101" spans="1:28" ht="12.75" customHeight="1" x14ac:dyDescent="0.3">
      <c r="A4101" s="161">
        <v>101</v>
      </c>
      <c r="B4101" s="160" t="s">
        <v>1805</v>
      </c>
      <c r="C4101" s="160" t="s">
        <v>1979</v>
      </c>
      <c r="D4101" s="160" t="s">
        <v>2408</v>
      </c>
      <c r="E4101" s="545"/>
      <c r="F4101" s="161">
        <v>196</v>
      </c>
      <c r="G4101" s="161"/>
      <c r="H4101" s="191">
        <v>13</v>
      </c>
      <c r="I4101" s="191">
        <v>1000</v>
      </c>
      <c r="J4101" s="191"/>
      <c r="K4101" s="191">
        <v>4800</v>
      </c>
      <c r="L4101" s="191"/>
      <c r="M4101" s="191"/>
      <c r="N4101" s="191"/>
      <c r="O4101" s="191"/>
      <c r="P4101" s="191"/>
      <c r="Q4101" s="191">
        <v>6.1E-6</v>
      </c>
      <c r="R4101" s="191">
        <v>5.3000000000000003E-10</v>
      </c>
      <c r="S4101" s="191"/>
      <c r="T4101" s="191">
        <v>1.6999999999999999E-7</v>
      </c>
      <c r="U4101" s="439"/>
      <c r="V4101" s="439"/>
      <c r="W4101" s="178">
        <v>30000</v>
      </c>
      <c r="X4101" s="172">
        <f t="shared" si="3"/>
        <v>0.33333333333333331</v>
      </c>
      <c r="Y4101" s="172">
        <f t="shared" si="3"/>
        <v>0.33333333333333331</v>
      </c>
      <c r="Z4101" s="172">
        <f t="shared" si="3"/>
        <v>0.33333333333333331</v>
      </c>
      <c r="AA4101" s="195"/>
      <c r="AB4101" s="172"/>
    </row>
    <row r="4102" spans="1:28" ht="12.75" customHeight="1" x14ac:dyDescent="0.3">
      <c r="A4102" s="161">
        <v>102</v>
      </c>
      <c r="B4102" s="160" t="s">
        <v>1857</v>
      </c>
      <c r="C4102" s="160" t="s">
        <v>1724</v>
      </c>
      <c r="D4102" s="160" t="s">
        <v>2408</v>
      </c>
      <c r="E4102" s="545"/>
      <c r="F4102" s="161">
        <v>90</v>
      </c>
      <c r="G4102" s="161">
        <v>54</v>
      </c>
      <c r="H4102" s="191">
        <v>0.22</v>
      </c>
      <c r="I4102" s="191">
        <v>4.7</v>
      </c>
      <c r="J4102" s="191"/>
      <c r="K4102" s="191">
        <v>0.24</v>
      </c>
      <c r="L4102" s="191"/>
      <c r="M4102" s="191"/>
      <c r="N4102" s="191"/>
      <c r="O4102" s="191"/>
      <c r="P4102" s="191"/>
      <c r="Q4102" s="191">
        <v>4.4000000000000002E-6</v>
      </c>
      <c r="R4102" s="191">
        <v>5.3000000000000001E-7</v>
      </c>
      <c r="S4102" s="191"/>
      <c r="T4102" s="191">
        <v>1.3999999999999999E-6</v>
      </c>
      <c r="U4102" s="439"/>
      <c r="V4102" s="439"/>
      <c r="W4102" s="178">
        <v>30000</v>
      </c>
      <c r="X4102" s="172">
        <f t="shared" si="3"/>
        <v>0.33333333333333331</v>
      </c>
      <c r="Y4102" s="172">
        <f t="shared" si="3"/>
        <v>0.33333333333333331</v>
      </c>
      <c r="Z4102" s="172">
        <f t="shared" si="3"/>
        <v>0.33333333333333331</v>
      </c>
      <c r="AA4102" s="195"/>
      <c r="AB4102" s="172"/>
    </row>
    <row r="4103" spans="1:28" ht="12.75" customHeight="1" x14ac:dyDescent="0.3">
      <c r="A4103" s="161">
        <v>103</v>
      </c>
      <c r="B4103" s="160" t="s">
        <v>1804</v>
      </c>
      <c r="C4103" s="160" t="s">
        <v>1690</v>
      </c>
      <c r="D4103" s="160" t="s">
        <v>2408</v>
      </c>
      <c r="E4103" s="545"/>
      <c r="F4103" s="161">
        <v>116</v>
      </c>
      <c r="G4103" s="161">
        <v>54</v>
      </c>
      <c r="H4103" s="191">
        <v>110</v>
      </c>
      <c r="I4103" s="191">
        <v>0.94</v>
      </c>
      <c r="J4103" s="191"/>
      <c r="K4103" s="191">
        <v>11</v>
      </c>
      <c r="L4103" s="191"/>
      <c r="M4103" s="191"/>
      <c r="N4103" s="191"/>
      <c r="O4103" s="191"/>
      <c r="P4103" s="191"/>
      <c r="Q4103" s="191"/>
      <c r="R4103" s="191">
        <v>5.3000000000000001E-7</v>
      </c>
      <c r="S4103" s="191"/>
      <c r="T4103" s="191"/>
      <c r="U4103" s="439"/>
      <c r="V4103" s="439"/>
      <c r="W4103" s="178">
        <v>30000</v>
      </c>
      <c r="X4103" s="172">
        <f t="shared" si="3"/>
        <v>0.33333333333333331</v>
      </c>
      <c r="Y4103" s="172">
        <f t="shared" si="3"/>
        <v>0.33333333333333331</v>
      </c>
      <c r="Z4103" s="172">
        <f t="shared" si="3"/>
        <v>0.33333333333333331</v>
      </c>
      <c r="AA4103" s="195"/>
      <c r="AB4103" s="172"/>
    </row>
    <row r="4104" spans="1:28" ht="12.75" customHeight="1" x14ac:dyDescent="0.3">
      <c r="A4104" s="161">
        <v>104</v>
      </c>
      <c r="B4104" s="160" t="s">
        <v>1754</v>
      </c>
      <c r="C4104" s="160" t="s">
        <v>1970</v>
      </c>
      <c r="D4104" s="160" t="s">
        <v>2408</v>
      </c>
      <c r="E4104" s="545"/>
      <c r="F4104" s="161">
        <v>184</v>
      </c>
      <c r="G4104" s="161">
        <v>146</v>
      </c>
      <c r="H4104" s="191">
        <v>0.6</v>
      </c>
      <c r="I4104" s="191">
        <v>440</v>
      </c>
      <c r="J4104" s="191"/>
      <c r="K4104" s="191">
        <v>3.3</v>
      </c>
      <c r="L4104" s="191"/>
      <c r="M4104" s="191"/>
      <c r="N4104" s="191"/>
      <c r="O4104" s="191"/>
      <c r="P4104" s="191"/>
      <c r="Q4104" s="191">
        <v>2.7999999999999998E-9</v>
      </c>
      <c r="R4104" s="191">
        <v>5.3000000000000003E-10</v>
      </c>
      <c r="S4104" s="191"/>
      <c r="T4104" s="191">
        <v>1.1999999999999999E-7</v>
      </c>
      <c r="U4104" s="439"/>
      <c r="V4104" s="439"/>
      <c r="W4104" s="178">
        <v>30000</v>
      </c>
      <c r="X4104" s="172">
        <f t="shared" si="3"/>
        <v>0.33333333333333331</v>
      </c>
      <c r="Y4104" s="172">
        <f t="shared" si="3"/>
        <v>0.33333333333333331</v>
      </c>
      <c r="Z4104" s="172">
        <f t="shared" si="3"/>
        <v>0.33333333333333331</v>
      </c>
      <c r="AA4104" s="195"/>
      <c r="AB4104" s="172"/>
    </row>
    <row r="4105" spans="1:28" ht="12.75" customHeight="1" x14ac:dyDescent="0.3">
      <c r="A4105" s="161">
        <v>105</v>
      </c>
      <c r="B4105" s="160" t="s">
        <v>1911</v>
      </c>
      <c r="C4105" s="160" t="s">
        <v>1570</v>
      </c>
      <c r="D4105" s="160" t="s">
        <v>2408</v>
      </c>
      <c r="E4105" s="545"/>
      <c r="F4105" s="161">
        <v>130</v>
      </c>
      <c r="G4105" s="161">
        <v>-67</v>
      </c>
      <c r="H4105" s="191">
        <v>5</v>
      </c>
      <c r="I4105" s="191">
        <v>1100</v>
      </c>
      <c r="J4105" s="191"/>
      <c r="K4105" s="191">
        <v>1300</v>
      </c>
      <c r="L4105" s="191"/>
      <c r="M4105" s="191"/>
      <c r="N4105" s="191"/>
      <c r="O4105" s="191"/>
      <c r="P4105" s="191"/>
      <c r="Q4105" s="191">
        <v>1.5999999999999999E-5</v>
      </c>
      <c r="R4105" s="191">
        <v>5.2999999999999998E-8</v>
      </c>
      <c r="S4105" s="191"/>
      <c r="T4105" s="191">
        <v>4.1000000000000003E-8</v>
      </c>
      <c r="U4105" s="439"/>
      <c r="V4105" s="439"/>
      <c r="W4105" s="178">
        <v>30000</v>
      </c>
      <c r="X4105" s="172">
        <f t="shared" si="3"/>
        <v>0.33333333333333331</v>
      </c>
      <c r="Y4105" s="172">
        <f t="shared" si="3"/>
        <v>0.33333333333333331</v>
      </c>
      <c r="Z4105" s="172">
        <f t="shared" si="3"/>
        <v>0.33333333333333331</v>
      </c>
      <c r="AA4105" s="195"/>
      <c r="AB4105" s="172"/>
    </row>
    <row r="4106" spans="1:28" ht="12.75" customHeight="1" x14ac:dyDescent="0.3">
      <c r="A4106" s="161">
        <v>106</v>
      </c>
      <c r="B4106" s="160" t="s">
        <v>1920</v>
      </c>
      <c r="C4106" s="160" t="s">
        <v>1727</v>
      </c>
      <c r="D4106" s="160" t="s">
        <v>2408</v>
      </c>
      <c r="E4106" s="545"/>
      <c r="F4106" s="161">
        <v>544</v>
      </c>
      <c r="G4106" s="161">
        <v>178</v>
      </c>
      <c r="H4106" s="191">
        <v>4.1999999999999998E-13</v>
      </c>
      <c r="I4106" s="191">
        <v>4.2</v>
      </c>
      <c r="J4106" s="191"/>
      <c r="K4106" s="191">
        <v>35000</v>
      </c>
      <c r="L4106" s="191"/>
      <c r="M4106" s="191"/>
      <c r="N4106" s="191"/>
      <c r="O4106" s="191"/>
      <c r="P4106" s="191"/>
      <c r="Q4106" s="191">
        <v>2.2000000000000001E-6</v>
      </c>
      <c r="R4106" s="191">
        <v>5.3000000000000003E-10</v>
      </c>
      <c r="S4106" s="191"/>
      <c r="T4106" s="191">
        <v>7.1E-8</v>
      </c>
      <c r="U4106" s="439"/>
      <c r="V4106" s="439"/>
      <c r="W4106" s="178">
        <v>30000</v>
      </c>
      <c r="X4106" s="172">
        <f t="shared" si="3"/>
        <v>0.33333333333333331</v>
      </c>
      <c r="Y4106" s="172">
        <f t="shared" si="3"/>
        <v>0.33333333333333331</v>
      </c>
      <c r="Z4106" s="172">
        <f t="shared" si="3"/>
        <v>0.33333333333333331</v>
      </c>
      <c r="AA4106" s="195"/>
      <c r="AB4106" s="172"/>
    </row>
    <row r="4107" spans="1:28" ht="12.75" customHeight="1" x14ac:dyDescent="0.3">
      <c r="A4107" s="161">
        <v>107</v>
      </c>
      <c r="B4107" s="160" t="s">
        <v>1941</v>
      </c>
      <c r="C4107" s="160" t="s">
        <v>1640</v>
      </c>
      <c r="D4107" s="160" t="s">
        <v>2408</v>
      </c>
      <c r="E4107" s="545"/>
      <c r="F4107" s="161">
        <v>172</v>
      </c>
      <c r="G4107" s="161">
        <v>63</v>
      </c>
      <c r="H4107" s="191">
        <v>0.52</v>
      </c>
      <c r="I4107" s="191">
        <v>49</v>
      </c>
      <c r="J4107" s="191"/>
      <c r="K4107" s="191">
        <v>1600</v>
      </c>
      <c r="L4107" s="191"/>
      <c r="M4107" s="191"/>
      <c r="N4107" s="191"/>
      <c r="O4107" s="191"/>
      <c r="P4107" s="191"/>
      <c r="Q4107" s="191"/>
      <c r="R4107" s="191">
        <v>5.3000000000000003E-10</v>
      </c>
      <c r="S4107" s="191"/>
      <c r="T4107" s="191"/>
      <c r="U4107" s="439"/>
      <c r="V4107" s="439"/>
      <c r="W4107" s="178">
        <v>30000</v>
      </c>
      <c r="X4107" s="172">
        <f t="shared" si="3"/>
        <v>0.33333333333333331</v>
      </c>
      <c r="Y4107" s="172">
        <f t="shared" si="3"/>
        <v>0.33333333333333331</v>
      </c>
      <c r="Z4107" s="172">
        <f t="shared" si="3"/>
        <v>0.33333333333333331</v>
      </c>
      <c r="AA4107" s="195"/>
      <c r="AB4107" s="172"/>
    </row>
    <row r="4108" spans="1:28" ht="12.75" customHeight="1" x14ac:dyDescent="0.3">
      <c r="A4108" s="161">
        <v>108</v>
      </c>
      <c r="B4108" s="160" t="s">
        <v>1957</v>
      </c>
      <c r="C4108" s="160" t="s">
        <v>1668</v>
      </c>
      <c r="D4108" s="160" t="s">
        <v>2408</v>
      </c>
      <c r="E4108" s="545"/>
      <c r="F4108" s="161">
        <v>132</v>
      </c>
      <c r="G4108" s="161">
        <v>-62</v>
      </c>
      <c r="H4108" s="191">
        <v>8.4</v>
      </c>
      <c r="I4108" s="191">
        <v>230000</v>
      </c>
      <c r="J4108" s="191"/>
      <c r="K4108" s="191">
        <v>1.7</v>
      </c>
      <c r="L4108" s="191"/>
      <c r="M4108" s="191"/>
      <c r="N4108" s="191"/>
      <c r="O4108" s="191"/>
      <c r="P4108" s="191"/>
      <c r="Q4108" s="191"/>
      <c r="R4108" s="191">
        <v>5.2999999999999998E-8</v>
      </c>
      <c r="S4108" s="191"/>
      <c r="T4108" s="191"/>
      <c r="U4108" s="439"/>
      <c r="V4108" s="439"/>
      <c r="W4108" s="178">
        <v>30000</v>
      </c>
      <c r="X4108" s="172">
        <f t="shared" si="3"/>
        <v>0.33333333333333331</v>
      </c>
      <c r="Y4108" s="172">
        <f t="shared" si="3"/>
        <v>0.33333333333333331</v>
      </c>
      <c r="Z4108" s="172">
        <f t="shared" si="3"/>
        <v>0.33333333333333331</v>
      </c>
      <c r="AA4108" s="195"/>
      <c r="AB4108" s="172"/>
    </row>
    <row r="4109" spans="1:28" ht="12.75" customHeight="1" x14ac:dyDescent="0.3">
      <c r="A4109" s="161">
        <v>109</v>
      </c>
      <c r="B4109" s="160" t="s">
        <v>1848</v>
      </c>
      <c r="C4109" s="160" t="s">
        <v>1986</v>
      </c>
      <c r="D4109" s="160" t="s">
        <v>2408</v>
      </c>
      <c r="E4109" s="545"/>
      <c r="F4109" s="161">
        <v>204</v>
      </c>
      <c r="G4109" s="161">
        <v>-32</v>
      </c>
      <c r="H4109" s="191">
        <v>1.3</v>
      </c>
      <c r="I4109" s="191">
        <v>65000</v>
      </c>
      <c r="J4109" s="191"/>
      <c r="K4109" s="191">
        <v>59</v>
      </c>
      <c r="L4109" s="191"/>
      <c r="M4109" s="191"/>
      <c r="N4109" s="191"/>
      <c r="O4109" s="191"/>
      <c r="P4109" s="191"/>
      <c r="Q4109" s="191"/>
      <c r="R4109" s="191">
        <v>5.3000000000000001E-7</v>
      </c>
      <c r="S4109" s="191"/>
      <c r="T4109" s="191"/>
      <c r="U4109" s="439"/>
      <c r="V4109" s="439"/>
      <c r="W4109" s="178">
        <v>30000</v>
      </c>
      <c r="X4109" s="172">
        <f t="shared" si="3"/>
        <v>0.33333333333333331</v>
      </c>
      <c r="Y4109" s="172">
        <f t="shared" si="3"/>
        <v>0.33333333333333331</v>
      </c>
      <c r="Z4109" s="172">
        <f t="shared" si="3"/>
        <v>0.33333333333333331</v>
      </c>
      <c r="AA4109" s="195"/>
      <c r="AB4109" s="172"/>
    </row>
    <row r="4110" spans="1:28" ht="12.75" customHeight="1" x14ac:dyDescent="0.3">
      <c r="A4110" s="161">
        <v>110</v>
      </c>
      <c r="B4110" s="160" t="s">
        <v>1948</v>
      </c>
      <c r="C4110" s="160">
        <v>23415</v>
      </c>
      <c r="D4110" s="160" t="s">
        <v>2408</v>
      </c>
      <c r="E4110" s="545"/>
      <c r="F4110" s="161">
        <v>380</v>
      </c>
      <c r="G4110" s="161">
        <v>350</v>
      </c>
      <c r="H4110" s="191">
        <v>2.0000000000000001E-10</v>
      </c>
      <c r="I4110" s="191">
        <v>1100000</v>
      </c>
      <c r="J4110" s="191"/>
      <c r="K4110" s="191">
        <v>1.2</v>
      </c>
      <c r="L4110" s="191"/>
      <c r="M4110" s="191"/>
      <c r="N4110" s="191"/>
      <c r="O4110" s="191"/>
      <c r="P4110" s="191"/>
      <c r="Q4110" s="191"/>
      <c r="R4110" s="191">
        <v>5.3000000000000003E-10</v>
      </c>
      <c r="S4110" s="191"/>
      <c r="T4110" s="191"/>
      <c r="U4110" s="439"/>
      <c r="V4110" s="439"/>
      <c r="W4110" s="178">
        <v>30000</v>
      </c>
      <c r="X4110" s="172">
        <f t="shared" si="3"/>
        <v>0.33333333333333331</v>
      </c>
      <c r="Y4110" s="172">
        <f t="shared" si="3"/>
        <v>0.33333333333333331</v>
      </c>
      <c r="Z4110" s="172">
        <f t="shared" si="3"/>
        <v>0.33333333333333331</v>
      </c>
      <c r="AA4110" s="195"/>
      <c r="AB4110" s="172"/>
    </row>
    <row r="4111" spans="1:28" ht="12.75" customHeight="1" x14ac:dyDescent="0.3">
      <c r="A4111" s="161">
        <v>111</v>
      </c>
      <c r="B4111" s="160" t="s">
        <v>1919</v>
      </c>
      <c r="C4111" s="160">
        <v>29135</v>
      </c>
      <c r="D4111" s="160" t="s">
        <v>2408</v>
      </c>
      <c r="E4111" s="545"/>
      <c r="F4111" s="161">
        <v>72</v>
      </c>
      <c r="G4111" s="161">
        <v>13</v>
      </c>
      <c r="H4111" s="191">
        <v>380</v>
      </c>
      <c r="I4111" s="191">
        <v>0.28000000000000003</v>
      </c>
      <c r="J4111" s="191"/>
      <c r="K4111" s="191">
        <v>2.6</v>
      </c>
      <c r="L4111" s="191"/>
      <c r="M4111" s="191"/>
      <c r="N4111" s="191"/>
      <c r="O4111" s="191"/>
      <c r="P4111" s="191"/>
      <c r="Q4111" s="191"/>
      <c r="R4111" s="191">
        <v>5.2999999999999998E-8</v>
      </c>
      <c r="S4111" s="191"/>
      <c r="T4111" s="191"/>
      <c r="U4111" s="439"/>
      <c r="V4111" s="439"/>
      <c r="W4111" s="178">
        <v>30000</v>
      </c>
      <c r="X4111" s="172">
        <f t="shared" si="3"/>
        <v>0.33333333333333331</v>
      </c>
      <c r="Y4111" s="172">
        <f t="shared" si="3"/>
        <v>0.33333333333333331</v>
      </c>
      <c r="Z4111" s="172">
        <f t="shared" si="3"/>
        <v>0.33333333333333331</v>
      </c>
      <c r="AA4111" s="195"/>
      <c r="AB4111" s="172"/>
    </row>
    <row r="4112" spans="1:28" ht="12.75" customHeight="1" x14ac:dyDescent="0.3">
      <c r="A4112" s="161">
        <v>112</v>
      </c>
      <c r="B4112" s="160" t="s">
        <v>1868</v>
      </c>
      <c r="C4112" s="160" t="s">
        <v>1679</v>
      </c>
      <c r="D4112" s="160" t="s">
        <v>2408</v>
      </c>
      <c r="E4112" s="545"/>
      <c r="F4112" s="161">
        <v>162</v>
      </c>
      <c r="G4112" s="161">
        <v>-68</v>
      </c>
      <c r="H4112" s="191">
        <v>2</v>
      </c>
      <c r="I4112" s="191">
        <v>1000000</v>
      </c>
      <c r="J4112" s="191"/>
      <c r="K4112" s="191">
        <v>4</v>
      </c>
      <c r="L4112" s="191"/>
      <c r="M4112" s="191"/>
      <c r="N4112" s="191"/>
      <c r="O4112" s="191"/>
      <c r="P4112" s="191"/>
      <c r="Q4112" s="191">
        <v>3.0000000000000001E-5</v>
      </c>
      <c r="R4112" s="191">
        <v>5.3000000000000001E-7</v>
      </c>
      <c r="S4112" s="191"/>
      <c r="T4112" s="191">
        <v>4.1000000000000003E-8</v>
      </c>
      <c r="U4112" s="439"/>
      <c r="V4112" s="439"/>
      <c r="W4112" s="178">
        <v>30000</v>
      </c>
      <c r="X4112" s="172">
        <f t="shared" si="3"/>
        <v>0.33333333333333331</v>
      </c>
      <c r="Y4112" s="172">
        <f t="shared" si="3"/>
        <v>0.33333333333333331</v>
      </c>
      <c r="Z4112" s="172">
        <f t="shared" si="3"/>
        <v>0.33333333333333331</v>
      </c>
      <c r="AA4112" s="195"/>
      <c r="AB4112" s="172"/>
    </row>
    <row r="4113" spans="1:28" ht="12.75" customHeight="1" x14ac:dyDescent="0.3">
      <c r="A4113" s="161">
        <v>113</v>
      </c>
      <c r="B4113" s="160" t="s">
        <v>1938</v>
      </c>
      <c r="C4113" s="160" t="s">
        <v>1681</v>
      </c>
      <c r="D4113" s="160" t="s">
        <v>2408</v>
      </c>
      <c r="E4113" s="545"/>
      <c r="F4113" s="161">
        <v>186</v>
      </c>
      <c r="G4113" s="161">
        <v>24</v>
      </c>
      <c r="H4113" s="191">
        <v>2.4</v>
      </c>
      <c r="I4113" s="191">
        <v>20</v>
      </c>
      <c r="J4113" s="191"/>
      <c r="K4113" s="191">
        <v>180000</v>
      </c>
      <c r="L4113" s="191"/>
      <c r="M4113" s="191"/>
      <c r="N4113" s="191"/>
      <c r="O4113" s="191"/>
      <c r="P4113" s="191"/>
      <c r="Q4113" s="191">
        <v>1.4E-5</v>
      </c>
      <c r="R4113" s="191">
        <v>5.3000000000000001E-7</v>
      </c>
      <c r="S4113" s="191"/>
      <c r="T4113" s="191">
        <v>7.6000000000000003E-7</v>
      </c>
      <c r="U4113" s="439"/>
      <c r="V4113" s="439"/>
      <c r="W4113" s="178">
        <v>30000</v>
      </c>
      <c r="X4113" s="172">
        <f t="shared" si="3"/>
        <v>0.33333333333333331</v>
      </c>
      <c r="Y4113" s="172">
        <f t="shared" si="3"/>
        <v>0.33333333333333331</v>
      </c>
      <c r="Z4113" s="172">
        <f t="shared" si="3"/>
        <v>0.33333333333333331</v>
      </c>
      <c r="AA4113" s="195"/>
      <c r="AB4113" s="172"/>
    </row>
    <row r="4114" spans="1:28" ht="12.75" customHeight="1" x14ac:dyDescent="0.3">
      <c r="A4114" s="161">
        <v>114</v>
      </c>
      <c r="B4114" s="160" t="s">
        <v>1559</v>
      </c>
      <c r="C4114" s="160" t="s">
        <v>1651</v>
      </c>
      <c r="D4114" s="160" t="s">
        <v>2408</v>
      </c>
      <c r="E4114" s="545"/>
      <c r="F4114" s="161">
        <v>170</v>
      </c>
      <c r="G4114" s="161">
        <v>27</v>
      </c>
      <c r="H4114" s="191">
        <v>1.6999999999999999E-3</v>
      </c>
      <c r="I4114" s="191">
        <v>21</v>
      </c>
      <c r="J4114" s="191"/>
      <c r="K4114" s="191">
        <v>17000</v>
      </c>
      <c r="L4114" s="191"/>
      <c r="M4114" s="191"/>
      <c r="N4114" s="191"/>
      <c r="O4114" s="191"/>
      <c r="P4114" s="191"/>
      <c r="Q4114" s="191"/>
      <c r="R4114" s="191">
        <v>5.3000000000000001E-7</v>
      </c>
      <c r="S4114" s="191"/>
      <c r="T4114" s="191"/>
      <c r="U4114" s="439"/>
      <c r="V4114" s="439"/>
      <c r="W4114" s="178">
        <v>30000</v>
      </c>
      <c r="X4114" s="172">
        <f t="shared" si="3"/>
        <v>0.33333333333333331</v>
      </c>
      <c r="Y4114" s="172">
        <f t="shared" si="3"/>
        <v>0.33333333333333331</v>
      </c>
      <c r="Z4114" s="172">
        <f t="shared" si="3"/>
        <v>0.33333333333333331</v>
      </c>
      <c r="AA4114" s="195"/>
      <c r="AB4114" s="172"/>
    </row>
    <row r="4115" spans="1:28" ht="12.75" customHeight="1" x14ac:dyDescent="0.3">
      <c r="A4115" s="161">
        <v>115</v>
      </c>
      <c r="B4115" s="160" t="s">
        <v>1937</v>
      </c>
      <c r="C4115" s="160" t="s">
        <v>1672</v>
      </c>
      <c r="D4115" s="160" t="s">
        <v>2408</v>
      </c>
      <c r="E4115" s="545"/>
      <c r="F4115" s="161">
        <v>122</v>
      </c>
      <c r="G4115" s="161">
        <v>-18</v>
      </c>
      <c r="H4115" s="191">
        <v>1.4999999999999999E-2</v>
      </c>
      <c r="I4115" s="191">
        <v>7.5</v>
      </c>
      <c r="J4115" s="191"/>
      <c r="K4115" s="191">
        <v>0.18</v>
      </c>
      <c r="L4115" s="191"/>
      <c r="M4115" s="191"/>
      <c r="N4115" s="191"/>
      <c r="O4115" s="191"/>
      <c r="P4115" s="191"/>
      <c r="Q4115" s="191"/>
      <c r="R4115" s="191">
        <v>5.3000000000000003E-10</v>
      </c>
      <c r="S4115" s="191"/>
      <c r="T4115" s="191"/>
      <c r="U4115" s="439"/>
      <c r="V4115" s="439"/>
      <c r="W4115" s="178">
        <v>30000</v>
      </c>
      <c r="X4115" s="172">
        <f t="shared" si="3"/>
        <v>0.33333333333333331</v>
      </c>
      <c r="Y4115" s="172">
        <f t="shared" si="3"/>
        <v>0.33333333333333331</v>
      </c>
      <c r="Z4115" s="172">
        <f t="shared" si="3"/>
        <v>0.33333333333333331</v>
      </c>
      <c r="AA4115" s="195"/>
      <c r="AB4115" s="172"/>
    </row>
    <row r="4116" spans="1:28" ht="12.75" customHeight="1" x14ac:dyDescent="0.3">
      <c r="A4116" s="161">
        <v>116</v>
      </c>
      <c r="B4116" s="160" t="s">
        <v>1939</v>
      </c>
      <c r="C4116" s="160" t="s">
        <v>1586</v>
      </c>
      <c r="D4116" s="160" t="s">
        <v>2408</v>
      </c>
      <c r="E4116" s="545"/>
      <c r="F4116" s="161">
        <v>285</v>
      </c>
      <c r="G4116" s="161">
        <v>-57</v>
      </c>
      <c r="H4116" s="191">
        <v>1.6999999999999999E-3</v>
      </c>
      <c r="I4116" s="191">
        <v>7800</v>
      </c>
      <c r="J4116" s="191"/>
      <c r="K4116" s="191">
        <v>60</v>
      </c>
      <c r="L4116" s="191"/>
      <c r="M4116" s="191"/>
      <c r="N4116" s="191"/>
      <c r="O4116" s="191"/>
      <c r="P4116" s="191"/>
      <c r="Q4116" s="191">
        <v>8.6999999999999997E-6</v>
      </c>
      <c r="R4116" s="191">
        <v>5.3000000000000003E-10</v>
      </c>
      <c r="S4116" s="191"/>
      <c r="T4116" s="191">
        <v>8.0000000000000002E-8</v>
      </c>
      <c r="U4116" s="439"/>
      <c r="V4116" s="439"/>
      <c r="W4116" s="178">
        <v>30000</v>
      </c>
      <c r="X4116" s="172">
        <f t="shared" si="3"/>
        <v>0.33333333333333331</v>
      </c>
      <c r="Y4116" s="172">
        <f t="shared" si="3"/>
        <v>0.33333333333333331</v>
      </c>
      <c r="Z4116" s="172">
        <f t="shared" si="3"/>
        <v>0.33333333333333331</v>
      </c>
      <c r="AA4116" s="195"/>
      <c r="AB4116" s="172"/>
    </row>
    <row r="4117" spans="1:28" ht="12.75" customHeight="1" x14ac:dyDescent="0.3">
      <c r="A4117" s="161">
        <v>117</v>
      </c>
      <c r="B4117" s="160" t="s">
        <v>1795</v>
      </c>
      <c r="C4117" s="160" t="s">
        <v>1652</v>
      </c>
      <c r="D4117" s="160" t="s">
        <v>2408</v>
      </c>
      <c r="E4117" s="545"/>
      <c r="F4117" s="161">
        <v>177</v>
      </c>
      <c r="G4117" s="161">
        <v>82</v>
      </c>
      <c r="H4117" s="191">
        <v>1</v>
      </c>
      <c r="I4117" s="191">
        <v>10000</v>
      </c>
      <c r="J4117" s="191"/>
      <c r="K4117" s="191">
        <v>5.8</v>
      </c>
      <c r="L4117" s="191"/>
      <c r="M4117" s="191"/>
      <c r="N4117" s="191"/>
      <c r="O4117" s="191"/>
      <c r="P4117" s="191"/>
      <c r="Q4117" s="191"/>
      <c r="R4117" s="191">
        <v>5.2999999999999998E-8</v>
      </c>
      <c r="S4117" s="191"/>
      <c r="T4117" s="191"/>
      <c r="U4117" s="439"/>
      <c r="V4117" s="439"/>
      <c r="W4117" s="178">
        <v>30000</v>
      </c>
      <c r="X4117" s="172">
        <f t="shared" si="3"/>
        <v>0.33333333333333331</v>
      </c>
      <c r="Y4117" s="172">
        <f t="shared" si="3"/>
        <v>0.33333333333333331</v>
      </c>
      <c r="Z4117" s="172">
        <f t="shared" si="3"/>
        <v>0.33333333333333331</v>
      </c>
      <c r="AA4117" s="195"/>
      <c r="AB4117" s="172"/>
    </row>
    <row r="4118" spans="1:28" ht="12.75" customHeight="1" x14ac:dyDescent="0.3">
      <c r="A4118" s="161">
        <v>118</v>
      </c>
      <c r="B4118" s="160" t="s">
        <v>1537</v>
      </c>
      <c r="C4118" s="160" t="s">
        <v>1536</v>
      </c>
      <c r="D4118" s="160" t="s">
        <v>2408</v>
      </c>
      <c r="E4118" s="545"/>
      <c r="F4118" s="161">
        <v>138</v>
      </c>
      <c r="G4118" s="161">
        <v>159</v>
      </c>
      <c r="H4118" s="191">
        <v>9.3000000000000005E-4</v>
      </c>
      <c r="I4118" s="191">
        <v>2100</v>
      </c>
      <c r="J4118" s="191"/>
      <c r="K4118" s="191">
        <v>170</v>
      </c>
      <c r="L4118" s="191"/>
      <c r="M4118" s="191"/>
      <c r="N4118" s="191"/>
      <c r="O4118" s="191"/>
      <c r="P4118" s="191"/>
      <c r="Q4118" s="191"/>
      <c r="R4118" s="191">
        <v>5.3000000000000001E-7</v>
      </c>
      <c r="S4118" s="191"/>
      <c r="T4118" s="191"/>
      <c r="U4118" s="439"/>
      <c r="V4118" s="439"/>
      <c r="W4118" s="178">
        <v>30000</v>
      </c>
      <c r="X4118" s="172">
        <f t="shared" si="3"/>
        <v>0.33333333333333331</v>
      </c>
      <c r="Y4118" s="172">
        <f t="shared" si="3"/>
        <v>0.33333333333333331</v>
      </c>
      <c r="Z4118" s="172">
        <f t="shared" si="3"/>
        <v>0.33333333333333331</v>
      </c>
      <c r="AA4118" s="195"/>
      <c r="AB4118" s="172"/>
    </row>
    <row r="4119" spans="1:28" ht="12.75" customHeight="1" x14ac:dyDescent="0.3">
      <c r="A4119" s="161">
        <v>119</v>
      </c>
      <c r="B4119" s="160" t="s">
        <v>1778</v>
      </c>
      <c r="C4119" s="160" t="s">
        <v>1573</v>
      </c>
      <c r="D4119" s="160" t="s">
        <v>2408</v>
      </c>
      <c r="E4119" s="545"/>
      <c r="F4119" s="161">
        <v>62</v>
      </c>
      <c r="G4119" s="161">
        <v>-13</v>
      </c>
      <c r="H4119" s="191">
        <v>7.9</v>
      </c>
      <c r="I4119" s="191">
        <v>18</v>
      </c>
      <c r="J4119" s="191"/>
      <c r="K4119" s="191">
        <v>4.2999999999999997E-2</v>
      </c>
      <c r="L4119" s="191"/>
      <c r="M4119" s="191"/>
      <c r="N4119" s="191"/>
      <c r="O4119" s="191"/>
      <c r="P4119" s="191"/>
      <c r="Q4119" s="191">
        <v>3.1999999999999999E-6</v>
      </c>
      <c r="R4119" s="191">
        <v>5.3000000000000001E-7</v>
      </c>
      <c r="S4119" s="191"/>
      <c r="T4119" s="191">
        <v>4.1000000000000003E-8</v>
      </c>
      <c r="U4119" s="439"/>
      <c r="V4119" s="439"/>
      <c r="W4119" s="178">
        <v>30000</v>
      </c>
      <c r="X4119" s="172">
        <f t="shared" si="3"/>
        <v>0.33333333333333331</v>
      </c>
      <c r="Y4119" s="172">
        <f t="shared" si="3"/>
        <v>0.33333333333333331</v>
      </c>
      <c r="Z4119" s="172">
        <f t="shared" si="3"/>
        <v>0.33333333333333331</v>
      </c>
      <c r="AA4119" s="195"/>
      <c r="AB4119" s="172"/>
    </row>
    <row r="4120" spans="1:28" ht="12.75" customHeight="1" x14ac:dyDescent="0.3">
      <c r="A4120" s="161">
        <v>120</v>
      </c>
      <c r="B4120" s="160" t="s">
        <v>1753</v>
      </c>
      <c r="C4120" s="160" t="s">
        <v>1623</v>
      </c>
      <c r="D4120" s="160" t="s">
        <v>2408</v>
      </c>
      <c r="E4120" s="545"/>
      <c r="F4120" s="161">
        <v>89</v>
      </c>
      <c r="G4120" s="161">
        <v>-59</v>
      </c>
      <c r="H4120" s="191">
        <v>5</v>
      </c>
      <c r="I4120" s="191">
        <v>2.8</v>
      </c>
      <c r="J4120" s="191"/>
      <c r="K4120" s="191">
        <v>0.28000000000000003</v>
      </c>
      <c r="L4120" s="191"/>
      <c r="M4120" s="191"/>
      <c r="N4120" s="191"/>
      <c r="O4120" s="191"/>
      <c r="P4120" s="191"/>
      <c r="Q4120" s="191">
        <v>8.7000000000000001E-5</v>
      </c>
      <c r="R4120" s="191">
        <v>5.3000000000000001E-7</v>
      </c>
      <c r="S4120" s="191"/>
      <c r="T4120" s="191">
        <v>9.2999999999999999E-7</v>
      </c>
      <c r="U4120" s="439"/>
      <c r="V4120" s="439"/>
      <c r="W4120" s="178">
        <v>30000</v>
      </c>
      <c r="X4120" s="172">
        <f t="shared" si="3"/>
        <v>0.33333333333333331</v>
      </c>
      <c r="Y4120" s="172">
        <f t="shared" si="3"/>
        <v>0.33333333333333331</v>
      </c>
      <c r="Z4120" s="172">
        <f t="shared" si="3"/>
        <v>0.33333333333333331</v>
      </c>
      <c r="AA4120" s="195"/>
      <c r="AB4120" s="172"/>
    </row>
    <row r="4121" spans="1:28" ht="12.75" customHeight="1" x14ac:dyDescent="0.3">
      <c r="A4121" s="161">
        <v>121</v>
      </c>
      <c r="B4121" s="160" t="s">
        <v>1818</v>
      </c>
      <c r="C4121" s="160" t="s">
        <v>1631</v>
      </c>
      <c r="D4121" s="160" t="s">
        <v>2408</v>
      </c>
      <c r="E4121" s="545"/>
      <c r="F4121" s="161">
        <v>215</v>
      </c>
      <c r="G4121" s="161">
        <v>94</v>
      </c>
      <c r="H4121" s="191">
        <v>0.08</v>
      </c>
      <c r="I4121" s="191">
        <v>730</v>
      </c>
      <c r="J4121" s="191"/>
      <c r="K4121" s="191">
        <v>15</v>
      </c>
      <c r="L4121" s="191"/>
      <c r="M4121" s="191"/>
      <c r="N4121" s="191"/>
      <c r="O4121" s="191"/>
      <c r="P4121" s="191"/>
      <c r="Q4121" s="191"/>
      <c r="R4121" s="191">
        <v>5.3000000000000003E-10</v>
      </c>
      <c r="S4121" s="191"/>
      <c r="T4121" s="191"/>
      <c r="U4121" s="439"/>
      <c r="V4121" s="439"/>
      <c r="W4121" s="178">
        <v>30000</v>
      </c>
      <c r="X4121" s="172">
        <f t="shared" si="3"/>
        <v>0.33333333333333331</v>
      </c>
      <c r="Y4121" s="172">
        <f t="shared" si="3"/>
        <v>0.33333333333333331</v>
      </c>
      <c r="Z4121" s="172">
        <f t="shared" si="3"/>
        <v>0.33333333333333331</v>
      </c>
      <c r="AA4121" s="195"/>
      <c r="AB4121" s="172"/>
    </row>
    <row r="4122" spans="1:28" ht="12.75" customHeight="1" x14ac:dyDescent="0.3">
      <c r="A4122" s="161">
        <v>122</v>
      </c>
      <c r="B4122" s="160" t="s">
        <v>1800</v>
      </c>
      <c r="C4122" s="160" t="s">
        <v>1671</v>
      </c>
      <c r="D4122" s="160" t="s">
        <v>2408</v>
      </c>
      <c r="E4122" s="545"/>
      <c r="F4122" s="161">
        <v>105</v>
      </c>
      <c r="G4122" s="161">
        <v>28</v>
      </c>
      <c r="H4122" s="191">
        <v>3.6999999999999998E-2</v>
      </c>
      <c r="I4122" s="191">
        <v>95000</v>
      </c>
      <c r="J4122" s="191"/>
      <c r="K4122" s="191">
        <v>6.6E-3</v>
      </c>
      <c r="L4122" s="191"/>
      <c r="M4122" s="191"/>
      <c r="N4122" s="191"/>
      <c r="O4122" s="191"/>
      <c r="P4122" s="191"/>
      <c r="Q4122" s="191"/>
      <c r="R4122" s="191">
        <v>5.2999999999999998E-8</v>
      </c>
      <c r="S4122" s="191"/>
      <c r="T4122" s="191"/>
      <c r="U4122" s="439"/>
      <c r="V4122" s="439"/>
      <c r="W4122" s="178">
        <v>30000</v>
      </c>
      <c r="X4122" s="172">
        <f t="shared" si="3"/>
        <v>0.33333333333333331</v>
      </c>
      <c r="Y4122" s="172">
        <f t="shared" si="3"/>
        <v>0.33333333333333331</v>
      </c>
      <c r="Z4122" s="172">
        <f t="shared" si="3"/>
        <v>0.33333333333333331</v>
      </c>
      <c r="AA4122" s="195"/>
      <c r="AB4122" s="172"/>
    </row>
    <row r="4123" spans="1:28" ht="12.75" customHeight="1" x14ac:dyDescent="0.3">
      <c r="A4123" s="161">
        <v>123</v>
      </c>
      <c r="B4123" s="160" t="s">
        <v>1558</v>
      </c>
      <c r="C4123" s="160" t="s">
        <v>1614</v>
      </c>
      <c r="D4123" s="160" t="s">
        <v>2408</v>
      </c>
      <c r="E4123" s="545"/>
      <c r="F4123" s="161">
        <v>65</v>
      </c>
      <c r="G4123" s="161">
        <v>-139</v>
      </c>
      <c r="H4123" s="191">
        <v>130000</v>
      </c>
      <c r="I4123" s="191">
        <v>5800</v>
      </c>
      <c r="J4123" s="191"/>
      <c r="K4123" s="191">
        <v>33</v>
      </c>
      <c r="L4123" s="191"/>
      <c r="M4123" s="191"/>
      <c r="N4123" s="191"/>
      <c r="O4123" s="191"/>
      <c r="P4123" s="191"/>
      <c r="Q4123" s="191">
        <v>1.9999999999999999E-7</v>
      </c>
      <c r="R4123" s="191">
        <v>5.3000000000000003E-10</v>
      </c>
      <c r="S4123" s="191"/>
      <c r="T4123" s="191">
        <v>7.5000000000000002E-7</v>
      </c>
      <c r="U4123" s="439"/>
      <c r="V4123" s="439"/>
      <c r="W4123" s="178">
        <v>30000</v>
      </c>
      <c r="X4123" s="172">
        <f t="shared" si="3"/>
        <v>0.33333333333333331</v>
      </c>
      <c r="Y4123" s="172">
        <f t="shared" si="3"/>
        <v>0.33333333333333331</v>
      </c>
      <c r="Z4123" s="172">
        <f t="shared" si="3"/>
        <v>0.33333333333333331</v>
      </c>
      <c r="AA4123" s="195"/>
      <c r="AB4123" s="172"/>
    </row>
    <row r="4124" spans="1:28" ht="12.75" customHeight="1" x14ac:dyDescent="0.3">
      <c r="A4124" s="161">
        <v>124</v>
      </c>
      <c r="B4124" s="160" t="s">
        <v>1840</v>
      </c>
      <c r="C4124" s="160" t="s">
        <v>883</v>
      </c>
      <c r="D4124" s="160" t="s">
        <v>2408</v>
      </c>
      <c r="E4124" s="545"/>
      <c r="F4124" s="161">
        <v>128</v>
      </c>
      <c r="G4124" s="161">
        <v>79</v>
      </c>
      <c r="H4124" s="191">
        <v>8</v>
      </c>
      <c r="I4124" s="191">
        <v>34</v>
      </c>
      <c r="J4124" s="191"/>
      <c r="K4124" s="191">
        <v>2200</v>
      </c>
      <c r="L4124" s="191"/>
      <c r="M4124" s="191"/>
      <c r="N4124" s="191"/>
      <c r="O4124" s="191"/>
      <c r="P4124" s="191"/>
      <c r="Q4124" s="191">
        <v>4.0000000000000003E-5</v>
      </c>
      <c r="R4124" s="191">
        <v>5.2999999999999998E-8</v>
      </c>
      <c r="S4124" s="191"/>
      <c r="T4124" s="191">
        <v>1.6999999999999999E-7</v>
      </c>
      <c r="U4124" s="439"/>
      <c r="V4124" s="439"/>
      <c r="W4124" s="178">
        <v>30000</v>
      </c>
      <c r="X4124" s="172">
        <f t="shared" si="3"/>
        <v>0.33333333333333331</v>
      </c>
      <c r="Y4124" s="172">
        <f t="shared" si="3"/>
        <v>0.33333333333333331</v>
      </c>
      <c r="Z4124" s="172">
        <f t="shared" si="3"/>
        <v>0.33333333333333331</v>
      </c>
      <c r="AA4124" s="195"/>
      <c r="AB4124" s="172"/>
    </row>
    <row r="4125" spans="1:28" ht="12.75" customHeight="1" x14ac:dyDescent="0.3">
      <c r="A4125" s="161">
        <v>125</v>
      </c>
      <c r="B4125" s="160" t="s">
        <v>1785</v>
      </c>
      <c r="C4125" s="160" t="s">
        <v>1694</v>
      </c>
      <c r="D4125" s="160" t="s">
        <v>2408</v>
      </c>
      <c r="E4125" s="545"/>
      <c r="F4125" s="161">
        <v>270</v>
      </c>
      <c r="G4125" s="161">
        <v>51</v>
      </c>
      <c r="H4125" s="191">
        <v>1.1999999999999999E-3</v>
      </c>
      <c r="I4125" s="191">
        <v>9.5000000000000005E-5</v>
      </c>
      <c r="J4125" s="191"/>
      <c r="K4125" s="191">
        <v>15000000</v>
      </c>
      <c r="L4125" s="191"/>
      <c r="M4125" s="191"/>
      <c r="N4125" s="191"/>
      <c r="O4125" s="191"/>
      <c r="P4125" s="191"/>
      <c r="Q4125" s="191">
        <v>4.5000000000000003E-5</v>
      </c>
      <c r="R4125" s="191">
        <v>5.2999999999999998E-8</v>
      </c>
      <c r="S4125" s="191"/>
      <c r="T4125" s="191">
        <v>1.5E-6</v>
      </c>
      <c r="U4125" s="439"/>
      <c r="V4125" s="439"/>
      <c r="W4125" s="178">
        <v>30000</v>
      </c>
      <c r="X4125" s="172">
        <f t="shared" si="3"/>
        <v>0.33333333333333331</v>
      </c>
      <c r="Y4125" s="172">
        <f t="shared" si="3"/>
        <v>0.33333333333333331</v>
      </c>
      <c r="Z4125" s="172">
        <f t="shared" si="3"/>
        <v>0.33333333333333331</v>
      </c>
      <c r="AA4125" s="195"/>
      <c r="AB4125" s="172"/>
    </row>
    <row r="4126" spans="1:28" ht="12.75" customHeight="1" x14ac:dyDescent="0.3">
      <c r="A4126" s="161">
        <v>126</v>
      </c>
      <c r="B4126" s="160" t="s">
        <v>898</v>
      </c>
      <c r="C4126" s="160" t="s">
        <v>897</v>
      </c>
      <c r="D4126" s="160" t="s">
        <v>2408</v>
      </c>
      <c r="E4126" s="545"/>
      <c r="F4126" s="161">
        <v>182</v>
      </c>
      <c r="G4126" s="161">
        <v>69</v>
      </c>
      <c r="H4126" s="191">
        <v>11</v>
      </c>
      <c r="I4126" s="191">
        <v>300</v>
      </c>
      <c r="J4126" s="191"/>
      <c r="K4126" s="191">
        <v>110</v>
      </c>
      <c r="L4126" s="191"/>
      <c r="M4126" s="191"/>
      <c r="N4126" s="191"/>
      <c r="O4126" s="191"/>
      <c r="P4126" s="191"/>
      <c r="Q4126" s="191">
        <v>2.5999999999999998E-5</v>
      </c>
      <c r="R4126" s="191">
        <v>5.3000000000000003E-10</v>
      </c>
      <c r="S4126" s="191"/>
      <c r="T4126" s="191">
        <v>7.7000000000000004E-7</v>
      </c>
      <c r="U4126" s="439"/>
      <c r="V4126" s="439"/>
      <c r="W4126" s="178">
        <v>30000</v>
      </c>
      <c r="X4126" s="172">
        <f t="shared" si="3"/>
        <v>0.33333333333333331</v>
      </c>
      <c r="Y4126" s="172">
        <f t="shared" si="3"/>
        <v>0.33333333333333331</v>
      </c>
      <c r="Z4126" s="172">
        <f t="shared" si="3"/>
        <v>0.33333333333333331</v>
      </c>
      <c r="AA4126" s="195"/>
      <c r="AB4126" s="172"/>
    </row>
    <row r="4127" spans="1:28" ht="12.75" customHeight="1" x14ac:dyDescent="0.3">
      <c r="A4127" s="161">
        <v>127</v>
      </c>
      <c r="B4127" s="160" t="s">
        <v>1790</v>
      </c>
      <c r="C4127" s="160">
        <v>29007</v>
      </c>
      <c r="D4127" s="160" t="s">
        <v>2408</v>
      </c>
      <c r="E4127" s="545"/>
      <c r="F4127" s="161">
        <v>71</v>
      </c>
      <c r="G4127" s="161">
        <v>60</v>
      </c>
      <c r="H4127" s="191">
        <v>2000</v>
      </c>
      <c r="I4127" s="191">
        <v>2000000</v>
      </c>
      <c r="J4127" s="191"/>
      <c r="K4127" s="191">
        <v>0.11</v>
      </c>
      <c r="L4127" s="191"/>
      <c r="M4127" s="191"/>
      <c r="N4127" s="191"/>
      <c r="O4127" s="191"/>
      <c r="P4127" s="191"/>
      <c r="Q4127" s="191">
        <v>9.5999999999999996E-6</v>
      </c>
      <c r="R4127" s="191">
        <v>5.3000000000000001E-7</v>
      </c>
      <c r="S4127" s="191"/>
      <c r="T4127" s="191">
        <v>4.5000000000000001E-6</v>
      </c>
      <c r="U4127" s="439"/>
      <c r="V4127" s="439"/>
      <c r="W4127" s="178">
        <v>30000</v>
      </c>
      <c r="X4127" s="172">
        <f t="shared" si="3"/>
        <v>0.33333333333333331</v>
      </c>
      <c r="Y4127" s="172">
        <f t="shared" si="3"/>
        <v>0.33333333333333331</v>
      </c>
      <c r="Z4127" s="172">
        <f t="shared" si="3"/>
        <v>0.33333333333333331</v>
      </c>
      <c r="AA4127" s="195"/>
      <c r="AB4127" s="172"/>
    </row>
    <row r="4128" spans="1:28" ht="12.75" customHeight="1" x14ac:dyDescent="0.3">
      <c r="A4128" s="161">
        <v>128</v>
      </c>
      <c r="B4128" s="160" t="s">
        <v>1956</v>
      </c>
      <c r="C4128" s="160" t="s">
        <v>1610</v>
      </c>
      <c r="D4128" s="160" t="s">
        <v>2408</v>
      </c>
      <c r="E4128" s="545"/>
      <c r="F4128" s="161">
        <v>120</v>
      </c>
      <c r="G4128" s="161">
        <v>-96</v>
      </c>
      <c r="H4128" s="191">
        <v>500</v>
      </c>
      <c r="I4128" s="191">
        <v>61</v>
      </c>
      <c r="J4128" s="191"/>
      <c r="K4128" s="191">
        <v>3500</v>
      </c>
      <c r="L4128" s="191"/>
      <c r="M4128" s="191"/>
      <c r="N4128" s="191"/>
      <c r="O4128" s="191"/>
      <c r="P4128" s="191"/>
      <c r="Q4128" s="191">
        <v>6.8000000000000001E-6</v>
      </c>
      <c r="R4128" s="191">
        <v>5.3000000000000003E-10</v>
      </c>
      <c r="S4128" s="191"/>
      <c r="T4128" s="191">
        <v>1.9000000000000001E-7</v>
      </c>
      <c r="U4128" s="439"/>
      <c r="V4128" s="439"/>
      <c r="W4128" s="178">
        <v>30000</v>
      </c>
      <c r="X4128" s="172">
        <f t="shared" si="3"/>
        <v>0.33333333333333331</v>
      </c>
      <c r="Y4128" s="172">
        <f t="shared" si="3"/>
        <v>0.33333333333333331</v>
      </c>
      <c r="Z4128" s="172">
        <f t="shared" si="3"/>
        <v>0.33333333333333331</v>
      </c>
      <c r="AA4128" s="195"/>
      <c r="AB4128" s="172"/>
    </row>
    <row r="4129" spans="1:28" ht="12.75" customHeight="1" x14ac:dyDescent="0.3">
      <c r="A4129" s="161">
        <v>129</v>
      </c>
      <c r="B4129" s="160" t="s">
        <v>1950</v>
      </c>
      <c r="C4129" s="160" t="s">
        <v>1715</v>
      </c>
      <c r="D4129" s="160" t="s">
        <v>2408</v>
      </c>
      <c r="E4129" s="545"/>
      <c r="F4129" s="161">
        <v>60</v>
      </c>
      <c r="G4129" s="161">
        <v>-96</v>
      </c>
      <c r="H4129" s="191">
        <v>1900</v>
      </c>
      <c r="I4129" s="191">
        <v>1000000</v>
      </c>
      <c r="J4129" s="191"/>
      <c r="K4129" s="191">
        <v>2</v>
      </c>
      <c r="L4129" s="191"/>
      <c r="M4129" s="191"/>
      <c r="N4129" s="191"/>
      <c r="O4129" s="191"/>
      <c r="P4129" s="191"/>
      <c r="Q4129" s="191">
        <v>2.7E-6</v>
      </c>
      <c r="R4129" s="191">
        <v>5.2999999999999998E-8</v>
      </c>
      <c r="S4129" s="191"/>
      <c r="T4129" s="191">
        <v>4.1000000000000003E-8</v>
      </c>
      <c r="U4129" s="439"/>
      <c r="V4129" s="439"/>
      <c r="W4129" s="178">
        <v>30000</v>
      </c>
      <c r="X4129" s="172">
        <f t="shared" si="3"/>
        <v>0.33333333333333331</v>
      </c>
      <c r="Y4129" s="172">
        <f t="shared" si="3"/>
        <v>0.33333333333333331</v>
      </c>
      <c r="Z4129" s="172">
        <f t="shared" si="3"/>
        <v>0.33333333333333331</v>
      </c>
      <c r="AA4129" s="195"/>
      <c r="AB4129" s="172"/>
    </row>
    <row r="4130" spans="1:28" ht="12.75" customHeight="1" x14ac:dyDescent="0.3">
      <c r="A4130" s="161">
        <v>130</v>
      </c>
      <c r="B4130" s="160" t="s">
        <v>1792</v>
      </c>
      <c r="C4130" s="160" t="s">
        <v>1601</v>
      </c>
      <c r="D4130" s="160" t="s">
        <v>2408</v>
      </c>
      <c r="E4130" s="545"/>
      <c r="F4130" s="161">
        <v>208</v>
      </c>
      <c r="G4130" s="161">
        <v>286</v>
      </c>
      <c r="H4130" s="191">
        <v>7.4000000000000001E-7</v>
      </c>
      <c r="I4130" s="191">
        <v>0.13</v>
      </c>
      <c r="J4130" s="191"/>
      <c r="K4130" s="191">
        <v>2500</v>
      </c>
      <c r="L4130" s="191"/>
      <c r="M4130" s="191"/>
      <c r="N4130" s="191"/>
      <c r="O4130" s="191"/>
      <c r="P4130" s="191"/>
      <c r="Q4130" s="191"/>
      <c r="R4130" s="191">
        <v>5.3000000000000003E-10</v>
      </c>
      <c r="S4130" s="191"/>
      <c r="T4130" s="191"/>
      <c r="U4130" s="439"/>
      <c r="V4130" s="439"/>
      <c r="W4130" s="178">
        <v>30000</v>
      </c>
      <c r="X4130" s="172">
        <f t="shared" ref="X4130:Z4193" si="4">1/3</f>
        <v>0.33333333333333331</v>
      </c>
      <c r="Y4130" s="172">
        <f t="shared" si="4"/>
        <v>0.33333333333333331</v>
      </c>
      <c r="Z4130" s="172">
        <f t="shared" si="4"/>
        <v>0.33333333333333331</v>
      </c>
      <c r="AA4130" s="195"/>
      <c r="AB4130" s="172"/>
    </row>
    <row r="4131" spans="1:28" ht="12.75" customHeight="1" x14ac:dyDescent="0.3">
      <c r="A4131" s="161">
        <v>131</v>
      </c>
      <c r="B4131" s="160" t="s">
        <v>1899</v>
      </c>
      <c r="C4131" s="160" t="s">
        <v>1594</v>
      </c>
      <c r="D4131" s="160" t="s">
        <v>2408</v>
      </c>
      <c r="E4131" s="545"/>
      <c r="F4131" s="161">
        <v>76</v>
      </c>
      <c r="G4131" s="161">
        <v>-60</v>
      </c>
      <c r="H4131" s="191">
        <v>11</v>
      </c>
      <c r="I4131" s="191">
        <v>9.4</v>
      </c>
      <c r="J4131" s="191"/>
      <c r="K4131" s="191">
        <v>0.2</v>
      </c>
      <c r="L4131" s="191"/>
      <c r="M4131" s="191"/>
      <c r="N4131" s="191"/>
      <c r="O4131" s="191"/>
      <c r="P4131" s="191"/>
      <c r="Q4131" s="191">
        <v>6.8000000000000001E-6</v>
      </c>
      <c r="R4131" s="191">
        <v>5.3000000000000001E-7</v>
      </c>
      <c r="S4131" s="191"/>
      <c r="T4131" s="191">
        <v>3.1000000000000001E-5</v>
      </c>
      <c r="U4131" s="439"/>
      <c r="V4131" s="439"/>
      <c r="W4131" s="178">
        <v>30000</v>
      </c>
      <c r="X4131" s="172">
        <f t="shared" si="4"/>
        <v>0.33333333333333331</v>
      </c>
      <c r="Y4131" s="172">
        <f t="shared" si="4"/>
        <v>0.33333333333333331</v>
      </c>
      <c r="Z4131" s="172">
        <f t="shared" si="4"/>
        <v>0.33333333333333331</v>
      </c>
      <c r="AA4131" s="195"/>
      <c r="AB4131" s="172"/>
    </row>
    <row r="4132" spans="1:28" ht="12.75" customHeight="1" x14ac:dyDescent="0.3">
      <c r="A4132" s="161">
        <v>132</v>
      </c>
      <c r="B4132" s="160" t="s">
        <v>1851</v>
      </c>
      <c r="C4132" s="160" t="s">
        <v>1620</v>
      </c>
      <c r="D4132" s="160" t="s">
        <v>2408</v>
      </c>
      <c r="E4132" s="545"/>
      <c r="F4132" s="161">
        <v>118</v>
      </c>
      <c r="G4132" s="161">
        <v>-77</v>
      </c>
      <c r="H4132" s="191">
        <v>150</v>
      </c>
      <c r="I4132" s="191">
        <v>89</v>
      </c>
      <c r="J4132" s="191"/>
      <c r="K4132" s="191">
        <v>2300</v>
      </c>
      <c r="L4132" s="191"/>
      <c r="M4132" s="191"/>
      <c r="N4132" s="191"/>
      <c r="O4132" s="191"/>
      <c r="P4132" s="191"/>
      <c r="Q4132" s="191"/>
      <c r="R4132" s="191">
        <v>5.3000000000000003E-10</v>
      </c>
      <c r="S4132" s="191"/>
      <c r="T4132" s="191"/>
      <c r="U4132" s="439"/>
      <c r="V4132" s="439"/>
      <c r="W4132" s="178">
        <v>30000</v>
      </c>
      <c r="X4132" s="172">
        <f t="shared" si="4"/>
        <v>0.33333333333333331</v>
      </c>
      <c r="Y4132" s="172">
        <f t="shared" si="4"/>
        <v>0.33333333333333331</v>
      </c>
      <c r="Z4132" s="172">
        <f t="shared" si="4"/>
        <v>0.33333333333333331</v>
      </c>
      <c r="AA4132" s="195"/>
      <c r="AB4132" s="172"/>
    </row>
    <row r="4133" spans="1:28" ht="12.75" customHeight="1" x14ac:dyDescent="0.3">
      <c r="A4133" s="161">
        <v>133</v>
      </c>
      <c r="B4133" s="160" t="s">
        <v>1830</v>
      </c>
      <c r="C4133" s="160" t="s">
        <v>1983</v>
      </c>
      <c r="D4133" s="160" t="s">
        <v>2408</v>
      </c>
      <c r="E4133" s="545"/>
      <c r="F4133" s="161">
        <v>136</v>
      </c>
      <c r="G4133" s="161"/>
      <c r="H4133" s="191">
        <v>2.2000000000000002</v>
      </c>
      <c r="I4133" s="191">
        <v>4.7</v>
      </c>
      <c r="J4133" s="191"/>
      <c r="K4133" s="191">
        <v>20000</v>
      </c>
      <c r="L4133" s="191"/>
      <c r="M4133" s="191"/>
      <c r="N4133" s="191"/>
      <c r="O4133" s="191"/>
      <c r="P4133" s="191"/>
      <c r="Q4133" s="191"/>
      <c r="R4133" s="191">
        <v>5.3000000000000001E-7</v>
      </c>
      <c r="S4133" s="191"/>
      <c r="T4133" s="191"/>
      <c r="U4133" s="439"/>
      <c r="V4133" s="439"/>
      <c r="W4133" s="178">
        <v>30000</v>
      </c>
      <c r="X4133" s="172">
        <f t="shared" si="4"/>
        <v>0.33333333333333331</v>
      </c>
      <c r="Y4133" s="172">
        <f t="shared" si="4"/>
        <v>0.33333333333333331</v>
      </c>
      <c r="Z4133" s="172">
        <f t="shared" si="4"/>
        <v>0.33333333333333331</v>
      </c>
      <c r="AA4133" s="195"/>
      <c r="AB4133" s="172"/>
    </row>
    <row r="4134" spans="1:28" ht="12.75" customHeight="1" x14ac:dyDescent="0.3">
      <c r="A4134" s="161">
        <v>134</v>
      </c>
      <c r="B4134" s="160" t="s">
        <v>1872</v>
      </c>
      <c r="C4134" s="160" t="s">
        <v>1988</v>
      </c>
      <c r="D4134" s="160" t="s">
        <v>2408</v>
      </c>
      <c r="E4134" s="545"/>
      <c r="F4134" s="161">
        <v>166</v>
      </c>
      <c r="G4134" s="161">
        <v>347</v>
      </c>
      <c r="H4134" s="191">
        <v>1.2999999999999999E-4</v>
      </c>
      <c r="I4134" s="191">
        <v>5400</v>
      </c>
      <c r="J4134" s="191"/>
      <c r="K4134" s="191">
        <v>4.4999999999999997E-3</v>
      </c>
      <c r="L4134" s="191"/>
      <c r="M4134" s="191"/>
      <c r="N4134" s="191"/>
      <c r="O4134" s="191"/>
      <c r="P4134" s="191"/>
      <c r="Q4134" s="191"/>
      <c r="R4134" s="191">
        <v>5.3000000000000001E-7</v>
      </c>
      <c r="S4134" s="191"/>
      <c r="T4134" s="191"/>
      <c r="U4134" s="439"/>
      <c r="V4134" s="439"/>
      <c r="W4134" s="178">
        <v>30000</v>
      </c>
      <c r="X4134" s="172">
        <f t="shared" si="4"/>
        <v>0.33333333333333331</v>
      </c>
      <c r="Y4134" s="172">
        <f t="shared" si="4"/>
        <v>0.33333333333333331</v>
      </c>
      <c r="Z4134" s="172">
        <f t="shared" si="4"/>
        <v>0.33333333333333331</v>
      </c>
      <c r="AA4134" s="195"/>
      <c r="AB4134" s="172"/>
    </row>
    <row r="4135" spans="1:28" ht="12.75" customHeight="1" x14ac:dyDescent="0.3">
      <c r="A4135" s="161">
        <v>135</v>
      </c>
      <c r="B4135" s="160" t="s">
        <v>1901</v>
      </c>
      <c r="C4135" s="160" t="s">
        <v>1621</v>
      </c>
      <c r="D4135" s="160" t="s">
        <v>2408</v>
      </c>
      <c r="E4135" s="545"/>
      <c r="F4135" s="161">
        <v>630</v>
      </c>
      <c r="G4135" s="161">
        <v>350</v>
      </c>
      <c r="H4135" s="191">
        <v>1.5E-21</v>
      </c>
      <c r="I4135" s="191">
        <v>1.4999999999999999E-2</v>
      </c>
      <c r="J4135" s="191"/>
      <c r="K4135" s="191">
        <v>1100000</v>
      </c>
      <c r="L4135" s="191"/>
      <c r="M4135" s="191"/>
      <c r="N4135" s="191"/>
      <c r="O4135" s="191"/>
      <c r="P4135" s="191"/>
      <c r="Q4135" s="191"/>
      <c r="R4135" s="191">
        <v>5.3000000000000003E-10</v>
      </c>
      <c r="S4135" s="191"/>
      <c r="T4135" s="191"/>
      <c r="U4135" s="439"/>
      <c r="V4135" s="439"/>
      <c r="W4135" s="178">
        <v>30000</v>
      </c>
      <c r="X4135" s="172">
        <f t="shared" si="4"/>
        <v>0.33333333333333331</v>
      </c>
      <c r="Y4135" s="172">
        <f t="shared" si="4"/>
        <v>0.33333333333333331</v>
      </c>
      <c r="Z4135" s="172">
        <f t="shared" si="4"/>
        <v>0.33333333333333331</v>
      </c>
      <c r="AA4135" s="195"/>
      <c r="AB4135" s="172"/>
    </row>
    <row r="4136" spans="1:28" ht="12.75" customHeight="1" x14ac:dyDescent="0.3">
      <c r="A4136" s="161">
        <v>136</v>
      </c>
      <c r="B4136" s="160" t="s">
        <v>1833</v>
      </c>
      <c r="C4136" s="160" t="s">
        <v>1697</v>
      </c>
      <c r="D4136" s="160" t="s">
        <v>2408</v>
      </c>
      <c r="E4136" s="545"/>
      <c r="F4136" s="161">
        <v>144</v>
      </c>
      <c r="G4136" s="161">
        <v>121</v>
      </c>
      <c r="H4136" s="191">
        <v>2.2000000000000001E-3</v>
      </c>
      <c r="I4136" s="191">
        <v>600</v>
      </c>
      <c r="J4136" s="191"/>
      <c r="K4136" s="191">
        <v>450</v>
      </c>
      <c r="L4136" s="191"/>
      <c r="M4136" s="191"/>
      <c r="N4136" s="191"/>
      <c r="O4136" s="191"/>
      <c r="P4136" s="191"/>
      <c r="Q4136" s="191">
        <v>4.1999999999999998E-5</v>
      </c>
      <c r="R4136" s="191">
        <v>5.3000000000000001E-7</v>
      </c>
      <c r="S4136" s="191"/>
      <c r="T4136" s="191">
        <v>1.1000000000000001E-6</v>
      </c>
      <c r="U4136" s="439"/>
      <c r="V4136" s="439"/>
      <c r="W4136" s="178">
        <v>30000</v>
      </c>
      <c r="X4136" s="172">
        <f t="shared" si="4"/>
        <v>0.33333333333333331</v>
      </c>
      <c r="Y4136" s="172">
        <f t="shared" si="4"/>
        <v>0.33333333333333331</v>
      </c>
      <c r="Z4136" s="172">
        <f t="shared" si="4"/>
        <v>0.33333333333333331</v>
      </c>
      <c r="AA4136" s="195"/>
      <c r="AB4136" s="172"/>
    </row>
    <row r="4137" spans="1:28" ht="12.75" customHeight="1" x14ac:dyDescent="0.3">
      <c r="A4137" s="161">
        <v>137</v>
      </c>
      <c r="B4137" s="160" t="s">
        <v>1873</v>
      </c>
      <c r="C4137" s="160" t="s">
        <v>1698</v>
      </c>
      <c r="D4137" s="160" t="s">
        <v>2408</v>
      </c>
      <c r="E4137" s="545"/>
      <c r="F4137" s="161">
        <v>322</v>
      </c>
      <c r="G4137" s="161">
        <v>-36</v>
      </c>
      <c r="H4137" s="191">
        <v>1.1E-4</v>
      </c>
      <c r="I4137" s="191">
        <v>1600</v>
      </c>
      <c r="J4137" s="191"/>
      <c r="K4137" s="191">
        <v>2100</v>
      </c>
      <c r="L4137" s="191"/>
      <c r="M4137" s="191"/>
      <c r="N4137" s="191"/>
      <c r="O4137" s="191"/>
      <c r="P4137" s="191"/>
      <c r="Q4137" s="191"/>
      <c r="R4137" s="191">
        <v>5.3000000000000003E-10</v>
      </c>
      <c r="S4137" s="191"/>
      <c r="T4137" s="191"/>
      <c r="U4137" s="439"/>
      <c r="V4137" s="439"/>
      <c r="W4137" s="178">
        <v>30000</v>
      </c>
      <c r="X4137" s="172">
        <f t="shared" si="4"/>
        <v>0.33333333333333331</v>
      </c>
      <c r="Y4137" s="172">
        <f t="shared" si="4"/>
        <v>0.33333333333333331</v>
      </c>
      <c r="Z4137" s="172">
        <f t="shared" si="4"/>
        <v>0.33333333333333331</v>
      </c>
      <c r="AA4137" s="195"/>
      <c r="AB4137" s="172"/>
    </row>
    <row r="4138" spans="1:28" ht="12.75" customHeight="1" x14ac:dyDescent="0.3">
      <c r="A4138" s="161">
        <v>138</v>
      </c>
      <c r="B4138" s="160" t="s">
        <v>1916</v>
      </c>
      <c r="C4138" s="160" t="s">
        <v>1695</v>
      </c>
      <c r="D4138" s="160" t="s">
        <v>2408</v>
      </c>
      <c r="E4138" s="545"/>
      <c r="F4138" s="161">
        <v>104</v>
      </c>
      <c r="G4138" s="161">
        <v>127</v>
      </c>
      <c r="H4138" s="191">
        <v>3</v>
      </c>
      <c r="I4138" s="191">
        <v>4400000</v>
      </c>
      <c r="J4138" s="191"/>
      <c r="K4138" s="191">
        <v>1.3</v>
      </c>
      <c r="L4138" s="191"/>
      <c r="M4138" s="191"/>
      <c r="N4138" s="191"/>
      <c r="O4138" s="191"/>
      <c r="P4138" s="191"/>
      <c r="Q4138" s="191">
        <v>6.1E-6</v>
      </c>
      <c r="R4138" s="191">
        <v>5.3000000000000003E-10</v>
      </c>
      <c r="S4138" s="191"/>
      <c r="T4138" s="191">
        <v>4.5999999999999999E-7</v>
      </c>
      <c r="U4138" s="439"/>
      <c r="V4138" s="439"/>
      <c r="W4138" s="178">
        <v>30000</v>
      </c>
      <c r="X4138" s="172">
        <f t="shared" si="4"/>
        <v>0.33333333333333331</v>
      </c>
      <c r="Y4138" s="172">
        <f t="shared" si="4"/>
        <v>0.33333333333333331</v>
      </c>
      <c r="Z4138" s="172">
        <f t="shared" si="4"/>
        <v>0.33333333333333331</v>
      </c>
      <c r="AA4138" s="195"/>
      <c r="AB4138" s="172"/>
    </row>
    <row r="4139" spans="1:28" ht="12.75" customHeight="1" x14ac:dyDescent="0.3">
      <c r="A4139" s="161">
        <v>139</v>
      </c>
      <c r="B4139" s="173" t="s">
        <v>1934</v>
      </c>
      <c r="C4139" s="160" t="s">
        <v>1624</v>
      </c>
      <c r="D4139" s="160" t="s">
        <v>2408</v>
      </c>
      <c r="E4139" s="545"/>
      <c r="F4139" s="161">
        <v>99</v>
      </c>
      <c r="G4139" s="161">
        <v>-18</v>
      </c>
      <c r="H4139" s="191">
        <v>840</v>
      </c>
      <c r="I4139" s="191">
        <v>1.2999999999999999E-2</v>
      </c>
      <c r="J4139" s="191"/>
      <c r="K4139" s="191">
        <v>16</v>
      </c>
      <c r="L4139" s="191"/>
      <c r="M4139" s="191"/>
      <c r="N4139" s="191"/>
      <c r="O4139" s="191"/>
      <c r="P4139" s="191"/>
      <c r="Q4139" s="191"/>
      <c r="R4139" s="191">
        <v>5.2999999999999998E-8</v>
      </c>
      <c r="S4139" s="191"/>
      <c r="T4139" s="191"/>
      <c r="U4139" s="439"/>
      <c r="V4139" s="439"/>
      <c r="W4139" s="178">
        <v>30000</v>
      </c>
      <c r="X4139" s="172">
        <f t="shared" si="4"/>
        <v>0.33333333333333331</v>
      </c>
      <c r="Y4139" s="172">
        <f t="shared" si="4"/>
        <v>0.33333333333333331</v>
      </c>
      <c r="Z4139" s="172">
        <f t="shared" si="4"/>
        <v>0.33333333333333331</v>
      </c>
      <c r="AA4139" s="195"/>
      <c r="AB4139" s="172"/>
    </row>
    <row r="4140" spans="1:28" ht="12.75" customHeight="1" x14ac:dyDescent="0.3">
      <c r="A4140" s="161">
        <v>140</v>
      </c>
      <c r="B4140" s="160" t="s">
        <v>1928</v>
      </c>
      <c r="C4140" s="160" t="s">
        <v>1608</v>
      </c>
      <c r="D4140" s="160" t="s">
        <v>2408</v>
      </c>
      <c r="E4140" s="545"/>
      <c r="F4140" s="161">
        <v>203</v>
      </c>
      <c r="G4140" s="161">
        <v>50</v>
      </c>
      <c r="H4140" s="191">
        <v>0.01</v>
      </c>
      <c r="I4140" s="191">
        <v>360</v>
      </c>
      <c r="J4140" s="191"/>
      <c r="K4140" s="191">
        <v>130</v>
      </c>
      <c r="L4140" s="191"/>
      <c r="M4140" s="191"/>
      <c r="N4140" s="191"/>
      <c r="O4140" s="191"/>
      <c r="P4140" s="191"/>
      <c r="Q4140" s="191">
        <v>1.3000000000000001E-8</v>
      </c>
      <c r="R4140" s="191">
        <v>5.3000000000000003E-10</v>
      </c>
      <c r="S4140" s="191"/>
      <c r="T4140" s="191">
        <v>7.1999999999999996E-8</v>
      </c>
      <c r="U4140" s="439"/>
      <c r="V4140" s="439"/>
      <c r="W4140" s="178">
        <v>30000</v>
      </c>
      <c r="X4140" s="172">
        <f t="shared" si="4"/>
        <v>0.33333333333333331</v>
      </c>
      <c r="Y4140" s="172">
        <f t="shared" si="4"/>
        <v>0.33333333333333331</v>
      </c>
      <c r="Z4140" s="172">
        <f t="shared" si="4"/>
        <v>0.33333333333333331</v>
      </c>
      <c r="AA4140" s="195"/>
      <c r="AB4140" s="172"/>
    </row>
    <row r="4141" spans="1:28" ht="12.75" customHeight="1" x14ac:dyDescent="0.3">
      <c r="A4141" s="161">
        <v>141</v>
      </c>
      <c r="B4141" s="160" t="s">
        <v>1902</v>
      </c>
      <c r="C4141" s="160" t="s">
        <v>1597</v>
      </c>
      <c r="D4141" s="160" t="s">
        <v>2408</v>
      </c>
      <c r="E4141" s="545"/>
      <c r="F4141" s="161">
        <v>133</v>
      </c>
      <c r="G4141" s="161">
        <v>-33</v>
      </c>
      <c r="H4141" s="191">
        <v>13000</v>
      </c>
      <c r="I4141" s="191">
        <v>4400</v>
      </c>
      <c r="J4141" s="191"/>
      <c r="K4141" s="191">
        <v>300</v>
      </c>
      <c r="L4141" s="191"/>
      <c r="M4141" s="191"/>
      <c r="N4141" s="191"/>
      <c r="O4141" s="191"/>
      <c r="P4141" s="191"/>
      <c r="Q4141" s="191">
        <v>2.1999999999999998E-8</v>
      </c>
      <c r="R4141" s="191">
        <v>5.3000000000000003E-10</v>
      </c>
      <c r="S4141" s="191"/>
      <c r="T4141" s="191">
        <v>1.1000000000000001E-6</v>
      </c>
      <c r="U4141" s="439"/>
      <c r="V4141" s="439"/>
      <c r="W4141" s="178">
        <v>30000</v>
      </c>
      <c r="X4141" s="172">
        <f t="shared" si="4"/>
        <v>0.33333333333333331</v>
      </c>
      <c r="Y4141" s="172">
        <f t="shared" si="4"/>
        <v>0.33333333333333331</v>
      </c>
      <c r="Z4141" s="172">
        <f t="shared" si="4"/>
        <v>0.33333333333333331</v>
      </c>
      <c r="AA4141" s="195"/>
      <c r="AB4141" s="172"/>
    </row>
    <row r="4142" spans="1:28" ht="12.75" customHeight="1" x14ac:dyDescent="0.3">
      <c r="A4142" s="161">
        <v>142</v>
      </c>
      <c r="B4142" s="160" t="s">
        <v>1885</v>
      </c>
      <c r="C4142" s="160" t="s">
        <v>1729</v>
      </c>
      <c r="D4142" s="160" t="s">
        <v>2408</v>
      </c>
      <c r="E4142" s="545"/>
      <c r="F4142" s="161">
        <v>278</v>
      </c>
      <c r="G4142" s="161">
        <v>-52</v>
      </c>
      <c r="H4142" s="191">
        <v>1.2</v>
      </c>
      <c r="I4142" s="191">
        <v>20</v>
      </c>
      <c r="J4142" s="191"/>
      <c r="K4142" s="191">
        <v>13000</v>
      </c>
      <c r="L4142" s="191"/>
      <c r="M4142" s="191"/>
      <c r="N4142" s="191"/>
      <c r="O4142" s="191"/>
      <c r="P4142" s="191"/>
      <c r="Q4142" s="191">
        <v>5.5999999999999997E-6</v>
      </c>
      <c r="R4142" s="191">
        <v>5.3000000000000001E-7</v>
      </c>
      <c r="S4142" s="191"/>
      <c r="T4142" s="191">
        <v>8.7000000000000003E-7</v>
      </c>
      <c r="U4142" s="439"/>
      <c r="V4142" s="439"/>
      <c r="W4142" s="178">
        <v>30000</v>
      </c>
      <c r="X4142" s="172">
        <f t="shared" si="4"/>
        <v>0.33333333333333331</v>
      </c>
      <c r="Y4142" s="172">
        <f t="shared" si="4"/>
        <v>0.33333333333333331</v>
      </c>
      <c r="Z4142" s="172">
        <f t="shared" si="4"/>
        <v>0.33333333333333331</v>
      </c>
      <c r="AA4142" s="195"/>
      <c r="AB4142" s="172"/>
    </row>
    <row r="4143" spans="1:28" ht="12.75" customHeight="1" x14ac:dyDescent="0.3">
      <c r="A4143" s="161">
        <v>143</v>
      </c>
      <c r="B4143" s="160" t="s">
        <v>1787</v>
      </c>
      <c r="C4143" s="160" t="s">
        <v>1977</v>
      </c>
      <c r="D4143" s="160" t="s">
        <v>2408</v>
      </c>
      <c r="E4143" s="545"/>
      <c r="F4143" s="161">
        <v>204</v>
      </c>
      <c r="G4143" s="161"/>
      <c r="H4143" s="191">
        <v>0.8</v>
      </c>
      <c r="I4143" s="191">
        <v>30</v>
      </c>
      <c r="J4143" s="191"/>
      <c r="K4143" s="191">
        <v>270</v>
      </c>
      <c r="L4143" s="191"/>
      <c r="M4143" s="191"/>
      <c r="N4143" s="191"/>
      <c r="O4143" s="191"/>
      <c r="P4143" s="191"/>
      <c r="Q4143" s="191"/>
      <c r="R4143" s="191">
        <v>5.3000000000000003E-10</v>
      </c>
      <c r="S4143" s="191"/>
      <c r="T4143" s="191"/>
      <c r="U4143" s="439"/>
      <c r="V4143" s="439"/>
      <c r="W4143" s="178">
        <v>30000</v>
      </c>
      <c r="X4143" s="172">
        <f t="shared" si="4"/>
        <v>0.33333333333333331</v>
      </c>
      <c r="Y4143" s="172">
        <f t="shared" si="4"/>
        <v>0.33333333333333331</v>
      </c>
      <c r="Z4143" s="172">
        <f t="shared" si="4"/>
        <v>0.33333333333333331</v>
      </c>
      <c r="AA4143" s="195"/>
      <c r="AB4143" s="172"/>
    </row>
    <row r="4144" spans="1:28" ht="12.75" customHeight="1" x14ac:dyDescent="0.3">
      <c r="A4144" s="161">
        <v>144</v>
      </c>
      <c r="B4144" s="160" t="s">
        <v>1813</v>
      </c>
      <c r="C4144" s="160" t="s">
        <v>1718</v>
      </c>
      <c r="D4144" s="160" t="s">
        <v>2408</v>
      </c>
      <c r="E4144" s="545"/>
      <c r="F4144" s="161">
        <v>90</v>
      </c>
      <c r="G4144" s="161">
        <v>-3</v>
      </c>
      <c r="H4144" s="191">
        <v>3100</v>
      </c>
      <c r="I4144" s="191">
        <v>20000</v>
      </c>
      <c r="J4144" s="191"/>
      <c r="K4144" s="191">
        <v>5</v>
      </c>
      <c r="L4144" s="191"/>
      <c r="M4144" s="191"/>
      <c r="N4144" s="191"/>
      <c r="O4144" s="191"/>
      <c r="P4144" s="191"/>
      <c r="Q4144" s="191">
        <v>4.8999999999999997E-6</v>
      </c>
      <c r="R4144" s="191">
        <v>5.3000000000000003E-10</v>
      </c>
      <c r="S4144" s="191"/>
      <c r="T4144" s="191">
        <v>4.7E-7</v>
      </c>
      <c r="U4144" s="439"/>
      <c r="V4144" s="439"/>
      <c r="W4144" s="178">
        <v>30000</v>
      </c>
      <c r="X4144" s="172">
        <f t="shared" si="4"/>
        <v>0.33333333333333331</v>
      </c>
      <c r="Y4144" s="172">
        <f t="shared" si="4"/>
        <v>0.33333333333333331</v>
      </c>
      <c r="Z4144" s="172">
        <f t="shared" si="4"/>
        <v>0.33333333333333331</v>
      </c>
      <c r="AA4144" s="195"/>
      <c r="AB4144" s="172"/>
    </row>
    <row r="4145" spans="1:28" ht="12.75" customHeight="1" x14ac:dyDescent="0.3">
      <c r="A4145" s="161">
        <v>145</v>
      </c>
      <c r="B4145" s="160" t="s">
        <v>1841</v>
      </c>
      <c r="C4145" s="160" t="s">
        <v>1650</v>
      </c>
      <c r="D4145" s="160" t="s">
        <v>2408</v>
      </c>
      <c r="E4145" s="545"/>
      <c r="F4145" s="161">
        <v>226</v>
      </c>
      <c r="G4145" s="161">
        <v>74</v>
      </c>
      <c r="H4145" s="191">
        <v>1.7E-6</v>
      </c>
      <c r="I4145" s="191">
        <v>19</v>
      </c>
      <c r="J4145" s="191"/>
      <c r="K4145" s="191">
        <v>10000</v>
      </c>
      <c r="L4145" s="191"/>
      <c r="M4145" s="191"/>
      <c r="N4145" s="191"/>
      <c r="O4145" s="191"/>
      <c r="P4145" s="191"/>
      <c r="Q4145" s="191">
        <v>1.6000000000000001E-4</v>
      </c>
      <c r="R4145" s="191">
        <v>5.3000000000000003E-10</v>
      </c>
      <c r="S4145" s="191"/>
      <c r="T4145" s="191">
        <v>3.8000000000000001E-7</v>
      </c>
      <c r="U4145" s="439"/>
      <c r="V4145" s="439"/>
      <c r="W4145" s="178">
        <v>30000</v>
      </c>
      <c r="X4145" s="172">
        <f t="shared" si="4"/>
        <v>0.33333333333333331</v>
      </c>
      <c r="Y4145" s="172">
        <f t="shared" si="4"/>
        <v>0.33333333333333331</v>
      </c>
      <c r="Z4145" s="172">
        <f t="shared" si="4"/>
        <v>0.33333333333333331</v>
      </c>
      <c r="AA4145" s="195"/>
      <c r="AB4145" s="172"/>
    </row>
    <row r="4146" spans="1:28" ht="12.75" customHeight="1" x14ac:dyDescent="0.3">
      <c r="A4146" s="161">
        <v>146</v>
      </c>
      <c r="B4146" s="160" t="s">
        <v>1888</v>
      </c>
      <c r="C4146" s="160" t="s">
        <v>1659</v>
      </c>
      <c r="D4146" s="160" t="s">
        <v>2408</v>
      </c>
      <c r="E4146" s="545"/>
      <c r="F4146" s="161">
        <v>88</v>
      </c>
      <c r="G4146" s="161">
        <v>-6</v>
      </c>
      <c r="H4146" s="191">
        <v>56</v>
      </c>
      <c r="I4146" s="191">
        <v>5.2999999999999999E-2</v>
      </c>
      <c r="J4146" s="191"/>
      <c r="K4146" s="191">
        <v>6.2</v>
      </c>
      <c r="L4146" s="191"/>
      <c r="M4146" s="191"/>
      <c r="N4146" s="191"/>
      <c r="O4146" s="191"/>
      <c r="P4146" s="191"/>
      <c r="Q4146" s="191"/>
      <c r="R4146" s="191">
        <v>5.3000000000000003E-10</v>
      </c>
      <c r="S4146" s="191"/>
      <c r="T4146" s="191"/>
      <c r="U4146" s="439"/>
      <c r="V4146" s="439"/>
      <c r="W4146" s="178">
        <v>30000</v>
      </c>
      <c r="X4146" s="172">
        <f t="shared" si="4"/>
        <v>0.33333333333333331</v>
      </c>
      <c r="Y4146" s="172">
        <f t="shared" si="4"/>
        <v>0.33333333333333331</v>
      </c>
      <c r="Z4146" s="172">
        <f t="shared" si="4"/>
        <v>0.33333333333333331</v>
      </c>
      <c r="AA4146" s="195"/>
      <c r="AB4146" s="172"/>
    </row>
    <row r="4147" spans="1:28" ht="12.75" customHeight="1" x14ac:dyDescent="0.3">
      <c r="A4147" s="161">
        <v>147</v>
      </c>
      <c r="B4147" s="160" t="s">
        <v>1852</v>
      </c>
      <c r="C4147" s="160" t="s">
        <v>1642</v>
      </c>
      <c r="D4147" s="160" t="s">
        <v>2408</v>
      </c>
      <c r="E4147" s="545"/>
      <c r="F4147" s="161">
        <v>642</v>
      </c>
      <c r="G4147" s="161">
        <v>185</v>
      </c>
      <c r="H4147" s="191">
        <v>1</v>
      </c>
      <c r="I4147" s="191">
        <v>8.0000000000000002E-3</v>
      </c>
      <c r="J4147" s="191"/>
      <c r="K4147" s="191">
        <v>650000</v>
      </c>
      <c r="L4147" s="191"/>
      <c r="M4147" s="191"/>
      <c r="N4147" s="191"/>
      <c r="O4147" s="191"/>
      <c r="P4147" s="191"/>
      <c r="Q4147" s="191">
        <v>4.6E-6</v>
      </c>
      <c r="R4147" s="191">
        <v>5.3000000000000003E-10</v>
      </c>
      <c r="S4147" s="191"/>
      <c r="T4147" s="191">
        <v>1.3E-7</v>
      </c>
      <c r="U4147" s="439"/>
      <c r="V4147" s="439"/>
      <c r="W4147" s="178">
        <v>30000</v>
      </c>
      <c r="X4147" s="172">
        <f t="shared" si="4"/>
        <v>0.33333333333333331</v>
      </c>
      <c r="Y4147" s="172">
        <f t="shared" si="4"/>
        <v>0.33333333333333331</v>
      </c>
      <c r="Z4147" s="172">
        <f t="shared" si="4"/>
        <v>0.33333333333333331</v>
      </c>
      <c r="AA4147" s="195"/>
      <c r="AB4147" s="172"/>
    </row>
    <row r="4148" spans="1:28" ht="12.75" customHeight="1" x14ac:dyDescent="0.3">
      <c r="A4148" s="161">
        <v>148</v>
      </c>
      <c r="B4148" s="160" t="s">
        <v>1952</v>
      </c>
      <c r="C4148" s="160" t="s">
        <v>1615</v>
      </c>
      <c r="D4148" s="160" t="s">
        <v>2408</v>
      </c>
      <c r="E4148" s="545"/>
      <c r="F4148" s="161">
        <v>121</v>
      </c>
      <c r="G4148" s="161">
        <v>-158</v>
      </c>
      <c r="H4148" s="191">
        <v>860</v>
      </c>
      <c r="I4148" s="191">
        <v>330</v>
      </c>
      <c r="J4148" s="191"/>
      <c r="K4148" s="191">
        <v>160</v>
      </c>
      <c r="L4148" s="191"/>
      <c r="M4148" s="191"/>
      <c r="N4148" s="191"/>
      <c r="O4148" s="191"/>
      <c r="P4148" s="191"/>
      <c r="Q4148" s="191">
        <v>5.0000000000000003E-10</v>
      </c>
      <c r="R4148" s="191">
        <v>5.3000000000000003E-10</v>
      </c>
      <c r="S4148" s="191"/>
      <c r="T4148" s="191">
        <v>1.6E-7</v>
      </c>
      <c r="U4148" s="439"/>
      <c r="V4148" s="439"/>
      <c r="W4148" s="178">
        <v>30000</v>
      </c>
      <c r="X4148" s="172">
        <f t="shared" si="4"/>
        <v>0.33333333333333331</v>
      </c>
      <c r="Y4148" s="172">
        <f t="shared" si="4"/>
        <v>0.33333333333333331</v>
      </c>
      <c r="Z4148" s="172">
        <f t="shared" si="4"/>
        <v>0.33333333333333331</v>
      </c>
      <c r="AA4148" s="195"/>
      <c r="AB4148" s="172"/>
    </row>
    <row r="4149" spans="1:28" ht="12.75" customHeight="1" x14ac:dyDescent="0.3">
      <c r="A4149" s="161">
        <v>149</v>
      </c>
      <c r="B4149" s="160" t="s">
        <v>1816</v>
      </c>
      <c r="C4149" s="160" t="s">
        <v>879</v>
      </c>
      <c r="D4149" s="160" t="s">
        <v>2408</v>
      </c>
      <c r="E4149" s="545"/>
      <c r="F4149" s="161">
        <v>278</v>
      </c>
      <c r="G4149" s="161">
        <v>-35</v>
      </c>
      <c r="H4149" s="191">
        <v>9.7000000000000003E-3</v>
      </c>
      <c r="I4149" s="191">
        <v>10</v>
      </c>
      <c r="J4149" s="191"/>
      <c r="K4149" s="191">
        <v>37000</v>
      </c>
      <c r="L4149" s="191"/>
      <c r="M4149" s="191"/>
      <c r="N4149" s="191"/>
      <c r="O4149" s="191"/>
      <c r="P4149" s="191"/>
      <c r="Q4149" s="191">
        <v>2.7999999999999999E-6</v>
      </c>
      <c r="R4149" s="191">
        <v>5.3000000000000001E-7</v>
      </c>
      <c r="S4149" s="191"/>
      <c r="T4149" s="191">
        <v>4.1000000000000003E-8</v>
      </c>
      <c r="U4149" s="439"/>
      <c r="V4149" s="439"/>
      <c r="W4149" s="178">
        <v>30000</v>
      </c>
      <c r="X4149" s="172">
        <f t="shared" si="4"/>
        <v>0.33333333333333331</v>
      </c>
      <c r="Y4149" s="172">
        <f t="shared" si="4"/>
        <v>0.33333333333333331</v>
      </c>
      <c r="Z4149" s="172">
        <f t="shared" si="4"/>
        <v>0.33333333333333331</v>
      </c>
      <c r="AA4149" s="195"/>
      <c r="AB4149" s="172"/>
    </row>
    <row r="4150" spans="1:28" ht="12.75" customHeight="1" x14ac:dyDescent="0.3">
      <c r="A4150" s="161">
        <v>150</v>
      </c>
      <c r="B4150" s="160" t="s">
        <v>1781</v>
      </c>
      <c r="C4150" s="160" t="s">
        <v>1678</v>
      </c>
      <c r="D4150" s="160" t="s">
        <v>2408</v>
      </c>
      <c r="E4150" s="545"/>
      <c r="F4150" s="161">
        <v>158</v>
      </c>
      <c r="G4150" s="161">
        <v>6</v>
      </c>
      <c r="H4150" s="191">
        <v>0.28999999999999998</v>
      </c>
      <c r="I4150" s="191">
        <v>37</v>
      </c>
      <c r="J4150" s="191"/>
      <c r="K4150" s="191">
        <v>15000</v>
      </c>
      <c r="L4150" s="191"/>
      <c r="M4150" s="191"/>
      <c r="N4150" s="191"/>
      <c r="O4150" s="191"/>
      <c r="P4150" s="191"/>
      <c r="Q4150" s="191">
        <v>1.2E-5</v>
      </c>
      <c r="R4150" s="191">
        <v>5.3000000000000001E-7</v>
      </c>
      <c r="S4150" s="191"/>
      <c r="T4150" s="191">
        <v>5.7999999999999995E-7</v>
      </c>
      <c r="U4150" s="439"/>
      <c r="V4150" s="439"/>
      <c r="W4150" s="178">
        <v>30000</v>
      </c>
      <c r="X4150" s="172">
        <f t="shared" si="4"/>
        <v>0.33333333333333331</v>
      </c>
      <c r="Y4150" s="172">
        <f t="shared" si="4"/>
        <v>0.33333333333333331</v>
      </c>
      <c r="Z4150" s="172">
        <f t="shared" si="4"/>
        <v>0.33333333333333331</v>
      </c>
      <c r="AA4150" s="195"/>
      <c r="AB4150" s="172"/>
    </row>
    <row r="4151" spans="1:28" ht="12.75" customHeight="1" x14ac:dyDescent="0.3">
      <c r="A4151" s="161">
        <v>151</v>
      </c>
      <c r="B4151" s="160" t="s">
        <v>1763</v>
      </c>
      <c r="C4151" s="160" t="s">
        <v>1626</v>
      </c>
      <c r="D4151" s="160" t="s">
        <v>2408</v>
      </c>
      <c r="E4151" s="545"/>
      <c r="F4151" s="161">
        <v>220</v>
      </c>
      <c r="G4151" s="161">
        <v>70</v>
      </c>
      <c r="H4151" s="191">
        <v>1.3</v>
      </c>
      <c r="I4151" s="191">
        <v>0.6</v>
      </c>
      <c r="J4151" s="191"/>
      <c r="K4151" s="191">
        <v>150000</v>
      </c>
      <c r="L4151" s="191"/>
      <c r="M4151" s="191"/>
      <c r="N4151" s="191"/>
      <c r="O4151" s="191"/>
      <c r="P4151" s="191"/>
      <c r="Q4151" s="191">
        <v>1.4E-5</v>
      </c>
      <c r="R4151" s="191">
        <v>5.3000000000000003E-10</v>
      </c>
      <c r="S4151" s="191"/>
      <c r="T4151" s="191">
        <v>4.1000000000000003E-8</v>
      </c>
      <c r="U4151" s="439"/>
      <c r="V4151" s="439"/>
      <c r="W4151" s="178">
        <v>30000</v>
      </c>
      <c r="X4151" s="172">
        <f t="shared" si="4"/>
        <v>0.33333333333333331</v>
      </c>
      <c r="Y4151" s="172">
        <f t="shared" si="4"/>
        <v>0.33333333333333331</v>
      </c>
      <c r="Z4151" s="172">
        <f t="shared" si="4"/>
        <v>0.33333333333333331</v>
      </c>
      <c r="AA4151" s="195"/>
      <c r="AB4151" s="172"/>
    </row>
    <row r="4152" spans="1:28" ht="12.75" customHeight="1" x14ac:dyDescent="0.3">
      <c r="A4152" s="161">
        <v>152</v>
      </c>
      <c r="B4152" s="160" t="s">
        <v>1955</v>
      </c>
      <c r="C4152" s="160" t="s">
        <v>1646</v>
      </c>
      <c r="D4152" s="160" t="s">
        <v>2408</v>
      </c>
      <c r="E4152" s="545"/>
      <c r="F4152" s="161">
        <v>187</v>
      </c>
      <c r="G4152" s="161">
        <v>312</v>
      </c>
      <c r="H4152" s="191">
        <v>2.0999999999999998E-6</v>
      </c>
      <c r="I4152" s="191">
        <v>4700</v>
      </c>
      <c r="J4152" s="191"/>
      <c r="K4152" s="191">
        <v>0.43</v>
      </c>
      <c r="L4152" s="191"/>
      <c r="M4152" s="191"/>
      <c r="N4152" s="191"/>
      <c r="O4152" s="191"/>
      <c r="P4152" s="191"/>
      <c r="Q4152" s="191"/>
      <c r="R4152" s="191">
        <v>5.3000000000000003E-10</v>
      </c>
      <c r="S4152" s="191"/>
      <c r="T4152" s="191"/>
      <c r="U4152" s="439"/>
      <c r="V4152" s="439"/>
      <c r="W4152" s="178">
        <v>30000</v>
      </c>
      <c r="X4152" s="172">
        <f t="shared" si="4"/>
        <v>0.33333333333333331</v>
      </c>
      <c r="Y4152" s="172">
        <f t="shared" si="4"/>
        <v>0.33333333333333331</v>
      </c>
      <c r="Z4152" s="172">
        <f t="shared" si="4"/>
        <v>0.33333333333333331</v>
      </c>
      <c r="AA4152" s="195"/>
      <c r="AB4152" s="172"/>
    </row>
    <row r="4153" spans="1:28" ht="12.75" customHeight="1" x14ac:dyDescent="0.3">
      <c r="A4153" s="161">
        <v>153</v>
      </c>
      <c r="B4153" s="160" t="s">
        <v>1859</v>
      </c>
      <c r="C4153" s="160" t="s">
        <v>1732</v>
      </c>
      <c r="D4153" s="160" t="s">
        <v>2408</v>
      </c>
      <c r="E4153" s="545"/>
      <c r="F4153" s="161">
        <v>138</v>
      </c>
      <c r="G4153" s="161">
        <v>70</v>
      </c>
      <c r="H4153" s="191">
        <v>0.04</v>
      </c>
      <c r="I4153" s="191">
        <v>5800</v>
      </c>
      <c r="J4153" s="191"/>
      <c r="K4153" s="191">
        <v>47</v>
      </c>
      <c r="L4153" s="191"/>
      <c r="M4153" s="191"/>
      <c r="N4153" s="191"/>
      <c r="O4153" s="191"/>
      <c r="P4153" s="191"/>
      <c r="Q4153" s="191"/>
      <c r="R4153" s="191">
        <v>5.3000000000000003E-10</v>
      </c>
      <c r="S4153" s="191"/>
      <c r="T4153" s="191"/>
      <c r="U4153" s="439"/>
      <c r="V4153" s="439"/>
      <c r="W4153" s="178">
        <v>30000</v>
      </c>
      <c r="X4153" s="172">
        <f t="shared" si="4"/>
        <v>0.33333333333333331</v>
      </c>
      <c r="Y4153" s="172">
        <f t="shared" si="4"/>
        <v>0.33333333333333331</v>
      </c>
      <c r="Z4153" s="172">
        <f t="shared" si="4"/>
        <v>0.33333333333333331</v>
      </c>
      <c r="AA4153" s="195"/>
      <c r="AB4153" s="172"/>
    </row>
    <row r="4154" spans="1:28" ht="12.75" customHeight="1" x14ac:dyDescent="0.3">
      <c r="A4154" s="161">
        <v>154</v>
      </c>
      <c r="B4154" s="160" t="s">
        <v>1827</v>
      </c>
      <c r="C4154" s="160" t="s">
        <v>1677</v>
      </c>
      <c r="D4154" s="160" t="s">
        <v>2408</v>
      </c>
      <c r="E4154" s="545"/>
      <c r="F4154" s="161">
        <v>146</v>
      </c>
      <c r="G4154" s="161">
        <v>12</v>
      </c>
      <c r="H4154" s="191">
        <v>1.3</v>
      </c>
      <c r="I4154" s="191">
        <v>49</v>
      </c>
      <c r="J4154" s="191"/>
      <c r="K4154" s="191">
        <v>2.9000000000000001E-2</v>
      </c>
      <c r="L4154" s="191"/>
      <c r="M4154" s="191"/>
      <c r="N4154" s="191"/>
      <c r="O4154" s="191"/>
      <c r="P4154" s="191"/>
      <c r="Q4154" s="191">
        <v>1.7000000000000001E-4</v>
      </c>
      <c r="R4154" s="191">
        <v>5.3000000000000003E-10</v>
      </c>
      <c r="S4154" s="191"/>
      <c r="T4154" s="191">
        <v>1.9999999999999999E-7</v>
      </c>
      <c r="U4154" s="439"/>
      <c r="V4154" s="439"/>
      <c r="W4154" s="178">
        <v>30000</v>
      </c>
      <c r="X4154" s="172">
        <f t="shared" si="4"/>
        <v>0.33333333333333331</v>
      </c>
      <c r="Y4154" s="172">
        <f t="shared" si="4"/>
        <v>0.33333333333333331</v>
      </c>
      <c r="Z4154" s="172">
        <f t="shared" si="4"/>
        <v>0.33333333333333331</v>
      </c>
      <c r="AA4154" s="195"/>
      <c r="AB4154" s="172"/>
    </row>
    <row r="4155" spans="1:28" ht="12.75" customHeight="1" x14ac:dyDescent="0.3">
      <c r="A4155" s="161">
        <v>155</v>
      </c>
      <c r="B4155" s="160" t="s">
        <v>1810</v>
      </c>
      <c r="C4155" s="160" t="s">
        <v>1634</v>
      </c>
      <c r="D4155" s="160" t="s">
        <v>2408</v>
      </c>
      <c r="E4155" s="545"/>
      <c r="F4155" s="161">
        <v>180</v>
      </c>
      <c r="G4155" s="161">
        <v>137</v>
      </c>
      <c r="H4155" s="191">
        <v>1.1000000000000001E-3</v>
      </c>
      <c r="I4155" s="191">
        <v>4600</v>
      </c>
      <c r="J4155" s="191"/>
      <c r="K4155" s="191">
        <v>15</v>
      </c>
      <c r="L4155" s="191"/>
      <c r="M4155" s="191"/>
      <c r="N4155" s="191"/>
      <c r="O4155" s="191"/>
      <c r="P4155" s="191"/>
      <c r="Q4155" s="191"/>
      <c r="R4155" s="191">
        <v>5.3000000000000001E-7</v>
      </c>
      <c r="S4155" s="191"/>
      <c r="T4155" s="191"/>
      <c r="U4155" s="439"/>
      <c r="V4155" s="439"/>
      <c r="W4155" s="178">
        <v>30000</v>
      </c>
      <c r="X4155" s="172">
        <f t="shared" si="4"/>
        <v>0.33333333333333331</v>
      </c>
      <c r="Y4155" s="172">
        <f t="shared" si="4"/>
        <v>0.33333333333333331</v>
      </c>
      <c r="Z4155" s="172">
        <f t="shared" si="4"/>
        <v>0.33333333333333331</v>
      </c>
      <c r="AA4155" s="195"/>
      <c r="AB4155" s="172"/>
    </row>
    <row r="4156" spans="1:28" ht="12.75" customHeight="1" x14ac:dyDescent="0.3">
      <c r="A4156" s="161">
        <v>156</v>
      </c>
      <c r="B4156" s="160" t="s">
        <v>1845</v>
      </c>
      <c r="C4156" s="160" t="s">
        <v>1667</v>
      </c>
      <c r="D4156" s="160" t="s">
        <v>2408</v>
      </c>
      <c r="E4156" s="545"/>
      <c r="F4156" s="161">
        <v>90</v>
      </c>
      <c r="G4156" s="161">
        <v>20</v>
      </c>
      <c r="H4156" s="191">
        <v>1.9</v>
      </c>
      <c r="I4156" s="191">
        <v>15</v>
      </c>
      <c r="J4156" s="191"/>
      <c r="K4156" s="191">
        <v>0.13</v>
      </c>
      <c r="L4156" s="191"/>
      <c r="M4156" s="191"/>
      <c r="N4156" s="191"/>
      <c r="O4156" s="191"/>
      <c r="P4156" s="191"/>
      <c r="Q4156" s="191"/>
      <c r="R4156" s="191">
        <v>5.3000000000000001E-7</v>
      </c>
      <c r="S4156" s="191"/>
      <c r="T4156" s="191"/>
      <c r="U4156" s="439"/>
      <c r="V4156" s="439"/>
      <c r="W4156" s="178">
        <v>30000</v>
      </c>
      <c r="X4156" s="172">
        <f t="shared" si="4"/>
        <v>0.33333333333333331</v>
      </c>
      <c r="Y4156" s="172">
        <f t="shared" si="4"/>
        <v>0.33333333333333331</v>
      </c>
      <c r="Z4156" s="172">
        <f t="shared" si="4"/>
        <v>0.33333333333333331</v>
      </c>
      <c r="AA4156" s="195"/>
      <c r="AB4156" s="172"/>
    </row>
    <row r="4157" spans="1:28" ht="12.75" customHeight="1" x14ac:dyDescent="0.3">
      <c r="A4157" s="161">
        <v>157</v>
      </c>
      <c r="B4157" s="160" t="s">
        <v>1869</v>
      </c>
      <c r="C4157" s="160" t="s">
        <v>1683</v>
      </c>
      <c r="D4157" s="160" t="s">
        <v>2408</v>
      </c>
      <c r="E4157" s="545"/>
      <c r="F4157" s="161">
        <v>271</v>
      </c>
      <c r="G4157" s="161">
        <v>58</v>
      </c>
      <c r="H4157" s="191">
        <v>2.6000000000000001E-6</v>
      </c>
      <c r="I4157" s="191">
        <v>1.1000000000000001E-3</v>
      </c>
      <c r="J4157" s="191"/>
      <c r="K4157" s="191">
        <v>15000000</v>
      </c>
      <c r="L4157" s="191"/>
      <c r="M4157" s="191"/>
      <c r="N4157" s="191"/>
      <c r="O4157" s="191"/>
      <c r="P4157" s="191"/>
      <c r="Q4157" s="191">
        <v>2.0000000000000002E-5</v>
      </c>
      <c r="R4157" s="191">
        <v>5.3000000000000003E-10</v>
      </c>
      <c r="S4157" s="191"/>
      <c r="T4157" s="191">
        <v>8.0000000000000002E-8</v>
      </c>
      <c r="U4157" s="439"/>
      <c r="V4157" s="439"/>
      <c r="W4157" s="178">
        <v>30000</v>
      </c>
      <c r="X4157" s="172">
        <f t="shared" si="4"/>
        <v>0.33333333333333331</v>
      </c>
      <c r="Y4157" s="172">
        <f t="shared" si="4"/>
        <v>0.33333333333333331</v>
      </c>
      <c r="Z4157" s="172">
        <f t="shared" si="4"/>
        <v>0.33333333333333331</v>
      </c>
      <c r="AA4157" s="195"/>
      <c r="AB4157" s="172"/>
    </row>
    <row r="4158" spans="1:28" ht="12.75" customHeight="1" x14ac:dyDescent="0.3">
      <c r="A4158" s="161">
        <v>158</v>
      </c>
      <c r="B4158" s="160" t="s">
        <v>1806</v>
      </c>
      <c r="C4158" s="160" t="s">
        <v>1701</v>
      </c>
      <c r="D4158" s="160" t="s">
        <v>2408</v>
      </c>
      <c r="E4158" s="545"/>
      <c r="F4158" s="161">
        <v>128</v>
      </c>
      <c r="G4158" s="161">
        <v>-65</v>
      </c>
      <c r="H4158" s="191">
        <v>430</v>
      </c>
      <c r="I4158" s="191">
        <v>2000</v>
      </c>
      <c r="J4158" s="191"/>
      <c r="K4158" s="191">
        <v>240</v>
      </c>
      <c r="L4158" s="191"/>
      <c r="M4158" s="191"/>
      <c r="N4158" s="191"/>
      <c r="O4158" s="191"/>
      <c r="P4158" s="191"/>
      <c r="Q4158" s="191"/>
      <c r="R4158" s="191">
        <v>5.2999999999999998E-8</v>
      </c>
      <c r="S4158" s="191"/>
      <c r="T4158" s="191"/>
      <c r="U4158" s="439"/>
      <c r="V4158" s="439"/>
      <c r="W4158" s="178">
        <v>30000</v>
      </c>
      <c r="X4158" s="172">
        <f t="shared" si="4"/>
        <v>0.33333333333333331</v>
      </c>
      <c r="Y4158" s="172">
        <f t="shared" si="4"/>
        <v>0.33333333333333331</v>
      </c>
      <c r="Z4158" s="172">
        <f t="shared" si="4"/>
        <v>0.33333333333333331</v>
      </c>
      <c r="AA4158" s="195"/>
      <c r="AB4158" s="172"/>
    </row>
    <row r="4159" spans="1:28" ht="12.75" customHeight="1" x14ac:dyDescent="0.3">
      <c r="A4159" s="161">
        <v>159</v>
      </c>
      <c r="B4159" s="160" t="s">
        <v>1794</v>
      </c>
      <c r="C4159" s="160">
        <v>35796</v>
      </c>
      <c r="D4159" s="160" t="s">
        <v>2408</v>
      </c>
      <c r="E4159" s="545"/>
      <c r="F4159" s="161">
        <v>96</v>
      </c>
      <c r="G4159" s="161">
        <v>-38</v>
      </c>
      <c r="H4159" s="191">
        <v>100</v>
      </c>
      <c r="I4159" s="191">
        <v>83000</v>
      </c>
      <c r="J4159" s="191"/>
      <c r="K4159" s="191">
        <v>3.1</v>
      </c>
      <c r="L4159" s="191"/>
      <c r="M4159" s="191"/>
      <c r="N4159" s="191"/>
      <c r="O4159" s="191"/>
      <c r="P4159" s="191"/>
      <c r="Q4159" s="191">
        <v>2.8E-5</v>
      </c>
      <c r="R4159" s="191">
        <v>5.3000000000000001E-7</v>
      </c>
      <c r="S4159" s="191"/>
      <c r="T4159" s="191">
        <v>7.0999999999999998E-7</v>
      </c>
      <c r="U4159" s="439"/>
      <c r="V4159" s="439"/>
      <c r="W4159" s="178">
        <v>30000</v>
      </c>
      <c r="X4159" s="172">
        <f t="shared" si="4"/>
        <v>0.33333333333333331</v>
      </c>
      <c r="Y4159" s="172">
        <f t="shared" si="4"/>
        <v>0.33333333333333331</v>
      </c>
      <c r="Z4159" s="172">
        <f t="shared" si="4"/>
        <v>0.33333333333333331</v>
      </c>
      <c r="AA4159" s="195"/>
      <c r="AB4159" s="172"/>
    </row>
    <row r="4160" spans="1:28" ht="12.75" customHeight="1" x14ac:dyDescent="0.3">
      <c r="A4160" s="161">
        <v>160</v>
      </c>
      <c r="B4160" s="160" t="s">
        <v>1844</v>
      </c>
      <c r="C4160" s="160" t="s">
        <v>1579</v>
      </c>
      <c r="D4160" s="160" t="s">
        <v>2408</v>
      </c>
      <c r="E4160" s="545"/>
      <c r="F4160" s="161">
        <v>76</v>
      </c>
      <c r="G4160" s="161">
        <v>-85</v>
      </c>
      <c r="H4160" s="191">
        <v>810</v>
      </c>
      <c r="I4160" s="191">
        <v>3.9</v>
      </c>
      <c r="J4160" s="191"/>
      <c r="K4160" s="191">
        <v>0.16</v>
      </c>
      <c r="L4160" s="191"/>
      <c r="M4160" s="191"/>
      <c r="N4160" s="191"/>
      <c r="O4160" s="191"/>
      <c r="P4160" s="191"/>
      <c r="Q4160" s="191">
        <v>9.7999999999999993E-6</v>
      </c>
      <c r="R4160" s="191">
        <v>5.3000000000000003E-10</v>
      </c>
      <c r="S4160" s="191"/>
      <c r="T4160" s="191">
        <v>9.3000000000000007E-6</v>
      </c>
      <c r="U4160" s="439"/>
      <c r="V4160" s="439"/>
      <c r="W4160" s="178">
        <v>30000</v>
      </c>
      <c r="X4160" s="172">
        <f t="shared" si="4"/>
        <v>0.33333333333333331</v>
      </c>
      <c r="Y4160" s="172">
        <f t="shared" si="4"/>
        <v>0.33333333333333331</v>
      </c>
      <c r="Z4160" s="172">
        <f t="shared" si="4"/>
        <v>0.33333333333333331</v>
      </c>
      <c r="AA4160" s="195"/>
      <c r="AB4160" s="172"/>
    </row>
    <row r="4161" spans="1:28" ht="12.75" customHeight="1" x14ac:dyDescent="0.3">
      <c r="A4161" s="161">
        <v>161</v>
      </c>
      <c r="B4161" s="160" t="s">
        <v>1764</v>
      </c>
      <c r="C4161" s="160" t="s">
        <v>1710</v>
      </c>
      <c r="D4161" s="160" t="s">
        <v>2408</v>
      </c>
      <c r="E4161" s="545"/>
      <c r="F4161" s="161">
        <v>447</v>
      </c>
      <c r="G4161" s="161">
        <v>-45</v>
      </c>
      <c r="H4161" s="191">
        <v>10</v>
      </c>
      <c r="I4161" s="191">
        <v>1.2</v>
      </c>
      <c r="J4161" s="191"/>
      <c r="K4161" s="191">
        <v>230000000</v>
      </c>
      <c r="L4161" s="191"/>
      <c r="M4161" s="191"/>
      <c r="N4161" s="191"/>
      <c r="O4161" s="191"/>
      <c r="P4161" s="191"/>
      <c r="Q4161" s="191">
        <v>2.0000000000000002E-5</v>
      </c>
      <c r="R4161" s="191">
        <v>5.3000000000000001E-7</v>
      </c>
      <c r="S4161" s="191"/>
      <c r="T4161" s="191">
        <v>7.5000000000000002E-7</v>
      </c>
      <c r="U4161" s="439"/>
      <c r="V4161" s="439"/>
      <c r="W4161" s="178">
        <v>30000</v>
      </c>
      <c r="X4161" s="172">
        <f t="shared" si="4"/>
        <v>0.33333333333333331</v>
      </c>
      <c r="Y4161" s="172">
        <f t="shared" si="4"/>
        <v>0.33333333333333331</v>
      </c>
      <c r="Z4161" s="172">
        <f t="shared" si="4"/>
        <v>0.33333333333333331</v>
      </c>
      <c r="AA4161" s="195"/>
      <c r="AB4161" s="172"/>
    </row>
    <row r="4162" spans="1:28" ht="12.75" customHeight="1" x14ac:dyDescent="0.3">
      <c r="A4162" s="161">
        <v>162</v>
      </c>
      <c r="B4162" s="173" t="s">
        <v>1798</v>
      </c>
      <c r="C4162" s="160" t="s">
        <v>1575</v>
      </c>
      <c r="D4162" s="160" t="s">
        <v>2408</v>
      </c>
      <c r="E4162" s="545"/>
      <c r="F4162" s="161">
        <v>108</v>
      </c>
      <c r="G4162" s="161">
        <v>63</v>
      </c>
      <c r="H4162" s="191">
        <v>0.5</v>
      </c>
      <c r="I4162" s="191">
        <v>1.6</v>
      </c>
      <c r="J4162" s="191"/>
      <c r="K4162" s="191">
        <v>0.49</v>
      </c>
      <c r="L4162" s="191"/>
      <c r="M4162" s="191"/>
      <c r="N4162" s="191"/>
      <c r="O4162" s="191"/>
      <c r="P4162" s="191"/>
      <c r="Q4162" s="191">
        <v>1.4999999999999999E-4</v>
      </c>
      <c r="R4162" s="191">
        <v>5.3000000000000003E-10</v>
      </c>
      <c r="S4162" s="191"/>
      <c r="T4162" s="191">
        <v>9.9999999999999995E-8</v>
      </c>
      <c r="U4162" s="439"/>
      <c r="V4162" s="439"/>
      <c r="W4162" s="178">
        <v>30000</v>
      </c>
      <c r="X4162" s="172">
        <f t="shared" si="4"/>
        <v>0.33333333333333331</v>
      </c>
      <c r="Y4162" s="172">
        <f t="shared" si="4"/>
        <v>0.33333333333333331</v>
      </c>
      <c r="Z4162" s="172">
        <f t="shared" si="4"/>
        <v>0.33333333333333331</v>
      </c>
      <c r="AA4162" s="195"/>
      <c r="AB4162" s="172"/>
    </row>
    <row r="4163" spans="1:28" ht="12.75" customHeight="1" x14ac:dyDescent="0.3">
      <c r="A4163" s="161">
        <v>163</v>
      </c>
      <c r="B4163" s="159" t="s">
        <v>1770</v>
      </c>
      <c r="C4163" s="160" t="s">
        <v>1716</v>
      </c>
      <c r="D4163" s="160" t="s">
        <v>2408</v>
      </c>
      <c r="E4163" s="545"/>
      <c r="F4163" s="161">
        <v>59</v>
      </c>
      <c r="G4163" s="191">
        <v>-80</v>
      </c>
      <c r="H4163" s="191">
        <v>63000</v>
      </c>
      <c r="I4163" s="191">
        <v>0.19</v>
      </c>
      <c r="J4163" s="191"/>
      <c r="K4163" s="191">
        <v>1.8</v>
      </c>
      <c r="L4163" s="191"/>
      <c r="M4163" s="191"/>
      <c r="N4163" s="191"/>
      <c r="O4163" s="191"/>
      <c r="P4163" s="191"/>
      <c r="Q4163" s="191">
        <v>2.9E-5</v>
      </c>
      <c r="R4163" s="191">
        <v>5.3000000000000001E-7</v>
      </c>
      <c r="S4163" s="191"/>
      <c r="T4163" s="191">
        <v>8.5000000000000001E-7</v>
      </c>
      <c r="U4163" s="439"/>
      <c r="V4163" s="439"/>
      <c r="W4163" s="178">
        <v>30000</v>
      </c>
      <c r="X4163" s="172">
        <f t="shared" si="4"/>
        <v>0.33333333333333331</v>
      </c>
      <c r="Y4163" s="172">
        <f t="shared" si="4"/>
        <v>0.33333333333333331</v>
      </c>
      <c r="Z4163" s="172">
        <f t="shared" si="4"/>
        <v>0.33333333333333331</v>
      </c>
      <c r="AA4163" s="195"/>
      <c r="AB4163" s="159"/>
    </row>
    <row r="4164" spans="1:28" ht="12.75" customHeight="1" x14ac:dyDescent="0.3">
      <c r="A4164" s="161">
        <v>164</v>
      </c>
      <c r="B4164" s="159" t="s">
        <v>26</v>
      </c>
      <c r="C4164" s="160" t="s">
        <v>25</v>
      </c>
      <c r="D4164" s="160" t="s">
        <v>2408</v>
      </c>
      <c r="E4164" s="545"/>
      <c r="F4164" s="161">
        <v>113</v>
      </c>
      <c r="G4164" s="191">
        <v>-45</v>
      </c>
      <c r="H4164" s="191">
        <v>1200</v>
      </c>
      <c r="I4164" s="191">
        <v>470</v>
      </c>
      <c r="J4164" s="191"/>
      <c r="K4164" s="191">
        <v>320</v>
      </c>
      <c r="L4164" s="191"/>
      <c r="M4164" s="191"/>
      <c r="N4164" s="191"/>
      <c r="O4164" s="191"/>
      <c r="P4164" s="191"/>
      <c r="Q4164" s="191">
        <v>1.1999999999999999E-6</v>
      </c>
      <c r="R4164" s="191">
        <v>5.3000000000000003E-10</v>
      </c>
      <c r="S4164" s="191"/>
      <c r="T4164" s="191">
        <v>3.3999999999999997E-7</v>
      </c>
      <c r="U4164" s="439"/>
      <c r="V4164" s="439"/>
      <c r="W4164" s="178">
        <v>30000</v>
      </c>
      <c r="X4164" s="172">
        <f t="shared" si="4"/>
        <v>0.33333333333333331</v>
      </c>
      <c r="Y4164" s="172">
        <f t="shared" si="4"/>
        <v>0.33333333333333331</v>
      </c>
      <c r="Z4164" s="172">
        <f t="shared" si="4"/>
        <v>0.33333333333333331</v>
      </c>
      <c r="AA4164" s="195"/>
      <c r="AB4164" s="159"/>
    </row>
    <row r="4165" spans="1:28" ht="12.75" customHeight="1" x14ac:dyDescent="0.3">
      <c r="A4165" s="161">
        <v>165</v>
      </c>
      <c r="B4165" s="159" t="s">
        <v>1843</v>
      </c>
      <c r="C4165" s="160" t="s">
        <v>1657</v>
      </c>
      <c r="D4165" s="160" t="s">
        <v>2408</v>
      </c>
      <c r="E4165" s="545"/>
      <c r="F4165" s="161">
        <v>127</v>
      </c>
      <c r="G4165" s="191">
        <v>7</v>
      </c>
      <c r="H4165" s="191">
        <v>360</v>
      </c>
      <c r="I4165" s="191">
        <v>150</v>
      </c>
      <c r="J4165" s="191"/>
      <c r="K4165" s="191">
        <v>2100</v>
      </c>
      <c r="L4165" s="191"/>
      <c r="M4165" s="191"/>
      <c r="N4165" s="191"/>
      <c r="O4165" s="191"/>
      <c r="P4165" s="191"/>
      <c r="Q4165" s="191">
        <v>1.3999999999999999E-6</v>
      </c>
      <c r="R4165" s="191">
        <v>5.3000000000000003E-10</v>
      </c>
      <c r="S4165" s="191"/>
      <c r="T4165" s="191">
        <v>4.9999999999999998E-8</v>
      </c>
      <c r="U4165" s="439"/>
      <c r="V4165" s="439"/>
      <c r="W4165" s="178">
        <v>30000</v>
      </c>
      <c r="X4165" s="172">
        <f t="shared" si="4"/>
        <v>0.33333333333333331</v>
      </c>
      <c r="Y4165" s="172">
        <f t="shared" si="4"/>
        <v>0.33333333333333331</v>
      </c>
      <c r="Z4165" s="172">
        <f t="shared" si="4"/>
        <v>0.33333333333333331</v>
      </c>
      <c r="AA4165" s="195"/>
      <c r="AB4165" s="159"/>
    </row>
    <row r="4166" spans="1:28" ht="12.75" customHeight="1" x14ac:dyDescent="0.3">
      <c r="A4166" s="161">
        <v>166</v>
      </c>
      <c r="B4166" s="159" t="s">
        <v>1752</v>
      </c>
      <c r="C4166" s="160" t="s">
        <v>1622</v>
      </c>
      <c r="D4166" s="160" t="s">
        <v>2408</v>
      </c>
      <c r="E4166" s="545"/>
      <c r="F4166" s="161">
        <v>54</v>
      </c>
      <c r="G4166" s="191">
        <v>-109</v>
      </c>
      <c r="H4166" s="191">
        <v>240000</v>
      </c>
      <c r="I4166" s="191">
        <v>500</v>
      </c>
      <c r="J4166" s="191"/>
      <c r="K4166" s="191">
        <v>71</v>
      </c>
      <c r="L4166" s="191"/>
      <c r="M4166" s="191"/>
      <c r="N4166" s="191"/>
      <c r="O4166" s="191"/>
      <c r="P4166" s="191"/>
      <c r="Q4166" s="191">
        <v>7.7999999999999999E-5</v>
      </c>
      <c r="R4166" s="191">
        <v>5.3000000000000003E-10</v>
      </c>
      <c r="S4166" s="191"/>
      <c r="T4166" s="191">
        <v>9.1999999999999998E-7</v>
      </c>
      <c r="U4166" s="439"/>
      <c r="V4166" s="439"/>
      <c r="W4166" s="178">
        <v>30000</v>
      </c>
      <c r="X4166" s="172">
        <f t="shared" si="4"/>
        <v>0.33333333333333331</v>
      </c>
      <c r="Y4166" s="172">
        <f t="shared" si="4"/>
        <v>0.33333333333333331</v>
      </c>
      <c r="Z4166" s="172">
        <f t="shared" si="4"/>
        <v>0.33333333333333331</v>
      </c>
      <c r="AA4166" s="195"/>
      <c r="AB4166" s="159"/>
    </row>
    <row r="4167" spans="1:28" ht="12.75" customHeight="1" x14ac:dyDescent="0.3">
      <c r="A4167" s="161">
        <v>167</v>
      </c>
      <c r="B4167" s="159" t="s">
        <v>869</v>
      </c>
      <c r="C4167" s="160" t="s">
        <v>868</v>
      </c>
      <c r="D4167" s="160" t="s">
        <v>2408</v>
      </c>
      <c r="E4167" s="545"/>
      <c r="F4167" s="161">
        <v>92</v>
      </c>
      <c r="G4167" s="191">
        <v>-95</v>
      </c>
      <c r="H4167" s="191">
        <v>2900</v>
      </c>
      <c r="I4167" s="191">
        <v>550</v>
      </c>
      <c r="J4167" s="191"/>
      <c r="K4167" s="191">
        <v>6700</v>
      </c>
      <c r="L4167" s="191"/>
      <c r="M4167" s="191"/>
      <c r="N4167" s="191"/>
      <c r="O4167" s="191"/>
      <c r="P4167" s="191"/>
      <c r="Q4167" s="191">
        <v>2.8E-5</v>
      </c>
      <c r="R4167" s="191">
        <v>5.3000000000000001E-7</v>
      </c>
      <c r="S4167" s="191"/>
      <c r="T4167" s="191">
        <v>4.0999999999999999E-7</v>
      </c>
      <c r="U4167" s="439"/>
      <c r="V4167" s="439"/>
      <c r="W4167" s="178">
        <v>30000</v>
      </c>
      <c r="X4167" s="172">
        <f t="shared" si="4"/>
        <v>0.33333333333333331</v>
      </c>
      <c r="Y4167" s="172">
        <f t="shared" si="4"/>
        <v>0.33333333333333331</v>
      </c>
      <c r="Z4167" s="172">
        <f t="shared" si="4"/>
        <v>0.33333333333333331</v>
      </c>
      <c r="AA4167" s="195"/>
      <c r="AB4167" s="159"/>
    </row>
    <row r="4168" spans="1:28" ht="12.75" customHeight="1" x14ac:dyDescent="0.3">
      <c r="A4168" s="161">
        <v>168</v>
      </c>
      <c r="B4168" s="159" t="s">
        <v>1799</v>
      </c>
      <c r="C4168" s="160" t="s">
        <v>1578</v>
      </c>
      <c r="D4168" s="160" t="s">
        <v>2408</v>
      </c>
      <c r="E4168" s="545"/>
      <c r="F4168" s="161">
        <v>94</v>
      </c>
      <c r="G4168" s="191">
        <v>41</v>
      </c>
      <c r="H4168" s="191">
        <v>20</v>
      </c>
      <c r="I4168" s="191">
        <v>88000</v>
      </c>
      <c r="J4168" s="191"/>
      <c r="K4168" s="191">
        <v>31</v>
      </c>
      <c r="L4168" s="191"/>
      <c r="M4168" s="191"/>
      <c r="N4168" s="191"/>
      <c r="O4168" s="191"/>
      <c r="P4168" s="191"/>
      <c r="Q4168" s="191">
        <v>2.4000000000000001E-4</v>
      </c>
      <c r="R4168" s="191">
        <v>5.3000000000000001E-7</v>
      </c>
      <c r="S4168" s="191"/>
      <c r="T4168" s="191">
        <v>4.5000000000000001E-6</v>
      </c>
      <c r="U4168" s="439"/>
      <c r="V4168" s="439"/>
      <c r="W4168" s="178">
        <v>30000</v>
      </c>
      <c r="X4168" s="172">
        <f t="shared" si="4"/>
        <v>0.33333333333333331</v>
      </c>
      <c r="Y4168" s="172">
        <f t="shared" si="4"/>
        <v>0.33333333333333331</v>
      </c>
      <c r="Z4168" s="172">
        <f t="shared" si="4"/>
        <v>0.33333333333333331</v>
      </c>
      <c r="AA4168" s="195"/>
      <c r="AB4168" s="159"/>
    </row>
    <row r="4169" spans="1:28" ht="12.75" customHeight="1" x14ac:dyDescent="0.3">
      <c r="A4169" s="161">
        <v>169</v>
      </c>
      <c r="B4169" s="159" t="s">
        <v>1539</v>
      </c>
      <c r="C4169" s="160" t="s">
        <v>1538</v>
      </c>
      <c r="D4169" s="160" t="s">
        <v>2408</v>
      </c>
      <c r="E4169" s="545"/>
      <c r="F4169" s="161">
        <v>78</v>
      </c>
      <c r="G4169" s="191">
        <v>5</v>
      </c>
      <c r="H4169" s="191">
        <v>10000</v>
      </c>
      <c r="I4169" s="191">
        <v>1800</v>
      </c>
      <c r="J4169" s="191"/>
      <c r="K4169" s="191">
        <v>100</v>
      </c>
      <c r="L4169" s="191"/>
      <c r="M4169" s="191"/>
      <c r="N4169" s="191"/>
      <c r="O4169" s="191"/>
      <c r="P4169" s="191"/>
      <c r="Q4169" s="191">
        <v>1.5E-6</v>
      </c>
      <c r="R4169" s="191">
        <v>5.3000000000000001E-7</v>
      </c>
      <c r="S4169" s="191"/>
      <c r="T4169" s="191">
        <v>5.6000000000000004E-7</v>
      </c>
      <c r="U4169" s="439"/>
      <c r="V4169" s="439"/>
      <c r="W4169" s="178">
        <v>30000</v>
      </c>
      <c r="X4169" s="172">
        <f t="shared" si="4"/>
        <v>0.33333333333333331</v>
      </c>
      <c r="Y4169" s="172">
        <f t="shared" si="4"/>
        <v>0.33333333333333331</v>
      </c>
      <c r="Z4169" s="172">
        <f t="shared" si="4"/>
        <v>0.33333333333333331</v>
      </c>
      <c r="AA4169" s="195"/>
      <c r="AB4169" s="159"/>
    </row>
    <row r="4170" spans="1:28" ht="12.75" customHeight="1" x14ac:dyDescent="0.3">
      <c r="A4170" s="161">
        <v>170</v>
      </c>
      <c r="B4170" s="159" t="s">
        <v>1832</v>
      </c>
      <c r="C4170" s="160" t="s">
        <v>1696</v>
      </c>
      <c r="D4170" s="160" t="s">
        <v>2408</v>
      </c>
      <c r="E4170" s="545"/>
      <c r="F4170" s="161">
        <v>108</v>
      </c>
      <c r="G4170" s="191">
        <v>23</v>
      </c>
      <c r="H4170" s="191">
        <v>1100</v>
      </c>
      <c r="I4170" s="191">
        <v>25000</v>
      </c>
      <c r="J4170" s="191"/>
      <c r="K4170" s="191">
        <v>100</v>
      </c>
      <c r="L4170" s="191"/>
      <c r="M4170" s="191"/>
      <c r="N4170" s="191"/>
      <c r="O4170" s="191"/>
      <c r="P4170" s="191"/>
      <c r="Q4170" s="191">
        <v>3.1000000000000001E-5</v>
      </c>
      <c r="R4170" s="191">
        <v>5.3000000000000003E-10</v>
      </c>
      <c r="S4170" s="191"/>
      <c r="T4170" s="191">
        <v>8.8999999999999995E-6</v>
      </c>
      <c r="U4170" s="439"/>
      <c r="V4170" s="439"/>
      <c r="W4170" s="178">
        <v>30000</v>
      </c>
      <c r="X4170" s="172">
        <f t="shared" si="4"/>
        <v>0.33333333333333331</v>
      </c>
      <c r="Y4170" s="172">
        <f t="shared" si="4"/>
        <v>0.33333333333333331</v>
      </c>
      <c r="Z4170" s="172">
        <f t="shared" si="4"/>
        <v>0.33333333333333331</v>
      </c>
      <c r="AA4170" s="195"/>
      <c r="AB4170" s="159"/>
    </row>
    <row r="4171" spans="1:28" ht="12.75" customHeight="1" x14ac:dyDescent="0.3">
      <c r="A4171" s="161">
        <v>171</v>
      </c>
      <c r="B4171" s="159" t="s">
        <v>1876</v>
      </c>
      <c r="C4171" s="160" t="s">
        <v>1706</v>
      </c>
      <c r="D4171" s="160" t="s">
        <v>2408</v>
      </c>
      <c r="E4171" s="545"/>
      <c r="F4171" s="161">
        <v>143</v>
      </c>
      <c r="G4171" s="191">
        <v>50</v>
      </c>
      <c r="H4171" s="191">
        <v>2.5000000000000001E-2</v>
      </c>
      <c r="I4171" s="191">
        <v>7600</v>
      </c>
      <c r="J4171" s="191"/>
      <c r="K4171" s="191">
        <v>1200</v>
      </c>
      <c r="L4171" s="191"/>
      <c r="M4171" s="191"/>
      <c r="N4171" s="191"/>
      <c r="O4171" s="191"/>
      <c r="P4171" s="191"/>
      <c r="Q4171" s="191"/>
      <c r="R4171" s="191">
        <v>5.3000000000000003E-10</v>
      </c>
      <c r="S4171" s="191"/>
      <c r="T4171" s="191"/>
      <c r="U4171" s="439"/>
      <c r="V4171" s="439"/>
      <c r="W4171" s="178">
        <v>30000</v>
      </c>
      <c r="X4171" s="172">
        <f t="shared" si="4"/>
        <v>0.33333333333333331</v>
      </c>
      <c r="Y4171" s="172">
        <f t="shared" si="4"/>
        <v>0.33333333333333331</v>
      </c>
      <c r="Z4171" s="172">
        <f t="shared" si="4"/>
        <v>0.33333333333333331</v>
      </c>
      <c r="AA4171" s="195"/>
      <c r="AB4171" s="159"/>
    </row>
    <row r="4172" spans="1:28" ht="12.75" customHeight="1" x14ac:dyDescent="0.3">
      <c r="A4172" s="161">
        <v>172</v>
      </c>
      <c r="B4172" s="159" t="s">
        <v>1921</v>
      </c>
      <c r="C4172" s="160">
        <v>29348</v>
      </c>
      <c r="D4172" s="160" t="s">
        <v>2408</v>
      </c>
      <c r="E4172" s="545"/>
      <c r="F4172" s="161">
        <v>228</v>
      </c>
      <c r="G4172" s="191">
        <v>153</v>
      </c>
      <c r="H4172" s="191">
        <v>3.9999999999999998E-6</v>
      </c>
      <c r="I4172" s="191">
        <v>300</v>
      </c>
      <c r="J4172" s="191"/>
      <c r="K4172" s="191">
        <v>580</v>
      </c>
      <c r="L4172" s="191"/>
      <c r="M4172" s="191"/>
      <c r="N4172" s="191"/>
      <c r="O4172" s="191"/>
      <c r="P4172" s="191"/>
      <c r="Q4172" s="191">
        <v>6.0000000000000002E-5</v>
      </c>
      <c r="R4172" s="191">
        <v>5.3000000000000001E-7</v>
      </c>
      <c r="S4172" s="191"/>
      <c r="T4172" s="191">
        <v>3.2000000000000001E-7</v>
      </c>
      <c r="U4172" s="439"/>
      <c r="V4172" s="439"/>
      <c r="W4172" s="178">
        <v>30000</v>
      </c>
      <c r="X4172" s="172">
        <f t="shared" si="4"/>
        <v>0.33333333333333331</v>
      </c>
      <c r="Y4172" s="172">
        <f t="shared" si="4"/>
        <v>0.33333333333333331</v>
      </c>
      <c r="Z4172" s="172">
        <f t="shared" si="4"/>
        <v>0.33333333333333331</v>
      </c>
      <c r="AA4172" s="195"/>
      <c r="AB4172" s="159"/>
    </row>
    <row r="4173" spans="1:28" ht="12.75" customHeight="1" x14ac:dyDescent="0.3">
      <c r="A4173" s="161">
        <v>173</v>
      </c>
      <c r="B4173" s="159" t="s">
        <v>1817</v>
      </c>
      <c r="C4173" s="160" t="s">
        <v>1733</v>
      </c>
      <c r="D4173" s="160" t="s">
        <v>2408</v>
      </c>
      <c r="E4173" s="545"/>
      <c r="F4173" s="161">
        <v>192</v>
      </c>
      <c r="G4173" s="191">
        <v>53</v>
      </c>
      <c r="H4173" s="191">
        <v>4.2000000000000002E-4</v>
      </c>
      <c r="I4173" s="191">
        <v>83</v>
      </c>
      <c r="J4173" s="191"/>
      <c r="K4173" s="191">
        <v>1000</v>
      </c>
      <c r="L4173" s="191"/>
      <c r="M4173" s="191"/>
      <c r="N4173" s="191"/>
      <c r="O4173" s="191"/>
      <c r="P4173" s="191"/>
      <c r="Q4173" s="191"/>
      <c r="R4173" s="191">
        <v>5.3000000000000003E-10</v>
      </c>
      <c r="S4173" s="191"/>
      <c r="T4173" s="191"/>
      <c r="U4173" s="439"/>
      <c r="V4173" s="439"/>
      <c r="W4173" s="178">
        <v>30000</v>
      </c>
      <c r="X4173" s="172">
        <f t="shared" si="4"/>
        <v>0.33333333333333331</v>
      </c>
      <c r="Y4173" s="172">
        <f t="shared" si="4"/>
        <v>0.33333333333333331</v>
      </c>
      <c r="Z4173" s="172">
        <f t="shared" si="4"/>
        <v>0.33333333333333331</v>
      </c>
      <c r="AA4173" s="195"/>
      <c r="AB4173" s="159"/>
    </row>
    <row r="4174" spans="1:28" ht="12.75" customHeight="1" x14ac:dyDescent="0.3">
      <c r="A4174" s="161">
        <v>174</v>
      </c>
      <c r="B4174" s="159" t="s">
        <v>1903</v>
      </c>
      <c r="C4174" s="160" t="s">
        <v>1613</v>
      </c>
      <c r="D4174" s="160" t="s">
        <v>2408</v>
      </c>
      <c r="E4174" s="545"/>
      <c r="F4174" s="161">
        <v>87</v>
      </c>
      <c r="G4174" s="191">
        <v>-160</v>
      </c>
      <c r="H4174" s="191">
        <v>910000</v>
      </c>
      <c r="I4174" s="191">
        <v>3000</v>
      </c>
      <c r="J4174" s="191"/>
      <c r="K4174" s="191">
        <v>13</v>
      </c>
      <c r="L4174" s="191"/>
      <c r="M4174" s="191"/>
      <c r="N4174" s="191"/>
      <c r="O4174" s="191"/>
      <c r="P4174" s="191"/>
      <c r="Q4174" s="191">
        <v>7.8999999999999996E-9</v>
      </c>
      <c r="R4174" s="191">
        <v>5.3000000000000003E-10</v>
      </c>
      <c r="S4174" s="191"/>
      <c r="T4174" s="191">
        <v>3.3000000000000002E-7</v>
      </c>
      <c r="U4174" s="439"/>
      <c r="V4174" s="439"/>
      <c r="W4174" s="178">
        <v>30000</v>
      </c>
      <c r="X4174" s="172">
        <f t="shared" si="4"/>
        <v>0.33333333333333331</v>
      </c>
      <c r="Y4174" s="172">
        <f t="shared" si="4"/>
        <v>0.33333333333333331</v>
      </c>
      <c r="Z4174" s="172">
        <f t="shared" si="4"/>
        <v>0.33333333333333331</v>
      </c>
      <c r="AA4174" s="195"/>
      <c r="AB4174" s="159"/>
    </row>
    <row r="4175" spans="1:28" ht="12.75" customHeight="1" x14ac:dyDescent="0.3">
      <c r="A4175" s="161">
        <v>175</v>
      </c>
      <c r="B4175" s="159" t="s">
        <v>1826</v>
      </c>
      <c r="C4175" s="160" t="s">
        <v>1674</v>
      </c>
      <c r="D4175" s="160" t="s">
        <v>2408</v>
      </c>
      <c r="E4175" s="545"/>
      <c r="F4175" s="161">
        <v>120</v>
      </c>
      <c r="G4175" s="191">
        <v>-85</v>
      </c>
      <c r="H4175" s="191">
        <v>26</v>
      </c>
      <c r="I4175" s="191">
        <v>5.0999999999999996</v>
      </c>
      <c r="J4175" s="191"/>
      <c r="K4175" s="191">
        <v>0.18</v>
      </c>
      <c r="L4175" s="191"/>
      <c r="M4175" s="191"/>
      <c r="N4175" s="191"/>
      <c r="O4175" s="191"/>
      <c r="P4175" s="191"/>
      <c r="Q4175" s="191">
        <v>1.8E-5</v>
      </c>
      <c r="R4175" s="191">
        <v>5.3000000000000003E-10</v>
      </c>
      <c r="S4175" s="191"/>
      <c r="T4175" s="191">
        <v>8.0000000000000002E-8</v>
      </c>
      <c r="U4175" s="439"/>
      <c r="V4175" s="439"/>
      <c r="W4175" s="178">
        <v>30000</v>
      </c>
      <c r="X4175" s="172">
        <f t="shared" si="4"/>
        <v>0.33333333333333331</v>
      </c>
      <c r="Y4175" s="172">
        <f t="shared" si="4"/>
        <v>0.33333333333333331</v>
      </c>
      <c r="Z4175" s="172">
        <f t="shared" si="4"/>
        <v>0.33333333333333331</v>
      </c>
      <c r="AA4175" s="195"/>
      <c r="AB4175" s="159"/>
    </row>
    <row r="4176" spans="1:28" ht="12.75" customHeight="1" x14ac:dyDescent="0.3">
      <c r="A4176" s="161">
        <v>176</v>
      </c>
      <c r="B4176" s="159" t="s">
        <v>1801</v>
      </c>
      <c r="C4176" s="160" t="s">
        <v>1584</v>
      </c>
      <c r="D4176" s="160" t="s">
        <v>2408</v>
      </c>
      <c r="E4176" s="545"/>
      <c r="F4176" s="161">
        <v>118</v>
      </c>
      <c r="G4176" s="191">
        <v>-72</v>
      </c>
      <c r="H4176" s="191">
        <v>79</v>
      </c>
      <c r="I4176" s="191">
        <v>6.7000000000000004E-2</v>
      </c>
      <c r="J4176" s="191"/>
      <c r="K4176" s="191">
        <v>6.5</v>
      </c>
      <c r="L4176" s="191"/>
      <c r="M4176" s="191"/>
      <c r="N4176" s="191"/>
      <c r="O4176" s="191"/>
      <c r="P4176" s="191"/>
      <c r="Q4176" s="191">
        <v>3.7000000000000002E-6</v>
      </c>
      <c r="R4176" s="191">
        <v>5.2999999999999998E-8</v>
      </c>
      <c r="S4176" s="191"/>
      <c r="T4176" s="191">
        <v>4.1000000000000003E-8</v>
      </c>
      <c r="U4176" s="439"/>
      <c r="V4176" s="439"/>
      <c r="W4176" s="178">
        <v>30000</v>
      </c>
      <c r="X4176" s="172">
        <f t="shared" si="4"/>
        <v>0.33333333333333331</v>
      </c>
      <c r="Y4176" s="172">
        <f t="shared" si="4"/>
        <v>0.33333333333333331</v>
      </c>
      <c r="Z4176" s="172">
        <f t="shared" si="4"/>
        <v>0.33333333333333331</v>
      </c>
      <c r="AA4176" s="195"/>
      <c r="AB4176" s="159"/>
    </row>
    <row r="4177" spans="1:28" ht="12.75" customHeight="1" x14ac:dyDescent="0.3">
      <c r="A4177" s="161">
        <v>177</v>
      </c>
      <c r="B4177" s="159" t="s">
        <v>867</v>
      </c>
      <c r="C4177" s="160" t="s">
        <v>866</v>
      </c>
      <c r="D4177" s="160" t="s">
        <v>2408</v>
      </c>
      <c r="E4177" s="545"/>
      <c r="F4177" s="161">
        <v>86</v>
      </c>
      <c r="G4177" s="191">
        <v>-93</v>
      </c>
      <c r="H4177" s="191">
        <v>1.1000000000000001</v>
      </c>
      <c r="I4177" s="191">
        <v>25000</v>
      </c>
      <c r="J4177" s="191"/>
      <c r="K4177" s="191">
        <v>3</v>
      </c>
      <c r="L4177" s="191"/>
      <c r="M4177" s="191"/>
      <c r="N4177" s="191"/>
      <c r="O4177" s="191"/>
      <c r="P4177" s="191"/>
      <c r="Q4177" s="191">
        <v>2.5000000000000001E-5</v>
      </c>
      <c r="R4177" s="191">
        <v>5.3000000000000001E-7</v>
      </c>
      <c r="S4177" s="191"/>
      <c r="T4177" s="191">
        <v>6.4000000000000001E-7</v>
      </c>
      <c r="U4177" s="439"/>
      <c r="V4177" s="439"/>
      <c r="W4177" s="178">
        <v>30000</v>
      </c>
      <c r="X4177" s="172">
        <f t="shared" si="4"/>
        <v>0.33333333333333331</v>
      </c>
      <c r="Y4177" s="172">
        <f t="shared" si="4"/>
        <v>0.33333333333333331</v>
      </c>
      <c r="Z4177" s="172">
        <f t="shared" si="4"/>
        <v>0.33333333333333331</v>
      </c>
      <c r="AA4177" s="195"/>
      <c r="AB4177" s="159"/>
    </row>
    <row r="4178" spans="1:28" ht="12.75" customHeight="1" x14ac:dyDescent="0.3">
      <c r="A4178" s="161">
        <v>178</v>
      </c>
      <c r="B4178" s="159" t="s">
        <v>1864</v>
      </c>
      <c r="C4178" s="160" t="s">
        <v>1661</v>
      </c>
      <c r="D4178" s="160" t="s">
        <v>2408</v>
      </c>
      <c r="E4178" s="545"/>
      <c r="F4178" s="161">
        <v>129</v>
      </c>
      <c r="G4178" s="191">
        <v>325</v>
      </c>
      <c r="H4178" s="191">
        <v>1.2999999999999999E-4</v>
      </c>
      <c r="I4178" s="191">
        <v>2000</v>
      </c>
      <c r="J4178" s="191"/>
      <c r="K4178" s="191">
        <v>8.5</v>
      </c>
      <c r="L4178" s="191"/>
      <c r="M4178" s="191"/>
      <c r="N4178" s="191"/>
      <c r="O4178" s="191"/>
      <c r="P4178" s="191"/>
      <c r="Q4178" s="191"/>
      <c r="R4178" s="191">
        <v>5.3000000000000003E-10</v>
      </c>
      <c r="S4178" s="191"/>
      <c r="T4178" s="191"/>
      <c r="U4178" s="439"/>
      <c r="V4178" s="439"/>
      <c r="W4178" s="178">
        <v>30000</v>
      </c>
      <c r="X4178" s="172">
        <f t="shared" si="4"/>
        <v>0.33333333333333331</v>
      </c>
      <c r="Y4178" s="172">
        <f t="shared" si="4"/>
        <v>0.33333333333333331</v>
      </c>
      <c r="Z4178" s="172">
        <f t="shared" si="4"/>
        <v>0.33333333333333331</v>
      </c>
      <c r="AA4178" s="195"/>
      <c r="AB4178" s="159"/>
    </row>
    <row r="4179" spans="1:28" ht="12.75" customHeight="1" x14ac:dyDescent="0.3">
      <c r="A4179" s="161">
        <v>179</v>
      </c>
      <c r="B4179" s="159" t="s">
        <v>1786</v>
      </c>
      <c r="C4179" s="160" t="s">
        <v>1627</v>
      </c>
      <c r="D4179" s="160" t="s">
        <v>2408</v>
      </c>
      <c r="E4179" s="545"/>
      <c r="F4179" s="161">
        <v>206</v>
      </c>
      <c r="G4179" s="191">
        <v>76</v>
      </c>
      <c r="H4179" s="191">
        <v>1.1999999999999999E-3</v>
      </c>
      <c r="I4179" s="191">
        <v>25</v>
      </c>
      <c r="J4179" s="191"/>
      <c r="K4179" s="191">
        <v>72</v>
      </c>
      <c r="L4179" s="191"/>
      <c r="M4179" s="191"/>
      <c r="N4179" s="191"/>
      <c r="O4179" s="191"/>
      <c r="P4179" s="191"/>
      <c r="Q4179" s="191">
        <v>8.8999999999999995E-6</v>
      </c>
      <c r="R4179" s="191">
        <v>5.2999999999999998E-8</v>
      </c>
      <c r="S4179" s="191"/>
      <c r="T4179" s="191">
        <v>4.5999999999999999E-7</v>
      </c>
      <c r="U4179" s="439"/>
      <c r="V4179" s="439"/>
      <c r="W4179" s="178">
        <v>30000</v>
      </c>
      <c r="X4179" s="172">
        <f t="shared" si="4"/>
        <v>0.33333333333333331</v>
      </c>
      <c r="Y4179" s="172">
        <f t="shared" si="4"/>
        <v>0.33333333333333331</v>
      </c>
      <c r="Z4179" s="172">
        <f t="shared" si="4"/>
        <v>0.33333333333333331</v>
      </c>
      <c r="AA4179" s="195"/>
      <c r="AB4179" s="159"/>
    </row>
    <row r="4180" spans="1:28" ht="12.75" customHeight="1" x14ac:dyDescent="0.3">
      <c r="A4180" s="161">
        <v>180</v>
      </c>
      <c r="B4180" s="159" t="s">
        <v>1891</v>
      </c>
      <c r="C4180" s="160" t="s">
        <v>1994</v>
      </c>
      <c r="D4180" s="160" t="s">
        <v>2408</v>
      </c>
      <c r="E4180" s="545"/>
      <c r="F4180" s="161">
        <v>134</v>
      </c>
      <c r="G4180" s="191">
        <v>-64</v>
      </c>
      <c r="H4180" s="191">
        <v>200</v>
      </c>
      <c r="I4180" s="191">
        <v>0.98</v>
      </c>
      <c r="J4180" s="191"/>
      <c r="K4180" s="191">
        <v>0.44</v>
      </c>
      <c r="L4180" s="191"/>
      <c r="M4180" s="191"/>
      <c r="N4180" s="191"/>
      <c r="O4180" s="191"/>
      <c r="P4180" s="191"/>
      <c r="Q4180" s="191">
        <v>3.3000000000000003E-5</v>
      </c>
      <c r="R4180" s="191">
        <v>5.3000000000000003E-10</v>
      </c>
      <c r="S4180" s="191"/>
      <c r="T4180" s="191">
        <v>3.2999999999999998E-8</v>
      </c>
      <c r="U4180" s="439"/>
      <c r="V4180" s="439"/>
      <c r="W4180" s="178">
        <v>30000</v>
      </c>
      <c r="X4180" s="172">
        <f t="shared" si="4"/>
        <v>0.33333333333333331</v>
      </c>
      <c r="Y4180" s="172">
        <f t="shared" si="4"/>
        <v>0.33333333333333331</v>
      </c>
      <c r="Z4180" s="172">
        <f t="shared" si="4"/>
        <v>0.33333333333333331</v>
      </c>
      <c r="AA4180" s="195"/>
      <c r="AB4180" s="159"/>
    </row>
    <row r="4181" spans="1:28" ht="12.75" customHeight="1" x14ac:dyDescent="0.3">
      <c r="A4181" s="161">
        <v>181</v>
      </c>
      <c r="B4181" s="159" t="s">
        <v>1940</v>
      </c>
      <c r="C4181" s="160" t="s">
        <v>2000</v>
      </c>
      <c r="D4181" s="160" t="s">
        <v>2408</v>
      </c>
      <c r="E4181" s="545"/>
      <c r="F4181" s="161">
        <v>152</v>
      </c>
      <c r="G4181" s="191">
        <v>-8</v>
      </c>
      <c r="H4181" s="191">
        <v>9.7999999999999997E-3</v>
      </c>
      <c r="I4181" s="191">
        <v>570</v>
      </c>
      <c r="J4181" s="191"/>
      <c r="K4181" s="191">
        <v>520</v>
      </c>
      <c r="L4181" s="191"/>
      <c r="M4181" s="191"/>
      <c r="N4181" s="191"/>
      <c r="O4181" s="191"/>
      <c r="P4181" s="191"/>
      <c r="Q4181" s="191"/>
      <c r="R4181" s="191">
        <v>5.3000000000000001E-7</v>
      </c>
      <c r="S4181" s="191"/>
      <c r="T4181" s="191"/>
      <c r="U4181" s="439"/>
      <c r="V4181" s="439"/>
      <c r="W4181" s="178">
        <v>30000</v>
      </c>
      <c r="X4181" s="172">
        <f t="shared" si="4"/>
        <v>0.33333333333333331</v>
      </c>
      <c r="Y4181" s="172">
        <f t="shared" si="4"/>
        <v>0.33333333333333331</v>
      </c>
      <c r="Z4181" s="172">
        <f t="shared" si="4"/>
        <v>0.33333333333333331</v>
      </c>
      <c r="AA4181" s="195"/>
      <c r="AB4181" s="159"/>
    </row>
    <row r="4182" spans="1:28" ht="12.75" customHeight="1" x14ac:dyDescent="0.3">
      <c r="A4182" s="161">
        <v>182</v>
      </c>
      <c r="B4182" s="159" t="s">
        <v>1560</v>
      </c>
      <c r="C4182" s="160" t="s">
        <v>1712</v>
      </c>
      <c r="D4182" s="160" t="s">
        <v>2408</v>
      </c>
      <c r="E4182" s="545"/>
      <c r="F4182" s="161">
        <v>147</v>
      </c>
      <c r="G4182" s="191">
        <v>-25</v>
      </c>
      <c r="H4182" s="191">
        <v>180</v>
      </c>
      <c r="I4182" s="191">
        <v>100</v>
      </c>
      <c r="J4182" s="191"/>
      <c r="K4182" s="191">
        <v>3100</v>
      </c>
      <c r="L4182" s="191"/>
      <c r="M4182" s="191"/>
      <c r="N4182" s="191"/>
      <c r="O4182" s="191"/>
      <c r="P4182" s="191"/>
      <c r="Q4182" s="191">
        <v>7.1999999999999999E-7</v>
      </c>
      <c r="R4182" s="191">
        <v>5.3000000000000003E-10</v>
      </c>
      <c r="S4182" s="191"/>
      <c r="T4182" s="191">
        <v>9.5000000000000004E-8</v>
      </c>
      <c r="U4182" s="439"/>
      <c r="V4182" s="439"/>
      <c r="W4182" s="178">
        <v>30000</v>
      </c>
      <c r="X4182" s="172">
        <f t="shared" si="4"/>
        <v>0.33333333333333331</v>
      </c>
      <c r="Y4182" s="172">
        <f t="shared" si="4"/>
        <v>0.33333333333333331</v>
      </c>
      <c r="Z4182" s="172">
        <f t="shared" si="4"/>
        <v>0.33333333333333331</v>
      </c>
      <c r="AA4182" s="195"/>
      <c r="AB4182" s="159"/>
    </row>
    <row r="4183" spans="1:28" ht="12.75" customHeight="1" x14ac:dyDescent="0.3">
      <c r="A4183" s="161">
        <v>183</v>
      </c>
      <c r="B4183" s="159" t="s">
        <v>1946</v>
      </c>
      <c r="C4183" s="160" t="s">
        <v>2002</v>
      </c>
      <c r="D4183" s="160" t="s">
        <v>2408</v>
      </c>
      <c r="E4183" s="545"/>
      <c r="F4183" s="161">
        <v>112</v>
      </c>
      <c r="G4183" s="191">
        <v>-104</v>
      </c>
      <c r="H4183" s="191">
        <v>9300</v>
      </c>
      <c r="I4183" s="191">
        <v>100</v>
      </c>
      <c r="J4183" s="191"/>
      <c r="K4183" s="191">
        <v>16000</v>
      </c>
      <c r="L4183" s="191"/>
      <c r="M4183" s="191"/>
      <c r="N4183" s="191"/>
      <c r="O4183" s="191"/>
      <c r="P4183" s="191"/>
      <c r="Q4183" s="191">
        <v>4.8000000000000001E-5</v>
      </c>
      <c r="R4183" s="191">
        <v>5.3000000000000003E-10</v>
      </c>
      <c r="S4183" s="191"/>
      <c r="T4183" s="191">
        <v>8.0000000000000002E-8</v>
      </c>
      <c r="U4183" s="439"/>
      <c r="V4183" s="439"/>
      <c r="W4183" s="178">
        <v>30000</v>
      </c>
      <c r="X4183" s="172">
        <f t="shared" si="4"/>
        <v>0.33333333333333331</v>
      </c>
      <c r="Y4183" s="172">
        <f t="shared" si="4"/>
        <v>0.33333333333333331</v>
      </c>
      <c r="Z4183" s="172">
        <f t="shared" si="4"/>
        <v>0.33333333333333331</v>
      </c>
      <c r="AA4183" s="195"/>
      <c r="AB4183" s="159"/>
    </row>
    <row r="4184" spans="1:28" ht="12.75" customHeight="1" x14ac:dyDescent="0.3">
      <c r="A4184" s="161">
        <v>184</v>
      </c>
      <c r="B4184" s="159" t="s">
        <v>1897</v>
      </c>
      <c r="C4184" s="160" t="s">
        <v>1629</v>
      </c>
      <c r="D4184" s="160" t="s">
        <v>2408</v>
      </c>
      <c r="E4184" s="545"/>
      <c r="F4184" s="161">
        <v>111</v>
      </c>
      <c r="G4184" s="191">
        <v>-84</v>
      </c>
      <c r="H4184" s="191">
        <v>2400</v>
      </c>
      <c r="I4184" s="191">
        <v>2800</v>
      </c>
      <c r="J4184" s="191"/>
      <c r="K4184" s="191">
        <v>72</v>
      </c>
      <c r="L4184" s="191"/>
      <c r="M4184" s="191"/>
      <c r="N4184" s="191"/>
      <c r="O4184" s="191"/>
      <c r="P4184" s="191"/>
      <c r="Q4184" s="191">
        <v>1.7999999999999999E-6</v>
      </c>
      <c r="R4184" s="191">
        <v>5.2999999999999998E-8</v>
      </c>
      <c r="S4184" s="191"/>
      <c r="T4184" s="191">
        <v>5.4000000000000002E-7</v>
      </c>
      <c r="U4184" s="439"/>
      <c r="V4184" s="439"/>
      <c r="W4184" s="178">
        <v>30000</v>
      </c>
      <c r="X4184" s="172">
        <f t="shared" si="4"/>
        <v>0.33333333333333331</v>
      </c>
      <c r="Y4184" s="172">
        <f t="shared" si="4"/>
        <v>0.33333333333333331</v>
      </c>
      <c r="Z4184" s="172">
        <f t="shared" si="4"/>
        <v>0.33333333333333331</v>
      </c>
      <c r="AA4184" s="195"/>
      <c r="AB4184" s="159"/>
    </row>
    <row r="4185" spans="1:28" ht="12.75" customHeight="1" x14ac:dyDescent="0.3">
      <c r="A4185" s="161">
        <v>185</v>
      </c>
      <c r="B4185" s="159" t="s">
        <v>1853</v>
      </c>
      <c r="C4185" s="160" t="s">
        <v>1987</v>
      </c>
      <c r="D4185" s="160" t="s">
        <v>2408</v>
      </c>
      <c r="E4185" s="545"/>
      <c r="F4185" s="161">
        <v>242</v>
      </c>
      <c r="G4185" s="191">
        <v>49</v>
      </c>
      <c r="H4185" s="191">
        <v>6.1000000000000004E-3</v>
      </c>
      <c r="I4185" s="191">
        <v>4.1000000000000002E-2</v>
      </c>
      <c r="J4185" s="191"/>
      <c r="K4185" s="191">
        <v>4500000</v>
      </c>
      <c r="L4185" s="191"/>
      <c r="M4185" s="191"/>
      <c r="N4185" s="191"/>
      <c r="O4185" s="191"/>
      <c r="P4185" s="191"/>
      <c r="Q4185" s="191">
        <v>1.8E-5</v>
      </c>
      <c r="R4185" s="191">
        <v>5.3000000000000003E-10</v>
      </c>
      <c r="S4185" s="191"/>
      <c r="T4185" s="191">
        <v>1.5999999999999999E-6</v>
      </c>
      <c r="U4185" s="439"/>
      <c r="V4185" s="439"/>
      <c r="W4185" s="178">
        <v>30000</v>
      </c>
      <c r="X4185" s="172">
        <f t="shared" si="4"/>
        <v>0.33333333333333331</v>
      </c>
      <c r="Y4185" s="172">
        <f t="shared" si="4"/>
        <v>0.33333333333333331</v>
      </c>
      <c r="Z4185" s="172">
        <f t="shared" si="4"/>
        <v>0.33333333333333331</v>
      </c>
      <c r="AA4185" s="195"/>
      <c r="AB4185" s="159"/>
    </row>
    <row r="4186" spans="1:28" ht="12.75" customHeight="1" x14ac:dyDescent="0.3">
      <c r="A4186" s="161">
        <v>186</v>
      </c>
      <c r="B4186" s="159" t="s">
        <v>865</v>
      </c>
      <c r="C4186" s="160" t="s">
        <v>864</v>
      </c>
      <c r="D4186" s="160" t="s">
        <v>2408</v>
      </c>
      <c r="E4186" s="545"/>
      <c r="F4186" s="161">
        <v>99</v>
      </c>
      <c r="G4186" s="191">
        <v>-36</v>
      </c>
      <c r="H4186" s="191">
        <v>8700</v>
      </c>
      <c r="I4186" s="191">
        <v>8700</v>
      </c>
      <c r="J4186" s="191"/>
      <c r="K4186" s="191">
        <v>30</v>
      </c>
      <c r="L4186" s="191"/>
      <c r="M4186" s="191"/>
      <c r="N4186" s="191"/>
      <c r="O4186" s="191"/>
      <c r="P4186" s="191"/>
      <c r="Q4186" s="191">
        <v>1.4999999999999999E-7</v>
      </c>
      <c r="R4186" s="191">
        <v>5.3000000000000003E-10</v>
      </c>
      <c r="S4186" s="191"/>
      <c r="T4186" s="191">
        <v>1.3E-7</v>
      </c>
      <c r="U4186" s="439"/>
      <c r="V4186" s="439"/>
      <c r="W4186" s="178">
        <v>30000</v>
      </c>
      <c r="X4186" s="172">
        <f t="shared" si="4"/>
        <v>0.33333333333333331</v>
      </c>
      <c r="Y4186" s="172">
        <f t="shared" si="4"/>
        <v>0.33333333333333331</v>
      </c>
      <c r="Z4186" s="172">
        <f t="shared" si="4"/>
        <v>0.33333333333333331</v>
      </c>
      <c r="AA4186" s="195"/>
      <c r="AB4186" s="159"/>
    </row>
    <row r="4187" spans="1:28" ht="12.75" customHeight="1" x14ac:dyDescent="0.3">
      <c r="A4187" s="161">
        <v>187</v>
      </c>
      <c r="B4187" s="159" t="s">
        <v>1936</v>
      </c>
      <c r="C4187" s="160" t="s">
        <v>1582</v>
      </c>
      <c r="D4187" s="160" t="s">
        <v>2408</v>
      </c>
      <c r="E4187" s="545"/>
      <c r="F4187" s="161">
        <v>100</v>
      </c>
      <c r="G4187" s="191">
        <v>-13</v>
      </c>
      <c r="H4187" s="191">
        <v>2200</v>
      </c>
      <c r="I4187" s="191">
        <v>3.5</v>
      </c>
      <c r="J4187" s="191"/>
      <c r="K4187" s="191">
        <v>0.6</v>
      </c>
      <c r="L4187" s="191"/>
      <c r="M4187" s="191"/>
      <c r="N4187" s="191"/>
      <c r="O4187" s="191"/>
      <c r="P4187" s="191"/>
      <c r="Q4187" s="191">
        <v>3.1999999999999999E-5</v>
      </c>
      <c r="R4187" s="191">
        <v>5.3000000000000001E-7</v>
      </c>
      <c r="S4187" s="191"/>
      <c r="T4187" s="191">
        <v>6.5000000000000002E-7</v>
      </c>
      <c r="U4187" s="439"/>
      <c r="V4187" s="439"/>
      <c r="W4187" s="178">
        <v>30000</v>
      </c>
      <c r="X4187" s="172">
        <f t="shared" si="4"/>
        <v>0.33333333333333331</v>
      </c>
      <c r="Y4187" s="172">
        <f t="shared" si="4"/>
        <v>0.33333333333333331</v>
      </c>
      <c r="Z4187" s="172">
        <f t="shared" si="4"/>
        <v>0.33333333333333331</v>
      </c>
      <c r="AA4187" s="195"/>
      <c r="AB4187" s="159"/>
    </row>
    <row r="4188" spans="1:28" ht="12.75" customHeight="1" x14ac:dyDescent="0.3">
      <c r="A4188" s="161">
        <v>188</v>
      </c>
      <c r="B4188" s="159" t="s">
        <v>1933</v>
      </c>
      <c r="C4188" s="160" t="s">
        <v>1662</v>
      </c>
      <c r="D4188" s="160" t="s">
        <v>2408</v>
      </c>
      <c r="E4188" s="545"/>
      <c r="F4188" s="161">
        <v>142</v>
      </c>
      <c r="G4188" s="191">
        <v>-42</v>
      </c>
      <c r="H4188" s="191">
        <v>220</v>
      </c>
      <c r="I4188" s="191">
        <v>500</v>
      </c>
      <c r="J4188" s="191"/>
      <c r="K4188" s="191">
        <v>480</v>
      </c>
      <c r="L4188" s="191"/>
      <c r="M4188" s="191"/>
      <c r="N4188" s="191"/>
      <c r="O4188" s="191"/>
      <c r="P4188" s="191"/>
      <c r="Q4188" s="191"/>
      <c r="R4188" s="191">
        <v>5.3000000000000001E-7</v>
      </c>
      <c r="S4188" s="191"/>
      <c r="T4188" s="191"/>
      <c r="U4188" s="439"/>
      <c r="V4188" s="439"/>
      <c r="W4188" s="178">
        <v>30000</v>
      </c>
      <c r="X4188" s="172">
        <f t="shared" si="4"/>
        <v>0.33333333333333331</v>
      </c>
      <c r="Y4188" s="172">
        <f t="shared" si="4"/>
        <v>0.33333333333333331</v>
      </c>
      <c r="Z4188" s="172">
        <f t="shared" si="4"/>
        <v>0.33333333333333331</v>
      </c>
      <c r="AA4188" s="195"/>
      <c r="AB4188" s="159"/>
    </row>
    <row r="4189" spans="1:28" ht="12.75" customHeight="1" x14ac:dyDescent="0.3">
      <c r="A4189" s="161">
        <v>189</v>
      </c>
      <c r="B4189" s="159" t="s">
        <v>1793</v>
      </c>
      <c r="C4189" s="160" t="s">
        <v>1736</v>
      </c>
      <c r="D4189" s="160" t="s">
        <v>2408</v>
      </c>
      <c r="E4189" s="545"/>
      <c r="F4189" s="161">
        <v>162</v>
      </c>
      <c r="G4189" s="191">
        <v>71</v>
      </c>
      <c r="H4189" s="191">
        <v>2</v>
      </c>
      <c r="I4189" s="191">
        <v>1000</v>
      </c>
      <c r="J4189" s="191"/>
      <c r="K4189" s="191">
        <v>500</v>
      </c>
      <c r="L4189" s="191"/>
      <c r="M4189" s="191"/>
      <c r="N4189" s="191"/>
      <c r="O4189" s="191"/>
      <c r="P4189" s="191"/>
      <c r="Q4189" s="191">
        <v>1.9000000000000001E-5</v>
      </c>
      <c r="R4189" s="191">
        <v>5.3000000000000003E-10</v>
      </c>
      <c r="S4189" s="191"/>
      <c r="T4189" s="191">
        <v>1.4000000000000001E-7</v>
      </c>
      <c r="U4189" s="439"/>
      <c r="V4189" s="439"/>
      <c r="W4189" s="178">
        <v>30000</v>
      </c>
      <c r="X4189" s="172">
        <f t="shared" si="4"/>
        <v>0.33333333333333331</v>
      </c>
      <c r="Y4189" s="172">
        <f t="shared" si="4"/>
        <v>0.33333333333333331</v>
      </c>
      <c r="Z4189" s="172">
        <f t="shared" si="4"/>
        <v>0.33333333333333331</v>
      </c>
      <c r="AA4189" s="195"/>
      <c r="AB4189" s="159"/>
    </row>
    <row r="4190" spans="1:28" ht="12.75" customHeight="1" x14ac:dyDescent="0.3">
      <c r="A4190" s="161">
        <v>190</v>
      </c>
      <c r="B4190" s="159" t="s">
        <v>882</v>
      </c>
      <c r="C4190" s="160" t="s">
        <v>881</v>
      </c>
      <c r="D4190" s="160" t="s">
        <v>2408</v>
      </c>
      <c r="E4190" s="545"/>
      <c r="F4190" s="161">
        <v>137</v>
      </c>
      <c r="G4190" s="191">
        <v>-7</v>
      </c>
      <c r="H4190" s="191">
        <v>16</v>
      </c>
      <c r="I4190" s="191">
        <v>650</v>
      </c>
      <c r="J4190" s="191"/>
      <c r="K4190" s="191">
        <v>200</v>
      </c>
      <c r="L4190" s="191"/>
      <c r="M4190" s="191"/>
      <c r="N4190" s="191"/>
      <c r="O4190" s="191"/>
      <c r="P4190" s="191"/>
      <c r="Q4190" s="191">
        <v>5.7999999999999995E-7</v>
      </c>
      <c r="R4190" s="191">
        <v>5.3000000000000003E-10</v>
      </c>
      <c r="S4190" s="191"/>
      <c r="T4190" s="191">
        <v>4.0000000000000001E-8</v>
      </c>
      <c r="U4190" s="439"/>
      <c r="V4190" s="439"/>
      <c r="W4190" s="178">
        <v>30000</v>
      </c>
      <c r="X4190" s="172">
        <f t="shared" si="4"/>
        <v>0.33333333333333331</v>
      </c>
      <c r="Y4190" s="172">
        <f t="shared" si="4"/>
        <v>0.33333333333333331</v>
      </c>
      <c r="Z4190" s="172">
        <f t="shared" si="4"/>
        <v>0.33333333333333331</v>
      </c>
      <c r="AA4190" s="195"/>
      <c r="AB4190" s="159"/>
    </row>
    <row r="4191" spans="1:28" ht="12.75" customHeight="1" x14ac:dyDescent="0.3">
      <c r="A4191" s="161">
        <v>191</v>
      </c>
      <c r="B4191" s="159" t="s">
        <v>1870</v>
      </c>
      <c r="C4191" s="160" t="s">
        <v>1635</v>
      </c>
      <c r="D4191" s="160" t="s">
        <v>2408</v>
      </c>
      <c r="E4191" s="545"/>
      <c r="F4191" s="161">
        <v>959</v>
      </c>
      <c r="G4191" s="191">
        <v>305</v>
      </c>
      <c r="H4191" s="191">
        <v>1.4000000000000001E-18</v>
      </c>
      <c r="I4191" s="191">
        <v>3.0000000000000001E-3</v>
      </c>
      <c r="J4191" s="191"/>
      <c r="K4191" s="191">
        <v>75000000</v>
      </c>
      <c r="L4191" s="191"/>
      <c r="M4191" s="191"/>
      <c r="N4191" s="191"/>
      <c r="O4191" s="191"/>
      <c r="P4191" s="191"/>
      <c r="Q4191" s="191"/>
      <c r="R4191" s="191">
        <v>5.3000000000000003E-10</v>
      </c>
      <c r="S4191" s="191"/>
      <c r="T4191" s="191"/>
      <c r="U4191" s="439"/>
      <c r="V4191" s="439"/>
      <c r="W4191" s="178">
        <v>30000</v>
      </c>
      <c r="X4191" s="172">
        <f t="shared" si="4"/>
        <v>0.33333333333333331</v>
      </c>
      <c r="Y4191" s="172">
        <f t="shared" si="4"/>
        <v>0.33333333333333331</v>
      </c>
      <c r="Z4191" s="172">
        <f t="shared" si="4"/>
        <v>0.33333333333333331</v>
      </c>
      <c r="AA4191" s="195"/>
      <c r="AB4191" s="159"/>
    </row>
    <row r="4192" spans="1:28" ht="12.75" customHeight="1" x14ac:dyDescent="0.3">
      <c r="A4192" s="161">
        <v>192</v>
      </c>
      <c r="B4192" s="159" t="s">
        <v>1837</v>
      </c>
      <c r="C4192" s="160" t="s">
        <v>1984</v>
      </c>
      <c r="D4192" s="160" t="s">
        <v>2408</v>
      </c>
      <c r="E4192" s="545"/>
      <c r="F4192" s="161">
        <v>270</v>
      </c>
      <c r="G4192" s="191">
        <v>39</v>
      </c>
      <c r="H4192" s="191">
        <v>2.1E-7</v>
      </c>
      <c r="I4192" s="191">
        <v>37</v>
      </c>
      <c r="J4192" s="191"/>
      <c r="K4192" s="191">
        <v>6000</v>
      </c>
      <c r="L4192" s="191"/>
      <c r="M4192" s="191"/>
      <c r="N4192" s="191"/>
      <c r="O4192" s="191"/>
      <c r="P4192" s="191"/>
      <c r="Q4192" s="191">
        <v>6.9E-6</v>
      </c>
      <c r="R4192" s="191">
        <v>5.2999999999999998E-8</v>
      </c>
      <c r="S4192" s="191"/>
      <c r="T4192" s="191">
        <v>2.1E-7</v>
      </c>
      <c r="U4192" s="439"/>
      <c r="V4192" s="439"/>
      <c r="W4192" s="178">
        <v>30000</v>
      </c>
      <c r="X4192" s="172">
        <f t="shared" si="4"/>
        <v>0.33333333333333331</v>
      </c>
      <c r="Y4192" s="172">
        <f t="shared" si="4"/>
        <v>0.33333333333333331</v>
      </c>
      <c r="Z4192" s="172">
        <f t="shared" si="4"/>
        <v>0.33333333333333331</v>
      </c>
      <c r="AA4192" s="195"/>
      <c r="AB4192" s="159"/>
    </row>
    <row r="4193" spans="1:28" ht="12.75" customHeight="1" x14ac:dyDescent="0.3">
      <c r="A4193" s="161">
        <v>193</v>
      </c>
      <c r="B4193" s="159" t="s">
        <v>1930</v>
      </c>
      <c r="C4193" s="160" t="s">
        <v>1563</v>
      </c>
      <c r="D4193" s="160" t="s">
        <v>2408</v>
      </c>
      <c r="E4193" s="545"/>
      <c r="F4193" s="161">
        <v>178</v>
      </c>
      <c r="G4193" s="191">
        <v>166</v>
      </c>
      <c r="H4193" s="191">
        <v>1.5E-3</v>
      </c>
      <c r="I4193" s="191">
        <v>70</v>
      </c>
      <c r="J4193" s="191"/>
      <c r="K4193" s="191">
        <v>2500</v>
      </c>
      <c r="L4193" s="191"/>
      <c r="M4193" s="191"/>
      <c r="N4193" s="191"/>
      <c r="O4193" s="191"/>
      <c r="P4193" s="191"/>
      <c r="Q4193" s="191"/>
      <c r="R4193" s="191">
        <v>5.3000000000000003E-10</v>
      </c>
      <c r="S4193" s="191"/>
      <c r="T4193" s="191"/>
      <c r="U4193" s="439"/>
      <c r="V4193" s="439"/>
      <c r="W4193" s="178">
        <v>30000</v>
      </c>
      <c r="X4193" s="172">
        <f t="shared" si="4"/>
        <v>0.33333333333333331</v>
      </c>
      <c r="Y4193" s="172">
        <f t="shared" si="4"/>
        <v>0.33333333333333331</v>
      </c>
      <c r="Z4193" s="172">
        <f t="shared" si="4"/>
        <v>0.33333333333333331</v>
      </c>
      <c r="AA4193" s="195"/>
      <c r="AB4193" s="159"/>
    </row>
    <row r="4194" spans="1:28" ht="12.75" customHeight="1" x14ac:dyDescent="0.3">
      <c r="A4194" s="161">
        <v>194</v>
      </c>
      <c r="B4194" s="159" t="s">
        <v>1849</v>
      </c>
      <c r="C4194" s="160" t="s">
        <v>1589</v>
      </c>
      <c r="D4194" s="160" t="s">
        <v>2408</v>
      </c>
      <c r="E4194" s="545"/>
      <c r="F4194" s="161">
        <v>167</v>
      </c>
      <c r="G4194" s="191">
        <v>180</v>
      </c>
      <c r="H4194" s="191">
        <v>1.1E-4</v>
      </c>
      <c r="I4194" s="191">
        <v>330</v>
      </c>
      <c r="J4194" s="191"/>
      <c r="K4194" s="191">
        <v>260</v>
      </c>
      <c r="L4194" s="191"/>
      <c r="M4194" s="191"/>
      <c r="N4194" s="191"/>
      <c r="O4194" s="191"/>
      <c r="P4194" s="191"/>
      <c r="Q4194" s="191"/>
      <c r="R4194" s="191">
        <v>5.3000000000000003E-10</v>
      </c>
      <c r="S4194" s="191"/>
      <c r="T4194" s="191"/>
      <c r="U4194" s="439"/>
      <c r="V4194" s="439"/>
      <c r="W4194" s="178">
        <v>30000</v>
      </c>
      <c r="X4194" s="172">
        <f t="shared" ref="X4194:Z4257" si="5">1/3</f>
        <v>0.33333333333333331</v>
      </c>
      <c r="Y4194" s="172">
        <f t="shared" si="5"/>
        <v>0.33333333333333331</v>
      </c>
      <c r="Z4194" s="172">
        <f t="shared" si="5"/>
        <v>0.33333333333333331</v>
      </c>
      <c r="AA4194" s="195"/>
      <c r="AB4194" s="159"/>
    </row>
    <row r="4195" spans="1:28" ht="12.75" customHeight="1" x14ac:dyDescent="0.3">
      <c r="A4195" s="161">
        <v>195</v>
      </c>
      <c r="B4195" s="159" t="s">
        <v>1867</v>
      </c>
      <c r="C4195" s="160" t="s">
        <v>1639</v>
      </c>
      <c r="D4195" s="160" t="s">
        <v>2408</v>
      </c>
      <c r="E4195" s="545"/>
      <c r="F4195" s="161">
        <v>213</v>
      </c>
      <c r="G4195" s="191">
        <v>-18</v>
      </c>
      <c r="H4195" s="191">
        <v>3.0999999999999999E-3</v>
      </c>
      <c r="I4195" s="191">
        <v>0.25</v>
      </c>
      <c r="J4195" s="191"/>
      <c r="K4195" s="191">
        <v>300000</v>
      </c>
      <c r="L4195" s="191"/>
      <c r="M4195" s="191"/>
      <c r="N4195" s="191"/>
      <c r="O4195" s="191"/>
      <c r="P4195" s="191"/>
      <c r="Q4195" s="191">
        <v>5.3000000000000001E-5</v>
      </c>
      <c r="R4195" s="191">
        <v>5.2999999999999998E-8</v>
      </c>
      <c r="S4195" s="191"/>
      <c r="T4195" s="191">
        <v>3.2000000000000001E-7</v>
      </c>
      <c r="U4195" s="439"/>
      <c r="V4195" s="439"/>
      <c r="W4195" s="178">
        <v>30000</v>
      </c>
      <c r="X4195" s="172">
        <f t="shared" si="5"/>
        <v>0.33333333333333331</v>
      </c>
      <c r="Y4195" s="172">
        <f t="shared" si="5"/>
        <v>0.33333333333333331</v>
      </c>
      <c r="Z4195" s="172">
        <f t="shared" si="5"/>
        <v>0.33333333333333331</v>
      </c>
      <c r="AA4195" s="195"/>
      <c r="AB4195" s="159"/>
    </row>
    <row r="4196" spans="1:28" ht="12.75" customHeight="1" x14ac:dyDescent="0.3">
      <c r="A4196" s="161">
        <v>196</v>
      </c>
      <c r="B4196" s="159" t="s">
        <v>1765</v>
      </c>
      <c r="C4196" s="160" t="s">
        <v>1711</v>
      </c>
      <c r="D4196" s="160" t="s">
        <v>2408</v>
      </c>
      <c r="E4196" s="545"/>
      <c r="F4196" s="161">
        <v>419</v>
      </c>
      <c r="G4196" s="191">
        <v>-44</v>
      </c>
      <c r="H4196" s="191">
        <v>2.8E-11</v>
      </c>
      <c r="I4196" s="191">
        <v>0.2</v>
      </c>
      <c r="J4196" s="191"/>
      <c r="K4196" s="191">
        <v>120000000</v>
      </c>
      <c r="L4196" s="191"/>
      <c r="M4196" s="191"/>
      <c r="N4196" s="191"/>
      <c r="O4196" s="191"/>
      <c r="P4196" s="191"/>
      <c r="Q4196" s="191">
        <v>1.8E-5</v>
      </c>
      <c r="R4196" s="191">
        <v>5.2999999999999998E-8</v>
      </c>
      <c r="S4196" s="191"/>
      <c r="T4196" s="191">
        <v>1.3E-6</v>
      </c>
      <c r="U4196" s="439"/>
      <c r="V4196" s="439"/>
      <c r="W4196" s="178">
        <v>30000</v>
      </c>
      <c r="X4196" s="172">
        <f t="shared" si="5"/>
        <v>0.33333333333333331</v>
      </c>
      <c r="Y4196" s="172">
        <f t="shared" si="5"/>
        <v>0.33333333333333331</v>
      </c>
      <c r="Z4196" s="172">
        <f t="shared" si="5"/>
        <v>0.33333333333333331</v>
      </c>
      <c r="AA4196" s="195"/>
      <c r="AB4196" s="159"/>
    </row>
    <row r="4197" spans="1:28" ht="12.75" customHeight="1" x14ac:dyDescent="0.3">
      <c r="A4197" s="161">
        <v>197</v>
      </c>
      <c r="B4197" s="159" t="s">
        <v>1898</v>
      </c>
      <c r="C4197" s="160" t="s">
        <v>1593</v>
      </c>
      <c r="D4197" s="160" t="s">
        <v>2408</v>
      </c>
      <c r="E4197" s="545"/>
      <c r="F4197" s="161">
        <v>60</v>
      </c>
      <c r="G4197" s="191">
        <v>133</v>
      </c>
      <c r="H4197" s="191">
        <v>1.6000000000000001E-3</v>
      </c>
      <c r="I4197" s="191">
        <v>1100000</v>
      </c>
      <c r="J4197" s="191"/>
      <c r="K4197" s="191">
        <v>2.5999999999999999E-2</v>
      </c>
      <c r="L4197" s="191"/>
      <c r="M4197" s="191"/>
      <c r="N4197" s="191"/>
      <c r="O4197" s="191"/>
      <c r="P4197" s="191"/>
      <c r="Q4197" s="191"/>
      <c r="R4197" s="191">
        <v>5.3000000000000003E-10</v>
      </c>
      <c r="S4197" s="191"/>
      <c r="T4197" s="191"/>
      <c r="U4197" s="439"/>
      <c r="V4197" s="439"/>
      <c r="W4197" s="178">
        <v>30000</v>
      </c>
      <c r="X4197" s="172">
        <f t="shared" si="5"/>
        <v>0.33333333333333331</v>
      </c>
      <c r="Y4197" s="172">
        <f t="shared" si="5"/>
        <v>0.33333333333333331</v>
      </c>
      <c r="Z4197" s="172">
        <f t="shared" si="5"/>
        <v>0.33333333333333331</v>
      </c>
      <c r="AA4197" s="195"/>
      <c r="AB4197" s="159"/>
    </row>
    <row r="4198" spans="1:28" ht="12.75" customHeight="1" x14ac:dyDescent="0.3">
      <c r="A4198" s="161">
        <v>198</v>
      </c>
      <c r="B4198" s="159" t="s">
        <v>1761</v>
      </c>
      <c r="C4198" s="160" t="s">
        <v>1971</v>
      </c>
      <c r="D4198" s="160" t="s">
        <v>2408</v>
      </c>
      <c r="E4198" s="545"/>
      <c r="F4198" s="161">
        <v>160</v>
      </c>
      <c r="G4198" s="191">
        <v>-43</v>
      </c>
      <c r="H4198" s="191">
        <v>27</v>
      </c>
      <c r="I4198" s="191">
        <v>0.7</v>
      </c>
      <c r="J4198" s="191"/>
      <c r="K4198" s="191">
        <v>1.4</v>
      </c>
      <c r="L4198" s="191"/>
      <c r="M4198" s="191"/>
      <c r="N4198" s="191"/>
      <c r="O4198" s="191"/>
      <c r="P4198" s="191"/>
      <c r="Q4198" s="191">
        <v>1.9E-6</v>
      </c>
      <c r="R4198" s="191">
        <v>5.3000000000000001E-7</v>
      </c>
      <c r="S4198" s="191"/>
      <c r="T4198" s="191">
        <v>1.1999999999999999E-6</v>
      </c>
      <c r="U4198" s="439"/>
      <c r="V4198" s="439"/>
      <c r="W4198" s="178">
        <v>30000</v>
      </c>
      <c r="X4198" s="172">
        <f t="shared" si="5"/>
        <v>0.33333333333333331</v>
      </c>
      <c r="Y4198" s="172">
        <f t="shared" si="5"/>
        <v>0.33333333333333331</v>
      </c>
      <c r="Z4198" s="172">
        <f t="shared" si="5"/>
        <v>0.33333333333333331</v>
      </c>
      <c r="AA4198" s="195"/>
      <c r="AB4198" s="159"/>
    </row>
    <row r="4199" spans="1:28" ht="12.75" customHeight="1" x14ac:dyDescent="0.3">
      <c r="A4199" s="161">
        <v>199</v>
      </c>
      <c r="B4199" s="159" t="s">
        <v>1842</v>
      </c>
      <c r="C4199" s="160" t="s">
        <v>1985</v>
      </c>
      <c r="D4199" s="160" t="s">
        <v>2408</v>
      </c>
      <c r="E4199" s="545"/>
      <c r="F4199" s="161">
        <v>172</v>
      </c>
      <c r="G4199" s="191">
        <v>101</v>
      </c>
      <c r="H4199" s="191">
        <v>10</v>
      </c>
      <c r="I4199" s="191">
        <v>700000</v>
      </c>
      <c r="J4199" s="191"/>
      <c r="K4199" s="191">
        <v>6.1</v>
      </c>
      <c r="L4199" s="191"/>
      <c r="M4199" s="191"/>
      <c r="N4199" s="191"/>
      <c r="O4199" s="191"/>
      <c r="P4199" s="191"/>
      <c r="Q4199" s="191"/>
      <c r="R4199" s="191">
        <v>5.2999999999999998E-8</v>
      </c>
      <c r="S4199" s="191"/>
      <c r="T4199" s="191"/>
      <c r="U4199" s="439"/>
      <c r="V4199" s="439"/>
      <c r="W4199" s="178">
        <v>30000</v>
      </c>
      <c r="X4199" s="172">
        <f t="shared" si="5"/>
        <v>0.33333333333333331</v>
      </c>
      <c r="Y4199" s="172">
        <f t="shared" si="5"/>
        <v>0.33333333333333331</v>
      </c>
      <c r="Z4199" s="172">
        <f t="shared" si="5"/>
        <v>0.33333333333333331</v>
      </c>
      <c r="AA4199" s="195"/>
      <c r="AB4199" s="159"/>
    </row>
    <row r="4200" spans="1:28" ht="12.75" customHeight="1" x14ac:dyDescent="0.3">
      <c r="A4200" s="161">
        <v>200</v>
      </c>
      <c r="B4200" s="159" t="s">
        <v>1831</v>
      </c>
      <c r="C4200" s="160" t="s">
        <v>903</v>
      </c>
      <c r="D4200" s="160" t="s">
        <v>2408</v>
      </c>
      <c r="E4200" s="545"/>
      <c r="F4200" s="161">
        <v>194</v>
      </c>
      <c r="G4200" s="191">
        <v>3</v>
      </c>
      <c r="H4200" s="191">
        <v>0.8</v>
      </c>
      <c r="I4200" s="191">
        <v>4300</v>
      </c>
      <c r="J4200" s="191"/>
      <c r="K4200" s="191">
        <v>34</v>
      </c>
      <c r="L4200" s="191"/>
      <c r="M4200" s="191"/>
      <c r="N4200" s="191"/>
      <c r="O4200" s="191"/>
      <c r="P4200" s="191"/>
      <c r="Q4200" s="191"/>
      <c r="R4200" s="191">
        <v>5.3000000000000001E-7</v>
      </c>
      <c r="S4200" s="191"/>
      <c r="T4200" s="191"/>
      <c r="U4200" s="439"/>
      <c r="V4200" s="439"/>
      <c r="W4200" s="178">
        <v>30000</v>
      </c>
      <c r="X4200" s="172">
        <f t="shared" si="5"/>
        <v>0.33333333333333331</v>
      </c>
      <c r="Y4200" s="172">
        <f t="shared" si="5"/>
        <v>0.33333333333333331</v>
      </c>
      <c r="Z4200" s="172">
        <f t="shared" si="5"/>
        <v>0.33333333333333331</v>
      </c>
      <c r="AA4200" s="195"/>
      <c r="AB4200" s="159"/>
    </row>
    <row r="4201" spans="1:28" ht="12.75" customHeight="1" x14ac:dyDescent="0.3">
      <c r="A4201" s="161">
        <v>201</v>
      </c>
      <c r="B4201" s="159" t="s">
        <v>1811</v>
      </c>
      <c r="C4201" s="160">
        <v>21399</v>
      </c>
      <c r="D4201" s="160" t="s">
        <v>2408</v>
      </c>
      <c r="E4201" s="545"/>
      <c r="F4201" s="161">
        <v>194</v>
      </c>
      <c r="G4201" s="191">
        <v>236</v>
      </c>
      <c r="H4201" s="191">
        <v>1.1000000000000001E-3</v>
      </c>
      <c r="I4201" s="191">
        <v>20000</v>
      </c>
      <c r="J4201" s="191"/>
      <c r="K4201" s="191">
        <v>0.85</v>
      </c>
      <c r="L4201" s="191"/>
      <c r="M4201" s="191"/>
      <c r="N4201" s="191"/>
      <c r="O4201" s="191"/>
      <c r="P4201" s="191"/>
      <c r="Q4201" s="191">
        <v>1.5E-5</v>
      </c>
      <c r="R4201" s="191">
        <v>5.3000000000000003E-10</v>
      </c>
      <c r="S4201" s="191"/>
      <c r="T4201" s="191">
        <v>3.7E-7</v>
      </c>
      <c r="U4201" s="439"/>
      <c r="V4201" s="439"/>
      <c r="W4201" s="178">
        <v>30000</v>
      </c>
      <c r="X4201" s="172">
        <f t="shared" si="5"/>
        <v>0.33333333333333331</v>
      </c>
      <c r="Y4201" s="172">
        <f t="shared" si="5"/>
        <v>0.33333333333333331</v>
      </c>
      <c r="Z4201" s="172">
        <f t="shared" si="5"/>
        <v>0.33333333333333331</v>
      </c>
      <c r="AA4201" s="195"/>
      <c r="AB4201" s="159"/>
    </row>
    <row r="4202" spans="1:28" ht="12.75" customHeight="1" x14ac:dyDescent="0.3">
      <c r="A4202" s="161">
        <v>202</v>
      </c>
      <c r="B4202" s="159" t="s">
        <v>1961</v>
      </c>
      <c r="C4202" s="160" t="s">
        <v>1700</v>
      </c>
      <c r="D4202" s="160" t="s">
        <v>2408</v>
      </c>
      <c r="E4202" s="545"/>
      <c r="F4202" s="161">
        <v>206</v>
      </c>
      <c r="G4202" s="191">
        <v>80</v>
      </c>
      <c r="H4202" s="191">
        <v>0.21</v>
      </c>
      <c r="I4202" s="191">
        <v>19</v>
      </c>
      <c r="J4202" s="191"/>
      <c r="K4202" s="191">
        <v>20000</v>
      </c>
      <c r="L4202" s="191"/>
      <c r="M4202" s="191"/>
      <c r="N4202" s="191"/>
      <c r="O4202" s="191"/>
      <c r="P4202" s="191"/>
      <c r="Q4202" s="191">
        <v>2.5000000000000001E-5</v>
      </c>
      <c r="R4202" s="191">
        <v>5.3000000000000003E-10</v>
      </c>
      <c r="S4202" s="191"/>
      <c r="T4202" s="191">
        <v>6.5999999999999995E-8</v>
      </c>
      <c r="U4202" s="439"/>
      <c r="V4202" s="439"/>
      <c r="W4202" s="178">
        <v>30000</v>
      </c>
      <c r="X4202" s="172">
        <f t="shared" si="5"/>
        <v>0.33333333333333331</v>
      </c>
      <c r="Y4202" s="172">
        <f t="shared" si="5"/>
        <v>0.33333333333333331</v>
      </c>
      <c r="Z4202" s="172">
        <f t="shared" si="5"/>
        <v>0.33333333333333331</v>
      </c>
      <c r="AA4202" s="195"/>
      <c r="AB4202" s="159"/>
    </row>
    <row r="4203" spans="1:28" ht="12.75" customHeight="1" x14ac:dyDescent="0.3">
      <c r="A4203" s="161">
        <v>203</v>
      </c>
      <c r="B4203" s="159" t="s">
        <v>1883</v>
      </c>
      <c r="C4203" s="160" t="s">
        <v>1717</v>
      </c>
      <c r="D4203" s="160" t="s">
        <v>2408</v>
      </c>
      <c r="E4203" s="545"/>
      <c r="F4203" s="161">
        <v>85</v>
      </c>
      <c r="G4203" s="191">
        <v>-19</v>
      </c>
      <c r="H4203" s="191">
        <v>110</v>
      </c>
      <c r="I4203" s="191">
        <v>2.4</v>
      </c>
      <c r="J4203" s="191"/>
      <c r="K4203" s="191">
        <v>0.18</v>
      </c>
      <c r="L4203" s="191"/>
      <c r="M4203" s="191"/>
      <c r="N4203" s="191"/>
      <c r="O4203" s="191"/>
      <c r="P4203" s="191"/>
      <c r="Q4203" s="191"/>
      <c r="R4203" s="191">
        <v>5.2999999999999998E-8</v>
      </c>
      <c r="S4203" s="191"/>
      <c r="T4203" s="191"/>
      <c r="U4203" s="439"/>
      <c r="V4203" s="439"/>
      <c r="W4203" s="178">
        <v>30000</v>
      </c>
      <c r="X4203" s="172">
        <f t="shared" si="5"/>
        <v>0.33333333333333331</v>
      </c>
      <c r="Y4203" s="172">
        <f t="shared" si="5"/>
        <v>0.33333333333333331</v>
      </c>
      <c r="Z4203" s="172">
        <f t="shared" si="5"/>
        <v>0.33333333333333331</v>
      </c>
      <c r="AA4203" s="195"/>
      <c r="AB4203" s="159"/>
    </row>
    <row r="4204" spans="1:28" ht="12.75" customHeight="1" x14ac:dyDescent="0.3">
      <c r="A4204" s="161">
        <v>204</v>
      </c>
      <c r="B4204" s="159" t="s">
        <v>1900</v>
      </c>
      <c r="C4204" s="160" t="s">
        <v>1996</v>
      </c>
      <c r="D4204" s="160" t="s">
        <v>2408</v>
      </c>
      <c r="E4204" s="545"/>
      <c r="F4204" s="161">
        <v>144</v>
      </c>
      <c r="G4204" s="191">
        <v>-18</v>
      </c>
      <c r="H4204" s="191">
        <v>28</v>
      </c>
      <c r="I4204" s="191">
        <v>0.11</v>
      </c>
      <c r="J4204" s="191"/>
      <c r="K4204" s="191">
        <v>1.7</v>
      </c>
      <c r="L4204" s="191"/>
      <c r="M4204" s="191"/>
      <c r="N4204" s="191"/>
      <c r="O4204" s="191"/>
      <c r="P4204" s="191"/>
      <c r="Q4204" s="191">
        <v>5.0000000000000004E-6</v>
      </c>
      <c r="R4204" s="191">
        <v>5.3000000000000003E-10</v>
      </c>
      <c r="S4204" s="191"/>
      <c r="T4204" s="191">
        <v>2.7E-6</v>
      </c>
      <c r="U4204" s="439"/>
      <c r="V4204" s="439"/>
      <c r="W4204" s="178">
        <v>30000</v>
      </c>
      <c r="X4204" s="172">
        <f t="shared" si="5"/>
        <v>0.33333333333333331</v>
      </c>
      <c r="Y4204" s="172">
        <f t="shared" si="5"/>
        <v>0.33333333333333331</v>
      </c>
      <c r="Z4204" s="172">
        <f t="shared" si="5"/>
        <v>0.33333333333333331</v>
      </c>
      <c r="AA4204" s="195"/>
      <c r="AB4204" s="159"/>
    </row>
    <row r="4205" spans="1:28" ht="12.75" customHeight="1" x14ac:dyDescent="0.3">
      <c r="A4205" s="161">
        <v>205</v>
      </c>
      <c r="B4205" s="159" t="s">
        <v>1757</v>
      </c>
      <c r="C4205" s="160" t="s">
        <v>1666</v>
      </c>
      <c r="D4205" s="160" t="s">
        <v>2408</v>
      </c>
      <c r="E4205" s="545"/>
      <c r="F4205" s="161">
        <v>270</v>
      </c>
      <c r="G4205" s="191">
        <v>2</v>
      </c>
      <c r="H4205" s="191">
        <v>0.12</v>
      </c>
      <c r="I4205" s="191">
        <v>0.05</v>
      </c>
      <c r="J4205" s="191"/>
      <c r="K4205" s="191">
        <v>2400000</v>
      </c>
      <c r="L4205" s="191"/>
      <c r="M4205" s="191"/>
      <c r="N4205" s="191"/>
      <c r="O4205" s="191"/>
      <c r="P4205" s="191"/>
      <c r="Q4205" s="191">
        <v>1.1E-5</v>
      </c>
      <c r="R4205" s="191">
        <v>5.3000000000000001E-7</v>
      </c>
      <c r="S4205" s="191"/>
      <c r="T4205" s="191">
        <v>9.0999999999999997E-7</v>
      </c>
      <c r="U4205" s="439"/>
      <c r="V4205" s="439"/>
      <c r="W4205" s="178">
        <v>30000</v>
      </c>
      <c r="X4205" s="172">
        <f t="shared" si="5"/>
        <v>0.33333333333333331</v>
      </c>
      <c r="Y4205" s="172">
        <f t="shared" si="5"/>
        <v>0.33333333333333331</v>
      </c>
      <c r="Z4205" s="172">
        <f t="shared" si="5"/>
        <v>0.33333333333333331</v>
      </c>
      <c r="AA4205" s="195"/>
      <c r="AB4205" s="159"/>
    </row>
    <row r="4206" spans="1:28" ht="12.75" customHeight="1" x14ac:dyDescent="0.3">
      <c r="A4206" s="161">
        <v>206</v>
      </c>
      <c r="B4206" s="159" t="s">
        <v>1890</v>
      </c>
      <c r="C4206" s="160" t="s">
        <v>1583</v>
      </c>
      <c r="D4206" s="160" t="s">
        <v>2408</v>
      </c>
      <c r="E4206" s="545"/>
      <c r="F4206" s="161">
        <v>106</v>
      </c>
      <c r="G4206" s="191">
        <v>-8</v>
      </c>
      <c r="H4206" s="191">
        <v>1</v>
      </c>
      <c r="I4206" s="191">
        <v>26</v>
      </c>
      <c r="J4206" s="191"/>
      <c r="K4206" s="191">
        <v>0.32</v>
      </c>
      <c r="L4206" s="191"/>
      <c r="M4206" s="191"/>
      <c r="N4206" s="191"/>
      <c r="O4206" s="191"/>
      <c r="P4206" s="191"/>
      <c r="Q4206" s="191">
        <v>1.9000000000000001E-5</v>
      </c>
      <c r="R4206" s="191">
        <v>5.2999999999999998E-8</v>
      </c>
      <c r="S4206" s="191"/>
      <c r="T4206" s="191">
        <v>4.0000000000000001E-8</v>
      </c>
      <c r="U4206" s="439"/>
      <c r="V4206" s="439"/>
      <c r="W4206" s="178">
        <v>30000</v>
      </c>
      <c r="X4206" s="172">
        <f t="shared" si="5"/>
        <v>0.33333333333333331</v>
      </c>
      <c r="Y4206" s="172">
        <f t="shared" si="5"/>
        <v>0.33333333333333331</v>
      </c>
      <c r="Z4206" s="172">
        <f t="shared" si="5"/>
        <v>0.33333333333333331</v>
      </c>
      <c r="AA4206" s="195"/>
      <c r="AB4206" s="159"/>
    </row>
    <row r="4207" spans="1:28" ht="12.75" customHeight="1" x14ac:dyDescent="0.3">
      <c r="A4207" s="161">
        <v>207</v>
      </c>
      <c r="B4207" s="159" t="s">
        <v>1782</v>
      </c>
      <c r="C4207" s="160" t="s">
        <v>1619</v>
      </c>
      <c r="D4207" s="160" t="s">
        <v>2408</v>
      </c>
      <c r="E4207" s="545"/>
      <c r="F4207" s="161">
        <v>42</v>
      </c>
      <c r="G4207" s="191">
        <v>-185</v>
      </c>
      <c r="H4207" s="191">
        <v>60000</v>
      </c>
      <c r="I4207" s="191">
        <v>530</v>
      </c>
      <c r="J4207" s="191"/>
      <c r="K4207" s="191">
        <v>190</v>
      </c>
      <c r="L4207" s="191"/>
      <c r="M4207" s="191"/>
      <c r="N4207" s="191"/>
      <c r="O4207" s="191"/>
      <c r="P4207" s="191"/>
      <c r="Q4207" s="191">
        <v>4.0000000000000003E-5</v>
      </c>
      <c r="R4207" s="191">
        <v>5.2999999999999998E-8</v>
      </c>
      <c r="S4207" s="191"/>
      <c r="T4207" s="191">
        <v>6.9999999999999997E-7</v>
      </c>
      <c r="U4207" s="439"/>
      <c r="V4207" s="439"/>
      <c r="W4207" s="178">
        <v>30000</v>
      </c>
      <c r="X4207" s="172">
        <f t="shared" si="5"/>
        <v>0.33333333333333331</v>
      </c>
      <c r="Y4207" s="172">
        <f t="shared" si="5"/>
        <v>0.33333333333333331</v>
      </c>
      <c r="Z4207" s="172">
        <f t="shared" si="5"/>
        <v>0.33333333333333331</v>
      </c>
      <c r="AA4207" s="195"/>
      <c r="AB4207" s="159"/>
    </row>
    <row r="4208" spans="1:28" ht="12.75" customHeight="1" x14ac:dyDescent="0.3">
      <c r="A4208" s="161">
        <v>208</v>
      </c>
      <c r="B4208" s="159" t="s">
        <v>1803</v>
      </c>
      <c r="C4208" s="160" t="s">
        <v>1682</v>
      </c>
      <c r="D4208" s="160" t="s">
        <v>2408</v>
      </c>
      <c r="E4208" s="545"/>
      <c r="F4208" s="161">
        <v>189</v>
      </c>
      <c r="G4208" s="191">
        <v>30</v>
      </c>
      <c r="H4208" s="191">
        <v>4.7000000000000002E-3</v>
      </c>
      <c r="I4208" s="191">
        <v>82</v>
      </c>
      <c r="J4208" s="191"/>
      <c r="K4208" s="191">
        <v>0.56000000000000005</v>
      </c>
      <c r="L4208" s="191"/>
      <c r="M4208" s="191"/>
      <c r="N4208" s="191"/>
      <c r="O4208" s="191"/>
      <c r="P4208" s="191"/>
      <c r="Q4208" s="191"/>
      <c r="R4208" s="191">
        <v>5.3000000000000003E-10</v>
      </c>
      <c r="S4208" s="191"/>
      <c r="T4208" s="191"/>
      <c r="U4208" s="439"/>
      <c r="V4208" s="439"/>
      <c r="W4208" s="178">
        <v>30000</v>
      </c>
      <c r="X4208" s="172">
        <f t="shared" si="5"/>
        <v>0.33333333333333331</v>
      </c>
      <c r="Y4208" s="172">
        <f t="shared" si="5"/>
        <v>0.33333333333333331</v>
      </c>
      <c r="Z4208" s="172">
        <f t="shared" si="5"/>
        <v>0.33333333333333331</v>
      </c>
      <c r="AA4208" s="195"/>
      <c r="AB4208" s="159"/>
    </row>
    <row r="4209" spans="1:28" ht="12.75" customHeight="1" x14ac:dyDescent="0.3">
      <c r="A4209" s="161">
        <v>209</v>
      </c>
      <c r="B4209" s="159" t="s">
        <v>1915</v>
      </c>
      <c r="C4209" s="160" t="s">
        <v>1688</v>
      </c>
      <c r="D4209" s="160" t="s">
        <v>2408</v>
      </c>
      <c r="E4209" s="545"/>
      <c r="F4209" s="161">
        <v>128</v>
      </c>
      <c r="G4209" s="191">
        <v>-63</v>
      </c>
      <c r="H4209" s="191">
        <v>200</v>
      </c>
      <c r="I4209" s="191">
        <v>800</v>
      </c>
      <c r="J4209" s="191"/>
      <c r="K4209" s="191">
        <v>1200</v>
      </c>
      <c r="L4209" s="191"/>
      <c r="M4209" s="191"/>
      <c r="N4209" s="191"/>
      <c r="O4209" s="191"/>
      <c r="P4209" s="191"/>
      <c r="Q4209" s="191"/>
      <c r="R4209" s="191">
        <v>5.3000000000000001E-7</v>
      </c>
      <c r="S4209" s="191"/>
      <c r="T4209" s="191"/>
      <c r="U4209" s="439"/>
      <c r="V4209" s="439"/>
      <c r="W4209" s="178">
        <v>30000</v>
      </c>
      <c r="X4209" s="172">
        <f t="shared" si="5"/>
        <v>0.33333333333333331</v>
      </c>
      <c r="Y4209" s="172">
        <f t="shared" si="5"/>
        <v>0.33333333333333331</v>
      </c>
      <c r="Z4209" s="172">
        <f t="shared" si="5"/>
        <v>0.33333333333333331</v>
      </c>
      <c r="AA4209" s="195"/>
      <c r="AB4209" s="159"/>
    </row>
    <row r="4210" spans="1:28" ht="12.75" customHeight="1" x14ac:dyDescent="0.3">
      <c r="A4210" s="161">
        <v>210</v>
      </c>
      <c r="B4210" s="159" t="s">
        <v>1966</v>
      </c>
      <c r="C4210" s="160" t="s">
        <v>1611</v>
      </c>
      <c r="D4210" s="160" t="s">
        <v>2408</v>
      </c>
      <c r="E4210" s="545"/>
      <c r="F4210" s="161">
        <v>187</v>
      </c>
      <c r="G4210" s="191">
        <v>227</v>
      </c>
      <c r="H4210" s="191">
        <v>1.2E-4</v>
      </c>
      <c r="I4210" s="191">
        <v>600</v>
      </c>
      <c r="J4210" s="191"/>
      <c r="K4210" s="191">
        <v>30</v>
      </c>
      <c r="L4210" s="191"/>
      <c r="M4210" s="191"/>
      <c r="N4210" s="191"/>
      <c r="O4210" s="191"/>
      <c r="P4210" s="191"/>
      <c r="Q4210" s="191"/>
      <c r="R4210" s="191">
        <v>5.3000000000000003E-10</v>
      </c>
      <c r="S4210" s="191"/>
      <c r="T4210" s="191"/>
      <c r="U4210" s="439"/>
      <c r="V4210" s="439"/>
      <c r="W4210" s="178">
        <v>30000</v>
      </c>
      <c r="X4210" s="172">
        <f t="shared" si="5"/>
        <v>0.33333333333333331</v>
      </c>
      <c r="Y4210" s="172">
        <f t="shared" si="5"/>
        <v>0.33333333333333331</v>
      </c>
      <c r="Z4210" s="172">
        <f t="shared" si="5"/>
        <v>0.33333333333333331</v>
      </c>
      <c r="AA4210" s="195"/>
      <c r="AB4210" s="159"/>
    </row>
    <row r="4211" spans="1:28" ht="12.75" customHeight="1" x14ac:dyDescent="0.3">
      <c r="A4211" s="161">
        <v>211</v>
      </c>
      <c r="B4211" s="159" t="s">
        <v>1846</v>
      </c>
      <c r="C4211" s="160" t="s">
        <v>1625</v>
      </c>
      <c r="D4211" s="160" t="s">
        <v>2408</v>
      </c>
      <c r="E4211" s="545"/>
      <c r="F4211" s="161">
        <v>133</v>
      </c>
      <c r="G4211" s="191">
        <v>39</v>
      </c>
      <c r="H4211" s="191">
        <v>1</v>
      </c>
      <c r="I4211" s="191">
        <v>870000</v>
      </c>
      <c r="J4211" s="191"/>
      <c r="K4211" s="191">
        <v>0.16</v>
      </c>
      <c r="L4211" s="191"/>
      <c r="M4211" s="191"/>
      <c r="N4211" s="191"/>
      <c r="O4211" s="191"/>
      <c r="P4211" s="191"/>
      <c r="Q4211" s="191"/>
      <c r="R4211" s="191">
        <v>5.3000000000000003E-10</v>
      </c>
      <c r="S4211" s="191"/>
      <c r="T4211" s="191"/>
      <c r="U4211" s="439"/>
      <c r="V4211" s="439"/>
      <c r="W4211" s="178">
        <v>30000</v>
      </c>
      <c r="X4211" s="172">
        <f t="shared" si="5"/>
        <v>0.33333333333333331</v>
      </c>
      <c r="Y4211" s="172">
        <f t="shared" si="5"/>
        <v>0.33333333333333331</v>
      </c>
      <c r="Z4211" s="172">
        <f t="shared" si="5"/>
        <v>0.33333333333333331</v>
      </c>
      <c r="AA4211" s="195"/>
      <c r="AB4211" s="159"/>
    </row>
    <row r="4212" spans="1:28" ht="12.75" customHeight="1" x14ac:dyDescent="0.3">
      <c r="A4212" s="161">
        <v>212</v>
      </c>
      <c r="B4212" s="159" t="s">
        <v>1788</v>
      </c>
      <c r="C4212" s="160" t="s">
        <v>1644</v>
      </c>
      <c r="D4212" s="160" t="s">
        <v>2408</v>
      </c>
      <c r="E4212" s="545"/>
      <c r="F4212" s="161">
        <v>126</v>
      </c>
      <c r="G4212" s="191"/>
      <c r="H4212" s="191">
        <v>35</v>
      </c>
      <c r="I4212" s="191">
        <v>28000</v>
      </c>
      <c r="J4212" s="191"/>
      <c r="K4212" s="191">
        <v>1.2</v>
      </c>
      <c r="L4212" s="191"/>
      <c r="M4212" s="191"/>
      <c r="N4212" s="191"/>
      <c r="O4212" s="191"/>
      <c r="P4212" s="191"/>
      <c r="Q4212" s="191">
        <v>1.1999999999999999E-7</v>
      </c>
      <c r="R4212" s="191">
        <v>5.3000000000000003E-10</v>
      </c>
      <c r="S4212" s="191"/>
      <c r="T4212" s="191">
        <v>4.4999999999999998E-7</v>
      </c>
      <c r="U4212" s="439"/>
      <c r="V4212" s="439"/>
      <c r="W4212" s="178">
        <v>30000</v>
      </c>
      <c r="X4212" s="172">
        <f t="shared" si="5"/>
        <v>0.33333333333333331</v>
      </c>
      <c r="Y4212" s="172">
        <f t="shared" si="5"/>
        <v>0.33333333333333331</v>
      </c>
      <c r="Z4212" s="172">
        <f t="shared" si="5"/>
        <v>0.33333333333333331</v>
      </c>
      <c r="AA4212" s="195"/>
      <c r="AB4212" s="159"/>
    </row>
    <row r="4213" spans="1:28" ht="12.75" customHeight="1" x14ac:dyDescent="0.3">
      <c r="A4213" s="161">
        <v>213</v>
      </c>
      <c r="B4213" s="159" t="s">
        <v>1935</v>
      </c>
      <c r="C4213" s="160" t="s">
        <v>1637</v>
      </c>
      <c r="D4213" s="160" t="s">
        <v>2408</v>
      </c>
      <c r="E4213" s="545"/>
      <c r="F4213" s="161">
        <v>93</v>
      </c>
      <c r="G4213" s="191">
        <v>-67</v>
      </c>
      <c r="H4213" s="191">
        <v>1100</v>
      </c>
      <c r="I4213" s="191">
        <v>1.4E-2</v>
      </c>
      <c r="J4213" s="191"/>
      <c r="K4213" s="191">
        <v>12</v>
      </c>
      <c r="L4213" s="191"/>
      <c r="M4213" s="191"/>
      <c r="N4213" s="191"/>
      <c r="O4213" s="191"/>
      <c r="P4213" s="191"/>
      <c r="Q4213" s="191"/>
      <c r="R4213" s="191">
        <v>5.3000000000000001E-7</v>
      </c>
      <c r="S4213" s="191"/>
      <c r="T4213" s="191"/>
      <c r="U4213" s="439"/>
      <c r="V4213" s="439"/>
      <c r="W4213" s="178">
        <v>30000</v>
      </c>
      <c r="X4213" s="172">
        <f t="shared" si="5"/>
        <v>0.33333333333333331</v>
      </c>
      <c r="Y4213" s="172">
        <f t="shared" si="5"/>
        <v>0.33333333333333331</v>
      </c>
      <c r="Z4213" s="172">
        <f t="shared" si="5"/>
        <v>0.33333333333333331</v>
      </c>
      <c r="AA4213" s="195"/>
      <c r="AB4213" s="159"/>
    </row>
    <row r="4214" spans="1:28" ht="12.75" customHeight="1" x14ac:dyDescent="0.3">
      <c r="A4214" s="161">
        <v>214</v>
      </c>
      <c r="B4214" s="159" t="s">
        <v>1774</v>
      </c>
      <c r="C4214" s="160" t="s">
        <v>1607</v>
      </c>
      <c r="D4214" s="160" t="s">
        <v>2408</v>
      </c>
      <c r="E4214" s="545"/>
      <c r="F4214" s="161">
        <v>86</v>
      </c>
      <c r="G4214" s="191">
        <v>-44</v>
      </c>
      <c r="H4214" s="191">
        <v>34</v>
      </c>
      <c r="I4214" s="191">
        <v>0.4</v>
      </c>
      <c r="J4214" s="191"/>
      <c r="K4214" s="191">
        <v>0.27</v>
      </c>
      <c r="L4214" s="191"/>
      <c r="M4214" s="191"/>
      <c r="N4214" s="191"/>
      <c r="O4214" s="191"/>
      <c r="P4214" s="191"/>
      <c r="Q4214" s="191">
        <v>1.3999999999999999E-6</v>
      </c>
      <c r="R4214" s="191">
        <v>5.3000000000000003E-10</v>
      </c>
      <c r="S4214" s="191"/>
      <c r="T4214" s="191">
        <v>5.7999999999999995E-7</v>
      </c>
      <c r="U4214" s="439"/>
      <c r="V4214" s="439"/>
      <c r="W4214" s="178">
        <v>30000</v>
      </c>
      <c r="X4214" s="172">
        <f t="shared" si="5"/>
        <v>0.33333333333333331</v>
      </c>
      <c r="Y4214" s="172">
        <f t="shared" si="5"/>
        <v>0.33333333333333331</v>
      </c>
      <c r="Z4214" s="172">
        <f t="shared" si="5"/>
        <v>0.33333333333333331</v>
      </c>
      <c r="AA4214" s="195"/>
      <c r="AB4214" s="159"/>
    </row>
    <row r="4215" spans="1:28" ht="12.75" customHeight="1" x14ac:dyDescent="0.3">
      <c r="A4215" s="161">
        <v>215</v>
      </c>
      <c r="B4215" s="159" t="s">
        <v>1908</v>
      </c>
      <c r="C4215" s="160" t="s">
        <v>1632</v>
      </c>
      <c r="D4215" s="160" t="s">
        <v>2408</v>
      </c>
      <c r="E4215" s="545"/>
      <c r="F4215" s="161">
        <v>201</v>
      </c>
      <c r="G4215" s="191">
        <v>118</v>
      </c>
      <c r="H4215" s="191">
        <v>2.7E-4</v>
      </c>
      <c r="I4215" s="191">
        <v>320000</v>
      </c>
      <c r="J4215" s="191"/>
      <c r="K4215" s="191">
        <v>600</v>
      </c>
      <c r="L4215" s="191"/>
      <c r="M4215" s="191"/>
      <c r="N4215" s="191"/>
      <c r="O4215" s="191"/>
      <c r="P4215" s="191"/>
      <c r="Q4215" s="191">
        <v>8.7000000000000003E-7</v>
      </c>
      <c r="R4215" s="191">
        <v>5.3000000000000003E-10</v>
      </c>
      <c r="S4215" s="191"/>
      <c r="T4215" s="191">
        <v>4.1000000000000003E-8</v>
      </c>
      <c r="U4215" s="439"/>
      <c r="V4215" s="439"/>
      <c r="W4215" s="178">
        <v>30000</v>
      </c>
      <c r="X4215" s="172">
        <f t="shared" si="5"/>
        <v>0.33333333333333331</v>
      </c>
      <c r="Y4215" s="172">
        <f t="shared" si="5"/>
        <v>0.33333333333333331</v>
      </c>
      <c r="Z4215" s="172">
        <f t="shared" si="5"/>
        <v>0.33333333333333331</v>
      </c>
      <c r="AA4215" s="195"/>
      <c r="AB4215" s="159"/>
    </row>
    <row r="4216" spans="1:28" ht="12.75" customHeight="1" x14ac:dyDescent="0.3">
      <c r="A4216" s="161">
        <v>216</v>
      </c>
      <c r="B4216" s="159" t="s">
        <v>1882</v>
      </c>
      <c r="C4216" s="160" t="s">
        <v>1992</v>
      </c>
      <c r="D4216" s="160" t="s">
        <v>2408</v>
      </c>
      <c r="E4216" s="545"/>
      <c r="F4216" s="161">
        <v>58</v>
      </c>
      <c r="G4216" s="191">
        <v>-160</v>
      </c>
      <c r="H4216" s="191">
        <v>60000</v>
      </c>
      <c r="I4216" s="191">
        <v>61</v>
      </c>
      <c r="J4216" s="191"/>
      <c r="K4216" s="191">
        <v>760</v>
      </c>
      <c r="L4216" s="191"/>
      <c r="M4216" s="191"/>
      <c r="N4216" s="191"/>
      <c r="O4216" s="191"/>
      <c r="P4216" s="191"/>
      <c r="Q4216" s="191">
        <v>9.9999999999999995E-7</v>
      </c>
      <c r="R4216" s="191">
        <v>5.2999999999999998E-8</v>
      </c>
      <c r="S4216" s="191"/>
      <c r="T4216" s="191">
        <v>6.8999999999999996E-7</v>
      </c>
      <c r="U4216" s="439"/>
      <c r="V4216" s="439"/>
      <c r="W4216" s="178">
        <v>30000</v>
      </c>
      <c r="X4216" s="172">
        <f t="shared" si="5"/>
        <v>0.33333333333333331</v>
      </c>
      <c r="Y4216" s="172">
        <f t="shared" si="5"/>
        <v>0.33333333333333331</v>
      </c>
      <c r="Z4216" s="172">
        <f t="shared" si="5"/>
        <v>0.33333333333333331</v>
      </c>
      <c r="AA4216" s="195"/>
      <c r="AB4216" s="159"/>
    </row>
    <row r="4217" spans="1:28" ht="12.75" customHeight="1" x14ac:dyDescent="0.3">
      <c r="A4217" s="161">
        <v>217</v>
      </c>
      <c r="B4217" s="159" t="s">
        <v>1749</v>
      </c>
      <c r="C4217" s="160" t="s">
        <v>1567</v>
      </c>
      <c r="D4217" s="160" t="s">
        <v>2408</v>
      </c>
      <c r="E4217" s="545"/>
      <c r="F4217" s="161">
        <v>140</v>
      </c>
      <c r="G4217" s="191">
        <v>280</v>
      </c>
      <c r="H4217" s="191">
        <v>0.35</v>
      </c>
      <c r="I4217" s="191">
        <v>890000</v>
      </c>
      <c r="J4217" s="191"/>
      <c r="K4217" s="191">
        <v>3.3E-3</v>
      </c>
      <c r="L4217" s="191"/>
      <c r="M4217" s="191"/>
      <c r="N4217" s="191"/>
      <c r="O4217" s="191"/>
      <c r="P4217" s="191"/>
      <c r="Q4217" s="191">
        <v>3.8000000000000002E-4</v>
      </c>
      <c r="R4217" s="191">
        <v>5.3000000000000003E-10</v>
      </c>
      <c r="S4217" s="191"/>
      <c r="T4217" s="191">
        <v>4.0000000000000001E-8</v>
      </c>
      <c r="U4217" s="439"/>
      <c r="V4217" s="439"/>
      <c r="W4217" s="178">
        <v>30000</v>
      </c>
      <c r="X4217" s="172">
        <f t="shared" si="5"/>
        <v>0.33333333333333331</v>
      </c>
      <c r="Y4217" s="172">
        <f t="shared" si="5"/>
        <v>0.33333333333333331</v>
      </c>
      <c r="Z4217" s="172">
        <f t="shared" si="5"/>
        <v>0.33333333333333331</v>
      </c>
      <c r="AA4217" s="195"/>
      <c r="AB4217" s="159"/>
    </row>
    <row r="4218" spans="1:28" ht="12.75" customHeight="1" x14ac:dyDescent="0.3">
      <c r="A4218" s="161">
        <v>218</v>
      </c>
      <c r="B4218" s="159" t="s">
        <v>1751</v>
      </c>
      <c r="C4218" s="160" t="s">
        <v>1969</v>
      </c>
      <c r="D4218" s="160" t="s">
        <v>2408</v>
      </c>
      <c r="E4218" s="545"/>
      <c r="F4218" s="161">
        <v>146</v>
      </c>
      <c r="G4218" s="191">
        <v>19</v>
      </c>
      <c r="H4218" s="191">
        <v>3</v>
      </c>
      <c r="I4218" s="191">
        <v>130000</v>
      </c>
      <c r="J4218" s="191"/>
      <c r="K4218" s="191">
        <v>1.5</v>
      </c>
      <c r="L4218" s="191"/>
      <c r="M4218" s="191"/>
      <c r="N4218" s="191"/>
      <c r="O4218" s="191"/>
      <c r="P4218" s="191"/>
      <c r="Q4218" s="191">
        <v>4.4999999999999998E-7</v>
      </c>
      <c r="R4218" s="191">
        <v>5.3000000000000003E-10</v>
      </c>
      <c r="S4218" s="191"/>
      <c r="T4218" s="191">
        <v>1.9999999999999999E-6</v>
      </c>
      <c r="U4218" s="439"/>
      <c r="V4218" s="439"/>
      <c r="W4218" s="178">
        <v>30000</v>
      </c>
      <c r="X4218" s="172">
        <f t="shared" si="5"/>
        <v>0.33333333333333331</v>
      </c>
      <c r="Y4218" s="172">
        <f t="shared" si="5"/>
        <v>0.33333333333333331</v>
      </c>
      <c r="Z4218" s="172">
        <f t="shared" si="5"/>
        <v>0.33333333333333331</v>
      </c>
      <c r="AA4218" s="195"/>
      <c r="AB4218" s="159"/>
    </row>
    <row r="4219" spans="1:28" ht="12.75" customHeight="1" x14ac:dyDescent="0.3">
      <c r="A4219" s="161">
        <v>219</v>
      </c>
      <c r="B4219" s="159" t="s">
        <v>1821</v>
      </c>
      <c r="C4219" s="160" t="s">
        <v>1655</v>
      </c>
      <c r="D4219" s="160" t="s">
        <v>2408</v>
      </c>
      <c r="E4219" s="545"/>
      <c r="F4219" s="161">
        <v>160</v>
      </c>
      <c r="G4219" s="191">
        <v>-50</v>
      </c>
      <c r="H4219" s="191">
        <v>35</v>
      </c>
      <c r="I4219" s="191">
        <v>18000</v>
      </c>
      <c r="J4219" s="191"/>
      <c r="K4219" s="191">
        <v>9.1</v>
      </c>
      <c r="L4219" s="191"/>
      <c r="M4219" s="191"/>
      <c r="N4219" s="191"/>
      <c r="O4219" s="191"/>
      <c r="P4219" s="191"/>
      <c r="Q4219" s="191"/>
      <c r="R4219" s="191">
        <v>5.3000000000000001E-7</v>
      </c>
      <c r="S4219" s="191"/>
      <c r="T4219" s="191"/>
      <c r="U4219" s="439"/>
      <c r="V4219" s="439"/>
      <c r="W4219" s="178">
        <v>30000</v>
      </c>
      <c r="X4219" s="172">
        <f t="shared" si="5"/>
        <v>0.33333333333333331</v>
      </c>
      <c r="Y4219" s="172">
        <f t="shared" si="5"/>
        <v>0.33333333333333331</v>
      </c>
      <c r="Z4219" s="172">
        <f t="shared" si="5"/>
        <v>0.33333333333333331</v>
      </c>
      <c r="AA4219" s="195"/>
      <c r="AB4219" s="159"/>
    </row>
    <row r="4220" spans="1:28" ht="12.75" customHeight="1" x14ac:dyDescent="0.3">
      <c r="A4220" s="161">
        <v>220</v>
      </c>
      <c r="B4220" s="159" t="s">
        <v>1556</v>
      </c>
      <c r="C4220" s="160" t="s">
        <v>1581</v>
      </c>
      <c r="D4220" s="160" t="s">
        <v>2408</v>
      </c>
      <c r="E4220" s="545"/>
      <c r="F4220" s="161">
        <v>84</v>
      </c>
      <c r="G4220" s="191">
        <v>7</v>
      </c>
      <c r="H4220" s="191">
        <v>10000</v>
      </c>
      <c r="I4220" s="191">
        <v>55</v>
      </c>
      <c r="J4220" s="191"/>
      <c r="K4220" s="191">
        <v>2800</v>
      </c>
      <c r="L4220" s="191"/>
      <c r="M4220" s="191"/>
      <c r="N4220" s="191"/>
      <c r="O4220" s="191"/>
      <c r="P4220" s="191"/>
      <c r="Q4220" s="191">
        <v>2.1999999999999999E-5</v>
      </c>
      <c r="R4220" s="191">
        <v>5.3000000000000003E-10</v>
      </c>
      <c r="S4220" s="191"/>
      <c r="T4220" s="191">
        <v>2.2000000000000001E-7</v>
      </c>
      <c r="U4220" s="439"/>
      <c r="V4220" s="439"/>
      <c r="W4220" s="178">
        <v>30000</v>
      </c>
      <c r="X4220" s="172">
        <f t="shared" si="5"/>
        <v>0.33333333333333331</v>
      </c>
      <c r="Y4220" s="172">
        <f t="shared" si="5"/>
        <v>0.33333333333333331</v>
      </c>
      <c r="Z4220" s="172">
        <f t="shared" si="5"/>
        <v>0.33333333333333331</v>
      </c>
      <c r="AA4220" s="195"/>
      <c r="AB4220" s="159"/>
    </row>
    <row r="4221" spans="1:28" ht="12.75" customHeight="1" x14ac:dyDescent="0.3">
      <c r="A4221" s="161">
        <v>221</v>
      </c>
      <c r="B4221" s="159" t="s">
        <v>1947</v>
      </c>
      <c r="C4221" s="160" t="s">
        <v>2003</v>
      </c>
      <c r="D4221" s="160" t="s">
        <v>2408</v>
      </c>
      <c r="E4221" s="545"/>
      <c r="F4221" s="161">
        <v>117</v>
      </c>
      <c r="G4221" s="191">
        <v>52</v>
      </c>
      <c r="H4221" s="191">
        <v>7.4</v>
      </c>
      <c r="I4221" s="191">
        <v>1000</v>
      </c>
      <c r="J4221" s="191"/>
      <c r="K4221" s="191">
        <v>7.1</v>
      </c>
      <c r="L4221" s="191"/>
      <c r="M4221" s="191"/>
      <c r="N4221" s="191"/>
      <c r="O4221" s="191"/>
      <c r="P4221" s="191"/>
      <c r="Q4221" s="191"/>
      <c r="R4221" s="191">
        <v>5.3000000000000003E-10</v>
      </c>
      <c r="S4221" s="191"/>
      <c r="T4221" s="191"/>
      <c r="U4221" s="439"/>
      <c r="V4221" s="439"/>
      <c r="W4221" s="178">
        <v>30000</v>
      </c>
      <c r="X4221" s="172">
        <f t="shared" si="5"/>
        <v>0.33333333333333331</v>
      </c>
      <c r="Y4221" s="172">
        <f t="shared" si="5"/>
        <v>0.33333333333333331</v>
      </c>
      <c r="Z4221" s="172">
        <f t="shared" si="5"/>
        <v>0.33333333333333331</v>
      </c>
      <c r="AA4221" s="195"/>
      <c r="AB4221" s="159"/>
    </row>
    <row r="4222" spans="1:28" ht="12.75" customHeight="1" x14ac:dyDescent="0.3">
      <c r="A4222" s="161">
        <v>222</v>
      </c>
      <c r="B4222" s="159" t="s">
        <v>1796</v>
      </c>
      <c r="C4222" s="160" t="s">
        <v>1571</v>
      </c>
      <c r="D4222" s="160" t="s">
        <v>2408</v>
      </c>
      <c r="E4222" s="545"/>
      <c r="F4222" s="161">
        <v>113</v>
      </c>
      <c r="G4222" s="191">
        <v>69</v>
      </c>
      <c r="H4222" s="191">
        <v>0.14000000000000001</v>
      </c>
      <c r="I4222" s="191">
        <v>5300000</v>
      </c>
      <c r="J4222" s="191"/>
      <c r="K4222" s="191">
        <v>1.3</v>
      </c>
      <c r="L4222" s="191"/>
      <c r="M4222" s="191"/>
      <c r="N4222" s="191"/>
      <c r="O4222" s="191"/>
      <c r="P4222" s="191"/>
      <c r="Q4222" s="191">
        <v>2.3E-5</v>
      </c>
      <c r="R4222" s="191">
        <v>5.3000000000000001E-7</v>
      </c>
      <c r="S4222" s="191"/>
      <c r="T4222" s="191">
        <v>5.7999999999999995E-7</v>
      </c>
      <c r="U4222" s="439"/>
      <c r="V4222" s="439"/>
      <c r="W4222" s="178">
        <v>30000</v>
      </c>
      <c r="X4222" s="172">
        <f t="shared" si="5"/>
        <v>0.33333333333333331</v>
      </c>
      <c r="Y4222" s="172">
        <f t="shared" si="5"/>
        <v>0.33333333333333331</v>
      </c>
      <c r="Z4222" s="172">
        <f t="shared" si="5"/>
        <v>0.33333333333333331</v>
      </c>
      <c r="AA4222" s="195"/>
      <c r="AB4222" s="159"/>
    </row>
    <row r="4223" spans="1:28" ht="12.75" customHeight="1" x14ac:dyDescent="0.3">
      <c r="A4223" s="161">
        <v>223</v>
      </c>
      <c r="B4223" s="159" t="s">
        <v>856</v>
      </c>
      <c r="C4223" s="160" t="s">
        <v>855</v>
      </c>
      <c r="D4223" s="160" t="s">
        <v>2408</v>
      </c>
      <c r="E4223" s="545"/>
      <c r="F4223" s="161">
        <v>123</v>
      </c>
      <c r="G4223" s="191">
        <v>6</v>
      </c>
      <c r="H4223" s="191">
        <v>20</v>
      </c>
      <c r="I4223" s="191">
        <v>2000</v>
      </c>
      <c r="J4223" s="191"/>
      <c r="K4223" s="191">
        <v>72</v>
      </c>
      <c r="L4223" s="191"/>
      <c r="M4223" s="191"/>
      <c r="N4223" s="191"/>
      <c r="O4223" s="191"/>
      <c r="P4223" s="191"/>
      <c r="Q4223" s="191">
        <v>2.3E-5</v>
      </c>
      <c r="R4223" s="191">
        <v>5.3000000000000003E-10</v>
      </c>
      <c r="S4223" s="191"/>
      <c r="T4223" s="191">
        <v>4.0000000000000001E-8</v>
      </c>
      <c r="U4223" s="439"/>
      <c r="V4223" s="439"/>
      <c r="W4223" s="178">
        <v>30000</v>
      </c>
      <c r="X4223" s="172">
        <f t="shared" si="5"/>
        <v>0.33333333333333331</v>
      </c>
      <c r="Y4223" s="172">
        <f t="shared" si="5"/>
        <v>0.33333333333333331</v>
      </c>
      <c r="Z4223" s="172">
        <f t="shared" si="5"/>
        <v>0.33333333333333331</v>
      </c>
      <c r="AA4223" s="195"/>
      <c r="AB4223" s="159"/>
    </row>
    <row r="4224" spans="1:28" ht="12.75" customHeight="1" x14ac:dyDescent="0.3">
      <c r="A4224" s="161">
        <v>224</v>
      </c>
      <c r="B4224" s="159" t="s">
        <v>1871</v>
      </c>
      <c r="C4224" s="160" t="s">
        <v>1612</v>
      </c>
      <c r="D4224" s="160" t="s">
        <v>2408</v>
      </c>
      <c r="E4224" s="545"/>
      <c r="F4224" s="161">
        <v>392</v>
      </c>
      <c r="G4224" s="191">
        <v>165</v>
      </c>
      <c r="H4224" s="191">
        <v>2.6E-15</v>
      </c>
      <c r="I4224" s="191">
        <v>16</v>
      </c>
      <c r="J4224" s="191"/>
      <c r="K4224" s="191">
        <v>19000</v>
      </c>
      <c r="L4224" s="191"/>
      <c r="M4224" s="191"/>
      <c r="N4224" s="191"/>
      <c r="O4224" s="191"/>
      <c r="P4224" s="191"/>
      <c r="Q4224" s="191"/>
      <c r="R4224" s="191">
        <v>5.3000000000000003E-10</v>
      </c>
      <c r="S4224" s="191"/>
      <c r="T4224" s="191"/>
      <c r="U4224" s="439"/>
      <c r="V4224" s="439"/>
      <c r="W4224" s="178">
        <v>30000</v>
      </c>
      <c r="X4224" s="172">
        <f t="shared" si="5"/>
        <v>0.33333333333333331</v>
      </c>
      <c r="Y4224" s="172">
        <f t="shared" si="5"/>
        <v>0.33333333333333331</v>
      </c>
      <c r="Z4224" s="172">
        <f t="shared" si="5"/>
        <v>0.33333333333333331</v>
      </c>
      <c r="AA4224" s="195"/>
      <c r="AB4224" s="159"/>
    </row>
    <row r="4225" spans="1:28" ht="12.75" customHeight="1" x14ac:dyDescent="0.3">
      <c r="A4225" s="161">
        <v>225</v>
      </c>
      <c r="B4225" s="159" t="s">
        <v>1772</v>
      </c>
      <c r="C4225" s="160" t="s">
        <v>1647</v>
      </c>
      <c r="D4225" s="160" t="s">
        <v>2408</v>
      </c>
      <c r="E4225" s="545"/>
      <c r="F4225" s="161">
        <v>123</v>
      </c>
      <c r="G4225" s="191"/>
      <c r="H4225" s="191">
        <v>2</v>
      </c>
      <c r="I4225" s="191">
        <v>15000</v>
      </c>
      <c r="J4225" s="191"/>
      <c r="K4225" s="191">
        <v>15</v>
      </c>
      <c r="L4225" s="191"/>
      <c r="M4225" s="191"/>
      <c r="N4225" s="191"/>
      <c r="O4225" s="191"/>
      <c r="P4225" s="191"/>
      <c r="Q4225" s="191">
        <v>6.9999999999999994E-5</v>
      </c>
      <c r="R4225" s="191">
        <v>5.2999999999999998E-8</v>
      </c>
      <c r="S4225" s="191"/>
      <c r="T4225" s="191">
        <v>4.0999999999999999E-7</v>
      </c>
      <c r="U4225" s="439"/>
      <c r="V4225" s="439"/>
      <c r="W4225" s="178">
        <v>30000</v>
      </c>
      <c r="X4225" s="172">
        <f t="shared" si="5"/>
        <v>0.33333333333333331</v>
      </c>
      <c r="Y4225" s="172">
        <f t="shared" si="5"/>
        <v>0.33333333333333331</v>
      </c>
      <c r="Z4225" s="172">
        <f t="shared" si="5"/>
        <v>0.33333333333333331</v>
      </c>
      <c r="AA4225" s="195"/>
      <c r="AB4225" s="159"/>
    </row>
    <row r="4226" spans="1:28" ht="12.75" customHeight="1" x14ac:dyDescent="0.3">
      <c r="A4226" s="161">
        <v>226</v>
      </c>
      <c r="B4226" s="159" t="s">
        <v>1959</v>
      </c>
      <c r="C4226" s="160" t="s">
        <v>1687</v>
      </c>
      <c r="D4226" s="160" t="s">
        <v>2408</v>
      </c>
      <c r="E4226" s="545"/>
      <c r="F4226" s="161">
        <v>173</v>
      </c>
      <c r="G4226" s="191">
        <v>108</v>
      </c>
      <c r="H4226" s="191">
        <v>4.4999999999999999E-4</v>
      </c>
      <c r="I4226" s="191">
        <v>230</v>
      </c>
      <c r="J4226" s="191"/>
      <c r="K4226" s="191">
        <v>200</v>
      </c>
      <c r="L4226" s="191"/>
      <c r="M4226" s="191"/>
      <c r="N4226" s="191"/>
      <c r="O4226" s="191"/>
      <c r="P4226" s="191"/>
      <c r="Q4226" s="191">
        <v>1.1E-5</v>
      </c>
      <c r="R4226" s="191">
        <v>5.3000000000000003E-10</v>
      </c>
      <c r="S4226" s="191"/>
      <c r="T4226" s="191">
        <v>6.4000000000000004E-8</v>
      </c>
      <c r="U4226" s="439"/>
      <c r="V4226" s="439"/>
      <c r="W4226" s="178">
        <v>30000</v>
      </c>
      <c r="X4226" s="172">
        <f t="shared" si="5"/>
        <v>0.33333333333333331</v>
      </c>
      <c r="Y4226" s="172">
        <f t="shared" si="5"/>
        <v>0.33333333333333331</v>
      </c>
      <c r="Z4226" s="172">
        <f t="shared" si="5"/>
        <v>0.33333333333333331</v>
      </c>
      <c r="AA4226" s="195"/>
      <c r="AB4226" s="159"/>
    </row>
    <row r="4227" spans="1:28" ht="12.75" customHeight="1" x14ac:dyDescent="0.3">
      <c r="A4227" s="161">
        <v>227</v>
      </c>
      <c r="B4227" s="159" t="s">
        <v>860</v>
      </c>
      <c r="C4227" s="160" t="s">
        <v>859</v>
      </c>
      <c r="D4227" s="160" t="s">
        <v>2408</v>
      </c>
      <c r="E4227" s="545"/>
      <c r="F4227" s="161">
        <v>104</v>
      </c>
      <c r="G4227" s="191">
        <v>-31</v>
      </c>
      <c r="H4227" s="191">
        <v>600</v>
      </c>
      <c r="I4227" s="191">
        <v>300</v>
      </c>
      <c r="J4227" s="191"/>
      <c r="K4227" s="191">
        <v>1100</v>
      </c>
      <c r="L4227" s="191"/>
      <c r="M4227" s="191"/>
      <c r="N4227" s="191"/>
      <c r="O4227" s="191"/>
      <c r="P4227" s="191"/>
      <c r="Q4227" s="191">
        <v>9.0000000000000006E-5</v>
      </c>
      <c r="R4227" s="191">
        <v>5.2999999999999998E-8</v>
      </c>
      <c r="S4227" s="191"/>
      <c r="T4227" s="191">
        <v>4.3000000000000001E-7</v>
      </c>
      <c r="U4227" s="439"/>
      <c r="V4227" s="439"/>
      <c r="W4227" s="178">
        <v>30000</v>
      </c>
      <c r="X4227" s="172">
        <f t="shared" si="5"/>
        <v>0.33333333333333331</v>
      </c>
      <c r="Y4227" s="172">
        <f t="shared" si="5"/>
        <v>0.33333333333333331</v>
      </c>
      <c r="Z4227" s="172">
        <f t="shared" si="5"/>
        <v>0.33333333333333331</v>
      </c>
      <c r="AA4227" s="195"/>
      <c r="AB4227" s="159"/>
    </row>
    <row r="4228" spans="1:28" ht="12.75" customHeight="1" x14ac:dyDescent="0.3">
      <c r="A4228" s="161">
        <v>228</v>
      </c>
      <c r="B4228" s="159" t="s">
        <v>1914</v>
      </c>
      <c r="C4228" s="160" t="s">
        <v>895</v>
      </c>
      <c r="D4228" s="160" t="s">
        <v>2408</v>
      </c>
      <c r="E4228" s="545"/>
      <c r="F4228" s="161">
        <v>391</v>
      </c>
      <c r="G4228" s="191">
        <v>-46</v>
      </c>
      <c r="H4228" s="191">
        <v>8.5999999999999998E-4</v>
      </c>
      <c r="I4228" s="191">
        <v>100</v>
      </c>
      <c r="J4228" s="191"/>
      <c r="K4228" s="191">
        <v>2500000</v>
      </c>
      <c r="L4228" s="191"/>
      <c r="M4228" s="191"/>
      <c r="N4228" s="191"/>
      <c r="O4228" s="191"/>
      <c r="P4228" s="191"/>
      <c r="Q4228" s="191">
        <v>1.0000000000000001E-5</v>
      </c>
      <c r="R4228" s="191">
        <v>5.2999999999999998E-8</v>
      </c>
      <c r="S4228" s="191"/>
      <c r="T4228" s="191">
        <v>4.5000000000000001E-6</v>
      </c>
      <c r="U4228" s="439"/>
      <c r="V4228" s="439"/>
      <c r="W4228" s="178">
        <v>30000</v>
      </c>
      <c r="X4228" s="172">
        <f t="shared" si="5"/>
        <v>0.33333333333333331</v>
      </c>
      <c r="Y4228" s="172">
        <f t="shared" si="5"/>
        <v>0.33333333333333331</v>
      </c>
      <c r="Z4228" s="172">
        <f t="shared" si="5"/>
        <v>0.33333333333333331</v>
      </c>
      <c r="AA4228" s="195"/>
      <c r="AB4228" s="159"/>
    </row>
    <row r="4229" spans="1:28" ht="12.75" customHeight="1" x14ac:dyDescent="0.3">
      <c r="A4229" s="161">
        <v>229</v>
      </c>
      <c r="B4229" s="159" t="s">
        <v>1932</v>
      </c>
      <c r="C4229" s="160" t="s">
        <v>1572</v>
      </c>
      <c r="D4229" s="160" t="s">
        <v>2408</v>
      </c>
      <c r="E4229" s="545"/>
      <c r="F4229" s="161">
        <v>93</v>
      </c>
      <c r="G4229" s="191">
        <v>-57</v>
      </c>
      <c r="H4229" s="191">
        <v>1300</v>
      </c>
      <c r="I4229" s="191">
        <v>66000</v>
      </c>
      <c r="J4229" s="191"/>
      <c r="K4229" s="191">
        <v>2.4</v>
      </c>
      <c r="L4229" s="191"/>
      <c r="M4229" s="191"/>
      <c r="N4229" s="191"/>
      <c r="O4229" s="191"/>
      <c r="P4229" s="191"/>
      <c r="Q4229" s="191">
        <v>3.8000000000000001E-7</v>
      </c>
      <c r="R4229" s="191">
        <v>5.3000000000000003E-10</v>
      </c>
      <c r="S4229" s="191"/>
      <c r="T4229" s="191">
        <v>4.0000000000000001E-8</v>
      </c>
      <c r="U4229" s="439"/>
      <c r="V4229" s="439"/>
      <c r="W4229" s="178">
        <v>30000</v>
      </c>
      <c r="X4229" s="172">
        <f t="shared" si="5"/>
        <v>0.33333333333333331</v>
      </c>
      <c r="Y4229" s="172">
        <f t="shared" si="5"/>
        <v>0.33333333333333331</v>
      </c>
      <c r="Z4229" s="172">
        <f t="shared" si="5"/>
        <v>0.33333333333333331</v>
      </c>
      <c r="AA4229" s="195"/>
      <c r="AB4229" s="159"/>
    </row>
    <row r="4230" spans="1:28" ht="12.75" customHeight="1" x14ac:dyDescent="0.3">
      <c r="A4230" s="161">
        <v>230</v>
      </c>
      <c r="B4230" s="159" t="s">
        <v>1748</v>
      </c>
      <c r="C4230" s="160" t="s">
        <v>1649</v>
      </c>
      <c r="D4230" s="160" t="s">
        <v>2408</v>
      </c>
      <c r="E4230" s="545"/>
      <c r="F4230" s="161">
        <v>166</v>
      </c>
      <c r="G4230" s="191">
        <v>414</v>
      </c>
      <c r="H4230" s="191">
        <v>1.1999999999999999E-3</v>
      </c>
      <c r="I4230" s="191">
        <v>19</v>
      </c>
      <c r="J4230" s="191"/>
      <c r="K4230" s="191">
        <v>38</v>
      </c>
      <c r="L4230" s="191"/>
      <c r="M4230" s="191"/>
      <c r="N4230" s="191"/>
      <c r="O4230" s="191"/>
      <c r="P4230" s="191"/>
      <c r="Q4230" s="191">
        <v>4.0999999999999999E-7</v>
      </c>
      <c r="R4230" s="191">
        <v>5.3000000000000001E-7</v>
      </c>
      <c r="S4230" s="191"/>
      <c r="T4230" s="191">
        <v>4.5000000000000001E-6</v>
      </c>
      <c r="U4230" s="439"/>
      <c r="V4230" s="439"/>
      <c r="W4230" s="178">
        <v>30000</v>
      </c>
      <c r="X4230" s="172">
        <f t="shared" si="5"/>
        <v>0.33333333333333331</v>
      </c>
      <c r="Y4230" s="172">
        <f t="shared" si="5"/>
        <v>0.33333333333333331</v>
      </c>
      <c r="Z4230" s="172">
        <f t="shared" si="5"/>
        <v>0.33333333333333331</v>
      </c>
      <c r="AA4230" s="195"/>
      <c r="AB4230" s="159"/>
    </row>
    <row r="4231" spans="1:28" ht="12.75" customHeight="1" x14ac:dyDescent="0.3">
      <c r="A4231" s="161">
        <v>231</v>
      </c>
      <c r="B4231" s="159" t="s">
        <v>454</v>
      </c>
      <c r="C4231" s="160" t="s">
        <v>453</v>
      </c>
      <c r="D4231" s="160" t="s">
        <v>2408</v>
      </c>
      <c r="E4231" s="545"/>
      <c r="F4231" s="161">
        <v>113</v>
      </c>
      <c r="G4231" s="191">
        <v>-96</v>
      </c>
      <c r="H4231" s="191">
        <v>5300</v>
      </c>
      <c r="I4231" s="191">
        <v>3000</v>
      </c>
      <c r="J4231" s="191"/>
      <c r="K4231" s="191">
        <v>120</v>
      </c>
      <c r="L4231" s="191"/>
      <c r="M4231" s="191"/>
      <c r="N4231" s="191"/>
      <c r="O4231" s="191"/>
      <c r="P4231" s="191"/>
      <c r="Q4231" s="191">
        <v>4.3000000000000001E-7</v>
      </c>
      <c r="R4231" s="191">
        <v>5.3000000000000003E-10</v>
      </c>
      <c r="S4231" s="191"/>
      <c r="T4231" s="191">
        <v>6.7000000000000004E-7</v>
      </c>
      <c r="U4231" s="439"/>
      <c r="V4231" s="439"/>
      <c r="W4231" s="178">
        <v>30000</v>
      </c>
      <c r="X4231" s="172">
        <f t="shared" si="5"/>
        <v>0.33333333333333331</v>
      </c>
      <c r="Y4231" s="172">
        <f t="shared" si="5"/>
        <v>0.33333333333333331</v>
      </c>
      <c r="Z4231" s="172">
        <f t="shared" si="5"/>
        <v>0.33333333333333331</v>
      </c>
      <c r="AA4231" s="195"/>
      <c r="AB4231" s="159"/>
    </row>
    <row r="4232" spans="1:28" ht="12.75" customHeight="1" x14ac:dyDescent="0.3">
      <c r="A4232" s="161">
        <v>232</v>
      </c>
      <c r="B4232" s="159" t="s">
        <v>1824</v>
      </c>
      <c r="C4232" s="160" t="s">
        <v>1664</v>
      </c>
      <c r="D4232" s="160" t="s">
        <v>2408</v>
      </c>
      <c r="E4232" s="545"/>
      <c r="F4232" s="161">
        <v>114</v>
      </c>
      <c r="G4232" s="191"/>
      <c r="H4232" s="191">
        <v>600</v>
      </c>
      <c r="I4232" s="191">
        <v>5400</v>
      </c>
      <c r="J4232" s="191"/>
      <c r="K4232" s="191">
        <v>52</v>
      </c>
      <c r="L4232" s="191"/>
      <c r="M4232" s="191"/>
      <c r="N4232" s="191"/>
      <c r="O4232" s="191"/>
      <c r="P4232" s="191"/>
      <c r="Q4232" s="191"/>
      <c r="R4232" s="191">
        <v>5.3000000000000003E-10</v>
      </c>
      <c r="S4232" s="191"/>
      <c r="T4232" s="191"/>
      <c r="U4232" s="439"/>
      <c r="V4232" s="439"/>
      <c r="W4232" s="178">
        <v>30000</v>
      </c>
      <c r="X4232" s="172">
        <f t="shared" si="5"/>
        <v>0.33333333333333331</v>
      </c>
      <c r="Y4232" s="172">
        <f t="shared" si="5"/>
        <v>0.33333333333333331</v>
      </c>
      <c r="Z4232" s="172">
        <f t="shared" si="5"/>
        <v>0.33333333333333331</v>
      </c>
      <c r="AA4232" s="195"/>
      <c r="AB4232" s="159"/>
    </row>
    <row r="4233" spans="1:28" ht="12.75" customHeight="1" x14ac:dyDescent="0.3">
      <c r="A4233" s="161">
        <v>233</v>
      </c>
      <c r="B4233" s="159" t="s">
        <v>1942</v>
      </c>
      <c r="C4233" s="160" t="s">
        <v>1689</v>
      </c>
      <c r="D4233" s="160" t="s">
        <v>2408</v>
      </c>
      <c r="E4233" s="545"/>
      <c r="F4233" s="161">
        <v>109</v>
      </c>
      <c r="G4233" s="191">
        <v>186</v>
      </c>
      <c r="H4233" s="191">
        <v>0.21</v>
      </c>
      <c r="I4233" s="191">
        <v>0.33</v>
      </c>
      <c r="J4233" s="191"/>
      <c r="K4233" s="191">
        <v>1.1000000000000001</v>
      </c>
      <c r="L4233" s="191"/>
      <c r="M4233" s="191"/>
      <c r="N4233" s="191"/>
      <c r="O4233" s="191"/>
      <c r="P4233" s="191"/>
      <c r="Q4233" s="191"/>
      <c r="R4233" s="191">
        <v>5.3000000000000003E-10</v>
      </c>
      <c r="S4233" s="191"/>
      <c r="T4233" s="191"/>
      <c r="U4233" s="439"/>
      <c r="V4233" s="439"/>
      <c r="W4233" s="178">
        <v>30000</v>
      </c>
      <c r="X4233" s="172">
        <f t="shared" si="5"/>
        <v>0.33333333333333331</v>
      </c>
      <c r="Y4233" s="172">
        <f t="shared" si="5"/>
        <v>0.33333333333333331</v>
      </c>
      <c r="Z4233" s="172">
        <f t="shared" si="5"/>
        <v>0.33333333333333331</v>
      </c>
      <c r="AA4233" s="195"/>
      <c r="AB4233" s="159"/>
    </row>
    <row r="4234" spans="1:28" ht="12.75" customHeight="1" x14ac:dyDescent="0.3">
      <c r="A4234" s="161">
        <v>234</v>
      </c>
      <c r="B4234" s="159" t="s">
        <v>1896</v>
      </c>
      <c r="C4234" s="160" t="s">
        <v>1995</v>
      </c>
      <c r="D4234" s="160" t="s">
        <v>2408</v>
      </c>
      <c r="E4234" s="545"/>
      <c r="F4234" s="161">
        <v>115</v>
      </c>
      <c r="G4234" s="191">
        <v>-3</v>
      </c>
      <c r="H4234" s="191">
        <v>2000</v>
      </c>
      <c r="I4234" s="191">
        <v>16</v>
      </c>
      <c r="J4234" s="191"/>
      <c r="K4234" s="191">
        <v>0.09</v>
      </c>
      <c r="L4234" s="191"/>
      <c r="M4234" s="191"/>
      <c r="N4234" s="191"/>
      <c r="O4234" s="191"/>
      <c r="P4234" s="191"/>
      <c r="Q4234" s="191"/>
      <c r="R4234" s="191">
        <v>5.3000000000000003E-10</v>
      </c>
      <c r="S4234" s="191"/>
      <c r="T4234" s="191"/>
      <c r="U4234" s="439"/>
      <c r="V4234" s="439"/>
      <c r="W4234" s="178">
        <v>30000</v>
      </c>
      <c r="X4234" s="172">
        <f t="shared" si="5"/>
        <v>0.33333333333333331</v>
      </c>
      <c r="Y4234" s="172">
        <f t="shared" si="5"/>
        <v>0.33333333333333331</v>
      </c>
      <c r="Z4234" s="172">
        <f t="shared" si="5"/>
        <v>0.33333333333333331</v>
      </c>
      <c r="AA4234" s="195"/>
      <c r="AB4234" s="159"/>
    </row>
    <row r="4235" spans="1:28" ht="12.75" customHeight="1" x14ac:dyDescent="0.3">
      <c r="A4235" s="161">
        <v>235</v>
      </c>
      <c r="B4235" s="159" t="s">
        <v>1905</v>
      </c>
      <c r="C4235" s="160" t="s">
        <v>1720</v>
      </c>
      <c r="D4235" s="160" t="s">
        <v>2408</v>
      </c>
      <c r="E4235" s="545"/>
      <c r="F4235" s="161">
        <v>134</v>
      </c>
      <c r="G4235" s="191">
        <v>58</v>
      </c>
      <c r="H4235" s="191">
        <v>0.02</v>
      </c>
      <c r="I4235" s="191">
        <v>650000000</v>
      </c>
      <c r="J4235" s="191"/>
      <c r="K4235" s="191">
        <v>4.3E-3</v>
      </c>
      <c r="L4235" s="191"/>
      <c r="M4235" s="191"/>
      <c r="N4235" s="191"/>
      <c r="O4235" s="191"/>
      <c r="P4235" s="191"/>
      <c r="Q4235" s="191">
        <v>1.0000000000000001E-5</v>
      </c>
      <c r="R4235" s="191">
        <v>5.3000000000000003E-10</v>
      </c>
      <c r="S4235" s="191"/>
      <c r="T4235" s="191">
        <v>3.9999999999999998E-7</v>
      </c>
      <c r="U4235" s="439"/>
      <c r="V4235" s="439"/>
      <c r="W4235" s="178">
        <v>30000</v>
      </c>
      <c r="X4235" s="172">
        <f t="shared" si="5"/>
        <v>0.33333333333333331</v>
      </c>
      <c r="Y4235" s="172">
        <f t="shared" si="5"/>
        <v>0.33333333333333331</v>
      </c>
      <c r="Z4235" s="172">
        <f t="shared" si="5"/>
        <v>0.33333333333333331</v>
      </c>
      <c r="AA4235" s="195"/>
      <c r="AB4235" s="159"/>
    </row>
    <row r="4236" spans="1:28" ht="12.75" customHeight="1" x14ac:dyDescent="0.3">
      <c r="A4236" s="161">
        <v>236</v>
      </c>
      <c r="B4236" s="159" t="s">
        <v>1925</v>
      </c>
      <c r="C4236" s="160" t="s">
        <v>1734</v>
      </c>
      <c r="D4236" s="160" t="s">
        <v>2408</v>
      </c>
      <c r="E4236" s="545"/>
      <c r="F4236" s="161">
        <v>149</v>
      </c>
      <c r="G4236" s="191">
        <v>-38</v>
      </c>
      <c r="H4236" s="191">
        <v>20</v>
      </c>
      <c r="I4236" s="191">
        <v>96</v>
      </c>
      <c r="J4236" s="191"/>
      <c r="K4236" s="191">
        <v>1800</v>
      </c>
      <c r="L4236" s="191"/>
      <c r="M4236" s="191"/>
      <c r="N4236" s="191"/>
      <c r="O4236" s="191"/>
      <c r="P4236" s="191"/>
      <c r="Q4236" s="191"/>
      <c r="R4236" s="191">
        <v>5.3000000000000003E-10</v>
      </c>
      <c r="S4236" s="191"/>
      <c r="T4236" s="191"/>
      <c r="U4236" s="439"/>
      <c r="V4236" s="439"/>
      <c r="W4236" s="178">
        <v>30000</v>
      </c>
      <c r="X4236" s="172">
        <f t="shared" si="5"/>
        <v>0.33333333333333331</v>
      </c>
      <c r="Y4236" s="172">
        <f t="shared" si="5"/>
        <v>0.33333333333333331</v>
      </c>
      <c r="Z4236" s="172">
        <f t="shared" si="5"/>
        <v>0.33333333333333331</v>
      </c>
      <c r="AA4236" s="195"/>
      <c r="AB4236" s="159"/>
    </row>
    <row r="4237" spans="1:28" ht="12.75" customHeight="1" x14ac:dyDescent="0.3">
      <c r="A4237" s="161">
        <v>237</v>
      </c>
      <c r="B4237" s="159" t="s">
        <v>1958</v>
      </c>
      <c r="C4237" s="160" t="s">
        <v>2004</v>
      </c>
      <c r="D4237" s="160" t="s">
        <v>2408</v>
      </c>
      <c r="E4237" s="545"/>
      <c r="F4237" s="161">
        <v>217</v>
      </c>
      <c r="G4237" s="191">
        <v>123</v>
      </c>
      <c r="H4237" s="191">
        <v>0.84</v>
      </c>
      <c r="I4237" s="191">
        <v>680000</v>
      </c>
      <c r="J4237" s="191"/>
      <c r="K4237" s="191">
        <v>4</v>
      </c>
      <c r="L4237" s="191"/>
      <c r="M4237" s="191"/>
      <c r="N4237" s="191"/>
      <c r="O4237" s="191"/>
      <c r="P4237" s="191"/>
      <c r="Q4237" s="191"/>
      <c r="R4237" s="191">
        <v>5.3000000000000003E-10</v>
      </c>
      <c r="S4237" s="191"/>
      <c r="T4237" s="191"/>
      <c r="U4237" s="439"/>
      <c r="V4237" s="439"/>
      <c r="W4237" s="178">
        <v>30000</v>
      </c>
      <c r="X4237" s="172">
        <f t="shared" si="5"/>
        <v>0.33333333333333331</v>
      </c>
      <c r="Y4237" s="172">
        <f t="shared" si="5"/>
        <v>0.33333333333333331</v>
      </c>
      <c r="Z4237" s="172">
        <f t="shared" si="5"/>
        <v>0.33333333333333331</v>
      </c>
      <c r="AA4237" s="195"/>
      <c r="AB4237" s="159"/>
    </row>
    <row r="4238" spans="1:28" ht="12.75" customHeight="1" x14ac:dyDescent="0.3">
      <c r="A4238" s="161">
        <v>238</v>
      </c>
      <c r="B4238" s="159" t="s">
        <v>1923</v>
      </c>
      <c r="C4238" s="160" t="s">
        <v>1730</v>
      </c>
      <c r="D4238" s="160" t="s">
        <v>2408</v>
      </c>
      <c r="E4238" s="545"/>
      <c r="F4238" s="161">
        <v>154</v>
      </c>
      <c r="G4238" s="191">
        <v>34</v>
      </c>
      <c r="H4238" s="191">
        <v>1</v>
      </c>
      <c r="I4238" s="191">
        <v>0.19</v>
      </c>
      <c r="J4238" s="191"/>
      <c r="K4238" s="191">
        <v>3.6</v>
      </c>
      <c r="L4238" s="191"/>
      <c r="M4238" s="191"/>
      <c r="N4238" s="191"/>
      <c r="O4238" s="191"/>
      <c r="P4238" s="191"/>
      <c r="Q4238" s="191">
        <v>3.4000000000000001E-6</v>
      </c>
      <c r="R4238" s="191">
        <v>5.3000000000000001E-7</v>
      </c>
      <c r="S4238" s="191"/>
      <c r="T4238" s="191">
        <v>9.0999999999999997E-7</v>
      </c>
      <c r="U4238" s="439"/>
      <c r="V4238" s="439"/>
      <c r="W4238" s="178">
        <v>30000</v>
      </c>
      <c r="X4238" s="172">
        <f t="shared" si="5"/>
        <v>0.33333333333333331</v>
      </c>
      <c r="Y4238" s="172">
        <f t="shared" si="5"/>
        <v>0.33333333333333331</v>
      </c>
      <c r="Z4238" s="172">
        <f t="shared" si="5"/>
        <v>0.33333333333333331</v>
      </c>
      <c r="AA4238" s="195"/>
      <c r="AB4238" s="159"/>
    </row>
    <row r="4239" spans="1:28" ht="12.75" customHeight="1" x14ac:dyDescent="0.3">
      <c r="A4239" s="161">
        <v>239</v>
      </c>
      <c r="B4239" s="159" t="s">
        <v>1850</v>
      </c>
      <c r="C4239" s="160" t="s">
        <v>1590</v>
      </c>
      <c r="D4239" s="160" t="s">
        <v>2408</v>
      </c>
      <c r="E4239" s="545"/>
      <c r="F4239" s="161">
        <v>88</v>
      </c>
      <c r="G4239" s="191">
        <v>-109</v>
      </c>
      <c r="H4239" s="191">
        <v>27000</v>
      </c>
      <c r="I4239" s="191">
        <v>50000</v>
      </c>
      <c r="J4239" s="191"/>
      <c r="K4239" s="191">
        <v>11</v>
      </c>
      <c r="L4239" s="191"/>
      <c r="M4239" s="191"/>
      <c r="N4239" s="191"/>
      <c r="O4239" s="191"/>
      <c r="P4239" s="191"/>
      <c r="Q4239" s="191">
        <v>5.6999999999999996E-6</v>
      </c>
      <c r="R4239" s="191">
        <v>5.2999999999999998E-8</v>
      </c>
      <c r="S4239" s="191"/>
      <c r="T4239" s="191">
        <v>1.4999999999999999E-7</v>
      </c>
      <c r="U4239" s="439"/>
      <c r="V4239" s="439"/>
      <c r="W4239" s="178">
        <v>30000</v>
      </c>
      <c r="X4239" s="172">
        <f t="shared" si="5"/>
        <v>0.33333333333333331</v>
      </c>
      <c r="Y4239" s="172">
        <f t="shared" si="5"/>
        <v>0.33333333333333331</v>
      </c>
      <c r="Z4239" s="172">
        <f t="shared" si="5"/>
        <v>0.33333333333333331</v>
      </c>
      <c r="AA4239" s="195"/>
      <c r="AB4239" s="159"/>
    </row>
    <row r="4240" spans="1:28" ht="12.75" customHeight="1" x14ac:dyDescent="0.3">
      <c r="A4240" s="161">
        <v>240</v>
      </c>
      <c r="B4240" s="159" t="s">
        <v>1907</v>
      </c>
      <c r="C4240" s="160" t="s">
        <v>1997</v>
      </c>
      <c r="D4240" s="160" t="s">
        <v>2408</v>
      </c>
      <c r="E4240" s="545"/>
      <c r="F4240" s="161">
        <v>188</v>
      </c>
      <c r="G4240" s="191">
        <v>220</v>
      </c>
      <c r="H4240" s="191">
        <v>1.7999999999999999E-6</v>
      </c>
      <c r="I4240" s="191">
        <v>85</v>
      </c>
      <c r="J4240" s="191"/>
      <c r="K4240" s="191">
        <v>1100</v>
      </c>
      <c r="L4240" s="191"/>
      <c r="M4240" s="191"/>
      <c r="N4240" s="191"/>
      <c r="O4240" s="191"/>
      <c r="P4240" s="191"/>
      <c r="Q4240" s="191"/>
      <c r="R4240" s="191">
        <v>5.3000000000000003E-10</v>
      </c>
      <c r="S4240" s="191"/>
      <c r="T4240" s="191"/>
      <c r="U4240" s="439"/>
      <c r="V4240" s="439"/>
      <c r="W4240" s="178">
        <v>30000</v>
      </c>
      <c r="X4240" s="172">
        <f t="shared" si="5"/>
        <v>0.33333333333333331</v>
      </c>
      <c r="Y4240" s="172">
        <f t="shared" si="5"/>
        <v>0.33333333333333331</v>
      </c>
      <c r="Z4240" s="172">
        <f t="shared" si="5"/>
        <v>0.33333333333333331</v>
      </c>
      <c r="AA4240" s="195"/>
      <c r="AB4240" s="159"/>
    </row>
    <row r="4241" spans="1:28" ht="12.75" customHeight="1" x14ac:dyDescent="0.3">
      <c r="A4241" s="161">
        <v>241</v>
      </c>
      <c r="B4241" s="159" t="s">
        <v>1779</v>
      </c>
      <c r="C4241" s="160" t="s">
        <v>1577</v>
      </c>
      <c r="D4241" s="160" t="s">
        <v>2408</v>
      </c>
      <c r="E4241" s="545"/>
      <c r="F4241" s="161">
        <v>56</v>
      </c>
      <c r="G4241" s="191">
        <v>353</v>
      </c>
      <c r="H4241" s="191">
        <v>3.5000000000000002E-8</v>
      </c>
      <c r="I4241" s="191">
        <v>1.1000000000000001</v>
      </c>
      <c r="J4241" s="191"/>
      <c r="K4241" s="191">
        <v>7.1999999999999995E-2</v>
      </c>
      <c r="L4241" s="191"/>
      <c r="M4241" s="191"/>
      <c r="N4241" s="191"/>
      <c r="O4241" s="191"/>
      <c r="P4241" s="191"/>
      <c r="Q4241" s="191">
        <v>4.8999999999999997E-7</v>
      </c>
      <c r="R4241" s="191">
        <v>5.3000000000000003E-10</v>
      </c>
      <c r="S4241" s="191"/>
      <c r="T4241" s="191">
        <v>8.0000000000000002E-8</v>
      </c>
      <c r="U4241" s="439"/>
      <c r="V4241" s="439"/>
      <c r="W4241" s="178">
        <v>30000</v>
      </c>
      <c r="X4241" s="172">
        <f t="shared" si="5"/>
        <v>0.33333333333333331</v>
      </c>
      <c r="Y4241" s="172">
        <f t="shared" si="5"/>
        <v>0.33333333333333331</v>
      </c>
      <c r="Z4241" s="172">
        <f t="shared" si="5"/>
        <v>0.33333333333333331</v>
      </c>
      <c r="AA4241" s="195"/>
      <c r="AB4241" s="159"/>
    </row>
    <row r="4242" spans="1:28" ht="12.75" customHeight="1" x14ac:dyDescent="0.3">
      <c r="A4242" s="161">
        <v>242</v>
      </c>
      <c r="B4242" s="159" t="s">
        <v>1865</v>
      </c>
      <c r="C4242" s="160" t="s">
        <v>1580</v>
      </c>
      <c r="D4242" s="160" t="s">
        <v>2408</v>
      </c>
      <c r="E4242" s="545"/>
      <c r="F4242" s="161">
        <v>90</v>
      </c>
      <c r="G4242" s="191">
        <v>-85</v>
      </c>
      <c r="H4242" s="191">
        <v>530</v>
      </c>
      <c r="I4242" s="191">
        <v>1</v>
      </c>
      <c r="J4242" s="191"/>
      <c r="K4242" s="191">
        <v>0.79</v>
      </c>
      <c r="L4242" s="191"/>
      <c r="M4242" s="191"/>
      <c r="N4242" s="191"/>
      <c r="O4242" s="191"/>
      <c r="P4242" s="191"/>
      <c r="Q4242" s="191">
        <v>3.9999999999999998E-6</v>
      </c>
      <c r="R4242" s="191">
        <v>5.3000000000000001E-7</v>
      </c>
      <c r="S4242" s="191"/>
      <c r="T4242" s="191">
        <v>8.5000000000000001E-7</v>
      </c>
      <c r="U4242" s="439"/>
      <c r="V4242" s="439"/>
      <c r="W4242" s="178">
        <v>30000</v>
      </c>
      <c r="X4242" s="172">
        <f t="shared" si="5"/>
        <v>0.33333333333333331</v>
      </c>
      <c r="Y4242" s="172">
        <f t="shared" si="5"/>
        <v>0.33333333333333331</v>
      </c>
      <c r="Z4242" s="172">
        <f t="shared" si="5"/>
        <v>0.33333333333333331</v>
      </c>
      <c r="AA4242" s="195"/>
      <c r="AB4242" s="159"/>
    </row>
    <row r="4243" spans="1:28" ht="12.75" customHeight="1" x14ac:dyDescent="0.3">
      <c r="A4243" s="161">
        <v>243</v>
      </c>
      <c r="B4243" s="159" t="s">
        <v>1964</v>
      </c>
      <c r="C4243" s="160" t="s">
        <v>1722</v>
      </c>
      <c r="D4243" s="160" t="s">
        <v>2408</v>
      </c>
      <c r="E4243" s="545"/>
      <c r="F4243" s="161">
        <v>74</v>
      </c>
      <c r="G4243" s="191">
        <v>-98</v>
      </c>
      <c r="H4243" s="191">
        <v>22000</v>
      </c>
      <c r="I4243" s="191">
        <v>250000</v>
      </c>
      <c r="J4243" s="191"/>
      <c r="K4243" s="191">
        <v>1.5</v>
      </c>
      <c r="L4243" s="191"/>
      <c r="M4243" s="191"/>
      <c r="N4243" s="191"/>
      <c r="O4243" s="191"/>
      <c r="P4243" s="191"/>
      <c r="Q4243" s="191">
        <v>3.1E-7</v>
      </c>
      <c r="R4243" s="191">
        <v>5.3000000000000001E-7</v>
      </c>
      <c r="S4243" s="191"/>
      <c r="T4243" s="191">
        <v>7.6000000000000001E-6</v>
      </c>
      <c r="U4243" s="439"/>
      <c r="V4243" s="439"/>
      <c r="W4243" s="178">
        <v>30000</v>
      </c>
      <c r="X4243" s="172">
        <f t="shared" si="5"/>
        <v>0.33333333333333331</v>
      </c>
      <c r="Y4243" s="172">
        <f t="shared" si="5"/>
        <v>0.33333333333333331</v>
      </c>
      <c r="Z4243" s="172">
        <f t="shared" si="5"/>
        <v>0.33333333333333331</v>
      </c>
      <c r="AA4243" s="195"/>
      <c r="AB4243" s="159"/>
    </row>
    <row r="4244" spans="1:28" ht="12.75" customHeight="1" x14ac:dyDescent="0.3">
      <c r="A4244" s="161">
        <v>244</v>
      </c>
      <c r="B4244" s="159" t="s">
        <v>1943</v>
      </c>
      <c r="C4244" s="160" t="s">
        <v>1699</v>
      </c>
      <c r="D4244" s="160" t="s">
        <v>2408</v>
      </c>
      <c r="E4244" s="545"/>
      <c r="F4244" s="161">
        <v>129</v>
      </c>
      <c r="G4244" s="191">
        <v>-18</v>
      </c>
      <c r="H4244" s="191">
        <v>10</v>
      </c>
      <c r="I4244" s="191">
        <v>4.4000000000000004</v>
      </c>
      <c r="J4244" s="191"/>
      <c r="K4244" s="191">
        <v>3.3000000000000002E-2</v>
      </c>
      <c r="L4244" s="191"/>
      <c r="M4244" s="191"/>
      <c r="N4244" s="191"/>
      <c r="O4244" s="191"/>
      <c r="P4244" s="191"/>
      <c r="Q4244" s="191"/>
      <c r="R4244" s="191">
        <v>5.3000000000000003E-10</v>
      </c>
      <c r="S4244" s="191"/>
      <c r="T4244" s="191"/>
      <c r="U4244" s="439"/>
      <c r="V4244" s="439"/>
      <c r="W4244" s="178">
        <v>30000</v>
      </c>
      <c r="X4244" s="172">
        <f t="shared" si="5"/>
        <v>0.33333333333333331</v>
      </c>
      <c r="Y4244" s="172">
        <f t="shared" si="5"/>
        <v>0.33333333333333331</v>
      </c>
      <c r="Z4244" s="172">
        <f t="shared" si="5"/>
        <v>0.33333333333333331</v>
      </c>
      <c r="AA4244" s="195"/>
      <c r="AB4244" s="159"/>
    </row>
    <row r="4245" spans="1:28" ht="12.75" customHeight="1" x14ac:dyDescent="0.3">
      <c r="A4245" s="161">
        <v>245</v>
      </c>
      <c r="B4245" s="159" t="s">
        <v>1884</v>
      </c>
      <c r="C4245" s="160" t="s">
        <v>1726</v>
      </c>
      <c r="D4245" s="160" t="s">
        <v>2408</v>
      </c>
      <c r="E4245" s="545"/>
      <c r="F4245" s="161">
        <v>147</v>
      </c>
      <c r="G4245" s="191">
        <v>46</v>
      </c>
      <c r="H4245" s="191">
        <v>240</v>
      </c>
      <c r="I4245" s="191">
        <v>4.2</v>
      </c>
      <c r="J4245" s="191"/>
      <c r="K4245" s="191">
        <v>13000</v>
      </c>
      <c r="L4245" s="191"/>
      <c r="M4245" s="191"/>
      <c r="N4245" s="191"/>
      <c r="O4245" s="191"/>
      <c r="P4245" s="191"/>
      <c r="Q4245" s="191">
        <v>4.1999999999999998E-5</v>
      </c>
      <c r="R4245" s="191">
        <v>5.3000000000000003E-10</v>
      </c>
      <c r="S4245" s="191"/>
      <c r="T4245" s="191">
        <v>3.8000000000000003E-8</v>
      </c>
      <c r="U4245" s="439"/>
      <c r="V4245" s="439"/>
      <c r="W4245" s="178">
        <v>30000</v>
      </c>
      <c r="X4245" s="172">
        <f t="shared" si="5"/>
        <v>0.33333333333333331</v>
      </c>
      <c r="Y4245" s="172">
        <f t="shared" si="5"/>
        <v>0.33333333333333331</v>
      </c>
      <c r="Z4245" s="172">
        <f t="shared" si="5"/>
        <v>0.33333333333333331</v>
      </c>
      <c r="AA4245" s="195"/>
      <c r="AB4245" s="159"/>
    </row>
    <row r="4246" spans="1:28" ht="12.75" customHeight="1" x14ac:dyDescent="0.3">
      <c r="A4246" s="161">
        <v>246</v>
      </c>
      <c r="B4246" s="159" t="s">
        <v>1878</v>
      </c>
      <c r="C4246" s="160" t="s">
        <v>1591</v>
      </c>
      <c r="D4246" s="160" t="s">
        <v>2408</v>
      </c>
      <c r="E4246" s="545"/>
      <c r="F4246" s="161">
        <v>152</v>
      </c>
      <c r="G4246" s="191">
        <v>-20</v>
      </c>
      <c r="H4246" s="191">
        <v>0.27</v>
      </c>
      <c r="I4246" s="191">
        <v>420</v>
      </c>
      <c r="J4246" s="191"/>
      <c r="K4246" s="191">
        <v>580</v>
      </c>
      <c r="L4246" s="191"/>
      <c r="M4246" s="191"/>
      <c r="N4246" s="191"/>
      <c r="O4246" s="191"/>
      <c r="P4246" s="191"/>
      <c r="Q4246" s="191">
        <v>4.0999999999999999E-4</v>
      </c>
      <c r="R4246" s="191">
        <v>5.3000000000000001E-7</v>
      </c>
      <c r="S4246" s="191"/>
      <c r="T4246" s="191">
        <v>1.3E-6</v>
      </c>
      <c r="U4246" s="439"/>
      <c r="V4246" s="439"/>
      <c r="W4246" s="178">
        <v>30000</v>
      </c>
      <c r="X4246" s="172">
        <f t="shared" si="5"/>
        <v>0.33333333333333331</v>
      </c>
      <c r="Y4246" s="172">
        <f t="shared" si="5"/>
        <v>0.33333333333333331</v>
      </c>
      <c r="Z4246" s="172">
        <f t="shared" si="5"/>
        <v>0.33333333333333331</v>
      </c>
      <c r="AA4246" s="195"/>
      <c r="AB4246" s="159"/>
    </row>
    <row r="4247" spans="1:28" ht="12.75" customHeight="1" x14ac:dyDescent="0.3">
      <c r="A4247" s="161">
        <v>247</v>
      </c>
      <c r="B4247" s="159" t="s">
        <v>1809</v>
      </c>
      <c r="C4247" s="160" t="s">
        <v>1980</v>
      </c>
      <c r="D4247" s="160" t="s">
        <v>2408</v>
      </c>
      <c r="E4247" s="545"/>
      <c r="F4247" s="161">
        <v>213</v>
      </c>
      <c r="G4247" s="191">
        <v>-30</v>
      </c>
      <c r="H4247" s="191">
        <v>3.9999999999999998E-7</v>
      </c>
      <c r="I4247" s="191">
        <v>1100</v>
      </c>
      <c r="J4247" s="191"/>
      <c r="K4247" s="191">
        <v>320</v>
      </c>
      <c r="L4247" s="191"/>
      <c r="M4247" s="191"/>
      <c r="N4247" s="191"/>
      <c r="O4247" s="191"/>
      <c r="P4247" s="191"/>
      <c r="Q4247" s="191">
        <v>1.0000000000000001E-5</v>
      </c>
      <c r="R4247" s="191">
        <v>5.3000000000000003E-10</v>
      </c>
      <c r="S4247" s="191"/>
      <c r="T4247" s="191">
        <v>9.2999999999999999E-7</v>
      </c>
      <c r="U4247" s="439"/>
      <c r="V4247" s="439"/>
      <c r="W4247" s="178">
        <v>30000</v>
      </c>
      <c r="X4247" s="172">
        <f t="shared" si="5"/>
        <v>0.33333333333333331</v>
      </c>
      <c r="Y4247" s="172">
        <f t="shared" si="5"/>
        <v>0.33333333333333331</v>
      </c>
      <c r="Z4247" s="172">
        <f t="shared" si="5"/>
        <v>0.33333333333333331</v>
      </c>
      <c r="AA4247" s="195"/>
      <c r="AB4247" s="159"/>
    </row>
    <row r="4248" spans="1:28" ht="12.75" customHeight="1" x14ac:dyDescent="0.3">
      <c r="A4248" s="161">
        <v>248</v>
      </c>
      <c r="B4248" s="159" t="s">
        <v>1856</v>
      </c>
      <c r="C4248" s="160" t="s">
        <v>1598</v>
      </c>
      <c r="D4248" s="160" t="s">
        <v>2408</v>
      </c>
      <c r="E4248" s="545"/>
      <c r="F4248" s="161">
        <v>97</v>
      </c>
      <c r="G4248" s="191">
        <v>-122</v>
      </c>
      <c r="H4248" s="191">
        <v>67000</v>
      </c>
      <c r="I4248" s="191">
        <v>2500</v>
      </c>
      <c r="J4248" s="191"/>
      <c r="K4248" s="191">
        <v>100</v>
      </c>
      <c r="L4248" s="191"/>
      <c r="M4248" s="191"/>
      <c r="N4248" s="191"/>
      <c r="O4248" s="191"/>
      <c r="P4248" s="191"/>
      <c r="Q4248" s="191">
        <v>1.5999999999999999E-6</v>
      </c>
      <c r="R4248" s="191">
        <v>5.3000000000000003E-10</v>
      </c>
      <c r="S4248" s="191"/>
      <c r="T4248" s="191">
        <v>2.4999999999999999E-7</v>
      </c>
      <c r="U4248" s="439"/>
      <c r="V4248" s="439"/>
      <c r="W4248" s="178">
        <v>30000</v>
      </c>
      <c r="X4248" s="172">
        <f t="shared" si="5"/>
        <v>0.33333333333333331</v>
      </c>
      <c r="Y4248" s="172">
        <f t="shared" si="5"/>
        <v>0.33333333333333331</v>
      </c>
      <c r="Z4248" s="172">
        <f t="shared" si="5"/>
        <v>0.33333333333333331</v>
      </c>
      <c r="AA4248" s="195"/>
      <c r="AB4248" s="159"/>
    </row>
    <row r="4249" spans="1:28" ht="12.75" customHeight="1" x14ac:dyDescent="0.3">
      <c r="A4249" s="161">
        <v>249</v>
      </c>
      <c r="B4249" s="159" t="s">
        <v>1829</v>
      </c>
      <c r="C4249" s="160" t="s">
        <v>1686</v>
      </c>
      <c r="D4249" s="160" t="s">
        <v>2408</v>
      </c>
      <c r="E4249" s="545"/>
      <c r="F4249" s="161">
        <v>158</v>
      </c>
      <c r="G4249" s="191">
        <v>44</v>
      </c>
      <c r="H4249" s="191">
        <v>1.1000000000000001</v>
      </c>
      <c r="I4249" s="191">
        <v>390</v>
      </c>
      <c r="J4249" s="191"/>
      <c r="K4249" s="191">
        <v>260</v>
      </c>
      <c r="L4249" s="191"/>
      <c r="M4249" s="191"/>
      <c r="N4249" s="191"/>
      <c r="O4249" s="191"/>
      <c r="P4249" s="191"/>
      <c r="Q4249" s="191">
        <v>8.9999999999999999E-8</v>
      </c>
      <c r="R4249" s="191">
        <v>5.3000000000000003E-10</v>
      </c>
      <c r="S4249" s="191"/>
      <c r="T4249" s="191">
        <v>4.0000000000000001E-8</v>
      </c>
      <c r="U4249" s="439"/>
      <c r="V4249" s="439"/>
      <c r="W4249" s="178">
        <v>30000</v>
      </c>
      <c r="X4249" s="172">
        <f t="shared" si="5"/>
        <v>0.33333333333333331</v>
      </c>
      <c r="Y4249" s="172">
        <f t="shared" si="5"/>
        <v>0.33333333333333331</v>
      </c>
      <c r="Z4249" s="172">
        <f t="shared" si="5"/>
        <v>0.33333333333333331</v>
      </c>
      <c r="AA4249" s="195"/>
      <c r="AB4249" s="159"/>
    </row>
    <row r="4250" spans="1:28" ht="12.75" customHeight="1" x14ac:dyDescent="0.3">
      <c r="A4250" s="161">
        <v>250</v>
      </c>
      <c r="B4250" s="159" t="s">
        <v>1892</v>
      </c>
      <c r="C4250" s="160" t="s">
        <v>1585</v>
      </c>
      <c r="D4250" s="160" t="s">
        <v>2408</v>
      </c>
      <c r="E4250" s="545"/>
      <c r="F4250" s="161">
        <v>150</v>
      </c>
      <c r="G4250" s="191">
        <v>-7</v>
      </c>
      <c r="H4250" s="191">
        <v>0.22</v>
      </c>
      <c r="I4250" s="191">
        <v>31</v>
      </c>
      <c r="J4250" s="191"/>
      <c r="K4250" s="191">
        <v>2.7E-2</v>
      </c>
      <c r="L4250" s="191"/>
      <c r="M4250" s="191"/>
      <c r="N4250" s="191"/>
      <c r="O4250" s="191"/>
      <c r="P4250" s="191"/>
      <c r="Q4250" s="191">
        <v>2.9E-5</v>
      </c>
      <c r="R4250" s="191">
        <v>5.3000000000000003E-10</v>
      </c>
      <c r="S4250" s="191"/>
      <c r="T4250" s="191">
        <v>4.0000000000000001E-8</v>
      </c>
      <c r="U4250" s="439"/>
      <c r="V4250" s="439"/>
      <c r="W4250" s="178">
        <v>30000</v>
      </c>
      <c r="X4250" s="172">
        <f t="shared" si="5"/>
        <v>0.33333333333333331</v>
      </c>
      <c r="Y4250" s="172">
        <f t="shared" si="5"/>
        <v>0.33333333333333331</v>
      </c>
      <c r="Z4250" s="172">
        <f t="shared" si="5"/>
        <v>0.33333333333333331</v>
      </c>
      <c r="AA4250" s="195"/>
      <c r="AB4250" s="159"/>
    </row>
    <row r="4251" spans="1:28" ht="12.75" customHeight="1" x14ac:dyDescent="0.3">
      <c r="A4251" s="161">
        <v>251</v>
      </c>
      <c r="B4251" s="159" t="s">
        <v>1861</v>
      </c>
      <c r="C4251" s="160" t="s">
        <v>1566</v>
      </c>
      <c r="D4251" s="160" t="s">
        <v>2408</v>
      </c>
      <c r="E4251" s="545"/>
      <c r="F4251" s="161">
        <v>158</v>
      </c>
      <c r="G4251" s="191">
        <v>83</v>
      </c>
      <c r="H4251" s="191">
        <v>8.5</v>
      </c>
      <c r="I4251" s="191">
        <v>230</v>
      </c>
      <c r="J4251" s="191"/>
      <c r="K4251" s="191">
        <v>310</v>
      </c>
      <c r="L4251" s="191"/>
      <c r="M4251" s="191"/>
      <c r="N4251" s="191"/>
      <c r="O4251" s="191"/>
      <c r="P4251" s="191"/>
      <c r="Q4251" s="191">
        <v>1.3E-7</v>
      </c>
      <c r="R4251" s="191">
        <v>5.3000000000000003E-10</v>
      </c>
      <c r="S4251" s="191"/>
      <c r="T4251" s="191">
        <v>6.2999999999999995E-8</v>
      </c>
      <c r="U4251" s="439"/>
      <c r="V4251" s="439"/>
      <c r="W4251" s="178">
        <v>30000</v>
      </c>
      <c r="X4251" s="172">
        <f t="shared" si="5"/>
        <v>0.33333333333333331</v>
      </c>
      <c r="Y4251" s="172">
        <f t="shared" si="5"/>
        <v>0.33333333333333331</v>
      </c>
      <c r="Z4251" s="172">
        <f t="shared" si="5"/>
        <v>0.33333333333333331</v>
      </c>
      <c r="AA4251" s="195"/>
      <c r="AB4251" s="159"/>
    </row>
    <row r="4252" spans="1:28" ht="12.75" customHeight="1" x14ac:dyDescent="0.3">
      <c r="A4252" s="161">
        <v>252</v>
      </c>
      <c r="B4252" s="159" t="s">
        <v>1881</v>
      </c>
      <c r="C4252" s="160" t="s">
        <v>1991</v>
      </c>
      <c r="D4252" s="160" t="s">
        <v>2408</v>
      </c>
      <c r="E4252" s="545"/>
      <c r="F4252" s="161">
        <v>154</v>
      </c>
      <c r="G4252" s="191">
        <v>-25</v>
      </c>
      <c r="H4252" s="191">
        <v>13</v>
      </c>
      <c r="I4252" s="191">
        <v>4.2999999999999997E-2</v>
      </c>
      <c r="J4252" s="191"/>
      <c r="K4252" s="191">
        <v>14</v>
      </c>
      <c r="L4252" s="191"/>
      <c r="M4252" s="191"/>
      <c r="N4252" s="191"/>
      <c r="O4252" s="191"/>
      <c r="P4252" s="191"/>
      <c r="Q4252" s="191">
        <v>1.1999999999999999E-6</v>
      </c>
      <c r="R4252" s="191">
        <v>5.3000000000000003E-10</v>
      </c>
      <c r="S4252" s="191"/>
      <c r="T4252" s="191">
        <v>7.0999999999999998E-7</v>
      </c>
      <c r="U4252" s="439"/>
      <c r="V4252" s="439"/>
      <c r="W4252" s="178">
        <v>30000</v>
      </c>
      <c r="X4252" s="172">
        <f t="shared" si="5"/>
        <v>0.33333333333333331</v>
      </c>
      <c r="Y4252" s="172">
        <f t="shared" si="5"/>
        <v>0.33333333333333331</v>
      </c>
      <c r="Z4252" s="172">
        <f t="shared" si="5"/>
        <v>0.33333333333333331</v>
      </c>
      <c r="AA4252" s="195"/>
      <c r="AB4252" s="159"/>
    </row>
    <row r="4253" spans="1:28" ht="12.75" customHeight="1" x14ac:dyDescent="0.3">
      <c r="A4253" s="161">
        <v>253</v>
      </c>
      <c r="B4253" s="159" t="s">
        <v>1784</v>
      </c>
      <c r="C4253" s="160" t="s">
        <v>1588</v>
      </c>
      <c r="D4253" s="160" t="s">
        <v>2408</v>
      </c>
      <c r="E4253" s="545"/>
      <c r="F4253" s="161">
        <v>88</v>
      </c>
      <c r="G4253" s="191">
        <v>12</v>
      </c>
      <c r="H4253" s="191">
        <v>3600</v>
      </c>
      <c r="I4253" s="191">
        <v>430000</v>
      </c>
      <c r="J4253" s="191"/>
      <c r="K4253" s="191">
        <v>0.62</v>
      </c>
      <c r="L4253" s="191"/>
      <c r="M4253" s="191"/>
      <c r="N4253" s="191"/>
      <c r="O4253" s="191"/>
      <c r="P4253" s="191"/>
      <c r="Q4253" s="191">
        <v>2.5999999999999998E-5</v>
      </c>
      <c r="R4253" s="191">
        <v>5.3000000000000003E-10</v>
      </c>
      <c r="S4253" s="191"/>
      <c r="T4253" s="191">
        <v>1.4000000000000001E-7</v>
      </c>
      <c r="U4253" s="439"/>
      <c r="V4253" s="439"/>
      <c r="W4253" s="178">
        <v>30000</v>
      </c>
      <c r="X4253" s="172">
        <f t="shared" si="5"/>
        <v>0.33333333333333331</v>
      </c>
      <c r="Y4253" s="172">
        <f t="shared" si="5"/>
        <v>0.33333333333333331</v>
      </c>
      <c r="Z4253" s="172">
        <f t="shared" si="5"/>
        <v>0.33333333333333331</v>
      </c>
      <c r="AA4253" s="195"/>
      <c r="AB4253" s="159"/>
    </row>
    <row r="4254" spans="1:28" ht="12.75" customHeight="1" x14ac:dyDescent="0.3">
      <c r="A4254" s="161">
        <v>254</v>
      </c>
      <c r="B4254" s="159" t="s">
        <v>1758</v>
      </c>
      <c r="C4254" s="160" t="s">
        <v>1636</v>
      </c>
      <c r="D4254" s="160" t="s">
        <v>2408</v>
      </c>
      <c r="E4254" s="545"/>
      <c r="F4254" s="161">
        <v>86</v>
      </c>
      <c r="G4254" s="191">
        <v>109</v>
      </c>
      <c r="H4254" s="191">
        <v>40</v>
      </c>
      <c r="I4254" s="191">
        <v>150000</v>
      </c>
      <c r="J4254" s="191"/>
      <c r="K4254" s="191">
        <v>0.11</v>
      </c>
      <c r="L4254" s="191"/>
      <c r="M4254" s="191"/>
      <c r="N4254" s="191"/>
      <c r="O4254" s="191"/>
      <c r="P4254" s="191"/>
      <c r="Q4254" s="191"/>
      <c r="R4254" s="191">
        <v>5.3000000000000003E-10</v>
      </c>
      <c r="S4254" s="191"/>
      <c r="T4254" s="191"/>
      <c r="U4254" s="439"/>
      <c r="V4254" s="439"/>
      <c r="W4254" s="178">
        <v>30000</v>
      </c>
      <c r="X4254" s="172">
        <f t="shared" si="5"/>
        <v>0.33333333333333331</v>
      </c>
      <c r="Y4254" s="172">
        <f t="shared" si="5"/>
        <v>0.33333333333333331</v>
      </c>
      <c r="Z4254" s="172">
        <f t="shared" si="5"/>
        <v>0.33333333333333331</v>
      </c>
      <c r="AA4254" s="195"/>
      <c r="AB4254" s="159"/>
    </row>
    <row r="4255" spans="1:28" ht="12.75" customHeight="1" x14ac:dyDescent="0.3">
      <c r="A4255" s="161">
        <v>255</v>
      </c>
      <c r="B4255" s="159" t="s">
        <v>1887</v>
      </c>
      <c r="C4255" s="160" t="s">
        <v>1568</v>
      </c>
      <c r="D4255" s="160" t="s">
        <v>2408</v>
      </c>
      <c r="E4255" s="545"/>
      <c r="F4255" s="161">
        <v>149</v>
      </c>
      <c r="G4255" s="191">
        <v>21</v>
      </c>
      <c r="H4255" s="191">
        <v>4.8000000000000001E-5</v>
      </c>
      <c r="I4255" s="191">
        <v>130</v>
      </c>
      <c r="J4255" s="191"/>
      <c r="K4255" s="191">
        <v>5.0000000000000001E-3</v>
      </c>
      <c r="L4255" s="191"/>
      <c r="M4255" s="191"/>
      <c r="N4255" s="191"/>
      <c r="O4255" s="191"/>
      <c r="P4255" s="191"/>
      <c r="Q4255" s="191"/>
      <c r="R4255" s="191">
        <v>5.2999999999999998E-8</v>
      </c>
      <c r="S4255" s="191"/>
      <c r="T4255" s="191"/>
      <c r="U4255" s="439"/>
      <c r="V4255" s="439"/>
      <c r="W4255" s="178">
        <v>30000</v>
      </c>
      <c r="X4255" s="172">
        <f t="shared" si="5"/>
        <v>0.33333333333333331</v>
      </c>
      <c r="Y4255" s="172">
        <f t="shared" si="5"/>
        <v>0.33333333333333331</v>
      </c>
      <c r="Z4255" s="172">
        <f t="shared" si="5"/>
        <v>0.33333333333333331</v>
      </c>
      <c r="AA4255" s="195"/>
      <c r="AB4255" s="159"/>
    </row>
    <row r="4256" spans="1:28" ht="12.75" customHeight="1" x14ac:dyDescent="0.3">
      <c r="A4256" s="234">
        <v>256</v>
      </c>
      <c r="B4256" s="598" t="s">
        <v>1768</v>
      </c>
      <c r="C4256" s="235" t="s">
        <v>1628</v>
      </c>
      <c r="D4256" s="235" t="s">
        <v>2408</v>
      </c>
      <c r="E4256" s="594"/>
      <c r="F4256" s="234">
        <v>30</v>
      </c>
      <c r="G4256" s="238">
        <v>-105</v>
      </c>
      <c r="H4256" s="238">
        <v>130</v>
      </c>
      <c r="I4256" s="238">
        <v>400000</v>
      </c>
      <c r="J4256" s="238"/>
      <c r="K4256" s="238">
        <v>2.2000000000000002</v>
      </c>
      <c r="L4256" s="238"/>
      <c r="M4256" s="238"/>
      <c r="N4256" s="238"/>
      <c r="O4256" s="238"/>
      <c r="P4256" s="238"/>
      <c r="Q4256" s="238">
        <v>4.8999999999999998E-5</v>
      </c>
      <c r="R4256" s="238">
        <v>5.3000000000000001E-7</v>
      </c>
      <c r="S4256" s="238"/>
      <c r="T4256" s="238">
        <v>4.5000000000000001E-6</v>
      </c>
      <c r="U4256" s="537"/>
      <c r="V4256" s="537"/>
      <c r="W4256" s="596">
        <v>30000</v>
      </c>
      <c r="X4256" s="597">
        <f t="shared" si="5"/>
        <v>0.33333333333333331</v>
      </c>
      <c r="Y4256" s="597">
        <f t="shared" si="5"/>
        <v>0.33333333333333331</v>
      </c>
      <c r="Z4256" s="597">
        <f t="shared" si="5"/>
        <v>0.33333333333333331</v>
      </c>
      <c r="AA4256" s="195"/>
      <c r="AB4256" s="159"/>
    </row>
    <row r="4257" spans="1:28" ht="12.75" customHeight="1" x14ac:dyDescent="0.3">
      <c r="A4257" s="161">
        <v>257</v>
      </c>
      <c r="B4257" s="159" t="s">
        <v>2664</v>
      </c>
      <c r="C4257" s="160" t="s">
        <v>2665</v>
      </c>
      <c r="D4257" s="160" t="s">
        <v>620</v>
      </c>
      <c r="E4257" s="545"/>
      <c r="F4257" s="161">
        <v>497.5</v>
      </c>
      <c r="G4257" s="191"/>
      <c r="H4257" s="191">
        <v>1.074666666398E-23</v>
      </c>
      <c r="I4257" s="191">
        <v>1000000</v>
      </c>
      <c r="J4257" s="191"/>
      <c r="K4257" s="191">
        <v>4.7863009232263728E-9</v>
      </c>
      <c r="L4257" s="191"/>
      <c r="M4257" s="191"/>
      <c r="N4257" s="191"/>
      <c r="O4257" s="191"/>
      <c r="P4257" s="191"/>
      <c r="Q4257" s="191">
        <v>2.5654646250000002E-4</v>
      </c>
      <c r="R4257" s="191">
        <v>3.4431488463675552E-6</v>
      </c>
      <c r="S4257" s="191">
        <v>3.8257209404083947E-7</v>
      </c>
      <c r="T4257" s="191">
        <v>4.0112684060182012E-5</v>
      </c>
      <c r="U4257" s="439"/>
      <c r="V4257" s="439"/>
      <c r="W4257" s="178">
        <v>30000</v>
      </c>
      <c r="X4257" s="172">
        <f t="shared" si="5"/>
        <v>0.33333333333333331</v>
      </c>
      <c r="Y4257" s="172">
        <f t="shared" si="5"/>
        <v>0.33333333333333331</v>
      </c>
      <c r="Z4257" s="172">
        <f t="shared" si="5"/>
        <v>0.33333333333333331</v>
      </c>
      <c r="AA4257" s="195"/>
      <c r="AB4257" s="159"/>
    </row>
    <row r="4258" spans="1:28" ht="12.75" customHeight="1" x14ac:dyDescent="0.3">
      <c r="A4258" s="161">
        <v>258</v>
      </c>
      <c r="B4258" s="159" t="s">
        <v>2511</v>
      </c>
      <c r="C4258" s="160" t="s">
        <v>2512</v>
      </c>
      <c r="D4258" s="160" t="s">
        <v>620</v>
      </c>
      <c r="E4258" s="545"/>
      <c r="F4258" s="161">
        <v>158.07</v>
      </c>
      <c r="G4258" s="191"/>
      <c r="H4258" s="191">
        <v>9.9999999974999983E-6</v>
      </c>
      <c r="I4258" s="191">
        <v>996000</v>
      </c>
      <c r="J4258" s="191"/>
      <c r="K4258" s="191">
        <v>1.584893192461112E-4</v>
      </c>
      <c r="L4258" s="191"/>
      <c r="M4258" s="191"/>
      <c r="N4258" s="191"/>
      <c r="O4258" s="191"/>
      <c r="P4258" s="191"/>
      <c r="Q4258" s="191">
        <v>5.5184849999999996E-6</v>
      </c>
      <c r="R4258" s="191">
        <v>2.1393431498763744E-7</v>
      </c>
      <c r="S4258" s="191">
        <v>2.3770479443070826E-8</v>
      </c>
      <c r="T4258" s="191">
        <v>1.1460766874337719E-6</v>
      </c>
      <c r="U4258" s="439"/>
      <c r="V4258" s="439"/>
      <c r="W4258" s="178">
        <v>30000</v>
      </c>
      <c r="X4258" s="172">
        <f t="shared" ref="X4258:Z4321" si="6">1/3</f>
        <v>0.33333333333333331</v>
      </c>
      <c r="Y4258" s="172">
        <f t="shared" si="6"/>
        <v>0.33333333333333331</v>
      </c>
      <c r="Z4258" s="172">
        <f t="shared" si="6"/>
        <v>0.33333333333333331</v>
      </c>
      <c r="AA4258" s="195"/>
      <c r="AB4258" s="159"/>
    </row>
    <row r="4259" spans="1:28" ht="12.75" customHeight="1" x14ac:dyDescent="0.3">
      <c r="A4259" s="161">
        <v>259</v>
      </c>
      <c r="B4259" s="159" t="s">
        <v>2738</v>
      </c>
      <c r="C4259" s="160" t="s">
        <v>2739</v>
      </c>
      <c r="D4259" s="160" t="s">
        <v>620</v>
      </c>
      <c r="E4259" s="545"/>
      <c r="F4259" s="161">
        <v>150.13</v>
      </c>
      <c r="G4259" s="191"/>
      <c r="H4259" s="191">
        <v>3.2399999991899995E-5</v>
      </c>
      <c r="I4259" s="191">
        <v>500000</v>
      </c>
      <c r="J4259" s="191"/>
      <c r="K4259" s="191">
        <v>9.5499258602143547E-4</v>
      </c>
      <c r="L4259" s="191"/>
      <c r="M4259" s="191"/>
      <c r="N4259" s="191"/>
      <c r="O4259" s="191"/>
      <c r="P4259" s="191"/>
      <c r="Q4259" s="191">
        <v>6.6998212500000003E-5</v>
      </c>
      <c r="R4259" s="191">
        <v>9.2532143160742838E-7</v>
      </c>
      <c r="S4259" s="191">
        <v>1.0281349240082538E-7</v>
      </c>
      <c r="T4259" s="191">
        <v>4.6266071580371419E-7</v>
      </c>
      <c r="U4259" s="439"/>
      <c r="V4259" s="439"/>
      <c r="W4259" s="178">
        <v>30000</v>
      </c>
      <c r="X4259" s="172">
        <f t="shared" si="6"/>
        <v>0.33333333333333331</v>
      </c>
      <c r="Y4259" s="172">
        <f t="shared" si="6"/>
        <v>0.33333333333333331</v>
      </c>
      <c r="Z4259" s="172">
        <f t="shared" si="6"/>
        <v>0.33333333333333331</v>
      </c>
      <c r="AA4259" s="195"/>
      <c r="AB4259" s="159"/>
    </row>
    <row r="4260" spans="1:28" ht="12.75" customHeight="1" x14ac:dyDescent="0.3">
      <c r="A4260" s="161">
        <v>260</v>
      </c>
      <c r="B4260" s="159" t="s">
        <v>2570</v>
      </c>
      <c r="C4260" s="160" t="s">
        <v>2571</v>
      </c>
      <c r="D4260" s="160" t="s">
        <v>620</v>
      </c>
      <c r="E4260" s="545"/>
      <c r="F4260" s="161">
        <v>88.07</v>
      </c>
      <c r="G4260" s="191"/>
      <c r="H4260" s="191">
        <v>9.9866666641699995E-5</v>
      </c>
      <c r="I4260" s="191">
        <v>1000000</v>
      </c>
      <c r="J4260" s="191"/>
      <c r="K4260" s="191">
        <v>3.3113112148259105E-3</v>
      </c>
      <c r="L4260" s="191"/>
      <c r="M4260" s="191"/>
      <c r="N4260" s="191"/>
      <c r="O4260" s="191"/>
      <c r="P4260" s="191"/>
      <c r="Q4260" s="191">
        <v>8.2500000000000006E-6</v>
      </c>
      <c r="R4260" s="191">
        <v>5.3483578746909358E-7</v>
      </c>
      <c r="S4260" s="191">
        <v>5.9426198607677063E-8</v>
      </c>
      <c r="T4260" s="191">
        <v>2.6741789373454679E-7</v>
      </c>
      <c r="U4260" s="439"/>
      <c r="V4260" s="439"/>
      <c r="W4260" s="178">
        <v>30000</v>
      </c>
      <c r="X4260" s="172">
        <f t="shared" si="6"/>
        <v>0.33333333333333331</v>
      </c>
      <c r="Y4260" s="172">
        <f t="shared" si="6"/>
        <v>0.33333333333333331</v>
      </c>
      <c r="Z4260" s="172">
        <f t="shared" si="6"/>
        <v>0.33333333333333331</v>
      </c>
      <c r="AA4260" s="195"/>
      <c r="AB4260" s="159"/>
    </row>
    <row r="4261" spans="1:28" ht="12.75" customHeight="1" x14ac:dyDescent="0.3">
      <c r="A4261" s="161">
        <v>261</v>
      </c>
      <c r="B4261" s="159" t="s">
        <v>2812</v>
      </c>
      <c r="C4261" s="160" t="s">
        <v>2813</v>
      </c>
      <c r="D4261" s="160" t="s">
        <v>620</v>
      </c>
      <c r="E4261" s="545"/>
      <c r="F4261" s="161">
        <v>279.55</v>
      </c>
      <c r="G4261" s="191"/>
      <c r="H4261" s="191">
        <v>2.5999999993499997E-10</v>
      </c>
      <c r="I4261" s="191">
        <v>400000</v>
      </c>
      <c r="J4261" s="191"/>
      <c r="K4261" s="191">
        <v>4.3651583224016566E-3</v>
      </c>
      <c r="L4261" s="191"/>
      <c r="M4261" s="191"/>
      <c r="N4261" s="191"/>
      <c r="O4261" s="191"/>
      <c r="P4261" s="191"/>
      <c r="Q4261" s="191">
        <v>3.8723999999999997E-7</v>
      </c>
      <c r="R4261" s="191">
        <v>1.3370894686727339E-7</v>
      </c>
      <c r="S4261" s="191">
        <v>1.4856549651919266E-8</v>
      </c>
      <c r="T4261" s="191">
        <v>6.6854473433636697E-8</v>
      </c>
      <c r="U4261" s="439"/>
      <c r="V4261" s="439"/>
      <c r="W4261" s="178">
        <v>30000</v>
      </c>
      <c r="X4261" s="172">
        <f t="shared" si="6"/>
        <v>0.33333333333333331</v>
      </c>
      <c r="Y4261" s="172">
        <f t="shared" si="6"/>
        <v>0.33333333333333331</v>
      </c>
      <c r="Z4261" s="172">
        <f t="shared" si="6"/>
        <v>0.33333333333333331</v>
      </c>
      <c r="AA4261" s="195"/>
      <c r="AB4261" s="159"/>
    </row>
    <row r="4262" spans="1:28" ht="12.75" customHeight="1" x14ac:dyDescent="0.3">
      <c r="A4262" s="161">
        <v>262</v>
      </c>
      <c r="B4262" s="159" t="s">
        <v>2576</v>
      </c>
      <c r="C4262" s="160" t="s">
        <v>2577</v>
      </c>
      <c r="D4262" s="160" t="s">
        <v>620</v>
      </c>
      <c r="E4262" s="545"/>
      <c r="F4262" s="161">
        <v>196.03</v>
      </c>
      <c r="G4262" s="191"/>
      <c r="H4262" s="191">
        <v>1122.6666663859999</v>
      </c>
      <c r="I4262" s="191">
        <v>900</v>
      </c>
      <c r="J4262" s="191"/>
      <c r="K4262" s="191">
        <v>8.9125093813374554E-3</v>
      </c>
      <c r="L4262" s="191"/>
      <c r="M4262" s="191"/>
      <c r="N4262" s="191"/>
      <c r="O4262" s="191"/>
      <c r="P4262" s="191"/>
      <c r="Q4262" s="191">
        <v>3.9000000000000002E-7</v>
      </c>
      <c r="R4262" s="191">
        <v>2.1393431498763744E-7</v>
      </c>
      <c r="S4262" s="191">
        <v>2.3770479443070826E-8</v>
      </c>
      <c r="T4262" s="191">
        <v>1.0696715749381872E-7</v>
      </c>
      <c r="U4262" s="439"/>
      <c r="V4262" s="439"/>
      <c r="W4262" s="178">
        <v>30000</v>
      </c>
      <c r="X4262" s="172">
        <f t="shared" si="6"/>
        <v>0.33333333333333331</v>
      </c>
      <c r="Y4262" s="172">
        <f t="shared" si="6"/>
        <v>0.33333333333333331</v>
      </c>
      <c r="Z4262" s="172">
        <f t="shared" si="6"/>
        <v>0.33333333333333331</v>
      </c>
      <c r="AA4262" s="195"/>
      <c r="AB4262" s="159"/>
    </row>
    <row r="4263" spans="1:28" ht="12.75" customHeight="1" x14ac:dyDescent="0.3">
      <c r="A4263" s="161">
        <v>263</v>
      </c>
      <c r="B4263" s="159" t="s">
        <v>2616</v>
      </c>
      <c r="C4263" s="160" t="s">
        <v>2617</v>
      </c>
      <c r="D4263" s="160" t="s">
        <v>620</v>
      </c>
      <c r="E4263" s="545"/>
      <c r="F4263" s="161">
        <v>76.06</v>
      </c>
      <c r="G4263" s="191"/>
      <c r="H4263" s="191">
        <v>3.9333333323500003E-2</v>
      </c>
      <c r="I4263" s="191">
        <v>1000000</v>
      </c>
      <c r="J4263" s="191"/>
      <c r="K4263" s="191">
        <v>1.5848931924611124E-2</v>
      </c>
      <c r="L4263" s="191"/>
      <c r="M4263" s="191"/>
      <c r="N4263" s="191"/>
      <c r="O4263" s="191"/>
      <c r="P4263" s="191"/>
      <c r="Q4263" s="191">
        <v>1.5E-6</v>
      </c>
      <c r="R4263" s="191">
        <v>5.3483578746909358E-7</v>
      </c>
      <c r="S4263" s="191">
        <v>5.9426198607677063E-8</v>
      </c>
      <c r="T4263" s="191">
        <v>2.6741789373454679E-7</v>
      </c>
      <c r="U4263" s="439"/>
      <c r="V4263" s="439"/>
      <c r="W4263" s="178">
        <v>30000</v>
      </c>
      <c r="X4263" s="172">
        <f t="shared" si="6"/>
        <v>0.33333333333333331</v>
      </c>
      <c r="Y4263" s="172">
        <f t="shared" si="6"/>
        <v>0.33333333333333331</v>
      </c>
      <c r="Z4263" s="172">
        <f t="shared" si="6"/>
        <v>0.33333333333333331</v>
      </c>
      <c r="AA4263" s="195"/>
      <c r="AB4263" s="159"/>
    </row>
    <row r="4264" spans="1:28" ht="12.75" customHeight="1" x14ac:dyDescent="0.3">
      <c r="A4264" s="161">
        <v>264</v>
      </c>
      <c r="B4264" s="159" t="s">
        <v>2788</v>
      </c>
      <c r="C4264" s="160" t="s">
        <v>2789</v>
      </c>
      <c r="D4264" s="160" t="s">
        <v>620</v>
      </c>
      <c r="E4264" s="545"/>
      <c r="F4264" s="161">
        <v>151.12</v>
      </c>
      <c r="G4264" s="191"/>
      <c r="H4264" s="191">
        <v>1.1586666663770001E-5</v>
      </c>
      <c r="I4264" s="191">
        <v>2200000</v>
      </c>
      <c r="J4264" s="191"/>
      <c r="K4264" s="191">
        <v>2.1877616239495523E-2</v>
      </c>
      <c r="L4264" s="191"/>
      <c r="M4264" s="191"/>
      <c r="N4264" s="191"/>
      <c r="O4264" s="191"/>
      <c r="P4264" s="191"/>
      <c r="Q4264" s="191">
        <v>1.442235E-6</v>
      </c>
      <c r="R4264" s="191">
        <v>5.3483578746909358E-7</v>
      </c>
      <c r="S4264" s="191">
        <v>5.9426198607677063E-8</v>
      </c>
      <c r="T4264" s="191">
        <v>2.6741789373454679E-7</v>
      </c>
      <c r="U4264" s="439"/>
      <c r="V4264" s="439"/>
      <c r="W4264" s="178">
        <v>30000</v>
      </c>
      <c r="X4264" s="172">
        <f t="shared" si="6"/>
        <v>0.33333333333333331</v>
      </c>
      <c r="Y4264" s="172">
        <f t="shared" si="6"/>
        <v>0.33333333333333331</v>
      </c>
      <c r="Z4264" s="172">
        <f t="shared" si="6"/>
        <v>0.33333333333333331</v>
      </c>
      <c r="AA4264" s="195"/>
      <c r="AB4264" s="159"/>
    </row>
    <row r="4265" spans="1:28" ht="12.75" customHeight="1" x14ac:dyDescent="0.3">
      <c r="A4265" s="161">
        <v>265</v>
      </c>
      <c r="B4265" s="159" t="s">
        <v>2676</v>
      </c>
      <c r="C4265" s="160" t="s">
        <v>2677</v>
      </c>
      <c r="D4265" s="160" t="s">
        <v>620</v>
      </c>
      <c r="E4265" s="545"/>
      <c r="F4265" s="161">
        <v>298.7</v>
      </c>
      <c r="G4265" s="191"/>
      <c r="H4265" s="191">
        <v>8.6666666644999984E-3</v>
      </c>
      <c r="I4265" s="191">
        <v>21700</v>
      </c>
      <c r="J4265" s="191"/>
      <c r="K4265" s="191">
        <v>2.6915348039269142E-2</v>
      </c>
      <c r="L4265" s="191"/>
      <c r="M4265" s="191"/>
      <c r="N4265" s="191"/>
      <c r="O4265" s="191"/>
      <c r="P4265" s="191"/>
      <c r="Q4265" s="191">
        <v>6.1200000000000007E-6</v>
      </c>
      <c r="R4265" s="191">
        <v>2.1393431498763744E-7</v>
      </c>
      <c r="S4265" s="191">
        <v>2.3770479443070826E-8</v>
      </c>
      <c r="T4265" s="191">
        <v>1.0696715749381872E-7</v>
      </c>
      <c r="U4265" s="439"/>
      <c r="V4265" s="439"/>
      <c r="W4265" s="178">
        <v>30000</v>
      </c>
      <c r="X4265" s="172">
        <f t="shared" si="6"/>
        <v>0.33333333333333331</v>
      </c>
      <c r="Y4265" s="172">
        <f t="shared" si="6"/>
        <v>0.33333333333333331</v>
      </c>
      <c r="Z4265" s="172">
        <f t="shared" si="6"/>
        <v>0.33333333333333331</v>
      </c>
      <c r="AA4265" s="195"/>
      <c r="AB4265" s="159"/>
    </row>
    <row r="4266" spans="1:28" ht="12.75" customHeight="1" x14ac:dyDescent="0.3">
      <c r="A4266" s="161">
        <v>266</v>
      </c>
      <c r="B4266" s="159" t="s">
        <v>2417</v>
      </c>
      <c r="C4266" s="160" t="s">
        <v>1583</v>
      </c>
      <c r="D4266" s="160" t="s">
        <v>620</v>
      </c>
      <c r="E4266" s="545"/>
      <c r="F4266" s="161">
        <v>106.12</v>
      </c>
      <c r="G4266" s="191"/>
      <c r="H4266" s="191">
        <v>0.75999999980999999</v>
      </c>
      <c r="I4266" s="191">
        <v>1000000</v>
      </c>
      <c r="J4266" s="191"/>
      <c r="K4266" s="191">
        <v>3.3884415613920249E-2</v>
      </c>
      <c r="L4266" s="191"/>
      <c r="M4266" s="191"/>
      <c r="N4266" s="191"/>
      <c r="O4266" s="191"/>
      <c r="P4266" s="191"/>
      <c r="Q4266" s="191">
        <v>2.2500000000000001E-5</v>
      </c>
      <c r="R4266" s="191">
        <v>9.2532143160742838E-7</v>
      </c>
      <c r="S4266" s="191">
        <v>1.0281349240082538E-7</v>
      </c>
      <c r="T4266" s="191">
        <v>4.6266071580371419E-7</v>
      </c>
      <c r="U4266" s="439"/>
      <c r="V4266" s="439"/>
      <c r="W4266" s="178">
        <v>30000</v>
      </c>
      <c r="X4266" s="172">
        <f t="shared" si="6"/>
        <v>0.33333333333333331</v>
      </c>
      <c r="Y4266" s="172">
        <f t="shared" si="6"/>
        <v>0.33333333333333331</v>
      </c>
      <c r="Z4266" s="172">
        <f t="shared" si="6"/>
        <v>0.33333333333333331</v>
      </c>
      <c r="AA4266" s="195"/>
      <c r="AB4266" s="159"/>
    </row>
    <row r="4267" spans="1:28" ht="12.75" customHeight="1" x14ac:dyDescent="0.3">
      <c r="A4267" s="161">
        <v>267</v>
      </c>
      <c r="B4267" s="159" t="s">
        <v>2868</v>
      </c>
      <c r="C4267" s="160" t="s">
        <v>2869</v>
      </c>
      <c r="D4267" s="160" t="s">
        <v>620</v>
      </c>
      <c r="E4267" s="545"/>
      <c r="F4267" s="161">
        <v>219.69</v>
      </c>
      <c r="G4267" s="191"/>
      <c r="H4267" s="191">
        <v>16.933333329099998</v>
      </c>
      <c r="I4267" s="191">
        <v>20000</v>
      </c>
      <c r="J4267" s="191"/>
      <c r="K4267" s="191">
        <v>8.7096358995608011E-2</v>
      </c>
      <c r="L4267" s="191"/>
      <c r="M4267" s="191"/>
      <c r="N4267" s="191"/>
      <c r="O4267" s="191"/>
      <c r="P4267" s="191"/>
      <c r="Q4267" s="191">
        <v>2.04E-6</v>
      </c>
      <c r="R4267" s="191">
        <v>2.1393431498763744E-7</v>
      </c>
      <c r="S4267" s="191">
        <v>2.3770479443070826E-8</v>
      </c>
      <c r="T4267" s="191">
        <v>1.0696715749381872E-7</v>
      </c>
      <c r="U4267" s="439"/>
      <c r="V4267" s="439"/>
      <c r="W4267" s="178">
        <v>30000</v>
      </c>
      <c r="X4267" s="172">
        <f t="shared" si="6"/>
        <v>0.33333333333333331</v>
      </c>
      <c r="Y4267" s="172">
        <f t="shared" si="6"/>
        <v>0.33333333333333331</v>
      </c>
      <c r="Z4267" s="172">
        <f t="shared" si="6"/>
        <v>0.33333333333333331</v>
      </c>
      <c r="AA4267" s="195"/>
      <c r="AB4267" s="159"/>
    </row>
    <row r="4268" spans="1:28" ht="12.75" customHeight="1" x14ac:dyDescent="0.3">
      <c r="A4268" s="161">
        <v>268</v>
      </c>
      <c r="B4268" s="159" t="s">
        <v>2572</v>
      </c>
      <c r="C4268" s="160" t="s">
        <v>2573</v>
      </c>
      <c r="D4268" s="160" t="s">
        <v>620</v>
      </c>
      <c r="E4268" s="545"/>
      <c r="F4268" s="161">
        <v>133.11000000000001</v>
      </c>
      <c r="G4268" s="191"/>
      <c r="H4268" s="191">
        <v>7.5733333314399994E-3</v>
      </c>
      <c r="I4268" s="191">
        <v>33800</v>
      </c>
      <c r="J4268" s="191"/>
      <c r="K4268" s="191">
        <v>9.120108393559094E-2</v>
      </c>
      <c r="L4268" s="191"/>
      <c r="M4268" s="191"/>
      <c r="N4268" s="191"/>
      <c r="O4268" s="191"/>
      <c r="P4268" s="191"/>
      <c r="Q4268" s="191">
        <v>7.4032725000000005E-6</v>
      </c>
      <c r="R4268" s="191">
        <v>5.3483578746909358E-7</v>
      </c>
      <c r="S4268" s="191">
        <v>5.9426198607677063E-8</v>
      </c>
      <c r="T4268" s="191">
        <v>2.6741789373454679E-7</v>
      </c>
      <c r="U4268" s="439"/>
      <c r="V4268" s="439"/>
      <c r="W4268" s="178">
        <v>30000</v>
      </c>
      <c r="X4268" s="172">
        <f t="shared" si="6"/>
        <v>0.33333333333333331</v>
      </c>
      <c r="Y4268" s="172">
        <f t="shared" si="6"/>
        <v>0.33333333333333331</v>
      </c>
      <c r="Z4268" s="172">
        <f t="shared" si="6"/>
        <v>0.33333333333333331</v>
      </c>
      <c r="AA4268" s="195"/>
      <c r="AB4268" s="159"/>
    </row>
    <row r="4269" spans="1:28" ht="12.75" customHeight="1" x14ac:dyDescent="0.3">
      <c r="A4269" s="161">
        <v>269</v>
      </c>
      <c r="B4269" s="159" t="s">
        <v>2510</v>
      </c>
      <c r="C4269" s="160" t="s">
        <v>1607</v>
      </c>
      <c r="D4269" s="160" t="s">
        <v>620</v>
      </c>
      <c r="E4269" s="545"/>
      <c r="F4269" s="161">
        <v>86.09</v>
      </c>
      <c r="G4269" s="191"/>
      <c r="H4269" s="191">
        <v>59.999999984999995</v>
      </c>
      <c r="I4269" s="191">
        <v>1000000</v>
      </c>
      <c r="J4269" s="191"/>
      <c r="K4269" s="191">
        <v>0.22908676527677729</v>
      </c>
      <c r="L4269" s="191"/>
      <c r="M4269" s="191"/>
      <c r="N4269" s="191"/>
      <c r="O4269" s="191"/>
      <c r="P4269" s="191"/>
      <c r="Q4269" s="191">
        <v>1.7315025E-6</v>
      </c>
      <c r="R4269" s="191">
        <v>5.3483578746909358E-7</v>
      </c>
      <c r="S4269" s="191">
        <v>5.9426198607677063E-8</v>
      </c>
      <c r="T4269" s="191">
        <v>2.6741789373454679E-7</v>
      </c>
      <c r="U4269" s="439"/>
      <c r="V4269" s="439"/>
      <c r="W4269" s="178">
        <v>30000</v>
      </c>
      <c r="X4269" s="172">
        <f t="shared" si="6"/>
        <v>0.33333333333333331</v>
      </c>
      <c r="Y4269" s="172">
        <f t="shared" si="6"/>
        <v>0.33333333333333331</v>
      </c>
      <c r="Z4269" s="172">
        <f t="shared" si="6"/>
        <v>0.33333333333333331</v>
      </c>
      <c r="AA4269" s="195"/>
      <c r="AB4269" s="159"/>
    </row>
    <row r="4270" spans="1:28" ht="12.75" customHeight="1" x14ac:dyDescent="0.3">
      <c r="A4270" s="161">
        <v>270</v>
      </c>
      <c r="B4270" s="159" t="s">
        <v>2774</v>
      </c>
      <c r="C4270" s="160" t="s">
        <v>2775</v>
      </c>
      <c r="D4270" s="160" t="s">
        <v>620</v>
      </c>
      <c r="E4270" s="545"/>
      <c r="F4270" s="161">
        <v>90.08</v>
      </c>
      <c r="G4270" s="191"/>
      <c r="H4270" s="191">
        <v>2333.33333275</v>
      </c>
      <c r="I4270" s="191">
        <v>175000</v>
      </c>
      <c r="J4270" s="191"/>
      <c r="K4270" s="191">
        <v>0.37153522909717251</v>
      </c>
      <c r="L4270" s="191"/>
      <c r="M4270" s="191"/>
      <c r="N4270" s="191"/>
      <c r="O4270" s="191"/>
      <c r="P4270" s="191"/>
      <c r="Q4270" s="191">
        <v>4.6500000000000004E-6</v>
      </c>
      <c r="R4270" s="191">
        <v>5.3483578746909358E-7</v>
      </c>
      <c r="S4270" s="191">
        <v>5.9426198607677063E-8</v>
      </c>
      <c r="T4270" s="191">
        <v>2.6741789373454679E-7</v>
      </c>
      <c r="U4270" s="439"/>
      <c r="V4270" s="439"/>
      <c r="W4270" s="178">
        <v>30000</v>
      </c>
      <c r="X4270" s="172">
        <f t="shared" si="6"/>
        <v>0.33333333333333331</v>
      </c>
      <c r="Y4270" s="172">
        <f t="shared" si="6"/>
        <v>0.33333333333333331</v>
      </c>
      <c r="Z4270" s="172">
        <f t="shared" si="6"/>
        <v>0.33333333333333331</v>
      </c>
      <c r="AA4270" s="195"/>
      <c r="AB4270" s="159"/>
    </row>
    <row r="4271" spans="1:28" ht="12.75" customHeight="1" x14ac:dyDescent="0.3">
      <c r="A4271" s="161">
        <v>271</v>
      </c>
      <c r="B4271" s="159" t="s">
        <v>2490</v>
      </c>
      <c r="C4271" s="160" t="s">
        <v>2491</v>
      </c>
      <c r="D4271" s="160" t="s">
        <v>620</v>
      </c>
      <c r="E4271" s="545"/>
      <c r="F4271" s="161">
        <v>44.05</v>
      </c>
      <c r="G4271" s="191"/>
      <c r="H4271" s="191">
        <v>174666.666623</v>
      </c>
      <c r="I4271" s="191">
        <v>1000000</v>
      </c>
      <c r="J4271" s="191"/>
      <c r="K4271" s="191">
        <v>0.50118723362727224</v>
      </c>
      <c r="L4271" s="191"/>
      <c r="M4271" s="191"/>
      <c r="N4271" s="191"/>
      <c r="O4271" s="191"/>
      <c r="P4271" s="191"/>
      <c r="Q4271" s="191">
        <v>5.7000000000000001E-8</v>
      </c>
      <c r="R4271" s="191">
        <v>5.3483578746909358E-7</v>
      </c>
      <c r="S4271" s="191">
        <v>5.9426198607677063E-8</v>
      </c>
      <c r="T4271" s="191">
        <v>2.6741789373454679E-7</v>
      </c>
      <c r="U4271" s="439"/>
      <c r="V4271" s="439"/>
      <c r="W4271" s="178">
        <v>30000</v>
      </c>
      <c r="X4271" s="172">
        <f t="shared" si="6"/>
        <v>0.33333333333333331</v>
      </c>
      <c r="Y4271" s="172">
        <f t="shared" si="6"/>
        <v>0.33333333333333331</v>
      </c>
      <c r="Z4271" s="172">
        <f t="shared" si="6"/>
        <v>0.33333333333333331</v>
      </c>
      <c r="AA4271" s="195"/>
      <c r="AB4271" s="159"/>
    </row>
    <row r="4272" spans="1:28" ht="12.75" customHeight="1" x14ac:dyDescent="0.3">
      <c r="A4272" s="161">
        <v>272</v>
      </c>
      <c r="B4272" s="159" t="s">
        <v>2527</v>
      </c>
      <c r="C4272" s="160" t="s">
        <v>2528</v>
      </c>
      <c r="D4272" s="160" t="s">
        <v>620</v>
      </c>
      <c r="E4272" s="545"/>
      <c r="F4272" s="161">
        <v>86.09</v>
      </c>
      <c r="G4272" s="191"/>
      <c r="H4272" s="191">
        <v>5199.9999987000001</v>
      </c>
      <c r="I4272" s="191">
        <v>1000000</v>
      </c>
      <c r="J4272" s="191"/>
      <c r="K4272" s="191">
        <v>0.52480746024977254</v>
      </c>
      <c r="L4272" s="191"/>
      <c r="M4272" s="191"/>
      <c r="N4272" s="191"/>
      <c r="O4272" s="191"/>
      <c r="P4272" s="191"/>
      <c r="Q4272" s="191">
        <v>7.47345E-7</v>
      </c>
      <c r="R4272" s="191">
        <v>5.3483578746909358E-7</v>
      </c>
      <c r="S4272" s="191">
        <v>5.9426198607677063E-8</v>
      </c>
      <c r="T4272" s="191">
        <v>2.6741789373454679E-7</v>
      </c>
      <c r="U4272" s="439"/>
      <c r="V4272" s="439"/>
      <c r="W4272" s="178">
        <v>30000</v>
      </c>
      <c r="X4272" s="172">
        <f t="shared" si="6"/>
        <v>0.33333333333333331</v>
      </c>
      <c r="Y4272" s="172">
        <f t="shared" si="6"/>
        <v>0.33333333333333331</v>
      </c>
      <c r="Z4272" s="172">
        <f t="shared" si="6"/>
        <v>0.33333333333333331</v>
      </c>
      <c r="AA4272" s="195"/>
      <c r="AB4272" s="159"/>
    </row>
    <row r="4273" spans="1:28" ht="12.75" customHeight="1" x14ac:dyDescent="0.3">
      <c r="A4273" s="161">
        <v>273</v>
      </c>
      <c r="B4273" s="159" t="s">
        <v>2549</v>
      </c>
      <c r="C4273" s="160" t="s">
        <v>2550</v>
      </c>
      <c r="D4273" s="160" t="s">
        <v>620</v>
      </c>
      <c r="E4273" s="545"/>
      <c r="F4273" s="161">
        <v>122.14</v>
      </c>
      <c r="G4273" s="191"/>
      <c r="H4273" s="191">
        <v>31.866666658699998</v>
      </c>
      <c r="I4273" s="191">
        <v>170700</v>
      </c>
      <c r="J4273" s="191"/>
      <c r="K4273" s="191">
        <v>0.52480746024977254</v>
      </c>
      <c r="L4273" s="191"/>
      <c r="M4273" s="191"/>
      <c r="N4273" s="191"/>
      <c r="O4273" s="191"/>
      <c r="P4273" s="191"/>
      <c r="Q4273" s="191">
        <v>1.6157024999999998E-6</v>
      </c>
      <c r="R4273" s="191">
        <v>5.3483578746909358E-7</v>
      </c>
      <c r="S4273" s="191">
        <v>5.9426198607677063E-8</v>
      </c>
      <c r="T4273" s="191">
        <v>2.6741789373454679E-7</v>
      </c>
      <c r="U4273" s="439"/>
      <c r="V4273" s="439"/>
      <c r="W4273" s="178">
        <v>30000</v>
      </c>
      <c r="X4273" s="172">
        <f t="shared" si="6"/>
        <v>0.33333333333333331</v>
      </c>
      <c r="Y4273" s="172">
        <f t="shared" si="6"/>
        <v>0.33333333333333331</v>
      </c>
      <c r="Z4273" s="172">
        <f t="shared" si="6"/>
        <v>0.33333333333333331</v>
      </c>
      <c r="AA4273" s="195"/>
      <c r="AB4273" s="159"/>
    </row>
    <row r="4274" spans="1:28" ht="12.75" customHeight="1" x14ac:dyDescent="0.3">
      <c r="A4274" s="161">
        <v>274</v>
      </c>
      <c r="B4274" s="159" t="s">
        <v>2730</v>
      </c>
      <c r="C4274" s="160" t="s">
        <v>2731</v>
      </c>
      <c r="D4274" s="160" t="s">
        <v>620</v>
      </c>
      <c r="E4274" s="545"/>
      <c r="F4274" s="161">
        <v>116.12</v>
      </c>
      <c r="G4274" s="191"/>
      <c r="H4274" s="191">
        <v>6.9733333315899992</v>
      </c>
      <c r="I4274" s="191">
        <v>1000000</v>
      </c>
      <c r="J4274" s="191"/>
      <c r="K4274" s="191">
        <v>0.61659500186148219</v>
      </c>
      <c r="L4274" s="191"/>
      <c r="M4274" s="191"/>
      <c r="N4274" s="191"/>
      <c r="O4274" s="191"/>
      <c r="P4274" s="191"/>
      <c r="Q4274" s="191">
        <v>1.1402985E-5</v>
      </c>
      <c r="R4274" s="191">
        <v>5.3483578746909358E-7</v>
      </c>
      <c r="S4274" s="191">
        <v>5.9426198607677063E-8</v>
      </c>
      <c r="T4274" s="191">
        <v>2.6741789373454679E-7</v>
      </c>
      <c r="U4274" s="439"/>
      <c r="V4274" s="439"/>
      <c r="W4274" s="178">
        <v>30000</v>
      </c>
      <c r="X4274" s="172">
        <f t="shared" si="6"/>
        <v>0.33333333333333331</v>
      </c>
      <c r="Y4274" s="172">
        <f t="shared" si="6"/>
        <v>0.33333333333333331</v>
      </c>
      <c r="Z4274" s="172">
        <f t="shared" si="6"/>
        <v>0.33333333333333331</v>
      </c>
      <c r="AA4274" s="195"/>
      <c r="AB4274" s="159"/>
    </row>
    <row r="4275" spans="1:28" ht="12.75" customHeight="1" x14ac:dyDescent="0.3">
      <c r="A4275" s="161">
        <v>275</v>
      </c>
      <c r="B4275" s="159" t="s">
        <v>2416</v>
      </c>
      <c r="C4275" s="160" t="s">
        <v>1582</v>
      </c>
      <c r="D4275" s="160" t="s">
        <v>620</v>
      </c>
      <c r="E4275" s="545"/>
      <c r="F4275" s="161">
        <v>100.12</v>
      </c>
      <c r="G4275" s="191"/>
      <c r="H4275" s="191">
        <v>79.999999979999998</v>
      </c>
      <c r="I4275" s="191">
        <v>167200</v>
      </c>
      <c r="J4275" s="191"/>
      <c r="K4275" s="191">
        <v>0.660693448007596</v>
      </c>
      <c r="L4275" s="191"/>
      <c r="M4275" s="191"/>
      <c r="N4275" s="191"/>
      <c r="O4275" s="191"/>
      <c r="P4275" s="191"/>
      <c r="Q4275" s="191">
        <v>1.785E-5</v>
      </c>
      <c r="R4275" s="191">
        <v>5.3483578746909358E-7</v>
      </c>
      <c r="S4275" s="191">
        <v>5.9426198607677063E-8</v>
      </c>
      <c r="T4275" s="191">
        <v>1.6045073624072808E-6</v>
      </c>
      <c r="U4275" s="439"/>
      <c r="V4275" s="439"/>
      <c r="W4275" s="178">
        <v>30000</v>
      </c>
      <c r="X4275" s="172">
        <f t="shared" si="6"/>
        <v>0.33333333333333331</v>
      </c>
      <c r="Y4275" s="172">
        <f t="shared" si="6"/>
        <v>0.33333333333333331</v>
      </c>
      <c r="Z4275" s="172">
        <f t="shared" si="6"/>
        <v>0.33333333333333331</v>
      </c>
      <c r="AA4275" s="195"/>
      <c r="AB4275" s="159"/>
    </row>
    <row r="4276" spans="1:28" ht="12.75" customHeight="1" x14ac:dyDescent="0.3">
      <c r="A4276" s="161">
        <v>276</v>
      </c>
      <c r="B4276" s="159" t="s">
        <v>2756</v>
      </c>
      <c r="C4276" s="160" t="s">
        <v>2757</v>
      </c>
      <c r="D4276" s="160" t="s">
        <v>620</v>
      </c>
      <c r="E4276" s="545"/>
      <c r="F4276" s="161">
        <v>102.13</v>
      </c>
      <c r="G4276" s="191"/>
      <c r="H4276" s="191">
        <v>106.7999999733</v>
      </c>
      <c r="I4276" s="191">
        <v>1000000</v>
      </c>
      <c r="J4276" s="191"/>
      <c r="K4276" s="191">
        <v>0.77624711662869172</v>
      </c>
      <c r="L4276" s="191"/>
      <c r="M4276" s="191"/>
      <c r="N4276" s="191"/>
      <c r="O4276" s="191"/>
      <c r="P4276" s="191"/>
      <c r="Q4276" s="191">
        <v>1.7686432499999999E-5</v>
      </c>
      <c r="R4276" s="191">
        <v>5.3483578746909358E-7</v>
      </c>
      <c r="S4276" s="191">
        <v>5.9426198607677063E-8</v>
      </c>
      <c r="T4276" s="191">
        <v>2.6741789373454679E-7</v>
      </c>
      <c r="U4276" s="439"/>
      <c r="V4276" s="439"/>
      <c r="W4276" s="178">
        <v>30000</v>
      </c>
      <c r="X4276" s="172">
        <f t="shared" si="6"/>
        <v>0.33333333333333331</v>
      </c>
      <c r="Y4276" s="172">
        <f t="shared" si="6"/>
        <v>0.33333333333333331</v>
      </c>
      <c r="Z4276" s="172">
        <f t="shared" si="6"/>
        <v>0.33333333333333331</v>
      </c>
      <c r="AA4276" s="195"/>
      <c r="AB4276" s="159"/>
    </row>
    <row r="4277" spans="1:28" ht="12.75" customHeight="1" x14ac:dyDescent="0.3">
      <c r="A4277" s="161">
        <v>277</v>
      </c>
      <c r="B4277" s="159" t="s">
        <v>2820</v>
      </c>
      <c r="C4277" s="160" t="s">
        <v>2821</v>
      </c>
      <c r="D4277" s="160" t="s">
        <v>620</v>
      </c>
      <c r="E4277" s="545"/>
      <c r="F4277" s="161">
        <v>219.95</v>
      </c>
      <c r="G4277" s="191"/>
      <c r="H4277" s="191">
        <v>1.9466666661799996E-12</v>
      </c>
      <c r="I4277" s="191">
        <v>38420</v>
      </c>
      <c r="J4277" s="191"/>
      <c r="K4277" s="191">
        <v>0.87096358995608059</v>
      </c>
      <c r="L4277" s="191"/>
      <c r="M4277" s="191"/>
      <c r="N4277" s="191"/>
      <c r="O4277" s="191"/>
      <c r="P4277" s="191"/>
      <c r="Q4277" s="191">
        <v>2.2500000000000001E-6</v>
      </c>
      <c r="R4277" s="191">
        <v>5.3483578746909358E-7</v>
      </c>
      <c r="S4277" s="191">
        <v>5.9426198607677063E-8</v>
      </c>
      <c r="T4277" s="191">
        <v>2.6741789373454679E-7</v>
      </c>
      <c r="U4277" s="439"/>
      <c r="V4277" s="439"/>
      <c r="W4277" s="178">
        <v>30000</v>
      </c>
      <c r="X4277" s="172">
        <f t="shared" si="6"/>
        <v>0.33333333333333331</v>
      </c>
      <c r="Y4277" s="172">
        <f t="shared" si="6"/>
        <v>0.33333333333333331</v>
      </c>
      <c r="Z4277" s="172">
        <f t="shared" si="6"/>
        <v>0.33333333333333331</v>
      </c>
      <c r="AA4277" s="195"/>
      <c r="AB4277" s="159"/>
    </row>
    <row r="4278" spans="1:28" ht="12.75" customHeight="1" x14ac:dyDescent="0.3">
      <c r="A4278" s="161">
        <v>278</v>
      </c>
      <c r="B4278" s="159" t="s">
        <v>2565</v>
      </c>
      <c r="C4278" s="160" t="s">
        <v>1630</v>
      </c>
      <c r="D4278" s="160" t="s">
        <v>620</v>
      </c>
      <c r="E4278" s="545"/>
      <c r="F4278" s="161">
        <v>58.08</v>
      </c>
      <c r="G4278" s="191"/>
      <c r="H4278" s="191">
        <v>71733.333315399999</v>
      </c>
      <c r="I4278" s="191">
        <v>590000</v>
      </c>
      <c r="J4278" s="191"/>
      <c r="K4278" s="191">
        <v>1.0715193052376064</v>
      </c>
      <c r="L4278" s="191"/>
      <c r="M4278" s="191"/>
      <c r="N4278" s="191"/>
      <c r="O4278" s="191"/>
      <c r="P4278" s="191"/>
      <c r="Q4278" s="191">
        <v>3.9000000000000002E-7</v>
      </c>
      <c r="R4278" s="191">
        <v>5.3483578746909358E-7</v>
      </c>
      <c r="S4278" s="191">
        <v>5.9426198607677063E-8</v>
      </c>
      <c r="T4278" s="191">
        <v>2.6741789373454679E-7</v>
      </c>
      <c r="U4278" s="439"/>
      <c r="V4278" s="439"/>
      <c r="W4278" s="178">
        <v>30000</v>
      </c>
      <c r="X4278" s="172">
        <f t="shared" si="6"/>
        <v>0.33333333333333331</v>
      </c>
      <c r="Y4278" s="172">
        <f t="shared" si="6"/>
        <v>0.33333333333333331</v>
      </c>
      <c r="Z4278" s="172">
        <f t="shared" si="6"/>
        <v>0.33333333333333331</v>
      </c>
      <c r="AA4278" s="195"/>
      <c r="AB4278" s="159"/>
    </row>
    <row r="4279" spans="1:28" ht="12.75" customHeight="1" x14ac:dyDescent="0.3">
      <c r="A4279" s="161">
        <v>279</v>
      </c>
      <c r="B4279" s="159" t="s">
        <v>2716</v>
      </c>
      <c r="C4279" s="160" t="s">
        <v>2717</v>
      </c>
      <c r="D4279" s="160" t="s">
        <v>620</v>
      </c>
      <c r="E4279" s="545"/>
      <c r="F4279" s="161">
        <v>152.97</v>
      </c>
      <c r="G4279" s="191"/>
      <c r="H4279" s="191">
        <v>275.99999993099999</v>
      </c>
      <c r="I4279" s="191">
        <v>60470</v>
      </c>
      <c r="J4279" s="191"/>
      <c r="K4279" s="191">
        <v>1.2589254117941673</v>
      </c>
      <c r="L4279" s="191"/>
      <c r="M4279" s="191"/>
      <c r="N4279" s="191"/>
      <c r="O4279" s="191"/>
      <c r="P4279" s="191"/>
      <c r="Q4279" s="191">
        <v>5.18175E-6</v>
      </c>
      <c r="R4279" s="191">
        <v>5.3483578746909358E-7</v>
      </c>
      <c r="S4279" s="191">
        <v>5.9426198607677063E-8</v>
      </c>
      <c r="T4279" s="191">
        <v>2.6741789373454679E-7</v>
      </c>
      <c r="U4279" s="439"/>
      <c r="V4279" s="439"/>
      <c r="W4279" s="178">
        <v>30000</v>
      </c>
      <c r="X4279" s="172">
        <f t="shared" si="6"/>
        <v>0.33333333333333331</v>
      </c>
      <c r="Y4279" s="172">
        <f t="shared" si="6"/>
        <v>0.33333333333333331</v>
      </c>
      <c r="Z4279" s="172">
        <f t="shared" si="6"/>
        <v>0.33333333333333331</v>
      </c>
      <c r="AA4279" s="195"/>
      <c r="AB4279" s="159"/>
    </row>
    <row r="4280" spans="1:28" ht="12.75" customHeight="1" x14ac:dyDescent="0.3">
      <c r="A4280" s="161">
        <v>280</v>
      </c>
      <c r="B4280" s="159" t="s">
        <v>2496</v>
      </c>
      <c r="C4280" s="160" t="s">
        <v>2497</v>
      </c>
      <c r="D4280" s="160" t="s">
        <v>620</v>
      </c>
      <c r="E4280" s="545"/>
      <c r="F4280" s="161">
        <v>224.15</v>
      </c>
      <c r="G4280" s="191"/>
      <c r="H4280" s="191">
        <v>1.7066666662399997E-2</v>
      </c>
      <c r="I4280" s="191">
        <v>600000</v>
      </c>
      <c r="J4280" s="191"/>
      <c r="K4280" s="191">
        <v>1.3489628825916538</v>
      </c>
      <c r="L4280" s="191"/>
      <c r="M4280" s="191"/>
      <c r="N4280" s="191"/>
      <c r="O4280" s="191"/>
      <c r="P4280" s="191"/>
      <c r="Q4280" s="191">
        <v>2.725845E-5</v>
      </c>
      <c r="R4280" s="191">
        <v>5.3483578746909358E-7</v>
      </c>
      <c r="S4280" s="191">
        <v>5.9426198607677063E-8</v>
      </c>
      <c r="T4280" s="191">
        <v>6.6854473433636709E-6</v>
      </c>
      <c r="U4280" s="439"/>
      <c r="V4280" s="439"/>
      <c r="W4280" s="178">
        <v>30000</v>
      </c>
      <c r="X4280" s="172">
        <f t="shared" si="6"/>
        <v>0.33333333333333331</v>
      </c>
      <c r="Y4280" s="172">
        <f t="shared" si="6"/>
        <v>0.33333333333333331</v>
      </c>
      <c r="Z4280" s="172">
        <f t="shared" si="6"/>
        <v>0.33333333333333331</v>
      </c>
      <c r="AA4280" s="195"/>
      <c r="AB4280" s="159"/>
    </row>
    <row r="4281" spans="1:28" ht="12.75" customHeight="1" x14ac:dyDescent="0.3">
      <c r="A4281" s="161">
        <v>281</v>
      </c>
      <c r="B4281" s="159" t="s">
        <v>2874</v>
      </c>
      <c r="C4281" s="160" t="s">
        <v>1722</v>
      </c>
      <c r="D4281" s="160" t="s">
        <v>620</v>
      </c>
      <c r="E4281" s="545"/>
      <c r="F4281" s="161">
        <v>74.08</v>
      </c>
      <c r="G4281" s="191"/>
      <c r="H4281" s="191">
        <v>28799.9999928</v>
      </c>
      <c r="I4281" s="191">
        <v>243000</v>
      </c>
      <c r="J4281" s="191"/>
      <c r="K4281" s="191">
        <v>1.5135612484362082</v>
      </c>
      <c r="L4281" s="191"/>
      <c r="M4281" s="191"/>
      <c r="N4281" s="191"/>
      <c r="O4281" s="191"/>
      <c r="P4281" s="191"/>
      <c r="Q4281" s="191">
        <v>2.5575E-7</v>
      </c>
      <c r="R4281" s="191">
        <v>5.3483578746909358E-7</v>
      </c>
      <c r="S4281" s="191">
        <v>5.9426198607677063E-8</v>
      </c>
      <c r="T4281" s="191">
        <v>2.6741789373454679E-7</v>
      </c>
      <c r="U4281" s="439"/>
      <c r="V4281" s="439"/>
      <c r="W4281" s="178">
        <v>30000</v>
      </c>
      <c r="X4281" s="172">
        <f t="shared" si="6"/>
        <v>0.33333333333333331</v>
      </c>
      <c r="Y4281" s="172">
        <f t="shared" si="6"/>
        <v>0.33333333333333331</v>
      </c>
      <c r="Z4281" s="172">
        <f t="shared" si="6"/>
        <v>0.33333333333333331</v>
      </c>
      <c r="AA4281" s="195"/>
      <c r="AB4281" s="159"/>
    </row>
    <row r="4282" spans="1:28" ht="12.75" customHeight="1" x14ac:dyDescent="0.3">
      <c r="A4282" s="161">
        <v>282</v>
      </c>
      <c r="B4282" s="159" t="s">
        <v>2600</v>
      </c>
      <c r="C4282" s="160" t="s">
        <v>2601</v>
      </c>
      <c r="D4282" s="160" t="s">
        <v>620</v>
      </c>
      <c r="E4282" s="545"/>
      <c r="F4282" s="161">
        <v>146.13999999999999</v>
      </c>
      <c r="G4282" s="191"/>
      <c r="H4282" s="191">
        <v>10.319999997419998</v>
      </c>
      <c r="I4282" s="191">
        <v>178000</v>
      </c>
      <c r="J4282" s="191"/>
      <c r="K4282" s="191">
        <v>2.5118864315095806</v>
      </c>
      <c r="L4282" s="191"/>
      <c r="M4282" s="191"/>
      <c r="N4282" s="191"/>
      <c r="O4282" s="191"/>
      <c r="P4282" s="191"/>
      <c r="Q4282" s="191">
        <v>2.8204050000000001E-6</v>
      </c>
      <c r="R4282" s="191">
        <v>5.3483578746909358E-7</v>
      </c>
      <c r="S4282" s="191">
        <v>5.9426198607677063E-8</v>
      </c>
      <c r="T4282" s="191">
        <v>2.6741789373454679E-7</v>
      </c>
      <c r="U4282" s="439"/>
      <c r="V4282" s="439"/>
      <c r="W4282" s="178">
        <v>30000</v>
      </c>
      <c r="X4282" s="172">
        <f t="shared" si="6"/>
        <v>0.33333333333333331</v>
      </c>
      <c r="Y4282" s="172">
        <f t="shared" si="6"/>
        <v>0.33333333333333331</v>
      </c>
      <c r="Z4282" s="172">
        <f t="shared" si="6"/>
        <v>0.33333333333333331</v>
      </c>
      <c r="AA4282" s="195"/>
      <c r="AB4282" s="159"/>
    </row>
    <row r="4283" spans="1:28" ht="12.75" customHeight="1" x14ac:dyDescent="0.3">
      <c r="A4283" s="161">
        <v>283</v>
      </c>
      <c r="B4283" s="159" t="s">
        <v>2728</v>
      </c>
      <c r="C4283" s="160" t="s">
        <v>2729</v>
      </c>
      <c r="D4283" s="160" t="s">
        <v>620</v>
      </c>
      <c r="E4283" s="545"/>
      <c r="F4283" s="161">
        <v>70.09</v>
      </c>
      <c r="G4283" s="191"/>
      <c r="H4283" s="191">
        <v>12173.333330289999</v>
      </c>
      <c r="I4283" s="191">
        <v>60630</v>
      </c>
      <c r="J4283" s="191"/>
      <c r="K4283" s="191">
        <v>2.5703957827688639</v>
      </c>
      <c r="L4283" s="191"/>
      <c r="M4283" s="191"/>
      <c r="N4283" s="191"/>
      <c r="O4283" s="191"/>
      <c r="P4283" s="191"/>
      <c r="Q4283" s="191">
        <v>1.4099999999999999E-5</v>
      </c>
      <c r="R4283" s="191">
        <v>5.3483578746909358E-7</v>
      </c>
      <c r="S4283" s="191">
        <v>5.9426198607677063E-8</v>
      </c>
      <c r="T4283" s="191">
        <v>2.6741789373454679E-7</v>
      </c>
      <c r="U4283" s="439"/>
      <c r="V4283" s="439"/>
      <c r="W4283" s="178">
        <v>30000</v>
      </c>
      <c r="X4283" s="172">
        <f t="shared" si="6"/>
        <v>0.33333333333333331</v>
      </c>
      <c r="Y4283" s="172">
        <f t="shared" si="6"/>
        <v>0.33333333333333331</v>
      </c>
      <c r="Z4283" s="172">
        <f t="shared" si="6"/>
        <v>0.33333333333333331</v>
      </c>
      <c r="AA4283" s="195"/>
      <c r="AB4283" s="159"/>
    </row>
    <row r="4284" spans="1:28" ht="12.75" customHeight="1" x14ac:dyDescent="0.3">
      <c r="A4284" s="161">
        <v>284</v>
      </c>
      <c r="B4284" s="159" t="s">
        <v>2850</v>
      </c>
      <c r="C4284" s="160" t="s">
        <v>2851</v>
      </c>
      <c r="D4284" s="160" t="s">
        <v>620</v>
      </c>
      <c r="E4284" s="545"/>
      <c r="F4284" s="161">
        <v>94.54</v>
      </c>
      <c r="G4284" s="191"/>
      <c r="H4284" s="191">
        <v>76.933333314099997</v>
      </c>
      <c r="I4284" s="191">
        <v>250000</v>
      </c>
      <c r="J4284" s="191"/>
      <c r="K4284" s="191">
        <v>3.1622776601683795</v>
      </c>
      <c r="L4284" s="191"/>
      <c r="M4284" s="191"/>
      <c r="N4284" s="191"/>
      <c r="O4284" s="191"/>
      <c r="P4284" s="191"/>
      <c r="Q4284" s="191">
        <v>3.7582500000000004E-6</v>
      </c>
      <c r="R4284" s="191">
        <v>5.3483578746909358E-7</v>
      </c>
      <c r="S4284" s="191">
        <v>5.9426198607677063E-8</v>
      </c>
      <c r="T4284" s="191">
        <v>2.6741789373454679E-7</v>
      </c>
      <c r="U4284" s="439"/>
      <c r="V4284" s="439"/>
      <c r="W4284" s="178">
        <v>30000</v>
      </c>
      <c r="X4284" s="172">
        <f t="shared" si="6"/>
        <v>0.33333333333333331</v>
      </c>
      <c r="Y4284" s="172">
        <f t="shared" si="6"/>
        <v>0.33333333333333331</v>
      </c>
      <c r="Z4284" s="172">
        <f t="shared" si="6"/>
        <v>0.33333333333333331</v>
      </c>
      <c r="AA4284" s="195"/>
      <c r="AB4284" s="159"/>
    </row>
    <row r="4285" spans="1:28" ht="12.75" customHeight="1" x14ac:dyDescent="0.3">
      <c r="A4285" s="161">
        <v>285</v>
      </c>
      <c r="B4285" s="159" t="s">
        <v>2519</v>
      </c>
      <c r="C4285" s="160" t="s">
        <v>2520</v>
      </c>
      <c r="D4285" s="160" t="s">
        <v>620</v>
      </c>
      <c r="E4285" s="545"/>
      <c r="F4285" s="161">
        <v>68.48</v>
      </c>
      <c r="G4285" s="191"/>
      <c r="H4285" s="191">
        <v>326666.666585</v>
      </c>
      <c r="I4285" s="191">
        <v>10400</v>
      </c>
      <c r="J4285" s="191"/>
      <c r="K4285" s="191">
        <v>3.2359365692962836</v>
      </c>
      <c r="L4285" s="191"/>
      <c r="M4285" s="191"/>
      <c r="N4285" s="191"/>
      <c r="O4285" s="191"/>
      <c r="P4285" s="191"/>
      <c r="Q4285" s="191">
        <v>3.3075000000000003E-8</v>
      </c>
      <c r="R4285" s="191">
        <v>5.3483578746909358E-7</v>
      </c>
      <c r="S4285" s="191">
        <v>5.9426198607677063E-8</v>
      </c>
      <c r="T4285" s="191">
        <v>2.6741789373454679E-7</v>
      </c>
      <c r="U4285" s="439"/>
      <c r="V4285" s="439"/>
      <c r="W4285" s="178">
        <v>30000</v>
      </c>
      <c r="X4285" s="172">
        <f t="shared" si="6"/>
        <v>0.33333333333333331</v>
      </c>
      <c r="Y4285" s="172">
        <f t="shared" si="6"/>
        <v>0.33333333333333331</v>
      </c>
      <c r="Z4285" s="172">
        <f t="shared" si="6"/>
        <v>0.33333333333333331</v>
      </c>
      <c r="AA4285" s="195"/>
      <c r="AB4285" s="159"/>
    </row>
    <row r="4286" spans="1:28" ht="12.75" customHeight="1" x14ac:dyDescent="0.3">
      <c r="A4286" s="161">
        <v>286</v>
      </c>
      <c r="B4286" s="159" t="s">
        <v>2568</v>
      </c>
      <c r="C4286" s="160" t="s">
        <v>2569</v>
      </c>
      <c r="D4286" s="160" t="s">
        <v>620</v>
      </c>
      <c r="E4286" s="545"/>
      <c r="F4286" s="161">
        <v>114.96</v>
      </c>
      <c r="G4286" s="191"/>
      <c r="H4286" s="191">
        <v>3919.9999990199994</v>
      </c>
      <c r="I4286" s="191">
        <v>22000</v>
      </c>
      <c r="J4286" s="191"/>
      <c r="K4286" s="191">
        <v>3.7153522909717256</v>
      </c>
      <c r="L4286" s="191"/>
      <c r="M4286" s="191"/>
      <c r="N4286" s="191"/>
      <c r="O4286" s="191"/>
      <c r="P4286" s="191"/>
      <c r="Q4286" s="191">
        <v>5.3238000000000006E-7</v>
      </c>
      <c r="R4286" s="191">
        <v>2.1393431498763744E-7</v>
      </c>
      <c r="S4286" s="191">
        <v>2.3770479443070826E-8</v>
      </c>
      <c r="T4286" s="191">
        <v>1.0696715749381872E-7</v>
      </c>
      <c r="U4286" s="439"/>
      <c r="V4286" s="439"/>
      <c r="W4286" s="178">
        <v>30000</v>
      </c>
      <c r="X4286" s="172">
        <f t="shared" si="6"/>
        <v>0.33333333333333331</v>
      </c>
      <c r="Y4286" s="172">
        <f t="shared" si="6"/>
        <v>0.33333333333333331</v>
      </c>
      <c r="Z4286" s="172">
        <f t="shared" si="6"/>
        <v>0.33333333333333331</v>
      </c>
      <c r="AA4286" s="195"/>
      <c r="AB4286" s="159"/>
    </row>
    <row r="4287" spans="1:28" ht="12.75" customHeight="1" x14ac:dyDescent="0.3">
      <c r="A4287" s="161">
        <v>287</v>
      </c>
      <c r="B4287" s="159" t="s">
        <v>2720</v>
      </c>
      <c r="C4287" s="160" t="s">
        <v>2721</v>
      </c>
      <c r="D4287" s="160" t="s">
        <v>620</v>
      </c>
      <c r="E4287" s="545"/>
      <c r="F4287" s="161">
        <v>136.19999999999999</v>
      </c>
      <c r="G4287" s="191"/>
      <c r="H4287" s="191">
        <v>0.81599999979599991</v>
      </c>
      <c r="I4287" s="191">
        <v>14780</v>
      </c>
      <c r="J4287" s="191"/>
      <c r="K4287" s="191">
        <v>3.8904514499428067</v>
      </c>
      <c r="L4287" s="191"/>
      <c r="M4287" s="191"/>
      <c r="N4287" s="191"/>
      <c r="O4287" s="191"/>
      <c r="P4287" s="191"/>
      <c r="Q4287" s="191">
        <v>2.6537775E-6</v>
      </c>
      <c r="R4287" s="191">
        <v>2.1393431498763744E-7</v>
      </c>
      <c r="S4287" s="191">
        <v>2.3770479443070826E-8</v>
      </c>
      <c r="T4287" s="191">
        <v>1.0696715749381872E-7</v>
      </c>
      <c r="U4287" s="439"/>
      <c r="V4287" s="439"/>
      <c r="W4287" s="178">
        <v>30000</v>
      </c>
      <c r="X4287" s="172">
        <f t="shared" si="6"/>
        <v>0.33333333333333331</v>
      </c>
      <c r="Y4287" s="172">
        <f t="shared" si="6"/>
        <v>0.33333333333333331</v>
      </c>
      <c r="Z4287" s="172">
        <f t="shared" si="6"/>
        <v>0.33333333333333331</v>
      </c>
      <c r="AA4287" s="195"/>
      <c r="AB4287" s="159"/>
    </row>
    <row r="4288" spans="1:28" ht="12.75" customHeight="1" x14ac:dyDescent="0.3">
      <c r="A4288" s="161">
        <v>288</v>
      </c>
      <c r="B4288" s="159" t="s">
        <v>2834</v>
      </c>
      <c r="C4288" s="160" t="s">
        <v>2835</v>
      </c>
      <c r="D4288" s="160" t="s">
        <v>620</v>
      </c>
      <c r="E4288" s="545"/>
      <c r="F4288" s="161">
        <v>70.09</v>
      </c>
      <c r="G4288" s="191"/>
      <c r="H4288" s="191">
        <v>3999.9999989999997</v>
      </c>
      <c r="I4288" s="191">
        <v>181000</v>
      </c>
      <c r="J4288" s="191"/>
      <c r="K4288" s="191">
        <v>3.9810717055349727</v>
      </c>
      <c r="L4288" s="191"/>
      <c r="M4288" s="191"/>
      <c r="N4288" s="191"/>
      <c r="O4288" s="191"/>
      <c r="P4288" s="191"/>
      <c r="Q4288" s="191">
        <v>2.71425E-5</v>
      </c>
      <c r="R4288" s="191">
        <v>5.3483578746909358E-7</v>
      </c>
      <c r="S4288" s="191">
        <v>5.9426198607677063E-8</v>
      </c>
      <c r="T4288" s="191">
        <v>2.6741789373454679E-7</v>
      </c>
      <c r="U4288" s="439"/>
      <c r="V4288" s="439"/>
      <c r="W4288" s="178">
        <v>30000</v>
      </c>
      <c r="X4288" s="172">
        <f t="shared" si="6"/>
        <v>0.33333333333333331</v>
      </c>
      <c r="Y4288" s="172">
        <f t="shared" si="6"/>
        <v>0.33333333333333331</v>
      </c>
      <c r="Z4288" s="172">
        <f t="shared" si="6"/>
        <v>0.33333333333333331</v>
      </c>
      <c r="AA4288" s="195"/>
      <c r="AB4288" s="159"/>
    </row>
    <row r="4289" spans="1:28" ht="12.75" customHeight="1" x14ac:dyDescent="0.3">
      <c r="A4289" s="161">
        <v>289</v>
      </c>
      <c r="B4289" s="159" t="s">
        <v>2852</v>
      </c>
      <c r="C4289" s="160" t="s">
        <v>2853</v>
      </c>
      <c r="D4289" s="160" t="s">
        <v>620</v>
      </c>
      <c r="E4289" s="545"/>
      <c r="F4289" s="161">
        <v>130.18</v>
      </c>
      <c r="G4289" s="191"/>
      <c r="H4289" s="191">
        <v>0.26266666660099997</v>
      </c>
      <c r="I4289" s="191">
        <v>27170</v>
      </c>
      <c r="J4289" s="191"/>
      <c r="K4289" s="191">
        <v>4.1686938347033546</v>
      </c>
      <c r="L4289" s="191"/>
      <c r="M4289" s="191"/>
      <c r="N4289" s="191"/>
      <c r="O4289" s="191"/>
      <c r="P4289" s="191"/>
      <c r="Q4289" s="191">
        <v>4.261842E-5</v>
      </c>
      <c r="R4289" s="191">
        <v>5.3483578746909358E-7</v>
      </c>
      <c r="S4289" s="191">
        <v>5.9426198607677063E-8</v>
      </c>
      <c r="T4289" s="191">
        <v>2.6741789373454679E-7</v>
      </c>
      <c r="U4289" s="439"/>
      <c r="V4289" s="439"/>
      <c r="W4289" s="178">
        <v>30000</v>
      </c>
      <c r="X4289" s="172">
        <f t="shared" si="6"/>
        <v>0.33333333333333331</v>
      </c>
      <c r="Y4289" s="172">
        <f t="shared" si="6"/>
        <v>0.33333333333333331</v>
      </c>
      <c r="Z4289" s="172">
        <f t="shared" si="6"/>
        <v>0.33333333333333331</v>
      </c>
      <c r="AA4289" s="195"/>
      <c r="AB4289" s="159"/>
    </row>
    <row r="4290" spans="1:28" ht="12.75" customHeight="1" x14ac:dyDescent="0.3">
      <c r="A4290" s="161">
        <v>290</v>
      </c>
      <c r="B4290" s="159" t="s">
        <v>2802</v>
      </c>
      <c r="C4290" s="160" t="s">
        <v>2803</v>
      </c>
      <c r="D4290" s="160" t="s">
        <v>620</v>
      </c>
      <c r="E4290" s="545"/>
      <c r="F4290" s="161">
        <v>190.03</v>
      </c>
      <c r="G4290" s="191"/>
      <c r="H4290" s="191">
        <v>6.3333333317499999E-4</v>
      </c>
      <c r="I4290" s="191">
        <v>2730</v>
      </c>
      <c r="J4290" s="191"/>
      <c r="K4290" s="191">
        <v>5.8884365535558905</v>
      </c>
      <c r="L4290" s="191"/>
      <c r="M4290" s="191"/>
      <c r="N4290" s="191"/>
      <c r="O4290" s="191"/>
      <c r="P4290" s="191"/>
      <c r="Q4290" s="191">
        <v>2.1596924999999997E-6</v>
      </c>
      <c r="R4290" s="191">
        <v>2.1393431498763744E-7</v>
      </c>
      <c r="S4290" s="191">
        <v>2.3770479443070826E-8</v>
      </c>
      <c r="T4290" s="191">
        <v>5.8260979027134387E-8</v>
      </c>
      <c r="U4290" s="439"/>
      <c r="V4290" s="439"/>
      <c r="W4290" s="178">
        <v>30000</v>
      </c>
      <c r="X4290" s="172">
        <f t="shared" si="6"/>
        <v>0.33333333333333331</v>
      </c>
      <c r="Y4290" s="172">
        <f t="shared" si="6"/>
        <v>0.33333333333333331</v>
      </c>
      <c r="Z4290" s="172">
        <f t="shared" si="6"/>
        <v>0.33333333333333331</v>
      </c>
      <c r="AA4290" s="195"/>
      <c r="AB4290" s="159"/>
    </row>
    <row r="4291" spans="1:28" ht="12.75" customHeight="1" x14ac:dyDescent="0.3">
      <c r="A4291" s="161">
        <v>291</v>
      </c>
      <c r="B4291" s="159" t="s">
        <v>2467</v>
      </c>
      <c r="C4291" s="160" t="s">
        <v>2468</v>
      </c>
      <c r="D4291" s="160" t="s">
        <v>620</v>
      </c>
      <c r="E4291" s="545"/>
      <c r="F4291" s="161">
        <v>120.23</v>
      </c>
      <c r="G4291" s="191"/>
      <c r="H4291" s="191">
        <v>106.66666664</v>
      </c>
      <c r="I4291" s="191">
        <v>3000</v>
      </c>
      <c r="J4291" s="191"/>
      <c r="K4291" s="191">
        <v>5.8884365535558905</v>
      </c>
      <c r="L4291" s="191"/>
      <c r="M4291" s="191"/>
      <c r="N4291" s="191"/>
      <c r="O4291" s="191"/>
      <c r="P4291" s="191"/>
      <c r="Q4291" s="191">
        <v>2.9432392499999999E-5</v>
      </c>
      <c r="R4291" s="191">
        <v>5.3483578746909358E-7</v>
      </c>
      <c r="S4291" s="191">
        <v>5.9426198607677063E-8</v>
      </c>
      <c r="T4291" s="191">
        <v>2.6741789373454679E-7</v>
      </c>
      <c r="U4291" s="439"/>
      <c r="V4291" s="439"/>
      <c r="W4291" s="178">
        <v>30000</v>
      </c>
      <c r="X4291" s="172">
        <f t="shared" si="6"/>
        <v>0.33333333333333331</v>
      </c>
      <c r="Y4291" s="172">
        <f t="shared" si="6"/>
        <v>0.33333333333333331</v>
      </c>
      <c r="Z4291" s="172">
        <f t="shared" si="6"/>
        <v>0.33333333333333331</v>
      </c>
      <c r="AA4291" s="195"/>
      <c r="AB4291" s="159"/>
    </row>
    <row r="4292" spans="1:28" ht="12.75" customHeight="1" x14ac:dyDescent="0.3">
      <c r="A4292" s="161">
        <v>292</v>
      </c>
      <c r="B4292" s="159" t="s">
        <v>2414</v>
      </c>
      <c r="C4292" s="160" t="s">
        <v>2415</v>
      </c>
      <c r="D4292" s="160" t="s">
        <v>620</v>
      </c>
      <c r="E4292" s="545"/>
      <c r="F4292" s="161">
        <v>351.03</v>
      </c>
      <c r="G4292" s="191"/>
      <c r="H4292" s="191">
        <v>0.40133333323299997</v>
      </c>
      <c r="I4292" s="191">
        <v>6</v>
      </c>
      <c r="J4292" s="191"/>
      <c r="K4292" s="191">
        <v>6.4565422903465572</v>
      </c>
      <c r="L4292" s="191"/>
      <c r="M4292" s="191"/>
      <c r="N4292" s="191"/>
      <c r="O4292" s="191"/>
      <c r="P4292" s="191"/>
      <c r="Q4292" s="191">
        <v>2.1389265E-5</v>
      </c>
      <c r="R4292" s="191">
        <v>5.3483578746909358E-7</v>
      </c>
      <c r="S4292" s="191">
        <v>5.9426198607677063E-8</v>
      </c>
      <c r="T4292" s="191">
        <v>2.6741789373454679E-7</v>
      </c>
      <c r="U4292" s="439"/>
      <c r="V4292" s="439"/>
      <c r="W4292" s="178">
        <v>30000</v>
      </c>
      <c r="X4292" s="172">
        <f t="shared" si="6"/>
        <v>0.33333333333333331</v>
      </c>
      <c r="Y4292" s="172">
        <f t="shared" si="6"/>
        <v>0.33333333333333331</v>
      </c>
      <c r="Z4292" s="172">
        <f t="shared" si="6"/>
        <v>0.33333333333333331</v>
      </c>
      <c r="AA4292" s="195"/>
      <c r="AB4292" s="159"/>
    </row>
    <row r="4293" spans="1:28" ht="12.75" customHeight="1" x14ac:dyDescent="0.3">
      <c r="A4293" s="161">
        <v>293</v>
      </c>
      <c r="B4293" s="159" t="s">
        <v>2418</v>
      </c>
      <c r="C4293" s="160" t="s">
        <v>1584</v>
      </c>
      <c r="D4293" s="160" t="s">
        <v>620</v>
      </c>
      <c r="E4293" s="545"/>
      <c r="F4293" s="161">
        <v>118.18</v>
      </c>
      <c r="G4293" s="191"/>
      <c r="H4293" s="191">
        <v>117.33333330399999</v>
      </c>
      <c r="I4293" s="191">
        <v>1000000</v>
      </c>
      <c r="J4293" s="191"/>
      <c r="K4293" s="191">
        <v>6.7608297539198183</v>
      </c>
      <c r="L4293" s="191"/>
      <c r="M4293" s="191"/>
      <c r="N4293" s="191"/>
      <c r="O4293" s="191"/>
      <c r="P4293" s="191"/>
      <c r="Q4293" s="191">
        <v>1.3949999999999999E-5</v>
      </c>
      <c r="R4293" s="191">
        <v>9.2532143160742838E-7</v>
      </c>
      <c r="S4293" s="191">
        <v>1.0281349240082538E-7</v>
      </c>
      <c r="T4293" s="191">
        <v>4.6266071580371419E-7</v>
      </c>
      <c r="U4293" s="439"/>
      <c r="V4293" s="439"/>
      <c r="W4293" s="178">
        <v>30000</v>
      </c>
      <c r="X4293" s="172">
        <f t="shared" si="6"/>
        <v>0.33333333333333331</v>
      </c>
      <c r="Y4293" s="172">
        <f t="shared" si="6"/>
        <v>0.33333333333333331</v>
      </c>
      <c r="Z4293" s="172">
        <f t="shared" si="6"/>
        <v>0.33333333333333331</v>
      </c>
      <c r="AA4293" s="195"/>
      <c r="AB4293" s="159"/>
    </row>
    <row r="4294" spans="1:28" ht="12.75" customHeight="1" x14ac:dyDescent="0.3">
      <c r="A4294" s="161">
        <v>294</v>
      </c>
      <c r="B4294" s="159" t="s">
        <v>2690</v>
      </c>
      <c r="C4294" s="160" t="s">
        <v>2691</v>
      </c>
      <c r="D4294" s="160" t="s">
        <v>620</v>
      </c>
      <c r="E4294" s="545"/>
      <c r="F4294" s="161">
        <v>88.11</v>
      </c>
      <c r="G4294" s="191"/>
      <c r="H4294" s="191">
        <v>11199.999997199999</v>
      </c>
      <c r="I4294" s="191">
        <v>62400</v>
      </c>
      <c r="J4294" s="191"/>
      <c r="K4294" s="191">
        <v>6.9183097091893666</v>
      </c>
      <c r="L4294" s="191"/>
      <c r="M4294" s="191"/>
      <c r="N4294" s="191"/>
      <c r="O4294" s="191"/>
      <c r="P4294" s="191"/>
      <c r="Q4294" s="191">
        <v>7.5000000000000002E-7</v>
      </c>
      <c r="R4294" s="191">
        <v>5.3483578746909358E-7</v>
      </c>
      <c r="S4294" s="191">
        <v>5.9426198607677063E-8</v>
      </c>
      <c r="T4294" s="191">
        <v>2.6741789373454679E-7</v>
      </c>
      <c r="U4294" s="439"/>
      <c r="V4294" s="439"/>
      <c r="W4294" s="178">
        <v>30000</v>
      </c>
      <c r="X4294" s="172">
        <f t="shared" si="6"/>
        <v>0.33333333333333331</v>
      </c>
      <c r="Y4294" s="172">
        <f t="shared" si="6"/>
        <v>0.33333333333333331</v>
      </c>
      <c r="Z4294" s="172">
        <f t="shared" si="6"/>
        <v>0.33333333333333331</v>
      </c>
      <c r="AA4294" s="195"/>
      <c r="AB4294" s="159"/>
    </row>
    <row r="4295" spans="1:28" ht="12.75" customHeight="1" x14ac:dyDescent="0.3">
      <c r="A4295" s="161">
        <v>295</v>
      </c>
      <c r="B4295" s="159" t="s">
        <v>2648</v>
      </c>
      <c r="C4295" s="160" t="s">
        <v>2649</v>
      </c>
      <c r="D4295" s="160" t="s">
        <v>620</v>
      </c>
      <c r="E4295" s="545"/>
      <c r="F4295" s="161">
        <v>365.41</v>
      </c>
      <c r="G4295" s="191"/>
      <c r="H4295" s="191">
        <v>6.2533333317699999E-15</v>
      </c>
      <c r="I4295" s="191">
        <v>4000</v>
      </c>
      <c r="J4295" s="191"/>
      <c r="K4295" s="191">
        <v>7.4131024130091765</v>
      </c>
      <c r="L4295" s="191"/>
      <c r="M4295" s="191"/>
      <c r="N4295" s="191"/>
      <c r="O4295" s="191"/>
      <c r="P4295" s="191"/>
      <c r="Q4295" s="191">
        <v>1.0420583999999999E-4</v>
      </c>
      <c r="R4295" s="191">
        <v>2.1393431498763744E-7</v>
      </c>
      <c r="S4295" s="191">
        <v>2.3770479443070826E-8</v>
      </c>
      <c r="T4295" s="191">
        <v>3.4880594834940877E-5</v>
      </c>
      <c r="U4295" s="439"/>
      <c r="V4295" s="439"/>
      <c r="W4295" s="178">
        <v>30000</v>
      </c>
      <c r="X4295" s="172">
        <f t="shared" si="6"/>
        <v>0.33333333333333331</v>
      </c>
      <c r="Y4295" s="172">
        <f t="shared" si="6"/>
        <v>0.33333333333333331</v>
      </c>
      <c r="Z4295" s="172">
        <f t="shared" si="6"/>
        <v>0.33333333333333331</v>
      </c>
      <c r="AA4295" s="195"/>
      <c r="AB4295" s="159"/>
    </row>
    <row r="4296" spans="1:28" ht="12.75" customHeight="1" x14ac:dyDescent="0.3">
      <c r="A4296" s="161">
        <v>296</v>
      </c>
      <c r="B4296" s="159" t="s">
        <v>2734</v>
      </c>
      <c r="C4296" s="160" t="s">
        <v>2735</v>
      </c>
      <c r="D4296" s="160" t="s">
        <v>620</v>
      </c>
      <c r="E4296" s="545"/>
      <c r="F4296" s="161">
        <v>166.2</v>
      </c>
      <c r="G4296" s="191"/>
      <c r="H4296" s="191">
        <v>0.13733333329899999</v>
      </c>
      <c r="I4296" s="191">
        <v>11360</v>
      </c>
      <c r="J4296" s="191"/>
      <c r="K4296" s="191">
        <v>7.5857757502918375</v>
      </c>
      <c r="L4296" s="191"/>
      <c r="M4296" s="191"/>
      <c r="N4296" s="191"/>
      <c r="O4296" s="191"/>
      <c r="P4296" s="191"/>
      <c r="Q4296" s="191">
        <v>4.2593940000000002E-5</v>
      </c>
      <c r="R4296" s="191">
        <v>5.3483578746909358E-7</v>
      </c>
      <c r="S4296" s="191">
        <v>5.9426198607677063E-8</v>
      </c>
      <c r="T4296" s="191">
        <v>2.6741789373454679E-7</v>
      </c>
      <c r="U4296" s="439"/>
      <c r="V4296" s="439"/>
      <c r="W4296" s="178">
        <v>30000</v>
      </c>
      <c r="X4296" s="172">
        <f t="shared" si="6"/>
        <v>0.33333333333333331</v>
      </c>
      <c r="Y4296" s="172">
        <f t="shared" si="6"/>
        <v>0.33333333333333331</v>
      </c>
      <c r="Z4296" s="172">
        <f t="shared" si="6"/>
        <v>0.33333333333333331</v>
      </c>
      <c r="AA4296" s="195"/>
      <c r="AB4296" s="159"/>
    </row>
    <row r="4297" spans="1:28" ht="12.75" customHeight="1" x14ac:dyDescent="0.3">
      <c r="A4297" s="161">
        <v>297</v>
      </c>
      <c r="B4297" s="159" t="s">
        <v>2438</v>
      </c>
      <c r="C4297" s="160" t="s">
        <v>1590</v>
      </c>
      <c r="D4297" s="160" t="s">
        <v>620</v>
      </c>
      <c r="E4297" s="545"/>
      <c r="F4297" s="161">
        <v>88.15</v>
      </c>
      <c r="G4297" s="191"/>
      <c r="H4297" s="191">
        <v>33333.333325</v>
      </c>
      <c r="I4297" s="191">
        <v>51000</v>
      </c>
      <c r="J4297" s="191"/>
      <c r="K4297" s="191">
        <v>8.709635899560805</v>
      </c>
      <c r="L4297" s="191"/>
      <c r="M4297" s="191"/>
      <c r="N4297" s="191"/>
      <c r="O4297" s="191"/>
      <c r="P4297" s="191"/>
      <c r="Q4297" s="191">
        <v>2.2050000000000001E-6</v>
      </c>
      <c r="R4297" s="191">
        <v>5.3483578746909358E-7</v>
      </c>
      <c r="S4297" s="191">
        <v>5.9426198607677063E-8</v>
      </c>
      <c r="T4297" s="191">
        <v>2.6741789373454679E-7</v>
      </c>
      <c r="U4297" s="439"/>
      <c r="V4297" s="439"/>
      <c r="W4297" s="178">
        <v>30000</v>
      </c>
      <c r="X4297" s="172">
        <f t="shared" si="6"/>
        <v>0.33333333333333331</v>
      </c>
      <c r="Y4297" s="172">
        <f t="shared" si="6"/>
        <v>0.33333333333333331</v>
      </c>
      <c r="Z4297" s="172">
        <f t="shared" si="6"/>
        <v>0.33333333333333331</v>
      </c>
      <c r="AA4297" s="195"/>
      <c r="AB4297" s="159"/>
    </row>
    <row r="4298" spans="1:28" ht="12.75" customHeight="1" x14ac:dyDescent="0.3">
      <c r="A4298" s="161">
        <v>298</v>
      </c>
      <c r="B4298" s="159" t="s">
        <v>2504</v>
      </c>
      <c r="C4298" s="160" t="s">
        <v>2505</v>
      </c>
      <c r="D4298" s="160" t="s">
        <v>620</v>
      </c>
      <c r="E4298" s="545"/>
      <c r="F4298" s="161">
        <v>230.28</v>
      </c>
      <c r="G4298" s="191"/>
      <c r="H4298" s="191">
        <v>3.9999999989999993E-2</v>
      </c>
      <c r="I4298" s="191">
        <v>3300</v>
      </c>
      <c r="J4298" s="191"/>
      <c r="K4298" s="191">
        <v>10.471285480509</v>
      </c>
      <c r="L4298" s="191"/>
      <c r="M4298" s="191"/>
      <c r="N4298" s="191"/>
      <c r="O4298" s="191"/>
      <c r="P4298" s="191"/>
      <c r="Q4298" s="191">
        <v>3.5430067499999999E-5</v>
      </c>
      <c r="R4298" s="191">
        <v>5.3483578746909358E-7</v>
      </c>
      <c r="S4298" s="191">
        <v>5.9426198607677063E-8</v>
      </c>
      <c r="T4298" s="191">
        <v>2.9713099303838525E-6</v>
      </c>
      <c r="U4298" s="439"/>
      <c r="V4298" s="439"/>
      <c r="W4298" s="178">
        <v>30000</v>
      </c>
      <c r="X4298" s="172">
        <f t="shared" si="6"/>
        <v>0.33333333333333331</v>
      </c>
      <c r="Y4298" s="172">
        <f t="shared" si="6"/>
        <v>0.33333333333333331</v>
      </c>
      <c r="Z4298" s="172">
        <f t="shared" si="6"/>
        <v>0.33333333333333331</v>
      </c>
      <c r="AA4298" s="195"/>
      <c r="AB4298" s="159"/>
    </row>
    <row r="4299" spans="1:28" ht="12.75" customHeight="1" x14ac:dyDescent="0.3">
      <c r="A4299" s="161">
        <v>299</v>
      </c>
      <c r="B4299" s="159" t="s">
        <v>2434</v>
      </c>
      <c r="C4299" s="160" t="s">
        <v>2435</v>
      </c>
      <c r="D4299" s="160" t="s">
        <v>620</v>
      </c>
      <c r="E4299" s="545"/>
      <c r="F4299" s="161">
        <v>180.19</v>
      </c>
      <c r="G4299" s="191"/>
      <c r="H4299" s="191">
        <v>36.933333324099998</v>
      </c>
      <c r="I4299" s="191">
        <v>1500</v>
      </c>
      <c r="J4299" s="191"/>
      <c r="K4299" s="191">
        <v>10.715193052376069</v>
      </c>
      <c r="L4299" s="191"/>
      <c r="M4299" s="191"/>
      <c r="N4299" s="191"/>
      <c r="O4299" s="191"/>
      <c r="P4299" s="191"/>
      <c r="Q4299" s="191">
        <v>6.0258840000000003E-5</v>
      </c>
      <c r="R4299" s="191">
        <v>5.3483578746909358E-7</v>
      </c>
      <c r="S4299" s="191">
        <v>5.9426198607677063E-8</v>
      </c>
      <c r="T4299" s="191">
        <v>2.6741789373454679E-7</v>
      </c>
      <c r="U4299" s="439"/>
      <c r="V4299" s="439"/>
      <c r="W4299" s="178">
        <v>30000</v>
      </c>
      <c r="X4299" s="172">
        <f t="shared" si="6"/>
        <v>0.33333333333333331</v>
      </c>
      <c r="Y4299" s="172">
        <f t="shared" si="6"/>
        <v>0.33333333333333331</v>
      </c>
      <c r="Z4299" s="172">
        <f t="shared" si="6"/>
        <v>0.33333333333333331</v>
      </c>
      <c r="AA4299" s="195"/>
      <c r="AB4299" s="159"/>
    </row>
    <row r="4300" spans="1:28" ht="12.75" customHeight="1" x14ac:dyDescent="0.3">
      <c r="A4300" s="161">
        <v>300</v>
      </c>
      <c r="B4300" s="159" t="s">
        <v>2772</v>
      </c>
      <c r="C4300" s="160" t="s">
        <v>2773</v>
      </c>
      <c r="D4300" s="160" t="s">
        <v>620</v>
      </c>
      <c r="E4300" s="545"/>
      <c r="F4300" s="161">
        <v>72.11</v>
      </c>
      <c r="G4300" s="191"/>
      <c r="H4300" s="191">
        <v>68133.333316299992</v>
      </c>
      <c r="I4300" s="191">
        <v>10000</v>
      </c>
      <c r="J4300" s="191"/>
      <c r="K4300" s="191">
        <v>10.964781961431854</v>
      </c>
      <c r="L4300" s="191"/>
      <c r="M4300" s="191"/>
      <c r="N4300" s="191"/>
      <c r="O4300" s="191"/>
      <c r="P4300" s="191"/>
      <c r="Q4300" s="191">
        <v>3.0272550000000002E-5</v>
      </c>
      <c r="R4300" s="191">
        <v>5.3483578746909358E-7</v>
      </c>
      <c r="S4300" s="191">
        <v>5.9426198607677063E-8</v>
      </c>
      <c r="T4300" s="191">
        <v>2.6741789373454679E-7</v>
      </c>
      <c r="U4300" s="439"/>
      <c r="V4300" s="439"/>
      <c r="W4300" s="178">
        <v>30000</v>
      </c>
      <c r="X4300" s="172">
        <f t="shared" si="6"/>
        <v>0.33333333333333331</v>
      </c>
      <c r="Y4300" s="172">
        <f t="shared" si="6"/>
        <v>0.33333333333333331</v>
      </c>
      <c r="Z4300" s="172">
        <f t="shared" si="6"/>
        <v>0.33333333333333331</v>
      </c>
      <c r="AA4300" s="195"/>
      <c r="AB4300" s="159"/>
    </row>
    <row r="4301" spans="1:28" ht="12.75" customHeight="1" x14ac:dyDescent="0.3">
      <c r="A4301" s="161">
        <v>301</v>
      </c>
      <c r="B4301" s="159" t="s">
        <v>2566</v>
      </c>
      <c r="C4301" s="160" t="s">
        <v>2567</v>
      </c>
      <c r="D4301" s="160" t="s">
        <v>620</v>
      </c>
      <c r="E4301" s="545"/>
      <c r="F4301" s="161">
        <v>261.94</v>
      </c>
      <c r="G4301" s="191"/>
      <c r="H4301" s="191">
        <v>8.5599999978599995E-4</v>
      </c>
      <c r="I4301" s="191">
        <v>38000</v>
      </c>
      <c r="J4301" s="191"/>
      <c r="K4301" s="191">
        <v>11.481536214968834</v>
      </c>
      <c r="L4301" s="191"/>
      <c r="M4301" s="191"/>
      <c r="N4301" s="191"/>
      <c r="O4301" s="191"/>
      <c r="P4301" s="191"/>
      <c r="Q4301" s="191">
        <v>6.7238099999999997E-6</v>
      </c>
      <c r="R4301" s="191">
        <v>5.3483578746909358E-7</v>
      </c>
      <c r="S4301" s="191">
        <v>5.9426198607677063E-8</v>
      </c>
      <c r="T4301" s="191">
        <v>2.6741789373454679E-7</v>
      </c>
      <c r="U4301" s="439"/>
      <c r="V4301" s="439"/>
      <c r="W4301" s="178">
        <v>30000</v>
      </c>
      <c r="X4301" s="172">
        <f t="shared" si="6"/>
        <v>0.33333333333333331</v>
      </c>
      <c r="Y4301" s="172">
        <f t="shared" si="6"/>
        <v>0.33333333333333331</v>
      </c>
      <c r="Z4301" s="172">
        <f t="shared" si="6"/>
        <v>0.33333333333333331</v>
      </c>
      <c r="AA4301" s="195"/>
      <c r="AB4301" s="159"/>
    </row>
    <row r="4302" spans="1:28" ht="12.75" customHeight="1" x14ac:dyDescent="0.3">
      <c r="A4302" s="161">
        <v>302</v>
      </c>
      <c r="B4302" s="159" t="s">
        <v>2622</v>
      </c>
      <c r="C4302" s="160" t="s">
        <v>2623</v>
      </c>
      <c r="D4302" s="160" t="s">
        <v>620</v>
      </c>
      <c r="E4302" s="545"/>
      <c r="F4302" s="161">
        <v>194.62</v>
      </c>
      <c r="G4302" s="191"/>
      <c r="H4302" s="191">
        <v>15.733333329399999</v>
      </c>
      <c r="I4302" s="191">
        <v>5612</v>
      </c>
      <c r="J4302" s="191"/>
      <c r="K4302" s="191">
        <v>12.022644346174133</v>
      </c>
      <c r="L4302" s="191"/>
      <c r="M4302" s="191"/>
      <c r="N4302" s="191"/>
      <c r="O4302" s="191"/>
      <c r="P4302" s="191"/>
      <c r="Q4302" s="191">
        <v>1.7050500000000001E-6</v>
      </c>
      <c r="R4302" s="191">
        <v>5.3483578746909358E-7</v>
      </c>
      <c r="S4302" s="191">
        <v>5.9426198607677063E-8</v>
      </c>
      <c r="T4302" s="191">
        <v>2.6741789373454679E-7</v>
      </c>
      <c r="U4302" s="439"/>
      <c r="V4302" s="439"/>
      <c r="W4302" s="178">
        <v>30000</v>
      </c>
      <c r="X4302" s="172">
        <f t="shared" si="6"/>
        <v>0.33333333333333331</v>
      </c>
      <c r="Y4302" s="172">
        <f t="shared" si="6"/>
        <v>0.33333333333333331</v>
      </c>
      <c r="Z4302" s="172">
        <f t="shared" si="6"/>
        <v>0.33333333333333331</v>
      </c>
      <c r="AA4302" s="195"/>
      <c r="AB4302" s="159"/>
    </row>
    <row r="4303" spans="1:28" ht="12.75" customHeight="1" x14ac:dyDescent="0.3">
      <c r="A4303" s="161">
        <v>303</v>
      </c>
      <c r="B4303" s="159" t="s">
        <v>2502</v>
      </c>
      <c r="C4303" s="160" t="s">
        <v>2503</v>
      </c>
      <c r="D4303" s="160" t="s">
        <v>620</v>
      </c>
      <c r="E4303" s="545"/>
      <c r="F4303" s="161">
        <v>409.07</v>
      </c>
      <c r="G4303" s="191"/>
      <c r="H4303" s="191">
        <v>8.3199999979199991E-5</v>
      </c>
      <c r="I4303" s="191">
        <v>9</v>
      </c>
      <c r="J4303" s="191"/>
      <c r="K4303" s="191">
        <v>13.182567385564075</v>
      </c>
      <c r="L4303" s="191"/>
      <c r="M4303" s="191"/>
      <c r="N4303" s="191"/>
      <c r="O4303" s="191"/>
      <c r="P4303" s="191"/>
      <c r="Q4303" s="191">
        <v>4.4187675000000002E-6</v>
      </c>
      <c r="R4303" s="191">
        <v>2.1393431498763744E-7</v>
      </c>
      <c r="S4303" s="191">
        <v>2.3770479443070826E-8</v>
      </c>
      <c r="T4303" s="191">
        <v>5.73038343716886E-8</v>
      </c>
      <c r="U4303" s="439"/>
      <c r="V4303" s="439"/>
      <c r="W4303" s="178">
        <v>30000</v>
      </c>
      <c r="X4303" s="172">
        <f t="shared" si="6"/>
        <v>0.33333333333333331</v>
      </c>
      <c r="Y4303" s="172">
        <f t="shared" si="6"/>
        <v>0.33333333333333331</v>
      </c>
      <c r="Z4303" s="172">
        <f t="shared" si="6"/>
        <v>0.33333333333333331</v>
      </c>
      <c r="AA4303" s="195"/>
      <c r="AB4303" s="159"/>
    </row>
    <row r="4304" spans="1:28" ht="12.75" customHeight="1" x14ac:dyDescent="0.3">
      <c r="A4304" s="161">
        <v>304</v>
      </c>
      <c r="B4304" s="159" t="s">
        <v>2808</v>
      </c>
      <c r="C4304" s="160" t="s">
        <v>2809</v>
      </c>
      <c r="D4304" s="160" t="s">
        <v>620</v>
      </c>
      <c r="E4304" s="545"/>
      <c r="F4304" s="161">
        <v>123.54</v>
      </c>
      <c r="G4304" s="191"/>
      <c r="H4304" s="191">
        <v>185.33333328699999</v>
      </c>
      <c r="I4304" s="191">
        <v>8000</v>
      </c>
      <c r="J4304" s="191"/>
      <c r="K4304" s="191">
        <v>13.489628825916535</v>
      </c>
      <c r="L4304" s="191"/>
      <c r="M4304" s="191"/>
      <c r="N4304" s="191"/>
      <c r="O4304" s="191"/>
      <c r="P4304" s="191"/>
      <c r="Q4304" s="191">
        <v>1.4904750000000001E-7</v>
      </c>
      <c r="R4304" s="191">
        <v>5.3483578746909358E-7</v>
      </c>
      <c r="S4304" s="191">
        <v>5.9426198607677063E-8</v>
      </c>
      <c r="T4304" s="191">
        <v>2.6741789373454679E-7</v>
      </c>
      <c r="U4304" s="439"/>
      <c r="V4304" s="439"/>
      <c r="W4304" s="178">
        <v>30000</v>
      </c>
      <c r="X4304" s="172">
        <f t="shared" si="6"/>
        <v>0.33333333333333331</v>
      </c>
      <c r="Y4304" s="172">
        <f t="shared" si="6"/>
        <v>0.33333333333333331</v>
      </c>
      <c r="Z4304" s="172">
        <f t="shared" si="6"/>
        <v>0.33333333333333331</v>
      </c>
      <c r="AA4304" s="195"/>
      <c r="AB4304" s="159"/>
    </row>
    <row r="4305" spans="1:28" ht="12.75" customHeight="1" x14ac:dyDescent="0.3">
      <c r="A4305" s="161">
        <v>305</v>
      </c>
      <c r="B4305" s="159" t="s">
        <v>2786</v>
      </c>
      <c r="C4305" s="160" t="s">
        <v>2787</v>
      </c>
      <c r="D4305" s="160" t="s">
        <v>620</v>
      </c>
      <c r="E4305" s="545"/>
      <c r="F4305" s="161">
        <v>88.15</v>
      </c>
      <c r="G4305" s="191"/>
      <c r="H4305" s="191">
        <v>315.99999992099998</v>
      </c>
      <c r="I4305" s="191">
        <v>26700</v>
      </c>
      <c r="J4305" s="191"/>
      <c r="K4305" s="191">
        <v>14.454397707459275</v>
      </c>
      <c r="L4305" s="191"/>
      <c r="M4305" s="191"/>
      <c r="N4305" s="191"/>
      <c r="O4305" s="191"/>
      <c r="P4305" s="191"/>
      <c r="Q4305" s="191">
        <v>9.825E-6</v>
      </c>
      <c r="R4305" s="191">
        <v>5.3483578746909358E-7</v>
      </c>
      <c r="S4305" s="191">
        <v>5.9426198607677063E-8</v>
      </c>
      <c r="T4305" s="191">
        <v>2.6741789373454679E-7</v>
      </c>
      <c r="U4305" s="439"/>
      <c r="V4305" s="439"/>
      <c r="W4305" s="178">
        <v>30000</v>
      </c>
      <c r="X4305" s="172">
        <f t="shared" si="6"/>
        <v>0.33333333333333331</v>
      </c>
      <c r="Y4305" s="172">
        <f t="shared" si="6"/>
        <v>0.33333333333333331</v>
      </c>
      <c r="Z4305" s="172">
        <f t="shared" si="6"/>
        <v>0.33333333333333331</v>
      </c>
      <c r="AA4305" s="195"/>
      <c r="AB4305" s="159"/>
    </row>
    <row r="4306" spans="1:28" ht="12.75" customHeight="1" x14ac:dyDescent="0.3">
      <c r="A4306" s="161">
        <v>306</v>
      </c>
      <c r="B4306" s="159" t="s">
        <v>2539</v>
      </c>
      <c r="C4306" s="160" t="s">
        <v>2540</v>
      </c>
      <c r="D4306" s="160" t="s">
        <v>620</v>
      </c>
      <c r="E4306" s="545"/>
      <c r="F4306" s="161">
        <v>258.06</v>
      </c>
      <c r="G4306" s="191"/>
      <c r="H4306" s="191">
        <v>2.7333333326499999E-2</v>
      </c>
      <c r="I4306" s="191">
        <v>7018</v>
      </c>
      <c r="J4306" s="191"/>
      <c r="K4306" s="191">
        <v>14.454397707459275</v>
      </c>
      <c r="L4306" s="191"/>
      <c r="M4306" s="191"/>
      <c r="N4306" s="191"/>
      <c r="O4306" s="191"/>
      <c r="P4306" s="191"/>
      <c r="Q4306" s="191">
        <v>2.0123227499999999E-5</v>
      </c>
      <c r="R4306" s="191">
        <v>5.3483578746909358E-7</v>
      </c>
      <c r="S4306" s="191">
        <v>5.9426198607677063E-8</v>
      </c>
      <c r="T4306" s="191">
        <v>2.6741789373454679E-7</v>
      </c>
      <c r="U4306" s="439"/>
      <c r="V4306" s="439"/>
      <c r="W4306" s="178">
        <v>30000</v>
      </c>
      <c r="X4306" s="172">
        <f t="shared" si="6"/>
        <v>0.33333333333333331</v>
      </c>
      <c r="Y4306" s="172">
        <f t="shared" si="6"/>
        <v>0.33333333333333331</v>
      </c>
      <c r="Z4306" s="172">
        <f t="shared" si="6"/>
        <v>0.33333333333333331</v>
      </c>
      <c r="AA4306" s="195"/>
      <c r="AB4306" s="159"/>
    </row>
    <row r="4307" spans="1:28" ht="12.75" customHeight="1" x14ac:dyDescent="0.3">
      <c r="A4307" s="161">
        <v>307</v>
      </c>
      <c r="B4307" s="159" t="s">
        <v>2710</v>
      </c>
      <c r="C4307" s="160" t="s">
        <v>2711</v>
      </c>
      <c r="D4307" s="160" t="s">
        <v>620</v>
      </c>
      <c r="E4307" s="545"/>
      <c r="F4307" s="161">
        <v>148.12</v>
      </c>
      <c r="G4307" s="191"/>
      <c r="H4307" s="191">
        <v>0.1023999999744</v>
      </c>
      <c r="I4307" s="191">
        <v>1714</v>
      </c>
      <c r="J4307" s="191"/>
      <c r="K4307" s="191">
        <v>14.791083881682074</v>
      </c>
      <c r="L4307" s="191"/>
      <c r="M4307" s="191"/>
      <c r="N4307" s="191"/>
      <c r="O4307" s="191"/>
      <c r="P4307" s="191"/>
      <c r="Q4307" s="191">
        <v>3.22725E-8</v>
      </c>
      <c r="R4307" s="191">
        <v>2.1393431498763744E-7</v>
      </c>
      <c r="S4307" s="191">
        <v>2.3770479443070826E-8</v>
      </c>
      <c r="T4307" s="191">
        <v>1.0696715749381872E-7</v>
      </c>
      <c r="U4307" s="439"/>
      <c r="V4307" s="439"/>
      <c r="W4307" s="178">
        <v>30000</v>
      </c>
      <c r="X4307" s="172">
        <f t="shared" si="6"/>
        <v>0.33333333333333331</v>
      </c>
      <c r="Y4307" s="172">
        <f t="shared" si="6"/>
        <v>0.33333333333333331</v>
      </c>
      <c r="Z4307" s="172">
        <f t="shared" si="6"/>
        <v>0.33333333333333331</v>
      </c>
      <c r="AA4307" s="195"/>
      <c r="AB4307" s="159"/>
    </row>
    <row r="4308" spans="1:28" ht="12.75" customHeight="1" x14ac:dyDescent="0.3">
      <c r="A4308" s="161">
        <v>308</v>
      </c>
      <c r="B4308" s="159" t="s">
        <v>2822</v>
      </c>
      <c r="C4308" s="160" t="s">
        <v>2823</v>
      </c>
      <c r="D4308" s="160" t="s">
        <v>620</v>
      </c>
      <c r="E4308" s="545"/>
      <c r="F4308" s="161">
        <v>88.15</v>
      </c>
      <c r="G4308" s="191"/>
      <c r="H4308" s="191">
        <v>814.66666646299996</v>
      </c>
      <c r="I4308" s="191">
        <v>44600</v>
      </c>
      <c r="J4308" s="191"/>
      <c r="K4308" s="191">
        <v>15.488166189124817</v>
      </c>
      <c r="L4308" s="191"/>
      <c r="M4308" s="191"/>
      <c r="N4308" s="191"/>
      <c r="O4308" s="191"/>
      <c r="P4308" s="191"/>
      <c r="Q4308" s="191">
        <v>8.85E-6</v>
      </c>
      <c r="R4308" s="191">
        <v>5.3483578746909358E-7</v>
      </c>
      <c r="S4308" s="191">
        <v>5.9426198607677063E-8</v>
      </c>
      <c r="T4308" s="191">
        <v>2.6741789373454679E-7</v>
      </c>
      <c r="U4308" s="439"/>
      <c r="V4308" s="439"/>
      <c r="W4308" s="178">
        <v>30000</v>
      </c>
      <c r="X4308" s="172">
        <f t="shared" si="6"/>
        <v>0.33333333333333331</v>
      </c>
      <c r="Y4308" s="172">
        <f t="shared" si="6"/>
        <v>0.33333333333333331</v>
      </c>
      <c r="Z4308" s="172">
        <f t="shared" si="6"/>
        <v>0.33333333333333331</v>
      </c>
      <c r="AA4308" s="195"/>
      <c r="AB4308" s="159"/>
    </row>
    <row r="4309" spans="1:28" ht="12.75" customHeight="1" x14ac:dyDescent="0.3">
      <c r="A4309" s="161">
        <v>309</v>
      </c>
      <c r="B4309" s="159" t="s">
        <v>2531</v>
      </c>
      <c r="C4309" s="160" t="s">
        <v>2532</v>
      </c>
      <c r="D4309" s="160" t="s">
        <v>620</v>
      </c>
      <c r="E4309" s="545"/>
      <c r="F4309" s="161">
        <v>222.24</v>
      </c>
      <c r="G4309" s="191"/>
      <c r="H4309" s="191">
        <v>0.1042666666406</v>
      </c>
      <c r="I4309" s="191">
        <v>2957</v>
      </c>
      <c r="J4309" s="191"/>
      <c r="K4309" s="191">
        <v>16.982436524617448</v>
      </c>
      <c r="L4309" s="191"/>
      <c r="M4309" s="191"/>
      <c r="N4309" s="191"/>
      <c r="O4309" s="191"/>
      <c r="P4309" s="191"/>
      <c r="Q4309" s="191">
        <v>1.6125903750000001E-4</v>
      </c>
      <c r="R4309" s="191">
        <v>2.1393431498763744E-7</v>
      </c>
      <c r="S4309" s="191">
        <v>2.3770479443070826E-8</v>
      </c>
      <c r="T4309" s="191">
        <v>1.0696715749381872E-7</v>
      </c>
      <c r="U4309" s="439"/>
      <c r="V4309" s="439"/>
      <c r="W4309" s="178">
        <v>30000</v>
      </c>
      <c r="X4309" s="172">
        <f t="shared" si="6"/>
        <v>0.33333333333333331</v>
      </c>
      <c r="Y4309" s="172">
        <f t="shared" si="6"/>
        <v>0.33333333333333331</v>
      </c>
      <c r="Z4309" s="172">
        <f t="shared" si="6"/>
        <v>0.33333333333333331</v>
      </c>
      <c r="AA4309" s="195"/>
      <c r="AB4309" s="159"/>
    </row>
    <row r="4310" spans="1:28" ht="12.75" customHeight="1" x14ac:dyDescent="0.3">
      <c r="A4310" s="161">
        <v>310</v>
      </c>
      <c r="B4310" s="159" t="s">
        <v>2614</v>
      </c>
      <c r="C4310" s="160" t="s">
        <v>2615</v>
      </c>
      <c r="D4310" s="160" t="s">
        <v>620</v>
      </c>
      <c r="E4310" s="545"/>
      <c r="F4310" s="161">
        <v>114.55</v>
      </c>
      <c r="G4310" s="191"/>
      <c r="H4310" s="191">
        <v>305.33333325699999</v>
      </c>
      <c r="I4310" s="191">
        <v>8591</v>
      </c>
      <c r="J4310" s="191"/>
      <c r="K4310" s="191">
        <v>18.62087136662868</v>
      </c>
      <c r="L4310" s="191"/>
      <c r="M4310" s="191"/>
      <c r="N4310" s="191"/>
      <c r="O4310" s="191"/>
      <c r="P4310" s="191"/>
      <c r="Q4310" s="191">
        <v>7.9560000000000006E-7</v>
      </c>
      <c r="R4310" s="191">
        <v>5.3483578746909358E-7</v>
      </c>
      <c r="S4310" s="191">
        <v>5.9426198607677063E-8</v>
      </c>
      <c r="T4310" s="191">
        <v>2.6741789373454679E-7</v>
      </c>
      <c r="U4310" s="439"/>
      <c r="V4310" s="439"/>
      <c r="W4310" s="178">
        <v>30000</v>
      </c>
      <c r="X4310" s="172">
        <f t="shared" si="6"/>
        <v>0.33333333333333331</v>
      </c>
      <c r="Y4310" s="172">
        <f t="shared" si="6"/>
        <v>0.33333333333333331</v>
      </c>
      <c r="Z4310" s="172">
        <f t="shared" si="6"/>
        <v>0.33333333333333331</v>
      </c>
      <c r="AA4310" s="195"/>
      <c r="AB4310" s="159"/>
    </row>
    <row r="4311" spans="1:28" ht="12.75" customHeight="1" x14ac:dyDescent="0.3">
      <c r="A4311" s="161">
        <v>311</v>
      </c>
      <c r="B4311" s="159" t="s">
        <v>2455</v>
      </c>
      <c r="C4311" s="160" t="s">
        <v>2456</v>
      </c>
      <c r="D4311" s="160" t="s">
        <v>620</v>
      </c>
      <c r="E4311" s="545"/>
      <c r="F4311" s="161">
        <v>380.79</v>
      </c>
      <c r="G4311" s="191"/>
      <c r="H4311" s="191">
        <v>2.6666666660000001E-2</v>
      </c>
      <c r="I4311" s="191">
        <v>1.5</v>
      </c>
      <c r="J4311" s="191"/>
      <c r="K4311" s="191">
        <v>23.988329190194907</v>
      </c>
      <c r="L4311" s="191"/>
      <c r="M4311" s="191"/>
      <c r="N4311" s="191"/>
      <c r="O4311" s="191"/>
      <c r="P4311" s="191"/>
      <c r="Q4311" s="191">
        <v>4.7582700000000003E-6</v>
      </c>
      <c r="R4311" s="191">
        <v>1.3370894686727339E-7</v>
      </c>
      <c r="S4311" s="191">
        <v>1.4856549651919266E-8</v>
      </c>
      <c r="T4311" s="191">
        <v>8.0225368120364038E-6</v>
      </c>
      <c r="U4311" s="439"/>
      <c r="V4311" s="439"/>
      <c r="W4311" s="178">
        <v>30000</v>
      </c>
      <c r="X4311" s="172">
        <f t="shared" si="6"/>
        <v>0.33333333333333331</v>
      </c>
      <c r="Y4311" s="172">
        <f t="shared" si="6"/>
        <v>0.33333333333333331</v>
      </c>
      <c r="Z4311" s="172">
        <f t="shared" si="6"/>
        <v>0.33333333333333331</v>
      </c>
      <c r="AA4311" s="195"/>
      <c r="AB4311" s="159"/>
    </row>
    <row r="4312" spans="1:28" ht="12.75" customHeight="1" x14ac:dyDescent="0.3">
      <c r="A4312" s="161">
        <v>312</v>
      </c>
      <c r="B4312" s="159" t="s">
        <v>2642</v>
      </c>
      <c r="C4312" s="160" t="s">
        <v>2643</v>
      </c>
      <c r="D4312" s="160" t="s">
        <v>620</v>
      </c>
      <c r="E4312" s="545"/>
      <c r="F4312" s="161">
        <v>244.08</v>
      </c>
      <c r="G4312" s="191"/>
      <c r="H4312" s="191">
        <v>8.1199999979699993E-6</v>
      </c>
      <c r="I4312" s="191">
        <v>1626</v>
      </c>
      <c r="J4312" s="191"/>
      <c r="K4312" s="191">
        <v>25.118864315095799</v>
      </c>
      <c r="L4312" s="191"/>
      <c r="M4312" s="191"/>
      <c r="N4312" s="191"/>
      <c r="O4312" s="191"/>
      <c r="P4312" s="191"/>
      <c r="Q4312" s="191">
        <v>7.2309749999999998E-6</v>
      </c>
      <c r="R4312" s="191">
        <v>1.3370894686727339E-7</v>
      </c>
      <c r="S4312" s="191">
        <v>1.4856549651919266E-8</v>
      </c>
      <c r="T4312" s="191">
        <v>6.6854473433636697E-8</v>
      </c>
      <c r="U4312" s="439"/>
      <c r="V4312" s="439"/>
      <c r="W4312" s="178">
        <v>30000</v>
      </c>
      <c r="X4312" s="172">
        <f t="shared" si="6"/>
        <v>0.33333333333333331</v>
      </c>
      <c r="Y4312" s="172">
        <f t="shared" si="6"/>
        <v>0.33333333333333331</v>
      </c>
      <c r="Z4312" s="172">
        <f t="shared" si="6"/>
        <v>0.33333333333333331</v>
      </c>
      <c r="AA4312" s="195"/>
      <c r="AB4312" s="159"/>
    </row>
    <row r="4313" spans="1:28" ht="12.75" customHeight="1" x14ac:dyDescent="0.3">
      <c r="A4313" s="161">
        <v>313</v>
      </c>
      <c r="B4313" s="159" t="s">
        <v>2766</v>
      </c>
      <c r="C4313" s="160" t="s">
        <v>2767</v>
      </c>
      <c r="D4313" s="160" t="s">
        <v>620</v>
      </c>
      <c r="E4313" s="545"/>
      <c r="F4313" s="161">
        <v>168.11</v>
      </c>
      <c r="G4313" s="191"/>
      <c r="H4313" s="191">
        <v>8.7199999978199993E-3</v>
      </c>
      <c r="I4313" s="191">
        <v>69</v>
      </c>
      <c r="J4313" s="191"/>
      <c r="K4313" s="191">
        <v>28.840315031266066</v>
      </c>
      <c r="L4313" s="191"/>
      <c r="M4313" s="191"/>
      <c r="N4313" s="191"/>
      <c r="O4313" s="191"/>
      <c r="P4313" s="191"/>
      <c r="Q4313" s="191">
        <v>1.5967500000000001E-8</v>
      </c>
      <c r="R4313" s="191">
        <v>2.1393431498763744E-7</v>
      </c>
      <c r="S4313" s="191">
        <v>2.3770479443070826E-8</v>
      </c>
      <c r="T4313" s="191">
        <v>1.0696715749381872E-7</v>
      </c>
      <c r="U4313" s="439"/>
      <c r="V4313" s="439"/>
      <c r="W4313" s="178">
        <v>30000</v>
      </c>
      <c r="X4313" s="172">
        <f t="shared" si="6"/>
        <v>0.33333333333333331</v>
      </c>
      <c r="Y4313" s="172">
        <f t="shared" si="6"/>
        <v>0.33333333333333331</v>
      </c>
      <c r="Z4313" s="172">
        <f t="shared" si="6"/>
        <v>0.33333333333333331</v>
      </c>
      <c r="AA4313" s="195"/>
      <c r="AB4313" s="159"/>
    </row>
    <row r="4314" spans="1:28" ht="12.75" customHeight="1" x14ac:dyDescent="0.3">
      <c r="A4314" s="161">
        <v>314</v>
      </c>
      <c r="B4314" s="159" t="s">
        <v>2545</v>
      </c>
      <c r="C4314" s="160" t="s">
        <v>2546</v>
      </c>
      <c r="D4314" s="160" t="s">
        <v>620</v>
      </c>
      <c r="E4314" s="545"/>
      <c r="F4314" s="161">
        <v>103.12</v>
      </c>
      <c r="G4314" s="191"/>
      <c r="H4314" s="191">
        <v>505.33333320699995</v>
      </c>
      <c r="I4314" s="191">
        <v>4600</v>
      </c>
      <c r="J4314" s="191"/>
      <c r="K4314" s="191">
        <v>29.512092266663863</v>
      </c>
      <c r="L4314" s="191"/>
      <c r="M4314" s="191"/>
      <c r="N4314" s="191"/>
      <c r="O4314" s="191"/>
      <c r="P4314" s="191"/>
      <c r="Q4314" s="191">
        <v>1.125E-6</v>
      </c>
      <c r="R4314" s="191">
        <v>9.2532143160742838E-7</v>
      </c>
      <c r="S4314" s="191">
        <v>1.0281349240082538E-7</v>
      </c>
      <c r="T4314" s="191">
        <v>4.6266071580371419E-7</v>
      </c>
      <c r="U4314" s="439"/>
      <c r="V4314" s="439"/>
      <c r="W4314" s="178">
        <v>30000</v>
      </c>
      <c r="X4314" s="172">
        <f t="shared" si="6"/>
        <v>0.33333333333333331</v>
      </c>
      <c r="Y4314" s="172">
        <f t="shared" si="6"/>
        <v>0.33333333333333331</v>
      </c>
      <c r="Z4314" s="172">
        <f t="shared" si="6"/>
        <v>0.33333333333333331</v>
      </c>
      <c r="AA4314" s="195"/>
      <c r="AB4314" s="159"/>
    </row>
    <row r="4315" spans="1:28" ht="12.75" customHeight="1" x14ac:dyDescent="0.3">
      <c r="A4315" s="161">
        <v>315</v>
      </c>
      <c r="B4315" s="159" t="s">
        <v>2746</v>
      </c>
      <c r="C4315" s="160" t="s">
        <v>2747</v>
      </c>
      <c r="D4315" s="160" t="s">
        <v>620</v>
      </c>
      <c r="E4315" s="545"/>
      <c r="F4315" s="161">
        <v>98.15</v>
      </c>
      <c r="G4315" s="191"/>
      <c r="H4315" s="191">
        <v>449.33333322099998</v>
      </c>
      <c r="I4315" s="191">
        <v>20990</v>
      </c>
      <c r="J4315" s="191"/>
      <c r="K4315" s="191">
        <v>30.199517204020164</v>
      </c>
      <c r="L4315" s="191"/>
      <c r="M4315" s="191"/>
      <c r="N4315" s="191"/>
      <c r="O4315" s="191"/>
      <c r="P4315" s="191"/>
      <c r="Q4315" s="191">
        <v>4.668039E-5</v>
      </c>
      <c r="R4315" s="191">
        <v>5.3483578746909358E-7</v>
      </c>
      <c r="S4315" s="191">
        <v>5.9426198607677063E-8</v>
      </c>
      <c r="T4315" s="191">
        <v>2.6741789373454679E-7</v>
      </c>
      <c r="U4315" s="439"/>
      <c r="V4315" s="439"/>
      <c r="W4315" s="178">
        <v>30000</v>
      </c>
      <c r="X4315" s="172">
        <f t="shared" si="6"/>
        <v>0.33333333333333331</v>
      </c>
      <c r="Y4315" s="172">
        <f t="shared" si="6"/>
        <v>0.33333333333333331</v>
      </c>
      <c r="Z4315" s="172">
        <f t="shared" si="6"/>
        <v>0.33333333333333331</v>
      </c>
      <c r="AA4315" s="195"/>
      <c r="AB4315" s="159"/>
    </row>
    <row r="4316" spans="1:28" ht="12.75" customHeight="1" x14ac:dyDescent="0.3">
      <c r="A4316" s="161">
        <v>316</v>
      </c>
      <c r="B4316" s="159" t="s">
        <v>2844</v>
      </c>
      <c r="C4316" s="160" t="s">
        <v>2845</v>
      </c>
      <c r="D4316" s="160" t="s">
        <v>620</v>
      </c>
      <c r="E4316" s="545"/>
      <c r="F4316" s="161">
        <v>355.67</v>
      </c>
      <c r="G4316" s="191"/>
      <c r="H4316" s="191">
        <v>3.1733333325399999E-9</v>
      </c>
      <c r="I4316" s="191">
        <v>299.10000000000002</v>
      </c>
      <c r="J4316" s="191"/>
      <c r="K4316" s="191">
        <v>31.622776601683803</v>
      </c>
      <c r="L4316" s="191"/>
      <c r="M4316" s="191"/>
      <c r="N4316" s="191"/>
      <c r="O4316" s="191"/>
      <c r="P4316" s="191"/>
      <c r="Q4316" s="191">
        <v>2.22121425E-5</v>
      </c>
      <c r="R4316" s="191">
        <v>4.45696489557578E-8</v>
      </c>
      <c r="S4316" s="191">
        <v>4.9521832173064224E-9</v>
      </c>
      <c r="T4316" s="191">
        <v>2.22848244778789E-8</v>
      </c>
      <c r="U4316" s="439"/>
      <c r="V4316" s="439"/>
      <c r="W4316" s="178">
        <v>30000</v>
      </c>
      <c r="X4316" s="172">
        <f t="shared" si="6"/>
        <v>0.33333333333333331</v>
      </c>
      <c r="Y4316" s="172">
        <f t="shared" si="6"/>
        <v>0.33333333333333331</v>
      </c>
      <c r="Z4316" s="172">
        <f t="shared" si="6"/>
        <v>0.33333333333333331</v>
      </c>
      <c r="AA4316" s="195"/>
      <c r="AB4316" s="159"/>
    </row>
    <row r="4317" spans="1:28" ht="12.75" customHeight="1" x14ac:dyDescent="0.3">
      <c r="A4317" s="161">
        <v>317</v>
      </c>
      <c r="B4317" s="159" t="s">
        <v>2744</v>
      </c>
      <c r="C4317" s="160" t="s">
        <v>2745</v>
      </c>
      <c r="D4317" s="160" t="s">
        <v>620</v>
      </c>
      <c r="E4317" s="545"/>
      <c r="F4317" s="161">
        <v>329.15</v>
      </c>
      <c r="G4317" s="191"/>
      <c r="H4317" s="191">
        <v>6.2399999984399995E-3</v>
      </c>
      <c r="I4317" s="191">
        <v>1613</v>
      </c>
      <c r="J4317" s="191"/>
      <c r="K4317" s="191">
        <v>32.359365692962832</v>
      </c>
      <c r="L4317" s="191"/>
      <c r="M4317" s="191"/>
      <c r="N4317" s="191"/>
      <c r="O4317" s="191"/>
      <c r="P4317" s="191"/>
      <c r="Q4317" s="191">
        <v>2.5100467500000002E-5</v>
      </c>
      <c r="R4317" s="191">
        <v>2.1393431498763744E-7</v>
      </c>
      <c r="S4317" s="191">
        <v>2.3770479443070826E-8</v>
      </c>
      <c r="T4317" s="191">
        <v>1.0696715749381872E-7</v>
      </c>
      <c r="U4317" s="439"/>
      <c r="V4317" s="439"/>
      <c r="W4317" s="178">
        <v>30000</v>
      </c>
      <c r="X4317" s="172">
        <f t="shared" si="6"/>
        <v>0.33333333333333331</v>
      </c>
      <c r="Y4317" s="172">
        <f t="shared" si="6"/>
        <v>0.33333333333333331</v>
      </c>
      <c r="Z4317" s="172">
        <f t="shared" si="6"/>
        <v>0.33333333333333331</v>
      </c>
      <c r="AA4317" s="195"/>
      <c r="AB4317" s="159"/>
    </row>
    <row r="4318" spans="1:28" ht="12.75" customHeight="1" x14ac:dyDescent="0.3">
      <c r="A4318" s="161">
        <v>318</v>
      </c>
      <c r="B4318" s="159" t="s">
        <v>2866</v>
      </c>
      <c r="C4318" s="160" t="s">
        <v>2867</v>
      </c>
      <c r="D4318" s="160" t="s">
        <v>620</v>
      </c>
      <c r="E4318" s="545"/>
      <c r="F4318" s="161">
        <v>88.15</v>
      </c>
      <c r="G4318" s="191"/>
      <c r="H4318" s="191">
        <v>293.33333326000002</v>
      </c>
      <c r="I4318" s="191">
        <v>22000</v>
      </c>
      <c r="J4318" s="191"/>
      <c r="K4318" s="191">
        <v>32.359365692962832</v>
      </c>
      <c r="L4318" s="191"/>
      <c r="M4318" s="191"/>
      <c r="N4318" s="191"/>
      <c r="O4318" s="191"/>
      <c r="P4318" s="191"/>
      <c r="Q4318" s="191">
        <v>8.3250000000000008E-6</v>
      </c>
      <c r="R4318" s="191">
        <v>9.2532143160742838E-7</v>
      </c>
      <c r="S4318" s="191">
        <v>1.0281349240082538E-7</v>
      </c>
      <c r="T4318" s="191">
        <v>4.6266071580371419E-7</v>
      </c>
      <c r="U4318" s="439"/>
      <c r="V4318" s="439"/>
      <c r="W4318" s="178">
        <v>30000</v>
      </c>
      <c r="X4318" s="172">
        <f t="shared" si="6"/>
        <v>0.33333333333333331</v>
      </c>
      <c r="Y4318" s="172">
        <f t="shared" si="6"/>
        <v>0.33333333333333331</v>
      </c>
      <c r="Z4318" s="172">
        <f t="shared" si="6"/>
        <v>0.33333333333333331</v>
      </c>
      <c r="AA4318" s="195"/>
      <c r="AB4318" s="159"/>
    </row>
    <row r="4319" spans="1:28" ht="12.75" customHeight="1" x14ac:dyDescent="0.3">
      <c r="A4319" s="161">
        <v>319</v>
      </c>
      <c r="B4319" s="159" t="s">
        <v>2557</v>
      </c>
      <c r="C4319" s="160" t="s">
        <v>2558</v>
      </c>
      <c r="D4319" s="160" t="s">
        <v>620</v>
      </c>
      <c r="E4319" s="545"/>
      <c r="F4319" s="161">
        <v>106.95</v>
      </c>
      <c r="G4319" s="191"/>
      <c r="H4319" s="191">
        <v>137333.33329899999</v>
      </c>
      <c r="I4319" s="191">
        <v>5079</v>
      </c>
      <c r="J4319" s="191"/>
      <c r="K4319" s="191">
        <v>37.153522909717275</v>
      </c>
      <c r="L4319" s="191"/>
      <c r="M4319" s="191"/>
      <c r="N4319" s="191"/>
      <c r="O4319" s="191"/>
      <c r="P4319" s="191"/>
      <c r="Q4319" s="191">
        <v>5.1074999999999998E-6</v>
      </c>
      <c r="R4319" s="191">
        <v>5.3483578746909358E-7</v>
      </c>
      <c r="S4319" s="191">
        <v>5.9426198607677063E-8</v>
      </c>
      <c r="T4319" s="191">
        <v>2.6741789373454679E-7</v>
      </c>
      <c r="U4319" s="439"/>
      <c r="V4319" s="439"/>
      <c r="W4319" s="178">
        <v>30000</v>
      </c>
      <c r="X4319" s="172">
        <f t="shared" si="6"/>
        <v>0.33333333333333331</v>
      </c>
      <c r="Y4319" s="172">
        <f t="shared" si="6"/>
        <v>0.33333333333333331</v>
      </c>
      <c r="Z4319" s="172">
        <f t="shared" si="6"/>
        <v>0.33333333333333331</v>
      </c>
      <c r="AA4319" s="195"/>
      <c r="AB4319" s="159"/>
    </row>
    <row r="4320" spans="1:28" ht="12.75" customHeight="1" x14ac:dyDescent="0.3">
      <c r="A4320" s="161">
        <v>320</v>
      </c>
      <c r="B4320" s="159" t="s">
        <v>2608</v>
      </c>
      <c r="C4320" s="160" t="s">
        <v>2609</v>
      </c>
      <c r="D4320" s="160" t="s">
        <v>620</v>
      </c>
      <c r="E4320" s="545"/>
      <c r="F4320" s="161">
        <v>166.18</v>
      </c>
      <c r="G4320" s="191"/>
      <c r="H4320" s="191">
        <v>1.38666666632E-3</v>
      </c>
      <c r="I4320" s="191">
        <v>2820</v>
      </c>
      <c r="J4320" s="191"/>
      <c r="K4320" s="191">
        <v>38.018939632056139</v>
      </c>
      <c r="L4320" s="191"/>
      <c r="M4320" s="191"/>
      <c r="N4320" s="191"/>
      <c r="O4320" s="191"/>
      <c r="P4320" s="191"/>
      <c r="Q4320" s="191">
        <v>2.451357E-5</v>
      </c>
      <c r="R4320" s="191">
        <v>5.3483578746909358E-7</v>
      </c>
      <c r="S4320" s="191">
        <v>5.9426198607677063E-8</v>
      </c>
      <c r="T4320" s="191">
        <v>2.6741789373454679E-7</v>
      </c>
      <c r="U4320" s="439"/>
      <c r="V4320" s="439"/>
      <c r="W4320" s="178">
        <v>30000</v>
      </c>
      <c r="X4320" s="172">
        <f t="shared" si="6"/>
        <v>0.33333333333333331</v>
      </c>
      <c r="Y4320" s="172">
        <f t="shared" si="6"/>
        <v>0.33333333333333331</v>
      </c>
      <c r="Z4320" s="172">
        <f t="shared" si="6"/>
        <v>0.33333333333333331</v>
      </c>
      <c r="AA4320" s="195"/>
      <c r="AB4320" s="159"/>
    </row>
    <row r="4321" spans="1:28" ht="12.75" customHeight="1" x14ac:dyDescent="0.3">
      <c r="A4321" s="161">
        <v>321</v>
      </c>
      <c r="B4321" s="159" t="s">
        <v>2752</v>
      </c>
      <c r="C4321" s="160" t="s">
        <v>2753</v>
      </c>
      <c r="D4321" s="160" t="s">
        <v>620</v>
      </c>
      <c r="E4321" s="545"/>
      <c r="F4321" s="161">
        <v>146.22999999999999</v>
      </c>
      <c r="G4321" s="191"/>
      <c r="H4321" s="191">
        <v>0.39999999989999996</v>
      </c>
      <c r="I4321" s="191">
        <v>42000</v>
      </c>
      <c r="J4321" s="191"/>
      <c r="K4321" s="191">
        <v>39.810717055349755</v>
      </c>
      <c r="L4321" s="191"/>
      <c r="M4321" s="191"/>
      <c r="N4321" s="191"/>
      <c r="O4321" s="191"/>
      <c r="P4321" s="191"/>
      <c r="Q4321" s="191">
        <v>1.6671592500000001E-5</v>
      </c>
      <c r="R4321" s="191">
        <v>5.3483578746909358E-7</v>
      </c>
      <c r="S4321" s="191">
        <v>5.9426198607677063E-8</v>
      </c>
      <c r="T4321" s="191">
        <v>2.6741789373454679E-7</v>
      </c>
      <c r="U4321" s="439"/>
      <c r="V4321" s="439"/>
      <c r="W4321" s="178">
        <v>30000</v>
      </c>
      <c r="X4321" s="172">
        <f t="shared" si="6"/>
        <v>0.33333333333333331</v>
      </c>
      <c r="Y4321" s="172">
        <f t="shared" si="6"/>
        <v>0.33333333333333331</v>
      </c>
      <c r="Z4321" s="172">
        <f t="shared" si="6"/>
        <v>0.33333333333333331</v>
      </c>
      <c r="AA4321" s="195"/>
      <c r="AB4321" s="159"/>
    </row>
    <row r="4322" spans="1:28" ht="12.75" customHeight="1" x14ac:dyDescent="0.3">
      <c r="A4322" s="161">
        <v>322</v>
      </c>
      <c r="B4322" s="159" t="s">
        <v>2670</v>
      </c>
      <c r="C4322" s="160" t="s">
        <v>2671</v>
      </c>
      <c r="D4322" s="160" t="s">
        <v>620</v>
      </c>
      <c r="E4322" s="545"/>
      <c r="F4322" s="161">
        <v>100.16</v>
      </c>
      <c r="G4322" s="191"/>
      <c r="H4322" s="191">
        <v>437.33333322399994</v>
      </c>
      <c r="I4322" s="191">
        <v>25200</v>
      </c>
      <c r="J4322" s="191"/>
      <c r="K4322" s="191">
        <v>40.738027780411301</v>
      </c>
      <c r="L4322" s="191"/>
      <c r="M4322" s="191"/>
      <c r="N4322" s="191"/>
      <c r="O4322" s="191"/>
      <c r="P4322" s="191"/>
      <c r="Q4322" s="191">
        <v>2.8140637500000002E-5</v>
      </c>
      <c r="R4322" s="191">
        <v>5.3483578746909358E-7</v>
      </c>
      <c r="S4322" s="191">
        <v>5.9426198607677063E-8</v>
      </c>
      <c r="T4322" s="191">
        <v>2.6741789373454679E-7</v>
      </c>
      <c r="U4322" s="439"/>
      <c r="V4322" s="439"/>
      <c r="W4322" s="178">
        <v>30000</v>
      </c>
      <c r="X4322" s="172">
        <f t="shared" ref="X4322:Z4385" si="7">1/3</f>
        <v>0.33333333333333331</v>
      </c>
      <c r="Y4322" s="172">
        <f t="shared" si="7"/>
        <v>0.33333333333333331</v>
      </c>
      <c r="Z4322" s="172">
        <f t="shared" si="7"/>
        <v>0.33333333333333331</v>
      </c>
      <c r="AA4322" s="195"/>
      <c r="AB4322" s="159"/>
    </row>
    <row r="4323" spans="1:28" ht="12.75" customHeight="1" x14ac:dyDescent="0.3">
      <c r="A4323" s="161">
        <v>323</v>
      </c>
      <c r="B4323" s="159" t="s">
        <v>2508</v>
      </c>
      <c r="C4323" s="160" t="s">
        <v>2509</v>
      </c>
      <c r="D4323" s="160" t="s">
        <v>620</v>
      </c>
      <c r="E4323" s="545"/>
      <c r="F4323" s="161">
        <v>120.15</v>
      </c>
      <c r="G4323" s="191"/>
      <c r="H4323" s="191">
        <v>39.999999989999999</v>
      </c>
      <c r="I4323" s="191">
        <v>3000</v>
      </c>
      <c r="J4323" s="191"/>
      <c r="K4323" s="191">
        <v>40.738027780411301</v>
      </c>
      <c r="L4323" s="191"/>
      <c r="M4323" s="191"/>
      <c r="N4323" s="191"/>
      <c r="O4323" s="191"/>
      <c r="P4323" s="191"/>
      <c r="Q4323" s="191">
        <v>3.7929074999999998E-6</v>
      </c>
      <c r="R4323" s="191">
        <v>5.3483578746909358E-7</v>
      </c>
      <c r="S4323" s="191">
        <v>5.9426198607677063E-8</v>
      </c>
      <c r="T4323" s="191">
        <v>2.6741789373454679E-7</v>
      </c>
      <c r="U4323" s="439"/>
      <c r="V4323" s="439"/>
      <c r="W4323" s="178">
        <v>30000</v>
      </c>
      <c r="X4323" s="172">
        <f t="shared" si="7"/>
        <v>0.33333333333333331</v>
      </c>
      <c r="Y4323" s="172">
        <f t="shared" si="7"/>
        <v>0.33333333333333331</v>
      </c>
      <c r="Z4323" s="172">
        <f t="shared" si="7"/>
        <v>0.33333333333333331</v>
      </c>
      <c r="AA4323" s="195"/>
      <c r="AB4323" s="159"/>
    </row>
    <row r="4324" spans="1:28" ht="12.75" customHeight="1" x14ac:dyDescent="0.3">
      <c r="A4324" s="161">
        <v>324</v>
      </c>
      <c r="B4324" s="159" t="s">
        <v>2559</v>
      </c>
      <c r="C4324" s="160" t="s">
        <v>2560</v>
      </c>
      <c r="D4324" s="160" t="s">
        <v>620</v>
      </c>
      <c r="E4324" s="545"/>
      <c r="F4324" s="161">
        <v>62.5</v>
      </c>
      <c r="G4324" s="191"/>
      <c r="H4324" s="191">
        <v>397333.33323399996</v>
      </c>
      <c r="I4324" s="191">
        <v>8800</v>
      </c>
      <c r="J4324" s="191"/>
      <c r="K4324" s="191">
        <v>41.686938347033561</v>
      </c>
      <c r="L4324" s="191"/>
      <c r="M4324" s="191"/>
      <c r="N4324" s="191"/>
      <c r="O4324" s="191"/>
      <c r="P4324" s="191"/>
      <c r="Q4324" s="191">
        <v>5.22E-6</v>
      </c>
      <c r="R4324" s="191">
        <v>5.3483578746909358E-7</v>
      </c>
      <c r="S4324" s="191">
        <v>5.9426198607677063E-8</v>
      </c>
      <c r="T4324" s="191">
        <v>2.6741789373454679E-7</v>
      </c>
      <c r="U4324" s="439"/>
      <c r="V4324" s="439"/>
      <c r="W4324" s="178">
        <v>30000</v>
      </c>
      <c r="X4324" s="172">
        <f t="shared" si="7"/>
        <v>0.33333333333333331</v>
      </c>
      <c r="Y4324" s="172">
        <f t="shared" si="7"/>
        <v>0.33333333333333331</v>
      </c>
      <c r="Z4324" s="172">
        <f t="shared" si="7"/>
        <v>0.33333333333333331</v>
      </c>
      <c r="AA4324" s="195"/>
      <c r="AB4324" s="159"/>
    </row>
    <row r="4325" spans="1:28" ht="12.75" customHeight="1" x14ac:dyDescent="0.3">
      <c r="A4325" s="161">
        <v>325</v>
      </c>
      <c r="B4325" s="159" t="s">
        <v>2584</v>
      </c>
      <c r="C4325" s="160" t="s">
        <v>2585</v>
      </c>
      <c r="D4325" s="160" t="s">
        <v>620</v>
      </c>
      <c r="E4325" s="545"/>
      <c r="F4325" s="161">
        <v>116.16</v>
      </c>
      <c r="G4325" s="191"/>
      <c r="H4325" s="191">
        <v>2266.6666660999999</v>
      </c>
      <c r="I4325" s="191">
        <v>6200</v>
      </c>
      <c r="J4325" s="191"/>
      <c r="K4325" s="191">
        <v>52.480746024977286</v>
      </c>
      <c r="L4325" s="191"/>
      <c r="M4325" s="191"/>
      <c r="N4325" s="191"/>
      <c r="O4325" s="191"/>
      <c r="P4325" s="191"/>
      <c r="Q4325" s="191">
        <v>4.1250000000000003E-6</v>
      </c>
      <c r="R4325" s="191">
        <v>5.3483578746909358E-7</v>
      </c>
      <c r="S4325" s="191">
        <v>5.9426198607677063E-8</v>
      </c>
      <c r="T4325" s="191">
        <v>2.6741789373454679E-7</v>
      </c>
      <c r="U4325" s="439"/>
      <c r="V4325" s="439"/>
      <c r="W4325" s="178">
        <v>30000</v>
      </c>
      <c r="X4325" s="172">
        <f t="shared" si="7"/>
        <v>0.33333333333333331</v>
      </c>
      <c r="Y4325" s="172">
        <f t="shared" si="7"/>
        <v>0.33333333333333331</v>
      </c>
      <c r="Z4325" s="172">
        <f t="shared" si="7"/>
        <v>0.33333333333333331</v>
      </c>
      <c r="AA4325" s="195"/>
      <c r="AB4325" s="159"/>
    </row>
    <row r="4326" spans="1:28" ht="12.75" customHeight="1" x14ac:dyDescent="0.3">
      <c r="A4326" s="161">
        <v>326</v>
      </c>
      <c r="B4326" s="159" t="s">
        <v>2604</v>
      </c>
      <c r="C4326" s="160" t="s">
        <v>2605</v>
      </c>
      <c r="D4326" s="160" t="s">
        <v>620</v>
      </c>
      <c r="E4326" s="545"/>
      <c r="F4326" s="161">
        <v>121.11</v>
      </c>
      <c r="G4326" s="191"/>
      <c r="H4326" s="191">
        <v>62.266666651100003</v>
      </c>
      <c r="I4326" s="191">
        <v>1763</v>
      </c>
      <c r="J4326" s="191"/>
      <c r="K4326" s="191">
        <v>54.95408738576247</v>
      </c>
      <c r="L4326" s="191"/>
      <c r="M4326" s="191"/>
      <c r="N4326" s="191"/>
      <c r="O4326" s="191"/>
      <c r="P4326" s="191"/>
      <c r="Q4326" s="191">
        <v>3.2344500000000002E-7</v>
      </c>
      <c r="R4326" s="191">
        <v>2.1393431498763744E-7</v>
      </c>
      <c r="S4326" s="191">
        <v>2.3770479443070826E-8</v>
      </c>
      <c r="T4326" s="191">
        <v>1.0696715749381872E-7</v>
      </c>
      <c r="U4326" s="439"/>
      <c r="V4326" s="439"/>
      <c r="W4326" s="178">
        <v>30000</v>
      </c>
      <c r="X4326" s="172">
        <f t="shared" si="7"/>
        <v>0.33333333333333331</v>
      </c>
      <c r="Y4326" s="172">
        <f t="shared" si="7"/>
        <v>0.33333333333333331</v>
      </c>
      <c r="Z4326" s="172">
        <f t="shared" si="7"/>
        <v>0.33333333333333331</v>
      </c>
      <c r="AA4326" s="195"/>
      <c r="AB4326" s="159"/>
    </row>
    <row r="4327" spans="1:28" ht="12.75" customHeight="1" x14ac:dyDescent="0.3">
      <c r="A4327" s="161">
        <v>327</v>
      </c>
      <c r="B4327" s="159" t="s">
        <v>2626</v>
      </c>
      <c r="C4327" s="160" t="s">
        <v>2627</v>
      </c>
      <c r="D4327" s="160" t="s">
        <v>620</v>
      </c>
      <c r="E4327" s="545"/>
      <c r="F4327" s="161">
        <v>142.59</v>
      </c>
      <c r="G4327" s="191"/>
      <c r="H4327" s="191">
        <v>0.50799999987299993</v>
      </c>
      <c r="I4327" s="191">
        <v>8137</v>
      </c>
      <c r="J4327" s="191"/>
      <c r="K4327" s="191">
        <v>58.884365535558949</v>
      </c>
      <c r="L4327" s="191"/>
      <c r="M4327" s="191"/>
      <c r="N4327" s="191"/>
      <c r="O4327" s="191"/>
      <c r="P4327" s="191"/>
      <c r="Q4327" s="191">
        <v>3.8100674999999996E-6</v>
      </c>
      <c r="R4327" s="191">
        <v>5.3483578746909358E-7</v>
      </c>
      <c r="S4327" s="191">
        <v>5.9426198607677063E-8</v>
      </c>
      <c r="T4327" s="191">
        <v>2.6741789373454679E-7</v>
      </c>
      <c r="U4327" s="439"/>
      <c r="V4327" s="439"/>
      <c r="W4327" s="178">
        <v>30000</v>
      </c>
      <c r="X4327" s="172">
        <f t="shared" si="7"/>
        <v>0.33333333333333331</v>
      </c>
      <c r="Y4327" s="172">
        <f t="shared" si="7"/>
        <v>0.33333333333333331</v>
      </c>
      <c r="Z4327" s="172">
        <f t="shared" si="7"/>
        <v>0.33333333333333331</v>
      </c>
      <c r="AA4327" s="195"/>
      <c r="AB4327" s="159"/>
    </row>
    <row r="4328" spans="1:28" ht="12.75" customHeight="1" x14ac:dyDescent="0.3">
      <c r="A4328" s="161">
        <v>328</v>
      </c>
      <c r="B4328" s="159" t="s">
        <v>2586</v>
      </c>
      <c r="C4328" s="160" t="s">
        <v>2587</v>
      </c>
      <c r="D4328" s="160" t="s">
        <v>620</v>
      </c>
      <c r="E4328" s="545"/>
      <c r="F4328" s="161">
        <v>120.98</v>
      </c>
      <c r="G4328" s="191"/>
      <c r="H4328" s="191">
        <v>18933.333328599998</v>
      </c>
      <c r="I4328" s="191">
        <v>3830</v>
      </c>
      <c r="J4328" s="191"/>
      <c r="K4328" s="191">
        <v>61.659500186148257</v>
      </c>
      <c r="L4328" s="191"/>
      <c r="M4328" s="191"/>
      <c r="N4328" s="191"/>
      <c r="O4328" s="191"/>
      <c r="P4328" s="191"/>
      <c r="Q4328" s="191">
        <v>1.5187139999999998E-5</v>
      </c>
      <c r="R4328" s="191">
        <v>5.3483578746909358E-7</v>
      </c>
      <c r="S4328" s="191">
        <v>5.9426198607677063E-8</v>
      </c>
      <c r="T4328" s="191">
        <v>2.6741789373454679E-7</v>
      </c>
      <c r="U4328" s="439"/>
      <c r="V4328" s="439"/>
      <c r="W4328" s="178">
        <v>30000</v>
      </c>
      <c r="X4328" s="172">
        <f t="shared" si="7"/>
        <v>0.33333333333333331</v>
      </c>
      <c r="Y4328" s="172">
        <f t="shared" si="7"/>
        <v>0.33333333333333331</v>
      </c>
      <c r="Z4328" s="172">
        <f t="shared" si="7"/>
        <v>0.33333333333333331</v>
      </c>
      <c r="AA4328" s="195"/>
      <c r="AB4328" s="159"/>
    </row>
    <row r="4329" spans="1:28" ht="12.75" customHeight="1" x14ac:dyDescent="0.3">
      <c r="A4329" s="161">
        <v>329</v>
      </c>
      <c r="B4329" s="159" t="s">
        <v>2814</v>
      </c>
      <c r="C4329" s="160" t="s">
        <v>2815</v>
      </c>
      <c r="D4329" s="160" t="s">
        <v>620</v>
      </c>
      <c r="E4329" s="545"/>
      <c r="F4329" s="161">
        <v>285.8</v>
      </c>
      <c r="G4329" s="191"/>
      <c r="H4329" s="191">
        <v>22.666666661000001</v>
      </c>
      <c r="I4329" s="191">
        <v>395.1</v>
      </c>
      <c r="J4329" s="191"/>
      <c r="K4329" s="191">
        <v>69.183097091893657</v>
      </c>
      <c r="L4329" s="191"/>
      <c r="M4329" s="191"/>
      <c r="N4329" s="191"/>
      <c r="O4329" s="191"/>
      <c r="P4329" s="191"/>
      <c r="Q4329" s="191">
        <v>2.1391380000000002E-5</v>
      </c>
      <c r="R4329" s="191">
        <v>2.1393431498763744E-7</v>
      </c>
      <c r="S4329" s="191">
        <v>2.3770479443070826E-8</v>
      </c>
      <c r="T4329" s="191">
        <v>1.0696715749381872E-7</v>
      </c>
      <c r="U4329" s="439"/>
      <c r="V4329" s="439"/>
      <c r="W4329" s="178">
        <v>30000</v>
      </c>
      <c r="X4329" s="172">
        <f t="shared" si="7"/>
        <v>0.33333333333333331</v>
      </c>
      <c r="Y4329" s="172">
        <f t="shared" si="7"/>
        <v>0.33333333333333331</v>
      </c>
      <c r="Z4329" s="172">
        <f t="shared" si="7"/>
        <v>0.33333333333333331</v>
      </c>
      <c r="AA4329" s="195"/>
      <c r="AB4329" s="159"/>
    </row>
    <row r="4330" spans="1:28" ht="12.75" customHeight="1" x14ac:dyDescent="0.3">
      <c r="A4330" s="161">
        <v>330</v>
      </c>
      <c r="B4330" s="159" t="s">
        <v>856</v>
      </c>
      <c r="C4330" s="160" t="s">
        <v>855</v>
      </c>
      <c r="D4330" s="160" t="s">
        <v>620</v>
      </c>
      <c r="E4330" s="545"/>
      <c r="F4330" s="161">
        <v>123.11</v>
      </c>
      <c r="G4330" s="191"/>
      <c r="H4330" s="191">
        <v>32.666666658499999</v>
      </c>
      <c r="I4330" s="191">
        <v>2090</v>
      </c>
      <c r="J4330" s="191"/>
      <c r="K4330" s="191">
        <v>70.794578438413865</v>
      </c>
      <c r="L4330" s="191"/>
      <c r="M4330" s="191"/>
      <c r="N4330" s="191"/>
      <c r="O4330" s="191"/>
      <c r="P4330" s="191"/>
      <c r="Q4330" s="191">
        <v>1.05E-7</v>
      </c>
      <c r="R4330" s="191">
        <v>5.3483578746909358E-7</v>
      </c>
      <c r="S4330" s="191">
        <v>5.9426198607677063E-8</v>
      </c>
      <c r="T4330" s="191">
        <v>2.6741789373454679E-7</v>
      </c>
      <c r="U4330" s="439"/>
      <c r="V4330" s="439"/>
      <c r="W4330" s="178">
        <v>30000</v>
      </c>
      <c r="X4330" s="172">
        <f t="shared" si="7"/>
        <v>0.33333333333333331</v>
      </c>
      <c r="Y4330" s="172">
        <f t="shared" si="7"/>
        <v>0.33333333333333331</v>
      </c>
      <c r="Z4330" s="172">
        <f t="shared" si="7"/>
        <v>0.33333333333333331</v>
      </c>
      <c r="AA4330" s="195"/>
      <c r="AB4330" s="159"/>
    </row>
    <row r="4331" spans="1:28" ht="12.75" customHeight="1" x14ac:dyDescent="0.3">
      <c r="A4331" s="161">
        <v>331</v>
      </c>
      <c r="B4331" s="159" t="s">
        <v>2521</v>
      </c>
      <c r="C4331" s="160" t="s">
        <v>2522</v>
      </c>
      <c r="D4331" s="160" t="s">
        <v>620</v>
      </c>
      <c r="E4331" s="545"/>
      <c r="F4331" s="161">
        <v>132.16</v>
      </c>
      <c r="G4331" s="191"/>
      <c r="H4331" s="191">
        <v>3.8533333323699996</v>
      </c>
      <c r="I4331" s="191">
        <v>1420</v>
      </c>
      <c r="J4331" s="191"/>
      <c r="K4331" s="191">
        <v>79.432823472428197</v>
      </c>
      <c r="L4331" s="191"/>
      <c r="M4331" s="191"/>
      <c r="N4331" s="191"/>
      <c r="O4331" s="191"/>
      <c r="P4331" s="191"/>
      <c r="Q4331" s="191">
        <v>3.6000000000000001E-5</v>
      </c>
      <c r="R4331" s="191">
        <v>5.3483578746909358E-7</v>
      </c>
      <c r="S4331" s="191">
        <v>5.9426198607677063E-8</v>
      </c>
      <c r="T4331" s="191">
        <v>2.6741789373454679E-7</v>
      </c>
      <c r="U4331" s="439"/>
      <c r="V4331" s="439"/>
      <c r="W4331" s="178">
        <v>30000</v>
      </c>
      <c r="X4331" s="172">
        <f t="shared" si="7"/>
        <v>0.33333333333333331</v>
      </c>
      <c r="Y4331" s="172">
        <f t="shared" si="7"/>
        <v>0.33333333333333331</v>
      </c>
      <c r="Z4331" s="172">
        <f t="shared" si="7"/>
        <v>0.33333333333333331</v>
      </c>
      <c r="AA4331" s="195"/>
      <c r="AB4331" s="159"/>
    </row>
    <row r="4332" spans="1:28" ht="12.75" customHeight="1" x14ac:dyDescent="0.3">
      <c r="A4332" s="161">
        <v>332</v>
      </c>
      <c r="B4332" s="159" t="s">
        <v>2471</v>
      </c>
      <c r="C4332" s="160" t="s">
        <v>2472</v>
      </c>
      <c r="D4332" s="160" t="s">
        <v>620</v>
      </c>
      <c r="E4332" s="545"/>
      <c r="F4332" s="161">
        <v>154.6</v>
      </c>
      <c r="G4332" s="191"/>
      <c r="H4332" s="191">
        <v>1.0133333330799998</v>
      </c>
      <c r="I4332" s="191">
        <v>1635</v>
      </c>
      <c r="J4332" s="191"/>
      <c r="K4332" s="191">
        <v>85.113803820237663</v>
      </c>
      <c r="L4332" s="191"/>
      <c r="M4332" s="191"/>
      <c r="N4332" s="191"/>
      <c r="O4332" s="191"/>
      <c r="P4332" s="191"/>
      <c r="Q4332" s="191">
        <v>1.5327375E-6</v>
      </c>
      <c r="R4332" s="191">
        <v>2.1393431498763744E-7</v>
      </c>
      <c r="S4332" s="191">
        <v>2.3770479443070826E-8</v>
      </c>
      <c r="T4332" s="191">
        <v>1.0696715749381872E-7</v>
      </c>
      <c r="U4332" s="439"/>
      <c r="V4332" s="439"/>
      <c r="W4332" s="178">
        <v>30000</v>
      </c>
      <c r="X4332" s="172">
        <f t="shared" si="7"/>
        <v>0.33333333333333331</v>
      </c>
      <c r="Y4332" s="172">
        <f t="shared" si="7"/>
        <v>0.33333333333333331</v>
      </c>
      <c r="Z4332" s="172">
        <f t="shared" si="7"/>
        <v>0.33333333333333331</v>
      </c>
      <c r="AA4332" s="195"/>
      <c r="AB4332" s="159"/>
    </row>
    <row r="4333" spans="1:28" ht="12.75" customHeight="1" x14ac:dyDescent="0.3">
      <c r="A4333" s="161">
        <v>333</v>
      </c>
      <c r="B4333" s="159" t="s">
        <v>2754</v>
      </c>
      <c r="C4333" s="160" t="s">
        <v>2755</v>
      </c>
      <c r="D4333" s="160" t="s">
        <v>620</v>
      </c>
      <c r="E4333" s="545"/>
      <c r="F4333" s="161">
        <v>114.15</v>
      </c>
      <c r="G4333" s="191"/>
      <c r="H4333" s="191">
        <v>2746.6666659799998</v>
      </c>
      <c r="I4333" s="191">
        <v>5400</v>
      </c>
      <c r="J4333" s="191"/>
      <c r="K4333" s="191">
        <v>87.096358995608071</v>
      </c>
      <c r="L4333" s="191"/>
      <c r="M4333" s="191"/>
      <c r="N4333" s="191"/>
      <c r="O4333" s="191"/>
      <c r="P4333" s="191"/>
      <c r="Q4333" s="191">
        <v>1.4840759999999999E-5</v>
      </c>
      <c r="R4333" s="191">
        <v>5.3483578746909358E-7</v>
      </c>
      <c r="S4333" s="191">
        <v>5.9426198607677063E-8</v>
      </c>
      <c r="T4333" s="191">
        <v>2.6741789373454679E-7</v>
      </c>
      <c r="U4333" s="439"/>
      <c r="V4333" s="439"/>
      <c r="W4333" s="178">
        <v>30000</v>
      </c>
      <c r="X4333" s="172">
        <f t="shared" si="7"/>
        <v>0.33333333333333331</v>
      </c>
      <c r="Y4333" s="172">
        <f t="shared" si="7"/>
        <v>0.33333333333333331</v>
      </c>
      <c r="Z4333" s="172">
        <f t="shared" si="7"/>
        <v>0.33333333333333331</v>
      </c>
      <c r="AA4333" s="195"/>
      <c r="AB4333" s="159"/>
    </row>
    <row r="4334" spans="1:28" ht="12.75" customHeight="1" x14ac:dyDescent="0.3">
      <c r="A4334" s="161">
        <v>334</v>
      </c>
      <c r="B4334" s="159" t="s">
        <v>2880</v>
      </c>
      <c r="C4334" s="160" t="s">
        <v>1731</v>
      </c>
      <c r="D4334" s="160" t="s">
        <v>620</v>
      </c>
      <c r="E4334" s="545"/>
      <c r="F4334" s="161">
        <v>152.15</v>
      </c>
      <c r="G4334" s="191"/>
      <c r="H4334" s="191">
        <v>7.6666666647500001</v>
      </c>
      <c r="I4334" s="191">
        <v>1579</v>
      </c>
      <c r="J4334" s="191"/>
      <c r="K4334" s="191">
        <v>91.201083935590972</v>
      </c>
      <c r="L4334" s="191"/>
      <c r="M4334" s="191"/>
      <c r="N4334" s="191"/>
      <c r="O4334" s="191"/>
      <c r="P4334" s="191"/>
      <c r="Q4334" s="191">
        <v>4.4896695E-5</v>
      </c>
      <c r="R4334" s="191">
        <v>5.3483578746909358E-7</v>
      </c>
      <c r="S4334" s="191">
        <v>5.9426198607677063E-8</v>
      </c>
      <c r="T4334" s="191">
        <v>2.6741789373454679E-7</v>
      </c>
      <c r="U4334" s="439"/>
      <c r="V4334" s="439"/>
      <c r="W4334" s="178">
        <v>30000</v>
      </c>
      <c r="X4334" s="172">
        <f t="shared" si="7"/>
        <v>0.33333333333333331</v>
      </c>
      <c r="Y4334" s="172">
        <f t="shared" si="7"/>
        <v>0.33333333333333331</v>
      </c>
      <c r="Z4334" s="172">
        <f t="shared" si="7"/>
        <v>0.33333333333333331</v>
      </c>
      <c r="AA4334" s="195"/>
      <c r="AB4334" s="159"/>
    </row>
    <row r="4335" spans="1:28" ht="12.75" customHeight="1" x14ac:dyDescent="0.3">
      <c r="A4335" s="161">
        <v>335</v>
      </c>
      <c r="B4335" s="159" t="s">
        <v>2736</v>
      </c>
      <c r="C4335" s="160" t="s">
        <v>2737</v>
      </c>
      <c r="D4335" s="160" t="s">
        <v>620</v>
      </c>
      <c r="E4335" s="545"/>
      <c r="F4335" s="161">
        <v>187.04</v>
      </c>
      <c r="G4335" s="191"/>
      <c r="H4335" s="191">
        <v>0.20933333328099998</v>
      </c>
      <c r="I4335" s="191">
        <v>2200</v>
      </c>
      <c r="J4335" s="191"/>
      <c r="K4335" s="191">
        <v>93.325430079699174</v>
      </c>
      <c r="L4335" s="191"/>
      <c r="M4335" s="191"/>
      <c r="N4335" s="191"/>
      <c r="O4335" s="191"/>
      <c r="P4335" s="191"/>
      <c r="Q4335" s="191">
        <v>3.6783075000000001E-6</v>
      </c>
      <c r="R4335" s="191">
        <v>5.3483578746909358E-7</v>
      </c>
      <c r="S4335" s="191">
        <v>5.9426198607677063E-8</v>
      </c>
      <c r="T4335" s="191">
        <v>2.6741789373454679E-7</v>
      </c>
      <c r="U4335" s="439"/>
      <c r="V4335" s="439"/>
      <c r="W4335" s="178">
        <v>30000</v>
      </c>
      <c r="X4335" s="172">
        <f t="shared" si="7"/>
        <v>0.33333333333333331</v>
      </c>
      <c r="Y4335" s="172">
        <f t="shared" si="7"/>
        <v>0.33333333333333331</v>
      </c>
      <c r="Z4335" s="172">
        <f t="shared" si="7"/>
        <v>0.33333333333333331</v>
      </c>
      <c r="AA4335" s="195"/>
      <c r="AB4335" s="159"/>
    </row>
    <row r="4336" spans="1:28" ht="12.75" customHeight="1" x14ac:dyDescent="0.3">
      <c r="A4336" s="161">
        <v>336</v>
      </c>
      <c r="B4336" s="159" t="s">
        <v>2594</v>
      </c>
      <c r="C4336" s="160" t="s">
        <v>2595</v>
      </c>
      <c r="D4336" s="160" t="s">
        <v>620</v>
      </c>
      <c r="E4336" s="545"/>
      <c r="F4336" s="161">
        <v>114.19</v>
      </c>
      <c r="G4336" s="191"/>
      <c r="H4336" s="191">
        <v>514.66666653799996</v>
      </c>
      <c r="I4336" s="191">
        <v>4300</v>
      </c>
      <c r="J4336" s="191"/>
      <c r="K4336" s="191">
        <v>95.499258602143655</v>
      </c>
      <c r="L4336" s="191"/>
      <c r="M4336" s="191"/>
      <c r="N4336" s="191"/>
      <c r="O4336" s="191"/>
      <c r="P4336" s="191"/>
      <c r="Q4336" s="191">
        <v>8.7749999999999998E-6</v>
      </c>
      <c r="R4336" s="191">
        <v>5.3483578746909358E-7</v>
      </c>
      <c r="S4336" s="191">
        <v>5.9426198607677063E-8</v>
      </c>
      <c r="T4336" s="191">
        <v>2.6741789373454679E-7</v>
      </c>
      <c r="U4336" s="439"/>
      <c r="V4336" s="439"/>
      <c r="W4336" s="178">
        <v>30000</v>
      </c>
      <c r="X4336" s="172">
        <f t="shared" si="7"/>
        <v>0.33333333333333331</v>
      </c>
      <c r="Y4336" s="172">
        <f t="shared" si="7"/>
        <v>0.33333333333333331</v>
      </c>
      <c r="Z4336" s="172">
        <f t="shared" si="7"/>
        <v>0.33333333333333331</v>
      </c>
      <c r="AA4336" s="195"/>
      <c r="AB4336" s="159"/>
    </row>
    <row r="4337" spans="1:28" ht="12.75" customHeight="1" x14ac:dyDescent="0.3">
      <c r="A4337" s="161">
        <v>337</v>
      </c>
      <c r="B4337" s="159" t="s">
        <v>2517</v>
      </c>
      <c r="C4337" s="160" t="s">
        <v>2518</v>
      </c>
      <c r="D4337" s="160" t="s">
        <v>620</v>
      </c>
      <c r="E4337" s="545"/>
      <c r="F4337" s="161">
        <v>118.49</v>
      </c>
      <c r="G4337" s="191"/>
      <c r="H4337" s="191">
        <v>199999.99995</v>
      </c>
      <c r="I4337" s="191">
        <v>9200</v>
      </c>
      <c r="J4337" s="191"/>
      <c r="K4337" s="191">
        <v>97.723722095581124</v>
      </c>
      <c r="L4337" s="191"/>
      <c r="M4337" s="191"/>
      <c r="N4337" s="191"/>
      <c r="O4337" s="191"/>
      <c r="P4337" s="191"/>
      <c r="Q4337" s="191">
        <v>1.215E-8</v>
      </c>
      <c r="R4337" s="191">
        <v>2.1393431498763744E-7</v>
      </c>
      <c r="S4337" s="191">
        <v>2.3770479443070826E-8</v>
      </c>
      <c r="T4337" s="191">
        <v>1.0696715749381872E-7</v>
      </c>
      <c r="U4337" s="439"/>
      <c r="V4337" s="439"/>
      <c r="W4337" s="178">
        <v>30000</v>
      </c>
      <c r="X4337" s="172">
        <f t="shared" si="7"/>
        <v>0.33333333333333331</v>
      </c>
      <c r="Y4337" s="172">
        <f t="shared" si="7"/>
        <v>0.33333333333333331</v>
      </c>
      <c r="Z4337" s="172">
        <f t="shared" si="7"/>
        <v>0.33333333333333331</v>
      </c>
      <c r="AA4337" s="195"/>
      <c r="AB4337" s="159"/>
    </row>
    <row r="4338" spans="1:28" ht="12.75" customHeight="1" x14ac:dyDescent="0.3">
      <c r="A4338" s="161">
        <v>338</v>
      </c>
      <c r="B4338" s="159" t="s">
        <v>2672</v>
      </c>
      <c r="C4338" s="160" t="s">
        <v>2673</v>
      </c>
      <c r="D4338" s="160" t="s">
        <v>620</v>
      </c>
      <c r="E4338" s="545"/>
      <c r="F4338" s="161">
        <v>136.15</v>
      </c>
      <c r="G4338" s="191"/>
      <c r="H4338" s="191">
        <v>25.733333326899999</v>
      </c>
      <c r="I4338" s="191">
        <v>1668</v>
      </c>
      <c r="J4338" s="191"/>
      <c r="K4338" s="191">
        <v>102.32929922807544</v>
      </c>
      <c r="L4338" s="191"/>
      <c r="M4338" s="191"/>
      <c r="N4338" s="191"/>
      <c r="O4338" s="191"/>
      <c r="P4338" s="191"/>
      <c r="Q4338" s="191">
        <v>1.8900000000000002E-5</v>
      </c>
      <c r="R4338" s="191">
        <v>5.3483578746909358E-7</v>
      </c>
      <c r="S4338" s="191">
        <v>5.9426198607677063E-8</v>
      </c>
      <c r="T4338" s="191">
        <v>2.6741789373454679E-7</v>
      </c>
      <c r="U4338" s="439"/>
      <c r="V4338" s="439"/>
      <c r="W4338" s="178">
        <v>30000</v>
      </c>
      <c r="X4338" s="172">
        <f t="shared" si="7"/>
        <v>0.33333333333333331</v>
      </c>
      <c r="Y4338" s="172">
        <f t="shared" si="7"/>
        <v>0.33333333333333331</v>
      </c>
      <c r="Z4338" s="172">
        <f t="shared" si="7"/>
        <v>0.33333333333333331</v>
      </c>
      <c r="AA4338" s="195"/>
      <c r="AB4338" s="159"/>
    </row>
    <row r="4339" spans="1:28" ht="12.75" customHeight="1" x14ac:dyDescent="0.3">
      <c r="A4339" s="161">
        <v>339</v>
      </c>
      <c r="B4339" s="159" t="s">
        <v>2696</v>
      </c>
      <c r="C4339" s="160" t="s">
        <v>2697</v>
      </c>
      <c r="D4339" s="160" t="s">
        <v>620</v>
      </c>
      <c r="E4339" s="545"/>
      <c r="F4339" s="161">
        <v>177.46</v>
      </c>
      <c r="G4339" s="191"/>
      <c r="H4339" s="191">
        <v>12.23999999694</v>
      </c>
      <c r="I4339" s="191">
        <v>8000</v>
      </c>
      <c r="J4339" s="191"/>
      <c r="K4339" s="191">
        <v>107.15193052376065</v>
      </c>
      <c r="L4339" s="191"/>
      <c r="M4339" s="191"/>
      <c r="N4339" s="191"/>
      <c r="O4339" s="191"/>
      <c r="P4339" s="191"/>
      <c r="Q4339" s="191">
        <v>8.8019999999999995E-7</v>
      </c>
      <c r="R4339" s="191">
        <v>1.3370894686727339E-7</v>
      </c>
      <c r="S4339" s="191">
        <v>1.4856549651919266E-8</v>
      </c>
      <c r="T4339" s="191">
        <v>6.6854473433636697E-8</v>
      </c>
      <c r="U4339" s="439"/>
      <c r="V4339" s="439"/>
      <c r="W4339" s="178">
        <v>30000</v>
      </c>
      <c r="X4339" s="172">
        <f t="shared" si="7"/>
        <v>0.33333333333333331</v>
      </c>
      <c r="Y4339" s="172">
        <f t="shared" si="7"/>
        <v>0.33333333333333331</v>
      </c>
      <c r="Z4339" s="172">
        <f t="shared" si="7"/>
        <v>0.33333333333333331</v>
      </c>
      <c r="AA4339" s="195"/>
      <c r="AB4339" s="159"/>
    </row>
    <row r="4340" spans="1:28" ht="12.75" customHeight="1" x14ac:dyDescent="0.3">
      <c r="A4340" s="161">
        <v>340</v>
      </c>
      <c r="B4340" s="159" t="s">
        <v>2798</v>
      </c>
      <c r="C4340" s="160" t="s">
        <v>2799</v>
      </c>
      <c r="D4340" s="160" t="s">
        <v>620</v>
      </c>
      <c r="E4340" s="545"/>
      <c r="F4340" s="161">
        <v>128.16999999999999</v>
      </c>
      <c r="G4340" s="191"/>
      <c r="H4340" s="191">
        <v>1733.3333329</v>
      </c>
      <c r="I4340" s="191">
        <v>1534</v>
      </c>
      <c r="J4340" s="191"/>
      <c r="K4340" s="191">
        <v>123.02687708123821</v>
      </c>
      <c r="L4340" s="191"/>
      <c r="M4340" s="191"/>
      <c r="N4340" s="191"/>
      <c r="O4340" s="191"/>
      <c r="P4340" s="191"/>
      <c r="Q4340" s="191">
        <v>7.2801299999999995E-6</v>
      </c>
      <c r="R4340" s="191">
        <v>5.3483578746909358E-7</v>
      </c>
      <c r="S4340" s="191">
        <v>5.9426198607677063E-8</v>
      </c>
      <c r="T4340" s="191">
        <v>2.6741789373454679E-7</v>
      </c>
      <c r="U4340" s="439"/>
      <c r="V4340" s="439"/>
      <c r="W4340" s="178">
        <v>30000</v>
      </c>
      <c r="X4340" s="172">
        <f t="shared" si="7"/>
        <v>0.33333333333333331</v>
      </c>
      <c r="Y4340" s="172">
        <f t="shared" si="7"/>
        <v>0.33333333333333331</v>
      </c>
      <c r="Z4340" s="172">
        <f t="shared" si="7"/>
        <v>0.33333333333333331</v>
      </c>
      <c r="AA4340" s="195"/>
      <c r="AB4340" s="159"/>
    </row>
    <row r="4341" spans="1:28" ht="12.75" customHeight="1" x14ac:dyDescent="0.3">
      <c r="A4341" s="161">
        <v>341</v>
      </c>
      <c r="B4341" s="159" t="s">
        <v>2494</v>
      </c>
      <c r="C4341" s="160" t="s">
        <v>2495</v>
      </c>
      <c r="D4341" s="160" t="s">
        <v>620</v>
      </c>
      <c r="E4341" s="545"/>
      <c r="F4341" s="161">
        <v>164.38</v>
      </c>
      <c r="G4341" s="191"/>
      <c r="H4341" s="191">
        <v>3173.3333325399999</v>
      </c>
      <c r="I4341" s="191">
        <v>1620</v>
      </c>
      <c r="J4341" s="191"/>
      <c r="K4341" s="191">
        <v>123.02687708123821</v>
      </c>
      <c r="L4341" s="191"/>
      <c r="M4341" s="191"/>
      <c r="N4341" s="191"/>
      <c r="O4341" s="191"/>
      <c r="P4341" s="191"/>
      <c r="Q4341" s="191">
        <v>9.7500000000000006E-8</v>
      </c>
      <c r="R4341" s="191">
        <v>1.3370894686727339E-7</v>
      </c>
      <c r="S4341" s="191">
        <v>1.4856549651919266E-8</v>
      </c>
      <c r="T4341" s="191">
        <v>2.6741789373454678E-6</v>
      </c>
      <c r="U4341" s="439"/>
      <c r="V4341" s="439"/>
      <c r="W4341" s="178">
        <v>30000</v>
      </c>
      <c r="X4341" s="172">
        <f t="shared" si="7"/>
        <v>0.33333333333333331</v>
      </c>
      <c r="Y4341" s="172">
        <f t="shared" si="7"/>
        <v>0.33333333333333331</v>
      </c>
      <c r="Z4341" s="172">
        <f t="shared" si="7"/>
        <v>0.33333333333333331</v>
      </c>
      <c r="AA4341" s="195"/>
      <c r="AB4341" s="159"/>
    </row>
    <row r="4342" spans="1:28" ht="12.75" customHeight="1" x14ac:dyDescent="0.3">
      <c r="A4342" s="161">
        <v>342</v>
      </c>
      <c r="B4342" s="159" t="s">
        <v>2628</v>
      </c>
      <c r="C4342" s="160" t="s">
        <v>2629</v>
      </c>
      <c r="D4342" s="160" t="s">
        <v>620</v>
      </c>
      <c r="E4342" s="545"/>
      <c r="F4342" s="161">
        <v>207.25</v>
      </c>
      <c r="G4342" s="191"/>
      <c r="H4342" s="191">
        <v>8.8799999977799988E-5</v>
      </c>
      <c r="I4342" s="191">
        <v>12</v>
      </c>
      <c r="J4342" s="191"/>
      <c r="K4342" s="191">
        <v>125.89254117941677</v>
      </c>
      <c r="L4342" s="191"/>
      <c r="M4342" s="191"/>
      <c r="N4342" s="191"/>
      <c r="O4342" s="191"/>
      <c r="P4342" s="191"/>
      <c r="Q4342" s="191">
        <v>1.1602568249999998E-4</v>
      </c>
      <c r="R4342" s="191">
        <v>2.1393431498763744E-7</v>
      </c>
      <c r="S4342" s="191">
        <v>2.3770479443070826E-8</v>
      </c>
      <c r="T4342" s="191">
        <v>1.0418878976670655E-7</v>
      </c>
      <c r="U4342" s="439"/>
      <c r="V4342" s="439"/>
      <c r="W4342" s="178">
        <v>30000</v>
      </c>
      <c r="X4342" s="172">
        <f t="shared" si="7"/>
        <v>0.33333333333333331</v>
      </c>
      <c r="Y4342" s="172">
        <f t="shared" si="7"/>
        <v>0.33333333333333331</v>
      </c>
      <c r="Z4342" s="172">
        <f t="shared" si="7"/>
        <v>0.33333333333333331</v>
      </c>
      <c r="AA4342" s="195"/>
      <c r="AB4342" s="159"/>
    </row>
    <row r="4343" spans="1:28" ht="12.75" customHeight="1" x14ac:dyDescent="0.3">
      <c r="A4343" s="161">
        <v>343</v>
      </c>
      <c r="B4343" s="159" t="s">
        <v>2686</v>
      </c>
      <c r="C4343" s="160" t="s">
        <v>2687</v>
      </c>
      <c r="D4343" s="160" t="s">
        <v>620</v>
      </c>
      <c r="E4343" s="545"/>
      <c r="F4343" s="161">
        <v>158.16</v>
      </c>
      <c r="G4343" s="191"/>
      <c r="H4343" s="191">
        <v>1.4399999996399999E-2</v>
      </c>
      <c r="I4343" s="191">
        <v>1101</v>
      </c>
      <c r="J4343" s="191"/>
      <c r="K4343" s="191">
        <v>128.82495516931343</v>
      </c>
      <c r="L4343" s="191"/>
      <c r="M4343" s="191"/>
      <c r="N4343" s="191"/>
      <c r="O4343" s="191"/>
      <c r="P4343" s="191"/>
      <c r="Q4343" s="191">
        <v>9.7133175000000002E-6</v>
      </c>
      <c r="R4343" s="191">
        <v>5.3483578746909358E-7</v>
      </c>
      <c r="S4343" s="191">
        <v>5.9426198607677063E-8</v>
      </c>
      <c r="T4343" s="191">
        <v>2.6741789373454679E-7</v>
      </c>
      <c r="U4343" s="439"/>
      <c r="V4343" s="439"/>
      <c r="W4343" s="178">
        <v>30000</v>
      </c>
      <c r="X4343" s="172">
        <f t="shared" si="7"/>
        <v>0.33333333333333331</v>
      </c>
      <c r="Y4343" s="172">
        <f t="shared" si="7"/>
        <v>0.33333333333333331</v>
      </c>
      <c r="Z4343" s="172">
        <f t="shared" si="7"/>
        <v>0.33333333333333331</v>
      </c>
      <c r="AA4343" s="195"/>
      <c r="AB4343" s="159"/>
    </row>
    <row r="4344" spans="1:28" ht="12.75" customHeight="1" x14ac:dyDescent="0.3">
      <c r="A4344" s="161">
        <v>344</v>
      </c>
      <c r="B4344" s="159" t="s">
        <v>2529</v>
      </c>
      <c r="C4344" s="160" t="s">
        <v>2530</v>
      </c>
      <c r="D4344" s="160" t="s">
        <v>620</v>
      </c>
      <c r="E4344" s="545"/>
      <c r="F4344" s="161">
        <v>264.29000000000002</v>
      </c>
      <c r="G4344" s="191"/>
      <c r="H4344" s="191">
        <v>2.9066666659399998E-7</v>
      </c>
      <c r="I4344" s="191">
        <v>301.5</v>
      </c>
      <c r="J4344" s="191"/>
      <c r="K4344" s="191">
        <v>134.89628825916537</v>
      </c>
      <c r="L4344" s="191"/>
      <c r="M4344" s="191"/>
      <c r="N4344" s="191"/>
      <c r="O4344" s="191"/>
      <c r="P4344" s="191"/>
      <c r="Q4344" s="191">
        <v>2.1369180000000001E-5</v>
      </c>
      <c r="R4344" s="191">
        <v>2.1393431498763744E-7</v>
      </c>
      <c r="S4344" s="191">
        <v>2.3770479443070826E-8</v>
      </c>
      <c r="T4344" s="191">
        <v>1.0696715749381872E-7</v>
      </c>
      <c r="U4344" s="439"/>
      <c r="V4344" s="439"/>
      <c r="W4344" s="178">
        <v>30000</v>
      </c>
      <c r="X4344" s="172">
        <f t="shared" si="7"/>
        <v>0.33333333333333331</v>
      </c>
      <c r="Y4344" s="172">
        <f t="shared" si="7"/>
        <v>0.33333333333333331</v>
      </c>
      <c r="Z4344" s="172">
        <f t="shared" si="7"/>
        <v>0.33333333333333331</v>
      </c>
      <c r="AA4344" s="195"/>
      <c r="AB4344" s="159"/>
    </row>
    <row r="4345" spans="1:28" ht="12.75" customHeight="1" x14ac:dyDescent="0.3">
      <c r="A4345" s="161">
        <v>345</v>
      </c>
      <c r="B4345" s="159" t="s">
        <v>2848</v>
      </c>
      <c r="C4345" s="160" t="s">
        <v>2849</v>
      </c>
      <c r="D4345" s="160" t="s">
        <v>620</v>
      </c>
      <c r="E4345" s="545"/>
      <c r="F4345" s="161">
        <v>182.14</v>
      </c>
      <c r="G4345" s="191"/>
      <c r="H4345" s="191">
        <v>0.28666666659500001</v>
      </c>
      <c r="I4345" s="191">
        <v>270</v>
      </c>
      <c r="J4345" s="191"/>
      <c r="K4345" s="191">
        <v>151.3561248436209</v>
      </c>
      <c r="L4345" s="191"/>
      <c r="M4345" s="191"/>
      <c r="N4345" s="191"/>
      <c r="O4345" s="191"/>
      <c r="P4345" s="191"/>
      <c r="Q4345" s="191">
        <v>1.436925E-7</v>
      </c>
      <c r="R4345" s="191">
        <v>2.1393431498763744E-7</v>
      </c>
      <c r="S4345" s="191">
        <v>2.3770479443070826E-8</v>
      </c>
      <c r="T4345" s="191">
        <v>1.0696715749381872E-7</v>
      </c>
      <c r="U4345" s="439"/>
      <c r="V4345" s="439"/>
      <c r="W4345" s="178">
        <v>30000</v>
      </c>
      <c r="X4345" s="172">
        <f t="shared" si="7"/>
        <v>0.33333333333333331</v>
      </c>
      <c r="Y4345" s="172">
        <f t="shared" si="7"/>
        <v>0.33333333333333331</v>
      </c>
      <c r="Z4345" s="172">
        <f t="shared" si="7"/>
        <v>0.33333333333333331</v>
      </c>
      <c r="AA4345" s="195"/>
      <c r="AB4345" s="159"/>
    </row>
    <row r="4346" spans="1:28" ht="12.75" customHeight="1" x14ac:dyDescent="0.3">
      <c r="A4346" s="161">
        <v>346</v>
      </c>
      <c r="B4346" s="159" t="s">
        <v>2445</v>
      </c>
      <c r="C4346" s="160" t="s">
        <v>2446</v>
      </c>
      <c r="D4346" s="160" t="s">
        <v>620</v>
      </c>
      <c r="E4346" s="545"/>
      <c r="F4346" s="161">
        <v>240.7</v>
      </c>
      <c r="G4346" s="191"/>
      <c r="H4346" s="191">
        <v>1.8399999995399998E-5</v>
      </c>
      <c r="I4346" s="191">
        <v>170</v>
      </c>
      <c r="J4346" s="191"/>
      <c r="K4346" s="191">
        <v>165.95869074375622</v>
      </c>
      <c r="L4346" s="191"/>
      <c r="M4346" s="191"/>
      <c r="N4346" s="191"/>
      <c r="O4346" s="191"/>
      <c r="P4346" s="191"/>
      <c r="Q4346" s="191">
        <v>6.9791925000000003E-6</v>
      </c>
      <c r="R4346" s="191">
        <v>4.45696489557578E-8</v>
      </c>
      <c r="S4346" s="191">
        <v>4.9521832173064224E-9</v>
      </c>
      <c r="T4346" s="191">
        <v>5.0140855075227523E-7</v>
      </c>
      <c r="U4346" s="439"/>
      <c r="V4346" s="439"/>
      <c r="W4346" s="178">
        <v>30000</v>
      </c>
      <c r="X4346" s="172">
        <f t="shared" si="7"/>
        <v>0.33333333333333331</v>
      </c>
      <c r="Y4346" s="172">
        <f t="shared" si="7"/>
        <v>0.33333333333333331</v>
      </c>
      <c r="Z4346" s="172">
        <f t="shared" si="7"/>
        <v>0.33333333333333331</v>
      </c>
      <c r="AA4346" s="195"/>
      <c r="AB4346" s="159"/>
    </row>
    <row r="4347" spans="1:28" ht="12.75" customHeight="1" x14ac:dyDescent="0.3">
      <c r="A4347" s="161">
        <v>347</v>
      </c>
      <c r="B4347" s="159" t="s">
        <v>2419</v>
      </c>
      <c r="C4347" s="160" t="s">
        <v>2420</v>
      </c>
      <c r="D4347" s="160" t="s">
        <v>620</v>
      </c>
      <c r="E4347" s="545"/>
      <c r="F4347" s="161">
        <v>308.35000000000002</v>
      </c>
      <c r="G4347" s="191"/>
      <c r="H4347" s="191">
        <v>6.6666666650000003E-3</v>
      </c>
      <c r="I4347" s="191">
        <v>2000</v>
      </c>
      <c r="J4347" s="191"/>
      <c r="K4347" s="191">
        <v>169.82436524617444</v>
      </c>
      <c r="L4347" s="191"/>
      <c r="M4347" s="191"/>
      <c r="N4347" s="191"/>
      <c r="O4347" s="191"/>
      <c r="P4347" s="191"/>
      <c r="Q4347" s="191">
        <v>1.1509652999999999E-4</v>
      </c>
      <c r="R4347" s="191">
        <v>2.1393431498763744E-7</v>
      </c>
      <c r="S4347" s="191">
        <v>2.3770479443070826E-8</v>
      </c>
      <c r="T4347" s="191">
        <v>2.6741789373454679E-7</v>
      </c>
      <c r="U4347" s="439"/>
      <c r="V4347" s="439"/>
      <c r="W4347" s="178">
        <v>30000</v>
      </c>
      <c r="X4347" s="172">
        <f t="shared" si="7"/>
        <v>0.33333333333333331</v>
      </c>
      <c r="Y4347" s="172">
        <f t="shared" si="7"/>
        <v>0.33333333333333331</v>
      </c>
      <c r="Z4347" s="172">
        <f t="shared" si="7"/>
        <v>0.33333333333333331</v>
      </c>
      <c r="AA4347" s="195"/>
      <c r="AB4347" s="159"/>
    </row>
    <row r="4348" spans="1:28" ht="12.75" customHeight="1" x14ac:dyDescent="0.3">
      <c r="A4348" s="161">
        <v>348</v>
      </c>
      <c r="B4348" s="159" t="s">
        <v>2872</v>
      </c>
      <c r="C4348" s="160" t="s">
        <v>2873</v>
      </c>
      <c r="D4348" s="160" t="s">
        <v>620</v>
      </c>
      <c r="E4348" s="545"/>
      <c r="F4348" s="161">
        <v>112.99</v>
      </c>
      <c r="G4348" s="191"/>
      <c r="H4348" s="191">
        <v>6773.3333316399994</v>
      </c>
      <c r="I4348" s="191">
        <v>2700</v>
      </c>
      <c r="J4348" s="191"/>
      <c r="K4348" s="191">
        <v>177.82794100389242</v>
      </c>
      <c r="L4348" s="191"/>
      <c r="M4348" s="191"/>
      <c r="N4348" s="191"/>
      <c r="O4348" s="191"/>
      <c r="P4348" s="191"/>
      <c r="Q4348" s="191">
        <v>6.3606749999999999E-7</v>
      </c>
      <c r="R4348" s="191">
        <v>2.1393431498763744E-7</v>
      </c>
      <c r="S4348" s="191">
        <v>2.3770479443070826E-8</v>
      </c>
      <c r="T4348" s="191">
        <v>1.0696715749381872E-7</v>
      </c>
      <c r="U4348" s="439"/>
      <c r="V4348" s="439"/>
      <c r="W4348" s="178">
        <v>30000</v>
      </c>
      <c r="X4348" s="172">
        <f t="shared" si="7"/>
        <v>0.33333333333333331</v>
      </c>
      <c r="Y4348" s="172">
        <f t="shared" si="7"/>
        <v>0.33333333333333331</v>
      </c>
      <c r="Z4348" s="172">
        <f t="shared" si="7"/>
        <v>0.33333333333333331</v>
      </c>
      <c r="AA4348" s="195"/>
      <c r="AB4348" s="159"/>
    </row>
    <row r="4349" spans="1:28" ht="12.75" customHeight="1" x14ac:dyDescent="0.3">
      <c r="A4349" s="161">
        <v>349</v>
      </c>
      <c r="B4349" s="159" t="s">
        <v>2582</v>
      </c>
      <c r="C4349" s="160" t="s">
        <v>2583</v>
      </c>
      <c r="D4349" s="160" t="s">
        <v>620</v>
      </c>
      <c r="E4349" s="545"/>
      <c r="F4349" s="161">
        <v>120.15</v>
      </c>
      <c r="G4349" s="191"/>
      <c r="H4349" s="191">
        <v>33.333333324999998</v>
      </c>
      <c r="I4349" s="191">
        <v>2270</v>
      </c>
      <c r="J4349" s="191"/>
      <c r="K4349" s="191">
        <v>181.9700858609983</v>
      </c>
      <c r="L4349" s="191"/>
      <c r="M4349" s="191"/>
      <c r="N4349" s="191"/>
      <c r="O4349" s="191"/>
      <c r="P4349" s="191"/>
      <c r="Q4349" s="191">
        <v>1.40176875E-5</v>
      </c>
      <c r="R4349" s="191">
        <v>5.3483578746909358E-7</v>
      </c>
      <c r="S4349" s="191">
        <v>5.9426198607677063E-8</v>
      </c>
      <c r="T4349" s="191">
        <v>2.6741789373454679E-7</v>
      </c>
      <c r="U4349" s="439"/>
      <c r="V4349" s="439"/>
      <c r="W4349" s="178">
        <v>30000</v>
      </c>
      <c r="X4349" s="172">
        <f t="shared" si="7"/>
        <v>0.33333333333333331</v>
      </c>
      <c r="Y4349" s="172">
        <f t="shared" si="7"/>
        <v>0.33333333333333331</v>
      </c>
      <c r="Z4349" s="172">
        <f t="shared" si="7"/>
        <v>0.33333333333333331</v>
      </c>
      <c r="AA4349" s="195"/>
      <c r="AB4349" s="159"/>
    </row>
    <row r="4350" spans="1:28" ht="12.75" customHeight="1" x14ac:dyDescent="0.3">
      <c r="A4350" s="161">
        <v>350</v>
      </c>
      <c r="B4350" s="159" t="s">
        <v>2574</v>
      </c>
      <c r="C4350" s="160" t="s">
        <v>2575</v>
      </c>
      <c r="D4350" s="160" t="s">
        <v>620</v>
      </c>
      <c r="E4350" s="545"/>
      <c r="F4350" s="161">
        <v>129.16</v>
      </c>
      <c r="G4350" s="191"/>
      <c r="H4350" s="191">
        <v>115.73333330439999</v>
      </c>
      <c r="I4350" s="191">
        <v>443.6</v>
      </c>
      <c r="J4350" s="191"/>
      <c r="K4350" s="191">
        <v>181.9700858609983</v>
      </c>
      <c r="L4350" s="191"/>
      <c r="M4350" s="191"/>
      <c r="N4350" s="191"/>
      <c r="O4350" s="191"/>
      <c r="P4350" s="191"/>
      <c r="Q4350" s="191">
        <v>1.478442E-5</v>
      </c>
      <c r="R4350" s="191">
        <v>5.3483578746909358E-7</v>
      </c>
      <c r="S4350" s="191">
        <v>5.9426198607677063E-8</v>
      </c>
      <c r="T4350" s="191">
        <v>2.6741789373454679E-7</v>
      </c>
      <c r="U4350" s="439"/>
      <c r="V4350" s="439"/>
      <c r="W4350" s="178">
        <v>30000</v>
      </c>
      <c r="X4350" s="172">
        <f t="shared" si="7"/>
        <v>0.33333333333333331</v>
      </c>
      <c r="Y4350" s="172">
        <f t="shared" si="7"/>
        <v>0.33333333333333331</v>
      </c>
      <c r="Z4350" s="172">
        <f t="shared" si="7"/>
        <v>0.33333333333333331</v>
      </c>
      <c r="AA4350" s="195"/>
      <c r="AB4350" s="159"/>
    </row>
    <row r="4351" spans="1:28" ht="12.75" customHeight="1" x14ac:dyDescent="0.3">
      <c r="A4351" s="161">
        <v>351</v>
      </c>
      <c r="B4351" s="159" t="s">
        <v>2726</v>
      </c>
      <c r="C4351" s="160" t="s">
        <v>2727</v>
      </c>
      <c r="D4351" s="160" t="s">
        <v>620</v>
      </c>
      <c r="E4351" s="545"/>
      <c r="F4351" s="161">
        <v>136.19999999999999</v>
      </c>
      <c r="G4351" s="191"/>
      <c r="H4351" s="191">
        <v>0.67333333316499988</v>
      </c>
      <c r="I4351" s="191">
        <v>3237</v>
      </c>
      <c r="J4351" s="191"/>
      <c r="K4351" s="191">
        <v>186.20871366628685</v>
      </c>
      <c r="L4351" s="191"/>
      <c r="M4351" s="191"/>
      <c r="N4351" s="191"/>
      <c r="O4351" s="191"/>
      <c r="P4351" s="191"/>
      <c r="Q4351" s="191">
        <v>7.8098324999999999E-6</v>
      </c>
      <c r="R4351" s="191">
        <v>5.3483578746909358E-7</v>
      </c>
      <c r="S4351" s="191">
        <v>5.9426198607677063E-8</v>
      </c>
      <c r="T4351" s="191">
        <v>2.6741789373454679E-7</v>
      </c>
      <c r="U4351" s="439"/>
      <c r="V4351" s="439"/>
      <c r="W4351" s="178">
        <v>30000</v>
      </c>
      <c r="X4351" s="172">
        <f t="shared" si="7"/>
        <v>0.33333333333333331</v>
      </c>
      <c r="Y4351" s="172">
        <f t="shared" si="7"/>
        <v>0.33333333333333331</v>
      </c>
      <c r="Z4351" s="172">
        <f t="shared" si="7"/>
        <v>0.33333333333333331</v>
      </c>
      <c r="AA4351" s="195"/>
      <c r="AB4351" s="159"/>
    </row>
    <row r="4352" spans="1:28" ht="12.75" customHeight="1" x14ac:dyDescent="0.3">
      <c r="A4352" s="161">
        <v>352</v>
      </c>
      <c r="B4352" s="159" t="s">
        <v>2436</v>
      </c>
      <c r="C4352" s="160" t="s">
        <v>2437</v>
      </c>
      <c r="D4352" s="160" t="s">
        <v>620</v>
      </c>
      <c r="E4352" s="545"/>
      <c r="F4352" s="161">
        <v>221.26</v>
      </c>
      <c r="G4352" s="191"/>
      <c r="H4352" s="191">
        <v>6.4666666650500001E-4</v>
      </c>
      <c r="I4352" s="191">
        <v>320</v>
      </c>
      <c r="J4352" s="191"/>
      <c r="K4352" s="191">
        <v>208.92961308540396</v>
      </c>
      <c r="L4352" s="191"/>
      <c r="M4352" s="191"/>
      <c r="N4352" s="191"/>
      <c r="O4352" s="191"/>
      <c r="P4352" s="191"/>
      <c r="Q4352" s="191">
        <v>1.9505609999999999E-5</v>
      </c>
      <c r="R4352" s="191">
        <v>2.1393431498763744E-7</v>
      </c>
      <c r="S4352" s="191">
        <v>2.3770479443070826E-8</v>
      </c>
      <c r="T4352" s="191">
        <v>5.7303834371688594E-7</v>
      </c>
      <c r="U4352" s="439"/>
      <c r="V4352" s="439"/>
      <c r="W4352" s="178">
        <v>30000</v>
      </c>
      <c r="X4352" s="172">
        <f t="shared" si="7"/>
        <v>0.33333333333333331</v>
      </c>
      <c r="Y4352" s="172">
        <f t="shared" si="7"/>
        <v>0.33333333333333331</v>
      </c>
      <c r="Z4352" s="172">
        <f t="shared" si="7"/>
        <v>0.33333333333333331</v>
      </c>
      <c r="AA4352" s="195"/>
      <c r="AB4352" s="159"/>
    </row>
    <row r="4353" spans="1:28" ht="12.75" customHeight="1" x14ac:dyDescent="0.3">
      <c r="A4353" s="161">
        <v>353</v>
      </c>
      <c r="B4353" s="159" t="s">
        <v>2881</v>
      </c>
      <c r="C4353" s="160" t="s">
        <v>2882</v>
      </c>
      <c r="D4353" s="160" t="s">
        <v>620</v>
      </c>
      <c r="E4353" s="545"/>
      <c r="F4353" s="161">
        <v>140.57</v>
      </c>
      <c r="G4353" s="191"/>
      <c r="H4353" s="191">
        <v>30.666666659000001</v>
      </c>
      <c r="I4353" s="191">
        <v>852.6</v>
      </c>
      <c r="J4353" s="191"/>
      <c r="K4353" s="191">
        <v>213.79620895022339</v>
      </c>
      <c r="L4353" s="191"/>
      <c r="M4353" s="191"/>
      <c r="N4353" s="191"/>
      <c r="O4353" s="191"/>
      <c r="P4353" s="191"/>
      <c r="Q4353" s="191">
        <v>1.2997267499999999E-5</v>
      </c>
      <c r="R4353" s="191">
        <v>2.1393431498763744E-7</v>
      </c>
      <c r="S4353" s="191">
        <v>2.3770479443070826E-8</v>
      </c>
      <c r="T4353" s="191">
        <v>1.0696715749381872E-7</v>
      </c>
      <c r="U4353" s="439"/>
      <c r="V4353" s="439"/>
      <c r="W4353" s="178">
        <v>30000</v>
      </c>
      <c r="X4353" s="172">
        <f t="shared" si="7"/>
        <v>0.33333333333333331</v>
      </c>
      <c r="Y4353" s="172">
        <f t="shared" si="7"/>
        <v>0.33333333333333331</v>
      </c>
      <c r="Z4353" s="172">
        <f t="shared" si="7"/>
        <v>0.33333333333333331</v>
      </c>
      <c r="AA4353" s="195"/>
      <c r="AB4353" s="159"/>
    </row>
    <row r="4354" spans="1:28" ht="12.75" customHeight="1" x14ac:dyDescent="0.3">
      <c r="A4354" s="161">
        <v>354</v>
      </c>
      <c r="B4354" s="159" t="s">
        <v>2428</v>
      </c>
      <c r="C4354" s="160" t="s">
        <v>2429</v>
      </c>
      <c r="D4354" s="160" t="s">
        <v>620</v>
      </c>
      <c r="E4354" s="545"/>
      <c r="F4354" s="161">
        <v>330.35</v>
      </c>
      <c r="G4354" s="191"/>
      <c r="H4354" s="191">
        <v>4.5066666655399994E-4</v>
      </c>
      <c r="I4354" s="191">
        <v>143</v>
      </c>
      <c r="J4354" s="191"/>
      <c r="K4354" s="191">
        <v>229.08676527677744</v>
      </c>
      <c r="L4354" s="191"/>
      <c r="M4354" s="191"/>
      <c r="N4354" s="191"/>
      <c r="O4354" s="191"/>
      <c r="P4354" s="191"/>
      <c r="Q4354" s="191">
        <v>5.8064850000000004E-5</v>
      </c>
      <c r="R4354" s="191">
        <v>5.3483578746909358E-7</v>
      </c>
      <c r="S4354" s="191">
        <v>5.9426198607677063E-8</v>
      </c>
      <c r="T4354" s="191">
        <v>8.0225368120364038E-6</v>
      </c>
      <c r="U4354" s="439"/>
      <c r="V4354" s="439"/>
      <c r="W4354" s="178">
        <v>30000</v>
      </c>
      <c r="X4354" s="172">
        <f t="shared" si="7"/>
        <v>0.33333333333333331</v>
      </c>
      <c r="Y4354" s="172">
        <f t="shared" si="7"/>
        <v>0.33333333333333331</v>
      </c>
      <c r="Z4354" s="172">
        <f t="shared" si="7"/>
        <v>0.33333333333333331</v>
      </c>
      <c r="AA4354" s="195"/>
      <c r="AB4354" s="159"/>
    </row>
    <row r="4355" spans="1:28" ht="12.75" customHeight="1" x14ac:dyDescent="0.3">
      <c r="A4355" s="161">
        <v>355</v>
      </c>
      <c r="B4355" s="159" t="s">
        <v>2596</v>
      </c>
      <c r="C4355" s="160" t="s">
        <v>2597</v>
      </c>
      <c r="D4355" s="160" t="s">
        <v>620</v>
      </c>
      <c r="E4355" s="545"/>
      <c r="F4355" s="161">
        <v>128.22</v>
      </c>
      <c r="G4355" s="191"/>
      <c r="H4355" s="191">
        <v>179.99999995499999</v>
      </c>
      <c r="I4355" s="191">
        <v>899</v>
      </c>
      <c r="J4355" s="191"/>
      <c r="K4355" s="191">
        <v>234.42288153199232</v>
      </c>
      <c r="L4355" s="191"/>
      <c r="M4355" s="191"/>
      <c r="N4355" s="191"/>
      <c r="O4355" s="191"/>
      <c r="P4355" s="191"/>
      <c r="Q4355" s="191">
        <v>8.2500000000000006E-6</v>
      </c>
      <c r="R4355" s="191">
        <v>5.3483578746909358E-7</v>
      </c>
      <c r="S4355" s="191">
        <v>5.9426198607677063E-8</v>
      </c>
      <c r="T4355" s="191">
        <v>2.6741789373454679E-7</v>
      </c>
      <c r="U4355" s="439"/>
      <c r="V4355" s="439"/>
      <c r="W4355" s="178">
        <v>30000</v>
      </c>
      <c r="X4355" s="172">
        <f t="shared" si="7"/>
        <v>0.33333333333333331</v>
      </c>
      <c r="Y4355" s="172">
        <f t="shared" si="7"/>
        <v>0.33333333333333331</v>
      </c>
      <c r="Z4355" s="172">
        <f t="shared" si="7"/>
        <v>0.33333333333333331</v>
      </c>
      <c r="AA4355" s="195"/>
      <c r="AB4355" s="159"/>
    </row>
    <row r="4356" spans="1:28" ht="12.75" customHeight="1" x14ac:dyDescent="0.3">
      <c r="A4356" s="161">
        <v>356</v>
      </c>
      <c r="B4356" s="159" t="s">
        <v>2590</v>
      </c>
      <c r="C4356" s="160" t="s">
        <v>2591</v>
      </c>
      <c r="D4356" s="160" t="s">
        <v>620</v>
      </c>
      <c r="E4356" s="545"/>
      <c r="F4356" s="161">
        <v>201.89</v>
      </c>
      <c r="G4356" s="191"/>
      <c r="H4356" s="191">
        <v>181.33333328800001</v>
      </c>
      <c r="I4356" s="191">
        <v>1700</v>
      </c>
      <c r="J4356" s="191"/>
      <c r="K4356" s="191">
        <v>234.42288153199232</v>
      </c>
      <c r="L4356" s="191"/>
      <c r="M4356" s="191"/>
      <c r="N4356" s="191"/>
      <c r="O4356" s="191"/>
      <c r="P4356" s="191"/>
      <c r="Q4356" s="191">
        <v>6.3072749999999997E-7</v>
      </c>
      <c r="R4356" s="191">
        <v>5.3483578746909358E-7</v>
      </c>
      <c r="S4356" s="191">
        <v>5.9426198607677063E-8</v>
      </c>
      <c r="T4356" s="191">
        <v>2.6741789373454679E-7</v>
      </c>
      <c r="U4356" s="439"/>
      <c r="V4356" s="439"/>
      <c r="W4356" s="178">
        <v>30000</v>
      </c>
      <c r="X4356" s="172">
        <f t="shared" si="7"/>
        <v>0.33333333333333331</v>
      </c>
      <c r="Y4356" s="172">
        <f t="shared" si="7"/>
        <v>0.33333333333333331</v>
      </c>
      <c r="Z4356" s="172">
        <f t="shared" si="7"/>
        <v>0.33333333333333331</v>
      </c>
      <c r="AA4356" s="195"/>
      <c r="AB4356" s="159"/>
    </row>
    <row r="4357" spans="1:28" ht="12.75" customHeight="1" x14ac:dyDescent="0.3">
      <c r="A4357" s="161">
        <v>357</v>
      </c>
      <c r="B4357" s="159" t="s">
        <v>2646</v>
      </c>
      <c r="C4357" s="160" t="s">
        <v>2647</v>
      </c>
      <c r="D4357" s="160" t="s">
        <v>620</v>
      </c>
      <c r="E4357" s="545"/>
      <c r="F4357" s="161">
        <v>167.85</v>
      </c>
      <c r="G4357" s="191"/>
      <c r="H4357" s="191">
        <v>1773.3333328900001</v>
      </c>
      <c r="I4357" s="191">
        <v>2830</v>
      </c>
      <c r="J4357" s="191"/>
      <c r="K4357" s="191">
        <v>245.4708915685033</v>
      </c>
      <c r="L4357" s="191"/>
      <c r="M4357" s="191"/>
      <c r="N4357" s="191"/>
      <c r="O4357" s="191"/>
      <c r="P4357" s="191"/>
      <c r="Q4357" s="191">
        <v>1.875E-7</v>
      </c>
      <c r="R4357" s="191">
        <v>1.3370894686727339E-7</v>
      </c>
      <c r="S4357" s="191">
        <v>1.4856549651919266E-8</v>
      </c>
      <c r="T4357" s="191">
        <v>6.6854473433636697E-8</v>
      </c>
      <c r="U4357" s="439"/>
      <c r="V4357" s="439"/>
      <c r="W4357" s="178">
        <v>30000</v>
      </c>
      <c r="X4357" s="172">
        <f t="shared" si="7"/>
        <v>0.33333333333333331</v>
      </c>
      <c r="Y4357" s="172">
        <f t="shared" si="7"/>
        <v>0.33333333333333331</v>
      </c>
      <c r="Z4357" s="172">
        <f t="shared" si="7"/>
        <v>0.33333333333333331</v>
      </c>
      <c r="AA4357" s="195"/>
      <c r="AB4357" s="159"/>
    </row>
    <row r="4358" spans="1:28" ht="12.75" customHeight="1" x14ac:dyDescent="0.3">
      <c r="A4358" s="161">
        <v>358</v>
      </c>
      <c r="B4358" s="159" t="s">
        <v>2700</v>
      </c>
      <c r="C4358" s="160" t="s">
        <v>2701</v>
      </c>
      <c r="D4358" s="160" t="s">
        <v>620</v>
      </c>
      <c r="E4358" s="545"/>
      <c r="F4358" s="161">
        <v>202.01</v>
      </c>
      <c r="G4358" s="191"/>
      <c r="H4358" s="191">
        <v>1.6133333329299999</v>
      </c>
      <c r="I4358" s="191">
        <v>122.7</v>
      </c>
      <c r="J4358" s="191"/>
      <c r="K4358" s="191">
        <v>331.13112148259137</v>
      </c>
      <c r="L4358" s="191"/>
      <c r="M4358" s="191"/>
      <c r="N4358" s="191"/>
      <c r="O4358" s="191"/>
      <c r="P4358" s="191"/>
      <c r="Q4358" s="191">
        <v>1.150575E-7</v>
      </c>
      <c r="R4358" s="191">
        <v>2.1393431498763744E-7</v>
      </c>
      <c r="S4358" s="191">
        <v>2.3770479443070826E-8</v>
      </c>
      <c r="T4358" s="191">
        <v>1.0696715749381872E-7</v>
      </c>
      <c r="U4358" s="439"/>
      <c r="V4358" s="439"/>
      <c r="W4358" s="178">
        <v>30000</v>
      </c>
      <c r="X4358" s="172">
        <f t="shared" si="7"/>
        <v>0.33333333333333331</v>
      </c>
      <c r="Y4358" s="172">
        <f t="shared" si="7"/>
        <v>0.33333333333333331</v>
      </c>
      <c r="Z4358" s="172">
        <f t="shared" si="7"/>
        <v>0.33333333333333331</v>
      </c>
      <c r="AA4358" s="195"/>
      <c r="AB4358" s="159"/>
    </row>
    <row r="4359" spans="1:28" ht="12.75" customHeight="1" x14ac:dyDescent="0.3">
      <c r="A4359" s="161">
        <v>359</v>
      </c>
      <c r="B4359" s="159" t="s">
        <v>2533</v>
      </c>
      <c r="C4359" s="160" t="s">
        <v>2534</v>
      </c>
      <c r="D4359" s="160" t="s">
        <v>620</v>
      </c>
      <c r="E4359" s="545"/>
      <c r="F4359" s="161">
        <v>90.55</v>
      </c>
      <c r="G4359" s="191"/>
      <c r="H4359" s="191">
        <v>20533.333328199999</v>
      </c>
      <c r="I4359" s="191">
        <v>1000</v>
      </c>
      <c r="J4359" s="191"/>
      <c r="K4359" s="191">
        <v>380.18939632056163</v>
      </c>
      <c r="L4359" s="191"/>
      <c r="M4359" s="191"/>
      <c r="N4359" s="191"/>
      <c r="O4359" s="191"/>
      <c r="P4359" s="191"/>
      <c r="Q4359" s="191">
        <v>1.3890750000000001E-5</v>
      </c>
      <c r="R4359" s="191">
        <v>5.3483578746909358E-7</v>
      </c>
      <c r="S4359" s="191">
        <v>5.9426198607677063E-8</v>
      </c>
      <c r="T4359" s="191">
        <v>2.6741789373454679E-7</v>
      </c>
      <c r="U4359" s="439"/>
      <c r="V4359" s="439"/>
      <c r="W4359" s="178">
        <v>30000</v>
      </c>
      <c r="X4359" s="172">
        <f t="shared" si="7"/>
        <v>0.33333333333333331</v>
      </c>
      <c r="Y4359" s="172">
        <f t="shared" si="7"/>
        <v>0.33333333333333331</v>
      </c>
      <c r="Z4359" s="172">
        <f t="shared" si="7"/>
        <v>0.33333333333333331</v>
      </c>
      <c r="AA4359" s="195"/>
      <c r="AB4359" s="159"/>
    </row>
    <row r="4360" spans="1:28" ht="12.75" customHeight="1" x14ac:dyDescent="0.3">
      <c r="A4360" s="161">
        <v>360</v>
      </c>
      <c r="B4360" s="159" t="s">
        <v>2780</v>
      </c>
      <c r="C4360" s="160" t="s">
        <v>2781</v>
      </c>
      <c r="D4360" s="160" t="s">
        <v>620</v>
      </c>
      <c r="E4360" s="545"/>
      <c r="F4360" s="161">
        <v>163.13</v>
      </c>
      <c r="G4360" s="191"/>
      <c r="H4360" s="191">
        <v>0.10066666664149999</v>
      </c>
      <c r="I4360" s="191">
        <v>401.9</v>
      </c>
      <c r="J4360" s="191"/>
      <c r="K4360" s="191">
        <v>398.10717055349761</v>
      </c>
      <c r="L4360" s="191"/>
      <c r="M4360" s="191"/>
      <c r="N4360" s="191"/>
      <c r="O4360" s="191"/>
      <c r="P4360" s="191"/>
      <c r="Q4360" s="191">
        <v>2.9164950000000003E-5</v>
      </c>
      <c r="R4360" s="191">
        <v>5.3483578746909358E-7</v>
      </c>
      <c r="S4360" s="191">
        <v>5.9426198607677063E-8</v>
      </c>
      <c r="T4360" s="191">
        <v>2.6741789373454679E-7</v>
      </c>
      <c r="U4360" s="439"/>
      <c r="V4360" s="439"/>
      <c r="W4360" s="178">
        <v>30000</v>
      </c>
      <c r="X4360" s="172">
        <f t="shared" si="7"/>
        <v>0.33333333333333331</v>
      </c>
      <c r="Y4360" s="172">
        <f t="shared" si="7"/>
        <v>0.33333333333333331</v>
      </c>
      <c r="Z4360" s="172">
        <f t="shared" si="7"/>
        <v>0.33333333333333331</v>
      </c>
      <c r="AA4360" s="195"/>
      <c r="AB4360" s="159"/>
    </row>
    <row r="4361" spans="1:28" ht="12.75" customHeight="1" x14ac:dyDescent="0.3">
      <c r="A4361" s="161">
        <v>361</v>
      </c>
      <c r="B4361" s="159" t="s">
        <v>2688</v>
      </c>
      <c r="C4361" s="160" t="s">
        <v>2689</v>
      </c>
      <c r="D4361" s="160" t="s">
        <v>620</v>
      </c>
      <c r="E4361" s="545"/>
      <c r="F4361" s="161">
        <v>92.14</v>
      </c>
      <c r="G4361" s="191"/>
      <c r="H4361" s="191">
        <v>3133.3333325499998</v>
      </c>
      <c r="I4361" s="191">
        <v>620</v>
      </c>
      <c r="J4361" s="191"/>
      <c r="K4361" s="191">
        <v>426.57951880159294</v>
      </c>
      <c r="L4361" s="191"/>
      <c r="M4361" s="191"/>
      <c r="N4361" s="191"/>
      <c r="O4361" s="191"/>
      <c r="P4361" s="191"/>
      <c r="Q4361" s="191">
        <v>7.2674999999999991E-5</v>
      </c>
      <c r="R4361" s="191">
        <v>5.3483578746909358E-7</v>
      </c>
      <c r="S4361" s="191">
        <v>5.9426198607677063E-8</v>
      </c>
      <c r="T4361" s="191">
        <v>2.6741789373454679E-7</v>
      </c>
      <c r="U4361" s="439"/>
      <c r="V4361" s="439"/>
      <c r="W4361" s="178">
        <v>30000</v>
      </c>
      <c r="X4361" s="172">
        <f t="shared" si="7"/>
        <v>0.33333333333333331</v>
      </c>
      <c r="Y4361" s="172">
        <f t="shared" si="7"/>
        <v>0.33333333333333331</v>
      </c>
      <c r="Z4361" s="172">
        <f t="shared" si="7"/>
        <v>0.33333333333333331</v>
      </c>
      <c r="AA4361" s="195"/>
      <c r="AB4361" s="159"/>
    </row>
    <row r="4362" spans="1:28" ht="12.75" customHeight="1" x14ac:dyDescent="0.3">
      <c r="A4362" s="161">
        <v>362</v>
      </c>
      <c r="B4362" s="159" t="s">
        <v>2712</v>
      </c>
      <c r="C4362" s="160" t="s">
        <v>2713</v>
      </c>
      <c r="D4362" s="160" t="s">
        <v>620</v>
      </c>
      <c r="E4362" s="545"/>
      <c r="F4362" s="161">
        <v>142.19999999999999</v>
      </c>
      <c r="G4362" s="191"/>
      <c r="H4362" s="191">
        <v>1439.9999996399999</v>
      </c>
      <c r="I4362" s="191">
        <v>453.8</v>
      </c>
      <c r="J4362" s="191"/>
      <c r="K4362" s="191">
        <v>436.51583224016622</v>
      </c>
      <c r="L4362" s="191"/>
      <c r="M4362" s="191"/>
      <c r="N4362" s="191"/>
      <c r="O4362" s="191"/>
      <c r="P4362" s="191"/>
      <c r="Q4362" s="191">
        <v>8.8525874999999997E-6</v>
      </c>
      <c r="R4362" s="191">
        <v>5.3483578746909358E-7</v>
      </c>
      <c r="S4362" s="191">
        <v>5.9426198607677063E-8</v>
      </c>
      <c r="T4362" s="191">
        <v>2.6741789373454679E-7</v>
      </c>
      <c r="U4362" s="439"/>
      <c r="V4362" s="439"/>
      <c r="W4362" s="178">
        <v>30000</v>
      </c>
      <c r="X4362" s="172">
        <f t="shared" si="7"/>
        <v>0.33333333333333331</v>
      </c>
      <c r="Y4362" s="172">
        <f t="shared" si="7"/>
        <v>0.33333333333333331</v>
      </c>
      <c r="Z4362" s="172">
        <f t="shared" si="7"/>
        <v>0.33333333333333331</v>
      </c>
      <c r="AA4362" s="195"/>
      <c r="AB4362" s="159"/>
    </row>
    <row r="4363" spans="1:28" ht="12.75" customHeight="1" x14ac:dyDescent="0.3">
      <c r="A4363" s="161">
        <v>363</v>
      </c>
      <c r="B4363" s="159" t="s">
        <v>2889</v>
      </c>
      <c r="C4363" s="160" t="s">
        <v>1562</v>
      </c>
      <c r="D4363" s="160" t="s">
        <v>620</v>
      </c>
      <c r="E4363" s="545"/>
      <c r="F4363" s="161">
        <v>142.19999999999999</v>
      </c>
      <c r="G4363" s="191"/>
      <c r="H4363" s="191">
        <v>483.99999987899997</v>
      </c>
      <c r="I4363" s="191">
        <v>1300</v>
      </c>
      <c r="J4363" s="191"/>
      <c r="K4363" s="191">
        <v>457.0881896148756</v>
      </c>
      <c r="L4363" s="191"/>
      <c r="M4363" s="191"/>
      <c r="N4363" s="191"/>
      <c r="O4363" s="191"/>
      <c r="P4363" s="191"/>
      <c r="Q4363" s="191">
        <v>1.7013652499999999E-5</v>
      </c>
      <c r="R4363" s="191">
        <v>5.3483578746909358E-7</v>
      </c>
      <c r="S4363" s="191">
        <v>5.9426198607677063E-8</v>
      </c>
      <c r="T4363" s="191">
        <v>2.6741789373454679E-7</v>
      </c>
      <c r="U4363" s="439"/>
      <c r="V4363" s="439"/>
      <c r="W4363" s="178">
        <v>30000</v>
      </c>
      <c r="X4363" s="172">
        <f t="shared" si="7"/>
        <v>0.33333333333333331</v>
      </c>
      <c r="Y4363" s="172">
        <f t="shared" si="7"/>
        <v>0.33333333333333331</v>
      </c>
      <c r="Z4363" s="172">
        <f t="shared" si="7"/>
        <v>0.33333333333333331</v>
      </c>
      <c r="AA4363" s="195"/>
      <c r="AB4363" s="159"/>
    </row>
    <row r="4364" spans="1:28" ht="12.75" customHeight="1" x14ac:dyDescent="0.3">
      <c r="A4364" s="161">
        <v>364</v>
      </c>
      <c r="B4364" s="159" t="s">
        <v>2610</v>
      </c>
      <c r="C4364" s="160" t="s">
        <v>2611</v>
      </c>
      <c r="D4364" s="160" t="s">
        <v>620</v>
      </c>
      <c r="E4364" s="545"/>
      <c r="F4364" s="161">
        <v>92.14</v>
      </c>
      <c r="G4364" s="191"/>
      <c r="H4364" s="191">
        <v>8813.3333311299994</v>
      </c>
      <c r="I4364" s="191">
        <v>187.3</v>
      </c>
      <c r="J4364" s="191"/>
      <c r="K4364" s="191">
        <v>467.7351412871983</v>
      </c>
      <c r="L4364" s="191"/>
      <c r="M4364" s="191"/>
      <c r="N4364" s="191"/>
      <c r="O4364" s="191"/>
      <c r="P4364" s="191"/>
      <c r="Q4364" s="191">
        <v>9.0000000000000006E-5</v>
      </c>
      <c r="R4364" s="191">
        <v>5.3483578746909358E-7</v>
      </c>
      <c r="S4364" s="191">
        <v>5.9426198607677063E-8</v>
      </c>
      <c r="T4364" s="191">
        <v>2.6741789373454679E-7</v>
      </c>
      <c r="U4364" s="439"/>
      <c r="V4364" s="439"/>
      <c r="W4364" s="178">
        <v>30000</v>
      </c>
      <c r="X4364" s="172">
        <f t="shared" si="7"/>
        <v>0.33333333333333331</v>
      </c>
      <c r="Y4364" s="172">
        <f t="shared" si="7"/>
        <v>0.33333333333333331</v>
      </c>
      <c r="Z4364" s="172">
        <f t="shared" si="7"/>
        <v>0.33333333333333331</v>
      </c>
      <c r="AA4364" s="195"/>
      <c r="AB4364" s="159"/>
    </row>
    <row r="4365" spans="1:28" ht="12.75" customHeight="1" x14ac:dyDescent="0.3">
      <c r="A4365" s="161">
        <v>365</v>
      </c>
      <c r="B4365" s="159" t="s">
        <v>2515</v>
      </c>
      <c r="C4365" s="160" t="s">
        <v>2516</v>
      </c>
      <c r="D4365" s="160" t="s">
        <v>620</v>
      </c>
      <c r="E4365" s="545"/>
      <c r="F4365" s="161">
        <v>150.22</v>
      </c>
      <c r="G4365" s="191"/>
      <c r="H4365" s="191">
        <v>13.733333329899999</v>
      </c>
      <c r="I4365" s="191">
        <v>1300</v>
      </c>
      <c r="J4365" s="191"/>
      <c r="K4365" s="191">
        <v>512.86138399136519</v>
      </c>
      <c r="L4365" s="191"/>
      <c r="M4365" s="191"/>
      <c r="N4365" s="191"/>
      <c r="O4365" s="191"/>
      <c r="P4365" s="191"/>
      <c r="Q4365" s="191">
        <v>1.058989575E-4</v>
      </c>
      <c r="R4365" s="191">
        <v>5.3483578746909358E-7</v>
      </c>
      <c r="S4365" s="191">
        <v>5.9426198607677063E-8</v>
      </c>
      <c r="T4365" s="191">
        <v>2.6741789373454679E-7</v>
      </c>
      <c r="U4365" s="439"/>
      <c r="V4365" s="439"/>
      <c r="W4365" s="178">
        <v>30000</v>
      </c>
      <c r="X4365" s="172">
        <f t="shared" si="7"/>
        <v>0.33333333333333331</v>
      </c>
      <c r="Y4365" s="172">
        <f t="shared" si="7"/>
        <v>0.33333333333333331</v>
      </c>
      <c r="Z4365" s="172">
        <f t="shared" si="7"/>
        <v>0.33333333333333331</v>
      </c>
      <c r="AA4365" s="195"/>
      <c r="AB4365" s="159"/>
    </row>
    <row r="4366" spans="1:28" ht="12.75" customHeight="1" x14ac:dyDescent="0.3">
      <c r="A4366" s="161">
        <v>366</v>
      </c>
      <c r="B4366" s="159" t="s">
        <v>2666</v>
      </c>
      <c r="C4366" s="160" t="s">
        <v>2667</v>
      </c>
      <c r="D4366" s="160" t="s">
        <v>620</v>
      </c>
      <c r="E4366" s="545"/>
      <c r="F4366" s="161">
        <v>218.32</v>
      </c>
      <c r="G4366" s="191"/>
      <c r="H4366" s="191">
        <v>2.2666666661E-2</v>
      </c>
      <c r="I4366" s="191">
        <v>5200</v>
      </c>
      <c r="J4366" s="191"/>
      <c r="K4366" s="191">
        <v>562.34132519034927</v>
      </c>
      <c r="L4366" s="191"/>
      <c r="M4366" s="191"/>
      <c r="N4366" s="191"/>
      <c r="O4366" s="191"/>
      <c r="P4366" s="191"/>
      <c r="Q4366" s="191">
        <v>1.1957580000000001E-5</v>
      </c>
      <c r="R4366" s="191">
        <v>2.1393431498763744E-7</v>
      </c>
      <c r="S4366" s="191">
        <v>2.3770479443070826E-8</v>
      </c>
      <c r="T4366" s="191">
        <v>2.0056342030091009E-6</v>
      </c>
      <c r="U4366" s="439"/>
      <c r="V4366" s="439"/>
      <c r="W4366" s="178">
        <v>30000</v>
      </c>
      <c r="X4366" s="172">
        <f t="shared" si="7"/>
        <v>0.33333333333333331</v>
      </c>
      <c r="Y4366" s="172">
        <f t="shared" si="7"/>
        <v>0.33333333333333331</v>
      </c>
      <c r="Z4366" s="172">
        <f t="shared" si="7"/>
        <v>0.33333333333333331</v>
      </c>
      <c r="AA4366" s="195"/>
      <c r="AB4366" s="159"/>
    </row>
    <row r="4367" spans="1:28" ht="12.75" customHeight="1" x14ac:dyDescent="0.3">
      <c r="A4367" s="161">
        <v>367</v>
      </c>
      <c r="B4367" s="159" t="s">
        <v>2706</v>
      </c>
      <c r="C4367" s="160" t="s">
        <v>2707</v>
      </c>
      <c r="D4367" s="160" t="s">
        <v>620</v>
      </c>
      <c r="E4367" s="545"/>
      <c r="F4367" s="161">
        <v>250.3</v>
      </c>
      <c r="G4367" s="191"/>
      <c r="H4367" s="191">
        <v>0.25999999993499995</v>
      </c>
      <c r="I4367" s="191">
        <v>103.6</v>
      </c>
      <c r="J4367" s="191"/>
      <c r="K4367" s="191">
        <v>575.43993733715706</v>
      </c>
      <c r="L4367" s="191"/>
      <c r="M4367" s="191"/>
      <c r="N4367" s="191"/>
      <c r="O4367" s="191"/>
      <c r="P4367" s="191"/>
      <c r="Q4367" s="191">
        <v>7.1599200000000004E-6</v>
      </c>
      <c r="R4367" s="191">
        <v>5.3483578746909358E-7</v>
      </c>
      <c r="S4367" s="191">
        <v>5.9426198607677063E-8</v>
      </c>
      <c r="T4367" s="191">
        <v>2.6741789373454679E-7</v>
      </c>
      <c r="U4367" s="439"/>
      <c r="V4367" s="439"/>
      <c r="W4367" s="178">
        <v>30000</v>
      </c>
      <c r="X4367" s="172">
        <f t="shared" si="7"/>
        <v>0.33333333333333331</v>
      </c>
      <c r="Y4367" s="172">
        <f t="shared" si="7"/>
        <v>0.33333333333333331</v>
      </c>
      <c r="Z4367" s="172">
        <f t="shared" si="7"/>
        <v>0.33333333333333331</v>
      </c>
      <c r="AA4367" s="195"/>
      <c r="AB4367" s="159"/>
    </row>
    <row r="4368" spans="1:28" ht="12.75" customHeight="1" x14ac:dyDescent="0.3">
      <c r="A4368" s="161">
        <v>368</v>
      </c>
      <c r="B4368" s="159" t="s">
        <v>2714</v>
      </c>
      <c r="C4368" s="160" t="s">
        <v>2715</v>
      </c>
      <c r="D4368" s="160" t="s">
        <v>620</v>
      </c>
      <c r="E4368" s="545"/>
      <c r="F4368" s="161">
        <v>142.59</v>
      </c>
      <c r="G4368" s="191"/>
      <c r="H4368" s="191">
        <v>54.533333319699992</v>
      </c>
      <c r="I4368" s="191">
        <v>237</v>
      </c>
      <c r="J4368" s="191"/>
      <c r="K4368" s="191">
        <v>602.55958607435775</v>
      </c>
      <c r="L4368" s="191"/>
      <c r="M4368" s="191"/>
      <c r="N4368" s="191"/>
      <c r="O4368" s="191"/>
      <c r="P4368" s="191"/>
      <c r="Q4368" s="191">
        <v>5.3311200000000002E-6</v>
      </c>
      <c r="R4368" s="191">
        <v>2.1393431498763744E-7</v>
      </c>
      <c r="S4368" s="191">
        <v>2.3770479443070826E-8</v>
      </c>
      <c r="T4368" s="191">
        <v>1.0696715749381872E-7</v>
      </c>
      <c r="U4368" s="439"/>
      <c r="V4368" s="439"/>
      <c r="W4368" s="178">
        <v>30000</v>
      </c>
      <c r="X4368" s="172">
        <f t="shared" si="7"/>
        <v>0.33333333333333331</v>
      </c>
      <c r="Y4368" s="172">
        <f t="shared" si="7"/>
        <v>0.33333333333333331</v>
      </c>
      <c r="Z4368" s="172">
        <f t="shared" si="7"/>
        <v>0.33333333333333331</v>
      </c>
      <c r="AA4368" s="195"/>
      <c r="AB4368" s="159"/>
    </row>
    <row r="4369" spans="1:28" ht="12.75" customHeight="1" x14ac:dyDescent="0.3">
      <c r="A4369" s="161">
        <v>369</v>
      </c>
      <c r="B4369" s="159" t="s">
        <v>2488</v>
      </c>
      <c r="C4369" s="160" t="s">
        <v>2489</v>
      </c>
      <c r="D4369" s="160" t="s">
        <v>620</v>
      </c>
      <c r="E4369" s="545"/>
      <c r="F4369" s="161">
        <v>317.32</v>
      </c>
      <c r="G4369" s="191"/>
      <c r="H4369" s="191">
        <v>6.5333333316999997E-5</v>
      </c>
      <c r="I4369" s="191">
        <v>24.4</v>
      </c>
      <c r="J4369" s="191"/>
      <c r="K4369" s="191">
        <v>602.55958607435775</v>
      </c>
      <c r="L4369" s="191"/>
      <c r="M4369" s="191"/>
      <c r="N4369" s="191"/>
      <c r="O4369" s="191"/>
      <c r="P4369" s="191"/>
      <c r="Q4369" s="191">
        <v>1.146209325E-4</v>
      </c>
      <c r="R4369" s="191">
        <v>2.1393431498763744E-7</v>
      </c>
      <c r="S4369" s="191">
        <v>2.3770479443070826E-8</v>
      </c>
      <c r="T4369" s="191">
        <v>1.1460766874337719E-6</v>
      </c>
      <c r="U4369" s="439"/>
      <c r="V4369" s="439"/>
      <c r="W4369" s="178">
        <v>30000</v>
      </c>
      <c r="X4369" s="172">
        <f t="shared" si="7"/>
        <v>0.33333333333333331</v>
      </c>
      <c r="Y4369" s="172">
        <f t="shared" si="7"/>
        <v>0.33333333333333331</v>
      </c>
      <c r="Z4369" s="172">
        <f t="shared" si="7"/>
        <v>0.33333333333333331</v>
      </c>
      <c r="AA4369" s="195"/>
      <c r="AB4369" s="159"/>
    </row>
    <row r="4370" spans="1:28" ht="12.75" customHeight="1" x14ac:dyDescent="0.3">
      <c r="A4370" s="161">
        <v>370</v>
      </c>
      <c r="B4370" s="159" t="s">
        <v>2475</v>
      </c>
      <c r="C4370" s="160" t="s">
        <v>849</v>
      </c>
      <c r="D4370" s="160" t="s">
        <v>620</v>
      </c>
      <c r="E4370" s="545"/>
      <c r="F4370" s="161">
        <v>153.82</v>
      </c>
      <c r="G4370" s="191"/>
      <c r="H4370" s="191">
        <v>15333.333329499999</v>
      </c>
      <c r="I4370" s="191">
        <v>793</v>
      </c>
      <c r="J4370" s="191"/>
      <c r="K4370" s="191">
        <v>676.08297539198213</v>
      </c>
      <c r="L4370" s="191"/>
      <c r="M4370" s="191"/>
      <c r="N4370" s="191"/>
      <c r="O4370" s="191"/>
      <c r="P4370" s="191"/>
      <c r="Q4370" s="191"/>
      <c r="R4370" s="191">
        <v>1.3370894686727339E-7</v>
      </c>
      <c r="S4370" s="191">
        <v>1.4856549651919266E-8</v>
      </c>
      <c r="T4370" s="191">
        <v>1.6045073624072808E-6</v>
      </c>
      <c r="U4370" s="439"/>
      <c r="V4370" s="439"/>
      <c r="W4370" s="178">
        <v>30000</v>
      </c>
      <c r="X4370" s="172">
        <f t="shared" si="7"/>
        <v>0.33333333333333331</v>
      </c>
      <c r="Y4370" s="172">
        <f t="shared" si="7"/>
        <v>0.33333333333333331</v>
      </c>
      <c r="Z4370" s="172">
        <f t="shared" si="7"/>
        <v>0.33333333333333331</v>
      </c>
      <c r="AA4370" s="195"/>
      <c r="AB4370" s="159"/>
    </row>
    <row r="4371" spans="1:28" ht="12.75" customHeight="1" x14ac:dyDescent="0.3">
      <c r="A4371" s="161">
        <v>371</v>
      </c>
      <c r="B4371" s="159" t="s">
        <v>26</v>
      </c>
      <c r="C4371" s="160" t="s">
        <v>25</v>
      </c>
      <c r="D4371" s="160" t="s">
        <v>620</v>
      </c>
      <c r="E4371" s="545"/>
      <c r="F4371" s="161">
        <v>112.56</v>
      </c>
      <c r="G4371" s="191"/>
      <c r="H4371" s="191">
        <v>1599.9999995999999</v>
      </c>
      <c r="I4371" s="191">
        <v>498</v>
      </c>
      <c r="J4371" s="191"/>
      <c r="K4371" s="191">
        <v>691.83097091893671</v>
      </c>
      <c r="L4371" s="191"/>
      <c r="M4371" s="191"/>
      <c r="N4371" s="191"/>
      <c r="O4371" s="191"/>
      <c r="P4371" s="191"/>
      <c r="Q4371" s="191">
        <v>5.7749999999999998E-7</v>
      </c>
      <c r="R4371" s="191">
        <v>5.3483578746909358E-7</v>
      </c>
      <c r="S4371" s="191">
        <v>5.9426198607677063E-8</v>
      </c>
      <c r="T4371" s="191">
        <v>2.6741789373454679E-7</v>
      </c>
      <c r="U4371" s="439"/>
      <c r="V4371" s="439"/>
      <c r="W4371" s="178">
        <v>30000</v>
      </c>
      <c r="X4371" s="172">
        <f t="shared" si="7"/>
        <v>0.33333333333333331</v>
      </c>
      <c r="Y4371" s="172">
        <f t="shared" si="7"/>
        <v>0.33333333333333331</v>
      </c>
      <c r="Z4371" s="172">
        <f t="shared" si="7"/>
        <v>0.33333333333333331</v>
      </c>
      <c r="AA4371" s="195"/>
      <c r="AB4371" s="159"/>
    </row>
    <row r="4372" spans="1:28" ht="12.75" customHeight="1" x14ac:dyDescent="0.3">
      <c r="A4372" s="161">
        <v>372</v>
      </c>
      <c r="B4372" s="159" t="s">
        <v>2451</v>
      </c>
      <c r="C4372" s="160" t="s">
        <v>2452</v>
      </c>
      <c r="D4372" s="160" t="s">
        <v>620</v>
      </c>
      <c r="E4372" s="545"/>
      <c r="F4372" s="161">
        <v>263.20999999999998</v>
      </c>
      <c r="G4372" s="191"/>
      <c r="H4372" s="191">
        <v>4.6666666654999995E-4</v>
      </c>
      <c r="I4372" s="191">
        <v>37.700000000000003</v>
      </c>
      <c r="J4372" s="191"/>
      <c r="K4372" s="191">
        <v>724.43596007499025</v>
      </c>
      <c r="L4372" s="191"/>
      <c r="M4372" s="191"/>
      <c r="N4372" s="191"/>
      <c r="O4372" s="191"/>
      <c r="P4372" s="191"/>
      <c r="Q4372" s="191">
        <v>4.4270767499999997E-5</v>
      </c>
      <c r="R4372" s="191">
        <v>2.1393431498763744E-7</v>
      </c>
      <c r="S4372" s="191">
        <v>2.3770479443070826E-8</v>
      </c>
      <c r="T4372" s="191">
        <v>8.0225368120364042E-7</v>
      </c>
      <c r="U4372" s="439"/>
      <c r="V4372" s="439"/>
      <c r="W4372" s="178">
        <v>30000</v>
      </c>
      <c r="X4372" s="172">
        <f t="shared" si="7"/>
        <v>0.33333333333333331</v>
      </c>
      <c r="Y4372" s="172">
        <f t="shared" si="7"/>
        <v>0.33333333333333331</v>
      </c>
      <c r="Z4372" s="172">
        <f t="shared" si="7"/>
        <v>0.33333333333333331</v>
      </c>
      <c r="AA4372" s="195"/>
      <c r="AB4372" s="159"/>
    </row>
    <row r="4373" spans="1:28" ht="12.75" customHeight="1" x14ac:dyDescent="0.3">
      <c r="A4373" s="161">
        <v>373</v>
      </c>
      <c r="B4373" s="159" t="s">
        <v>2602</v>
      </c>
      <c r="C4373" s="160" t="s">
        <v>2603</v>
      </c>
      <c r="D4373" s="160" t="s">
        <v>620</v>
      </c>
      <c r="E4373" s="545"/>
      <c r="F4373" s="161">
        <v>170.6</v>
      </c>
      <c r="G4373" s="191"/>
      <c r="H4373" s="191">
        <v>7.7199999980699996</v>
      </c>
      <c r="I4373" s="191">
        <v>216.3</v>
      </c>
      <c r="J4373" s="191"/>
      <c r="K4373" s="191">
        <v>741.31024130091828</v>
      </c>
      <c r="L4373" s="191"/>
      <c r="M4373" s="191"/>
      <c r="N4373" s="191"/>
      <c r="O4373" s="191"/>
      <c r="P4373" s="191"/>
      <c r="Q4373" s="191">
        <v>4.9370999999999999E-7</v>
      </c>
      <c r="R4373" s="191">
        <v>5.3483578746909358E-7</v>
      </c>
      <c r="S4373" s="191">
        <v>5.9426198607677063E-8</v>
      </c>
      <c r="T4373" s="191">
        <v>2.6741789373454679E-7</v>
      </c>
      <c r="U4373" s="439"/>
      <c r="V4373" s="439"/>
      <c r="W4373" s="178">
        <v>30000</v>
      </c>
      <c r="X4373" s="172">
        <f t="shared" si="7"/>
        <v>0.33333333333333331</v>
      </c>
      <c r="Y4373" s="172">
        <f t="shared" si="7"/>
        <v>0.33333333333333331</v>
      </c>
      <c r="Z4373" s="172">
        <f t="shared" si="7"/>
        <v>0.33333333333333331</v>
      </c>
      <c r="AA4373" s="195"/>
      <c r="AB4373" s="159"/>
    </row>
    <row r="4374" spans="1:28" ht="12.75" customHeight="1" x14ac:dyDescent="0.3">
      <c r="A4374" s="161">
        <v>374</v>
      </c>
      <c r="B4374" s="159" t="s">
        <v>2762</v>
      </c>
      <c r="C4374" s="160" t="s">
        <v>2763</v>
      </c>
      <c r="D4374" s="160" t="s">
        <v>620</v>
      </c>
      <c r="E4374" s="545"/>
      <c r="F4374" s="161">
        <v>176.62</v>
      </c>
      <c r="G4374" s="191"/>
      <c r="H4374" s="191">
        <v>7.7333333313999999</v>
      </c>
      <c r="I4374" s="191">
        <v>175.9</v>
      </c>
      <c r="J4374" s="191"/>
      <c r="K4374" s="191">
        <v>870.96358995608091</v>
      </c>
      <c r="L4374" s="191"/>
      <c r="M4374" s="191"/>
      <c r="N4374" s="191"/>
      <c r="O4374" s="191"/>
      <c r="P4374" s="191"/>
      <c r="Q4374" s="191">
        <v>3.126525E-7</v>
      </c>
      <c r="R4374" s="191">
        <v>5.3483578746909358E-7</v>
      </c>
      <c r="S4374" s="191">
        <v>5.9426198607677063E-8</v>
      </c>
      <c r="T4374" s="191">
        <v>2.6741789373454679E-7</v>
      </c>
      <c r="U4374" s="439"/>
      <c r="V4374" s="439"/>
      <c r="W4374" s="178">
        <v>30000</v>
      </c>
      <c r="X4374" s="172">
        <f t="shared" si="7"/>
        <v>0.33333333333333331</v>
      </c>
      <c r="Y4374" s="172">
        <f t="shared" si="7"/>
        <v>0.33333333333333331</v>
      </c>
      <c r="Z4374" s="172">
        <f t="shared" si="7"/>
        <v>0.33333333333333331</v>
      </c>
      <c r="AA4374" s="195"/>
      <c r="AB4374" s="159"/>
    </row>
    <row r="4375" spans="1:28" ht="12.75" customHeight="1" x14ac:dyDescent="0.3">
      <c r="A4375" s="161">
        <v>375</v>
      </c>
      <c r="B4375" s="159" t="s">
        <v>2682</v>
      </c>
      <c r="C4375" s="160" t="s">
        <v>2683</v>
      </c>
      <c r="D4375" s="160" t="s">
        <v>620</v>
      </c>
      <c r="E4375" s="545"/>
      <c r="F4375" s="161">
        <v>184.02</v>
      </c>
      <c r="G4375" s="191"/>
      <c r="H4375" s="191">
        <v>2279.9999994300001</v>
      </c>
      <c r="I4375" s="191">
        <v>210</v>
      </c>
      <c r="J4375" s="191"/>
      <c r="K4375" s="191">
        <v>977.23722095581138</v>
      </c>
      <c r="L4375" s="191"/>
      <c r="M4375" s="191"/>
      <c r="N4375" s="191"/>
      <c r="O4375" s="191"/>
      <c r="P4375" s="191"/>
      <c r="Q4375" s="191">
        <v>1.4993024999999999E-6</v>
      </c>
      <c r="R4375" s="191">
        <v>5.3483578746909358E-7</v>
      </c>
      <c r="S4375" s="191">
        <v>5.9426198607677063E-8</v>
      </c>
      <c r="T4375" s="191">
        <v>2.6741789373454679E-7</v>
      </c>
      <c r="U4375" s="439"/>
      <c r="V4375" s="439"/>
      <c r="W4375" s="178">
        <v>30000</v>
      </c>
      <c r="X4375" s="172">
        <f t="shared" si="7"/>
        <v>0.33333333333333331</v>
      </c>
      <c r="Y4375" s="172">
        <f t="shared" si="7"/>
        <v>0.33333333333333331</v>
      </c>
      <c r="Z4375" s="172">
        <f t="shared" si="7"/>
        <v>0.33333333333333331</v>
      </c>
      <c r="AA4375" s="195"/>
      <c r="AB4375" s="159"/>
    </row>
    <row r="4376" spans="1:28" ht="12.75" customHeight="1" x14ac:dyDescent="0.3">
      <c r="A4376" s="161">
        <v>376</v>
      </c>
      <c r="B4376" s="159" t="s">
        <v>2742</v>
      </c>
      <c r="C4376" s="160" t="s">
        <v>2743</v>
      </c>
      <c r="D4376" s="160" t="s">
        <v>620</v>
      </c>
      <c r="E4376" s="545"/>
      <c r="F4376" s="161">
        <v>171.58</v>
      </c>
      <c r="G4376" s="191"/>
      <c r="H4376" s="191">
        <v>2.0133333328299998</v>
      </c>
      <c r="I4376" s="191">
        <v>67.180000000000007</v>
      </c>
      <c r="J4376" s="191"/>
      <c r="K4376" s="191">
        <v>1000</v>
      </c>
      <c r="L4376" s="191"/>
      <c r="M4376" s="191"/>
      <c r="N4376" s="191"/>
      <c r="O4376" s="191"/>
      <c r="P4376" s="191"/>
      <c r="Q4376" s="191">
        <v>2.596125E-7</v>
      </c>
      <c r="R4376" s="191">
        <v>2.1393431498763744E-7</v>
      </c>
      <c r="S4376" s="191">
        <v>2.3770479443070826E-8</v>
      </c>
      <c r="T4376" s="191">
        <v>1.0696715749381872E-7</v>
      </c>
      <c r="U4376" s="439"/>
      <c r="V4376" s="439"/>
      <c r="W4376" s="178">
        <v>30000</v>
      </c>
      <c r="X4376" s="172">
        <f t="shared" si="7"/>
        <v>0.33333333333333331</v>
      </c>
      <c r="Y4376" s="172">
        <f t="shared" si="7"/>
        <v>0.33333333333333331</v>
      </c>
      <c r="Z4376" s="172">
        <f t="shared" si="7"/>
        <v>0.33333333333333331</v>
      </c>
      <c r="AA4376" s="195"/>
      <c r="AB4376" s="159"/>
    </row>
    <row r="4377" spans="1:28" ht="12.75" customHeight="1" x14ac:dyDescent="0.3">
      <c r="A4377" s="161">
        <v>377</v>
      </c>
      <c r="B4377" s="159" t="s">
        <v>2547</v>
      </c>
      <c r="C4377" s="160" t="s">
        <v>2548</v>
      </c>
      <c r="D4377" s="160" t="s">
        <v>620</v>
      </c>
      <c r="E4377" s="545"/>
      <c r="F4377" s="161">
        <v>229.32</v>
      </c>
      <c r="G4377" s="191"/>
      <c r="H4377" s="191">
        <v>4.5733333321899993E-5</v>
      </c>
      <c r="I4377" s="191">
        <v>857</v>
      </c>
      <c r="J4377" s="191"/>
      <c r="K4377" s="191">
        <v>1000</v>
      </c>
      <c r="L4377" s="191"/>
      <c r="M4377" s="191"/>
      <c r="N4377" s="191"/>
      <c r="O4377" s="191"/>
      <c r="P4377" s="191"/>
      <c r="Q4377" s="191">
        <v>1.1384817E-4</v>
      </c>
      <c r="R4377" s="191">
        <v>5.3483578746909358E-7</v>
      </c>
      <c r="S4377" s="191">
        <v>5.9426198607677063E-8</v>
      </c>
      <c r="T4377" s="191">
        <v>2.6741789373454679E-7</v>
      </c>
      <c r="U4377" s="439"/>
      <c r="V4377" s="439"/>
      <c r="W4377" s="178">
        <v>30000</v>
      </c>
      <c r="X4377" s="172">
        <f t="shared" si="7"/>
        <v>0.33333333333333331</v>
      </c>
      <c r="Y4377" s="172">
        <f t="shared" si="7"/>
        <v>0.33333333333333331</v>
      </c>
      <c r="Z4377" s="172">
        <f t="shared" si="7"/>
        <v>0.33333333333333331</v>
      </c>
      <c r="AA4377" s="195"/>
      <c r="AB4377" s="159"/>
    </row>
    <row r="4378" spans="1:28" ht="12.75" customHeight="1" x14ac:dyDescent="0.3">
      <c r="A4378" s="161">
        <v>378</v>
      </c>
      <c r="B4378" s="159" t="s">
        <v>2810</v>
      </c>
      <c r="C4378" s="160" t="s">
        <v>2811</v>
      </c>
      <c r="D4378" s="160" t="s">
        <v>620</v>
      </c>
      <c r="E4378" s="545"/>
      <c r="F4378" s="161">
        <v>216.32</v>
      </c>
      <c r="G4378" s="191"/>
      <c r="H4378" s="191">
        <v>1.3333333329999999</v>
      </c>
      <c r="I4378" s="191">
        <v>321.5</v>
      </c>
      <c r="J4378" s="191"/>
      <c r="K4378" s="191">
        <v>1000</v>
      </c>
      <c r="L4378" s="191"/>
      <c r="M4378" s="191"/>
      <c r="N4378" s="191"/>
      <c r="O4378" s="191"/>
      <c r="P4378" s="191"/>
      <c r="Q4378" s="191">
        <v>1.2181484999999999E-5</v>
      </c>
      <c r="R4378" s="191">
        <v>5.3483578746909358E-7</v>
      </c>
      <c r="S4378" s="191">
        <v>5.9426198607677063E-8</v>
      </c>
      <c r="T4378" s="191">
        <v>2.6741789373454679E-7</v>
      </c>
      <c r="U4378" s="439"/>
      <c r="V4378" s="439"/>
      <c r="W4378" s="178">
        <v>30000</v>
      </c>
      <c r="X4378" s="172">
        <f t="shared" si="7"/>
        <v>0.33333333333333331</v>
      </c>
      <c r="Y4378" s="172">
        <f t="shared" si="7"/>
        <v>0.33333333333333331</v>
      </c>
      <c r="Z4378" s="172">
        <f t="shared" si="7"/>
        <v>0.33333333333333331</v>
      </c>
      <c r="AA4378" s="195"/>
      <c r="AB4378" s="159"/>
    </row>
    <row r="4379" spans="1:28" ht="12.75" customHeight="1" x14ac:dyDescent="0.3">
      <c r="A4379" s="161">
        <v>379</v>
      </c>
      <c r="B4379" s="159" t="s">
        <v>2760</v>
      </c>
      <c r="C4379" s="160" t="s">
        <v>2761</v>
      </c>
      <c r="D4379" s="160" t="s">
        <v>620</v>
      </c>
      <c r="E4379" s="545"/>
      <c r="F4379" s="161">
        <v>146.11000000000001</v>
      </c>
      <c r="G4379" s="191"/>
      <c r="H4379" s="191">
        <v>5173.3333320399997</v>
      </c>
      <c r="I4379" s="191">
        <v>140</v>
      </c>
      <c r="J4379" s="191"/>
      <c r="K4379" s="191">
        <v>1023.2929922807547</v>
      </c>
      <c r="L4379" s="191"/>
      <c r="M4379" s="191"/>
      <c r="N4379" s="191"/>
      <c r="O4379" s="191"/>
      <c r="P4379" s="191"/>
      <c r="Q4379" s="191">
        <v>3.4499999999999998E-7</v>
      </c>
      <c r="R4379" s="191">
        <v>2.1393431498763744E-7</v>
      </c>
      <c r="S4379" s="191">
        <v>2.3770479443070826E-8</v>
      </c>
      <c r="T4379" s="191">
        <v>1.0696715749381872E-7</v>
      </c>
      <c r="U4379" s="439"/>
      <c r="V4379" s="439"/>
      <c r="W4379" s="178">
        <v>30000</v>
      </c>
      <c r="X4379" s="172">
        <f t="shared" si="7"/>
        <v>0.33333333333333331</v>
      </c>
      <c r="Y4379" s="172">
        <f t="shared" si="7"/>
        <v>0.33333333333333331</v>
      </c>
      <c r="Z4379" s="172">
        <f t="shared" si="7"/>
        <v>0.33333333333333331</v>
      </c>
      <c r="AA4379" s="195"/>
      <c r="AB4379" s="159"/>
    </row>
    <row r="4380" spans="1:28" ht="12.75" customHeight="1" x14ac:dyDescent="0.3">
      <c r="A4380" s="161">
        <v>380</v>
      </c>
      <c r="B4380" s="159" t="s">
        <v>2668</v>
      </c>
      <c r="C4380" s="160" t="s">
        <v>2669</v>
      </c>
      <c r="D4380" s="160" t="s">
        <v>620</v>
      </c>
      <c r="E4380" s="545"/>
      <c r="F4380" s="161">
        <v>154.25</v>
      </c>
      <c r="G4380" s="191"/>
      <c r="H4380" s="191">
        <v>6.6933333316599999</v>
      </c>
      <c r="I4380" s="191">
        <v>738</v>
      </c>
      <c r="J4380" s="191"/>
      <c r="K4380" s="191">
        <v>1023.2929922807547</v>
      </c>
      <c r="L4380" s="191"/>
      <c r="M4380" s="191"/>
      <c r="N4380" s="191"/>
      <c r="O4380" s="191"/>
      <c r="P4380" s="191"/>
      <c r="Q4380" s="191">
        <v>8.5560299999999995E-6</v>
      </c>
      <c r="R4380" s="191">
        <v>2.1393431498763744E-7</v>
      </c>
      <c r="S4380" s="191">
        <v>2.3770479443070826E-8</v>
      </c>
      <c r="T4380" s="191">
        <v>1.0696715749381872E-7</v>
      </c>
      <c r="U4380" s="439"/>
      <c r="V4380" s="439"/>
      <c r="W4380" s="178">
        <v>30000</v>
      </c>
      <c r="X4380" s="172">
        <f t="shared" si="7"/>
        <v>0.33333333333333331</v>
      </c>
      <c r="Y4380" s="172">
        <f t="shared" si="7"/>
        <v>0.33333333333333331</v>
      </c>
      <c r="Z4380" s="172">
        <f t="shared" si="7"/>
        <v>0.33333333333333331</v>
      </c>
      <c r="AA4380" s="195"/>
      <c r="AB4380" s="159"/>
    </row>
    <row r="4381" spans="1:28" ht="12.75" customHeight="1" x14ac:dyDescent="0.3">
      <c r="A4381" s="161">
        <v>381</v>
      </c>
      <c r="B4381" s="159" t="s">
        <v>2578</v>
      </c>
      <c r="C4381" s="160" t="s">
        <v>2579</v>
      </c>
      <c r="D4381" s="160" t="s">
        <v>620</v>
      </c>
      <c r="E4381" s="545"/>
      <c r="F4381" s="161">
        <v>151.16999999999999</v>
      </c>
      <c r="G4381" s="191"/>
      <c r="H4381" s="191">
        <v>4.6133333321799999</v>
      </c>
      <c r="I4381" s="191">
        <v>78.95</v>
      </c>
      <c r="J4381" s="191"/>
      <c r="K4381" s="191">
        <v>1071.5193052376069</v>
      </c>
      <c r="L4381" s="191"/>
      <c r="M4381" s="191"/>
      <c r="N4381" s="191"/>
      <c r="O4381" s="191"/>
      <c r="P4381" s="191"/>
      <c r="Q4381" s="191">
        <v>1.280115E-6</v>
      </c>
      <c r="R4381" s="191">
        <v>2.1393431498763744E-7</v>
      </c>
      <c r="S4381" s="191">
        <v>2.3770479443070826E-8</v>
      </c>
      <c r="T4381" s="191">
        <v>1.0696715749381872E-7</v>
      </c>
      <c r="U4381" s="439"/>
      <c r="V4381" s="439"/>
      <c r="W4381" s="178">
        <v>30000</v>
      </c>
      <c r="X4381" s="172">
        <f t="shared" si="7"/>
        <v>0.33333333333333331</v>
      </c>
      <c r="Y4381" s="172">
        <f t="shared" si="7"/>
        <v>0.33333333333333331</v>
      </c>
      <c r="Z4381" s="172">
        <f t="shared" si="7"/>
        <v>0.33333333333333331</v>
      </c>
      <c r="AA4381" s="195"/>
      <c r="AB4381" s="159"/>
    </row>
    <row r="4382" spans="1:28" ht="12.75" customHeight="1" x14ac:dyDescent="0.3">
      <c r="A4382" s="161">
        <v>382</v>
      </c>
      <c r="B4382" s="159" t="s">
        <v>2492</v>
      </c>
      <c r="C4382" s="160" t="s">
        <v>2493</v>
      </c>
      <c r="D4382" s="160" t="s">
        <v>620</v>
      </c>
      <c r="E4382" s="545"/>
      <c r="F4382" s="161">
        <v>393.73</v>
      </c>
      <c r="G4382" s="191"/>
      <c r="H4382" s="191">
        <v>3.1599999992099996</v>
      </c>
      <c r="I4382" s="191">
        <v>100</v>
      </c>
      <c r="J4382" s="191"/>
      <c r="K4382" s="191">
        <v>1071.5193052376069</v>
      </c>
      <c r="L4382" s="191"/>
      <c r="M4382" s="191"/>
      <c r="N4382" s="191"/>
      <c r="O4382" s="191"/>
      <c r="P4382" s="191"/>
      <c r="Q4382" s="191">
        <v>2.1661499999999998E-7</v>
      </c>
      <c r="R4382" s="191">
        <v>2.1393431498763744E-7</v>
      </c>
      <c r="S4382" s="191">
        <v>2.3770479443070826E-8</v>
      </c>
      <c r="T4382" s="191">
        <v>1.0696715749381872E-7</v>
      </c>
      <c r="U4382" s="439"/>
      <c r="V4382" s="439"/>
      <c r="W4382" s="178">
        <v>30000</v>
      </c>
      <c r="X4382" s="172">
        <f t="shared" si="7"/>
        <v>0.33333333333333331</v>
      </c>
      <c r="Y4382" s="172">
        <f t="shared" si="7"/>
        <v>0.33333333333333331</v>
      </c>
      <c r="Z4382" s="172">
        <f t="shared" si="7"/>
        <v>0.33333333333333331</v>
      </c>
      <c r="AA4382" s="195"/>
      <c r="AB4382" s="159"/>
    </row>
    <row r="4383" spans="1:28" ht="12.75" customHeight="1" x14ac:dyDescent="0.3">
      <c r="A4383" s="161">
        <v>383</v>
      </c>
      <c r="B4383" s="159" t="s">
        <v>2750</v>
      </c>
      <c r="C4383" s="160" t="s">
        <v>2751</v>
      </c>
      <c r="D4383" s="160" t="s">
        <v>620</v>
      </c>
      <c r="E4383" s="545"/>
      <c r="F4383" s="161">
        <v>208.26</v>
      </c>
      <c r="G4383" s="191"/>
      <c r="H4383" s="191">
        <v>1.0293333330760001E-2</v>
      </c>
      <c r="I4383" s="191">
        <v>92.93</v>
      </c>
      <c r="J4383" s="191"/>
      <c r="K4383" s="191">
        <v>1202.2644346174138</v>
      </c>
      <c r="L4383" s="191"/>
      <c r="M4383" s="191"/>
      <c r="N4383" s="191"/>
      <c r="O4383" s="191"/>
      <c r="P4383" s="191"/>
      <c r="Q4383" s="191">
        <v>1.7512965000000001E-5</v>
      </c>
      <c r="R4383" s="191">
        <v>5.3483578746909358E-7</v>
      </c>
      <c r="S4383" s="191">
        <v>5.9426198607677063E-8</v>
      </c>
      <c r="T4383" s="191">
        <v>2.6741789373454679E-7</v>
      </c>
      <c r="U4383" s="439"/>
      <c r="V4383" s="439"/>
      <c r="W4383" s="178">
        <v>30000</v>
      </c>
      <c r="X4383" s="172">
        <f t="shared" si="7"/>
        <v>0.33333333333333331</v>
      </c>
      <c r="Y4383" s="172">
        <f t="shared" si="7"/>
        <v>0.33333333333333331</v>
      </c>
      <c r="Z4383" s="172">
        <f t="shared" si="7"/>
        <v>0.33333333333333331</v>
      </c>
      <c r="AA4383" s="195"/>
      <c r="AB4383" s="159"/>
    </row>
    <row r="4384" spans="1:28" ht="12.75" customHeight="1" x14ac:dyDescent="0.3">
      <c r="A4384" s="161">
        <v>384</v>
      </c>
      <c r="B4384" s="159" t="s">
        <v>2878</v>
      </c>
      <c r="C4384" s="160" t="s">
        <v>2879</v>
      </c>
      <c r="D4384" s="160" t="s">
        <v>620</v>
      </c>
      <c r="E4384" s="545"/>
      <c r="F4384" s="161">
        <v>171.58</v>
      </c>
      <c r="G4384" s="191"/>
      <c r="H4384" s="191">
        <v>5.0266666654099996</v>
      </c>
      <c r="I4384" s="191">
        <v>56.56</v>
      </c>
      <c r="J4384" s="191"/>
      <c r="K4384" s="191">
        <v>1230.2687708123824</v>
      </c>
      <c r="L4384" s="191"/>
      <c r="M4384" s="191"/>
      <c r="N4384" s="191"/>
      <c r="O4384" s="191"/>
      <c r="P4384" s="191"/>
      <c r="Q4384" s="191">
        <v>2.413125E-7</v>
      </c>
      <c r="R4384" s="191">
        <v>2.1393431498763744E-7</v>
      </c>
      <c r="S4384" s="191">
        <v>2.3770479443070826E-8</v>
      </c>
      <c r="T4384" s="191">
        <v>1.0696715749381872E-7</v>
      </c>
      <c r="U4384" s="439"/>
      <c r="V4384" s="439"/>
      <c r="W4384" s="178">
        <v>30000</v>
      </c>
      <c r="X4384" s="172">
        <f t="shared" si="7"/>
        <v>0.33333333333333331</v>
      </c>
      <c r="Y4384" s="172">
        <f t="shared" si="7"/>
        <v>0.33333333333333331</v>
      </c>
      <c r="Z4384" s="172">
        <f t="shared" si="7"/>
        <v>0.33333333333333331</v>
      </c>
      <c r="AA4384" s="195"/>
      <c r="AB4384" s="159"/>
    </row>
    <row r="4385" spans="1:28" ht="12.75" customHeight="1" x14ac:dyDescent="0.3">
      <c r="A4385" s="161">
        <v>385</v>
      </c>
      <c r="B4385" s="159" t="s">
        <v>2660</v>
      </c>
      <c r="C4385" s="160" t="s">
        <v>2661</v>
      </c>
      <c r="D4385" s="160" t="s">
        <v>620</v>
      </c>
      <c r="E4385" s="545"/>
      <c r="F4385" s="161">
        <v>144.26</v>
      </c>
      <c r="G4385" s="191"/>
      <c r="H4385" s="191">
        <v>39.999999989999999</v>
      </c>
      <c r="I4385" s="191">
        <v>572</v>
      </c>
      <c r="J4385" s="191"/>
      <c r="K4385" s="191">
        <v>1288.2495516931347</v>
      </c>
      <c r="L4385" s="191"/>
      <c r="M4385" s="191"/>
      <c r="N4385" s="191"/>
      <c r="O4385" s="191"/>
      <c r="P4385" s="191"/>
      <c r="Q4385" s="191">
        <v>7.9433324999999996E-6</v>
      </c>
      <c r="R4385" s="191">
        <v>5.3483578746909358E-7</v>
      </c>
      <c r="S4385" s="191">
        <v>5.9426198607677063E-8</v>
      </c>
      <c r="T4385" s="191">
        <v>2.6741789373454679E-7</v>
      </c>
      <c r="U4385" s="439"/>
      <c r="V4385" s="439"/>
      <c r="W4385" s="178">
        <v>30000</v>
      </c>
      <c r="X4385" s="172">
        <f t="shared" si="7"/>
        <v>0.33333333333333331</v>
      </c>
      <c r="Y4385" s="172">
        <f t="shared" si="7"/>
        <v>0.33333333333333331</v>
      </c>
      <c r="Z4385" s="172">
        <f t="shared" si="7"/>
        <v>0.33333333333333331</v>
      </c>
      <c r="AA4385" s="195"/>
      <c r="AB4385" s="159"/>
    </row>
    <row r="4386" spans="1:28" ht="12.75" customHeight="1" x14ac:dyDescent="0.3">
      <c r="A4386" s="161">
        <v>386</v>
      </c>
      <c r="B4386" s="159" t="s">
        <v>2892</v>
      </c>
      <c r="C4386" s="160" t="s">
        <v>1565</v>
      </c>
      <c r="D4386" s="160" t="s">
        <v>620</v>
      </c>
      <c r="E4386" s="545"/>
      <c r="F4386" s="161">
        <v>192</v>
      </c>
      <c r="G4386" s="191"/>
      <c r="H4386" s="191">
        <v>1.3733333329899999</v>
      </c>
      <c r="I4386" s="191">
        <v>121</v>
      </c>
      <c r="J4386" s="191"/>
      <c r="K4386" s="191">
        <v>1318.2567385564089</v>
      </c>
      <c r="L4386" s="191"/>
      <c r="M4386" s="191"/>
      <c r="N4386" s="191"/>
      <c r="O4386" s="191"/>
      <c r="P4386" s="191"/>
      <c r="Q4386" s="191">
        <v>3.7537500000000001E-8</v>
      </c>
      <c r="R4386" s="191">
        <v>1.3370894686727339E-7</v>
      </c>
      <c r="S4386" s="191">
        <v>1.4856549651919266E-8</v>
      </c>
      <c r="T4386" s="191">
        <v>6.6854473433636697E-8</v>
      </c>
      <c r="U4386" s="439"/>
      <c r="V4386" s="439"/>
      <c r="W4386" s="178">
        <v>30000</v>
      </c>
      <c r="X4386" s="172">
        <f t="shared" ref="X4386:Z4449" si="8">1/3</f>
        <v>0.33333333333333331</v>
      </c>
      <c r="Y4386" s="172">
        <f t="shared" si="8"/>
        <v>0.33333333333333331</v>
      </c>
      <c r="Z4386" s="172">
        <f t="shared" si="8"/>
        <v>0.33333333333333331</v>
      </c>
      <c r="AA4386" s="195"/>
      <c r="AB4386" s="159"/>
    </row>
    <row r="4387" spans="1:28" ht="12.75" customHeight="1" x14ac:dyDescent="0.3">
      <c r="A4387" s="161">
        <v>387</v>
      </c>
      <c r="B4387" s="159" t="s">
        <v>2652</v>
      </c>
      <c r="C4387" s="160" t="s">
        <v>2653</v>
      </c>
      <c r="D4387" s="160" t="s">
        <v>620</v>
      </c>
      <c r="E4387" s="545"/>
      <c r="F4387" s="161">
        <v>205.04</v>
      </c>
      <c r="G4387" s="191"/>
      <c r="H4387" s="191">
        <v>2.0266666661599997</v>
      </c>
      <c r="I4387" s="191">
        <v>89.75</v>
      </c>
      <c r="J4387" s="191"/>
      <c r="K4387" s="191">
        <v>1318.2567385564089</v>
      </c>
      <c r="L4387" s="191"/>
      <c r="M4387" s="191"/>
      <c r="N4387" s="191"/>
      <c r="O4387" s="191"/>
      <c r="P4387" s="191"/>
      <c r="Q4387" s="191">
        <v>2.59695E-7</v>
      </c>
      <c r="R4387" s="191">
        <v>2.1393431498763744E-7</v>
      </c>
      <c r="S4387" s="191">
        <v>2.3770479443070826E-8</v>
      </c>
      <c r="T4387" s="191">
        <v>1.0696715749381872E-7</v>
      </c>
      <c r="U4387" s="439"/>
      <c r="V4387" s="439"/>
      <c r="W4387" s="178">
        <v>30000</v>
      </c>
      <c r="X4387" s="172">
        <f t="shared" si="8"/>
        <v>0.33333333333333331</v>
      </c>
      <c r="Y4387" s="172">
        <f t="shared" si="8"/>
        <v>0.33333333333333331</v>
      </c>
      <c r="Z4387" s="172">
        <f t="shared" si="8"/>
        <v>0.33333333333333331</v>
      </c>
      <c r="AA4387" s="195"/>
      <c r="AB4387" s="159"/>
    </row>
    <row r="4388" spans="1:28" ht="12.75" customHeight="1" x14ac:dyDescent="0.3">
      <c r="A4388" s="161">
        <v>388</v>
      </c>
      <c r="B4388" s="159" t="s">
        <v>2563</v>
      </c>
      <c r="C4388" s="160" t="s">
        <v>2564</v>
      </c>
      <c r="D4388" s="160" t="s">
        <v>620</v>
      </c>
      <c r="E4388" s="545"/>
      <c r="F4388" s="161">
        <v>106.17</v>
      </c>
      <c r="G4388" s="191"/>
      <c r="H4388" s="191">
        <v>1065.333333067</v>
      </c>
      <c r="I4388" s="191">
        <v>106</v>
      </c>
      <c r="J4388" s="191"/>
      <c r="K4388" s="191">
        <v>1318.2567385564089</v>
      </c>
      <c r="L4388" s="191"/>
      <c r="M4388" s="191"/>
      <c r="N4388" s="191"/>
      <c r="O4388" s="191"/>
      <c r="P4388" s="191"/>
      <c r="Q4388" s="191">
        <v>1.0275000000000001E-5</v>
      </c>
      <c r="R4388" s="191">
        <v>5.3483578746909358E-7</v>
      </c>
      <c r="S4388" s="191">
        <v>5.9426198607677063E-8</v>
      </c>
      <c r="T4388" s="191">
        <v>2.6741789373454679E-7</v>
      </c>
      <c r="U4388" s="439"/>
      <c r="V4388" s="439"/>
      <c r="W4388" s="178">
        <v>30000</v>
      </c>
      <c r="X4388" s="172">
        <f t="shared" si="8"/>
        <v>0.33333333333333331</v>
      </c>
      <c r="Y4388" s="172">
        <f t="shared" si="8"/>
        <v>0.33333333333333331</v>
      </c>
      <c r="Z4388" s="172">
        <f t="shared" si="8"/>
        <v>0.33333333333333331</v>
      </c>
      <c r="AA4388" s="195"/>
      <c r="AB4388" s="159"/>
    </row>
    <row r="4389" spans="1:28" ht="12.75" customHeight="1" x14ac:dyDescent="0.3">
      <c r="A4389" s="161">
        <v>389</v>
      </c>
      <c r="B4389" s="159" t="s">
        <v>2638</v>
      </c>
      <c r="C4389" s="160" t="s">
        <v>2639</v>
      </c>
      <c r="D4389" s="160" t="s">
        <v>620</v>
      </c>
      <c r="E4389" s="545"/>
      <c r="F4389" s="161">
        <v>331.52</v>
      </c>
      <c r="G4389" s="191"/>
      <c r="H4389" s="191">
        <v>1.2999999996749999E-3</v>
      </c>
      <c r="I4389" s="191">
        <v>130</v>
      </c>
      <c r="J4389" s="191"/>
      <c r="K4389" s="191">
        <v>1348.9628825916541</v>
      </c>
      <c r="L4389" s="191"/>
      <c r="M4389" s="191"/>
      <c r="N4389" s="191"/>
      <c r="O4389" s="191"/>
      <c r="P4389" s="191"/>
      <c r="Q4389" s="191">
        <v>1.8549112499999999E-5</v>
      </c>
      <c r="R4389" s="191">
        <v>1.3370894686727339E-7</v>
      </c>
      <c r="S4389" s="191">
        <v>1.4856549651919266E-8</v>
      </c>
      <c r="T4389" s="191">
        <v>2.005634203009101E-7</v>
      </c>
      <c r="U4389" s="439"/>
      <c r="V4389" s="439"/>
      <c r="W4389" s="178">
        <v>30000</v>
      </c>
      <c r="X4389" s="172">
        <f t="shared" si="8"/>
        <v>0.33333333333333331</v>
      </c>
      <c r="Y4389" s="172">
        <f t="shared" si="8"/>
        <v>0.33333333333333331</v>
      </c>
      <c r="Z4389" s="172">
        <f t="shared" si="8"/>
        <v>0.33333333333333331</v>
      </c>
      <c r="AA4389" s="195"/>
      <c r="AB4389" s="159"/>
    </row>
    <row r="4390" spans="1:28" ht="12.75" customHeight="1" x14ac:dyDescent="0.3">
      <c r="A4390" s="161">
        <v>390</v>
      </c>
      <c r="B4390" s="159" t="s">
        <v>2816</v>
      </c>
      <c r="C4390" s="160" t="s">
        <v>2817</v>
      </c>
      <c r="D4390" s="160" t="s">
        <v>620</v>
      </c>
      <c r="E4390" s="545"/>
      <c r="F4390" s="161">
        <v>282.26</v>
      </c>
      <c r="G4390" s="191"/>
      <c r="H4390" s="191">
        <v>7.9999999979999986E-2</v>
      </c>
      <c r="I4390" s="191">
        <v>2200</v>
      </c>
      <c r="J4390" s="191"/>
      <c r="K4390" s="191">
        <v>1479.1083881682086</v>
      </c>
      <c r="L4390" s="191"/>
      <c r="M4390" s="191"/>
      <c r="N4390" s="191"/>
      <c r="O4390" s="191"/>
      <c r="P4390" s="191"/>
      <c r="Q4390" s="191">
        <v>2.9532599999999999E-6</v>
      </c>
      <c r="R4390" s="191">
        <v>2.1393431498763744E-7</v>
      </c>
      <c r="S4390" s="191">
        <v>2.3770479443070826E-8</v>
      </c>
      <c r="T4390" s="191">
        <v>1.0696715749381872E-7</v>
      </c>
      <c r="U4390" s="439"/>
      <c r="V4390" s="439"/>
      <c r="W4390" s="178">
        <v>30000</v>
      </c>
      <c r="X4390" s="172">
        <f t="shared" si="8"/>
        <v>0.33333333333333331</v>
      </c>
      <c r="Y4390" s="172">
        <f t="shared" si="8"/>
        <v>0.33333333333333331</v>
      </c>
      <c r="Z4390" s="172">
        <f t="shared" si="8"/>
        <v>0.33333333333333331</v>
      </c>
      <c r="AA4390" s="195"/>
      <c r="AB4390" s="159"/>
    </row>
    <row r="4391" spans="1:28" ht="12.75" customHeight="1" x14ac:dyDescent="0.3">
      <c r="A4391" s="161">
        <v>391</v>
      </c>
      <c r="B4391" s="159" t="s">
        <v>2674</v>
      </c>
      <c r="C4391" s="160" t="s">
        <v>2675</v>
      </c>
      <c r="D4391" s="160" t="s">
        <v>620</v>
      </c>
      <c r="E4391" s="545"/>
      <c r="F4391" s="161">
        <v>118.18</v>
      </c>
      <c r="G4391" s="191"/>
      <c r="H4391" s="191">
        <v>195.99999995099998</v>
      </c>
      <c r="I4391" s="191">
        <v>109</v>
      </c>
      <c r="J4391" s="191"/>
      <c r="K4391" s="191">
        <v>1513.5612484362093</v>
      </c>
      <c r="L4391" s="191"/>
      <c r="M4391" s="191"/>
      <c r="N4391" s="191"/>
      <c r="O4391" s="191"/>
      <c r="P4391" s="191"/>
      <c r="Q4391" s="191">
        <v>6.9E-6</v>
      </c>
      <c r="R4391" s="191">
        <v>5.3483578746909358E-7</v>
      </c>
      <c r="S4391" s="191">
        <v>5.9426198607677063E-8</v>
      </c>
      <c r="T4391" s="191">
        <v>2.6741789373454679E-7</v>
      </c>
      <c r="U4391" s="439"/>
      <c r="V4391" s="439"/>
      <c r="W4391" s="178">
        <v>30000</v>
      </c>
      <c r="X4391" s="172">
        <f t="shared" si="8"/>
        <v>0.33333333333333331</v>
      </c>
      <c r="Y4391" s="172">
        <f t="shared" si="8"/>
        <v>0.33333333333333331</v>
      </c>
      <c r="Z4391" s="172">
        <f t="shared" si="8"/>
        <v>0.33333333333333331</v>
      </c>
      <c r="AA4391" s="195"/>
      <c r="AB4391" s="159"/>
    </row>
    <row r="4392" spans="1:28" ht="12.75" customHeight="1" x14ac:dyDescent="0.3">
      <c r="A4392" s="161">
        <v>392</v>
      </c>
      <c r="B4392" s="159" t="s">
        <v>2842</v>
      </c>
      <c r="C4392" s="160" t="s">
        <v>2843</v>
      </c>
      <c r="D4392" s="160" t="s">
        <v>620</v>
      </c>
      <c r="E4392" s="545"/>
      <c r="F4392" s="161">
        <v>364.46</v>
      </c>
      <c r="G4392" s="191"/>
      <c r="H4392" s="191">
        <v>5.3599999986600002E-9</v>
      </c>
      <c r="I4392" s="191">
        <v>100000</v>
      </c>
      <c r="J4392" s="191"/>
      <c r="K4392" s="191">
        <v>1513.5612484362093</v>
      </c>
      <c r="L4392" s="191"/>
      <c r="M4392" s="191"/>
      <c r="N4392" s="191"/>
      <c r="O4392" s="191"/>
      <c r="P4392" s="191"/>
      <c r="Q4392" s="191">
        <v>2.562312E-5</v>
      </c>
      <c r="R4392" s="191">
        <v>2.1393431498763744E-7</v>
      </c>
      <c r="S4392" s="191">
        <v>2.3770479443070826E-8</v>
      </c>
      <c r="T4392" s="191">
        <v>1.0696715749381872E-7</v>
      </c>
      <c r="U4392" s="439"/>
      <c r="V4392" s="439"/>
      <c r="W4392" s="178">
        <v>30000</v>
      </c>
      <c r="X4392" s="172">
        <f t="shared" si="8"/>
        <v>0.33333333333333331</v>
      </c>
      <c r="Y4392" s="172">
        <f t="shared" si="8"/>
        <v>0.33333333333333331</v>
      </c>
      <c r="Z4392" s="172">
        <f t="shared" si="8"/>
        <v>0.33333333333333331</v>
      </c>
      <c r="AA4392" s="195"/>
      <c r="AB4392" s="159"/>
    </row>
    <row r="4393" spans="1:28" ht="12.75" customHeight="1" x14ac:dyDescent="0.3">
      <c r="A4393" s="161">
        <v>393</v>
      </c>
      <c r="B4393" s="159" t="s">
        <v>2782</v>
      </c>
      <c r="C4393" s="160" t="s">
        <v>2783</v>
      </c>
      <c r="D4393" s="160" t="s">
        <v>620</v>
      </c>
      <c r="E4393" s="545"/>
      <c r="F4393" s="161">
        <v>340.34</v>
      </c>
      <c r="G4393" s="191"/>
      <c r="H4393" s="191">
        <v>1.4666666662999999E-6</v>
      </c>
      <c r="I4393" s="191">
        <v>100</v>
      </c>
      <c r="J4393" s="191"/>
      <c r="K4393" s="191">
        <v>1584.8931924611156</v>
      </c>
      <c r="L4393" s="191"/>
      <c r="M4393" s="191"/>
      <c r="N4393" s="191"/>
      <c r="O4393" s="191"/>
      <c r="P4393" s="191"/>
      <c r="Q4393" s="191">
        <v>8.6493809999999989E-5</v>
      </c>
      <c r="R4393" s="191">
        <v>2.1393431498763744E-7</v>
      </c>
      <c r="S4393" s="191">
        <v>2.3770479443070826E-8</v>
      </c>
      <c r="T4393" s="191">
        <v>4.4569648955757796E-7</v>
      </c>
      <c r="U4393" s="439"/>
      <c r="V4393" s="439"/>
      <c r="W4393" s="178">
        <v>30000</v>
      </c>
      <c r="X4393" s="172">
        <f t="shared" si="8"/>
        <v>0.33333333333333331</v>
      </c>
      <c r="Y4393" s="172">
        <f t="shared" si="8"/>
        <v>0.33333333333333331</v>
      </c>
      <c r="Z4393" s="172">
        <f t="shared" si="8"/>
        <v>0.33333333333333331</v>
      </c>
      <c r="AA4393" s="195"/>
      <c r="AB4393" s="159"/>
    </row>
    <row r="4394" spans="1:28" ht="12.75" customHeight="1" x14ac:dyDescent="0.3">
      <c r="A4394" s="161">
        <v>394</v>
      </c>
      <c r="B4394" s="159" t="s">
        <v>2770</v>
      </c>
      <c r="C4394" s="160" t="s">
        <v>2771</v>
      </c>
      <c r="D4394" s="160" t="s">
        <v>620</v>
      </c>
      <c r="E4394" s="545"/>
      <c r="F4394" s="161">
        <v>163.06</v>
      </c>
      <c r="G4394" s="191"/>
      <c r="H4394" s="191">
        <v>331.99999991700003</v>
      </c>
      <c r="I4394" s="191">
        <v>828</v>
      </c>
      <c r="J4394" s="191"/>
      <c r="K4394" s="191">
        <v>1584.8931924611156</v>
      </c>
      <c r="L4394" s="191"/>
      <c r="M4394" s="191"/>
      <c r="N4394" s="191"/>
      <c r="O4394" s="191"/>
      <c r="P4394" s="191"/>
      <c r="Q4394" s="191">
        <v>4.5884025000000002E-6</v>
      </c>
      <c r="R4394" s="191">
        <v>5.3483578746909358E-7</v>
      </c>
      <c r="S4394" s="191">
        <v>5.9426198607677063E-8</v>
      </c>
      <c r="T4394" s="191">
        <v>2.6741789373454679E-7</v>
      </c>
      <c r="U4394" s="439"/>
      <c r="V4394" s="439"/>
      <c r="W4394" s="178">
        <v>30000</v>
      </c>
      <c r="X4394" s="172">
        <f t="shared" si="8"/>
        <v>0.33333333333333331</v>
      </c>
      <c r="Y4394" s="172">
        <f t="shared" si="8"/>
        <v>0.33333333333333331</v>
      </c>
      <c r="Z4394" s="172">
        <f t="shared" si="8"/>
        <v>0.33333333333333331</v>
      </c>
      <c r="AA4394" s="195"/>
      <c r="AB4394" s="159"/>
    </row>
    <row r="4395" spans="1:28" ht="12.75" customHeight="1" x14ac:dyDescent="0.3">
      <c r="A4395" s="161">
        <v>395</v>
      </c>
      <c r="B4395" s="159" t="s">
        <v>2732</v>
      </c>
      <c r="C4395" s="160" t="s">
        <v>2733</v>
      </c>
      <c r="D4395" s="160" t="s">
        <v>620</v>
      </c>
      <c r="E4395" s="545"/>
      <c r="F4395" s="161">
        <v>153.05000000000001</v>
      </c>
      <c r="G4395" s="191"/>
      <c r="H4395" s="191">
        <v>33.999999991499998</v>
      </c>
      <c r="I4395" s="191">
        <v>141.5</v>
      </c>
      <c r="J4395" s="191"/>
      <c r="K4395" s="191">
        <v>1621.8100973589308</v>
      </c>
      <c r="L4395" s="191"/>
      <c r="M4395" s="191"/>
      <c r="N4395" s="191"/>
      <c r="O4395" s="191"/>
      <c r="P4395" s="191"/>
      <c r="Q4395" s="191">
        <v>3.2295825E-6</v>
      </c>
      <c r="R4395" s="191">
        <v>2.1393431498763744E-7</v>
      </c>
      <c r="S4395" s="191">
        <v>2.3770479443070826E-8</v>
      </c>
      <c r="T4395" s="191">
        <v>1.0696715749381872E-7</v>
      </c>
      <c r="U4395" s="439"/>
      <c r="V4395" s="439"/>
      <c r="W4395" s="178">
        <v>30000</v>
      </c>
      <c r="X4395" s="172">
        <f t="shared" si="8"/>
        <v>0.33333333333333331</v>
      </c>
      <c r="Y4395" s="172">
        <f t="shared" si="8"/>
        <v>0.33333333333333331</v>
      </c>
      <c r="Z4395" s="172">
        <f t="shared" si="8"/>
        <v>0.33333333333333331</v>
      </c>
      <c r="AA4395" s="195"/>
      <c r="AB4395" s="159"/>
    </row>
    <row r="4396" spans="1:28" ht="12.75" customHeight="1" x14ac:dyDescent="0.3">
      <c r="A4396" s="161">
        <v>396</v>
      </c>
      <c r="B4396" s="159" t="s">
        <v>2432</v>
      </c>
      <c r="C4396" s="160" t="s">
        <v>2433</v>
      </c>
      <c r="D4396" s="160" t="s">
        <v>620</v>
      </c>
      <c r="E4396" s="545"/>
      <c r="F4396" s="161">
        <v>246.26</v>
      </c>
      <c r="G4396" s="191"/>
      <c r="H4396" s="191">
        <v>0.15466666662799999</v>
      </c>
      <c r="I4396" s="191">
        <v>182</v>
      </c>
      <c r="J4396" s="191"/>
      <c r="K4396" s="191">
        <v>1698.2436524617447</v>
      </c>
      <c r="L4396" s="191"/>
      <c r="M4396" s="191"/>
      <c r="N4396" s="191"/>
      <c r="O4396" s="191"/>
      <c r="P4396" s="191"/>
      <c r="Q4396" s="191">
        <v>4.1798437500000002E-5</v>
      </c>
      <c r="R4396" s="191">
        <v>5.3483578746909358E-7</v>
      </c>
      <c r="S4396" s="191">
        <v>5.9426198607677063E-8</v>
      </c>
      <c r="T4396" s="191">
        <v>2.6741789373454679E-7</v>
      </c>
      <c r="U4396" s="439"/>
      <c r="V4396" s="439"/>
      <c r="W4396" s="178">
        <v>30000</v>
      </c>
      <c r="X4396" s="172">
        <f t="shared" si="8"/>
        <v>0.33333333333333331</v>
      </c>
      <c r="Y4396" s="172">
        <f t="shared" si="8"/>
        <v>0.33333333333333331</v>
      </c>
      <c r="Z4396" s="172">
        <f t="shared" si="8"/>
        <v>0.33333333333333331</v>
      </c>
      <c r="AA4396" s="195"/>
      <c r="AB4396" s="159"/>
    </row>
    <row r="4397" spans="1:28" ht="12.75" customHeight="1" x14ac:dyDescent="0.3">
      <c r="A4397" s="161">
        <v>397</v>
      </c>
      <c r="B4397" s="159" t="s">
        <v>2840</v>
      </c>
      <c r="C4397" s="160" t="s">
        <v>2841</v>
      </c>
      <c r="D4397" s="160" t="s">
        <v>620</v>
      </c>
      <c r="E4397" s="545"/>
      <c r="F4397" s="161">
        <v>349.1</v>
      </c>
      <c r="G4397" s="191"/>
      <c r="H4397" s="191">
        <v>0.35999999990999998</v>
      </c>
      <c r="I4397" s="191">
        <v>65</v>
      </c>
      <c r="J4397" s="191"/>
      <c r="K4397" s="191">
        <v>1737.8008287493772</v>
      </c>
      <c r="L4397" s="191"/>
      <c r="M4397" s="191"/>
      <c r="N4397" s="191"/>
      <c r="O4397" s="191"/>
      <c r="P4397" s="191"/>
      <c r="Q4397" s="191">
        <v>3.202065E-5</v>
      </c>
      <c r="R4397" s="191">
        <v>9.2532143160742838E-7</v>
      </c>
      <c r="S4397" s="191">
        <v>1.0281349240082538E-7</v>
      </c>
      <c r="T4397" s="191">
        <v>4.6266071580371419E-7</v>
      </c>
      <c r="U4397" s="439"/>
      <c r="V4397" s="439"/>
      <c r="W4397" s="178">
        <v>30000</v>
      </c>
      <c r="X4397" s="172">
        <f t="shared" si="8"/>
        <v>0.33333333333333331</v>
      </c>
      <c r="Y4397" s="172">
        <f t="shared" si="8"/>
        <v>0.33333333333333331</v>
      </c>
      <c r="Z4397" s="172">
        <f t="shared" si="8"/>
        <v>0.33333333333333331</v>
      </c>
      <c r="AA4397" s="195"/>
      <c r="AB4397" s="159"/>
    </row>
    <row r="4398" spans="1:28" ht="12.75" customHeight="1" x14ac:dyDescent="0.3">
      <c r="A4398" s="161">
        <v>398</v>
      </c>
      <c r="B4398" s="159" t="s">
        <v>2632</v>
      </c>
      <c r="C4398" s="160" t="s">
        <v>2633</v>
      </c>
      <c r="D4398" s="160" t="s">
        <v>620</v>
      </c>
      <c r="E4398" s="545"/>
      <c r="F4398" s="161">
        <v>177.03</v>
      </c>
      <c r="G4398" s="191"/>
      <c r="H4398" s="191">
        <v>17.4666666623</v>
      </c>
      <c r="I4398" s="191">
        <v>86.9</v>
      </c>
      <c r="J4398" s="191"/>
      <c r="K4398" s="191">
        <v>1737.8008287493772</v>
      </c>
      <c r="L4398" s="191"/>
      <c r="M4398" s="191"/>
      <c r="N4398" s="191"/>
      <c r="O4398" s="191"/>
      <c r="P4398" s="191"/>
      <c r="Q4398" s="191">
        <v>3.93474E-6</v>
      </c>
      <c r="R4398" s="191">
        <v>2.1393431498763744E-7</v>
      </c>
      <c r="S4398" s="191">
        <v>2.3770479443070826E-8</v>
      </c>
      <c r="T4398" s="191">
        <v>1.0696715749381872E-7</v>
      </c>
      <c r="U4398" s="439"/>
      <c r="V4398" s="439"/>
      <c r="W4398" s="178">
        <v>30000</v>
      </c>
      <c r="X4398" s="172">
        <f t="shared" si="8"/>
        <v>0.33333333333333331</v>
      </c>
      <c r="Y4398" s="172">
        <f t="shared" si="8"/>
        <v>0.33333333333333331</v>
      </c>
      <c r="Z4398" s="172">
        <f t="shared" si="8"/>
        <v>0.33333333333333331</v>
      </c>
      <c r="AA4398" s="195"/>
      <c r="AB4398" s="159"/>
    </row>
    <row r="4399" spans="1:28" ht="12.75" customHeight="1" x14ac:dyDescent="0.3">
      <c r="A4399" s="161">
        <v>399</v>
      </c>
      <c r="B4399" s="159" t="s">
        <v>2535</v>
      </c>
      <c r="C4399" s="160" t="s">
        <v>2536</v>
      </c>
      <c r="D4399" s="160" t="s">
        <v>620</v>
      </c>
      <c r="E4399" s="545"/>
      <c r="F4399" s="161">
        <v>214.22</v>
      </c>
      <c r="G4399" s="191"/>
      <c r="H4399" s="191">
        <v>1.9999999994999997E-2</v>
      </c>
      <c r="I4399" s="191">
        <v>58.37</v>
      </c>
      <c r="J4399" s="191"/>
      <c r="K4399" s="191">
        <v>1905.4607179632485</v>
      </c>
      <c r="L4399" s="191"/>
      <c r="M4399" s="191"/>
      <c r="N4399" s="191"/>
      <c r="O4399" s="191"/>
      <c r="P4399" s="191"/>
      <c r="Q4399" s="191">
        <v>3.0164175E-6</v>
      </c>
      <c r="R4399" s="191">
        <v>5.3483578746909358E-7</v>
      </c>
      <c r="S4399" s="191">
        <v>5.9426198607677063E-8</v>
      </c>
      <c r="T4399" s="191">
        <v>2.6741789373454679E-7</v>
      </c>
      <c r="U4399" s="439"/>
      <c r="V4399" s="439"/>
      <c r="W4399" s="178">
        <v>30000</v>
      </c>
      <c r="X4399" s="172">
        <f t="shared" si="8"/>
        <v>0.33333333333333331</v>
      </c>
      <c r="Y4399" s="172">
        <f t="shared" si="8"/>
        <v>0.33333333333333331</v>
      </c>
      <c r="Z4399" s="172">
        <f t="shared" si="8"/>
        <v>0.33333333333333331</v>
      </c>
      <c r="AA4399" s="195"/>
      <c r="AB4399" s="159"/>
    </row>
    <row r="4400" spans="1:28" ht="12.75" customHeight="1" x14ac:dyDescent="0.3">
      <c r="A4400" s="161">
        <v>400</v>
      </c>
      <c r="B4400" s="159" t="s">
        <v>2650</v>
      </c>
      <c r="C4400" s="160" t="s">
        <v>2651</v>
      </c>
      <c r="D4400" s="160" t="s">
        <v>620</v>
      </c>
      <c r="E4400" s="545"/>
      <c r="F4400" s="161">
        <v>542.62</v>
      </c>
      <c r="G4400" s="191"/>
      <c r="H4400" s="191">
        <v>3.1199999992199999E-19</v>
      </c>
      <c r="I4400" s="191">
        <v>0.56169999999999998</v>
      </c>
      <c r="J4400" s="191"/>
      <c r="K4400" s="191">
        <v>2041.7379446695318</v>
      </c>
      <c r="L4400" s="191"/>
      <c r="M4400" s="191"/>
      <c r="N4400" s="191"/>
      <c r="O4400" s="191"/>
      <c r="P4400" s="191"/>
      <c r="Q4400" s="191">
        <v>1.41362175E-5</v>
      </c>
      <c r="R4400" s="191">
        <v>2.1393431498763744E-7</v>
      </c>
      <c r="S4400" s="191">
        <v>2.3770479443070826E-8</v>
      </c>
      <c r="T4400" s="191">
        <v>1.0696715749381872E-7</v>
      </c>
      <c r="U4400" s="439"/>
      <c r="V4400" s="439"/>
      <c r="W4400" s="178">
        <v>30000</v>
      </c>
      <c r="X4400" s="172">
        <f t="shared" si="8"/>
        <v>0.33333333333333331</v>
      </c>
      <c r="Y4400" s="172">
        <f t="shared" si="8"/>
        <v>0.33333333333333331</v>
      </c>
      <c r="Z4400" s="172">
        <f t="shared" si="8"/>
        <v>0.33333333333333331</v>
      </c>
      <c r="AA4400" s="195"/>
      <c r="AB4400" s="159"/>
    </row>
    <row r="4401" spans="1:28" ht="12.75" customHeight="1" x14ac:dyDescent="0.3">
      <c r="A4401" s="161">
        <v>401</v>
      </c>
      <c r="B4401" s="159" t="s">
        <v>2478</v>
      </c>
      <c r="C4401" s="160" t="s">
        <v>2479</v>
      </c>
      <c r="D4401" s="160" t="s">
        <v>620</v>
      </c>
      <c r="E4401" s="545"/>
      <c r="F4401" s="161">
        <v>312.29000000000002</v>
      </c>
      <c r="G4401" s="191"/>
      <c r="H4401" s="191">
        <v>4.8533333321199991E-5</v>
      </c>
      <c r="I4401" s="191">
        <v>114</v>
      </c>
      <c r="J4401" s="191"/>
      <c r="K4401" s="191">
        <v>2187.7616239495528</v>
      </c>
      <c r="L4401" s="191"/>
      <c r="M4401" s="191"/>
      <c r="N4401" s="191"/>
      <c r="O4401" s="191"/>
      <c r="P4401" s="191"/>
      <c r="Q4401" s="191">
        <v>2.561319E-5</v>
      </c>
      <c r="R4401" s="191">
        <v>4.45696489557578E-8</v>
      </c>
      <c r="S4401" s="191">
        <v>4.9521832173064224E-9</v>
      </c>
      <c r="T4401" s="191">
        <v>6.976118966988177E-7</v>
      </c>
      <c r="U4401" s="439"/>
      <c r="V4401" s="439"/>
      <c r="W4401" s="178">
        <v>30000</v>
      </c>
      <c r="X4401" s="172">
        <f t="shared" si="8"/>
        <v>0.33333333333333331</v>
      </c>
      <c r="Y4401" s="172">
        <f t="shared" si="8"/>
        <v>0.33333333333333331</v>
      </c>
      <c r="Z4401" s="172">
        <f t="shared" si="8"/>
        <v>0.33333333333333331</v>
      </c>
      <c r="AA4401" s="195"/>
      <c r="AB4401" s="159"/>
    </row>
    <row r="4402" spans="1:28" ht="12.75" customHeight="1" x14ac:dyDescent="0.3">
      <c r="A4402" s="161">
        <v>402</v>
      </c>
      <c r="B4402" s="159" t="s">
        <v>2513</v>
      </c>
      <c r="C4402" s="160" t="s">
        <v>2514</v>
      </c>
      <c r="D4402" s="160" t="s">
        <v>620</v>
      </c>
      <c r="E4402" s="545"/>
      <c r="F4402" s="161">
        <v>148.21</v>
      </c>
      <c r="G4402" s="191"/>
      <c r="H4402" s="191">
        <v>9.3999999976499993</v>
      </c>
      <c r="I4402" s="191">
        <v>111</v>
      </c>
      <c r="J4402" s="191"/>
      <c r="K4402" s="191">
        <v>2454.7089156850338</v>
      </c>
      <c r="L4402" s="191"/>
      <c r="M4402" s="191"/>
      <c r="N4402" s="191"/>
      <c r="O4402" s="191"/>
      <c r="P4402" s="191"/>
      <c r="Q4402" s="191">
        <v>5.8187069999999995E-5</v>
      </c>
      <c r="R4402" s="191">
        <v>5.3483578746909358E-7</v>
      </c>
      <c r="S4402" s="191">
        <v>5.9426198607677063E-8</v>
      </c>
      <c r="T4402" s="191">
        <v>2.6741789373454679E-7</v>
      </c>
      <c r="U4402" s="439"/>
      <c r="V4402" s="439"/>
      <c r="W4402" s="178">
        <v>30000</v>
      </c>
      <c r="X4402" s="172">
        <f t="shared" si="8"/>
        <v>0.33333333333333331</v>
      </c>
      <c r="Y4402" s="172">
        <f t="shared" si="8"/>
        <v>0.33333333333333331</v>
      </c>
      <c r="Z4402" s="172">
        <f t="shared" si="8"/>
        <v>0.33333333333333331</v>
      </c>
      <c r="AA4402" s="195"/>
      <c r="AB4402" s="159"/>
    </row>
    <row r="4403" spans="1:28" ht="12.75" customHeight="1" x14ac:dyDescent="0.3">
      <c r="A4403" s="161">
        <v>403</v>
      </c>
      <c r="B4403" s="159" t="s">
        <v>2506</v>
      </c>
      <c r="C4403" s="160" t="s">
        <v>2507</v>
      </c>
      <c r="D4403" s="160" t="s">
        <v>620</v>
      </c>
      <c r="E4403" s="545"/>
      <c r="F4403" s="161">
        <v>126.59</v>
      </c>
      <c r="G4403" s="191"/>
      <c r="H4403" s="191">
        <v>457.333333219</v>
      </c>
      <c r="I4403" s="191">
        <v>374</v>
      </c>
      <c r="J4403" s="191"/>
      <c r="K4403" s="191">
        <v>2630.2679918953822</v>
      </c>
      <c r="L4403" s="191"/>
      <c r="M4403" s="191"/>
      <c r="N4403" s="191"/>
      <c r="O4403" s="191"/>
      <c r="P4403" s="191"/>
      <c r="Q4403" s="191">
        <v>1.3630725000000001E-6</v>
      </c>
      <c r="R4403" s="191">
        <v>2.1393431498763744E-7</v>
      </c>
      <c r="S4403" s="191">
        <v>2.3770479443070826E-8</v>
      </c>
      <c r="T4403" s="191">
        <v>1.0696715749381872E-7</v>
      </c>
      <c r="U4403" s="439"/>
      <c r="V4403" s="439"/>
      <c r="W4403" s="178">
        <v>30000</v>
      </c>
      <c r="X4403" s="172">
        <f t="shared" si="8"/>
        <v>0.33333333333333331</v>
      </c>
      <c r="Y4403" s="172">
        <f t="shared" si="8"/>
        <v>0.33333333333333331</v>
      </c>
      <c r="Z4403" s="172">
        <f t="shared" si="8"/>
        <v>0.33333333333333331</v>
      </c>
      <c r="AA4403" s="195"/>
      <c r="AB4403" s="159"/>
    </row>
    <row r="4404" spans="1:28" ht="12.75" customHeight="1" x14ac:dyDescent="0.3">
      <c r="A4404" s="161">
        <v>404</v>
      </c>
      <c r="B4404" s="159" t="s">
        <v>2718</v>
      </c>
      <c r="C4404" s="160" t="s">
        <v>2719</v>
      </c>
      <c r="D4404" s="160" t="s">
        <v>620</v>
      </c>
      <c r="E4404" s="545"/>
      <c r="F4404" s="161">
        <v>96.17</v>
      </c>
      <c r="G4404" s="191"/>
      <c r="H4404" s="191">
        <v>3093.3333325599997</v>
      </c>
      <c r="I4404" s="191">
        <v>66</v>
      </c>
      <c r="J4404" s="191"/>
      <c r="K4404" s="191">
        <v>2818.3829312644561</v>
      </c>
      <c r="L4404" s="191"/>
      <c r="M4404" s="191"/>
      <c r="N4404" s="191"/>
      <c r="O4404" s="191"/>
      <c r="P4404" s="191"/>
      <c r="Q4404" s="191">
        <v>5.5500000000000001E-5</v>
      </c>
      <c r="R4404" s="191">
        <v>5.3483578746909358E-7</v>
      </c>
      <c r="S4404" s="191">
        <v>5.9426198607677063E-8</v>
      </c>
      <c r="T4404" s="191">
        <v>2.6741789373454679E-7</v>
      </c>
      <c r="U4404" s="439"/>
      <c r="V4404" s="439"/>
      <c r="W4404" s="178">
        <v>30000</v>
      </c>
      <c r="X4404" s="172">
        <f t="shared" si="8"/>
        <v>0.33333333333333331</v>
      </c>
      <c r="Y4404" s="172">
        <f t="shared" si="8"/>
        <v>0.33333333333333331</v>
      </c>
      <c r="Z4404" s="172">
        <f t="shared" si="8"/>
        <v>0.33333333333333331</v>
      </c>
      <c r="AA4404" s="195"/>
      <c r="AB4404" s="159"/>
    </row>
    <row r="4405" spans="1:28" ht="12.75" customHeight="1" x14ac:dyDescent="0.3">
      <c r="A4405" s="161">
        <v>405</v>
      </c>
      <c r="B4405" s="159" t="s">
        <v>2748</v>
      </c>
      <c r="C4405" s="160" t="s">
        <v>2749</v>
      </c>
      <c r="D4405" s="160" t="s">
        <v>620</v>
      </c>
      <c r="E4405" s="545"/>
      <c r="F4405" s="161">
        <v>158.19999999999999</v>
      </c>
      <c r="G4405" s="191"/>
      <c r="H4405" s="191">
        <v>0.35599999991100001</v>
      </c>
      <c r="I4405" s="191">
        <v>75.88</v>
      </c>
      <c r="J4405" s="191"/>
      <c r="K4405" s="191">
        <v>2951.2092266663899</v>
      </c>
      <c r="L4405" s="191"/>
      <c r="M4405" s="191"/>
      <c r="N4405" s="191"/>
      <c r="O4405" s="191"/>
      <c r="P4405" s="191"/>
      <c r="Q4405" s="191">
        <v>1.5062220749999998E-4</v>
      </c>
      <c r="R4405" s="191">
        <v>5.3483578746909358E-7</v>
      </c>
      <c r="S4405" s="191">
        <v>5.9426198607677063E-8</v>
      </c>
      <c r="T4405" s="191">
        <v>2.6741789373454679E-7</v>
      </c>
      <c r="U4405" s="439"/>
      <c r="V4405" s="439"/>
      <c r="W4405" s="178">
        <v>30000</v>
      </c>
      <c r="X4405" s="172">
        <f t="shared" si="8"/>
        <v>0.33333333333333331</v>
      </c>
      <c r="Y4405" s="172">
        <f t="shared" si="8"/>
        <v>0.33333333333333331</v>
      </c>
      <c r="Z4405" s="172">
        <f t="shared" si="8"/>
        <v>0.33333333333333331</v>
      </c>
      <c r="AA4405" s="195"/>
      <c r="AB4405" s="159"/>
    </row>
    <row r="4406" spans="1:28" ht="12.75" customHeight="1" x14ac:dyDescent="0.3">
      <c r="A4406" s="161">
        <v>406</v>
      </c>
      <c r="B4406" s="159" t="s">
        <v>2537</v>
      </c>
      <c r="C4406" s="160" t="s">
        <v>2538</v>
      </c>
      <c r="D4406" s="160" t="s">
        <v>620</v>
      </c>
      <c r="E4406" s="545"/>
      <c r="F4406" s="161">
        <v>148.21</v>
      </c>
      <c r="G4406" s="191"/>
      <c r="H4406" s="191">
        <v>21.999999994500001</v>
      </c>
      <c r="I4406" s="191">
        <v>178</v>
      </c>
      <c r="J4406" s="191"/>
      <c r="K4406" s="191">
        <v>2951.2092266663899</v>
      </c>
      <c r="L4406" s="191"/>
      <c r="M4406" s="191"/>
      <c r="N4406" s="191"/>
      <c r="O4406" s="191"/>
      <c r="P4406" s="191"/>
      <c r="Q4406" s="191">
        <v>4.0696739999999996E-5</v>
      </c>
      <c r="R4406" s="191">
        <v>2.1393431498763744E-7</v>
      </c>
      <c r="S4406" s="191">
        <v>2.3770479443070826E-8</v>
      </c>
      <c r="T4406" s="191">
        <v>1.0696715749381872E-7</v>
      </c>
      <c r="U4406" s="439"/>
      <c r="V4406" s="439"/>
      <c r="W4406" s="178">
        <v>30000</v>
      </c>
      <c r="X4406" s="172">
        <f t="shared" si="8"/>
        <v>0.33333333333333331</v>
      </c>
      <c r="Y4406" s="172">
        <f t="shared" si="8"/>
        <v>0.33333333333333331</v>
      </c>
      <c r="Z4406" s="172">
        <f t="shared" si="8"/>
        <v>0.33333333333333331</v>
      </c>
      <c r="AA4406" s="195"/>
      <c r="AB4406" s="159"/>
    </row>
    <row r="4407" spans="1:28" ht="12.75" customHeight="1" x14ac:dyDescent="0.3">
      <c r="A4407" s="161">
        <v>407</v>
      </c>
      <c r="B4407" s="159" t="s">
        <v>2636</v>
      </c>
      <c r="C4407" s="160" t="s">
        <v>2637</v>
      </c>
      <c r="D4407" s="160" t="s">
        <v>620</v>
      </c>
      <c r="E4407" s="545"/>
      <c r="F4407" s="161">
        <v>163.24</v>
      </c>
      <c r="G4407" s="191"/>
      <c r="H4407" s="191">
        <v>1.5066666662899999</v>
      </c>
      <c r="I4407" s="191">
        <v>110</v>
      </c>
      <c r="J4407" s="191"/>
      <c r="K4407" s="191">
        <v>2951.2092266663899</v>
      </c>
      <c r="L4407" s="191"/>
      <c r="M4407" s="191"/>
      <c r="N4407" s="191"/>
      <c r="O4407" s="191"/>
      <c r="P4407" s="191"/>
      <c r="Q4407" s="191">
        <v>5.3570325000000003E-6</v>
      </c>
      <c r="R4407" s="191">
        <v>5.3483578746909358E-7</v>
      </c>
      <c r="S4407" s="191">
        <v>5.9426198607677063E-8</v>
      </c>
      <c r="T4407" s="191">
        <v>2.6741789373454679E-7</v>
      </c>
      <c r="U4407" s="439"/>
      <c r="V4407" s="439"/>
      <c r="W4407" s="178">
        <v>30000</v>
      </c>
      <c r="X4407" s="172">
        <f t="shared" si="8"/>
        <v>0.33333333333333331</v>
      </c>
      <c r="Y4407" s="172">
        <f t="shared" si="8"/>
        <v>0.33333333333333331</v>
      </c>
      <c r="Z4407" s="172">
        <f t="shared" si="8"/>
        <v>0.33333333333333331</v>
      </c>
      <c r="AA4407" s="195"/>
      <c r="AB4407" s="159"/>
    </row>
    <row r="4408" spans="1:28" ht="12.75" customHeight="1" x14ac:dyDescent="0.3">
      <c r="A4408" s="161">
        <v>408</v>
      </c>
      <c r="B4408" s="159" t="s">
        <v>2784</v>
      </c>
      <c r="C4408" s="160" t="s">
        <v>2785</v>
      </c>
      <c r="D4408" s="160" t="s">
        <v>620</v>
      </c>
      <c r="E4408" s="545"/>
      <c r="F4408" s="161">
        <v>132.21</v>
      </c>
      <c r="G4408" s="191"/>
      <c r="H4408" s="191">
        <v>49.066666654399995</v>
      </c>
      <c r="I4408" s="191">
        <v>47</v>
      </c>
      <c r="J4408" s="191"/>
      <c r="K4408" s="191">
        <v>3090.295432513592</v>
      </c>
      <c r="L4408" s="191"/>
      <c r="M4408" s="191"/>
      <c r="N4408" s="191"/>
      <c r="O4408" s="191"/>
      <c r="P4408" s="191"/>
      <c r="Q4408" s="191">
        <v>2.5725000000000002E-5</v>
      </c>
      <c r="R4408" s="191">
        <v>5.3483578746909358E-7</v>
      </c>
      <c r="S4408" s="191">
        <v>5.9426198607677063E-8</v>
      </c>
      <c r="T4408" s="191">
        <v>2.6741789373454679E-7</v>
      </c>
      <c r="U4408" s="439"/>
      <c r="V4408" s="439"/>
      <c r="W4408" s="178">
        <v>30000</v>
      </c>
      <c r="X4408" s="172">
        <f t="shared" si="8"/>
        <v>0.33333333333333331</v>
      </c>
      <c r="Y4408" s="172">
        <f t="shared" si="8"/>
        <v>0.33333333333333331</v>
      </c>
      <c r="Z4408" s="172">
        <f t="shared" si="8"/>
        <v>0.33333333333333331</v>
      </c>
      <c r="AA4408" s="195"/>
      <c r="AB4408" s="159"/>
    </row>
    <row r="4409" spans="1:28" ht="12.75" customHeight="1" x14ac:dyDescent="0.3">
      <c r="A4409" s="161">
        <v>409</v>
      </c>
      <c r="B4409" s="159" t="s">
        <v>2634</v>
      </c>
      <c r="C4409" s="160" t="s">
        <v>2635</v>
      </c>
      <c r="D4409" s="160" t="s">
        <v>620</v>
      </c>
      <c r="E4409" s="545"/>
      <c r="F4409" s="161">
        <v>251.33</v>
      </c>
      <c r="G4409" s="191"/>
      <c r="H4409" s="191">
        <v>1.8666666662</v>
      </c>
      <c r="I4409" s="191">
        <v>22.49</v>
      </c>
      <c r="J4409" s="191"/>
      <c r="K4409" s="191">
        <v>3388.4415613920255</v>
      </c>
      <c r="L4409" s="191"/>
      <c r="M4409" s="191"/>
      <c r="N4409" s="191"/>
      <c r="O4409" s="191"/>
      <c r="P4409" s="191"/>
      <c r="Q4409" s="191">
        <v>8.234999999999999E-9</v>
      </c>
      <c r="R4409" s="191">
        <v>4.45696489557578E-8</v>
      </c>
      <c r="S4409" s="191">
        <v>4.9521832173064224E-9</v>
      </c>
      <c r="T4409" s="191">
        <v>2.22848244778789E-8</v>
      </c>
      <c r="U4409" s="439"/>
      <c r="V4409" s="439"/>
      <c r="W4409" s="178">
        <v>30000</v>
      </c>
      <c r="X4409" s="172">
        <f t="shared" si="8"/>
        <v>0.33333333333333331</v>
      </c>
      <c r="Y4409" s="172">
        <f t="shared" si="8"/>
        <v>0.33333333333333331</v>
      </c>
      <c r="Z4409" s="172">
        <f t="shared" si="8"/>
        <v>0.33333333333333331</v>
      </c>
      <c r="AA4409" s="195"/>
      <c r="AB4409" s="159"/>
    </row>
    <row r="4410" spans="1:28" ht="12.75" customHeight="1" x14ac:dyDescent="0.3">
      <c r="A4410" s="161">
        <v>410</v>
      </c>
      <c r="B4410" s="159" t="s">
        <v>2768</v>
      </c>
      <c r="C4410" s="160" t="s">
        <v>2769</v>
      </c>
      <c r="D4410" s="160" t="s">
        <v>620</v>
      </c>
      <c r="E4410" s="545"/>
      <c r="F4410" s="161">
        <v>154.25</v>
      </c>
      <c r="G4410" s="191"/>
      <c r="H4410" s="191">
        <v>3.9999999989999995</v>
      </c>
      <c r="I4410" s="191">
        <v>100</v>
      </c>
      <c r="J4410" s="191"/>
      <c r="K4410" s="191">
        <v>3630.7805477010188</v>
      </c>
      <c r="L4410" s="191"/>
      <c r="M4410" s="191"/>
      <c r="N4410" s="191"/>
      <c r="O4410" s="191"/>
      <c r="P4410" s="191"/>
      <c r="Q4410" s="191">
        <v>1.3493598E-4</v>
      </c>
      <c r="R4410" s="191">
        <v>5.3483578746909358E-7</v>
      </c>
      <c r="S4410" s="191">
        <v>5.9426198607677063E-8</v>
      </c>
      <c r="T4410" s="191">
        <v>2.6741789373454679E-7</v>
      </c>
      <c r="U4410" s="439"/>
      <c r="V4410" s="439"/>
      <c r="W4410" s="178">
        <v>30000</v>
      </c>
      <c r="X4410" s="172">
        <f t="shared" si="8"/>
        <v>0.33333333333333331</v>
      </c>
      <c r="Y4410" s="172">
        <f t="shared" si="8"/>
        <v>0.33333333333333331</v>
      </c>
      <c r="Z4410" s="172">
        <f t="shared" si="8"/>
        <v>0.33333333333333331</v>
      </c>
      <c r="AA4410" s="195"/>
      <c r="AB4410" s="159"/>
    </row>
    <row r="4411" spans="1:28" ht="12.75" customHeight="1" x14ac:dyDescent="0.3">
      <c r="A4411" s="161">
        <v>411</v>
      </c>
      <c r="B4411" s="159" t="s">
        <v>2790</v>
      </c>
      <c r="C4411" s="160" t="s">
        <v>2791</v>
      </c>
      <c r="D4411" s="160" t="s">
        <v>620</v>
      </c>
      <c r="E4411" s="545"/>
      <c r="F4411" s="161">
        <v>266.32</v>
      </c>
      <c r="G4411" s="191"/>
      <c r="H4411" s="191">
        <v>1.7066666662400001</v>
      </c>
      <c r="I4411" s="191">
        <v>16.22</v>
      </c>
      <c r="J4411" s="191"/>
      <c r="K4411" s="191">
        <v>3981.0717055349769</v>
      </c>
      <c r="L4411" s="191"/>
      <c r="M4411" s="191"/>
      <c r="N4411" s="191"/>
      <c r="O4411" s="191"/>
      <c r="P4411" s="191"/>
      <c r="Q4411" s="191">
        <v>5.9111032500000003E-5</v>
      </c>
      <c r="R4411" s="191">
        <v>5.3483578746909358E-7</v>
      </c>
      <c r="S4411" s="191">
        <v>5.9426198607677063E-8</v>
      </c>
      <c r="T4411" s="191">
        <v>2.6741789373454679E-7</v>
      </c>
      <c r="U4411" s="439"/>
      <c r="V4411" s="439"/>
      <c r="W4411" s="178">
        <v>30000</v>
      </c>
      <c r="X4411" s="172">
        <f t="shared" si="8"/>
        <v>0.33333333333333331</v>
      </c>
      <c r="Y4411" s="172">
        <f t="shared" si="8"/>
        <v>0.33333333333333331</v>
      </c>
      <c r="Z4411" s="172">
        <f t="shared" si="8"/>
        <v>0.33333333333333331</v>
      </c>
      <c r="AA4411" s="195"/>
      <c r="AB4411" s="159"/>
    </row>
    <row r="4412" spans="1:28" ht="12.75" customHeight="1" x14ac:dyDescent="0.3">
      <c r="A4412" s="161">
        <v>412</v>
      </c>
      <c r="B4412" s="159" t="s">
        <v>2764</v>
      </c>
      <c r="C4412" s="160" t="s">
        <v>2765</v>
      </c>
      <c r="D4412" s="160" t="s">
        <v>620</v>
      </c>
      <c r="E4412" s="545"/>
      <c r="F4412" s="161">
        <v>211.55</v>
      </c>
      <c r="G4412" s="191"/>
      <c r="H4412" s="191">
        <v>56.799999985799992</v>
      </c>
      <c r="I4412" s="191">
        <v>31.9</v>
      </c>
      <c r="J4412" s="191"/>
      <c r="K4412" s="191">
        <v>3981.0717055349769</v>
      </c>
      <c r="L4412" s="191"/>
      <c r="M4412" s="191"/>
      <c r="N4412" s="191"/>
      <c r="O4412" s="191"/>
      <c r="P4412" s="191"/>
      <c r="Q4412" s="191">
        <v>1.46238E-6</v>
      </c>
      <c r="R4412" s="191">
        <v>5.3483578746909358E-7</v>
      </c>
      <c r="S4412" s="191">
        <v>5.9426198607677063E-8</v>
      </c>
      <c r="T4412" s="191">
        <v>2.6741789373454679E-7</v>
      </c>
      <c r="U4412" s="439"/>
      <c r="V4412" s="439"/>
      <c r="W4412" s="178">
        <v>30000</v>
      </c>
      <c r="X4412" s="172">
        <f t="shared" si="8"/>
        <v>0.33333333333333331</v>
      </c>
      <c r="Y4412" s="172">
        <f t="shared" si="8"/>
        <v>0.33333333333333331</v>
      </c>
      <c r="Z4412" s="172">
        <f t="shared" si="8"/>
        <v>0.33333333333333331</v>
      </c>
      <c r="AA4412" s="195"/>
      <c r="AB4412" s="159"/>
    </row>
    <row r="4413" spans="1:28" ht="12.75" customHeight="1" x14ac:dyDescent="0.3">
      <c r="A4413" s="161">
        <v>413</v>
      </c>
      <c r="B4413" s="159" t="s">
        <v>2828</v>
      </c>
      <c r="C4413" s="160" t="s">
        <v>2829</v>
      </c>
      <c r="D4413" s="160" t="s">
        <v>620</v>
      </c>
      <c r="E4413" s="545"/>
      <c r="F4413" s="161">
        <v>369.03</v>
      </c>
      <c r="G4413" s="191"/>
      <c r="H4413" s="191">
        <v>6.6533333316700001E-10</v>
      </c>
      <c r="I4413" s="191">
        <v>1.2</v>
      </c>
      <c r="J4413" s="191"/>
      <c r="K4413" s="191">
        <v>4168.6938347033583</v>
      </c>
      <c r="L4413" s="191"/>
      <c r="M4413" s="191"/>
      <c r="N4413" s="191"/>
      <c r="O4413" s="191"/>
      <c r="P4413" s="191"/>
      <c r="Q4413" s="191">
        <v>4.3871474999999998E-6</v>
      </c>
      <c r="R4413" s="191">
        <v>2.1393431498763744E-7</v>
      </c>
      <c r="S4413" s="191">
        <v>2.3770479443070826E-8</v>
      </c>
      <c r="T4413" s="191">
        <v>1.0696715749381872E-7</v>
      </c>
      <c r="U4413" s="439"/>
      <c r="V4413" s="439"/>
      <c r="W4413" s="178">
        <v>30000</v>
      </c>
      <c r="X4413" s="172">
        <f t="shared" si="8"/>
        <v>0.33333333333333331</v>
      </c>
      <c r="Y4413" s="172">
        <f t="shared" si="8"/>
        <v>0.33333333333333331</v>
      </c>
      <c r="Z4413" s="172">
        <f t="shared" si="8"/>
        <v>0.33333333333333331</v>
      </c>
      <c r="AA4413" s="195"/>
      <c r="AB4413" s="159"/>
    </row>
    <row r="4414" spans="1:28" ht="12.75" customHeight="1" x14ac:dyDescent="0.3">
      <c r="A4414" s="161">
        <v>414</v>
      </c>
      <c r="B4414" s="159" t="s">
        <v>2588</v>
      </c>
      <c r="C4414" s="160" t="s">
        <v>2589</v>
      </c>
      <c r="D4414" s="160" t="s">
        <v>620</v>
      </c>
      <c r="E4414" s="545"/>
      <c r="F4414" s="161">
        <v>146.29</v>
      </c>
      <c r="G4414" s="191"/>
      <c r="H4414" s="191">
        <v>557.33333319399992</v>
      </c>
      <c r="I4414" s="191">
        <v>60.91</v>
      </c>
      <c r="J4414" s="191"/>
      <c r="K4414" s="191">
        <v>4365.1583224016631</v>
      </c>
      <c r="L4414" s="191"/>
      <c r="M4414" s="191"/>
      <c r="N4414" s="191"/>
      <c r="O4414" s="191"/>
      <c r="P4414" s="191"/>
      <c r="Q4414" s="191">
        <v>2.02776E-6</v>
      </c>
      <c r="R4414" s="191">
        <v>2.1393431498763744E-7</v>
      </c>
      <c r="S4414" s="191">
        <v>2.3770479443070826E-8</v>
      </c>
      <c r="T4414" s="191">
        <v>1.0696715749381872E-7</v>
      </c>
      <c r="U4414" s="439"/>
      <c r="V4414" s="439"/>
      <c r="W4414" s="178">
        <v>30000</v>
      </c>
      <c r="X4414" s="172">
        <f t="shared" si="8"/>
        <v>0.33333333333333331</v>
      </c>
      <c r="Y4414" s="172">
        <f t="shared" si="8"/>
        <v>0.33333333333333331</v>
      </c>
      <c r="Z4414" s="172">
        <f t="shared" si="8"/>
        <v>0.33333333333333331</v>
      </c>
      <c r="AA4414" s="195"/>
      <c r="AB4414" s="159"/>
    </row>
    <row r="4415" spans="1:28" ht="12.75" customHeight="1" x14ac:dyDescent="0.3">
      <c r="A4415" s="161">
        <v>415</v>
      </c>
      <c r="B4415" s="159" t="s">
        <v>2724</v>
      </c>
      <c r="C4415" s="160" t="s">
        <v>2725</v>
      </c>
      <c r="D4415" s="160" t="s">
        <v>620</v>
      </c>
      <c r="E4415" s="545"/>
      <c r="F4415" s="161">
        <v>304.33999999999997</v>
      </c>
      <c r="G4415" s="191"/>
      <c r="H4415" s="191">
        <v>1.1999999996999999E-4</v>
      </c>
      <c r="I4415" s="191">
        <v>125</v>
      </c>
      <c r="J4415" s="191"/>
      <c r="K4415" s="191">
        <v>4677.3514128719844</v>
      </c>
      <c r="L4415" s="191"/>
      <c r="M4415" s="191"/>
      <c r="N4415" s="191"/>
      <c r="O4415" s="191"/>
      <c r="P4415" s="191"/>
      <c r="Q4415" s="191">
        <v>4.5020984999999994E-5</v>
      </c>
      <c r="R4415" s="191">
        <v>2.1393431498763744E-7</v>
      </c>
      <c r="S4415" s="191">
        <v>2.3770479443070826E-8</v>
      </c>
      <c r="T4415" s="191">
        <v>1.0696715749381872E-7</v>
      </c>
      <c r="U4415" s="439"/>
      <c r="V4415" s="439"/>
      <c r="W4415" s="178">
        <v>30000</v>
      </c>
      <c r="X4415" s="172">
        <f t="shared" si="8"/>
        <v>0.33333333333333331</v>
      </c>
      <c r="Y4415" s="172">
        <f t="shared" si="8"/>
        <v>0.33333333333333331</v>
      </c>
      <c r="Z4415" s="172">
        <f t="shared" si="8"/>
        <v>0.33333333333333331</v>
      </c>
      <c r="AA4415" s="195"/>
      <c r="AB4415" s="159"/>
    </row>
    <row r="4416" spans="1:28" ht="12.75" customHeight="1" x14ac:dyDescent="0.3">
      <c r="A4416" s="161">
        <v>416</v>
      </c>
      <c r="B4416" s="159" t="s">
        <v>2620</v>
      </c>
      <c r="C4416" s="160" t="s">
        <v>2621</v>
      </c>
      <c r="D4416" s="160" t="s">
        <v>620</v>
      </c>
      <c r="E4416" s="545"/>
      <c r="F4416" s="161">
        <v>134.22</v>
      </c>
      <c r="G4416" s="191"/>
      <c r="H4416" s="191">
        <v>139.999999965</v>
      </c>
      <c r="I4416" s="191">
        <v>71.099999999999994</v>
      </c>
      <c r="J4416" s="191"/>
      <c r="K4416" s="191">
        <v>5248.0746024977352</v>
      </c>
      <c r="L4416" s="191"/>
      <c r="M4416" s="191"/>
      <c r="N4416" s="191"/>
      <c r="O4416" s="191"/>
      <c r="P4416" s="191"/>
      <c r="Q4416" s="191">
        <v>6.0790424999999993E-6</v>
      </c>
      <c r="R4416" s="191">
        <v>5.3483578746909358E-7</v>
      </c>
      <c r="S4416" s="191">
        <v>5.9426198607677063E-8</v>
      </c>
      <c r="T4416" s="191">
        <v>2.6741789373454679E-7</v>
      </c>
      <c r="U4416" s="439"/>
      <c r="V4416" s="439"/>
      <c r="W4416" s="178">
        <v>30000</v>
      </c>
      <c r="X4416" s="172">
        <f t="shared" si="8"/>
        <v>0.33333333333333331</v>
      </c>
      <c r="Y4416" s="172">
        <f t="shared" si="8"/>
        <v>0.33333333333333331</v>
      </c>
      <c r="Z4416" s="172">
        <f t="shared" si="8"/>
        <v>0.33333333333333331</v>
      </c>
      <c r="AA4416" s="195"/>
      <c r="AB4416" s="159"/>
    </row>
    <row r="4417" spans="1:28" ht="12.75" customHeight="1" x14ac:dyDescent="0.3">
      <c r="A4417" s="161">
        <v>417</v>
      </c>
      <c r="B4417" s="159" t="s">
        <v>2794</v>
      </c>
      <c r="C4417" s="160" t="s">
        <v>2795</v>
      </c>
      <c r="D4417" s="160" t="s">
        <v>620</v>
      </c>
      <c r="E4417" s="545"/>
      <c r="F4417" s="161">
        <v>144.26</v>
      </c>
      <c r="G4417" s="191"/>
      <c r="H4417" s="191">
        <v>3.0266666659100001</v>
      </c>
      <c r="I4417" s="191">
        <v>140</v>
      </c>
      <c r="J4417" s="191"/>
      <c r="K4417" s="191">
        <v>5888.4365535558973</v>
      </c>
      <c r="L4417" s="191"/>
      <c r="M4417" s="191"/>
      <c r="N4417" s="191"/>
      <c r="O4417" s="191"/>
      <c r="P4417" s="191"/>
      <c r="Q4417" s="191">
        <v>1.0466445E-5</v>
      </c>
      <c r="R4417" s="191">
        <v>9.2532143160742838E-7</v>
      </c>
      <c r="S4417" s="191">
        <v>1.0281349240082538E-7</v>
      </c>
      <c r="T4417" s="191">
        <v>4.6266071580371419E-7</v>
      </c>
      <c r="U4417" s="439"/>
      <c r="V4417" s="439"/>
      <c r="W4417" s="178">
        <v>30000</v>
      </c>
      <c r="X4417" s="172">
        <f t="shared" si="8"/>
        <v>0.33333333333333331</v>
      </c>
      <c r="Y4417" s="172">
        <f t="shared" si="8"/>
        <v>0.33333333333333331</v>
      </c>
      <c r="Z4417" s="172">
        <f t="shared" si="8"/>
        <v>0.33333333333333331</v>
      </c>
      <c r="AA4417" s="195"/>
      <c r="AB4417" s="159"/>
    </row>
    <row r="4418" spans="1:28" ht="12.75" customHeight="1" x14ac:dyDescent="0.3">
      <c r="A4418" s="161">
        <v>418</v>
      </c>
      <c r="B4418" s="159" t="s">
        <v>2447</v>
      </c>
      <c r="C4418" s="160" t="s">
        <v>2448</v>
      </c>
      <c r="D4418" s="160" t="s">
        <v>620</v>
      </c>
      <c r="E4418" s="545"/>
      <c r="F4418" s="161">
        <v>349.06</v>
      </c>
      <c r="G4418" s="191"/>
      <c r="H4418" s="191">
        <v>1.9999999994999997E-6</v>
      </c>
      <c r="I4418" s="191">
        <v>1.4</v>
      </c>
      <c r="J4418" s="191"/>
      <c r="K4418" s="191">
        <v>6309.5734448019384</v>
      </c>
      <c r="L4418" s="191"/>
      <c r="M4418" s="191"/>
      <c r="N4418" s="191"/>
      <c r="O4418" s="191"/>
      <c r="P4418" s="191"/>
      <c r="Q4418" s="191">
        <v>6.5766877499999997E-5</v>
      </c>
      <c r="R4418" s="191">
        <v>4.45696489557578E-8</v>
      </c>
      <c r="S4418" s="191">
        <v>4.9521832173064224E-9</v>
      </c>
      <c r="T4418" s="191">
        <v>1.1460766874337719E-6</v>
      </c>
      <c r="U4418" s="439"/>
      <c r="V4418" s="439"/>
      <c r="W4418" s="178">
        <v>30000</v>
      </c>
      <c r="X4418" s="172">
        <f t="shared" si="8"/>
        <v>0.33333333333333331</v>
      </c>
      <c r="Y4418" s="172">
        <f t="shared" si="8"/>
        <v>0.33333333333333331</v>
      </c>
      <c r="Z4418" s="172">
        <f t="shared" si="8"/>
        <v>0.33333333333333331</v>
      </c>
      <c r="AA4418" s="195"/>
      <c r="AB4418" s="159"/>
    </row>
    <row r="4419" spans="1:28" ht="12.75" customHeight="1" x14ac:dyDescent="0.3">
      <c r="A4419" s="161">
        <v>419</v>
      </c>
      <c r="B4419" s="159" t="s">
        <v>2826</v>
      </c>
      <c r="C4419" s="160" t="s">
        <v>2827</v>
      </c>
      <c r="D4419" s="160" t="s">
        <v>620</v>
      </c>
      <c r="E4419" s="545"/>
      <c r="F4419" s="161">
        <v>406.92</v>
      </c>
      <c r="G4419" s="191"/>
      <c r="H4419" s="191">
        <v>7.9999999979999987E-5</v>
      </c>
      <c r="I4419" s="191">
        <v>0.45</v>
      </c>
      <c r="J4419" s="191"/>
      <c r="K4419" s="191">
        <v>6760.8297539198229</v>
      </c>
      <c r="L4419" s="191"/>
      <c r="M4419" s="191"/>
      <c r="N4419" s="191"/>
      <c r="O4419" s="191"/>
      <c r="P4419" s="191"/>
      <c r="Q4419" s="191">
        <v>6.125339999999999E-6</v>
      </c>
      <c r="R4419" s="191">
        <v>4.45696489557578E-8</v>
      </c>
      <c r="S4419" s="191">
        <v>4.9521832173064224E-9</v>
      </c>
      <c r="T4419" s="191">
        <v>2.22848244778789E-8</v>
      </c>
      <c r="U4419" s="439"/>
      <c r="V4419" s="439"/>
      <c r="W4419" s="178">
        <v>30000</v>
      </c>
      <c r="X4419" s="172">
        <f t="shared" si="8"/>
        <v>0.33333333333333331</v>
      </c>
      <c r="Y4419" s="172">
        <f t="shared" si="8"/>
        <v>0.33333333333333331</v>
      </c>
      <c r="Z4419" s="172">
        <f t="shared" si="8"/>
        <v>0.33333333333333331</v>
      </c>
      <c r="AA4419" s="195"/>
      <c r="AB4419" s="159"/>
    </row>
    <row r="4420" spans="1:28" ht="12.75" customHeight="1" x14ac:dyDescent="0.3">
      <c r="A4420" s="161">
        <v>420</v>
      </c>
      <c r="B4420" s="159" t="s">
        <v>2875</v>
      </c>
      <c r="C4420" s="160" t="s">
        <v>2876</v>
      </c>
      <c r="D4420" s="160" t="s">
        <v>620</v>
      </c>
      <c r="E4420" s="545"/>
      <c r="F4420" s="161">
        <v>192.3</v>
      </c>
      <c r="G4420" s="191"/>
      <c r="H4420" s="191">
        <v>7.1999999981999991</v>
      </c>
      <c r="I4420" s="191">
        <v>169</v>
      </c>
      <c r="J4420" s="191"/>
      <c r="K4420" s="191">
        <v>6918.3097091893687</v>
      </c>
      <c r="L4420" s="191"/>
      <c r="M4420" s="191"/>
      <c r="N4420" s="191"/>
      <c r="O4420" s="191"/>
      <c r="P4420" s="191"/>
      <c r="Q4420" s="191">
        <v>1.7891061750000001E-4</v>
      </c>
      <c r="R4420" s="191">
        <v>2.1393431498763744E-7</v>
      </c>
      <c r="S4420" s="191">
        <v>2.3770479443070826E-8</v>
      </c>
      <c r="T4420" s="191">
        <v>1.0696715749381872E-7</v>
      </c>
      <c r="U4420" s="439"/>
      <c r="V4420" s="439"/>
      <c r="W4420" s="178">
        <v>30000</v>
      </c>
      <c r="X4420" s="172">
        <f t="shared" si="8"/>
        <v>0.33333333333333331</v>
      </c>
      <c r="Y4420" s="172">
        <f t="shared" si="8"/>
        <v>0.33333333333333331</v>
      </c>
      <c r="Z4420" s="172">
        <f t="shared" si="8"/>
        <v>0.33333333333333331</v>
      </c>
      <c r="AA4420" s="195"/>
      <c r="AB4420" s="159"/>
    </row>
    <row r="4421" spans="1:28" ht="12.75" customHeight="1" x14ac:dyDescent="0.3">
      <c r="A4421" s="161">
        <v>421</v>
      </c>
      <c r="B4421" s="159" t="s">
        <v>2476</v>
      </c>
      <c r="C4421" s="160" t="s">
        <v>2477</v>
      </c>
      <c r="D4421" s="160" t="s">
        <v>620</v>
      </c>
      <c r="E4421" s="545"/>
      <c r="F4421" s="161">
        <v>596.12</v>
      </c>
      <c r="G4421" s="191"/>
      <c r="H4421" s="191">
        <v>9.9999999974999991E-4</v>
      </c>
      <c r="I4421" s="191">
        <v>19.5</v>
      </c>
      <c r="J4421" s="191"/>
      <c r="K4421" s="191">
        <v>6918.3097091893687</v>
      </c>
      <c r="L4421" s="191"/>
      <c r="M4421" s="191"/>
      <c r="N4421" s="191"/>
      <c r="O4421" s="191"/>
      <c r="P4421" s="191"/>
      <c r="Q4421" s="191">
        <v>6.3978059999999994E-5</v>
      </c>
      <c r="R4421" s="191">
        <v>9.2532143160742838E-7</v>
      </c>
      <c r="S4421" s="191">
        <v>1.0281349240082538E-7</v>
      </c>
      <c r="T4421" s="191">
        <v>4.6266071580371419E-7</v>
      </c>
      <c r="U4421" s="439"/>
      <c r="V4421" s="439"/>
      <c r="W4421" s="178">
        <v>30000</v>
      </c>
      <c r="X4421" s="172">
        <f t="shared" si="8"/>
        <v>0.33333333333333331</v>
      </c>
      <c r="Y4421" s="172">
        <f t="shared" si="8"/>
        <v>0.33333333333333331</v>
      </c>
      <c r="Z4421" s="172">
        <f t="shared" si="8"/>
        <v>0.33333333333333331</v>
      </c>
      <c r="AA4421" s="195"/>
      <c r="AB4421" s="159"/>
    </row>
    <row r="4422" spans="1:28" ht="12.75" customHeight="1" x14ac:dyDescent="0.3">
      <c r="A4422" s="161">
        <v>422</v>
      </c>
      <c r="B4422" s="159" t="s">
        <v>2525</v>
      </c>
      <c r="C4422" s="160" t="s">
        <v>2526</v>
      </c>
      <c r="D4422" s="160" t="s">
        <v>620</v>
      </c>
      <c r="E4422" s="545"/>
      <c r="F4422" s="161">
        <v>287.16000000000003</v>
      </c>
      <c r="G4422" s="191"/>
      <c r="H4422" s="191">
        <v>1.078666666397E-4</v>
      </c>
      <c r="I4422" s="191">
        <v>6.8609999999999998</v>
      </c>
      <c r="J4422" s="191"/>
      <c r="K4422" s="191">
        <v>7943.2823472428154</v>
      </c>
      <c r="L4422" s="191"/>
      <c r="M4422" s="191"/>
      <c r="N4422" s="191"/>
      <c r="O4422" s="191"/>
      <c r="P4422" s="191"/>
      <c r="Q4422" s="191">
        <v>4.3987499999999996E-7</v>
      </c>
      <c r="R4422" s="191">
        <v>1.3370894686727339E-7</v>
      </c>
      <c r="S4422" s="191">
        <v>1.4856549651919266E-8</v>
      </c>
      <c r="T4422" s="191">
        <v>6.6854473433636697E-8</v>
      </c>
      <c r="U4422" s="439"/>
      <c r="V4422" s="439"/>
      <c r="W4422" s="178">
        <v>30000</v>
      </c>
      <c r="X4422" s="172">
        <f t="shared" si="8"/>
        <v>0.33333333333333331</v>
      </c>
      <c r="Y4422" s="172">
        <f t="shared" si="8"/>
        <v>0.33333333333333331</v>
      </c>
      <c r="Z4422" s="172">
        <f t="shared" si="8"/>
        <v>0.33333333333333331</v>
      </c>
      <c r="AA4422" s="195"/>
      <c r="AB4422" s="159"/>
    </row>
    <row r="4423" spans="1:28" ht="12.75" customHeight="1" x14ac:dyDescent="0.3">
      <c r="A4423" s="161">
        <v>423</v>
      </c>
      <c r="B4423" s="159" t="s">
        <v>2423</v>
      </c>
      <c r="C4423" s="160" t="s">
        <v>2424</v>
      </c>
      <c r="D4423" s="160" t="s">
        <v>620</v>
      </c>
      <c r="E4423" s="545"/>
      <c r="F4423" s="161">
        <v>240.22</v>
      </c>
      <c r="G4423" s="191"/>
      <c r="H4423" s="191">
        <v>1.0133333330799998E-8</v>
      </c>
      <c r="I4423" s="191">
        <v>3.4260000000000002</v>
      </c>
      <c r="J4423" s="191"/>
      <c r="K4423" s="191">
        <v>8709.6358995608189</v>
      </c>
      <c r="L4423" s="191"/>
      <c r="M4423" s="191"/>
      <c r="N4423" s="191"/>
      <c r="O4423" s="191"/>
      <c r="P4423" s="191"/>
      <c r="Q4423" s="191">
        <v>1.9418407500000001E-5</v>
      </c>
      <c r="R4423" s="191">
        <v>2.1393431498763744E-7</v>
      </c>
      <c r="S4423" s="191">
        <v>2.3770479443070826E-8</v>
      </c>
      <c r="T4423" s="191">
        <v>1.0696715749381872E-7</v>
      </c>
      <c r="U4423" s="439"/>
      <c r="V4423" s="439"/>
      <c r="W4423" s="178">
        <v>30000</v>
      </c>
      <c r="X4423" s="172">
        <f t="shared" si="8"/>
        <v>0.33333333333333331</v>
      </c>
      <c r="Y4423" s="172">
        <f t="shared" si="8"/>
        <v>0.33333333333333331</v>
      </c>
      <c r="Z4423" s="172">
        <f t="shared" si="8"/>
        <v>0.33333333333333331</v>
      </c>
      <c r="AA4423" s="195"/>
      <c r="AB4423" s="159"/>
    </row>
    <row r="4424" spans="1:28" ht="12.75" customHeight="1" x14ac:dyDescent="0.3">
      <c r="A4424" s="161">
        <v>424</v>
      </c>
      <c r="B4424" s="159" t="s">
        <v>2459</v>
      </c>
      <c r="C4424" s="160" t="s">
        <v>2460</v>
      </c>
      <c r="D4424" s="160" t="s">
        <v>620</v>
      </c>
      <c r="E4424" s="545"/>
      <c r="F4424" s="161">
        <v>322.31</v>
      </c>
      <c r="G4424" s="191"/>
      <c r="H4424" s="191">
        <v>1.39999999965E-2</v>
      </c>
      <c r="I4424" s="191">
        <v>30</v>
      </c>
      <c r="J4424" s="191"/>
      <c r="K4424" s="191">
        <v>9772.3722095581161</v>
      </c>
      <c r="L4424" s="191"/>
      <c r="M4424" s="191"/>
      <c r="N4424" s="191"/>
      <c r="O4424" s="191"/>
      <c r="P4424" s="191"/>
      <c r="Q4424" s="191">
        <v>1.374428325E-4</v>
      </c>
      <c r="R4424" s="191">
        <v>5.3483578746909358E-7</v>
      </c>
      <c r="S4424" s="191">
        <v>5.9426198607677063E-8</v>
      </c>
      <c r="T4424" s="191">
        <v>2.8651917185844297E-7</v>
      </c>
      <c r="U4424" s="439"/>
      <c r="V4424" s="439"/>
      <c r="W4424" s="178">
        <v>30000</v>
      </c>
      <c r="X4424" s="172">
        <f t="shared" si="8"/>
        <v>0.33333333333333331</v>
      </c>
      <c r="Y4424" s="172">
        <f t="shared" si="8"/>
        <v>0.33333333333333331</v>
      </c>
      <c r="Z4424" s="172">
        <f t="shared" si="8"/>
        <v>0.33333333333333331</v>
      </c>
      <c r="AA4424" s="195"/>
      <c r="AB4424" s="159"/>
    </row>
    <row r="4425" spans="1:28" ht="12.75" customHeight="1" x14ac:dyDescent="0.3">
      <c r="A4425" s="161">
        <v>425</v>
      </c>
      <c r="B4425" s="159" t="s">
        <v>2654</v>
      </c>
      <c r="C4425" s="160" t="s">
        <v>2655</v>
      </c>
      <c r="D4425" s="160" t="s">
        <v>620</v>
      </c>
      <c r="E4425" s="545"/>
      <c r="F4425" s="161">
        <v>98.19</v>
      </c>
      <c r="G4425" s="191"/>
      <c r="H4425" s="191">
        <v>2879.9999992799999</v>
      </c>
      <c r="I4425" s="191">
        <v>30</v>
      </c>
      <c r="J4425" s="191"/>
      <c r="K4425" s="191">
        <v>10000</v>
      </c>
      <c r="L4425" s="191"/>
      <c r="M4425" s="191"/>
      <c r="N4425" s="191"/>
      <c r="O4425" s="191"/>
      <c r="P4425" s="191"/>
      <c r="Q4425" s="191">
        <v>9.3750000000000009E-6</v>
      </c>
      <c r="R4425" s="191">
        <v>5.3483578746909358E-7</v>
      </c>
      <c r="S4425" s="191">
        <v>5.9426198607677063E-8</v>
      </c>
      <c r="T4425" s="191">
        <v>2.6741789373454679E-7</v>
      </c>
      <c r="U4425" s="439"/>
      <c r="V4425" s="439"/>
      <c r="W4425" s="178">
        <v>30000</v>
      </c>
      <c r="X4425" s="172">
        <f t="shared" si="8"/>
        <v>0.33333333333333331</v>
      </c>
      <c r="Y4425" s="172">
        <f t="shared" si="8"/>
        <v>0.33333333333333331</v>
      </c>
      <c r="Z4425" s="172">
        <f t="shared" si="8"/>
        <v>0.33333333333333331</v>
      </c>
      <c r="AA4425" s="195"/>
      <c r="AB4425" s="159"/>
    </row>
    <row r="4426" spans="1:28" ht="12.75" customHeight="1" x14ac:dyDescent="0.3">
      <c r="A4426" s="161">
        <v>426</v>
      </c>
      <c r="B4426" s="159" t="s">
        <v>2704</v>
      </c>
      <c r="C4426" s="160" t="s">
        <v>2705</v>
      </c>
      <c r="D4426" s="160" t="s">
        <v>620</v>
      </c>
      <c r="E4426" s="545"/>
      <c r="F4426" s="161">
        <v>112.22</v>
      </c>
      <c r="G4426" s="191"/>
      <c r="H4426" s="191">
        <v>3026.6666659099997</v>
      </c>
      <c r="I4426" s="191">
        <v>3.84</v>
      </c>
      <c r="J4426" s="191"/>
      <c r="K4426" s="191">
        <v>10232.929922807549</v>
      </c>
      <c r="L4426" s="191"/>
      <c r="M4426" s="191"/>
      <c r="N4426" s="191"/>
      <c r="O4426" s="191"/>
      <c r="P4426" s="191"/>
      <c r="Q4426" s="191">
        <v>8.8926075000000007E-6</v>
      </c>
      <c r="R4426" s="191">
        <v>5.3483578746909358E-7</v>
      </c>
      <c r="S4426" s="191">
        <v>5.9426198607677063E-8</v>
      </c>
      <c r="T4426" s="191">
        <v>2.6741789373454679E-7</v>
      </c>
      <c r="U4426" s="439"/>
      <c r="V4426" s="439"/>
      <c r="W4426" s="178">
        <v>30000</v>
      </c>
      <c r="X4426" s="172">
        <f t="shared" si="8"/>
        <v>0.33333333333333331</v>
      </c>
      <c r="Y4426" s="172">
        <f t="shared" si="8"/>
        <v>0.33333333333333331</v>
      </c>
      <c r="Z4426" s="172">
        <f t="shared" si="8"/>
        <v>0.33333333333333331</v>
      </c>
      <c r="AA4426" s="195"/>
      <c r="AB4426" s="159"/>
    </row>
    <row r="4427" spans="1:28" ht="12.75" customHeight="1" x14ac:dyDescent="0.3">
      <c r="A4427" s="161">
        <v>427</v>
      </c>
      <c r="B4427" s="159" t="s">
        <v>2426</v>
      </c>
      <c r="C4427" s="160" t="s">
        <v>2427</v>
      </c>
      <c r="D4427" s="160" t="s">
        <v>620</v>
      </c>
      <c r="E4427" s="545"/>
      <c r="F4427" s="161">
        <v>181.45</v>
      </c>
      <c r="G4427" s="191"/>
      <c r="H4427" s="191">
        <v>61.333333318000001</v>
      </c>
      <c r="I4427" s="191">
        <v>49</v>
      </c>
      <c r="J4427" s="191"/>
      <c r="K4427" s="191">
        <v>10471.285480509003</v>
      </c>
      <c r="L4427" s="191"/>
      <c r="M4427" s="191"/>
      <c r="N4427" s="191"/>
      <c r="O4427" s="191"/>
      <c r="P4427" s="191"/>
      <c r="Q4427" s="191">
        <v>4.1249999999999997E-7</v>
      </c>
      <c r="R4427" s="191">
        <v>1.3370894686727339E-7</v>
      </c>
      <c r="S4427" s="191">
        <v>1.4856549651919266E-8</v>
      </c>
      <c r="T4427" s="191">
        <v>6.6854473433636697E-8</v>
      </c>
      <c r="U4427" s="439"/>
      <c r="V4427" s="439"/>
      <c r="W4427" s="178">
        <v>30000</v>
      </c>
      <c r="X4427" s="172">
        <f t="shared" si="8"/>
        <v>0.33333333333333331</v>
      </c>
      <c r="Y4427" s="172">
        <f t="shared" si="8"/>
        <v>0.33333333333333331</v>
      </c>
      <c r="Z4427" s="172">
        <f t="shared" si="8"/>
        <v>0.33333333333333331</v>
      </c>
      <c r="AA4427" s="195"/>
      <c r="AB4427" s="159"/>
    </row>
    <row r="4428" spans="1:28" ht="12.75" customHeight="1" x14ac:dyDescent="0.3">
      <c r="A4428" s="161">
        <v>428</v>
      </c>
      <c r="B4428" s="159" t="s">
        <v>2473</v>
      </c>
      <c r="C4428" s="160" t="s">
        <v>2474</v>
      </c>
      <c r="D4428" s="160" t="s">
        <v>620</v>
      </c>
      <c r="E4428" s="545"/>
      <c r="F4428" s="161">
        <v>278.32</v>
      </c>
      <c r="G4428" s="191"/>
      <c r="H4428" s="191">
        <v>1.3999999996499998E-3</v>
      </c>
      <c r="I4428" s="191">
        <v>7.5</v>
      </c>
      <c r="J4428" s="191"/>
      <c r="K4428" s="191">
        <v>12302.687708123816</v>
      </c>
      <c r="L4428" s="191"/>
      <c r="M4428" s="191"/>
      <c r="N4428" s="191"/>
      <c r="O4428" s="191"/>
      <c r="P4428" s="191"/>
      <c r="Q4428" s="191">
        <v>5.3318692499999998E-5</v>
      </c>
      <c r="R4428" s="191">
        <v>2.1393431498763744E-7</v>
      </c>
      <c r="S4428" s="191">
        <v>2.3770479443070826E-8</v>
      </c>
      <c r="T4428" s="191">
        <v>3.646607641834729E-7</v>
      </c>
      <c r="U4428" s="439"/>
      <c r="V4428" s="439"/>
      <c r="W4428" s="178">
        <v>30000</v>
      </c>
      <c r="X4428" s="172">
        <f t="shared" si="8"/>
        <v>0.33333333333333331</v>
      </c>
      <c r="Y4428" s="172">
        <f t="shared" si="8"/>
        <v>0.33333333333333331</v>
      </c>
      <c r="Z4428" s="172">
        <f t="shared" si="8"/>
        <v>0.33333333333333331</v>
      </c>
      <c r="AA4428" s="195"/>
      <c r="AB4428" s="159"/>
    </row>
    <row r="4429" spans="1:28" ht="12.75" customHeight="1" x14ac:dyDescent="0.3">
      <c r="A4429" s="161">
        <v>429</v>
      </c>
      <c r="B4429" s="159" t="s">
        <v>2758</v>
      </c>
      <c r="C4429" s="160" t="s">
        <v>2759</v>
      </c>
      <c r="D4429" s="160" t="s">
        <v>620</v>
      </c>
      <c r="E4429" s="545"/>
      <c r="F4429" s="161">
        <v>134.22</v>
      </c>
      <c r="G4429" s="191"/>
      <c r="H4429" s="191">
        <v>293.33333326000002</v>
      </c>
      <c r="I4429" s="191">
        <v>29.5</v>
      </c>
      <c r="J4429" s="191"/>
      <c r="K4429" s="191">
        <v>12882.49551693136</v>
      </c>
      <c r="L4429" s="191"/>
      <c r="M4429" s="191"/>
      <c r="N4429" s="191"/>
      <c r="O4429" s="191"/>
      <c r="P4429" s="191"/>
      <c r="Q4429" s="191">
        <v>3.45E-6</v>
      </c>
      <c r="R4429" s="191">
        <v>2.1393431498763744E-7</v>
      </c>
      <c r="S4429" s="191">
        <v>2.3770479443070826E-8</v>
      </c>
      <c r="T4429" s="191">
        <v>1.0696715749381872E-7</v>
      </c>
      <c r="U4429" s="439"/>
      <c r="V4429" s="439"/>
      <c r="W4429" s="178">
        <v>30000</v>
      </c>
      <c r="X4429" s="172">
        <f t="shared" si="8"/>
        <v>0.33333333333333331</v>
      </c>
      <c r="Y4429" s="172">
        <f t="shared" si="8"/>
        <v>0.33333333333333331</v>
      </c>
      <c r="Z4429" s="172">
        <f t="shared" si="8"/>
        <v>0.33333333333333331</v>
      </c>
      <c r="AA4429" s="195"/>
      <c r="AB4429" s="159"/>
    </row>
    <row r="4430" spans="1:28" ht="12.75" customHeight="1" x14ac:dyDescent="0.3">
      <c r="A4430" s="161">
        <v>430</v>
      </c>
      <c r="B4430" s="159" t="s">
        <v>2708</v>
      </c>
      <c r="C4430" s="160" t="s">
        <v>2709</v>
      </c>
      <c r="D4430" s="160" t="s">
        <v>620</v>
      </c>
      <c r="E4430" s="545"/>
      <c r="F4430" s="161">
        <v>184.32</v>
      </c>
      <c r="G4430" s="191"/>
      <c r="H4430" s="191">
        <v>2.7466666659799999</v>
      </c>
      <c r="I4430" s="191">
        <v>13.99</v>
      </c>
      <c r="J4430" s="191"/>
      <c r="K4430" s="191">
        <v>15135.612484362096</v>
      </c>
      <c r="L4430" s="191"/>
      <c r="M4430" s="191"/>
      <c r="N4430" s="191"/>
      <c r="O4430" s="191"/>
      <c r="P4430" s="191"/>
      <c r="Q4430" s="191">
        <v>1.14288075E-5</v>
      </c>
      <c r="R4430" s="191">
        <v>5.3483578746909358E-7</v>
      </c>
      <c r="S4430" s="191">
        <v>5.9426198607677063E-8</v>
      </c>
      <c r="T4430" s="191">
        <v>2.6741789373454679E-7</v>
      </c>
      <c r="U4430" s="439"/>
      <c r="V4430" s="439"/>
      <c r="W4430" s="178">
        <v>30000</v>
      </c>
      <c r="X4430" s="172">
        <f t="shared" si="8"/>
        <v>0.33333333333333331</v>
      </c>
      <c r="Y4430" s="172">
        <f t="shared" si="8"/>
        <v>0.33333333333333331</v>
      </c>
      <c r="Z4430" s="172">
        <f t="shared" si="8"/>
        <v>0.33333333333333331</v>
      </c>
      <c r="AA4430" s="195"/>
      <c r="AB4430" s="159"/>
    </row>
    <row r="4431" spans="1:28" ht="12.75" customHeight="1" x14ac:dyDescent="0.3">
      <c r="A4431" s="161">
        <v>431</v>
      </c>
      <c r="B4431" s="159" t="s">
        <v>2606</v>
      </c>
      <c r="C4431" s="160" t="s">
        <v>2607</v>
      </c>
      <c r="D4431" s="160" t="s">
        <v>620</v>
      </c>
      <c r="E4431" s="545"/>
      <c r="F4431" s="161">
        <v>181.45</v>
      </c>
      <c r="G4431" s="191"/>
      <c r="H4431" s="191">
        <v>61.066666651399998</v>
      </c>
      <c r="I4431" s="191">
        <v>30</v>
      </c>
      <c r="J4431" s="191"/>
      <c r="K4431" s="191">
        <v>15488.166189124853</v>
      </c>
      <c r="L4431" s="191"/>
      <c r="M4431" s="191"/>
      <c r="N4431" s="191"/>
      <c r="O4431" s="191"/>
      <c r="P4431" s="191"/>
      <c r="Q4431" s="191">
        <v>5.0907750000000004E-7</v>
      </c>
      <c r="R4431" s="191">
        <v>1.3370894686727339E-7</v>
      </c>
      <c r="S4431" s="191">
        <v>1.4856549651919266E-8</v>
      </c>
      <c r="T4431" s="191">
        <v>6.6854473433636697E-8</v>
      </c>
      <c r="U4431" s="439"/>
      <c r="V4431" s="439"/>
      <c r="W4431" s="178">
        <v>30000</v>
      </c>
      <c r="X4431" s="172">
        <f t="shared" si="8"/>
        <v>0.33333333333333331</v>
      </c>
      <c r="Y4431" s="172">
        <f t="shared" si="8"/>
        <v>0.33333333333333331</v>
      </c>
      <c r="Z4431" s="172">
        <f t="shared" si="8"/>
        <v>0.33333333333333331</v>
      </c>
      <c r="AA4431" s="195"/>
      <c r="AB4431" s="159"/>
    </row>
    <row r="4432" spans="1:28" ht="12.75" customHeight="1" x14ac:dyDescent="0.3">
      <c r="A4432" s="161">
        <v>432</v>
      </c>
      <c r="B4432" s="159" t="s">
        <v>2498</v>
      </c>
      <c r="C4432" s="160" t="s">
        <v>2499</v>
      </c>
      <c r="D4432" s="160" t="s">
        <v>620</v>
      </c>
      <c r="E4432" s="545"/>
      <c r="F4432" s="161">
        <v>303.16000000000003</v>
      </c>
      <c r="G4432" s="191"/>
      <c r="H4432" s="191">
        <v>2.50666666604E-4</v>
      </c>
      <c r="I4432" s="191">
        <v>2.9609999999999999</v>
      </c>
      <c r="J4432" s="191"/>
      <c r="K4432" s="191">
        <v>16218.100973589309</v>
      </c>
      <c r="L4432" s="191"/>
      <c r="M4432" s="191"/>
      <c r="N4432" s="191"/>
      <c r="O4432" s="191"/>
      <c r="P4432" s="191"/>
      <c r="Q4432" s="191">
        <v>4.9288574999999999E-6</v>
      </c>
      <c r="R4432" s="191">
        <v>1.3370894686727339E-7</v>
      </c>
      <c r="S4432" s="191">
        <v>1.4856549651919266E-8</v>
      </c>
      <c r="T4432" s="191">
        <v>6.6854473433636697E-8</v>
      </c>
      <c r="U4432" s="439"/>
      <c r="V4432" s="439"/>
      <c r="W4432" s="178">
        <v>30000</v>
      </c>
      <c r="X4432" s="172">
        <f t="shared" si="8"/>
        <v>0.33333333333333331</v>
      </c>
      <c r="Y4432" s="172">
        <f t="shared" si="8"/>
        <v>0.33333333333333331</v>
      </c>
      <c r="Z4432" s="172">
        <f t="shared" si="8"/>
        <v>0.33333333333333331</v>
      </c>
      <c r="AA4432" s="195"/>
      <c r="AB4432" s="159"/>
    </row>
    <row r="4433" spans="1:28" ht="12.75" customHeight="1" x14ac:dyDescent="0.3">
      <c r="A4433" s="161">
        <v>433</v>
      </c>
      <c r="B4433" s="159" t="s">
        <v>2877</v>
      </c>
      <c r="C4433" s="160" t="s">
        <v>1726</v>
      </c>
      <c r="D4433" s="160" t="s">
        <v>620</v>
      </c>
      <c r="E4433" s="545"/>
      <c r="F4433" s="161">
        <v>136.24</v>
      </c>
      <c r="G4433" s="191"/>
      <c r="H4433" s="191">
        <v>334.66666658299994</v>
      </c>
      <c r="I4433" s="191">
        <v>4.5999999999999996</v>
      </c>
      <c r="J4433" s="191"/>
      <c r="K4433" s="191">
        <v>16595.869074375616</v>
      </c>
      <c r="L4433" s="191"/>
      <c r="M4433" s="191"/>
      <c r="N4433" s="191"/>
      <c r="O4433" s="191"/>
      <c r="P4433" s="191"/>
      <c r="Q4433" s="191">
        <v>3.9975000000000003E-5</v>
      </c>
      <c r="R4433" s="191">
        <v>2.1393431498763744E-7</v>
      </c>
      <c r="S4433" s="191">
        <v>2.3770479443070826E-8</v>
      </c>
      <c r="T4433" s="191">
        <v>1.0696715749381872E-7</v>
      </c>
      <c r="U4433" s="439"/>
      <c r="V4433" s="439"/>
      <c r="W4433" s="178">
        <v>30000</v>
      </c>
      <c r="X4433" s="172">
        <f t="shared" si="8"/>
        <v>0.33333333333333331</v>
      </c>
      <c r="Y4433" s="172">
        <f t="shared" si="8"/>
        <v>0.33333333333333331</v>
      </c>
      <c r="Z4433" s="172">
        <f t="shared" si="8"/>
        <v>0.33333333333333331</v>
      </c>
      <c r="AA4433" s="195"/>
      <c r="AB4433" s="159"/>
    </row>
    <row r="4434" spans="1:28" ht="12.75" customHeight="1" x14ac:dyDescent="0.3">
      <c r="A4434" s="161">
        <v>434</v>
      </c>
      <c r="B4434" s="159" t="s">
        <v>2796</v>
      </c>
      <c r="C4434" s="160" t="s">
        <v>2797</v>
      </c>
      <c r="D4434" s="160" t="s">
        <v>620</v>
      </c>
      <c r="E4434" s="545"/>
      <c r="F4434" s="161">
        <v>280.37</v>
      </c>
      <c r="G4434" s="191"/>
      <c r="H4434" s="191">
        <v>2.7866666659699999E-4</v>
      </c>
      <c r="I4434" s="191">
        <v>2</v>
      </c>
      <c r="J4434" s="191"/>
      <c r="K4434" s="191">
        <v>19952.623149688792</v>
      </c>
      <c r="L4434" s="191"/>
      <c r="M4434" s="191"/>
      <c r="N4434" s="191"/>
      <c r="O4434" s="191"/>
      <c r="P4434" s="191"/>
      <c r="Q4434" s="191">
        <v>2.609625E-6</v>
      </c>
      <c r="R4434" s="191">
        <v>4.45696489557578E-8</v>
      </c>
      <c r="S4434" s="191">
        <v>4.9521832173064224E-9</v>
      </c>
      <c r="T4434" s="191">
        <v>2.22848244778789E-8</v>
      </c>
      <c r="U4434" s="439"/>
      <c r="V4434" s="439"/>
      <c r="W4434" s="178">
        <v>30000</v>
      </c>
      <c r="X4434" s="172">
        <f t="shared" si="8"/>
        <v>0.33333333333333331</v>
      </c>
      <c r="Y4434" s="172">
        <f t="shared" si="8"/>
        <v>0.33333333333333331</v>
      </c>
      <c r="Z4434" s="172">
        <f t="shared" si="8"/>
        <v>0.33333333333333331</v>
      </c>
      <c r="AA4434" s="195"/>
      <c r="AB4434" s="159"/>
    </row>
    <row r="4435" spans="1:28" ht="12.75" customHeight="1" x14ac:dyDescent="0.3">
      <c r="A4435" s="161">
        <v>435</v>
      </c>
      <c r="B4435" s="159" t="s">
        <v>2806</v>
      </c>
      <c r="C4435" s="160" t="s">
        <v>2807</v>
      </c>
      <c r="D4435" s="160" t="s">
        <v>620</v>
      </c>
      <c r="E4435" s="545"/>
      <c r="F4435" s="161">
        <v>239.75</v>
      </c>
      <c r="G4435" s="191"/>
      <c r="H4435" s="191">
        <v>1.1426666663809999E-3</v>
      </c>
      <c r="I4435" s="191">
        <v>8.5</v>
      </c>
      <c r="J4435" s="191"/>
      <c r="K4435" s="191">
        <v>20417.379446695286</v>
      </c>
      <c r="L4435" s="191"/>
      <c r="M4435" s="191"/>
      <c r="N4435" s="191"/>
      <c r="O4435" s="191"/>
      <c r="P4435" s="191"/>
      <c r="Q4435" s="191">
        <v>1.42198875E-5</v>
      </c>
      <c r="R4435" s="191">
        <v>2.1393431498763744E-7</v>
      </c>
      <c r="S4435" s="191">
        <v>2.3770479443070826E-8</v>
      </c>
      <c r="T4435" s="191">
        <v>2.0056342030091009E-6</v>
      </c>
      <c r="U4435" s="439"/>
      <c r="V4435" s="439"/>
      <c r="W4435" s="178">
        <v>30000</v>
      </c>
      <c r="X4435" s="172">
        <f t="shared" si="8"/>
        <v>0.33333333333333331</v>
      </c>
      <c r="Y4435" s="172">
        <f t="shared" si="8"/>
        <v>0.33333333333333331</v>
      </c>
      <c r="Z4435" s="172">
        <f t="shared" si="8"/>
        <v>0.33333333333333331</v>
      </c>
      <c r="AA4435" s="195"/>
      <c r="AB4435" s="159"/>
    </row>
    <row r="4436" spans="1:28" ht="12.75" customHeight="1" x14ac:dyDescent="0.3">
      <c r="A4436" s="161">
        <v>436</v>
      </c>
      <c r="B4436" s="159" t="s">
        <v>2592</v>
      </c>
      <c r="C4436" s="160" t="s">
        <v>2593</v>
      </c>
      <c r="D4436" s="160" t="s">
        <v>620</v>
      </c>
      <c r="E4436" s="545"/>
      <c r="F4436" s="161">
        <v>258.36</v>
      </c>
      <c r="G4436" s="191"/>
      <c r="H4436" s="191">
        <v>6.7733333316399996E-2</v>
      </c>
      <c r="I4436" s="191">
        <v>80</v>
      </c>
      <c r="J4436" s="191"/>
      <c r="K4436" s="191">
        <v>21379.620895022348</v>
      </c>
      <c r="L4436" s="191"/>
      <c r="M4436" s="191"/>
      <c r="N4436" s="191"/>
      <c r="O4436" s="191"/>
      <c r="P4436" s="191"/>
      <c r="Q4436" s="191">
        <v>9.3854399999999994E-6</v>
      </c>
      <c r="R4436" s="191">
        <v>5.3483578746909358E-7</v>
      </c>
      <c r="S4436" s="191">
        <v>5.9426198607677063E-8</v>
      </c>
      <c r="T4436" s="191">
        <v>2.6741789373454679E-7</v>
      </c>
      <c r="U4436" s="439"/>
      <c r="V4436" s="439"/>
      <c r="W4436" s="178">
        <v>30000</v>
      </c>
      <c r="X4436" s="172">
        <f t="shared" si="8"/>
        <v>0.33333333333333331</v>
      </c>
      <c r="Y4436" s="172">
        <f t="shared" si="8"/>
        <v>0.33333333333333331</v>
      </c>
      <c r="Z4436" s="172">
        <f t="shared" si="8"/>
        <v>0.33333333333333331</v>
      </c>
      <c r="AA4436" s="195"/>
      <c r="AB4436" s="159"/>
    </row>
    <row r="4437" spans="1:28" ht="12.75" customHeight="1" x14ac:dyDescent="0.3">
      <c r="A4437" s="161">
        <v>437</v>
      </c>
      <c r="B4437" s="159" t="s">
        <v>2698</v>
      </c>
      <c r="C4437" s="160" t="s">
        <v>2699</v>
      </c>
      <c r="D4437" s="160" t="s">
        <v>620</v>
      </c>
      <c r="E4437" s="545"/>
      <c r="F4437" s="161">
        <v>156.22999999999999</v>
      </c>
      <c r="G4437" s="191"/>
      <c r="H4437" s="191">
        <v>0.66666666649999995</v>
      </c>
      <c r="I4437" s="191">
        <v>2.74</v>
      </c>
      <c r="J4437" s="191"/>
      <c r="K4437" s="191">
        <v>23988.329190194923</v>
      </c>
      <c r="L4437" s="191"/>
      <c r="M4437" s="191"/>
      <c r="N4437" s="191"/>
      <c r="O4437" s="191"/>
      <c r="P4437" s="191"/>
      <c r="Q4437" s="191">
        <v>5.2047585000000005E-5</v>
      </c>
      <c r="R4437" s="191">
        <v>2.1393431498763744E-7</v>
      </c>
      <c r="S4437" s="191">
        <v>2.3770479443070826E-8</v>
      </c>
      <c r="T4437" s="191">
        <v>1.0696715749381872E-7</v>
      </c>
      <c r="U4437" s="439"/>
      <c r="V4437" s="439"/>
      <c r="W4437" s="178">
        <v>30000</v>
      </c>
      <c r="X4437" s="172">
        <f t="shared" si="8"/>
        <v>0.33333333333333331</v>
      </c>
      <c r="Y4437" s="172">
        <f t="shared" si="8"/>
        <v>0.33333333333333331</v>
      </c>
      <c r="Z4437" s="172">
        <f t="shared" si="8"/>
        <v>0.33333333333333331</v>
      </c>
      <c r="AA4437" s="195"/>
      <c r="AB4437" s="159"/>
    </row>
    <row r="4438" spans="1:28" ht="12.75" customHeight="1" x14ac:dyDescent="0.3">
      <c r="A4438" s="161">
        <v>438</v>
      </c>
      <c r="B4438" s="159" t="s">
        <v>2740</v>
      </c>
      <c r="C4438" s="160" t="s">
        <v>2741</v>
      </c>
      <c r="D4438" s="160" t="s">
        <v>620</v>
      </c>
      <c r="E4438" s="545"/>
      <c r="F4438" s="161">
        <v>218.33</v>
      </c>
      <c r="G4438" s="191"/>
      <c r="H4438" s="191">
        <v>2.9333333326000001E-2</v>
      </c>
      <c r="I4438" s="191">
        <v>6.0190000000000001</v>
      </c>
      <c r="J4438" s="191"/>
      <c r="K4438" s="191">
        <v>25703.95782768865</v>
      </c>
      <c r="L4438" s="191"/>
      <c r="M4438" s="191"/>
      <c r="N4438" s="191"/>
      <c r="O4438" s="191"/>
      <c r="P4438" s="191"/>
      <c r="Q4438" s="191">
        <v>1.876060725E-4</v>
      </c>
      <c r="R4438" s="191">
        <v>5.3483578746909358E-7</v>
      </c>
      <c r="S4438" s="191">
        <v>5.9426198607677063E-8</v>
      </c>
      <c r="T4438" s="191">
        <v>2.6741789373454679E-7</v>
      </c>
      <c r="U4438" s="439"/>
      <c r="V4438" s="439"/>
      <c r="W4438" s="178">
        <v>30000</v>
      </c>
      <c r="X4438" s="172">
        <f t="shared" si="8"/>
        <v>0.33333333333333331</v>
      </c>
      <c r="Y4438" s="172">
        <f t="shared" si="8"/>
        <v>0.33333333333333331</v>
      </c>
      <c r="Z4438" s="172">
        <f t="shared" si="8"/>
        <v>0.33333333333333331</v>
      </c>
      <c r="AA4438" s="195"/>
      <c r="AB4438" s="159"/>
    </row>
    <row r="4439" spans="1:28" ht="12.75" customHeight="1" x14ac:dyDescent="0.3">
      <c r="A4439" s="161">
        <v>439</v>
      </c>
      <c r="B4439" s="159" t="s">
        <v>2555</v>
      </c>
      <c r="C4439" s="160" t="s">
        <v>2556</v>
      </c>
      <c r="D4439" s="160" t="s">
        <v>620</v>
      </c>
      <c r="E4439" s="545"/>
      <c r="F4439" s="161">
        <v>297.27</v>
      </c>
      <c r="G4439" s="191"/>
      <c r="H4439" s="191">
        <v>8.4666666645499984E-5</v>
      </c>
      <c r="I4439" s="191">
        <v>0.82140000000000002</v>
      </c>
      <c r="J4439" s="191"/>
      <c r="K4439" s="191">
        <v>28183.829312644593</v>
      </c>
      <c r="L4439" s="191"/>
      <c r="M4439" s="191"/>
      <c r="N4439" s="191"/>
      <c r="O4439" s="191"/>
      <c r="P4439" s="191"/>
      <c r="Q4439" s="191">
        <v>6.2324250000000003E-7</v>
      </c>
      <c r="R4439" s="191">
        <v>4.45696489557578E-8</v>
      </c>
      <c r="S4439" s="191">
        <v>4.9521832173064224E-9</v>
      </c>
      <c r="T4439" s="191">
        <v>2.22848244778789E-8</v>
      </c>
      <c r="U4439" s="439"/>
      <c r="V4439" s="439"/>
      <c r="W4439" s="178">
        <v>30000</v>
      </c>
      <c r="X4439" s="172">
        <f t="shared" si="8"/>
        <v>0.33333333333333331</v>
      </c>
      <c r="Y4439" s="172">
        <f t="shared" si="8"/>
        <v>0.33333333333333331</v>
      </c>
      <c r="Z4439" s="172">
        <f t="shared" si="8"/>
        <v>0.33333333333333331</v>
      </c>
      <c r="AA4439" s="195"/>
      <c r="AB4439" s="159"/>
    </row>
    <row r="4440" spans="1:28" ht="12.75" customHeight="1" x14ac:dyDescent="0.3">
      <c r="A4440" s="161">
        <v>440</v>
      </c>
      <c r="B4440" s="159" t="s">
        <v>2553</v>
      </c>
      <c r="C4440" s="160" t="s">
        <v>2554</v>
      </c>
      <c r="D4440" s="160" t="s">
        <v>620</v>
      </c>
      <c r="E4440" s="545"/>
      <c r="F4440" s="161">
        <v>290.92</v>
      </c>
      <c r="G4440" s="191"/>
      <c r="H4440" s="191">
        <v>5.373333331989999E-3</v>
      </c>
      <c r="I4440" s="191">
        <v>0.86070000000000002</v>
      </c>
      <c r="J4440" s="191"/>
      <c r="K4440" s="191">
        <v>29512.092266663854</v>
      </c>
      <c r="L4440" s="191"/>
      <c r="M4440" s="191"/>
      <c r="N4440" s="191"/>
      <c r="O4440" s="191"/>
      <c r="P4440" s="191"/>
      <c r="Q4440" s="191">
        <v>7.072350000000001E-7</v>
      </c>
      <c r="R4440" s="191">
        <v>4.45696489557578E-8</v>
      </c>
      <c r="S4440" s="191">
        <v>4.9521832173064224E-9</v>
      </c>
      <c r="T4440" s="191">
        <v>2.22848244778789E-8</v>
      </c>
      <c r="U4440" s="439"/>
      <c r="V4440" s="439"/>
      <c r="W4440" s="178">
        <v>30000</v>
      </c>
      <c r="X4440" s="172">
        <f t="shared" si="8"/>
        <v>0.33333333333333331</v>
      </c>
      <c r="Y4440" s="172">
        <f t="shared" si="8"/>
        <v>0.33333333333333331</v>
      </c>
      <c r="Z4440" s="172">
        <f t="shared" si="8"/>
        <v>0.33333333333333331</v>
      </c>
      <c r="AA4440" s="195"/>
      <c r="AB4440" s="159"/>
    </row>
    <row r="4441" spans="1:28" ht="12.75" customHeight="1" x14ac:dyDescent="0.3">
      <c r="A4441" s="161">
        <v>441</v>
      </c>
      <c r="B4441" s="159" t="s">
        <v>2543</v>
      </c>
      <c r="C4441" s="160" t="s">
        <v>2544</v>
      </c>
      <c r="D4441" s="160" t="s">
        <v>620</v>
      </c>
      <c r="E4441" s="545"/>
      <c r="F4441" s="161">
        <v>382.55</v>
      </c>
      <c r="G4441" s="191"/>
      <c r="H4441" s="191">
        <v>6.0533333318199989E-10</v>
      </c>
      <c r="I4441" s="191">
        <v>0.59509999999999996</v>
      </c>
      <c r="J4441" s="191"/>
      <c r="K4441" s="191">
        <v>29512.092266663854</v>
      </c>
      <c r="L4441" s="191"/>
      <c r="M4441" s="191"/>
      <c r="N4441" s="191"/>
      <c r="O4441" s="191"/>
      <c r="P4441" s="191"/>
      <c r="Q4441" s="191">
        <v>8.0481780000000004E-5</v>
      </c>
      <c r="R4441" s="191">
        <v>2.1393431498763744E-7</v>
      </c>
      <c r="S4441" s="191">
        <v>2.3770479443070826E-8</v>
      </c>
      <c r="T4441" s="191">
        <v>1.0696715749381872E-7</v>
      </c>
      <c r="U4441" s="439"/>
      <c r="V4441" s="439"/>
      <c r="W4441" s="178">
        <v>30000</v>
      </c>
      <c r="X4441" s="172">
        <f t="shared" si="8"/>
        <v>0.33333333333333331</v>
      </c>
      <c r="Y4441" s="172">
        <f t="shared" si="8"/>
        <v>0.33333333333333331</v>
      </c>
      <c r="Z4441" s="172">
        <f t="shared" si="8"/>
        <v>0.33333333333333331</v>
      </c>
      <c r="AA4441" s="195"/>
      <c r="AB4441" s="159"/>
    </row>
    <row r="4442" spans="1:28" ht="12.75" customHeight="1" x14ac:dyDescent="0.3">
      <c r="A4442" s="161">
        <v>442</v>
      </c>
      <c r="B4442" s="159" t="s">
        <v>2430</v>
      </c>
      <c r="C4442" s="160" t="s">
        <v>2431</v>
      </c>
      <c r="D4442" s="160" t="s">
        <v>620</v>
      </c>
      <c r="E4442" s="545"/>
      <c r="F4442" s="161">
        <v>288.42</v>
      </c>
      <c r="G4442" s="191"/>
      <c r="H4442" s="191">
        <v>4.2666666656000003E-2</v>
      </c>
      <c r="I4442" s="191">
        <v>5.07</v>
      </c>
      <c r="J4442" s="191"/>
      <c r="K4442" s="191">
        <v>30199.517204020212</v>
      </c>
      <c r="L4442" s="191"/>
      <c r="M4442" s="191"/>
      <c r="N4442" s="191"/>
      <c r="O4442" s="191"/>
      <c r="P4442" s="191"/>
      <c r="Q4442" s="191">
        <v>1.8238275000000001E-4</v>
      </c>
      <c r="R4442" s="191">
        <v>2.1393431498763744E-7</v>
      </c>
      <c r="S4442" s="191">
        <v>2.3770479443070826E-8</v>
      </c>
      <c r="T4442" s="191">
        <v>6.6854473433636694E-7</v>
      </c>
      <c r="U4442" s="439"/>
      <c r="V4442" s="439"/>
      <c r="W4442" s="178">
        <v>30000</v>
      </c>
      <c r="X4442" s="172">
        <f t="shared" si="8"/>
        <v>0.33333333333333331</v>
      </c>
      <c r="Y4442" s="172">
        <f t="shared" si="8"/>
        <v>0.33333333333333331</v>
      </c>
      <c r="Z4442" s="172">
        <f t="shared" si="8"/>
        <v>0.33333333333333331</v>
      </c>
      <c r="AA4442" s="195"/>
      <c r="AB4442" s="159"/>
    </row>
    <row r="4443" spans="1:28" ht="12.75" customHeight="1" x14ac:dyDescent="0.3">
      <c r="A4443" s="161">
        <v>443</v>
      </c>
      <c r="B4443" s="159" t="s">
        <v>2640</v>
      </c>
      <c r="C4443" s="160" t="s">
        <v>2641</v>
      </c>
      <c r="D4443" s="160" t="s">
        <v>620</v>
      </c>
      <c r="E4443" s="545"/>
      <c r="F4443" s="161">
        <v>300.39999999999998</v>
      </c>
      <c r="G4443" s="191"/>
      <c r="H4443" s="191">
        <v>3.5733333324399997E-3</v>
      </c>
      <c r="I4443" s="191">
        <v>8</v>
      </c>
      <c r="J4443" s="191"/>
      <c r="K4443" s="191">
        <v>30902.954325135954</v>
      </c>
      <c r="L4443" s="191"/>
      <c r="M4443" s="191"/>
      <c r="N4443" s="191"/>
      <c r="O4443" s="191"/>
      <c r="P4443" s="191"/>
      <c r="Q4443" s="191">
        <v>1.5221435249999999E-4</v>
      </c>
      <c r="R4443" s="191">
        <v>2.1393431498763744E-7</v>
      </c>
      <c r="S4443" s="191">
        <v>2.3770479443070826E-8</v>
      </c>
      <c r="T4443" s="191">
        <v>1.0696715749381872E-7</v>
      </c>
      <c r="U4443" s="439"/>
      <c r="V4443" s="439"/>
      <c r="W4443" s="178">
        <v>30000</v>
      </c>
      <c r="X4443" s="172">
        <f t="shared" si="8"/>
        <v>0.33333333333333331</v>
      </c>
      <c r="Y4443" s="172">
        <f t="shared" si="8"/>
        <v>0.33333333333333331</v>
      </c>
      <c r="Z4443" s="172">
        <f t="shared" si="8"/>
        <v>0.33333333333333331</v>
      </c>
      <c r="AA4443" s="195"/>
      <c r="AB4443" s="159"/>
    </row>
    <row r="4444" spans="1:28" ht="12.75" customHeight="1" x14ac:dyDescent="0.3">
      <c r="A4444" s="161">
        <v>444</v>
      </c>
      <c r="B4444" s="159" t="s">
        <v>2449</v>
      </c>
      <c r="C4444" s="160" t="s">
        <v>2450</v>
      </c>
      <c r="D4444" s="160" t="s">
        <v>620</v>
      </c>
      <c r="E4444" s="545"/>
      <c r="F4444" s="161">
        <v>411.76</v>
      </c>
      <c r="G4444" s="191"/>
      <c r="H4444" s="191">
        <v>3.89333333236E-4</v>
      </c>
      <c r="I4444" s="191">
        <v>0.36280000000000001</v>
      </c>
      <c r="J4444" s="191"/>
      <c r="K4444" s="191">
        <v>32359.365692962871</v>
      </c>
      <c r="L4444" s="191"/>
      <c r="M4444" s="191"/>
      <c r="N4444" s="191"/>
      <c r="O4444" s="191"/>
      <c r="P4444" s="191"/>
      <c r="Q4444" s="191">
        <v>3.4997250000000002E-6</v>
      </c>
      <c r="R4444" s="191">
        <v>4.45696489557578E-8</v>
      </c>
      <c r="S4444" s="191">
        <v>4.9521832173064224E-9</v>
      </c>
      <c r="T4444" s="191">
        <v>4.011268406018202E-9</v>
      </c>
      <c r="U4444" s="439"/>
      <c r="V4444" s="439"/>
      <c r="W4444" s="178">
        <v>30000</v>
      </c>
      <c r="X4444" s="172">
        <f t="shared" si="8"/>
        <v>0.33333333333333331</v>
      </c>
      <c r="Y4444" s="172">
        <f t="shared" si="8"/>
        <v>0.33333333333333331</v>
      </c>
      <c r="Z4444" s="172">
        <f t="shared" si="8"/>
        <v>0.33333333333333331</v>
      </c>
      <c r="AA4444" s="195"/>
      <c r="AB4444" s="159"/>
    </row>
    <row r="4445" spans="1:28" ht="12.75" customHeight="1" x14ac:dyDescent="0.3">
      <c r="A4445" s="161">
        <v>445</v>
      </c>
      <c r="B4445" s="159" t="s">
        <v>2722</v>
      </c>
      <c r="C4445" s="160" t="s">
        <v>2723</v>
      </c>
      <c r="D4445" s="160" t="s">
        <v>620</v>
      </c>
      <c r="E4445" s="545"/>
      <c r="F4445" s="161">
        <v>264.58999999999997</v>
      </c>
      <c r="G4445" s="191"/>
      <c r="H4445" s="191">
        <v>2.3999999994000001E-2</v>
      </c>
      <c r="I4445" s="191">
        <v>2.7210000000000001</v>
      </c>
      <c r="J4445" s="191"/>
      <c r="K4445" s="191">
        <v>33113.11214825909</v>
      </c>
      <c r="L4445" s="191"/>
      <c r="M4445" s="191"/>
      <c r="N4445" s="191"/>
      <c r="O4445" s="191"/>
      <c r="P4445" s="191"/>
      <c r="Q4445" s="191">
        <v>2.9247675000000002E-6</v>
      </c>
      <c r="R4445" s="191">
        <v>2.1393431498763744E-7</v>
      </c>
      <c r="S4445" s="191">
        <v>2.3770479443070826E-8</v>
      </c>
      <c r="T4445" s="191">
        <v>1.0696715749381872E-7</v>
      </c>
      <c r="U4445" s="439"/>
      <c r="V4445" s="439"/>
      <c r="W4445" s="178">
        <v>30000</v>
      </c>
      <c r="X4445" s="172">
        <f t="shared" si="8"/>
        <v>0.33333333333333331</v>
      </c>
      <c r="Y4445" s="172">
        <f t="shared" si="8"/>
        <v>0.33333333333333331</v>
      </c>
      <c r="Z4445" s="172">
        <f t="shared" si="8"/>
        <v>0.33333333333333331</v>
      </c>
      <c r="AA4445" s="195"/>
      <c r="AB4445" s="159"/>
    </row>
    <row r="4446" spans="1:28" ht="12.75" customHeight="1" x14ac:dyDescent="0.3">
      <c r="A4446" s="161">
        <v>446</v>
      </c>
      <c r="B4446" s="159" t="s">
        <v>2836</v>
      </c>
      <c r="C4446" s="160" t="s">
        <v>2837</v>
      </c>
      <c r="D4446" s="160" t="s">
        <v>620</v>
      </c>
      <c r="E4446" s="545"/>
      <c r="F4446" s="161">
        <v>198.31</v>
      </c>
      <c r="G4446" s="191"/>
      <c r="H4446" s="191">
        <v>11.38666666382</v>
      </c>
      <c r="I4446" s="191">
        <v>5.859</v>
      </c>
      <c r="J4446" s="191"/>
      <c r="K4446" s="191">
        <v>35481.33892335758</v>
      </c>
      <c r="L4446" s="191"/>
      <c r="M4446" s="191"/>
      <c r="N4446" s="191"/>
      <c r="O4446" s="191"/>
      <c r="P4446" s="191"/>
      <c r="Q4446" s="191">
        <v>2.4607627500000003E-5</v>
      </c>
      <c r="R4446" s="191">
        <v>2.1393431498763744E-7</v>
      </c>
      <c r="S4446" s="191">
        <v>2.3770479443070826E-8</v>
      </c>
      <c r="T4446" s="191">
        <v>1.0696715749381872E-7</v>
      </c>
      <c r="U4446" s="439"/>
      <c r="V4446" s="439"/>
      <c r="W4446" s="178">
        <v>30000</v>
      </c>
      <c r="X4446" s="172">
        <f t="shared" si="8"/>
        <v>0.33333333333333331</v>
      </c>
      <c r="Y4446" s="172">
        <f t="shared" si="8"/>
        <v>0.33333333333333331</v>
      </c>
      <c r="Z4446" s="172">
        <f t="shared" si="8"/>
        <v>0.33333333333333331</v>
      </c>
      <c r="AA4446" s="195"/>
      <c r="AB4446" s="159"/>
    </row>
    <row r="4447" spans="1:28" ht="12.75" customHeight="1" x14ac:dyDescent="0.3">
      <c r="A4447" s="161">
        <v>447</v>
      </c>
      <c r="B4447" s="159" t="s">
        <v>2480</v>
      </c>
      <c r="C4447" s="160" t="s">
        <v>2481</v>
      </c>
      <c r="D4447" s="160" t="s">
        <v>620</v>
      </c>
      <c r="E4447" s="545"/>
      <c r="F4447" s="161">
        <v>301.13</v>
      </c>
      <c r="G4447" s="191"/>
      <c r="H4447" s="191">
        <v>5.7333333318999993E-2</v>
      </c>
      <c r="I4447" s="191">
        <v>1.1000000000000001</v>
      </c>
      <c r="J4447" s="191"/>
      <c r="K4447" s="191">
        <v>36307.805477010166</v>
      </c>
      <c r="L4447" s="191"/>
      <c r="M4447" s="191"/>
      <c r="N4447" s="191"/>
      <c r="O4447" s="191"/>
      <c r="P4447" s="191"/>
      <c r="Q4447" s="191">
        <v>4.5421657500000006E-5</v>
      </c>
      <c r="R4447" s="191">
        <v>1.3370894686727339E-7</v>
      </c>
      <c r="S4447" s="191">
        <v>1.4856549651919266E-8</v>
      </c>
      <c r="T4447" s="191">
        <v>2.6741789373454679E-7</v>
      </c>
      <c r="U4447" s="439"/>
      <c r="V4447" s="439"/>
      <c r="W4447" s="178">
        <v>30000</v>
      </c>
      <c r="X4447" s="172">
        <f t="shared" si="8"/>
        <v>0.33333333333333331</v>
      </c>
      <c r="Y4447" s="172">
        <f t="shared" si="8"/>
        <v>0.33333333333333331</v>
      </c>
      <c r="Z4447" s="172">
        <f t="shared" si="8"/>
        <v>0.33333333333333331</v>
      </c>
      <c r="AA4447" s="195"/>
      <c r="AB4447" s="159"/>
    </row>
    <row r="4448" spans="1:28" ht="12.75" customHeight="1" x14ac:dyDescent="0.3">
      <c r="A4448" s="161">
        <v>448</v>
      </c>
      <c r="B4448" s="159" t="s">
        <v>2777</v>
      </c>
      <c r="C4448" s="160" t="s">
        <v>1684</v>
      </c>
      <c r="D4448" s="160" t="s">
        <v>620</v>
      </c>
      <c r="E4448" s="545"/>
      <c r="F4448" s="161">
        <v>326.29000000000002</v>
      </c>
      <c r="G4448" s="191"/>
      <c r="H4448" s="191">
        <v>8.3733333312399996E-4</v>
      </c>
      <c r="I4448" s="191">
        <v>1.9</v>
      </c>
      <c r="J4448" s="191"/>
      <c r="K4448" s="191">
        <v>38904.514499428085</v>
      </c>
      <c r="L4448" s="191"/>
      <c r="M4448" s="191"/>
      <c r="N4448" s="191"/>
      <c r="O4448" s="191"/>
      <c r="P4448" s="191"/>
      <c r="Q4448" s="191">
        <v>8.1317250000000005E-6</v>
      </c>
      <c r="R4448" s="191">
        <v>2.1393431498763744E-7</v>
      </c>
      <c r="S4448" s="191">
        <v>2.3770479443070826E-8</v>
      </c>
      <c r="T4448" s="191">
        <v>1.0696715749381872E-7</v>
      </c>
      <c r="U4448" s="439"/>
      <c r="V4448" s="439"/>
      <c r="W4448" s="178">
        <v>30000</v>
      </c>
      <c r="X4448" s="172">
        <f t="shared" si="8"/>
        <v>0.33333333333333331</v>
      </c>
      <c r="Y4448" s="172">
        <f t="shared" si="8"/>
        <v>0.33333333333333331</v>
      </c>
      <c r="Z4448" s="172">
        <f t="shared" si="8"/>
        <v>0.33333333333333331</v>
      </c>
      <c r="AA4448" s="195"/>
      <c r="AB4448" s="159"/>
    </row>
    <row r="4449" spans="1:28" ht="12.75" customHeight="1" x14ac:dyDescent="0.3">
      <c r="A4449" s="161">
        <v>449</v>
      </c>
      <c r="B4449" s="159" t="s">
        <v>2854</v>
      </c>
      <c r="C4449" s="160" t="s">
        <v>2855</v>
      </c>
      <c r="D4449" s="160" t="s">
        <v>620</v>
      </c>
      <c r="E4449" s="545"/>
      <c r="F4449" s="161">
        <v>215.89</v>
      </c>
      <c r="G4449" s="191"/>
      <c r="H4449" s="191">
        <v>5.1999999987000001</v>
      </c>
      <c r="I4449" s="191">
        <v>5.92</v>
      </c>
      <c r="J4449" s="191"/>
      <c r="K4449" s="191">
        <v>39810.717055349742</v>
      </c>
      <c r="L4449" s="191"/>
      <c r="M4449" s="191"/>
      <c r="N4449" s="191"/>
      <c r="O4449" s="191"/>
      <c r="P4449" s="191"/>
      <c r="Q4449" s="191">
        <v>6.1687500000000002E-8</v>
      </c>
      <c r="R4449" s="191">
        <v>1.3370894686727339E-7</v>
      </c>
      <c r="S4449" s="191">
        <v>1.4856549651919266E-8</v>
      </c>
      <c r="T4449" s="191">
        <v>6.6854473433636697E-8</v>
      </c>
      <c r="U4449" s="439"/>
      <c r="V4449" s="439"/>
      <c r="W4449" s="178">
        <v>30000</v>
      </c>
      <c r="X4449" s="172">
        <f t="shared" si="8"/>
        <v>0.33333333333333331</v>
      </c>
      <c r="Y4449" s="172">
        <f t="shared" si="8"/>
        <v>0.33333333333333331</v>
      </c>
      <c r="Z4449" s="172">
        <f t="shared" si="8"/>
        <v>0.33333333333333331</v>
      </c>
      <c r="AA4449" s="195"/>
      <c r="AB4449" s="159"/>
    </row>
    <row r="4450" spans="1:28" ht="12.75" customHeight="1" x14ac:dyDescent="0.3">
      <c r="A4450" s="161">
        <v>450</v>
      </c>
      <c r="B4450" s="159" t="s">
        <v>2421</v>
      </c>
      <c r="C4450" s="160" t="s">
        <v>2422</v>
      </c>
      <c r="D4450" s="160" t="s">
        <v>620</v>
      </c>
      <c r="E4450" s="545"/>
      <c r="F4450" s="161">
        <v>356.05</v>
      </c>
      <c r="G4450" s="191"/>
      <c r="H4450" s="191">
        <v>3.1999999992000001E-8</v>
      </c>
      <c r="I4450" s="191">
        <v>7.8E-2</v>
      </c>
      <c r="J4450" s="191"/>
      <c r="K4450" s="191">
        <v>40738.027780411358</v>
      </c>
      <c r="L4450" s="191"/>
      <c r="M4450" s="191"/>
      <c r="N4450" s="191"/>
      <c r="O4450" s="191"/>
      <c r="P4450" s="191"/>
      <c r="Q4450" s="191">
        <v>2.6511000000000002E-7</v>
      </c>
      <c r="R4450" s="191">
        <v>4.45696489557578E-8</v>
      </c>
      <c r="S4450" s="191">
        <v>4.9521832173064224E-9</v>
      </c>
      <c r="T4450" s="191">
        <v>7.1629792964610742E-8</v>
      </c>
      <c r="U4450" s="439"/>
      <c r="V4450" s="439"/>
      <c r="W4450" s="178">
        <v>30000</v>
      </c>
      <c r="X4450" s="172">
        <f t="shared" ref="X4450:Z4513" si="9">1/3</f>
        <v>0.33333333333333331</v>
      </c>
      <c r="Y4450" s="172">
        <f t="shared" si="9"/>
        <v>0.33333333333333331</v>
      </c>
      <c r="Z4450" s="172">
        <f t="shared" si="9"/>
        <v>0.33333333333333331</v>
      </c>
      <c r="AA4450" s="195"/>
      <c r="AB4450" s="159"/>
    </row>
    <row r="4451" spans="1:28" ht="12.75" customHeight="1" x14ac:dyDescent="0.3">
      <c r="A4451" s="161">
        <v>451</v>
      </c>
      <c r="B4451" s="159" t="s">
        <v>2838</v>
      </c>
      <c r="C4451" s="160" t="s">
        <v>2839</v>
      </c>
      <c r="D4451" s="160" t="s">
        <v>620</v>
      </c>
      <c r="E4451" s="545"/>
      <c r="F4451" s="161">
        <v>341.19</v>
      </c>
      <c r="G4451" s="191"/>
      <c r="H4451" s="191">
        <v>4.6666666654999995E-4</v>
      </c>
      <c r="I4451" s="191">
        <v>0.8</v>
      </c>
      <c r="J4451" s="191"/>
      <c r="K4451" s="191">
        <v>41686.938347033625</v>
      </c>
      <c r="L4451" s="191"/>
      <c r="M4451" s="191"/>
      <c r="N4451" s="191"/>
      <c r="O4451" s="191"/>
      <c r="P4451" s="191"/>
      <c r="Q4451" s="191">
        <v>1.4234572499999999E-5</v>
      </c>
      <c r="R4451" s="191">
        <v>1.3370894686727339E-7</v>
      </c>
      <c r="S4451" s="191">
        <v>1.4856549651919266E-8</v>
      </c>
      <c r="T4451" s="191">
        <v>4.2223877958086334E-7</v>
      </c>
      <c r="U4451" s="439"/>
      <c r="V4451" s="439"/>
      <c r="W4451" s="178">
        <v>30000</v>
      </c>
      <c r="X4451" s="172">
        <f t="shared" si="9"/>
        <v>0.33333333333333331</v>
      </c>
      <c r="Y4451" s="172">
        <f t="shared" si="9"/>
        <v>0.33333333333333331</v>
      </c>
      <c r="Z4451" s="172">
        <f t="shared" si="9"/>
        <v>0.33333333333333331</v>
      </c>
      <c r="AA4451" s="195"/>
      <c r="AB4451" s="159"/>
    </row>
    <row r="4452" spans="1:28" ht="12.75" customHeight="1" x14ac:dyDescent="0.3">
      <c r="A4452" s="161">
        <v>452</v>
      </c>
      <c r="B4452" s="159" t="s">
        <v>2443</v>
      </c>
      <c r="C4452" s="160" t="s">
        <v>2444</v>
      </c>
      <c r="D4452" s="160" t="s">
        <v>620</v>
      </c>
      <c r="E4452" s="545"/>
      <c r="F4452" s="161">
        <v>284.10000000000002</v>
      </c>
      <c r="G4452" s="191"/>
      <c r="H4452" s="191">
        <v>1.0666666663999998E-3</v>
      </c>
      <c r="I4452" s="191">
        <v>1</v>
      </c>
      <c r="J4452" s="191"/>
      <c r="K4452" s="191">
        <v>43651.583224016598</v>
      </c>
      <c r="L4452" s="191"/>
      <c r="M4452" s="191"/>
      <c r="N4452" s="191"/>
      <c r="O4452" s="191"/>
      <c r="P4452" s="191"/>
      <c r="Q4452" s="191">
        <v>8.3004750000000003E-7</v>
      </c>
      <c r="R4452" s="191">
        <v>1.3370894686727339E-7</v>
      </c>
      <c r="S4452" s="191">
        <v>1.4856549651919266E-8</v>
      </c>
      <c r="T4452" s="191">
        <v>8.0225368120364042E-7</v>
      </c>
      <c r="U4452" s="439"/>
      <c r="V4452" s="439"/>
      <c r="W4452" s="178">
        <v>30000</v>
      </c>
      <c r="X4452" s="172">
        <f t="shared" si="9"/>
        <v>0.33333333333333331</v>
      </c>
      <c r="Y4452" s="172">
        <f t="shared" si="9"/>
        <v>0.33333333333333331</v>
      </c>
      <c r="Z4452" s="172">
        <f t="shared" si="9"/>
        <v>0.33333333333333331</v>
      </c>
      <c r="AA4452" s="195"/>
      <c r="AB4452" s="159"/>
    </row>
    <row r="4453" spans="1:28" ht="12.75" customHeight="1" x14ac:dyDescent="0.3">
      <c r="A4453" s="161">
        <v>453</v>
      </c>
      <c r="B4453" s="159" t="s">
        <v>2465</v>
      </c>
      <c r="C4453" s="160" t="s">
        <v>2466</v>
      </c>
      <c r="D4453" s="160" t="s">
        <v>620</v>
      </c>
      <c r="E4453" s="545"/>
      <c r="F4453" s="161">
        <v>373.63</v>
      </c>
      <c r="G4453" s="191"/>
      <c r="H4453" s="191">
        <v>1.1999999996999999E-4</v>
      </c>
      <c r="I4453" s="191">
        <v>28</v>
      </c>
      <c r="J4453" s="191"/>
      <c r="K4453" s="191">
        <v>47863.009232263823</v>
      </c>
      <c r="L4453" s="191"/>
      <c r="M4453" s="191"/>
      <c r="N4453" s="191"/>
      <c r="O4453" s="191"/>
      <c r="P4453" s="191"/>
      <c r="Q4453" s="191">
        <v>3.3611557500000002E-5</v>
      </c>
      <c r="R4453" s="191">
        <v>1.3370894686727339E-7</v>
      </c>
      <c r="S4453" s="191">
        <v>1.4856549651919266E-8</v>
      </c>
      <c r="T4453" s="191">
        <v>1.1460766874337719E-6</v>
      </c>
      <c r="U4453" s="439"/>
      <c r="V4453" s="439"/>
      <c r="W4453" s="178">
        <v>30000</v>
      </c>
      <c r="X4453" s="172">
        <f t="shared" si="9"/>
        <v>0.33333333333333331</v>
      </c>
      <c r="Y4453" s="172">
        <f t="shared" si="9"/>
        <v>0.33333333333333331</v>
      </c>
      <c r="Z4453" s="172">
        <f t="shared" si="9"/>
        <v>0.33333333333333331</v>
      </c>
      <c r="AA4453" s="195"/>
      <c r="AB4453" s="159"/>
    </row>
    <row r="4454" spans="1:28" ht="12.75" customHeight="1" x14ac:dyDescent="0.3">
      <c r="A4454" s="161">
        <v>454</v>
      </c>
      <c r="B4454" s="159" t="s">
        <v>2832</v>
      </c>
      <c r="C4454" s="160" t="s">
        <v>2833</v>
      </c>
      <c r="D4454" s="160" t="s">
        <v>620</v>
      </c>
      <c r="E4454" s="545"/>
      <c r="F4454" s="161">
        <v>222.29</v>
      </c>
      <c r="G4454" s="191"/>
      <c r="H4454" s="191">
        <v>0.150666666629</v>
      </c>
      <c r="I4454" s="191">
        <v>2.9279999999999999</v>
      </c>
      <c r="J4454" s="191"/>
      <c r="K4454" s="191">
        <v>56234.132519034953</v>
      </c>
      <c r="L4454" s="191"/>
      <c r="M4454" s="191"/>
      <c r="N4454" s="191"/>
      <c r="O4454" s="191"/>
      <c r="P4454" s="191"/>
      <c r="Q4454" s="191">
        <v>6.6186224999999995E-6</v>
      </c>
      <c r="R4454" s="191">
        <v>2.1393431498763744E-7</v>
      </c>
      <c r="S4454" s="191">
        <v>2.3770479443070826E-8</v>
      </c>
      <c r="T4454" s="191">
        <v>1.0696715749381872E-7</v>
      </c>
      <c r="U4454" s="439"/>
      <c r="V4454" s="439"/>
      <c r="W4454" s="178">
        <v>30000</v>
      </c>
      <c r="X4454" s="172">
        <f t="shared" si="9"/>
        <v>0.33333333333333331</v>
      </c>
      <c r="Y4454" s="172">
        <f t="shared" si="9"/>
        <v>0.33333333333333331</v>
      </c>
      <c r="Z4454" s="172">
        <f t="shared" si="9"/>
        <v>0.33333333333333331</v>
      </c>
      <c r="AA4454" s="195"/>
      <c r="AB4454" s="159"/>
    </row>
    <row r="4455" spans="1:28" ht="12.75" customHeight="1" x14ac:dyDescent="0.3">
      <c r="A4455" s="161">
        <v>455</v>
      </c>
      <c r="B4455" s="159" t="s">
        <v>2846</v>
      </c>
      <c r="C4455" s="160" t="s">
        <v>2847</v>
      </c>
      <c r="D4455" s="160" t="s">
        <v>620</v>
      </c>
      <c r="E4455" s="545"/>
      <c r="F4455" s="161">
        <v>302.42</v>
      </c>
      <c r="G4455" s="191"/>
      <c r="H4455" s="191">
        <v>43999999.989</v>
      </c>
      <c r="I4455" s="191">
        <v>4.5999999999999996</v>
      </c>
      <c r="J4455" s="191"/>
      <c r="K4455" s="191">
        <v>60255.95860743591</v>
      </c>
      <c r="L4455" s="191"/>
      <c r="M4455" s="191"/>
      <c r="N4455" s="191"/>
      <c r="O4455" s="191"/>
      <c r="P4455" s="191"/>
      <c r="Q4455" s="191">
        <v>1.666893675E-4</v>
      </c>
      <c r="R4455" s="191">
        <v>2.1393431498763744E-7</v>
      </c>
      <c r="S4455" s="191">
        <v>2.3770479443070826E-8</v>
      </c>
      <c r="T4455" s="191">
        <v>1.3370894686727339E-7</v>
      </c>
      <c r="U4455" s="439"/>
      <c r="V4455" s="439"/>
      <c r="W4455" s="178">
        <v>30000</v>
      </c>
      <c r="X4455" s="172">
        <f t="shared" si="9"/>
        <v>0.33333333333333331</v>
      </c>
      <c r="Y4455" s="172">
        <f t="shared" si="9"/>
        <v>0.33333333333333331</v>
      </c>
      <c r="Z4455" s="172">
        <f t="shared" si="9"/>
        <v>0.33333333333333331</v>
      </c>
      <c r="AA4455" s="195"/>
      <c r="AB4455" s="159"/>
    </row>
    <row r="4456" spans="1:28" ht="12.75" customHeight="1" x14ac:dyDescent="0.3">
      <c r="A4456" s="161">
        <v>456</v>
      </c>
      <c r="B4456" s="159" t="s">
        <v>2702</v>
      </c>
      <c r="C4456" s="160" t="s">
        <v>2703</v>
      </c>
      <c r="D4456" s="160" t="s">
        <v>620</v>
      </c>
      <c r="E4456" s="545"/>
      <c r="F4456" s="161">
        <v>180.25</v>
      </c>
      <c r="G4456" s="191"/>
      <c r="H4456" s="191">
        <v>0.91466666643799988</v>
      </c>
      <c r="I4456" s="191">
        <v>0.29199999999999998</v>
      </c>
      <c r="J4456" s="191"/>
      <c r="K4456" s="191">
        <v>64565.422903465565</v>
      </c>
      <c r="L4456" s="191"/>
      <c r="M4456" s="191"/>
      <c r="N4456" s="191"/>
      <c r="O4456" s="191"/>
      <c r="P4456" s="191"/>
      <c r="Q4456" s="191">
        <v>4.5049739999999999E-5</v>
      </c>
      <c r="R4456" s="191">
        <v>5.3483578746909358E-7</v>
      </c>
      <c r="S4456" s="191">
        <v>5.9426198607677063E-8</v>
      </c>
      <c r="T4456" s="191">
        <v>2.6741789373454679E-7</v>
      </c>
      <c r="U4456" s="439"/>
      <c r="V4456" s="439"/>
      <c r="W4456" s="178">
        <v>30000</v>
      </c>
      <c r="X4456" s="172">
        <f t="shared" si="9"/>
        <v>0.33333333333333331</v>
      </c>
      <c r="Y4456" s="172">
        <f t="shared" si="9"/>
        <v>0.33333333333333331</v>
      </c>
      <c r="Z4456" s="172">
        <f t="shared" si="9"/>
        <v>0.33333333333333331</v>
      </c>
      <c r="AA4456" s="195"/>
      <c r="AB4456" s="159"/>
    </row>
    <row r="4457" spans="1:28" ht="12.75" customHeight="1" x14ac:dyDescent="0.3">
      <c r="A4457" s="161">
        <v>457</v>
      </c>
      <c r="B4457" s="159" t="s">
        <v>2885</v>
      </c>
      <c r="C4457" s="160" t="s">
        <v>2886</v>
      </c>
      <c r="D4457" s="160" t="s">
        <v>620</v>
      </c>
      <c r="E4457" s="545"/>
      <c r="F4457" s="161">
        <v>314.8</v>
      </c>
      <c r="G4457" s="191"/>
      <c r="H4457" s="191">
        <v>3.5599999991099995E-3</v>
      </c>
      <c r="I4457" s="191">
        <v>1.6</v>
      </c>
      <c r="J4457" s="191"/>
      <c r="K4457" s="191">
        <v>66069.344800759733</v>
      </c>
      <c r="L4457" s="191"/>
      <c r="M4457" s="191"/>
      <c r="N4457" s="191"/>
      <c r="O4457" s="191"/>
      <c r="P4457" s="191"/>
      <c r="Q4457" s="191">
        <v>1.5869467500000001E-4</v>
      </c>
      <c r="R4457" s="191">
        <v>2.1393431498763744E-7</v>
      </c>
      <c r="S4457" s="191">
        <v>2.3770479443070826E-8</v>
      </c>
      <c r="T4457" s="191">
        <v>1.0696715749381872E-7</v>
      </c>
      <c r="U4457" s="439"/>
      <c r="V4457" s="439"/>
      <c r="W4457" s="178">
        <v>30000</v>
      </c>
      <c r="X4457" s="172">
        <f t="shared" si="9"/>
        <v>0.33333333333333331</v>
      </c>
      <c r="Y4457" s="172">
        <f t="shared" si="9"/>
        <v>0.33333333333333331</v>
      </c>
      <c r="Z4457" s="172">
        <f t="shared" si="9"/>
        <v>0.33333333333333331</v>
      </c>
      <c r="AA4457" s="195"/>
      <c r="AB4457" s="159"/>
    </row>
    <row r="4458" spans="1:28" ht="12.75" customHeight="1" x14ac:dyDescent="0.3">
      <c r="A4458" s="161">
        <v>458</v>
      </c>
      <c r="B4458" s="159" t="s">
        <v>2883</v>
      </c>
      <c r="C4458" s="160" t="s">
        <v>2884</v>
      </c>
      <c r="D4458" s="160" t="s">
        <v>620</v>
      </c>
      <c r="E4458" s="545"/>
      <c r="F4458" s="161">
        <v>250.38</v>
      </c>
      <c r="G4458" s="191"/>
      <c r="H4458" s="191">
        <v>931.99999976699996</v>
      </c>
      <c r="I4458" s="191">
        <v>5.3559999999999999</v>
      </c>
      <c r="J4458" s="191"/>
      <c r="K4458" s="191">
        <v>72443.596007499116</v>
      </c>
      <c r="L4458" s="191"/>
      <c r="M4458" s="191"/>
      <c r="N4458" s="191"/>
      <c r="O4458" s="191"/>
      <c r="P4458" s="191"/>
      <c r="Q4458" s="191">
        <v>2.9411820000000003E-5</v>
      </c>
      <c r="R4458" s="191">
        <v>2.1393431498763744E-7</v>
      </c>
      <c r="S4458" s="191">
        <v>2.3770479443070826E-8</v>
      </c>
      <c r="T4458" s="191">
        <v>1.0696715749381872E-7</v>
      </c>
      <c r="U4458" s="439"/>
      <c r="V4458" s="439"/>
      <c r="W4458" s="178">
        <v>30000</v>
      </c>
      <c r="X4458" s="172">
        <f t="shared" si="9"/>
        <v>0.33333333333333331</v>
      </c>
      <c r="Y4458" s="172">
        <f t="shared" si="9"/>
        <v>0.33333333333333331</v>
      </c>
      <c r="Z4458" s="172">
        <f t="shared" si="9"/>
        <v>0.33333333333333331</v>
      </c>
      <c r="AA4458" s="195"/>
      <c r="AB4458" s="159"/>
    </row>
    <row r="4459" spans="1:28" ht="12.75" customHeight="1" x14ac:dyDescent="0.3">
      <c r="A4459" s="161">
        <v>459</v>
      </c>
      <c r="B4459" s="159" t="s">
        <v>2453</v>
      </c>
      <c r="C4459" s="160" t="s">
        <v>2454</v>
      </c>
      <c r="D4459" s="160" t="s">
        <v>620</v>
      </c>
      <c r="E4459" s="545"/>
      <c r="F4459" s="161">
        <v>321.54000000000002</v>
      </c>
      <c r="G4459" s="191"/>
      <c r="H4459" s="191">
        <v>9.9999999974999983E-3</v>
      </c>
      <c r="I4459" s="191">
        <v>1</v>
      </c>
      <c r="J4459" s="191"/>
      <c r="K4459" s="191">
        <v>75857.757502918481</v>
      </c>
      <c r="L4459" s="191"/>
      <c r="M4459" s="191"/>
      <c r="N4459" s="191"/>
      <c r="O4459" s="191"/>
      <c r="P4459" s="191"/>
      <c r="Q4459" s="191">
        <v>4.4094547499999996E-5</v>
      </c>
      <c r="R4459" s="191">
        <v>1.3370894686727339E-7</v>
      </c>
      <c r="S4459" s="191">
        <v>1.4856549651919266E-8</v>
      </c>
      <c r="T4459" s="191">
        <v>6.6854473433636697E-8</v>
      </c>
      <c r="U4459" s="439"/>
      <c r="V4459" s="439"/>
      <c r="W4459" s="178">
        <v>30000</v>
      </c>
      <c r="X4459" s="172">
        <f t="shared" si="9"/>
        <v>0.33333333333333331</v>
      </c>
      <c r="Y4459" s="172">
        <f t="shared" si="9"/>
        <v>0.33333333333333331</v>
      </c>
      <c r="Z4459" s="172">
        <f t="shared" si="9"/>
        <v>0.33333333333333331</v>
      </c>
      <c r="AA4459" s="195"/>
      <c r="AB4459" s="159"/>
    </row>
    <row r="4460" spans="1:28" ht="12.75" customHeight="1" x14ac:dyDescent="0.3">
      <c r="A4460" s="161">
        <v>460</v>
      </c>
      <c r="B4460" s="159" t="s">
        <v>2684</v>
      </c>
      <c r="C4460" s="160" t="s">
        <v>2685</v>
      </c>
      <c r="D4460" s="160" t="s">
        <v>620</v>
      </c>
      <c r="E4460" s="545"/>
      <c r="F4460" s="161">
        <v>239.1</v>
      </c>
      <c r="G4460" s="191"/>
      <c r="H4460" s="191">
        <v>0.122666666636</v>
      </c>
      <c r="I4460" s="191">
        <v>5.6</v>
      </c>
      <c r="J4460" s="191"/>
      <c r="K4460" s="191">
        <v>85113.803820237721</v>
      </c>
      <c r="L4460" s="191"/>
      <c r="M4460" s="191"/>
      <c r="N4460" s="191"/>
      <c r="O4460" s="191"/>
      <c r="P4460" s="191"/>
      <c r="Q4460" s="191">
        <v>2.8413525000000001E-6</v>
      </c>
      <c r="R4460" s="191">
        <v>1.3370894686727339E-7</v>
      </c>
      <c r="S4460" s="191">
        <v>1.4856549651919266E-8</v>
      </c>
      <c r="T4460" s="191">
        <v>6.6854473433636697E-8</v>
      </c>
      <c r="U4460" s="439"/>
      <c r="V4460" s="439"/>
      <c r="W4460" s="178">
        <v>30000</v>
      </c>
      <c r="X4460" s="172">
        <f t="shared" si="9"/>
        <v>0.33333333333333331</v>
      </c>
      <c r="Y4460" s="172">
        <f t="shared" si="9"/>
        <v>0.33333333333333331</v>
      </c>
      <c r="Z4460" s="172">
        <f t="shared" si="9"/>
        <v>0.33333333333333331</v>
      </c>
      <c r="AA4460" s="195"/>
      <c r="AB4460" s="159"/>
    </row>
    <row r="4461" spans="1:28" ht="12.75" customHeight="1" x14ac:dyDescent="0.3">
      <c r="A4461" s="161">
        <v>461</v>
      </c>
      <c r="B4461" s="159" t="s">
        <v>2580</v>
      </c>
      <c r="C4461" s="160" t="s">
        <v>2581</v>
      </c>
      <c r="D4461" s="160" t="s">
        <v>620</v>
      </c>
      <c r="E4461" s="545"/>
      <c r="F4461" s="161">
        <v>249.11</v>
      </c>
      <c r="G4461" s="191"/>
      <c r="H4461" s="191">
        <v>0.19999999994999998</v>
      </c>
      <c r="I4461" s="191">
        <v>1.448</v>
      </c>
      <c r="J4461" s="191"/>
      <c r="K4461" s="191">
        <v>87096.358995608287</v>
      </c>
      <c r="L4461" s="191"/>
      <c r="M4461" s="191"/>
      <c r="N4461" s="191"/>
      <c r="O4461" s="191"/>
      <c r="P4461" s="191"/>
      <c r="Q4461" s="191">
        <v>3.8532075000000003E-6</v>
      </c>
      <c r="R4461" s="191">
        <v>2.1393431498763744E-7</v>
      </c>
      <c r="S4461" s="191">
        <v>2.3770479443070826E-8</v>
      </c>
      <c r="T4461" s="191">
        <v>1.0696715749381872E-7</v>
      </c>
      <c r="U4461" s="439"/>
      <c r="V4461" s="439"/>
      <c r="W4461" s="178">
        <v>30000</v>
      </c>
      <c r="X4461" s="172">
        <f t="shared" si="9"/>
        <v>0.33333333333333331</v>
      </c>
      <c r="Y4461" s="172">
        <f t="shared" si="9"/>
        <v>0.33333333333333331</v>
      </c>
      <c r="Z4461" s="172">
        <f t="shared" si="9"/>
        <v>0.33333333333333331</v>
      </c>
      <c r="AA4461" s="195"/>
      <c r="AB4461" s="159"/>
    </row>
    <row r="4462" spans="1:28" ht="12.75" customHeight="1" x14ac:dyDescent="0.3">
      <c r="A4462" s="161">
        <v>462</v>
      </c>
      <c r="B4462" s="159" t="s">
        <v>2870</v>
      </c>
      <c r="C4462" s="160" t="s">
        <v>2871</v>
      </c>
      <c r="D4462" s="160" t="s">
        <v>620</v>
      </c>
      <c r="E4462" s="545"/>
      <c r="F4462" s="161">
        <v>192.26</v>
      </c>
      <c r="G4462" s="191"/>
      <c r="H4462" s="191">
        <v>5.3333333320000004E-3</v>
      </c>
      <c r="I4462" s="191">
        <v>0.26100000000000001</v>
      </c>
      <c r="J4462" s="191"/>
      <c r="K4462" s="191">
        <v>117489.75549395311</v>
      </c>
      <c r="L4462" s="191"/>
      <c r="M4462" s="191"/>
      <c r="N4462" s="191"/>
      <c r="O4462" s="191"/>
      <c r="P4462" s="191"/>
      <c r="Q4462" s="191">
        <v>7.8419940000000007E-5</v>
      </c>
      <c r="R4462" s="191">
        <v>2.1393431498763744E-7</v>
      </c>
      <c r="S4462" s="191">
        <v>2.3770479443070826E-8</v>
      </c>
      <c r="T4462" s="191">
        <v>1.0696715749381872E-7</v>
      </c>
      <c r="U4462" s="439"/>
      <c r="V4462" s="439"/>
      <c r="W4462" s="178">
        <v>30000</v>
      </c>
      <c r="X4462" s="172">
        <f t="shared" si="9"/>
        <v>0.33333333333333331</v>
      </c>
      <c r="Y4462" s="172">
        <f t="shared" si="9"/>
        <v>0.33333333333333331</v>
      </c>
      <c r="Z4462" s="172">
        <f t="shared" si="9"/>
        <v>0.33333333333333331</v>
      </c>
      <c r="AA4462" s="195"/>
      <c r="AB4462" s="159"/>
    </row>
    <row r="4463" spans="1:28" ht="12.75" customHeight="1" x14ac:dyDescent="0.3">
      <c r="A4463" s="161">
        <v>463</v>
      </c>
      <c r="B4463" s="159" t="s">
        <v>2662</v>
      </c>
      <c r="C4463" s="160" t="s">
        <v>2663</v>
      </c>
      <c r="D4463" s="160" t="s">
        <v>620</v>
      </c>
      <c r="E4463" s="545"/>
      <c r="F4463" s="161">
        <v>223.1</v>
      </c>
      <c r="G4463" s="191"/>
      <c r="H4463" s="191">
        <v>0.27866666659699996</v>
      </c>
      <c r="I4463" s="191">
        <v>1.17</v>
      </c>
      <c r="J4463" s="191"/>
      <c r="K4463" s="191">
        <v>123026.87708123829</v>
      </c>
      <c r="L4463" s="191"/>
      <c r="M4463" s="191"/>
      <c r="N4463" s="191"/>
      <c r="O4463" s="191"/>
      <c r="P4463" s="191"/>
      <c r="Q4463" s="191">
        <v>1.2951824999999999E-6</v>
      </c>
      <c r="R4463" s="191">
        <v>2.1393431498763744E-7</v>
      </c>
      <c r="S4463" s="191">
        <v>2.3770479443070826E-8</v>
      </c>
      <c r="T4463" s="191">
        <v>1.0696715749381872E-7</v>
      </c>
      <c r="U4463" s="439"/>
      <c r="V4463" s="439"/>
      <c r="W4463" s="178">
        <v>30000</v>
      </c>
      <c r="X4463" s="172">
        <f t="shared" si="9"/>
        <v>0.33333333333333331</v>
      </c>
      <c r="Y4463" s="172">
        <f t="shared" si="9"/>
        <v>0.33333333333333331</v>
      </c>
      <c r="Z4463" s="172">
        <f t="shared" si="9"/>
        <v>0.33333333333333331</v>
      </c>
      <c r="AA4463" s="195"/>
      <c r="AB4463" s="159"/>
    </row>
    <row r="4464" spans="1:28" ht="12.75" customHeight="1" x14ac:dyDescent="0.3">
      <c r="A4464" s="161">
        <v>464</v>
      </c>
      <c r="B4464" s="159" t="s">
        <v>2887</v>
      </c>
      <c r="C4464" s="160" t="s">
        <v>2888</v>
      </c>
      <c r="D4464" s="160" t="s">
        <v>620</v>
      </c>
      <c r="E4464" s="545"/>
      <c r="F4464" s="161">
        <v>315.14999999999998</v>
      </c>
      <c r="G4464" s="191"/>
      <c r="H4464" s="191">
        <v>7.4666666647999994E-2</v>
      </c>
      <c r="I4464" s="191">
        <v>0.245</v>
      </c>
      <c r="J4464" s="191"/>
      <c r="K4464" s="191">
        <v>138038.42646028858</v>
      </c>
      <c r="L4464" s="191"/>
      <c r="M4464" s="191"/>
      <c r="N4464" s="191"/>
      <c r="O4464" s="191"/>
      <c r="P4464" s="191"/>
      <c r="Q4464" s="191">
        <v>6.9252967500000004E-5</v>
      </c>
      <c r="R4464" s="191">
        <v>1.3370894686727339E-7</v>
      </c>
      <c r="S4464" s="191">
        <v>1.4856549651919266E-8</v>
      </c>
      <c r="T4464" s="191">
        <v>1.3370894686727339E-6</v>
      </c>
      <c r="U4464" s="439"/>
      <c r="V4464" s="439"/>
      <c r="W4464" s="178">
        <v>30000</v>
      </c>
      <c r="X4464" s="172">
        <f t="shared" si="9"/>
        <v>0.33333333333333331</v>
      </c>
      <c r="Y4464" s="172">
        <f t="shared" si="9"/>
        <v>0.33333333333333331</v>
      </c>
      <c r="Z4464" s="172">
        <f t="shared" si="9"/>
        <v>0.33333333333333331</v>
      </c>
      <c r="AA4464" s="195"/>
      <c r="AB4464" s="159"/>
    </row>
    <row r="4465" spans="1:28" ht="12.75" customHeight="1" x14ac:dyDescent="0.3">
      <c r="A4465" s="161">
        <v>465</v>
      </c>
      <c r="B4465" s="159" t="s">
        <v>2890</v>
      </c>
      <c r="C4465" s="160" t="s">
        <v>2891</v>
      </c>
      <c r="D4465" s="160" t="s">
        <v>620</v>
      </c>
      <c r="E4465" s="545"/>
      <c r="F4465" s="161">
        <v>148.25</v>
      </c>
      <c r="G4465" s="191"/>
      <c r="H4465" s="191">
        <v>78.933333313599988</v>
      </c>
      <c r="I4465" s="191">
        <v>2.9689999999999999</v>
      </c>
      <c r="J4465" s="191"/>
      <c r="K4465" s="191">
        <v>147910.83881682079</v>
      </c>
      <c r="L4465" s="191"/>
      <c r="M4465" s="191"/>
      <c r="N4465" s="191"/>
      <c r="O4465" s="191"/>
      <c r="P4465" s="191"/>
      <c r="Q4465" s="191">
        <v>1.0499999999999999E-5</v>
      </c>
      <c r="R4465" s="191">
        <v>2.1393431498763744E-7</v>
      </c>
      <c r="S4465" s="191">
        <v>2.3770479443070826E-8</v>
      </c>
      <c r="T4465" s="191">
        <v>1.0696715749381872E-7</v>
      </c>
      <c r="U4465" s="439"/>
      <c r="V4465" s="439"/>
      <c r="W4465" s="178">
        <v>30000</v>
      </c>
      <c r="X4465" s="172">
        <f t="shared" si="9"/>
        <v>0.33333333333333331</v>
      </c>
      <c r="Y4465" s="172">
        <f t="shared" si="9"/>
        <v>0.33333333333333331</v>
      </c>
      <c r="Z4465" s="172">
        <f t="shared" si="9"/>
        <v>0.33333333333333331</v>
      </c>
      <c r="AA4465" s="195"/>
      <c r="AB4465" s="159"/>
    </row>
    <row r="4466" spans="1:28" ht="12.75" customHeight="1" x14ac:dyDescent="0.3">
      <c r="A4466" s="161">
        <v>466</v>
      </c>
      <c r="B4466" s="159" t="s">
        <v>2824</v>
      </c>
      <c r="C4466" s="160" t="s">
        <v>2825</v>
      </c>
      <c r="D4466" s="160" t="s">
        <v>620</v>
      </c>
      <c r="E4466" s="545"/>
      <c r="F4466" s="161">
        <v>333.6</v>
      </c>
      <c r="G4466" s="191"/>
      <c r="H4466" s="191">
        <v>1.9999999994999998E-3</v>
      </c>
      <c r="I4466" s="191">
        <v>0.59</v>
      </c>
      <c r="J4466" s="191"/>
      <c r="K4466" s="191">
        <v>169824.36524617471</v>
      </c>
      <c r="L4466" s="191"/>
      <c r="M4466" s="191"/>
      <c r="N4466" s="191"/>
      <c r="O4466" s="191"/>
      <c r="P4466" s="191"/>
      <c r="Q4466" s="191">
        <v>5.5224217499999997E-5</v>
      </c>
      <c r="R4466" s="191">
        <v>1.3370894686727339E-7</v>
      </c>
      <c r="S4466" s="191">
        <v>1.4856549651919266E-8</v>
      </c>
      <c r="T4466" s="191">
        <v>5.771609217292377E-8</v>
      </c>
      <c r="U4466" s="439"/>
      <c r="V4466" s="439"/>
      <c r="W4466" s="178">
        <v>30000</v>
      </c>
      <c r="X4466" s="172">
        <f t="shared" si="9"/>
        <v>0.33333333333333331</v>
      </c>
      <c r="Y4466" s="172">
        <f t="shared" si="9"/>
        <v>0.33333333333333331</v>
      </c>
      <c r="Z4466" s="172">
        <f t="shared" si="9"/>
        <v>0.33333333333333331</v>
      </c>
      <c r="AA4466" s="195"/>
      <c r="AB4466" s="159"/>
    </row>
    <row r="4467" spans="1:28" ht="12.75" customHeight="1" x14ac:dyDescent="0.3">
      <c r="A4467" s="161">
        <v>467</v>
      </c>
      <c r="B4467" s="159" t="s">
        <v>2439</v>
      </c>
      <c r="C4467" s="160" t="s">
        <v>2440</v>
      </c>
      <c r="D4467" s="160" t="s">
        <v>620</v>
      </c>
      <c r="E4467" s="545"/>
      <c r="F4467" s="161">
        <v>403.12</v>
      </c>
      <c r="G4467" s="191"/>
      <c r="H4467" s="191">
        <v>6.3999999983999989E-4</v>
      </c>
      <c r="I4467" s="191">
        <v>0.08</v>
      </c>
      <c r="J4467" s="191"/>
      <c r="K4467" s="191">
        <v>251188.64315095844</v>
      </c>
      <c r="L4467" s="191"/>
      <c r="M4467" s="191"/>
      <c r="N4467" s="191"/>
      <c r="O4467" s="191"/>
      <c r="P4467" s="191"/>
      <c r="Q4467" s="191">
        <v>5.5490399999999991E-6</v>
      </c>
      <c r="R4467" s="191">
        <v>2.1393431498763744E-7</v>
      </c>
      <c r="S4467" s="191">
        <v>2.3770479443070826E-8</v>
      </c>
      <c r="T4467" s="191">
        <v>1.0028171015045505E-6</v>
      </c>
      <c r="U4467" s="439"/>
      <c r="V4467" s="439"/>
      <c r="W4467" s="178">
        <v>30000</v>
      </c>
      <c r="X4467" s="172">
        <f t="shared" si="9"/>
        <v>0.33333333333333331</v>
      </c>
      <c r="Y4467" s="172">
        <f t="shared" si="9"/>
        <v>0.33333333333333331</v>
      </c>
      <c r="Z4467" s="172">
        <f t="shared" si="9"/>
        <v>0.33333333333333331</v>
      </c>
      <c r="AA4467" s="195"/>
      <c r="AB4467" s="159"/>
    </row>
    <row r="4468" spans="1:28" ht="12.75" customHeight="1" x14ac:dyDescent="0.3">
      <c r="A4468" s="161">
        <v>468</v>
      </c>
      <c r="B4468" s="159" t="s">
        <v>2441</v>
      </c>
      <c r="C4468" s="160" t="s">
        <v>2442</v>
      </c>
      <c r="D4468" s="160" t="s">
        <v>620</v>
      </c>
      <c r="E4468" s="545"/>
      <c r="F4468" s="161">
        <v>280.37</v>
      </c>
      <c r="G4468" s="191"/>
      <c r="H4468" s="191">
        <v>4.5866666655199999E-2</v>
      </c>
      <c r="I4468" s="191">
        <v>0.35349999999999998</v>
      </c>
      <c r="J4468" s="191"/>
      <c r="K4468" s="191">
        <v>281838.29312644573</v>
      </c>
      <c r="L4468" s="191"/>
      <c r="M4468" s="191"/>
      <c r="N4468" s="191"/>
      <c r="O4468" s="191"/>
      <c r="P4468" s="191"/>
      <c r="Q4468" s="191">
        <v>8.2084500000000002E-7</v>
      </c>
      <c r="R4468" s="191">
        <v>4.45696489557578E-8</v>
      </c>
      <c r="S4468" s="191">
        <v>4.9521832173064224E-9</v>
      </c>
      <c r="T4468" s="191">
        <v>2.22848244778789E-8</v>
      </c>
      <c r="U4468" s="439"/>
      <c r="V4468" s="439"/>
      <c r="W4468" s="178">
        <v>30000</v>
      </c>
      <c r="X4468" s="172">
        <f t="shared" si="9"/>
        <v>0.33333333333333331</v>
      </c>
      <c r="Y4468" s="172">
        <f t="shared" si="9"/>
        <v>0.33333333333333331</v>
      </c>
      <c r="Z4468" s="172">
        <f t="shared" si="9"/>
        <v>0.33333333333333331</v>
      </c>
      <c r="AA4468" s="195"/>
      <c r="AB4468" s="159"/>
    </row>
    <row r="4469" spans="1:28" ht="12.75" customHeight="1" x14ac:dyDescent="0.3">
      <c r="A4469" s="161">
        <v>469</v>
      </c>
      <c r="B4469" s="159" t="s">
        <v>2463</v>
      </c>
      <c r="C4469" s="160" t="s">
        <v>2464</v>
      </c>
      <c r="D4469" s="160" t="s">
        <v>620</v>
      </c>
      <c r="E4469" s="545"/>
      <c r="F4469" s="161">
        <v>310.48</v>
      </c>
      <c r="G4469" s="191"/>
      <c r="H4469" s="191">
        <v>3.1466666658799998E-3</v>
      </c>
      <c r="I4469" s="191">
        <v>1.4</v>
      </c>
      <c r="J4469" s="191"/>
      <c r="K4469" s="191">
        <v>316227.7660168382</v>
      </c>
      <c r="L4469" s="191"/>
      <c r="M4469" s="191"/>
      <c r="N4469" s="191"/>
      <c r="O4469" s="191"/>
      <c r="P4469" s="191"/>
      <c r="Q4469" s="191">
        <v>6.2215687500000004E-5</v>
      </c>
      <c r="R4469" s="191">
        <v>2.1393431498763744E-7</v>
      </c>
      <c r="S4469" s="191">
        <v>2.3770479443070826E-8</v>
      </c>
      <c r="T4469" s="191">
        <v>8.0225368120364042E-7</v>
      </c>
      <c r="U4469" s="439"/>
      <c r="V4469" s="439"/>
      <c r="W4469" s="178">
        <v>30000</v>
      </c>
      <c r="X4469" s="172">
        <f t="shared" si="9"/>
        <v>0.33333333333333331</v>
      </c>
      <c r="Y4469" s="172">
        <f t="shared" si="9"/>
        <v>0.33333333333333331</v>
      </c>
      <c r="Z4469" s="172">
        <f t="shared" si="9"/>
        <v>0.33333333333333331</v>
      </c>
      <c r="AA4469" s="195"/>
      <c r="AB4469" s="159"/>
    </row>
    <row r="4470" spans="1:28" ht="12.75" customHeight="1" x14ac:dyDescent="0.3">
      <c r="A4470" s="161">
        <v>470</v>
      </c>
      <c r="B4470" s="159" t="s">
        <v>2624</v>
      </c>
      <c r="C4470" s="160" t="s">
        <v>2625</v>
      </c>
      <c r="D4470" s="160" t="s">
        <v>620</v>
      </c>
      <c r="E4470" s="545"/>
      <c r="F4470" s="161">
        <v>293.2</v>
      </c>
      <c r="G4470" s="191"/>
      <c r="H4470" s="191">
        <v>7.9333333313499998E-6</v>
      </c>
      <c r="I4470" s="191">
        <v>0.87439999999999996</v>
      </c>
      <c r="J4470" s="191"/>
      <c r="K4470" s="191">
        <v>316227.7660168382</v>
      </c>
      <c r="L4470" s="191"/>
      <c r="M4470" s="191"/>
      <c r="N4470" s="191"/>
      <c r="O4470" s="191"/>
      <c r="P4470" s="191"/>
      <c r="Q4470" s="191">
        <v>2.7829500000000002E-6</v>
      </c>
      <c r="R4470" s="191">
        <v>1.3370894686727339E-7</v>
      </c>
      <c r="S4470" s="191">
        <v>1.4856549651919266E-8</v>
      </c>
      <c r="T4470" s="191">
        <v>6.6854473433636697E-8</v>
      </c>
      <c r="U4470" s="439"/>
      <c r="V4470" s="439"/>
      <c r="W4470" s="178">
        <v>30000</v>
      </c>
      <c r="X4470" s="172">
        <f t="shared" si="9"/>
        <v>0.33333333333333331</v>
      </c>
      <c r="Y4470" s="172">
        <f t="shared" si="9"/>
        <v>0.33333333333333331</v>
      </c>
      <c r="Z4470" s="172">
        <f t="shared" si="9"/>
        <v>0.33333333333333331</v>
      </c>
      <c r="AA4470" s="195"/>
      <c r="AB4470" s="159"/>
    </row>
    <row r="4471" spans="1:28" ht="12.75" customHeight="1" x14ac:dyDescent="0.3">
      <c r="A4471" s="161">
        <v>471</v>
      </c>
      <c r="B4471" s="159" t="s">
        <v>2800</v>
      </c>
      <c r="C4471" s="160" t="s">
        <v>2801</v>
      </c>
      <c r="D4471" s="160" t="s">
        <v>620</v>
      </c>
      <c r="E4471" s="545"/>
      <c r="F4471" s="161">
        <v>413</v>
      </c>
      <c r="G4471" s="191"/>
      <c r="H4471" s="191">
        <v>1.099999999725E-4</v>
      </c>
      <c r="I4471" s="191">
        <v>0.1</v>
      </c>
      <c r="J4471" s="191"/>
      <c r="K4471" s="191">
        <v>323593.65692962846</v>
      </c>
      <c r="L4471" s="191"/>
      <c r="M4471" s="191"/>
      <c r="N4471" s="191"/>
      <c r="O4471" s="191"/>
      <c r="P4471" s="191"/>
      <c r="Q4471" s="191">
        <v>4.4115900000000002E-5</v>
      </c>
      <c r="R4471" s="191">
        <v>1.3370894686727339E-7</v>
      </c>
      <c r="S4471" s="191">
        <v>1.4856549651919266E-8</v>
      </c>
      <c r="T4471" s="191">
        <v>1.0285303605174876E-7</v>
      </c>
      <c r="U4471" s="439"/>
      <c r="V4471" s="439"/>
      <c r="W4471" s="178">
        <v>30000</v>
      </c>
      <c r="X4471" s="172">
        <f t="shared" si="9"/>
        <v>0.33333333333333331</v>
      </c>
      <c r="Y4471" s="172">
        <f t="shared" si="9"/>
        <v>0.33333333333333331</v>
      </c>
      <c r="Z4471" s="172">
        <f t="shared" si="9"/>
        <v>0.33333333333333331</v>
      </c>
      <c r="AA4471" s="195"/>
      <c r="AB4471" s="159"/>
    </row>
    <row r="4472" spans="1:28" ht="12.75" customHeight="1" x14ac:dyDescent="0.3">
      <c r="A4472" s="161">
        <v>472</v>
      </c>
      <c r="B4472" s="159" t="s">
        <v>2630</v>
      </c>
      <c r="C4472" s="160" t="s">
        <v>2631</v>
      </c>
      <c r="D4472" s="160" t="s">
        <v>620</v>
      </c>
      <c r="E4472" s="545"/>
      <c r="F4472" s="161">
        <v>278.35000000000002</v>
      </c>
      <c r="G4472" s="191"/>
      <c r="H4472" s="191">
        <v>3.3999999991500003E-2</v>
      </c>
      <c r="I4472" s="191">
        <v>0.95</v>
      </c>
      <c r="J4472" s="191"/>
      <c r="K4472" s="191">
        <v>338844.15613920329</v>
      </c>
      <c r="L4472" s="191"/>
      <c r="M4472" s="191"/>
      <c r="N4472" s="191"/>
      <c r="O4472" s="191"/>
      <c r="P4472" s="191"/>
      <c r="Q4472" s="191">
        <v>6.9577350000000002E-6</v>
      </c>
      <c r="R4472" s="191">
        <v>9.2532143160742838E-7</v>
      </c>
      <c r="S4472" s="191">
        <v>1.0281349240082538E-7</v>
      </c>
      <c r="T4472" s="191">
        <v>4.6266071580371419E-7</v>
      </c>
      <c r="U4472" s="439"/>
      <c r="V4472" s="439"/>
      <c r="W4472" s="178">
        <v>30000</v>
      </c>
      <c r="X4472" s="172">
        <f t="shared" si="9"/>
        <v>0.33333333333333331</v>
      </c>
      <c r="Y4472" s="172">
        <f t="shared" si="9"/>
        <v>0.33333333333333331</v>
      </c>
      <c r="Z4472" s="172">
        <f t="shared" si="9"/>
        <v>0.33333333333333331</v>
      </c>
      <c r="AA4472" s="195"/>
      <c r="AB4472" s="159"/>
    </row>
    <row r="4473" spans="1:28" ht="12.75" customHeight="1" x14ac:dyDescent="0.3">
      <c r="A4473" s="161">
        <v>473</v>
      </c>
      <c r="B4473" s="159" t="s">
        <v>2656</v>
      </c>
      <c r="C4473" s="160" t="s">
        <v>2657</v>
      </c>
      <c r="D4473" s="160" t="s">
        <v>620</v>
      </c>
      <c r="E4473" s="545"/>
      <c r="F4473" s="161">
        <v>285.45</v>
      </c>
      <c r="G4473" s="191"/>
      <c r="H4473" s="191">
        <v>3.5066666657899997E-4</v>
      </c>
      <c r="I4473" s="191">
        <v>0.21510000000000001</v>
      </c>
      <c r="J4473" s="191"/>
      <c r="K4473" s="191">
        <v>467735.14128719864</v>
      </c>
      <c r="L4473" s="191"/>
      <c r="M4473" s="191"/>
      <c r="N4473" s="191"/>
      <c r="O4473" s="191"/>
      <c r="P4473" s="191"/>
      <c r="Q4473" s="191">
        <v>1.78316475E-5</v>
      </c>
      <c r="R4473" s="191">
        <v>5.3483578746909358E-7</v>
      </c>
      <c r="S4473" s="191">
        <v>5.9426198607677063E-8</v>
      </c>
      <c r="T4473" s="191">
        <v>2.6741789373454679E-7</v>
      </c>
      <c r="U4473" s="439"/>
      <c r="V4473" s="439"/>
      <c r="W4473" s="178">
        <v>30000</v>
      </c>
      <c r="X4473" s="172">
        <f t="shared" si="9"/>
        <v>0.33333333333333331</v>
      </c>
      <c r="Y4473" s="172">
        <f t="shared" si="9"/>
        <v>0.33333333333333331</v>
      </c>
      <c r="Z4473" s="172">
        <f t="shared" si="9"/>
        <v>0.33333333333333331</v>
      </c>
      <c r="AA4473" s="195"/>
      <c r="AB4473" s="159"/>
    </row>
    <row r="4474" spans="1:28" ht="12.75" customHeight="1" x14ac:dyDescent="0.3">
      <c r="A4474" s="161">
        <v>474</v>
      </c>
      <c r="B4474" s="159" t="s">
        <v>2461</v>
      </c>
      <c r="C4474" s="160" t="s">
        <v>2462</v>
      </c>
      <c r="D4474" s="160" t="s">
        <v>620</v>
      </c>
      <c r="E4474" s="545"/>
      <c r="F4474" s="161">
        <v>349.43</v>
      </c>
      <c r="G4474" s="191"/>
      <c r="H4474" s="191">
        <v>7.3066666648399997E-4</v>
      </c>
      <c r="I4474" s="191">
        <v>0.33</v>
      </c>
      <c r="J4474" s="191"/>
      <c r="K4474" s="191">
        <v>501187.23362727347</v>
      </c>
      <c r="L4474" s="191"/>
      <c r="M4474" s="191"/>
      <c r="N4474" s="191"/>
      <c r="O4474" s="191"/>
      <c r="P4474" s="191"/>
      <c r="Q4474" s="191">
        <v>1.3403204999999999E-5</v>
      </c>
      <c r="R4474" s="191">
        <v>1.3370894686727339E-7</v>
      </c>
      <c r="S4474" s="191">
        <v>1.4856549651919266E-8</v>
      </c>
      <c r="T4474" s="191">
        <v>2.8651917185844297E-7</v>
      </c>
      <c r="U4474" s="439"/>
      <c r="V4474" s="439"/>
      <c r="W4474" s="178">
        <v>30000</v>
      </c>
      <c r="X4474" s="172">
        <f t="shared" si="9"/>
        <v>0.33333333333333331</v>
      </c>
      <c r="Y4474" s="172">
        <f t="shared" si="9"/>
        <v>0.33333333333333331</v>
      </c>
      <c r="Z4474" s="172">
        <f t="shared" si="9"/>
        <v>0.33333333333333331</v>
      </c>
      <c r="AA4474" s="195"/>
      <c r="AB4474" s="159"/>
    </row>
    <row r="4475" spans="1:28" ht="12.75" customHeight="1" x14ac:dyDescent="0.3">
      <c r="A4475" s="161">
        <v>475</v>
      </c>
      <c r="B4475" s="159" t="s">
        <v>2804</v>
      </c>
      <c r="C4475" s="160" t="s">
        <v>2805</v>
      </c>
      <c r="D4475" s="160" t="s">
        <v>620</v>
      </c>
      <c r="E4475" s="545"/>
      <c r="F4475" s="161">
        <v>377.3</v>
      </c>
      <c r="G4475" s="191"/>
      <c r="H4475" s="191">
        <v>1.0079999997479999E-4</v>
      </c>
      <c r="I4475" s="191">
        <v>4.3569999999999998E-2</v>
      </c>
      <c r="J4475" s="191"/>
      <c r="K4475" s="191">
        <v>691830.97091893724</v>
      </c>
      <c r="L4475" s="191"/>
      <c r="M4475" s="191"/>
      <c r="N4475" s="191"/>
      <c r="O4475" s="191"/>
      <c r="P4475" s="191"/>
      <c r="Q4475" s="191">
        <v>1.8266780250000001E-4</v>
      </c>
      <c r="R4475" s="191">
        <v>1.3370894686727339E-7</v>
      </c>
      <c r="S4475" s="191">
        <v>1.4856549651919266E-8</v>
      </c>
      <c r="T4475" s="191">
        <v>6.6854473433636697E-8</v>
      </c>
      <c r="U4475" s="439"/>
      <c r="V4475" s="439"/>
      <c r="W4475" s="178">
        <v>30000</v>
      </c>
      <c r="X4475" s="172">
        <f t="shared" si="9"/>
        <v>0.33333333333333331</v>
      </c>
      <c r="Y4475" s="172">
        <f t="shared" si="9"/>
        <v>0.33333333333333331</v>
      </c>
      <c r="Z4475" s="172">
        <f t="shared" si="9"/>
        <v>0.33333333333333331</v>
      </c>
      <c r="AA4475" s="195"/>
      <c r="AB4475" s="159"/>
    </row>
    <row r="4476" spans="1:28" ht="12.75" customHeight="1" x14ac:dyDescent="0.3">
      <c r="A4476" s="161">
        <v>476</v>
      </c>
      <c r="B4476" s="159" t="s">
        <v>2523</v>
      </c>
      <c r="C4476" s="160" t="s">
        <v>2524</v>
      </c>
      <c r="D4476" s="160" t="s">
        <v>620</v>
      </c>
      <c r="E4476" s="545"/>
      <c r="F4476" s="161">
        <v>320.05</v>
      </c>
      <c r="G4476" s="191"/>
      <c r="H4476" s="191">
        <v>2.5866666660200001E-4</v>
      </c>
      <c r="I4476" s="191">
        <v>0.1</v>
      </c>
      <c r="J4476" s="191"/>
      <c r="K4476" s="191">
        <v>741310.24130091805</v>
      </c>
      <c r="L4476" s="191"/>
      <c r="M4476" s="191"/>
      <c r="N4476" s="191"/>
      <c r="O4476" s="191"/>
      <c r="P4476" s="191"/>
      <c r="Q4476" s="191">
        <v>3.2581125000000002E-6</v>
      </c>
      <c r="R4476" s="191">
        <v>4.45696489557578E-8</v>
      </c>
      <c r="S4476" s="191">
        <v>4.9521832173064224E-9</v>
      </c>
      <c r="T4476" s="191">
        <v>2.22848244778789E-8</v>
      </c>
      <c r="U4476" s="439"/>
      <c r="V4476" s="439"/>
      <c r="W4476" s="178">
        <v>30000</v>
      </c>
      <c r="X4476" s="172">
        <f t="shared" si="9"/>
        <v>0.33333333333333331</v>
      </c>
      <c r="Y4476" s="172">
        <f t="shared" si="9"/>
        <v>0.33333333333333331</v>
      </c>
      <c r="Z4476" s="172">
        <f t="shared" si="9"/>
        <v>0.33333333333333331</v>
      </c>
      <c r="AA4476" s="195"/>
      <c r="AB4476" s="159"/>
    </row>
    <row r="4477" spans="1:28" ht="12.75" customHeight="1" x14ac:dyDescent="0.3">
      <c r="A4477" s="161">
        <v>477</v>
      </c>
      <c r="B4477" s="159" t="s">
        <v>2484</v>
      </c>
      <c r="C4477" s="160" t="s">
        <v>2485</v>
      </c>
      <c r="D4477" s="160" t="s">
        <v>620</v>
      </c>
      <c r="E4477" s="545"/>
      <c r="F4477" s="161">
        <v>434.3</v>
      </c>
      <c r="G4477" s="191"/>
      <c r="H4477" s="191">
        <v>1.9999999994999998E-8</v>
      </c>
      <c r="I4477" s="191">
        <v>3.0000000000000001E-3</v>
      </c>
      <c r="J4477" s="191"/>
      <c r="K4477" s="191">
        <v>891250.93813374708</v>
      </c>
      <c r="L4477" s="191"/>
      <c r="M4477" s="191"/>
      <c r="N4477" s="191"/>
      <c r="O4477" s="191"/>
      <c r="P4477" s="191"/>
      <c r="Q4477" s="191">
        <v>9.3758024999999994E-6</v>
      </c>
      <c r="R4477" s="191">
        <v>4.45696489557578E-8</v>
      </c>
      <c r="S4477" s="191">
        <v>4.9521832173064224E-9</v>
      </c>
      <c r="T4477" s="191">
        <v>6.1711821631049263E-7</v>
      </c>
      <c r="U4477" s="439"/>
      <c r="V4477" s="439"/>
      <c r="W4477" s="178">
        <v>30000</v>
      </c>
      <c r="X4477" s="172">
        <f t="shared" si="9"/>
        <v>0.33333333333333331</v>
      </c>
      <c r="Y4477" s="172">
        <f t="shared" si="9"/>
        <v>0.33333333333333331</v>
      </c>
      <c r="Z4477" s="172">
        <f t="shared" si="9"/>
        <v>0.33333333333333331</v>
      </c>
      <c r="AA4477" s="195"/>
      <c r="AB4477" s="159"/>
    </row>
    <row r="4478" spans="1:28" ht="12.75" customHeight="1" x14ac:dyDescent="0.3">
      <c r="A4478" s="161">
        <v>478</v>
      </c>
      <c r="B4478" s="159" t="s">
        <v>2858</v>
      </c>
      <c r="C4478" s="160" t="s">
        <v>2859</v>
      </c>
      <c r="D4478" s="160" t="s">
        <v>620</v>
      </c>
      <c r="E4478" s="545"/>
      <c r="F4478" s="161">
        <v>214.39</v>
      </c>
      <c r="G4478" s="191"/>
      <c r="H4478" s="191">
        <v>3.3066666658399999</v>
      </c>
      <c r="I4478" s="191">
        <v>0.29949999999999999</v>
      </c>
      <c r="J4478" s="191"/>
      <c r="K4478" s="191">
        <v>912010.83935591124</v>
      </c>
      <c r="L4478" s="191"/>
      <c r="M4478" s="191"/>
      <c r="N4478" s="191"/>
      <c r="O4478" s="191"/>
      <c r="P4478" s="191"/>
      <c r="Q4478" s="191">
        <v>2.2366919999999999E-5</v>
      </c>
      <c r="R4478" s="191">
        <v>5.3483578746909358E-7</v>
      </c>
      <c r="S4478" s="191">
        <v>5.9426198607677063E-8</v>
      </c>
      <c r="T4478" s="191">
        <v>2.6741789373454679E-7</v>
      </c>
      <c r="U4478" s="439"/>
      <c r="V4478" s="439"/>
      <c r="W4478" s="178">
        <v>30000</v>
      </c>
      <c r="X4478" s="172">
        <f t="shared" si="9"/>
        <v>0.33333333333333331</v>
      </c>
      <c r="Y4478" s="172">
        <f t="shared" si="9"/>
        <v>0.33333333333333331</v>
      </c>
      <c r="Z4478" s="172">
        <f t="shared" si="9"/>
        <v>0.33333333333333331</v>
      </c>
      <c r="AA4478" s="195"/>
      <c r="AB4478" s="159"/>
    </row>
    <row r="4479" spans="1:28" ht="12.75" customHeight="1" x14ac:dyDescent="0.3">
      <c r="A4479" s="161">
        <v>479</v>
      </c>
      <c r="B4479" s="159" t="s">
        <v>2482</v>
      </c>
      <c r="C4479" s="160" t="s">
        <v>2483</v>
      </c>
      <c r="D4479" s="160" t="s">
        <v>620</v>
      </c>
      <c r="E4479" s="545"/>
      <c r="F4479" s="161">
        <v>416.31</v>
      </c>
      <c r="G4479" s="191"/>
      <c r="H4479" s="191">
        <v>0.17333333328999997</v>
      </c>
      <c r="I4479" s="191">
        <v>0.01</v>
      </c>
      <c r="J4479" s="191"/>
      <c r="K4479" s="191">
        <v>1148153.6214968837</v>
      </c>
      <c r="L4479" s="191"/>
      <c r="M4479" s="191"/>
      <c r="N4479" s="191"/>
      <c r="O4479" s="191"/>
      <c r="P4479" s="191"/>
      <c r="Q4479" s="191">
        <v>1.6070535E-5</v>
      </c>
      <c r="R4479" s="191">
        <v>4.45696489557578E-8</v>
      </c>
      <c r="S4479" s="191">
        <v>4.9521832173064224E-9</v>
      </c>
      <c r="T4479" s="191">
        <v>2.292153374867544E-7</v>
      </c>
      <c r="U4479" s="439"/>
      <c r="V4479" s="439"/>
      <c r="W4479" s="178">
        <v>30000</v>
      </c>
      <c r="X4479" s="172">
        <f t="shared" si="9"/>
        <v>0.33333333333333331</v>
      </c>
      <c r="Y4479" s="172">
        <f t="shared" si="9"/>
        <v>0.33333333333333331</v>
      </c>
      <c r="Z4479" s="172">
        <f t="shared" si="9"/>
        <v>0.33333333333333331</v>
      </c>
      <c r="AA4479" s="195"/>
      <c r="AB4479" s="159"/>
    </row>
    <row r="4480" spans="1:28" ht="12.75" customHeight="1" x14ac:dyDescent="0.3">
      <c r="A4480" s="161">
        <v>480</v>
      </c>
      <c r="B4480" s="159" t="s">
        <v>2856</v>
      </c>
      <c r="C4480" s="160" t="s">
        <v>2857</v>
      </c>
      <c r="D4480" s="160" t="s">
        <v>620</v>
      </c>
      <c r="E4480" s="545"/>
      <c r="F4480" s="161">
        <v>416.31</v>
      </c>
      <c r="G4480" s="191"/>
      <c r="H4480" s="191">
        <v>0.17333333328999997</v>
      </c>
      <c r="I4480" s="191">
        <v>0.115</v>
      </c>
      <c r="J4480" s="191"/>
      <c r="K4480" s="191">
        <v>1148153.6214968837</v>
      </c>
      <c r="L4480" s="191"/>
      <c r="M4480" s="191"/>
      <c r="N4480" s="191"/>
      <c r="O4480" s="191"/>
      <c r="P4480" s="191"/>
      <c r="Q4480" s="191">
        <v>1.6070535E-5</v>
      </c>
      <c r="R4480" s="191">
        <v>4.45696489557578E-8</v>
      </c>
      <c r="S4480" s="191">
        <v>4.9521832173064224E-9</v>
      </c>
      <c r="T4480" s="191">
        <v>2.22848244778789E-8</v>
      </c>
      <c r="U4480" s="439"/>
      <c r="V4480" s="439"/>
      <c r="W4480" s="178">
        <v>30000</v>
      </c>
      <c r="X4480" s="172">
        <f t="shared" si="9"/>
        <v>0.33333333333333331</v>
      </c>
      <c r="Y4480" s="172">
        <f t="shared" si="9"/>
        <v>0.33333333333333331</v>
      </c>
      <c r="Z4480" s="172">
        <f t="shared" si="9"/>
        <v>0.33333333333333331</v>
      </c>
      <c r="AA4480" s="195"/>
      <c r="AB4480" s="159"/>
    </row>
    <row r="4481" spans="1:28" ht="12.75" customHeight="1" x14ac:dyDescent="0.3">
      <c r="A4481" s="161">
        <v>481</v>
      </c>
      <c r="B4481" s="159" t="s">
        <v>2678</v>
      </c>
      <c r="C4481" s="160" t="s">
        <v>2679</v>
      </c>
      <c r="D4481" s="160" t="s">
        <v>620</v>
      </c>
      <c r="E4481" s="545"/>
      <c r="F4481" s="161">
        <v>409.78</v>
      </c>
      <c r="G4481" s="191"/>
      <c r="H4481" s="191">
        <v>1.3306666663339998E-3</v>
      </c>
      <c r="I4481" s="191">
        <v>5.6000000000000001E-2</v>
      </c>
      <c r="J4481" s="191"/>
      <c r="K4481" s="191">
        <v>1258925.4117941677</v>
      </c>
      <c r="L4481" s="191"/>
      <c r="M4481" s="191"/>
      <c r="N4481" s="191"/>
      <c r="O4481" s="191"/>
      <c r="P4481" s="191"/>
      <c r="Q4481" s="191">
        <v>3.7788750000000003E-6</v>
      </c>
      <c r="R4481" s="191">
        <v>4.45696489557578E-8</v>
      </c>
      <c r="S4481" s="191">
        <v>4.9521832173064224E-9</v>
      </c>
      <c r="T4481" s="191">
        <v>2.22848244778789E-8</v>
      </c>
      <c r="U4481" s="439"/>
      <c r="V4481" s="439"/>
      <c r="W4481" s="178">
        <v>30000</v>
      </c>
      <c r="X4481" s="172">
        <f t="shared" si="9"/>
        <v>0.33333333333333331</v>
      </c>
      <c r="Y4481" s="172">
        <f t="shared" si="9"/>
        <v>0.33333333333333331</v>
      </c>
      <c r="Z4481" s="172">
        <f t="shared" si="9"/>
        <v>0.33333333333333331</v>
      </c>
      <c r="AA4481" s="195"/>
      <c r="AB4481" s="159"/>
    </row>
    <row r="4482" spans="1:28" ht="12.75" customHeight="1" x14ac:dyDescent="0.3">
      <c r="A4482" s="161">
        <v>482</v>
      </c>
      <c r="B4482" s="159" t="s">
        <v>2412</v>
      </c>
      <c r="C4482" s="160" t="s">
        <v>2413</v>
      </c>
      <c r="D4482" s="160" t="s">
        <v>620</v>
      </c>
      <c r="E4482" s="545"/>
      <c r="F4482" s="161">
        <v>338.45</v>
      </c>
      <c r="G4482" s="191"/>
      <c r="H4482" s="191">
        <v>1.8666666661999998E-2</v>
      </c>
      <c r="I4482" s="191">
        <v>3.7900000000000003E-2</v>
      </c>
      <c r="J4482" s="191"/>
      <c r="K4482" s="191">
        <v>1380384.2646028849</v>
      </c>
      <c r="L4482" s="191"/>
      <c r="M4482" s="191"/>
      <c r="N4482" s="191"/>
      <c r="O4482" s="191"/>
      <c r="P4482" s="191"/>
      <c r="Q4482" s="191">
        <v>2.1750890250000002E-4</v>
      </c>
      <c r="R4482" s="191">
        <v>2.1393431498763744E-7</v>
      </c>
      <c r="S4482" s="191">
        <v>2.3770479443070826E-8</v>
      </c>
      <c r="T4482" s="191">
        <v>2.6741789373454679E-7</v>
      </c>
      <c r="U4482" s="439"/>
      <c r="V4482" s="439"/>
      <c r="W4482" s="178">
        <v>30000</v>
      </c>
      <c r="X4482" s="172">
        <f t="shared" si="9"/>
        <v>0.33333333333333331</v>
      </c>
      <c r="Y4482" s="172">
        <f t="shared" si="9"/>
        <v>0.33333333333333331</v>
      </c>
      <c r="Z4482" s="172">
        <f t="shared" si="9"/>
        <v>0.33333333333333331</v>
      </c>
      <c r="AA4482" s="195"/>
      <c r="AB4482" s="159"/>
    </row>
    <row r="4483" spans="1:28" ht="12.75" customHeight="1" x14ac:dyDescent="0.3">
      <c r="A4483" s="161">
        <v>483</v>
      </c>
      <c r="B4483" s="159" t="s">
        <v>2469</v>
      </c>
      <c r="C4483" s="160" t="s">
        <v>2470</v>
      </c>
      <c r="D4483" s="160" t="s">
        <v>620</v>
      </c>
      <c r="E4483" s="545"/>
      <c r="F4483" s="161">
        <v>505.21</v>
      </c>
      <c r="G4483" s="191"/>
      <c r="H4483" s="191">
        <v>1.9999999994999997E-6</v>
      </c>
      <c r="I4483" s="191">
        <v>2E-3</v>
      </c>
      <c r="J4483" s="191"/>
      <c r="K4483" s="191">
        <v>1584893.1924611153</v>
      </c>
      <c r="L4483" s="191"/>
      <c r="M4483" s="191"/>
      <c r="N4483" s="191"/>
      <c r="O4483" s="191"/>
      <c r="P4483" s="191"/>
      <c r="Q4483" s="191">
        <v>1.7602147500000002E-5</v>
      </c>
      <c r="R4483" s="191">
        <v>1.3370894686727339E-7</v>
      </c>
      <c r="S4483" s="191">
        <v>1.4856549651919266E-8</v>
      </c>
      <c r="T4483" s="191">
        <v>3.8202556247792398E-7</v>
      </c>
      <c r="U4483" s="439"/>
      <c r="V4483" s="439"/>
      <c r="W4483" s="178">
        <v>30000</v>
      </c>
      <c r="X4483" s="172">
        <f t="shared" si="9"/>
        <v>0.33333333333333331</v>
      </c>
      <c r="Y4483" s="172">
        <f t="shared" si="9"/>
        <v>0.33333333333333331</v>
      </c>
      <c r="Z4483" s="172">
        <f t="shared" si="9"/>
        <v>0.33333333333333331</v>
      </c>
      <c r="AA4483" s="195"/>
      <c r="AB4483" s="159"/>
    </row>
    <row r="4484" spans="1:28" ht="12.75" customHeight="1" x14ac:dyDescent="0.3">
      <c r="A4484" s="161">
        <v>484</v>
      </c>
      <c r="B4484" s="159" t="s">
        <v>2618</v>
      </c>
      <c r="C4484" s="160" t="s">
        <v>2619</v>
      </c>
      <c r="D4484" s="160" t="s">
        <v>620</v>
      </c>
      <c r="E4484" s="545"/>
      <c r="F4484" s="161">
        <v>291.99</v>
      </c>
      <c r="G4484" s="191"/>
      <c r="H4484" s="191">
        <v>1.1506666663789999E-2</v>
      </c>
      <c r="I4484" s="191">
        <v>0.7</v>
      </c>
      <c r="J4484" s="191"/>
      <c r="K4484" s="191">
        <v>1949844.5997580495</v>
      </c>
      <c r="L4484" s="191"/>
      <c r="M4484" s="191"/>
      <c r="N4484" s="191"/>
      <c r="O4484" s="191"/>
      <c r="P4484" s="191"/>
      <c r="Q4484" s="191">
        <v>7.5000000000000002E-7</v>
      </c>
      <c r="R4484" s="191">
        <v>4.45696489557578E-8</v>
      </c>
      <c r="S4484" s="191">
        <v>4.9521832173064224E-9</v>
      </c>
      <c r="T4484" s="191">
        <v>2.22848244778789E-8</v>
      </c>
      <c r="U4484" s="439"/>
      <c r="V4484" s="439"/>
      <c r="W4484" s="178">
        <v>30000</v>
      </c>
      <c r="X4484" s="172">
        <f t="shared" si="9"/>
        <v>0.33333333333333331</v>
      </c>
      <c r="Y4484" s="172">
        <f t="shared" si="9"/>
        <v>0.33333333333333331</v>
      </c>
      <c r="Z4484" s="172">
        <f t="shared" si="9"/>
        <v>0.33333333333333331</v>
      </c>
      <c r="AA4484" s="195"/>
      <c r="AB4484" s="159"/>
    </row>
    <row r="4485" spans="1:28" ht="12.75" customHeight="1" x14ac:dyDescent="0.3">
      <c r="A4485" s="161">
        <v>485</v>
      </c>
      <c r="B4485" s="159" t="s">
        <v>2694</v>
      </c>
      <c r="C4485" s="160" t="s">
        <v>2695</v>
      </c>
      <c r="D4485" s="160" t="s">
        <v>620</v>
      </c>
      <c r="E4485" s="545"/>
      <c r="F4485" s="161">
        <v>368.37</v>
      </c>
      <c r="G4485" s="191"/>
      <c r="H4485" s="191">
        <v>1.4533333329699999E-5</v>
      </c>
      <c r="I4485" s="191">
        <v>1.8370000000000001E-2</v>
      </c>
      <c r="J4485" s="191"/>
      <c r="K4485" s="191">
        <v>2187761.6239495561</v>
      </c>
      <c r="L4485" s="191"/>
      <c r="M4485" s="191"/>
      <c r="N4485" s="191"/>
      <c r="O4485" s="191"/>
      <c r="P4485" s="191"/>
      <c r="Q4485" s="191">
        <v>2.1534652499999999E-5</v>
      </c>
      <c r="R4485" s="191">
        <v>2.1393431498763744E-7</v>
      </c>
      <c r="S4485" s="191">
        <v>2.3770479443070826E-8</v>
      </c>
      <c r="T4485" s="191">
        <v>1.0696715749381872E-7</v>
      </c>
      <c r="U4485" s="439"/>
      <c r="V4485" s="439"/>
      <c r="W4485" s="178">
        <v>30000</v>
      </c>
      <c r="X4485" s="172">
        <f t="shared" si="9"/>
        <v>0.33333333333333331</v>
      </c>
      <c r="Y4485" s="172">
        <f t="shared" si="9"/>
        <v>0.33333333333333331</v>
      </c>
      <c r="Z4485" s="172">
        <f t="shared" si="9"/>
        <v>0.33333333333333331</v>
      </c>
      <c r="AA4485" s="195"/>
      <c r="AB4485" s="159"/>
    </row>
    <row r="4486" spans="1:28" ht="12.75" customHeight="1" x14ac:dyDescent="0.3">
      <c r="A4486" s="161">
        <v>486</v>
      </c>
      <c r="B4486" s="159" t="s">
        <v>2792</v>
      </c>
      <c r="C4486" s="160" t="s">
        <v>2793</v>
      </c>
      <c r="D4486" s="160" t="s">
        <v>620</v>
      </c>
      <c r="E4486" s="545"/>
      <c r="F4486" s="161">
        <v>291.99</v>
      </c>
      <c r="G4486" s="191"/>
      <c r="H4486" s="191">
        <v>6.5866666650199995E-2</v>
      </c>
      <c r="I4486" s="191">
        <v>0.1</v>
      </c>
      <c r="J4486" s="191"/>
      <c r="K4486" s="191">
        <v>2187761.6239495561</v>
      </c>
      <c r="L4486" s="191"/>
      <c r="M4486" s="191"/>
      <c r="N4486" s="191"/>
      <c r="O4486" s="191"/>
      <c r="P4486" s="191"/>
      <c r="Q4486" s="191">
        <v>9.6471750000000001E-7</v>
      </c>
      <c r="R4486" s="191">
        <v>4.45696489557578E-8</v>
      </c>
      <c r="S4486" s="191">
        <v>4.9521832173064224E-9</v>
      </c>
      <c r="T4486" s="191">
        <v>2.22848244778789E-8</v>
      </c>
      <c r="U4486" s="439"/>
      <c r="V4486" s="439"/>
      <c r="W4486" s="178">
        <v>30000</v>
      </c>
      <c r="X4486" s="172">
        <f t="shared" si="9"/>
        <v>0.33333333333333331</v>
      </c>
      <c r="Y4486" s="172">
        <f t="shared" si="9"/>
        <v>0.33333333333333331</v>
      </c>
      <c r="Z4486" s="172">
        <f t="shared" si="9"/>
        <v>0.33333333333333331</v>
      </c>
      <c r="AA4486" s="195"/>
      <c r="AB4486" s="159"/>
    </row>
    <row r="4487" spans="1:28" ht="12.75" customHeight="1" x14ac:dyDescent="0.3">
      <c r="A4487" s="161">
        <v>487</v>
      </c>
      <c r="B4487" s="159" t="s">
        <v>2457</v>
      </c>
      <c r="C4487" s="160" t="s">
        <v>2458</v>
      </c>
      <c r="D4487" s="160" t="s">
        <v>620</v>
      </c>
      <c r="E4487" s="545"/>
      <c r="F4487" s="161">
        <v>364.92</v>
      </c>
      <c r="G4487" s="191"/>
      <c r="H4487" s="191">
        <v>1.5999999995999999E-2</v>
      </c>
      <c r="I4487" s="191">
        <v>1.7000000000000001E-2</v>
      </c>
      <c r="J4487" s="191"/>
      <c r="K4487" s="191">
        <v>3162277.6601683851</v>
      </c>
      <c r="L4487" s="191"/>
      <c r="M4487" s="191"/>
      <c r="N4487" s="191"/>
      <c r="O4487" s="191"/>
      <c r="P4487" s="191"/>
      <c r="Q4487" s="191">
        <v>4.8442102499999998E-5</v>
      </c>
      <c r="R4487" s="191">
        <v>4.45696489557578E-8</v>
      </c>
      <c r="S4487" s="191">
        <v>4.9521832173064224E-9</v>
      </c>
      <c r="T4487" s="191">
        <v>2.1979552909688777E-8</v>
      </c>
      <c r="U4487" s="439"/>
      <c r="V4487" s="439"/>
      <c r="W4487" s="178">
        <v>30000</v>
      </c>
      <c r="X4487" s="172">
        <f t="shared" si="9"/>
        <v>0.33333333333333331</v>
      </c>
      <c r="Y4487" s="172">
        <f t="shared" si="9"/>
        <v>0.33333333333333331</v>
      </c>
      <c r="Z4487" s="172">
        <f t="shared" si="9"/>
        <v>0.33333333333333331</v>
      </c>
      <c r="AA4487" s="195"/>
      <c r="AB4487" s="159"/>
    </row>
    <row r="4488" spans="1:28" ht="12.75" customHeight="1" x14ac:dyDescent="0.3">
      <c r="A4488" s="161">
        <v>488</v>
      </c>
      <c r="B4488" s="159" t="s">
        <v>2680</v>
      </c>
      <c r="C4488" s="160" t="s">
        <v>2681</v>
      </c>
      <c r="D4488" s="160" t="s">
        <v>620</v>
      </c>
      <c r="E4488" s="545"/>
      <c r="F4488" s="161">
        <v>305.98</v>
      </c>
      <c r="G4488" s="191"/>
      <c r="H4488" s="191">
        <v>1.9599999995100001E-5</v>
      </c>
      <c r="I4488" s="191">
        <v>6.9200000000000002E-4</v>
      </c>
      <c r="J4488" s="191"/>
      <c r="K4488" s="191">
        <v>3388441.5613920307</v>
      </c>
      <c r="L4488" s="191"/>
      <c r="M4488" s="191"/>
      <c r="N4488" s="191"/>
      <c r="O4488" s="191"/>
      <c r="P4488" s="191"/>
      <c r="Q4488" s="191">
        <v>6.0169026090273026E-7</v>
      </c>
      <c r="R4488" s="191">
        <v>3.0084513045136514E-8</v>
      </c>
      <c r="S4488" s="191">
        <v>3.5007433361613396E-10</v>
      </c>
      <c r="T4488" s="191">
        <v>3.5007433361613396E-10</v>
      </c>
      <c r="U4488" s="439"/>
      <c r="V4488" s="439"/>
      <c r="W4488" s="178">
        <v>30000</v>
      </c>
      <c r="X4488" s="172">
        <f t="shared" si="9"/>
        <v>0.33333333333333331</v>
      </c>
      <c r="Y4488" s="172">
        <f t="shared" si="9"/>
        <v>0.33333333333333331</v>
      </c>
      <c r="Z4488" s="172">
        <f t="shared" si="9"/>
        <v>0.33333333333333331</v>
      </c>
      <c r="AA4488" s="195"/>
      <c r="AB4488" s="159"/>
    </row>
    <row r="4489" spans="1:28" ht="12.75" customHeight="1" x14ac:dyDescent="0.3">
      <c r="A4489" s="161">
        <v>489</v>
      </c>
      <c r="B4489" s="159" t="s">
        <v>2864</v>
      </c>
      <c r="C4489" s="160" t="s">
        <v>2865</v>
      </c>
      <c r="D4489" s="160" t="s">
        <v>620</v>
      </c>
      <c r="E4489" s="545"/>
      <c r="F4489" s="161">
        <v>286.42</v>
      </c>
      <c r="G4489" s="191"/>
      <c r="H4489" s="191">
        <v>1.4933333329599998E-2</v>
      </c>
      <c r="I4489" s="191">
        <v>3.5709999999999999E-2</v>
      </c>
      <c r="J4489" s="191"/>
      <c r="K4489" s="191">
        <v>3715352.2909717364</v>
      </c>
      <c r="L4489" s="191"/>
      <c r="M4489" s="191"/>
      <c r="N4489" s="191"/>
      <c r="O4489" s="191"/>
      <c r="P4489" s="191"/>
      <c r="Q4489" s="191">
        <v>7.9154700000000003E-5</v>
      </c>
      <c r="R4489" s="191">
        <v>2.1393431498763744E-7</v>
      </c>
      <c r="S4489" s="191">
        <v>2.3770479443070826E-8</v>
      </c>
      <c r="T4489" s="191">
        <v>1.0696715749381872E-7</v>
      </c>
      <c r="U4489" s="439"/>
      <c r="V4489" s="439"/>
      <c r="W4489" s="178">
        <v>30000</v>
      </c>
      <c r="X4489" s="172">
        <f t="shared" si="9"/>
        <v>0.33333333333333331</v>
      </c>
      <c r="Y4489" s="172">
        <f t="shared" si="9"/>
        <v>0.33333333333333331</v>
      </c>
      <c r="Z4489" s="172">
        <f t="shared" si="9"/>
        <v>0.33333333333333331</v>
      </c>
      <c r="AA4489" s="195"/>
      <c r="AB4489" s="159"/>
    </row>
    <row r="4490" spans="1:28" ht="12.75" customHeight="1" x14ac:dyDescent="0.3">
      <c r="A4490" s="161">
        <v>490</v>
      </c>
      <c r="B4490" s="159" t="s">
        <v>2830</v>
      </c>
      <c r="C4490" s="160" t="s">
        <v>2831</v>
      </c>
      <c r="D4490" s="160" t="s">
        <v>620</v>
      </c>
      <c r="E4490" s="545"/>
      <c r="F4490" s="161">
        <v>375.47</v>
      </c>
      <c r="G4490" s="191"/>
      <c r="H4490" s="191">
        <v>1.1999999996999999E-4</v>
      </c>
      <c r="I4490" s="191">
        <v>0.01</v>
      </c>
      <c r="J4490" s="191"/>
      <c r="K4490" s="191">
        <v>4168693.8347033644</v>
      </c>
      <c r="L4490" s="191"/>
      <c r="M4490" s="191"/>
      <c r="N4490" s="191"/>
      <c r="O4490" s="191"/>
      <c r="P4490" s="191"/>
      <c r="Q4490" s="191">
        <v>7.8275489999999999E-5</v>
      </c>
      <c r="R4490" s="191">
        <v>1.3370894686727339E-7</v>
      </c>
      <c r="S4490" s="191">
        <v>1.4856549651919266E-8</v>
      </c>
      <c r="T4490" s="191">
        <v>6.6854473433636697E-8</v>
      </c>
      <c r="U4490" s="439"/>
      <c r="V4490" s="439"/>
      <c r="W4490" s="178">
        <v>30000</v>
      </c>
      <c r="X4490" s="172">
        <f t="shared" si="9"/>
        <v>0.33333333333333331</v>
      </c>
      <c r="Y4490" s="172">
        <f t="shared" si="9"/>
        <v>0.33333333333333331</v>
      </c>
      <c r="Z4490" s="172">
        <f t="shared" si="9"/>
        <v>0.33333333333333331</v>
      </c>
      <c r="AA4490" s="195"/>
      <c r="AB4490" s="159"/>
    </row>
    <row r="4491" spans="1:28" ht="12.75" customHeight="1" x14ac:dyDescent="0.3">
      <c r="A4491" s="161">
        <v>491</v>
      </c>
      <c r="B4491" s="159" t="s">
        <v>2486</v>
      </c>
      <c r="C4491" s="160" t="s">
        <v>2487</v>
      </c>
      <c r="D4491" s="160" t="s">
        <v>620</v>
      </c>
      <c r="E4491" s="545"/>
      <c r="F4491" s="161">
        <v>307.27</v>
      </c>
      <c r="G4491" s="191"/>
      <c r="H4491" s="191">
        <v>2.19999999945E-3</v>
      </c>
      <c r="I4491" s="191">
        <v>0.1</v>
      </c>
      <c r="J4491" s="191"/>
      <c r="K4491" s="191">
        <v>4570881.8961487599</v>
      </c>
      <c r="L4491" s="191"/>
      <c r="M4491" s="191"/>
      <c r="N4491" s="191"/>
      <c r="O4491" s="191"/>
      <c r="P4491" s="191"/>
      <c r="Q4491" s="191">
        <v>1.1179777499999999E-5</v>
      </c>
      <c r="R4491" s="191">
        <v>1.3370894686727339E-7</v>
      </c>
      <c r="S4491" s="191">
        <v>1.4856549651919266E-8</v>
      </c>
      <c r="T4491" s="191">
        <v>6.6854473433636697E-8</v>
      </c>
      <c r="U4491" s="439"/>
      <c r="V4491" s="439"/>
      <c r="W4491" s="178">
        <v>30000</v>
      </c>
      <c r="X4491" s="172">
        <f t="shared" si="9"/>
        <v>0.33333333333333331</v>
      </c>
      <c r="Y4491" s="172">
        <f t="shared" si="9"/>
        <v>0.33333333333333331</v>
      </c>
      <c r="Z4491" s="172">
        <f t="shared" si="9"/>
        <v>0.33333333333333331</v>
      </c>
      <c r="AA4491" s="195"/>
      <c r="AB4491" s="159"/>
    </row>
    <row r="4492" spans="1:28" ht="12.75" customHeight="1" x14ac:dyDescent="0.3">
      <c r="A4492" s="161">
        <v>492</v>
      </c>
      <c r="B4492" s="159" t="s">
        <v>2818</v>
      </c>
      <c r="C4492" s="160" t="s">
        <v>2819</v>
      </c>
      <c r="D4492" s="160" t="s">
        <v>620</v>
      </c>
      <c r="E4492" s="545"/>
      <c r="F4492" s="161">
        <v>347.28</v>
      </c>
      <c r="G4492" s="191"/>
      <c r="H4492" s="191">
        <v>4.5066666655399994E-4</v>
      </c>
      <c r="I4492" s="191">
        <v>1.257E-2</v>
      </c>
      <c r="J4492" s="191"/>
      <c r="K4492" s="191">
        <v>4897788.1936844708</v>
      </c>
      <c r="L4492" s="191"/>
      <c r="M4492" s="191"/>
      <c r="N4492" s="191"/>
      <c r="O4492" s="191"/>
      <c r="P4492" s="191"/>
      <c r="Q4492" s="191">
        <v>1.19100375E-5</v>
      </c>
      <c r="R4492" s="191">
        <v>1.3370894686727339E-7</v>
      </c>
      <c r="S4492" s="191">
        <v>1.4856549651919266E-8</v>
      </c>
      <c r="T4492" s="191">
        <v>6.6854473433636697E-8</v>
      </c>
      <c r="U4492" s="439"/>
      <c r="V4492" s="439"/>
      <c r="W4492" s="178">
        <v>30000</v>
      </c>
      <c r="X4492" s="172">
        <f t="shared" si="9"/>
        <v>0.33333333333333331</v>
      </c>
      <c r="Y4492" s="172">
        <f t="shared" si="9"/>
        <v>0.33333333333333331</v>
      </c>
      <c r="Z4492" s="172">
        <f t="shared" si="9"/>
        <v>0.33333333333333331</v>
      </c>
      <c r="AA4492" s="195"/>
      <c r="AB4492" s="159"/>
    </row>
    <row r="4493" spans="1:28" ht="12.75" customHeight="1" x14ac:dyDescent="0.3">
      <c r="A4493" s="161">
        <v>493</v>
      </c>
      <c r="B4493" s="159" t="s">
        <v>2541</v>
      </c>
      <c r="C4493" s="160" t="s">
        <v>2542</v>
      </c>
      <c r="D4493" s="160" t="s">
        <v>620</v>
      </c>
      <c r="E4493" s="545"/>
      <c r="F4493" s="161">
        <v>511.1</v>
      </c>
      <c r="G4493" s="191"/>
      <c r="H4493" s="191">
        <v>8.8799999977799996E-4</v>
      </c>
      <c r="I4493" s="191">
        <v>9.5830000000000004E-4</v>
      </c>
      <c r="J4493" s="191"/>
      <c r="K4493" s="191">
        <v>6165950.0186148267</v>
      </c>
      <c r="L4493" s="191"/>
      <c r="M4493" s="191"/>
      <c r="N4493" s="191"/>
      <c r="O4493" s="191"/>
      <c r="P4493" s="191"/>
      <c r="Q4493" s="191">
        <v>1.668675E-7</v>
      </c>
      <c r="R4493" s="191">
        <v>4.45696489557578E-8</v>
      </c>
      <c r="S4493" s="191">
        <v>4.9521832173064224E-9</v>
      </c>
      <c r="T4493" s="191">
        <v>2.22848244778789E-8</v>
      </c>
      <c r="U4493" s="439"/>
      <c r="V4493" s="439"/>
      <c r="W4493" s="178">
        <v>30000</v>
      </c>
      <c r="X4493" s="172">
        <f t="shared" si="9"/>
        <v>0.33333333333333331</v>
      </c>
      <c r="Y4493" s="172">
        <f t="shared" si="9"/>
        <v>0.33333333333333331</v>
      </c>
      <c r="Z4493" s="172">
        <f t="shared" si="9"/>
        <v>0.33333333333333331</v>
      </c>
      <c r="AA4493" s="195"/>
      <c r="AB4493" s="159"/>
    </row>
    <row r="4494" spans="1:28" ht="12.75" customHeight="1" x14ac:dyDescent="0.3">
      <c r="A4494" s="161">
        <v>494</v>
      </c>
      <c r="B4494" s="159" t="s">
        <v>2500</v>
      </c>
      <c r="C4494" s="160" t="s">
        <v>2501</v>
      </c>
      <c r="D4494" s="160" t="s">
        <v>620</v>
      </c>
      <c r="E4494" s="545"/>
      <c r="F4494" s="161">
        <v>376.5</v>
      </c>
      <c r="G4494" s="191"/>
      <c r="H4494" s="191">
        <v>2.7866666659699999E-5</v>
      </c>
      <c r="I4494" s="191">
        <v>1E-3</v>
      </c>
      <c r="J4494" s="191"/>
      <c r="K4494" s="191">
        <v>11220184.543019636</v>
      </c>
      <c r="L4494" s="191"/>
      <c r="M4494" s="191"/>
      <c r="N4494" s="191"/>
      <c r="O4494" s="191"/>
      <c r="P4494" s="191"/>
      <c r="Q4494" s="191">
        <v>4.6618230000000002E-5</v>
      </c>
      <c r="R4494" s="191">
        <v>1.3370894686727339E-7</v>
      </c>
      <c r="S4494" s="191">
        <v>1.4856549651919266E-8</v>
      </c>
      <c r="T4494" s="191">
        <v>7.293215283669458E-7</v>
      </c>
      <c r="U4494" s="439"/>
      <c r="V4494" s="439"/>
      <c r="W4494" s="178">
        <v>30000</v>
      </c>
      <c r="X4494" s="172">
        <f t="shared" si="9"/>
        <v>0.33333333333333331</v>
      </c>
      <c r="Y4494" s="172">
        <f t="shared" si="9"/>
        <v>0.33333333333333331</v>
      </c>
      <c r="Z4494" s="172">
        <f t="shared" si="9"/>
        <v>0.33333333333333331</v>
      </c>
      <c r="AA4494" s="195"/>
      <c r="AB4494" s="159"/>
    </row>
    <row r="4495" spans="1:28" ht="12.75" customHeight="1" x14ac:dyDescent="0.3">
      <c r="A4495" s="161">
        <v>495</v>
      </c>
      <c r="B4495" s="159" t="s">
        <v>2658</v>
      </c>
      <c r="C4495" s="160" t="s">
        <v>2659</v>
      </c>
      <c r="D4495" s="160" t="s">
        <v>620</v>
      </c>
      <c r="E4495" s="545"/>
      <c r="F4495" s="161">
        <v>444.47</v>
      </c>
      <c r="G4495" s="191"/>
      <c r="H4495" s="191">
        <v>2.7466666659799997E-6</v>
      </c>
      <c r="I4495" s="191">
        <v>6.3E-2</v>
      </c>
      <c r="J4495" s="191"/>
      <c r="K4495" s="191">
        <v>16595869.074375641</v>
      </c>
      <c r="L4495" s="191"/>
      <c r="M4495" s="191"/>
      <c r="N4495" s="191"/>
      <c r="O4495" s="191"/>
      <c r="P4495" s="191"/>
      <c r="Q4495" s="191">
        <v>1.32638475E-5</v>
      </c>
      <c r="R4495" s="191">
        <v>1.3370894686727339E-7</v>
      </c>
      <c r="S4495" s="191">
        <v>1.4856549651919266E-8</v>
      </c>
      <c r="T4495" s="191">
        <v>6.6854473433636697E-8</v>
      </c>
      <c r="U4495" s="439"/>
      <c r="V4495" s="439"/>
      <c r="W4495" s="178">
        <v>30000</v>
      </c>
      <c r="X4495" s="172">
        <f t="shared" si="9"/>
        <v>0.33333333333333331</v>
      </c>
      <c r="Y4495" s="172">
        <f t="shared" si="9"/>
        <v>0.33333333333333331</v>
      </c>
      <c r="Z4495" s="172">
        <f t="shared" si="9"/>
        <v>0.33333333333333331</v>
      </c>
      <c r="AA4495" s="195"/>
      <c r="AB4495" s="159"/>
    </row>
    <row r="4496" spans="1:28" ht="12.75" customHeight="1" x14ac:dyDescent="0.3">
      <c r="A4496" s="161">
        <v>496</v>
      </c>
      <c r="B4496" s="159" t="s">
        <v>2425</v>
      </c>
      <c r="C4496" s="160" t="s">
        <v>895</v>
      </c>
      <c r="D4496" s="160" t="s">
        <v>620</v>
      </c>
      <c r="E4496" s="545"/>
      <c r="F4496" s="161">
        <v>390.57</v>
      </c>
      <c r="G4496" s="191"/>
      <c r="H4496" s="191">
        <v>1.8933333328599999E-5</v>
      </c>
      <c r="I4496" s="191">
        <v>0.27</v>
      </c>
      <c r="J4496" s="191"/>
      <c r="K4496" s="191">
        <v>39810717.055349804</v>
      </c>
      <c r="L4496" s="191"/>
      <c r="M4496" s="191"/>
      <c r="N4496" s="191"/>
      <c r="O4496" s="191"/>
      <c r="P4496" s="191"/>
      <c r="Q4496" s="191">
        <v>1.6466579999999998E-5</v>
      </c>
      <c r="R4496" s="191">
        <v>5.3483578746909358E-7</v>
      </c>
      <c r="S4496" s="191">
        <v>5.9426198607677063E-8</v>
      </c>
      <c r="T4496" s="191">
        <v>2.6741789373454679E-7</v>
      </c>
      <c r="U4496" s="439"/>
      <c r="V4496" s="439"/>
      <c r="W4496" s="178">
        <v>30000</v>
      </c>
      <c r="X4496" s="172">
        <f t="shared" si="9"/>
        <v>0.33333333333333331</v>
      </c>
      <c r="Y4496" s="172">
        <f t="shared" si="9"/>
        <v>0.33333333333333331</v>
      </c>
      <c r="Z4496" s="172">
        <f t="shared" si="9"/>
        <v>0.33333333333333331</v>
      </c>
      <c r="AA4496" s="195"/>
      <c r="AB4496" s="159"/>
    </row>
    <row r="4497" spans="1:28" ht="12.75" customHeight="1" x14ac:dyDescent="0.3">
      <c r="A4497" s="161">
        <v>497</v>
      </c>
      <c r="B4497" s="159" t="s">
        <v>2692</v>
      </c>
      <c r="C4497" s="160" t="s">
        <v>2693</v>
      </c>
      <c r="D4497" s="160" t="s">
        <v>620</v>
      </c>
      <c r="E4497" s="545"/>
      <c r="F4497" s="161">
        <v>444.53</v>
      </c>
      <c r="G4497" s="191"/>
      <c r="H4497" s="191">
        <v>1.5999999995999997E-4</v>
      </c>
      <c r="I4497" s="191">
        <v>3.1E-2</v>
      </c>
      <c r="J4497" s="191"/>
      <c r="K4497" s="191">
        <v>41686938.347033612</v>
      </c>
      <c r="L4497" s="191"/>
      <c r="M4497" s="191"/>
      <c r="N4497" s="191"/>
      <c r="O4497" s="191"/>
      <c r="P4497" s="191"/>
      <c r="Q4497" s="191">
        <v>4.6280782499999994E-5</v>
      </c>
      <c r="R4497" s="191">
        <v>2.1393431498763744E-7</v>
      </c>
      <c r="S4497" s="191">
        <v>2.3770479443070826E-8</v>
      </c>
      <c r="T4497" s="191">
        <v>2.7663920041504839E-8</v>
      </c>
      <c r="U4497" s="439"/>
      <c r="V4497" s="439"/>
      <c r="W4497" s="178">
        <v>30000</v>
      </c>
      <c r="X4497" s="172">
        <f t="shared" si="9"/>
        <v>0.33333333333333331</v>
      </c>
      <c r="Y4497" s="172">
        <f t="shared" si="9"/>
        <v>0.33333333333333331</v>
      </c>
      <c r="Z4497" s="172">
        <f t="shared" si="9"/>
        <v>0.33333333333333331</v>
      </c>
      <c r="AA4497" s="195"/>
      <c r="AB4497" s="159"/>
    </row>
    <row r="4498" spans="1:28" ht="12.75" customHeight="1" x14ac:dyDescent="0.3">
      <c r="A4498" s="161">
        <v>498</v>
      </c>
      <c r="B4498" s="159" t="s">
        <v>2776</v>
      </c>
      <c r="C4498" s="160" t="s">
        <v>1683</v>
      </c>
      <c r="D4498" s="160" t="s">
        <v>620</v>
      </c>
      <c r="E4498" s="545"/>
      <c r="F4498" s="161">
        <v>270.5</v>
      </c>
      <c r="G4498" s="191"/>
      <c r="H4498" s="191">
        <v>3.5999999990999997E-4</v>
      </c>
      <c r="I4498" s="191">
        <v>1.1000000000000001E-3</v>
      </c>
      <c r="J4498" s="191"/>
      <c r="K4498" s="191">
        <v>52480746.024977304</v>
      </c>
      <c r="L4498" s="191"/>
      <c r="M4498" s="191"/>
      <c r="N4498" s="191"/>
      <c r="O4498" s="191"/>
      <c r="P4498" s="191"/>
      <c r="Q4498" s="191">
        <v>2.0004525E-5</v>
      </c>
      <c r="R4498" s="191">
        <v>5.3483578746909358E-7</v>
      </c>
      <c r="S4498" s="191">
        <v>5.9426198607677063E-8</v>
      </c>
      <c r="T4498" s="191">
        <v>2.6741789373454679E-7</v>
      </c>
      <c r="U4498" s="439"/>
      <c r="V4498" s="439"/>
      <c r="W4498" s="178">
        <v>30000</v>
      </c>
      <c r="X4498" s="172">
        <f t="shared" si="9"/>
        <v>0.33333333333333331</v>
      </c>
      <c r="Y4498" s="172">
        <f t="shared" si="9"/>
        <v>0.33333333333333331</v>
      </c>
      <c r="Z4498" s="172">
        <f t="shared" si="9"/>
        <v>0.33333333333333331</v>
      </c>
      <c r="AA4498" s="195"/>
      <c r="AB4498" s="159"/>
    </row>
    <row r="4499" spans="1:28" ht="12.75" customHeight="1" x14ac:dyDescent="0.3">
      <c r="A4499" s="161">
        <v>499</v>
      </c>
      <c r="B4499" s="159" t="s">
        <v>2644</v>
      </c>
      <c r="C4499" s="160" t="s">
        <v>2645</v>
      </c>
      <c r="D4499" s="160" t="s">
        <v>620</v>
      </c>
      <c r="E4499" s="545"/>
      <c r="F4499" s="161">
        <v>410.45</v>
      </c>
      <c r="G4499" s="191"/>
      <c r="H4499" s="191">
        <v>6.8666666649499992E-6</v>
      </c>
      <c r="I4499" s="191">
        <v>0.89</v>
      </c>
      <c r="J4499" s="191"/>
      <c r="K4499" s="191">
        <v>95499258.602143779</v>
      </c>
      <c r="L4499" s="191"/>
      <c r="M4499" s="191"/>
      <c r="N4499" s="191"/>
      <c r="O4499" s="191"/>
      <c r="P4499" s="191"/>
      <c r="Q4499" s="191">
        <v>3.5080110000000004E-5</v>
      </c>
      <c r="R4499" s="191">
        <v>1.3370894686727339E-7</v>
      </c>
      <c r="S4499" s="191">
        <v>1.4856549651919266E-8</v>
      </c>
      <c r="T4499" s="191">
        <v>6.6854473433636697E-8</v>
      </c>
      <c r="U4499" s="439"/>
      <c r="V4499" s="439"/>
      <c r="W4499" s="178">
        <v>30000</v>
      </c>
      <c r="X4499" s="172">
        <f t="shared" si="9"/>
        <v>0.33333333333333331</v>
      </c>
      <c r="Y4499" s="172">
        <f t="shared" si="9"/>
        <v>0.33333333333333331</v>
      </c>
      <c r="Z4499" s="172">
        <f t="shared" si="9"/>
        <v>0.33333333333333331</v>
      </c>
      <c r="AA4499" s="195"/>
      <c r="AB4499" s="159"/>
    </row>
    <row r="4500" spans="1:28" ht="12.75" customHeight="1" x14ac:dyDescent="0.3">
      <c r="A4500" s="161">
        <v>500</v>
      </c>
      <c r="B4500" s="159" t="s">
        <v>2778</v>
      </c>
      <c r="C4500" s="160" t="s">
        <v>2779</v>
      </c>
      <c r="D4500" s="160" t="s">
        <v>620</v>
      </c>
      <c r="E4500" s="545"/>
      <c r="F4500" s="161">
        <v>390.57</v>
      </c>
      <c r="G4500" s="191"/>
      <c r="H4500" s="191">
        <v>1.3333333329999999E-5</v>
      </c>
      <c r="I4500" s="191">
        <v>2.1999999999999999E-2</v>
      </c>
      <c r="J4500" s="191"/>
      <c r="K4500" s="191">
        <v>125892541.17941682</v>
      </c>
      <c r="L4500" s="191"/>
      <c r="M4500" s="191"/>
      <c r="N4500" s="191"/>
      <c r="O4500" s="191"/>
      <c r="P4500" s="191"/>
      <c r="Q4500" s="191">
        <v>1.5436027500000001E-5</v>
      </c>
      <c r="R4500" s="191">
        <v>5.3483578746909358E-7</v>
      </c>
      <c r="S4500" s="191">
        <v>5.9426198607677063E-8</v>
      </c>
      <c r="T4500" s="191">
        <v>2.6741789373454679E-7</v>
      </c>
      <c r="U4500" s="439"/>
      <c r="V4500" s="439"/>
      <c r="W4500" s="178">
        <v>30000</v>
      </c>
      <c r="X4500" s="172">
        <f t="shared" si="9"/>
        <v>0.33333333333333331</v>
      </c>
      <c r="Y4500" s="172">
        <f t="shared" si="9"/>
        <v>0.33333333333333331</v>
      </c>
      <c r="Z4500" s="172">
        <f t="shared" si="9"/>
        <v>0.33333333333333331</v>
      </c>
      <c r="AA4500" s="195"/>
      <c r="AB4500" s="159"/>
    </row>
    <row r="4501" spans="1:28" ht="12.75" customHeight="1" x14ac:dyDescent="0.3">
      <c r="A4501" s="161">
        <v>501</v>
      </c>
      <c r="B4501" s="159" t="s">
        <v>2598</v>
      </c>
      <c r="C4501" s="160" t="s">
        <v>2599</v>
      </c>
      <c r="D4501" s="160" t="s">
        <v>620</v>
      </c>
      <c r="E4501" s="545"/>
      <c r="F4501" s="161">
        <v>390.57</v>
      </c>
      <c r="G4501" s="191"/>
      <c r="H4501" s="191">
        <v>7.2399999981899996E-4</v>
      </c>
      <c r="I4501" s="191">
        <v>3.1859999999999999E-4</v>
      </c>
      <c r="J4501" s="191"/>
      <c r="K4501" s="191">
        <v>173780082.87493807</v>
      </c>
      <c r="L4501" s="191"/>
      <c r="M4501" s="191"/>
      <c r="N4501" s="191"/>
      <c r="O4501" s="191"/>
      <c r="P4501" s="191"/>
      <c r="Q4501" s="191">
        <v>1.6589017500000001E-5</v>
      </c>
      <c r="R4501" s="191">
        <v>2.1393431498763744E-7</v>
      </c>
      <c r="S4501" s="191">
        <v>2.3770479443070826E-8</v>
      </c>
      <c r="T4501" s="191">
        <v>1.0696715749381872E-7</v>
      </c>
      <c r="U4501" s="439"/>
      <c r="V4501" s="439"/>
      <c r="W4501" s="178">
        <v>30000</v>
      </c>
      <c r="X4501" s="172">
        <f t="shared" si="9"/>
        <v>0.33333333333333331</v>
      </c>
      <c r="Y4501" s="172">
        <f t="shared" si="9"/>
        <v>0.33333333333333331</v>
      </c>
      <c r="Z4501" s="172">
        <f t="shared" si="9"/>
        <v>0.33333333333333331</v>
      </c>
      <c r="AA4501" s="195"/>
      <c r="AB4501" s="159"/>
    </row>
    <row r="4502" spans="1:28" ht="12.75" customHeight="1" x14ac:dyDescent="0.3">
      <c r="A4502" s="161">
        <v>502</v>
      </c>
      <c r="B4502" s="159" t="s">
        <v>2551</v>
      </c>
      <c r="C4502" s="160" t="s">
        <v>2552</v>
      </c>
      <c r="D4502" s="160" t="s">
        <v>620</v>
      </c>
      <c r="E4502" s="545"/>
      <c r="F4502" s="161">
        <v>487.43</v>
      </c>
      <c r="G4502" s="191"/>
      <c r="H4502" s="191">
        <v>4.9999999987499993E-17</v>
      </c>
      <c r="I4502" s="191">
        <v>9.8339999999999997E-5</v>
      </c>
      <c r="J4502" s="191"/>
      <c r="K4502" s="191">
        <v>199526231.49688843</v>
      </c>
      <c r="L4502" s="191"/>
      <c r="M4502" s="191"/>
      <c r="N4502" s="191"/>
      <c r="O4502" s="191"/>
      <c r="P4502" s="191"/>
      <c r="Q4502" s="191">
        <v>1.041843E-5</v>
      </c>
      <c r="R4502" s="191">
        <v>4.45696489557578E-8</v>
      </c>
      <c r="S4502" s="191">
        <v>4.9521832173064224E-9</v>
      </c>
      <c r="T4502" s="191">
        <v>2.22848244778789E-8</v>
      </c>
      <c r="U4502" s="439"/>
      <c r="V4502" s="439"/>
      <c r="W4502" s="178">
        <v>30000</v>
      </c>
      <c r="X4502" s="172">
        <f t="shared" si="9"/>
        <v>0.33333333333333331</v>
      </c>
      <c r="Y4502" s="172">
        <f t="shared" si="9"/>
        <v>0.33333333333333331</v>
      </c>
      <c r="Z4502" s="172">
        <f t="shared" si="9"/>
        <v>0.33333333333333331</v>
      </c>
      <c r="AA4502" s="195"/>
      <c r="AB4502" s="159"/>
    </row>
    <row r="4503" spans="1:28" ht="12.75" customHeight="1" x14ac:dyDescent="0.3">
      <c r="A4503" s="161">
        <v>503</v>
      </c>
      <c r="B4503" s="159" t="s">
        <v>2561</v>
      </c>
      <c r="C4503" s="160" t="s">
        <v>2562</v>
      </c>
      <c r="D4503" s="160" t="s">
        <v>620</v>
      </c>
      <c r="E4503" s="545"/>
      <c r="F4503" s="161">
        <v>726.45</v>
      </c>
      <c r="G4503" s="191"/>
      <c r="H4503" s="191">
        <v>2.4666666660500001E-21</v>
      </c>
      <c r="I4503" s="191">
        <v>6.9299999999999997E-7</v>
      </c>
      <c r="J4503" s="191"/>
      <c r="K4503" s="191">
        <v>204173794.4669534</v>
      </c>
      <c r="L4503" s="191"/>
      <c r="M4503" s="191"/>
      <c r="N4503" s="191"/>
      <c r="O4503" s="191"/>
      <c r="P4503" s="191"/>
      <c r="Q4503" s="191">
        <v>1.88780775E-5</v>
      </c>
      <c r="R4503" s="191">
        <v>4.45696489557578E-8</v>
      </c>
      <c r="S4503" s="191">
        <v>4.9521832173064224E-9</v>
      </c>
      <c r="T4503" s="191">
        <v>2.22848244778789E-8</v>
      </c>
      <c r="U4503" s="439"/>
      <c r="V4503" s="439"/>
      <c r="W4503" s="178">
        <v>30000</v>
      </c>
      <c r="X4503" s="172">
        <f t="shared" si="9"/>
        <v>0.33333333333333331</v>
      </c>
      <c r="Y4503" s="172">
        <f t="shared" si="9"/>
        <v>0.33333333333333331</v>
      </c>
      <c r="Z4503" s="172">
        <f t="shared" si="9"/>
        <v>0.33333333333333331</v>
      </c>
      <c r="AA4503" s="195"/>
      <c r="AB4503" s="159"/>
    </row>
    <row r="4504" spans="1:28" ht="12.75" customHeight="1" x14ac:dyDescent="0.3">
      <c r="A4504" s="161">
        <v>504</v>
      </c>
      <c r="B4504" s="159" t="s">
        <v>2612</v>
      </c>
      <c r="C4504" s="160" t="s">
        <v>2613</v>
      </c>
      <c r="D4504" s="160" t="s">
        <v>620</v>
      </c>
      <c r="E4504" s="545"/>
      <c r="F4504" s="161">
        <v>246.44</v>
      </c>
      <c r="G4504" s="191"/>
      <c r="H4504" s="191">
        <v>6.8133333316299999E-3</v>
      </c>
      <c r="I4504" s="191">
        <v>0.01</v>
      </c>
      <c r="J4504" s="191"/>
      <c r="K4504" s="191">
        <v>446683592.15096432</v>
      </c>
      <c r="L4504" s="191"/>
      <c r="M4504" s="191"/>
      <c r="N4504" s="191"/>
      <c r="O4504" s="191"/>
      <c r="P4504" s="191"/>
      <c r="Q4504" s="191">
        <v>1.50205725E-5</v>
      </c>
      <c r="R4504" s="191">
        <v>5.3483578746909358E-7</v>
      </c>
      <c r="S4504" s="191">
        <v>5.9426198607677063E-8</v>
      </c>
      <c r="T4504" s="191">
        <v>2.6741789373454679E-7</v>
      </c>
      <c r="U4504" s="439"/>
      <c r="V4504" s="439"/>
      <c r="W4504" s="178">
        <v>30000</v>
      </c>
      <c r="X4504" s="172">
        <f t="shared" si="9"/>
        <v>0.33333333333333331</v>
      </c>
      <c r="Y4504" s="172">
        <f t="shared" si="9"/>
        <v>0.33333333333333331</v>
      </c>
      <c r="Z4504" s="172">
        <f t="shared" si="9"/>
        <v>0.33333333333333331</v>
      </c>
      <c r="AA4504" s="195"/>
      <c r="AB4504" s="159"/>
    </row>
    <row r="4505" spans="1:28" ht="12.75" customHeight="1" x14ac:dyDescent="0.3">
      <c r="A4505" s="161">
        <v>505</v>
      </c>
      <c r="B4505" s="159" t="s">
        <v>2862</v>
      </c>
      <c r="C4505" s="160" t="s">
        <v>2863</v>
      </c>
      <c r="D4505" s="160" t="s">
        <v>620</v>
      </c>
      <c r="E4505" s="545"/>
      <c r="F4505" s="161">
        <v>246.44</v>
      </c>
      <c r="G4505" s="191"/>
      <c r="H4505" s="191">
        <v>6.8133333316299999E-3</v>
      </c>
      <c r="I4505" s="191">
        <v>0.01</v>
      </c>
      <c r="J4505" s="191"/>
      <c r="K4505" s="191">
        <v>446683592.15096432</v>
      </c>
      <c r="L4505" s="191"/>
      <c r="M4505" s="191"/>
      <c r="N4505" s="191"/>
      <c r="O4505" s="191"/>
      <c r="P4505" s="191"/>
      <c r="Q4505" s="191">
        <v>1.50205725E-5</v>
      </c>
      <c r="R4505" s="191">
        <v>5.3483578746909358E-7</v>
      </c>
      <c r="S4505" s="191">
        <v>5.9426198607677063E-8</v>
      </c>
      <c r="T4505" s="191">
        <v>2.6741789373454679E-7</v>
      </c>
      <c r="U4505" s="439"/>
      <c r="V4505" s="439"/>
      <c r="W4505" s="178">
        <v>30000</v>
      </c>
      <c r="X4505" s="172">
        <f t="shared" si="9"/>
        <v>0.33333333333333331</v>
      </c>
      <c r="Y4505" s="172">
        <f t="shared" si="9"/>
        <v>0.33333333333333331</v>
      </c>
      <c r="Z4505" s="172">
        <f t="shared" si="9"/>
        <v>0.33333333333333331</v>
      </c>
      <c r="AA4505" s="195"/>
      <c r="AB4505" s="159"/>
    </row>
    <row r="4506" spans="1:28" ht="12.75" customHeight="1" x14ac:dyDescent="0.3">
      <c r="A4506" s="234">
        <v>506</v>
      </c>
      <c r="B4506" s="598" t="s">
        <v>2860</v>
      </c>
      <c r="C4506" s="235" t="s">
        <v>2861</v>
      </c>
      <c r="D4506" s="235" t="s">
        <v>620</v>
      </c>
      <c r="E4506" s="594"/>
      <c r="F4506" s="234">
        <v>446.68</v>
      </c>
      <c r="G4506" s="238"/>
      <c r="H4506" s="238">
        <v>3.4666666658E-6</v>
      </c>
      <c r="I4506" s="238">
        <v>2.5950000000000001E-6</v>
      </c>
      <c r="J4506" s="238"/>
      <c r="K4506" s="238">
        <v>19054607179.632496</v>
      </c>
      <c r="L4506" s="238"/>
      <c r="M4506" s="238"/>
      <c r="N4506" s="238"/>
      <c r="O4506" s="238"/>
      <c r="P4506" s="238"/>
      <c r="Q4506" s="238">
        <v>1.42146375E-5</v>
      </c>
      <c r="R4506" s="238">
        <v>1.3370894686727339E-7</v>
      </c>
      <c r="S4506" s="238">
        <v>1.4856549651919266E-8</v>
      </c>
      <c r="T4506" s="238">
        <v>6.6854473433636697E-8</v>
      </c>
      <c r="U4506" s="537"/>
      <c r="V4506" s="537"/>
      <c r="W4506" s="596">
        <v>30000</v>
      </c>
      <c r="X4506" s="597">
        <f t="shared" si="9"/>
        <v>0.33333333333333331</v>
      </c>
      <c r="Y4506" s="597">
        <f t="shared" si="9"/>
        <v>0.33333333333333331</v>
      </c>
      <c r="Z4506" s="597">
        <f t="shared" si="9"/>
        <v>0.33333333333333331</v>
      </c>
      <c r="AA4506" s="195"/>
      <c r="AB4506" s="159"/>
    </row>
    <row r="4507" spans="1:28" ht="12.75" customHeight="1" x14ac:dyDescent="0.3">
      <c r="A4507" s="161">
        <v>507</v>
      </c>
      <c r="B4507" s="159" t="s">
        <v>2893</v>
      </c>
      <c r="C4507" s="160" t="s">
        <v>2894</v>
      </c>
      <c r="D4507" s="160" t="s">
        <v>618</v>
      </c>
      <c r="E4507" s="545">
        <v>3.03</v>
      </c>
      <c r="F4507" s="161">
        <v>116.07</v>
      </c>
      <c r="G4507" s="191"/>
      <c r="H4507" s="191">
        <v>2.0533333328199999E-2</v>
      </c>
      <c r="I4507" s="191">
        <v>7000</v>
      </c>
      <c r="J4507" s="191"/>
      <c r="K4507" s="191">
        <v>2.8840315031266059</v>
      </c>
      <c r="L4507" s="191"/>
      <c r="M4507" s="191"/>
      <c r="N4507" s="191"/>
      <c r="O4507" s="191"/>
      <c r="P4507" s="191"/>
      <c r="Q4507" s="191">
        <v>5.9617500000000001E-6</v>
      </c>
      <c r="R4507" s="191">
        <v>9.2532143160742838E-7</v>
      </c>
      <c r="S4507" s="191">
        <v>1.0281349240082538E-7</v>
      </c>
      <c r="T4507" s="191">
        <v>4.6266071580371419E-7</v>
      </c>
      <c r="U4507" s="439"/>
      <c r="V4507" s="439"/>
      <c r="W4507" s="178">
        <v>30000</v>
      </c>
      <c r="X4507" s="172">
        <f t="shared" si="9"/>
        <v>0.33333333333333331</v>
      </c>
      <c r="Y4507" s="172">
        <f t="shared" si="9"/>
        <v>0.33333333333333331</v>
      </c>
      <c r="Z4507" s="172">
        <f t="shared" si="9"/>
        <v>0.33333333333333331</v>
      </c>
      <c r="AA4507" s="195"/>
      <c r="AB4507" s="159"/>
    </row>
    <row r="4508" spans="1:28" ht="12.75" customHeight="1" x14ac:dyDescent="0.3">
      <c r="A4508" s="161">
        <v>508</v>
      </c>
      <c r="B4508" s="159" t="s">
        <v>2895</v>
      </c>
      <c r="C4508" s="160" t="s">
        <v>2896</v>
      </c>
      <c r="D4508" s="160" t="s">
        <v>618</v>
      </c>
      <c r="E4508" s="545">
        <v>3.04</v>
      </c>
      <c r="F4508" s="161">
        <v>243.67</v>
      </c>
      <c r="G4508" s="191"/>
      <c r="H4508" s="191">
        <v>9.999999997499999E-8</v>
      </c>
      <c r="I4508" s="191">
        <v>600</v>
      </c>
      <c r="J4508" s="191"/>
      <c r="K4508" s="191">
        <v>21.877616239495538</v>
      </c>
      <c r="L4508" s="191"/>
      <c r="M4508" s="191"/>
      <c r="N4508" s="191"/>
      <c r="O4508" s="191"/>
      <c r="P4508" s="191"/>
      <c r="Q4508" s="191">
        <v>4.0109400000000003E-6</v>
      </c>
      <c r="R4508" s="191">
        <v>5.3483578746909358E-7</v>
      </c>
      <c r="S4508" s="191">
        <v>5.9426198607677063E-8</v>
      </c>
      <c r="T4508" s="191">
        <v>3.8202556247792398E-7</v>
      </c>
      <c r="U4508" s="439"/>
      <c r="V4508" s="439"/>
      <c r="W4508" s="178">
        <v>30000</v>
      </c>
      <c r="X4508" s="172">
        <f t="shared" si="9"/>
        <v>0.33333333333333331</v>
      </c>
      <c r="Y4508" s="172">
        <f t="shared" si="9"/>
        <v>0.33333333333333331</v>
      </c>
      <c r="Z4508" s="172">
        <f t="shared" si="9"/>
        <v>0.33333333333333331</v>
      </c>
      <c r="AA4508" s="195"/>
      <c r="AB4508" s="159"/>
    </row>
    <row r="4509" spans="1:28" ht="12.75" customHeight="1" x14ac:dyDescent="0.3">
      <c r="A4509" s="161">
        <v>509</v>
      </c>
      <c r="B4509" s="159" t="s">
        <v>2897</v>
      </c>
      <c r="C4509" s="160" t="s">
        <v>1631</v>
      </c>
      <c r="D4509" s="160" t="s">
        <v>618</v>
      </c>
      <c r="E4509" s="545">
        <v>3.1</v>
      </c>
      <c r="F4509" s="161">
        <v>214.65</v>
      </c>
      <c r="G4509" s="191"/>
      <c r="H4509" s="191">
        <v>3.9999999989999999E-4</v>
      </c>
      <c r="I4509" s="191">
        <v>620</v>
      </c>
      <c r="J4509" s="191"/>
      <c r="K4509" s="191">
        <v>1348.9628825916541</v>
      </c>
      <c r="L4509" s="191"/>
      <c r="M4509" s="191"/>
      <c r="N4509" s="191"/>
      <c r="O4509" s="191"/>
      <c r="P4509" s="191"/>
      <c r="Q4509" s="191">
        <v>1.304655E-5</v>
      </c>
      <c r="R4509" s="191">
        <v>2.1393431498763744E-7</v>
      </c>
      <c r="S4509" s="191">
        <v>2.3770479443070826E-8</v>
      </c>
      <c r="T4509" s="191">
        <v>1.0696715749381872E-7</v>
      </c>
      <c r="U4509" s="439"/>
      <c r="V4509" s="439"/>
      <c r="W4509" s="178">
        <v>30000</v>
      </c>
      <c r="X4509" s="172">
        <f t="shared" si="9"/>
        <v>0.33333333333333331</v>
      </c>
      <c r="Y4509" s="172">
        <f t="shared" si="9"/>
        <v>0.33333333333333331</v>
      </c>
      <c r="Z4509" s="172">
        <f t="shared" si="9"/>
        <v>0.33333333333333331</v>
      </c>
      <c r="AA4509" s="195"/>
      <c r="AB4509" s="159"/>
    </row>
    <row r="4510" spans="1:28" ht="12.75" customHeight="1" x14ac:dyDescent="0.3">
      <c r="A4510" s="161">
        <v>510</v>
      </c>
      <c r="B4510" s="159" t="s">
        <v>2899</v>
      </c>
      <c r="C4510" s="160" t="s">
        <v>2900</v>
      </c>
      <c r="D4510" s="160" t="s">
        <v>618</v>
      </c>
      <c r="E4510" s="545">
        <v>3.13</v>
      </c>
      <c r="F4510" s="161">
        <v>200.62</v>
      </c>
      <c r="G4510" s="191"/>
      <c r="H4510" s="191">
        <v>7.8666666646999995E-4</v>
      </c>
      <c r="I4510" s="191">
        <v>630</v>
      </c>
      <c r="J4510" s="191"/>
      <c r="K4510" s="191">
        <v>1778.2794100389244</v>
      </c>
      <c r="L4510" s="191"/>
      <c r="M4510" s="191"/>
      <c r="N4510" s="191"/>
      <c r="O4510" s="191"/>
      <c r="P4510" s="191"/>
      <c r="Q4510" s="191">
        <v>9.469252500000001E-6</v>
      </c>
      <c r="R4510" s="191">
        <v>5.3483578746909358E-7</v>
      </c>
      <c r="S4510" s="191">
        <v>5.9426198607677063E-8</v>
      </c>
      <c r="T4510" s="191">
        <v>2.6741789373454679E-7</v>
      </c>
      <c r="U4510" s="439"/>
      <c r="V4510" s="439"/>
      <c r="W4510" s="178">
        <v>30000</v>
      </c>
      <c r="X4510" s="172">
        <f t="shared" si="9"/>
        <v>0.33333333333333331</v>
      </c>
      <c r="Y4510" s="172">
        <f t="shared" si="9"/>
        <v>0.33333333333333331</v>
      </c>
      <c r="Z4510" s="172">
        <f t="shared" si="9"/>
        <v>0.33333333333333331</v>
      </c>
      <c r="AA4510" s="195"/>
      <c r="AB4510" s="159"/>
    </row>
    <row r="4511" spans="1:28" ht="12.75" customHeight="1" x14ac:dyDescent="0.3">
      <c r="A4511" s="161">
        <v>511</v>
      </c>
      <c r="B4511" s="159" t="s">
        <v>2898</v>
      </c>
      <c r="C4511" s="160" t="s">
        <v>1632</v>
      </c>
      <c r="D4511" s="160" t="s">
        <v>618</v>
      </c>
      <c r="E4511" s="545">
        <v>3.13</v>
      </c>
      <c r="F4511" s="161">
        <v>200.62</v>
      </c>
      <c r="G4511" s="191"/>
      <c r="H4511" s="191">
        <v>7.8666666646999995E-4</v>
      </c>
      <c r="I4511" s="191">
        <v>630</v>
      </c>
      <c r="J4511" s="191"/>
      <c r="K4511" s="191">
        <v>1778.2794100389244</v>
      </c>
      <c r="L4511" s="191"/>
      <c r="M4511" s="191"/>
      <c r="N4511" s="191"/>
      <c r="O4511" s="191"/>
      <c r="P4511" s="191"/>
      <c r="Q4511" s="191">
        <v>9.469252500000001E-6</v>
      </c>
      <c r="R4511" s="191">
        <v>5.3483578746909358E-7</v>
      </c>
      <c r="S4511" s="191">
        <v>5.9426198607677063E-8</v>
      </c>
      <c r="T4511" s="191">
        <v>3.2090147248145614E-7</v>
      </c>
      <c r="U4511" s="439"/>
      <c r="V4511" s="439"/>
      <c r="W4511" s="178">
        <v>30000</v>
      </c>
      <c r="X4511" s="172">
        <f t="shared" si="9"/>
        <v>0.33333333333333331</v>
      </c>
      <c r="Y4511" s="172">
        <f t="shared" si="9"/>
        <v>0.33333333333333331</v>
      </c>
      <c r="Z4511" s="172">
        <f t="shared" si="9"/>
        <v>0.33333333333333331</v>
      </c>
      <c r="AA4511" s="195"/>
      <c r="AB4511" s="159"/>
    </row>
    <row r="4512" spans="1:28" ht="12.75" customHeight="1" x14ac:dyDescent="0.3">
      <c r="A4512" s="161">
        <v>512</v>
      </c>
      <c r="B4512" s="159" t="s">
        <v>2901</v>
      </c>
      <c r="C4512" s="160" t="s">
        <v>2902</v>
      </c>
      <c r="D4512" s="160" t="s">
        <v>618</v>
      </c>
      <c r="E4512" s="545">
        <v>3.18</v>
      </c>
      <c r="F4512" s="161">
        <v>330.74</v>
      </c>
      <c r="G4512" s="191"/>
      <c r="H4512" s="191">
        <v>4.0799999989800003E-9</v>
      </c>
      <c r="I4512" s="191">
        <v>73.099999999999994</v>
      </c>
      <c r="J4512" s="191"/>
      <c r="K4512" s="191">
        <v>107.15193052376065</v>
      </c>
      <c r="L4512" s="191"/>
      <c r="M4512" s="191"/>
      <c r="N4512" s="191"/>
      <c r="O4512" s="191"/>
      <c r="P4512" s="191"/>
      <c r="Q4512" s="191">
        <v>8.4163575000000007E-5</v>
      </c>
      <c r="R4512" s="191">
        <v>1.3370894686727339E-7</v>
      </c>
      <c r="S4512" s="191">
        <v>1.4856549651919266E-8</v>
      </c>
      <c r="T4512" s="191">
        <v>6.6854473433636697E-8</v>
      </c>
      <c r="U4512" s="439"/>
      <c r="V4512" s="439"/>
      <c r="W4512" s="178">
        <v>30000</v>
      </c>
      <c r="X4512" s="172">
        <f t="shared" si="9"/>
        <v>0.33333333333333331</v>
      </c>
      <c r="Y4512" s="172">
        <f t="shared" si="9"/>
        <v>0.33333333333333331</v>
      </c>
      <c r="Z4512" s="172">
        <f t="shared" si="9"/>
        <v>0.33333333333333331</v>
      </c>
      <c r="AA4512" s="195"/>
      <c r="AB4512" s="159"/>
    </row>
    <row r="4513" spans="1:28" ht="12.75" customHeight="1" x14ac:dyDescent="0.3">
      <c r="A4513" s="161">
        <v>513</v>
      </c>
      <c r="B4513" s="159" t="s">
        <v>2903</v>
      </c>
      <c r="C4513" s="160" t="s">
        <v>2904</v>
      </c>
      <c r="D4513" s="160" t="s">
        <v>618</v>
      </c>
      <c r="E4513" s="545">
        <v>3.27</v>
      </c>
      <c r="F4513" s="161">
        <v>460.44</v>
      </c>
      <c r="G4513" s="191"/>
      <c r="H4513" s="191">
        <v>1.2066666663649999E-20</v>
      </c>
      <c r="I4513" s="191">
        <v>313</v>
      </c>
      <c r="J4513" s="191"/>
      <c r="K4513" s="191">
        <v>0.12589254117941667</v>
      </c>
      <c r="L4513" s="191"/>
      <c r="M4513" s="191"/>
      <c r="N4513" s="191"/>
      <c r="O4513" s="191"/>
      <c r="P4513" s="191"/>
      <c r="Q4513" s="191">
        <v>1.9871081250000001E-4</v>
      </c>
      <c r="R4513" s="191">
        <v>1.3370894686727339E-7</v>
      </c>
      <c r="S4513" s="191">
        <v>1.4856549651919266E-8</v>
      </c>
      <c r="T4513" s="191">
        <v>4.4569648955757796E-7</v>
      </c>
      <c r="U4513" s="439"/>
      <c r="V4513" s="439"/>
      <c r="W4513" s="178">
        <v>30000</v>
      </c>
      <c r="X4513" s="172">
        <f t="shared" si="9"/>
        <v>0.33333333333333331</v>
      </c>
      <c r="Y4513" s="172">
        <f t="shared" si="9"/>
        <v>0.33333333333333331</v>
      </c>
      <c r="Z4513" s="172">
        <f t="shared" si="9"/>
        <v>0.33333333333333331</v>
      </c>
      <c r="AA4513" s="195"/>
      <c r="AB4513" s="159"/>
    </row>
    <row r="4514" spans="1:28" ht="12.75" customHeight="1" x14ac:dyDescent="0.3">
      <c r="A4514" s="161">
        <v>514</v>
      </c>
      <c r="B4514" s="159" t="s">
        <v>2905</v>
      </c>
      <c r="C4514" s="160" t="s">
        <v>2906</v>
      </c>
      <c r="D4514" s="160" t="s">
        <v>618</v>
      </c>
      <c r="E4514" s="545">
        <v>3.3</v>
      </c>
      <c r="F4514" s="161">
        <v>478.89</v>
      </c>
      <c r="G4514" s="191"/>
      <c r="H4514" s="191">
        <v>7.7866666647199998E-20</v>
      </c>
      <c r="I4514" s="191">
        <v>630</v>
      </c>
      <c r="J4514" s="191"/>
      <c r="K4514" s="191">
        <v>0.23988329190194901</v>
      </c>
      <c r="L4514" s="191"/>
      <c r="M4514" s="191"/>
      <c r="N4514" s="191"/>
      <c r="O4514" s="191"/>
      <c r="P4514" s="191"/>
      <c r="Q4514" s="191">
        <v>1.5641832749999998E-4</v>
      </c>
      <c r="R4514" s="191">
        <v>4.45696489557578E-8</v>
      </c>
      <c r="S4514" s="191">
        <v>4.9521832173064224E-9</v>
      </c>
      <c r="T4514" s="191">
        <v>2.6741789373454679E-7</v>
      </c>
      <c r="U4514" s="439"/>
      <c r="V4514" s="439"/>
      <c r="W4514" s="178">
        <v>30000</v>
      </c>
      <c r="X4514" s="172">
        <f t="shared" ref="X4514:Z4577" si="10">1/3</f>
        <v>0.33333333333333331</v>
      </c>
      <c r="Y4514" s="172">
        <f t="shared" si="10"/>
        <v>0.33333333333333331</v>
      </c>
      <c r="Z4514" s="172">
        <f t="shared" si="10"/>
        <v>0.33333333333333331</v>
      </c>
      <c r="AA4514" s="195"/>
      <c r="AB4514" s="159"/>
    </row>
    <row r="4515" spans="1:28" ht="12.75" customHeight="1" x14ac:dyDescent="0.3">
      <c r="A4515" s="161">
        <v>515</v>
      </c>
      <c r="B4515" s="159" t="s">
        <v>2907</v>
      </c>
      <c r="C4515" s="160" t="s">
        <v>2908</v>
      </c>
      <c r="D4515" s="160" t="s">
        <v>618</v>
      </c>
      <c r="E4515" s="545">
        <v>3.31</v>
      </c>
      <c r="F4515" s="161">
        <v>260.68</v>
      </c>
      <c r="G4515" s="191"/>
      <c r="H4515" s="191">
        <v>2.2266666661099999E-7</v>
      </c>
      <c r="I4515" s="191">
        <v>21.8</v>
      </c>
      <c r="J4515" s="191"/>
      <c r="K4515" s="191">
        <v>758.57757502918378</v>
      </c>
      <c r="L4515" s="191"/>
      <c r="M4515" s="191"/>
      <c r="N4515" s="191"/>
      <c r="O4515" s="191"/>
      <c r="P4515" s="191"/>
      <c r="Q4515" s="191">
        <v>4.3596675000000002E-6</v>
      </c>
      <c r="R4515" s="191">
        <v>2.1393431498763744E-7</v>
      </c>
      <c r="S4515" s="191">
        <v>2.3770479443070826E-8</v>
      </c>
      <c r="T4515" s="191">
        <v>1.0696715749381872E-7</v>
      </c>
      <c r="U4515" s="439"/>
      <c r="V4515" s="439"/>
      <c r="W4515" s="178">
        <v>30000</v>
      </c>
      <c r="X4515" s="172">
        <f t="shared" si="10"/>
        <v>0.33333333333333331</v>
      </c>
      <c r="Y4515" s="172">
        <f t="shared" si="10"/>
        <v>0.33333333333333331</v>
      </c>
      <c r="Z4515" s="172">
        <f t="shared" si="10"/>
        <v>0.33333333333333331</v>
      </c>
      <c r="AA4515" s="195"/>
      <c r="AB4515" s="159"/>
    </row>
    <row r="4516" spans="1:28" ht="12.75" customHeight="1" x14ac:dyDescent="0.3">
      <c r="A4516" s="161">
        <v>516</v>
      </c>
      <c r="B4516" s="159" t="s">
        <v>2909</v>
      </c>
      <c r="C4516" s="160" t="s">
        <v>1685</v>
      </c>
      <c r="D4516" s="160" t="s">
        <v>618</v>
      </c>
      <c r="E4516" s="545">
        <v>3.34</v>
      </c>
      <c r="F4516" s="161">
        <v>173.19</v>
      </c>
      <c r="G4516" s="191"/>
      <c r="H4516" s="191">
        <v>3.4933333324600001E-7</v>
      </c>
      <c r="I4516" s="191">
        <v>10800</v>
      </c>
      <c r="J4516" s="191"/>
      <c r="K4516" s="191">
        <v>6.9183097091893601E-3</v>
      </c>
      <c r="L4516" s="191"/>
      <c r="M4516" s="191"/>
      <c r="N4516" s="191"/>
      <c r="O4516" s="191"/>
      <c r="P4516" s="191"/>
      <c r="Q4516" s="191">
        <v>1.7365815E-5</v>
      </c>
      <c r="R4516" s="191">
        <v>5.3483578746909358E-7</v>
      </c>
      <c r="S4516" s="191">
        <v>5.9426198607677063E-8</v>
      </c>
      <c r="T4516" s="191">
        <v>2.6741789373454679E-7</v>
      </c>
      <c r="U4516" s="439"/>
      <c r="V4516" s="439"/>
      <c r="W4516" s="178">
        <v>30000</v>
      </c>
      <c r="X4516" s="172">
        <f t="shared" si="10"/>
        <v>0.33333333333333331</v>
      </c>
      <c r="Y4516" s="172">
        <f t="shared" si="10"/>
        <v>0.33333333333333331</v>
      </c>
      <c r="Z4516" s="172">
        <f t="shared" si="10"/>
        <v>0.33333333333333331</v>
      </c>
      <c r="AA4516" s="195"/>
      <c r="AB4516" s="159"/>
    </row>
    <row r="4517" spans="1:28" ht="12.75" customHeight="1" x14ac:dyDescent="0.3">
      <c r="A4517" s="161">
        <v>517</v>
      </c>
      <c r="B4517" s="159" t="s">
        <v>2910</v>
      </c>
      <c r="C4517" s="160" t="s">
        <v>2911</v>
      </c>
      <c r="D4517" s="160" t="s">
        <v>618</v>
      </c>
      <c r="E4517" s="545">
        <v>3.37</v>
      </c>
      <c r="F4517" s="161">
        <v>163.19</v>
      </c>
      <c r="G4517" s="191"/>
      <c r="H4517" s="191">
        <v>1.4533333329700001E-3</v>
      </c>
      <c r="I4517" s="191">
        <v>242900</v>
      </c>
      <c r="J4517" s="191"/>
      <c r="K4517" s="191">
        <v>0.21877616239495523</v>
      </c>
      <c r="L4517" s="191"/>
      <c r="M4517" s="191"/>
      <c r="N4517" s="191"/>
      <c r="O4517" s="191"/>
      <c r="P4517" s="191"/>
      <c r="Q4517" s="191">
        <v>4.1190269999999996E-5</v>
      </c>
      <c r="R4517" s="191">
        <v>5.3483578746909358E-7</v>
      </c>
      <c r="S4517" s="191">
        <v>5.9426198607677063E-8</v>
      </c>
      <c r="T4517" s="191">
        <v>2.6741789373454679E-7</v>
      </c>
      <c r="U4517" s="439"/>
      <c r="V4517" s="439"/>
      <c r="W4517" s="178">
        <v>30000</v>
      </c>
      <c r="X4517" s="172">
        <f t="shared" si="10"/>
        <v>0.33333333333333331</v>
      </c>
      <c r="Y4517" s="172">
        <f t="shared" si="10"/>
        <v>0.33333333333333331</v>
      </c>
      <c r="Z4517" s="172">
        <f t="shared" si="10"/>
        <v>0.33333333333333331</v>
      </c>
      <c r="AA4517" s="195"/>
      <c r="AB4517" s="159"/>
    </row>
    <row r="4518" spans="1:28" ht="12.75" customHeight="1" x14ac:dyDescent="0.3">
      <c r="A4518" s="161">
        <v>518</v>
      </c>
      <c r="B4518" s="159" t="s">
        <v>2912</v>
      </c>
      <c r="C4518" s="160" t="s">
        <v>2913</v>
      </c>
      <c r="D4518" s="160" t="s">
        <v>618</v>
      </c>
      <c r="E4518" s="545">
        <v>3.4</v>
      </c>
      <c r="F4518" s="161">
        <v>285.36</v>
      </c>
      <c r="G4518" s="191"/>
      <c r="H4518" s="191">
        <v>2.9733333325900001E-6</v>
      </c>
      <c r="I4518" s="191">
        <v>27.08</v>
      </c>
      <c r="J4518" s="191"/>
      <c r="K4518" s="191">
        <v>1621.8100973589308</v>
      </c>
      <c r="L4518" s="191"/>
      <c r="M4518" s="191"/>
      <c r="N4518" s="191"/>
      <c r="O4518" s="191"/>
      <c r="P4518" s="191"/>
      <c r="Q4518" s="191">
        <v>1.8505957499999999E-5</v>
      </c>
      <c r="R4518" s="191">
        <v>2.1393431498763744E-7</v>
      </c>
      <c r="S4518" s="191">
        <v>2.3770479443070826E-8</v>
      </c>
      <c r="T4518" s="191">
        <v>1.0696715749381872E-7</v>
      </c>
      <c r="U4518" s="439"/>
      <c r="V4518" s="439"/>
      <c r="W4518" s="178">
        <v>30000</v>
      </c>
      <c r="X4518" s="172">
        <f t="shared" si="10"/>
        <v>0.33333333333333331</v>
      </c>
      <c r="Y4518" s="172">
        <f t="shared" si="10"/>
        <v>0.33333333333333331</v>
      </c>
      <c r="Z4518" s="172">
        <f t="shared" si="10"/>
        <v>0.33333333333333331</v>
      </c>
      <c r="AA4518" s="195"/>
      <c r="AB4518" s="159"/>
    </row>
    <row r="4519" spans="1:28" ht="12.75" customHeight="1" x14ac:dyDescent="0.3">
      <c r="A4519" s="161">
        <v>519</v>
      </c>
      <c r="B4519" s="159" t="s">
        <v>2914</v>
      </c>
      <c r="C4519" s="160" t="s">
        <v>2915</v>
      </c>
      <c r="D4519" s="160" t="s">
        <v>618</v>
      </c>
      <c r="E4519" s="545">
        <v>3.42</v>
      </c>
      <c r="F4519" s="161">
        <v>184.11</v>
      </c>
      <c r="G4519" s="191"/>
      <c r="H4519" s="191">
        <v>5.8799999985299995E-3</v>
      </c>
      <c r="I4519" s="191">
        <v>5.6</v>
      </c>
      <c r="J4519" s="191"/>
      <c r="K4519" s="191">
        <v>23.442288153199236</v>
      </c>
      <c r="L4519" s="191"/>
      <c r="M4519" s="191"/>
      <c r="N4519" s="191"/>
      <c r="O4519" s="191"/>
      <c r="P4519" s="191"/>
      <c r="Q4519" s="191">
        <v>4.9542749999999997E-7</v>
      </c>
      <c r="R4519" s="191">
        <v>2.1393431498763744E-7</v>
      </c>
      <c r="S4519" s="191">
        <v>2.3770479443070826E-8</v>
      </c>
      <c r="T4519" s="191">
        <v>1.0696715749381872E-7</v>
      </c>
      <c r="U4519" s="439"/>
      <c r="V4519" s="439"/>
      <c r="W4519" s="178">
        <v>30000</v>
      </c>
      <c r="X4519" s="172">
        <f t="shared" si="10"/>
        <v>0.33333333333333331</v>
      </c>
      <c r="Y4519" s="172">
        <f t="shared" si="10"/>
        <v>0.33333333333333331</v>
      </c>
      <c r="Z4519" s="172">
        <f t="shared" si="10"/>
        <v>0.33333333333333331</v>
      </c>
      <c r="AA4519" s="195"/>
      <c r="AB4519" s="159"/>
    </row>
    <row r="4520" spans="1:28" ht="12.75" customHeight="1" x14ac:dyDescent="0.3">
      <c r="A4520" s="161">
        <v>520</v>
      </c>
      <c r="B4520" s="159" t="s">
        <v>2916</v>
      </c>
      <c r="C4520" s="160" t="s">
        <v>2917</v>
      </c>
      <c r="D4520" s="160" t="s">
        <v>618</v>
      </c>
      <c r="E4520" s="545">
        <v>3.44</v>
      </c>
      <c r="F4520" s="161">
        <v>167.12</v>
      </c>
      <c r="G4520" s="191"/>
      <c r="H4520" s="191">
        <v>3.3733333324899995E-4</v>
      </c>
      <c r="I4520" s="191">
        <v>200</v>
      </c>
      <c r="J4520" s="191"/>
      <c r="K4520" s="191">
        <v>77.624711662869217</v>
      </c>
      <c r="L4520" s="191"/>
      <c r="M4520" s="191"/>
      <c r="N4520" s="191"/>
      <c r="O4520" s="191"/>
      <c r="P4520" s="191"/>
      <c r="Q4520" s="191">
        <v>4.3986000000000002E-7</v>
      </c>
      <c r="R4520" s="191">
        <v>2.1393431498763744E-7</v>
      </c>
      <c r="S4520" s="191">
        <v>2.3770479443070826E-8</v>
      </c>
      <c r="T4520" s="191">
        <v>1.0696715749381872E-7</v>
      </c>
      <c r="U4520" s="439"/>
      <c r="V4520" s="439"/>
      <c r="W4520" s="178">
        <v>30000</v>
      </c>
      <c r="X4520" s="172">
        <f t="shared" si="10"/>
        <v>0.33333333333333331</v>
      </c>
      <c r="Y4520" s="172">
        <f t="shared" si="10"/>
        <v>0.33333333333333331</v>
      </c>
      <c r="Z4520" s="172">
        <f t="shared" si="10"/>
        <v>0.33333333333333331</v>
      </c>
      <c r="AA4520" s="195"/>
      <c r="AB4520" s="159"/>
    </row>
    <row r="4521" spans="1:28" ht="12.75" customHeight="1" x14ac:dyDescent="0.3">
      <c r="A4521" s="161">
        <v>521</v>
      </c>
      <c r="B4521" s="159" t="s">
        <v>2918</v>
      </c>
      <c r="C4521" s="160" t="s">
        <v>1561</v>
      </c>
      <c r="D4521" s="160" t="s">
        <v>618</v>
      </c>
      <c r="E4521" s="545">
        <v>3.45</v>
      </c>
      <c r="F4521" s="161">
        <v>130.1</v>
      </c>
      <c r="G4521" s="191"/>
      <c r="H4521" s="191">
        <v>1.1946666663679998E-2</v>
      </c>
      <c r="I4521" s="191">
        <v>76800</v>
      </c>
      <c r="J4521" s="191"/>
      <c r="K4521" s="191">
        <v>0.45708818961487502</v>
      </c>
      <c r="L4521" s="191"/>
      <c r="M4521" s="191"/>
      <c r="N4521" s="191"/>
      <c r="O4521" s="191"/>
      <c r="P4521" s="191"/>
      <c r="Q4521" s="191">
        <v>1.4797875000000001E-5</v>
      </c>
      <c r="R4521" s="191">
        <v>9.2532143160742838E-7</v>
      </c>
      <c r="S4521" s="191">
        <v>1.0281349240082538E-7</v>
      </c>
      <c r="T4521" s="191">
        <v>4.6266071580371419E-7</v>
      </c>
      <c r="U4521" s="439"/>
      <c r="V4521" s="439"/>
      <c r="W4521" s="178">
        <v>30000</v>
      </c>
      <c r="X4521" s="172">
        <f t="shared" si="10"/>
        <v>0.33333333333333331</v>
      </c>
      <c r="Y4521" s="172">
        <f t="shared" si="10"/>
        <v>0.33333333333333331</v>
      </c>
      <c r="Z4521" s="172">
        <f t="shared" si="10"/>
        <v>0.33333333333333331</v>
      </c>
      <c r="AA4521" s="195"/>
      <c r="AB4521" s="159"/>
    </row>
    <row r="4522" spans="1:28" ht="12.75" customHeight="1" x14ac:dyDescent="0.3">
      <c r="A4522" s="161">
        <v>522</v>
      </c>
      <c r="B4522" s="159" t="s">
        <v>2919</v>
      </c>
      <c r="C4522" s="160" t="s">
        <v>2920</v>
      </c>
      <c r="D4522" s="160" t="s">
        <v>618</v>
      </c>
      <c r="E4522" s="545">
        <v>3.46</v>
      </c>
      <c r="F4522" s="161">
        <v>349.41</v>
      </c>
      <c r="G4522" s="191"/>
      <c r="H4522" s="191">
        <v>3.7866666657200001E-11</v>
      </c>
      <c r="I4522" s="191">
        <v>7560</v>
      </c>
      <c r="J4522" s="191"/>
      <c r="K4522" s="191">
        <v>22.387211385683404</v>
      </c>
      <c r="L4522" s="191"/>
      <c r="M4522" s="191"/>
      <c r="N4522" s="191"/>
      <c r="O4522" s="191"/>
      <c r="P4522" s="191"/>
      <c r="Q4522" s="191">
        <v>7.74914325E-5</v>
      </c>
      <c r="R4522" s="191">
        <v>2.1393431498763744E-7</v>
      </c>
      <c r="S4522" s="191">
        <v>2.3770479443070826E-8</v>
      </c>
      <c r="T4522" s="191">
        <v>1.0696715749381872E-7</v>
      </c>
      <c r="U4522" s="439"/>
      <c r="V4522" s="439"/>
      <c r="W4522" s="178">
        <v>30000</v>
      </c>
      <c r="X4522" s="172">
        <f t="shared" si="10"/>
        <v>0.33333333333333331</v>
      </c>
      <c r="Y4522" s="172">
        <f t="shared" si="10"/>
        <v>0.33333333333333331</v>
      </c>
      <c r="Z4522" s="172">
        <f t="shared" si="10"/>
        <v>0.33333333333333331</v>
      </c>
      <c r="AA4522" s="195"/>
      <c r="AB4522" s="159"/>
    </row>
    <row r="4523" spans="1:28" ht="12.75" customHeight="1" x14ac:dyDescent="0.3">
      <c r="A4523" s="161">
        <v>523</v>
      </c>
      <c r="B4523" s="159" t="s">
        <v>2921</v>
      </c>
      <c r="C4523" s="160" t="s">
        <v>1634</v>
      </c>
      <c r="D4523" s="160" t="s">
        <v>618</v>
      </c>
      <c r="E4523" s="545">
        <v>3.49</v>
      </c>
      <c r="F4523" s="161">
        <v>180.16</v>
      </c>
      <c r="G4523" s="191"/>
      <c r="H4523" s="191">
        <v>3.3599999991599998E-3</v>
      </c>
      <c r="I4523" s="191">
        <v>4600</v>
      </c>
      <c r="J4523" s="191"/>
      <c r="K4523" s="191">
        <v>15.488166189124817</v>
      </c>
      <c r="L4523" s="191"/>
      <c r="M4523" s="191"/>
      <c r="N4523" s="191"/>
      <c r="O4523" s="191"/>
      <c r="P4523" s="191"/>
      <c r="Q4523" s="191">
        <v>9.8006250000000007E-7</v>
      </c>
      <c r="R4523" s="191">
        <v>5.3483578746909358E-7</v>
      </c>
      <c r="S4523" s="191">
        <v>5.9426198607677063E-8</v>
      </c>
      <c r="T4523" s="191">
        <v>2.6741789373454679E-7</v>
      </c>
      <c r="U4523" s="439"/>
      <c r="V4523" s="439"/>
      <c r="W4523" s="178">
        <v>30000</v>
      </c>
      <c r="X4523" s="172">
        <f t="shared" si="10"/>
        <v>0.33333333333333331</v>
      </c>
      <c r="Y4523" s="172">
        <f t="shared" si="10"/>
        <v>0.33333333333333331</v>
      </c>
      <c r="Z4523" s="172">
        <f t="shared" si="10"/>
        <v>0.33333333333333331</v>
      </c>
      <c r="AA4523" s="195"/>
      <c r="AB4523" s="159"/>
    </row>
    <row r="4524" spans="1:28" ht="12.75" customHeight="1" x14ac:dyDescent="0.3">
      <c r="A4524" s="161">
        <v>524</v>
      </c>
      <c r="B4524" s="159" t="s">
        <v>2922</v>
      </c>
      <c r="C4524" s="160" t="s">
        <v>2923</v>
      </c>
      <c r="D4524" s="160" t="s">
        <v>618</v>
      </c>
      <c r="E4524" s="545">
        <v>3.59</v>
      </c>
      <c r="F4524" s="161">
        <v>150.25</v>
      </c>
      <c r="G4524" s="191"/>
      <c r="H4524" s="191">
        <v>15.066666662899999</v>
      </c>
      <c r="I4524" s="191">
        <v>1993</v>
      </c>
      <c r="J4524" s="191"/>
      <c r="K4524" s="191">
        <v>70.794578438413865</v>
      </c>
      <c r="L4524" s="191"/>
      <c r="M4524" s="191"/>
      <c r="N4524" s="191"/>
      <c r="O4524" s="191"/>
      <c r="P4524" s="191"/>
      <c r="Q4524" s="191">
        <v>3.3633577499999998E-5</v>
      </c>
      <c r="R4524" s="191">
        <v>5.3483578746909358E-7</v>
      </c>
      <c r="S4524" s="191">
        <v>5.9426198607677063E-8</v>
      </c>
      <c r="T4524" s="191">
        <v>2.6741789373454679E-7</v>
      </c>
      <c r="U4524" s="439"/>
      <c r="V4524" s="439"/>
      <c r="W4524" s="178">
        <v>30000</v>
      </c>
      <c r="X4524" s="172">
        <f t="shared" si="10"/>
        <v>0.33333333333333331</v>
      </c>
      <c r="Y4524" s="172">
        <f t="shared" si="10"/>
        <v>0.33333333333333331</v>
      </c>
      <c r="Z4524" s="172">
        <f t="shared" si="10"/>
        <v>0.33333333333333331</v>
      </c>
      <c r="AA4524" s="195"/>
      <c r="AB4524" s="159"/>
    </row>
    <row r="4525" spans="1:28" ht="12.75" customHeight="1" x14ac:dyDescent="0.3">
      <c r="A4525" s="161">
        <v>525</v>
      </c>
      <c r="B4525" s="159" t="s">
        <v>2924</v>
      </c>
      <c r="C4525" s="160" t="s">
        <v>2925</v>
      </c>
      <c r="D4525" s="160" t="s">
        <v>618</v>
      </c>
      <c r="E4525" s="545">
        <v>3.64</v>
      </c>
      <c r="F4525" s="161">
        <v>186.17</v>
      </c>
      <c r="G4525" s="191"/>
      <c r="H4525" s="191">
        <v>2.0933333328099999E-8</v>
      </c>
      <c r="I4525" s="191">
        <v>100000</v>
      </c>
      <c r="J4525" s="191"/>
      <c r="K4525" s="191">
        <v>81.283051616409963</v>
      </c>
      <c r="L4525" s="191"/>
      <c r="M4525" s="191"/>
      <c r="N4525" s="191"/>
      <c r="O4525" s="191"/>
      <c r="P4525" s="191"/>
      <c r="Q4525" s="191">
        <v>1.5249749999999999E-5</v>
      </c>
      <c r="R4525" s="191">
        <v>9.2532143160742838E-7</v>
      </c>
      <c r="S4525" s="191">
        <v>1.0281349240082538E-7</v>
      </c>
      <c r="T4525" s="191">
        <v>1.1460766874337719E-6</v>
      </c>
      <c r="U4525" s="439"/>
      <c r="V4525" s="439"/>
      <c r="W4525" s="178">
        <v>30000</v>
      </c>
      <c r="X4525" s="172">
        <f t="shared" si="10"/>
        <v>0.33333333333333331</v>
      </c>
      <c r="Y4525" s="172">
        <f t="shared" si="10"/>
        <v>0.33333333333333331</v>
      </c>
      <c r="Z4525" s="172">
        <f t="shared" si="10"/>
        <v>0.33333333333333331</v>
      </c>
      <c r="AA4525" s="195"/>
      <c r="AB4525" s="159"/>
    </row>
    <row r="4526" spans="1:28" ht="12.75" customHeight="1" x14ac:dyDescent="0.3">
      <c r="A4526" s="161">
        <v>526</v>
      </c>
      <c r="B4526" s="159" t="s">
        <v>2926</v>
      </c>
      <c r="C4526" s="160" t="s">
        <v>2927</v>
      </c>
      <c r="D4526" s="160" t="s">
        <v>618</v>
      </c>
      <c r="E4526" s="545">
        <v>3.68</v>
      </c>
      <c r="F4526" s="161">
        <v>214.65</v>
      </c>
      <c r="G4526" s="191"/>
      <c r="H4526" s="191">
        <v>3.9999999989999999E-4</v>
      </c>
      <c r="I4526" s="191">
        <v>860</v>
      </c>
      <c r="J4526" s="191"/>
      <c r="K4526" s="191">
        <v>1584.8931924611156</v>
      </c>
      <c r="L4526" s="191"/>
      <c r="M4526" s="191"/>
      <c r="N4526" s="191"/>
      <c r="O4526" s="191"/>
      <c r="P4526" s="191"/>
      <c r="Q4526" s="191">
        <v>1.304655E-5</v>
      </c>
      <c r="R4526" s="191">
        <v>2.1393431498763744E-7</v>
      </c>
      <c r="S4526" s="191">
        <v>2.3770479443070826E-8</v>
      </c>
      <c r="T4526" s="191">
        <v>3.8202556247792398E-7</v>
      </c>
      <c r="U4526" s="439"/>
      <c r="V4526" s="439"/>
      <c r="W4526" s="178">
        <v>30000</v>
      </c>
      <c r="X4526" s="172">
        <f t="shared" si="10"/>
        <v>0.33333333333333331</v>
      </c>
      <c r="Y4526" s="172">
        <f t="shared" si="10"/>
        <v>0.33333333333333331</v>
      </c>
      <c r="Z4526" s="172">
        <f t="shared" si="10"/>
        <v>0.33333333333333331</v>
      </c>
      <c r="AA4526" s="195"/>
      <c r="AB4526" s="159"/>
    </row>
    <row r="4527" spans="1:28" ht="12.75" customHeight="1" x14ac:dyDescent="0.3">
      <c r="A4527" s="161">
        <v>527</v>
      </c>
      <c r="B4527" s="159" t="s">
        <v>2928</v>
      </c>
      <c r="C4527" s="160" t="s">
        <v>2929</v>
      </c>
      <c r="D4527" s="160" t="s">
        <v>618</v>
      </c>
      <c r="E4527" s="545">
        <v>3.72</v>
      </c>
      <c r="F4527" s="161">
        <v>289.16000000000003</v>
      </c>
      <c r="G4527" s="191"/>
      <c r="H4527" s="191">
        <v>8.3066666645899994E-4</v>
      </c>
      <c r="I4527" s="191">
        <v>15.08</v>
      </c>
      <c r="J4527" s="191"/>
      <c r="K4527" s="191">
        <v>8709.6358995608189</v>
      </c>
      <c r="L4527" s="191"/>
      <c r="M4527" s="191"/>
      <c r="N4527" s="191"/>
      <c r="O4527" s="191"/>
      <c r="P4527" s="191"/>
      <c r="Q4527" s="191">
        <v>2.052528E-5</v>
      </c>
      <c r="R4527" s="191">
        <v>1.3370894686727339E-7</v>
      </c>
      <c r="S4527" s="191">
        <v>1.4856549651919266E-8</v>
      </c>
      <c r="T4527" s="191">
        <v>6.6854473433636697E-8</v>
      </c>
      <c r="U4527" s="439"/>
      <c r="V4527" s="439"/>
      <c r="W4527" s="178">
        <v>30000</v>
      </c>
      <c r="X4527" s="172">
        <f t="shared" si="10"/>
        <v>0.33333333333333331</v>
      </c>
      <c r="Y4527" s="172">
        <f t="shared" si="10"/>
        <v>0.33333333333333331</v>
      </c>
      <c r="Z4527" s="172">
        <f t="shared" si="10"/>
        <v>0.33333333333333331</v>
      </c>
      <c r="AA4527" s="195"/>
      <c r="AB4527" s="159"/>
    </row>
    <row r="4528" spans="1:28" ht="12.75" customHeight="1" x14ac:dyDescent="0.3">
      <c r="A4528" s="161">
        <v>528</v>
      </c>
      <c r="B4528" s="159" t="s">
        <v>2930</v>
      </c>
      <c r="C4528" s="160" t="s">
        <v>2931</v>
      </c>
      <c r="D4528" s="160" t="s">
        <v>618</v>
      </c>
      <c r="E4528" s="545">
        <v>3.75</v>
      </c>
      <c r="F4528" s="161">
        <v>46.03</v>
      </c>
      <c r="G4528" s="191"/>
      <c r="H4528" s="191">
        <v>5679.9999985799996</v>
      </c>
      <c r="I4528" s="191">
        <v>1000000</v>
      </c>
      <c r="J4528" s="191"/>
      <c r="K4528" s="191">
        <v>0.28840315031266056</v>
      </c>
      <c r="L4528" s="191"/>
      <c r="M4528" s="191"/>
      <c r="N4528" s="191"/>
      <c r="O4528" s="191"/>
      <c r="P4528" s="191"/>
      <c r="Q4528" s="191">
        <v>3.375E-7</v>
      </c>
      <c r="R4528" s="191">
        <v>9.2532143160742838E-7</v>
      </c>
      <c r="S4528" s="191">
        <v>1.0281349240082538E-7</v>
      </c>
      <c r="T4528" s="191">
        <v>5.7303834371688613E-6</v>
      </c>
      <c r="U4528" s="439"/>
      <c r="V4528" s="439"/>
      <c r="W4528" s="178">
        <v>30000</v>
      </c>
      <c r="X4528" s="172">
        <f t="shared" si="10"/>
        <v>0.33333333333333331</v>
      </c>
      <c r="Y4528" s="172">
        <f t="shared" si="10"/>
        <v>0.33333333333333331</v>
      </c>
      <c r="Z4528" s="172">
        <f t="shared" si="10"/>
        <v>0.33333333333333331</v>
      </c>
      <c r="AA4528" s="195"/>
      <c r="AB4528" s="159"/>
    </row>
    <row r="4529" spans="1:28" ht="12.75" customHeight="1" x14ac:dyDescent="0.3">
      <c r="A4529" s="161">
        <v>529</v>
      </c>
      <c r="B4529" s="159" t="s">
        <v>2932</v>
      </c>
      <c r="C4529" s="160" t="s">
        <v>2933</v>
      </c>
      <c r="D4529" s="160" t="s">
        <v>618</v>
      </c>
      <c r="E4529" s="545">
        <v>3.78</v>
      </c>
      <c r="F4529" s="161">
        <v>157.56</v>
      </c>
      <c r="G4529" s="191"/>
      <c r="H4529" s="191">
        <v>0.15999999995999997</v>
      </c>
      <c r="I4529" s="191">
        <v>3676</v>
      </c>
      <c r="J4529" s="191"/>
      <c r="K4529" s="191">
        <v>31.622776601683803</v>
      </c>
      <c r="L4529" s="191"/>
      <c r="M4529" s="191"/>
      <c r="N4529" s="191"/>
      <c r="O4529" s="191"/>
      <c r="P4529" s="191"/>
      <c r="Q4529" s="191">
        <v>4.432575E-7</v>
      </c>
      <c r="R4529" s="191">
        <v>2.1393431498763744E-7</v>
      </c>
      <c r="S4529" s="191">
        <v>2.3770479443070826E-8</v>
      </c>
      <c r="T4529" s="191">
        <v>1.0696715749381872E-7</v>
      </c>
      <c r="U4529" s="439"/>
      <c r="V4529" s="439"/>
      <c r="W4529" s="178">
        <v>30000</v>
      </c>
      <c r="X4529" s="172">
        <f t="shared" si="10"/>
        <v>0.33333333333333331</v>
      </c>
      <c r="Y4529" s="172">
        <f t="shared" si="10"/>
        <v>0.33333333333333331</v>
      </c>
      <c r="Z4529" s="172">
        <f t="shared" si="10"/>
        <v>0.33333333333333331</v>
      </c>
      <c r="AA4529" s="195"/>
      <c r="AB4529" s="159"/>
    </row>
    <row r="4530" spans="1:28" ht="12.75" customHeight="1" x14ac:dyDescent="0.3">
      <c r="A4530" s="161">
        <v>530</v>
      </c>
      <c r="B4530" s="159" t="s">
        <v>2934</v>
      </c>
      <c r="C4530" s="160" t="s">
        <v>2935</v>
      </c>
      <c r="D4530" s="160" t="s">
        <v>618</v>
      </c>
      <c r="E4530" s="545">
        <v>3.85</v>
      </c>
      <c r="F4530" s="161">
        <v>182.14</v>
      </c>
      <c r="G4530" s="191"/>
      <c r="H4530" s="191">
        <v>2.0133333328299999E-5</v>
      </c>
      <c r="I4530" s="191">
        <v>1257</v>
      </c>
      <c r="J4530" s="191"/>
      <c r="K4530" s="191">
        <v>81.283051616409963</v>
      </c>
      <c r="L4530" s="191"/>
      <c r="M4530" s="191"/>
      <c r="N4530" s="191"/>
      <c r="O4530" s="191"/>
      <c r="P4530" s="191"/>
      <c r="Q4530" s="191">
        <v>3.0020474999999997E-6</v>
      </c>
      <c r="R4530" s="191">
        <v>2.1393431498763744E-7</v>
      </c>
      <c r="S4530" s="191">
        <v>2.3770479443070826E-8</v>
      </c>
      <c r="T4530" s="191">
        <v>1.0696715749381872E-7</v>
      </c>
      <c r="U4530" s="439"/>
      <c r="V4530" s="439"/>
      <c r="W4530" s="178">
        <v>30000</v>
      </c>
      <c r="X4530" s="172">
        <f t="shared" si="10"/>
        <v>0.33333333333333331</v>
      </c>
      <c r="Y4530" s="172">
        <f t="shared" si="10"/>
        <v>0.33333333333333331</v>
      </c>
      <c r="Z4530" s="172">
        <f t="shared" si="10"/>
        <v>0.33333333333333331</v>
      </c>
      <c r="AA4530" s="195"/>
      <c r="AB4530" s="159"/>
    </row>
    <row r="4531" spans="1:28" ht="12.75" customHeight="1" x14ac:dyDescent="0.3">
      <c r="A4531" s="161">
        <v>531</v>
      </c>
      <c r="B4531" s="159" t="s">
        <v>2938</v>
      </c>
      <c r="C4531" s="160" t="s">
        <v>2939</v>
      </c>
      <c r="D4531" s="160" t="s">
        <v>618</v>
      </c>
      <c r="E4531" s="545">
        <v>3.86</v>
      </c>
      <c r="F4531" s="161">
        <v>403.82</v>
      </c>
      <c r="G4531" s="191"/>
      <c r="H4531" s="191">
        <v>1.0079999997479999E-12</v>
      </c>
      <c r="I4531" s="191">
        <v>0.98719999999999997</v>
      </c>
      <c r="J4531" s="191"/>
      <c r="K4531" s="191">
        <v>54954.087385762505</v>
      </c>
      <c r="L4531" s="191"/>
      <c r="M4531" s="191"/>
      <c r="N4531" s="191"/>
      <c r="O4531" s="191"/>
      <c r="P4531" s="191"/>
      <c r="Q4531" s="191">
        <v>1.8622394999999999E-5</v>
      </c>
      <c r="R4531" s="191">
        <v>2.1393431498763744E-7</v>
      </c>
      <c r="S4531" s="191">
        <v>2.3770479443070826E-8</v>
      </c>
      <c r="T4531" s="191">
        <v>1.0696715749381872E-7</v>
      </c>
      <c r="U4531" s="439"/>
      <c r="V4531" s="439"/>
      <c r="W4531" s="178">
        <v>30000</v>
      </c>
      <c r="X4531" s="172">
        <f t="shared" si="10"/>
        <v>0.33333333333333331</v>
      </c>
      <c r="Y4531" s="172">
        <f t="shared" si="10"/>
        <v>0.33333333333333331</v>
      </c>
      <c r="Z4531" s="172">
        <f t="shared" si="10"/>
        <v>0.33333333333333331</v>
      </c>
      <c r="AA4531" s="195"/>
      <c r="AB4531" s="159"/>
    </row>
    <row r="4532" spans="1:28" ht="12.75" customHeight="1" x14ac:dyDescent="0.3">
      <c r="A4532" s="161">
        <v>532</v>
      </c>
      <c r="B4532" s="159" t="s">
        <v>2936</v>
      </c>
      <c r="C4532" s="160" t="s">
        <v>2937</v>
      </c>
      <c r="D4532" s="160" t="s">
        <v>618</v>
      </c>
      <c r="E4532" s="545">
        <v>3.86</v>
      </c>
      <c r="F4532" s="161">
        <v>276.92</v>
      </c>
      <c r="G4532" s="191"/>
      <c r="H4532" s="191">
        <v>6.2933333317599997E-6</v>
      </c>
      <c r="I4532" s="191">
        <v>130</v>
      </c>
      <c r="J4532" s="191"/>
      <c r="K4532" s="191">
        <v>2454.7089156850338</v>
      </c>
      <c r="L4532" s="191"/>
      <c r="M4532" s="191"/>
      <c r="N4532" s="191"/>
      <c r="O4532" s="191"/>
      <c r="P4532" s="191"/>
      <c r="Q4532" s="191">
        <v>1.5722250000000002E-7</v>
      </c>
      <c r="R4532" s="191">
        <v>2.1393431498763744E-7</v>
      </c>
      <c r="S4532" s="191">
        <v>2.3770479443070826E-8</v>
      </c>
      <c r="T4532" s="191">
        <v>1.0028171015045505E-6</v>
      </c>
      <c r="U4532" s="439"/>
      <c r="V4532" s="439"/>
      <c r="W4532" s="178">
        <v>30000</v>
      </c>
      <c r="X4532" s="172">
        <f t="shared" si="10"/>
        <v>0.33333333333333331</v>
      </c>
      <c r="Y4532" s="172">
        <f t="shared" si="10"/>
        <v>0.33333333333333331</v>
      </c>
      <c r="Z4532" s="172">
        <f t="shared" si="10"/>
        <v>0.33333333333333331</v>
      </c>
      <c r="AA4532" s="195"/>
      <c r="AB4532" s="159"/>
    </row>
    <row r="4533" spans="1:28" ht="12.75" customHeight="1" x14ac:dyDescent="0.3">
      <c r="A4533" s="161">
        <v>533</v>
      </c>
      <c r="B4533" s="159" t="s">
        <v>2940</v>
      </c>
      <c r="C4533" s="160" t="s">
        <v>2941</v>
      </c>
      <c r="D4533" s="160" t="s">
        <v>618</v>
      </c>
      <c r="E4533" s="545">
        <v>3.92</v>
      </c>
      <c r="F4533" s="161">
        <v>214.22</v>
      </c>
      <c r="G4533" s="191"/>
      <c r="H4533" s="191">
        <v>4.2133333322799996E-4</v>
      </c>
      <c r="I4533" s="191">
        <v>16.91</v>
      </c>
      <c r="J4533" s="191"/>
      <c r="K4533" s="191">
        <v>8128.3051616410066</v>
      </c>
      <c r="L4533" s="191"/>
      <c r="M4533" s="191"/>
      <c r="N4533" s="191"/>
      <c r="O4533" s="191"/>
      <c r="P4533" s="191"/>
      <c r="Q4533" s="191">
        <v>5.0870474999999997E-6</v>
      </c>
      <c r="R4533" s="191">
        <v>5.3483578746909358E-7</v>
      </c>
      <c r="S4533" s="191">
        <v>5.9426198607677063E-8</v>
      </c>
      <c r="T4533" s="191">
        <v>1.8657062353573035E-6</v>
      </c>
      <c r="U4533" s="439"/>
      <c r="V4533" s="439"/>
      <c r="W4533" s="178">
        <v>30000</v>
      </c>
      <c r="X4533" s="172">
        <f t="shared" si="10"/>
        <v>0.33333333333333331</v>
      </c>
      <c r="Y4533" s="172">
        <f t="shared" si="10"/>
        <v>0.33333333333333331</v>
      </c>
      <c r="Z4533" s="172">
        <f t="shared" si="10"/>
        <v>0.33333333333333331</v>
      </c>
      <c r="AA4533" s="195"/>
      <c r="AB4533" s="159"/>
    </row>
    <row r="4534" spans="1:28" ht="12.75" customHeight="1" x14ac:dyDescent="0.3">
      <c r="A4534" s="161">
        <v>534</v>
      </c>
      <c r="B4534" s="159" t="s">
        <v>2944</v>
      </c>
      <c r="C4534" s="160" t="s">
        <v>2945</v>
      </c>
      <c r="D4534" s="160" t="s">
        <v>618</v>
      </c>
      <c r="E4534" s="545">
        <v>3.97</v>
      </c>
      <c r="F4534" s="161">
        <v>184.11</v>
      </c>
      <c r="G4534" s="191"/>
      <c r="H4534" s="191">
        <v>5.8799999985299995E-3</v>
      </c>
      <c r="I4534" s="191">
        <v>5.6</v>
      </c>
      <c r="J4534" s="191"/>
      <c r="K4534" s="191">
        <v>23.442288153199236</v>
      </c>
      <c r="L4534" s="191"/>
      <c r="M4534" s="191"/>
      <c r="N4534" s="191"/>
      <c r="O4534" s="191"/>
      <c r="P4534" s="191"/>
      <c r="Q4534" s="191">
        <v>4.9542749999999997E-7</v>
      </c>
      <c r="R4534" s="191">
        <v>2.1393431498763744E-7</v>
      </c>
      <c r="S4534" s="191">
        <v>2.3770479443070826E-8</v>
      </c>
      <c r="T4534" s="191">
        <v>1.0696715749381872E-7</v>
      </c>
      <c r="U4534" s="439"/>
      <c r="V4534" s="439"/>
      <c r="W4534" s="178">
        <v>30000</v>
      </c>
      <c r="X4534" s="172">
        <f t="shared" si="10"/>
        <v>0.33333333333333331</v>
      </c>
      <c r="Y4534" s="172">
        <f t="shared" si="10"/>
        <v>0.33333333333333331</v>
      </c>
      <c r="Z4534" s="172">
        <f t="shared" si="10"/>
        <v>0.33333333333333331</v>
      </c>
      <c r="AA4534" s="195"/>
      <c r="AB4534" s="159"/>
    </row>
    <row r="4535" spans="1:28" ht="12.75" customHeight="1" x14ac:dyDescent="0.3">
      <c r="A4535" s="161">
        <v>535</v>
      </c>
      <c r="B4535" s="159" t="s">
        <v>2942</v>
      </c>
      <c r="C4535" s="160" t="s">
        <v>2943</v>
      </c>
      <c r="D4535" s="160" t="s">
        <v>618</v>
      </c>
      <c r="E4535" s="545">
        <v>3.97</v>
      </c>
      <c r="F4535" s="161">
        <v>256.47000000000003</v>
      </c>
      <c r="G4535" s="191"/>
      <c r="H4535" s="191">
        <v>1.67999999958E-4</v>
      </c>
      <c r="I4535" s="191">
        <v>440</v>
      </c>
      <c r="J4535" s="191"/>
      <c r="K4535" s="191">
        <v>338.84415613920248</v>
      </c>
      <c r="L4535" s="191"/>
      <c r="M4535" s="191"/>
      <c r="N4535" s="191"/>
      <c r="O4535" s="191"/>
      <c r="P4535" s="191"/>
      <c r="Q4535" s="191">
        <v>3.6294675E-6</v>
      </c>
      <c r="R4535" s="191">
        <v>1.3370894686727339E-7</v>
      </c>
      <c r="S4535" s="191">
        <v>1.4856549651919266E-8</v>
      </c>
      <c r="T4535" s="191">
        <v>2.6741789373454679E-7</v>
      </c>
      <c r="U4535" s="439"/>
      <c r="V4535" s="439"/>
      <c r="W4535" s="178">
        <v>30000</v>
      </c>
      <c r="X4535" s="172">
        <f t="shared" si="10"/>
        <v>0.33333333333333331</v>
      </c>
      <c r="Y4535" s="172">
        <f t="shared" si="10"/>
        <v>0.33333333333333331</v>
      </c>
      <c r="Z4535" s="172">
        <f t="shared" si="10"/>
        <v>0.33333333333333331</v>
      </c>
      <c r="AA4535" s="195"/>
      <c r="AB4535" s="159"/>
    </row>
    <row r="4536" spans="1:28" ht="12.75" customHeight="1" x14ac:dyDescent="0.3">
      <c r="A4536" s="161">
        <v>536</v>
      </c>
      <c r="B4536" s="159" t="s">
        <v>2946</v>
      </c>
      <c r="C4536" s="160" t="s">
        <v>2947</v>
      </c>
      <c r="D4536" s="160" t="s">
        <v>618</v>
      </c>
      <c r="E4536" s="545">
        <v>3.99</v>
      </c>
      <c r="F4536" s="161">
        <v>108.53</v>
      </c>
      <c r="G4536" s="191"/>
      <c r="H4536" s="191">
        <v>263.99999993399996</v>
      </c>
      <c r="I4536" s="191">
        <v>122000</v>
      </c>
      <c r="J4536" s="191"/>
      <c r="K4536" s="191">
        <v>2.5703957827688639</v>
      </c>
      <c r="L4536" s="191"/>
      <c r="M4536" s="191"/>
      <c r="N4536" s="191"/>
      <c r="O4536" s="191"/>
      <c r="P4536" s="191"/>
      <c r="Q4536" s="191">
        <v>9.0654750000000006E-7</v>
      </c>
      <c r="R4536" s="191">
        <v>5.3483578746909358E-7</v>
      </c>
      <c r="S4536" s="191">
        <v>5.9426198607677063E-8</v>
      </c>
      <c r="T4536" s="191">
        <v>2.6741789373454679E-7</v>
      </c>
      <c r="U4536" s="439"/>
      <c r="V4536" s="439"/>
      <c r="W4536" s="178">
        <v>30000</v>
      </c>
      <c r="X4536" s="172">
        <f t="shared" si="10"/>
        <v>0.33333333333333331</v>
      </c>
      <c r="Y4536" s="172">
        <f t="shared" si="10"/>
        <v>0.33333333333333331</v>
      </c>
      <c r="Z4536" s="172">
        <f t="shared" si="10"/>
        <v>0.33333333333333331</v>
      </c>
      <c r="AA4536" s="195"/>
      <c r="AB4536" s="159"/>
    </row>
    <row r="4537" spans="1:28" ht="12.75" customHeight="1" x14ac:dyDescent="0.3">
      <c r="A4537" s="161">
        <v>537</v>
      </c>
      <c r="B4537" s="159" t="s">
        <v>2948</v>
      </c>
      <c r="C4537" s="160" t="s">
        <v>2949</v>
      </c>
      <c r="D4537" s="160" t="s">
        <v>618</v>
      </c>
      <c r="E4537" s="545">
        <v>4</v>
      </c>
      <c r="F4537" s="161">
        <v>346.38</v>
      </c>
      <c r="G4537" s="191"/>
      <c r="H4537" s="191">
        <v>1.7866666662200002E-11</v>
      </c>
      <c r="I4537" s="191">
        <v>5000</v>
      </c>
      <c r="J4537" s="191"/>
      <c r="K4537" s="191">
        <v>1.7378008287493756</v>
      </c>
      <c r="L4537" s="191"/>
      <c r="M4537" s="191"/>
      <c r="N4537" s="191"/>
      <c r="O4537" s="191"/>
      <c r="P4537" s="191"/>
      <c r="Q4537" s="191">
        <v>9.8718509999999994E-5</v>
      </c>
      <c r="R4537" s="191">
        <v>1.3370894686727339E-7</v>
      </c>
      <c r="S4537" s="191">
        <v>1.4856549651919266E-8</v>
      </c>
      <c r="T4537" s="191">
        <v>2.3595696505989421E-6</v>
      </c>
      <c r="U4537" s="439"/>
      <c r="V4537" s="439"/>
      <c r="W4537" s="178">
        <v>30000</v>
      </c>
      <c r="X4537" s="172">
        <f t="shared" si="10"/>
        <v>0.33333333333333331</v>
      </c>
      <c r="Y4537" s="172">
        <f t="shared" si="10"/>
        <v>0.33333333333333331</v>
      </c>
      <c r="Z4537" s="172">
        <f t="shared" si="10"/>
        <v>0.33333333333333331</v>
      </c>
      <c r="AA4537" s="195"/>
      <c r="AB4537" s="159"/>
    </row>
    <row r="4538" spans="1:28" ht="12.75" customHeight="1" x14ac:dyDescent="0.3">
      <c r="A4538" s="161">
        <v>538</v>
      </c>
      <c r="B4538" s="159" t="s">
        <v>2950</v>
      </c>
      <c r="C4538" s="160" t="s">
        <v>2951</v>
      </c>
      <c r="D4538" s="160" t="s">
        <v>618</v>
      </c>
      <c r="E4538" s="545">
        <v>4.04</v>
      </c>
      <c r="F4538" s="161">
        <v>128.09</v>
      </c>
      <c r="G4538" s="191"/>
      <c r="H4538" s="191">
        <v>1.9999999994999997E-6</v>
      </c>
      <c r="I4538" s="191">
        <v>1.9E-2</v>
      </c>
      <c r="J4538" s="191"/>
      <c r="K4538" s="191">
        <v>3.3884415613920249E-2</v>
      </c>
      <c r="L4538" s="191"/>
      <c r="M4538" s="191"/>
      <c r="N4538" s="191"/>
      <c r="O4538" s="191"/>
      <c r="P4538" s="191"/>
      <c r="Q4538" s="191">
        <v>1.8940275000000002E-6</v>
      </c>
      <c r="R4538" s="191">
        <v>5.3483578746909358E-7</v>
      </c>
      <c r="S4538" s="191">
        <v>5.9426198607677063E-8</v>
      </c>
      <c r="T4538" s="191">
        <v>2.6741789373454679E-7</v>
      </c>
      <c r="U4538" s="439"/>
      <c r="V4538" s="439"/>
      <c r="W4538" s="178">
        <v>30000</v>
      </c>
      <c r="X4538" s="172">
        <f t="shared" si="10"/>
        <v>0.33333333333333331</v>
      </c>
      <c r="Y4538" s="172">
        <f t="shared" si="10"/>
        <v>0.33333333333333331</v>
      </c>
      <c r="Z4538" s="172">
        <f t="shared" si="10"/>
        <v>0.33333333333333331</v>
      </c>
      <c r="AA4538" s="195"/>
      <c r="AB4538" s="159"/>
    </row>
    <row r="4539" spans="1:28" ht="12.75" customHeight="1" x14ac:dyDescent="0.3">
      <c r="A4539" s="161">
        <v>539</v>
      </c>
      <c r="B4539" s="159" t="s">
        <v>2952</v>
      </c>
      <c r="C4539" s="160" t="s">
        <v>2953</v>
      </c>
      <c r="D4539" s="160" t="s">
        <v>618</v>
      </c>
      <c r="E4539" s="545">
        <v>4.0599999999999996</v>
      </c>
      <c r="F4539" s="161">
        <v>150.19</v>
      </c>
      <c r="G4539" s="191"/>
      <c r="H4539" s="191">
        <v>1.190666666369E-2</v>
      </c>
      <c r="I4539" s="191">
        <v>216300</v>
      </c>
      <c r="J4539" s="191"/>
      <c r="K4539" s="191">
        <v>0.85113803820237643</v>
      </c>
      <c r="L4539" s="191"/>
      <c r="M4539" s="191"/>
      <c r="N4539" s="191"/>
      <c r="O4539" s="191"/>
      <c r="P4539" s="191"/>
      <c r="Q4539" s="191">
        <v>1.5043814999999999E-5</v>
      </c>
      <c r="R4539" s="191">
        <v>9.2532143160742838E-7</v>
      </c>
      <c r="S4539" s="191">
        <v>1.0281349240082538E-7</v>
      </c>
      <c r="T4539" s="191">
        <v>4.6266071580371419E-7</v>
      </c>
      <c r="U4539" s="439"/>
      <c r="V4539" s="439"/>
      <c r="W4539" s="178">
        <v>30000</v>
      </c>
      <c r="X4539" s="172">
        <f t="shared" si="10"/>
        <v>0.33333333333333331</v>
      </c>
      <c r="Y4539" s="172">
        <f t="shared" si="10"/>
        <v>0.33333333333333331</v>
      </c>
      <c r="Z4539" s="172">
        <f t="shared" si="10"/>
        <v>0.33333333333333331</v>
      </c>
      <c r="AA4539" s="195"/>
      <c r="AB4539" s="159"/>
    </row>
    <row r="4540" spans="1:28" ht="12.75" customHeight="1" x14ac:dyDescent="0.3">
      <c r="A4540" s="161">
        <v>540</v>
      </c>
      <c r="B4540" s="159" t="s">
        <v>2954</v>
      </c>
      <c r="C4540" s="160" t="s">
        <v>2955</v>
      </c>
      <c r="D4540" s="160" t="s">
        <v>618</v>
      </c>
      <c r="E4540" s="545">
        <v>4.08</v>
      </c>
      <c r="F4540" s="161">
        <v>411.48</v>
      </c>
      <c r="G4540" s="191"/>
      <c r="H4540" s="191">
        <v>2.5466666660299999E-14</v>
      </c>
      <c r="I4540" s="191">
        <v>0.46810000000000002</v>
      </c>
      <c r="J4540" s="191"/>
      <c r="K4540" s="191">
        <v>70794.578438413781</v>
      </c>
      <c r="L4540" s="191"/>
      <c r="M4540" s="191"/>
      <c r="N4540" s="191"/>
      <c r="O4540" s="191"/>
      <c r="P4540" s="191"/>
      <c r="Q4540" s="191">
        <v>1.825599825E-4</v>
      </c>
      <c r="R4540" s="191">
        <v>2.1393431498763744E-7</v>
      </c>
      <c r="S4540" s="191">
        <v>2.3770479443070826E-8</v>
      </c>
      <c r="T4540" s="191">
        <v>1.0696715749381872E-7</v>
      </c>
      <c r="U4540" s="439"/>
      <c r="V4540" s="439"/>
      <c r="W4540" s="178">
        <v>30000</v>
      </c>
      <c r="X4540" s="172">
        <f t="shared" si="10"/>
        <v>0.33333333333333331</v>
      </c>
      <c r="Y4540" s="172">
        <f t="shared" si="10"/>
        <v>0.33333333333333331</v>
      </c>
      <c r="Z4540" s="172">
        <f t="shared" si="10"/>
        <v>0.33333333333333331</v>
      </c>
      <c r="AA4540" s="195"/>
      <c r="AB4540" s="159"/>
    </row>
    <row r="4541" spans="1:28" ht="12.75" customHeight="1" x14ac:dyDescent="0.3">
      <c r="A4541" s="161">
        <v>541</v>
      </c>
      <c r="B4541" s="159" t="s">
        <v>2956</v>
      </c>
      <c r="C4541" s="160" t="s">
        <v>2957</v>
      </c>
      <c r="D4541" s="160" t="s">
        <v>618</v>
      </c>
      <c r="E4541" s="545">
        <v>4.08</v>
      </c>
      <c r="F4541" s="161">
        <v>351.4</v>
      </c>
      <c r="G4541" s="191"/>
      <c r="H4541" s="191">
        <v>1.4266666663099999E-13</v>
      </c>
      <c r="I4541" s="191">
        <v>7.1520000000000001</v>
      </c>
      <c r="J4541" s="191"/>
      <c r="K4541" s="191">
        <v>2691.5348039269184</v>
      </c>
      <c r="L4541" s="191"/>
      <c r="M4541" s="191"/>
      <c r="N4541" s="191"/>
      <c r="O4541" s="191"/>
      <c r="P4541" s="191"/>
      <c r="Q4541" s="191">
        <v>2.3265397500000002E-5</v>
      </c>
      <c r="R4541" s="191">
        <v>2.1393431498763744E-7</v>
      </c>
      <c r="S4541" s="191">
        <v>2.3770479443070826E-8</v>
      </c>
      <c r="T4541" s="191">
        <v>1.0696715749381872E-7</v>
      </c>
      <c r="U4541" s="439"/>
      <c r="V4541" s="439"/>
      <c r="W4541" s="178">
        <v>30000</v>
      </c>
      <c r="X4541" s="172">
        <f t="shared" si="10"/>
        <v>0.33333333333333331</v>
      </c>
      <c r="Y4541" s="172">
        <f t="shared" si="10"/>
        <v>0.33333333333333331</v>
      </c>
      <c r="Z4541" s="172">
        <f t="shared" si="10"/>
        <v>0.33333333333333331</v>
      </c>
      <c r="AA4541" s="195"/>
      <c r="AB4541" s="159"/>
    </row>
    <row r="4542" spans="1:28" ht="12.75" customHeight="1" x14ac:dyDescent="0.3">
      <c r="A4542" s="161">
        <v>542</v>
      </c>
      <c r="B4542" s="159" t="s">
        <v>2960</v>
      </c>
      <c r="C4542" s="160" t="s">
        <v>2961</v>
      </c>
      <c r="D4542" s="160" t="s">
        <v>618</v>
      </c>
      <c r="E4542" s="545">
        <v>4.09</v>
      </c>
      <c r="F4542" s="161">
        <v>394.52</v>
      </c>
      <c r="G4542" s="191"/>
      <c r="H4542" s="191">
        <v>3.2666666658499993E-8</v>
      </c>
      <c r="I4542" s="191">
        <v>7.6970000000000001E-4</v>
      </c>
      <c r="J4542" s="191"/>
      <c r="K4542" s="191">
        <v>169824365.24617496</v>
      </c>
      <c r="L4542" s="191"/>
      <c r="M4542" s="191"/>
      <c r="N4542" s="191"/>
      <c r="O4542" s="191"/>
      <c r="P4542" s="191"/>
      <c r="Q4542" s="191">
        <v>3.648079575E-4</v>
      </c>
      <c r="R4542" s="191">
        <v>5.3483578746909358E-7</v>
      </c>
      <c r="S4542" s="191">
        <v>5.9426198607677063E-8</v>
      </c>
      <c r="T4542" s="191">
        <v>2.6741789373454679E-7</v>
      </c>
      <c r="U4542" s="439"/>
      <c r="V4542" s="439"/>
      <c r="W4542" s="178">
        <v>30000</v>
      </c>
      <c r="X4542" s="172">
        <f t="shared" si="10"/>
        <v>0.33333333333333331</v>
      </c>
      <c r="Y4542" s="172">
        <f t="shared" si="10"/>
        <v>0.33333333333333331</v>
      </c>
      <c r="Z4542" s="172">
        <f t="shared" si="10"/>
        <v>0.33333333333333331</v>
      </c>
      <c r="AA4542" s="195"/>
      <c r="AB4542" s="159"/>
    </row>
    <row r="4543" spans="1:28" ht="12.75" customHeight="1" x14ac:dyDescent="0.3">
      <c r="A4543" s="161">
        <v>543</v>
      </c>
      <c r="B4543" s="159" t="s">
        <v>2958</v>
      </c>
      <c r="C4543" s="160" t="s">
        <v>2959</v>
      </c>
      <c r="D4543" s="160" t="s">
        <v>618</v>
      </c>
      <c r="E4543" s="545">
        <v>4.09</v>
      </c>
      <c r="F4543" s="161">
        <v>184.11</v>
      </c>
      <c r="G4543" s="191"/>
      <c r="H4543" s="191">
        <v>5.1999999986999994E-2</v>
      </c>
      <c r="I4543" s="191">
        <v>2790</v>
      </c>
      <c r="J4543" s="191"/>
      <c r="K4543" s="191">
        <v>46.773514128719818</v>
      </c>
      <c r="L4543" s="191"/>
      <c r="M4543" s="191"/>
      <c r="N4543" s="191"/>
      <c r="O4543" s="191"/>
      <c r="P4543" s="191"/>
      <c r="Q4543" s="191">
        <v>4.9542749999999997E-7</v>
      </c>
      <c r="R4543" s="191">
        <v>2.1393431498763744E-7</v>
      </c>
      <c r="S4543" s="191">
        <v>2.3770479443070826E-8</v>
      </c>
      <c r="T4543" s="191">
        <v>1.0696715749381872E-7</v>
      </c>
      <c r="U4543" s="439"/>
      <c r="V4543" s="439"/>
      <c r="W4543" s="178">
        <v>30000</v>
      </c>
      <c r="X4543" s="172">
        <f t="shared" si="10"/>
        <v>0.33333333333333331</v>
      </c>
      <c r="Y4543" s="172">
        <f t="shared" si="10"/>
        <v>0.33333333333333331</v>
      </c>
      <c r="Z4543" s="172">
        <f t="shared" si="10"/>
        <v>0.33333333333333331</v>
      </c>
      <c r="AA4543" s="195"/>
      <c r="AB4543" s="159"/>
    </row>
    <row r="4544" spans="1:28" ht="12.75" customHeight="1" x14ac:dyDescent="0.3">
      <c r="A4544" s="161">
        <v>544</v>
      </c>
      <c r="B4544" s="159" t="s">
        <v>2964</v>
      </c>
      <c r="C4544" s="160" t="s">
        <v>2965</v>
      </c>
      <c r="D4544" s="160" t="s">
        <v>618</v>
      </c>
      <c r="E4544" s="545">
        <v>4.0999999999999996</v>
      </c>
      <c r="F4544" s="161">
        <v>70.05</v>
      </c>
      <c r="G4544" s="191"/>
      <c r="H4544" s="191">
        <v>469.33333321599997</v>
      </c>
      <c r="I4544" s="191">
        <v>491900</v>
      </c>
      <c r="J4544" s="191"/>
      <c r="K4544" s="191">
        <v>0.64565422903465541</v>
      </c>
      <c r="L4544" s="191"/>
      <c r="M4544" s="191"/>
      <c r="N4544" s="191"/>
      <c r="O4544" s="191"/>
      <c r="P4544" s="191"/>
      <c r="Q4544" s="191">
        <v>2.2274999999999998E-6</v>
      </c>
      <c r="R4544" s="191">
        <v>9.2532143160742838E-7</v>
      </c>
      <c r="S4544" s="191">
        <v>1.0281349240082538E-7</v>
      </c>
      <c r="T4544" s="191">
        <v>4.6266071580371419E-7</v>
      </c>
      <c r="U4544" s="439"/>
      <c r="V4544" s="439"/>
      <c r="W4544" s="178">
        <v>30000</v>
      </c>
      <c r="X4544" s="172">
        <f t="shared" si="10"/>
        <v>0.33333333333333331</v>
      </c>
      <c r="Y4544" s="172">
        <f t="shared" si="10"/>
        <v>0.33333333333333331</v>
      </c>
      <c r="Z4544" s="172">
        <f t="shared" si="10"/>
        <v>0.33333333333333331</v>
      </c>
      <c r="AA4544" s="195"/>
      <c r="AB4544" s="159"/>
    </row>
    <row r="4545" spans="1:28" ht="12.75" customHeight="1" x14ac:dyDescent="0.3">
      <c r="A4545" s="161">
        <v>545</v>
      </c>
      <c r="B4545" s="159" t="s">
        <v>2962</v>
      </c>
      <c r="C4545" s="160" t="s">
        <v>2963</v>
      </c>
      <c r="D4545" s="160" t="s">
        <v>618</v>
      </c>
      <c r="E4545" s="545">
        <v>4.0999999999999996</v>
      </c>
      <c r="F4545" s="161">
        <v>139.97</v>
      </c>
      <c r="G4545" s="191"/>
      <c r="H4545" s="191">
        <v>1.63999999959E-2</v>
      </c>
      <c r="I4545" s="191">
        <v>256000</v>
      </c>
      <c r="J4545" s="191"/>
      <c r="K4545" s="191">
        <v>6.6069344800759586E-2</v>
      </c>
      <c r="L4545" s="191"/>
      <c r="M4545" s="191"/>
      <c r="N4545" s="191"/>
      <c r="O4545" s="191"/>
      <c r="P4545" s="191"/>
      <c r="Q4545" s="191">
        <v>3.5279999999999998E-7</v>
      </c>
      <c r="R4545" s="191">
        <v>5.3483578746909358E-7</v>
      </c>
      <c r="S4545" s="191">
        <v>5.9426198607677063E-8</v>
      </c>
      <c r="T4545" s="191">
        <v>2.6741789373454679E-7</v>
      </c>
      <c r="U4545" s="439"/>
      <c r="V4545" s="439"/>
      <c r="W4545" s="178">
        <v>30000</v>
      </c>
      <c r="X4545" s="172">
        <f t="shared" si="10"/>
        <v>0.33333333333333331</v>
      </c>
      <c r="Y4545" s="172">
        <f t="shared" si="10"/>
        <v>0.33333333333333331</v>
      </c>
      <c r="Z4545" s="172">
        <f t="shared" si="10"/>
        <v>0.33333333333333331</v>
      </c>
      <c r="AA4545" s="195"/>
      <c r="AB4545" s="159"/>
    </row>
    <row r="4546" spans="1:28" ht="12.75" customHeight="1" x14ac:dyDescent="0.3">
      <c r="A4546" s="161">
        <v>546</v>
      </c>
      <c r="B4546" s="159" t="s">
        <v>2966</v>
      </c>
      <c r="C4546" s="160" t="s">
        <v>2967</v>
      </c>
      <c r="D4546" s="160" t="s">
        <v>618</v>
      </c>
      <c r="E4546" s="545">
        <v>4.17</v>
      </c>
      <c r="F4546" s="161">
        <v>274.11</v>
      </c>
      <c r="G4546" s="191"/>
      <c r="H4546" s="191">
        <v>1.2106666663639998E-6</v>
      </c>
      <c r="I4546" s="191">
        <v>37</v>
      </c>
      <c r="J4546" s="191"/>
      <c r="K4546" s="191">
        <v>63.095734448019364</v>
      </c>
      <c r="L4546" s="191"/>
      <c r="M4546" s="191"/>
      <c r="N4546" s="191"/>
      <c r="O4546" s="191"/>
      <c r="P4546" s="191"/>
      <c r="Q4546" s="191">
        <v>1.3887749999999999E-6</v>
      </c>
      <c r="R4546" s="191">
        <v>2.1393431498763744E-7</v>
      </c>
      <c r="S4546" s="191">
        <v>2.3770479443070826E-8</v>
      </c>
      <c r="T4546" s="191">
        <v>2.8651917185844297E-7</v>
      </c>
      <c r="U4546" s="439"/>
      <c r="V4546" s="439"/>
      <c r="W4546" s="178">
        <v>30000</v>
      </c>
      <c r="X4546" s="172">
        <f t="shared" si="10"/>
        <v>0.33333333333333331</v>
      </c>
      <c r="Y4546" s="172">
        <f t="shared" si="10"/>
        <v>0.33333333333333331</v>
      </c>
      <c r="Z4546" s="172">
        <f t="shared" si="10"/>
        <v>0.33333333333333331</v>
      </c>
      <c r="AA4546" s="195"/>
      <c r="AB4546" s="159"/>
    </row>
    <row r="4547" spans="1:28" ht="12.75" customHeight="1" x14ac:dyDescent="0.3">
      <c r="A4547" s="161">
        <v>547</v>
      </c>
      <c r="B4547" s="159" t="s">
        <v>2968</v>
      </c>
      <c r="C4547" s="160" t="s">
        <v>2969</v>
      </c>
      <c r="D4547" s="160" t="s">
        <v>618</v>
      </c>
      <c r="E4547" s="545">
        <v>4.21</v>
      </c>
      <c r="F4547" s="161">
        <v>118.09</v>
      </c>
      <c r="G4547" s="191"/>
      <c r="H4547" s="191">
        <v>2.5466666660299999E-5</v>
      </c>
      <c r="I4547" s="191">
        <v>83200</v>
      </c>
      <c r="J4547" s="191"/>
      <c r="K4547" s="191">
        <v>0.25703957827688634</v>
      </c>
      <c r="L4547" s="191"/>
      <c r="M4547" s="191"/>
      <c r="N4547" s="191"/>
      <c r="O4547" s="191"/>
      <c r="P4547" s="191"/>
      <c r="Q4547" s="191">
        <v>2.0724225000000001E-6</v>
      </c>
      <c r="R4547" s="191">
        <v>9.2532143160742838E-7</v>
      </c>
      <c r="S4547" s="191">
        <v>1.0281349240082538E-7</v>
      </c>
      <c r="T4547" s="191">
        <v>4.6266071580371419E-7</v>
      </c>
      <c r="U4547" s="439"/>
      <c r="V4547" s="439"/>
      <c r="W4547" s="178">
        <v>30000</v>
      </c>
      <c r="X4547" s="172">
        <f t="shared" si="10"/>
        <v>0.33333333333333331</v>
      </c>
      <c r="Y4547" s="172">
        <f t="shared" si="10"/>
        <v>0.33333333333333331</v>
      </c>
      <c r="Z4547" s="172">
        <f t="shared" si="10"/>
        <v>0.33333333333333331</v>
      </c>
      <c r="AA4547" s="195"/>
      <c r="AB4547" s="159"/>
    </row>
    <row r="4548" spans="1:28" ht="12.75" customHeight="1" x14ac:dyDescent="0.3">
      <c r="A4548" s="161">
        <v>548</v>
      </c>
      <c r="B4548" s="159" t="s">
        <v>2970</v>
      </c>
      <c r="C4548" s="160" t="s">
        <v>2971</v>
      </c>
      <c r="D4548" s="160" t="s">
        <v>618</v>
      </c>
      <c r="E4548" s="545">
        <v>4.2300000000000004</v>
      </c>
      <c r="F4548" s="161">
        <v>186.21</v>
      </c>
      <c r="G4548" s="191"/>
      <c r="H4548" s="191">
        <v>1.275999999681E-3</v>
      </c>
      <c r="I4548" s="191">
        <v>420</v>
      </c>
      <c r="J4548" s="191"/>
      <c r="K4548" s="191">
        <v>173.78008287493768</v>
      </c>
      <c r="L4548" s="191"/>
      <c r="M4548" s="191"/>
      <c r="N4548" s="191"/>
      <c r="O4548" s="191"/>
      <c r="P4548" s="191"/>
      <c r="Q4548" s="191">
        <v>2.7785835E-5</v>
      </c>
      <c r="R4548" s="191">
        <v>5.3483578746909358E-7</v>
      </c>
      <c r="S4548" s="191">
        <v>5.9426198607677063E-8</v>
      </c>
      <c r="T4548" s="191">
        <v>1.9101278123896199E-7</v>
      </c>
      <c r="U4548" s="439"/>
      <c r="V4548" s="439"/>
      <c r="W4548" s="178">
        <v>30000</v>
      </c>
      <c r="X4548" s="172">
        <f t="shared" si="10"/>
        <v>0.33333333333333331</v>
      </c>
      <c r="Y4548" s="172">
        <f t="shared" si="10"/>
        <v>0.33333333333333331</v>
      </c>
      <c r="Z4548" s="172">
        <f t="shared" si="10"/>
        <v>0.33333333333333331</v>
      </c>
      <c r="AA4548" s="195"/>
      <c r="AB4548" s="159"/>
    </row>
    <row r="4549" spans="1:28" ht="12.75" customHeight="1" x14ac:dyDescent="0.3">
      <c r="A4549" s="161">
        <v>549</v>
      </c>
      <c r="B4549" s="159" t="s">
        <v>2974</v>
      </c>
      <c r="C4549" s="160" t="s">
        <v>2975</v>
      </c>
      <c r="D4549" s="160" t="s">
        <v>618</v>
      </c>
      <c r="E4549" s="545">
        <v>4.26</v>
      </c>
      <c r="F4549" s="161">
        <v>154.12</v>
      </c>
      <c r="G4549" s="191"/>
      <c r="H4549" s="191">
        <v>2.4266666660599996E-5</v>
      </c>
      <c r="I4549" s="191">
        <v>18200</v>
      </c>
      <c r="J4549" s="191"/>
      <c r="K4549" s="191">
        <v>7.2443596007499025</v>
      </c>
      <c r="L4549" s="191"/>
      <c r="M4549" s="191"/>
      <c r="N4549" s="191"/>
      <c r="O4549" s="191"/>
      <c r="P4549" s="191"/>
      <c r="Q4549" s="191">
        <v>6.9714974999999999E-6</v>
      </c>
      <c r="R4549" s="191">
        <v>5.3483578746909358E-7</v>
      </c>
      <c r="S4549" s="191">
        <v>5.9426198607677063E-8</v>
      </c>
      <c r="T4549" s="191">
        <v>2.6741789373454679E-7</v>
      </c>
      <c r="U4549" s="439"/>
      <c r="V4549" s="439"/>
      <c r="W4549" s="178">
        <v>30000</v>
      </c>
      <c r="X4549" s="172">
        <f t="shared" si="10"/>
        <v>0.33333333333333331</v>
      </c>
      <c r="Y4549" s="172">
        <f t="shared" si="10"/>
        <v>0.33333333333333331</v>
      </c>
      <c r="Z4549" s="172">
        <f t="shared" si="10"/>
        <v>0.33333333333333331</v>
      </c>
      <c r="AA4549" s="195"/>
      <c r="AB4549" s="159"/>
    </row>
    <row r="4550" spans="1:28" ht="12.75" customHeight="1" x14ac:dyDescent="0.3">
      <c r="A4550" s="161">
        <v>550</v>
      </c>
      <c r="B4550" s="159" t="s">
        <v>2972</v>
      </c>
      <c r="C4550" s="160" t="s">
        <v>2973</v>
      </c>
      <c r="D4550" s="160" t="s">
        <v>618</v>
      </c>
      <c r="E4550" s="545">
        <v>4.26</v>
      </c>
      <c r="F4550" s="161">
        <v>72.06</v>
      </c>
      <c r="G4550" s="191"/>
      <c r="H4550" s="191">
        <v>529.33333320099996</v>
      </c>
      <c r="I4550" s="191">
        <v>1000000</v>
      </c>
      <c r="J4550" s="191"/>
      <c r="K4550" s="191">
        <v>2.2387211385683394</v>
      </c>
      <c r="L4550" s="191"/>
      <c r="M4550" s="191"/>
      <c r="N4550" s="191"/>
      <c r="O4550" s="191"/>
      <c r="P4550" s="191"/>
      <c r="Q4550" s="191">
        <v>7.2937500000000003E-6</v>
      </c>
      <c r="R4550" s="191">
        <v>9.2532143160742838E-7</v>
      </c>
      <c r="S4550" s="191">
        <v>1.0281349240082538E-7</v>
      </c>
      <c r="T4550" s="191">
        <v>4.6266071580371419E-7</v>
      </c>
      <c r="U4550" s="439"/>
      <c r="V4550" s="439"/>
      <c r="W4550" s="178">
        <v>30000</v>
      </c>
      <c r="X4550" s="172">
        <f t="shared" si="10"/>
        <v>0.33333333333333331</v>
      </c>
      <c r="Y4550" s="172">
        <f t="shared" si="10"/>
        <v>0.33333333333333331</v>
      </c>
      <c r="Z4550" s="172">
        <f t="shared" si="10"/>
        <v>0.33333333333333331</v>
      </c>
      <c r="AA4550" s="195"/>
      <c r="AB4550" s="159"/>
    </row>
    <row r="4551" spans="1:28" ht="12.75" customHeight="1" x14ac:dyDescent="0.3">
      <c r="A4551" s="161">
        <v>551</v>
      </c>
      <c r="B4551" s="159" t="s">
        <v>2976</v>
      </c>
      <c r="C4551" s="160" t="s">
        <v>2977</v>
      </c>
      <c r="D4551" s="160" t="s">
        <v>618</v>
      </c>
      <c r="E4551" s="545">
        <v>4.3</v>
      </c>
      <c r="F4551" s="161">
        <v>138.12</v>
      </c>
      <c r="G4551" s="191"/>
      <c r="H4551" s="191">
        <v>1.3186666663369999E-3</v>
      </c>
      <c r="I4551" s="191">
        <v>7250</v>
      </c>
      <c r="J4551" s="191"/>
      <c r="K4551" s="191">
        <v>31.622776601683803</v>
      </c>
      <c r="L4551" s="191"/>
      <c r="M4551" s="191"/>
      <c r="N4551" s="191"/>
      <c r="O4551" s="191"/>
      <c r="P4551" s="191"/>
      <c r="Q4551" s="191">
        <v>7.3140075000000003E-6</v>
      </c>
      <c r="R4551" s="191">
        <v>5.3483578746909358E-7</v>
      </c>
      <c r="S4551" s="191">
        <v>5.9426198607677063E-8</v>
      </c>
      <c r="T4551" s="191">
        <v>2.6741789373454679E-7</v>
      </c>
      <c r="U4551" s="439"/>
      <c r="V4551" s="439"/>
      <c r="W4551" s="178">
        <v>30000</v>
      </c>
      <c r="X4551" s="172">
        <f t="shared" si="10"/>
        <v>0.33333333333333331</v>
      </c>
      <c r="Y4551" s="172">
        <f t="shared" si="10"/>
        <v>0.33333333333333331</v>
      </c>
      <c r="Z4551" s="172">
        <f t="shared" si="10"/>
        <v>0.33333333333333331</v>
      </c>
      <c r="AA4551" s="195"/>
      <c r="AB4551" s="159"/>
    </row>
    <row r="4552" spans="1:28" ht="12.75" customHeight="1" x14ac:dyDescent="0.3">
      <c r="A4552" s="161">
        <v>552</v>
      </c>
      <c r="B4552" s="159" t="s">
        <v>2978</v>
      </c>
      <c r="C4552" s="160" t="s">
        <v>2979</v>
      </c>
      <c r="D4552" s="160" t="s">
        <v>618</v>
      </c>
      <c r="E4552" s="545">
        <v>4.3099999999999996</v>
      </c>
      <c r="F4552" s="161">
        <v>198.14</v>
      </c>
      <c r="G4552" s="191"/>
      <c r="H4552" s="191">
        <v>1.5999999995999999E-2</v>
      </c>
      <c r="I4552" s="191">
        <v>198</v>
      </c>
      <c r="J4552" s="191"/>
      <c r="K4552" s="191">
        <v>134.89628825916537</v>
      </c>
      <c r="L4552" s="191"/>
      <c r="M4552" s="191"/>
      <c r="N4552" s="191"/>
      <c r="O4552" s="191"/>
      <c r="P4552" s="191"/>
      <c r="Q4552" s="191">
        <v>2.2706249999999999E-7</v>
      </c>
      <c r="R4552" s="191">
        <v>2.1393431498763744E-7</v>
      </c>
      <c r="S4552" s="191">
        <v>2.3770479443070826E-8</v>
      </c>
      <c r="T4552" s="191">
        <v>9.4382786023957694E-7</v>
      </c>
      <c r="U4552" s="439"/>
      <c r="V4552" s="439"/>
      <c r="W4552" s="178">
        <v>30000</v>
      </c>
      <c r="X4552" s="172">
        <f t="shared" si="10"/>
        <v>0.33333333333333331</v>
      </c>
      <c r="Y4552" s="172">
        <f t="shared" si="10"/>
        <v>0.33333333333333331</v>
      </c>
      <c r="Z4552" s="172">
        <f t="shared" si="10"/>
        <v>0.33333333333333331</v>
      </c>
      <c r="AA4552" s="195"/>
      <c r="AB4552" s="159"/>
    </row>
    <row r="4553" spans="1:28" ht="12.75" customHeight="1" x14ac:dyDescent="0.3">
      <c r="A4553" s="161">
        <v>553</v>
      </c>
      <c r="B4553" s="159" t="s">
        <v>2980</v>
      </c>
      <c r="C4553" s="160" t="s">
        <v>2981</v>
      </c>
      <c r="D4553" s="160" t="s">
        <v>618</v>
      </c>
      <c r="E4553" s="545">
        <v>4.34</v>
      </c>
      <c r="F4553" s="161">
        <v>242.06</v>
      </c>
      <c r="G4553" s="191"/>
      <c r="H4553" s="191">
        <v>5.2666666653500004E-6</v>
      </c>
      <c r="I4553" s="191">
        <v>6.5000000000000002E-2</v>
      </c>
      <c r="J4553" s="191"/>
      <c r="K4553" s="191">
        <v>933.25430079699197</v>
      </c>
      <c r="L4553" s="191"/>
      <c r="M4553" s="191"/>
      <c r="N4553" s="191"/>
      <c r="O4553" s="191"/>
      <c r="P4553" s="191"/>
      <c r="Q4553" s="191">
        <v>9.5792250000000006E-7</v>
      </c>
      <c r="R4553" s="191">
        <v>2.1393431498763744E-7</v>
      </c>
      <c r="S4553" s="191">
        <v>2.3770479443070826E-8</v>
      </c>
      <c r="T4553" s="191">
        <v>1.782785958230312E-8</v>
      </c>
      <c r="U4553" s="439"/>
      <c r="V4553" s="439"/>
      <c r="W4553" s="178">
        <v>30000</v>
      </c>
      <c r="X4553" s="172">
        <f t="shared" si="10"/>
        <v>0.33333333333333331</v>
      </c>
      <c r="Y4553" s="172">
        <f t="shared" si="10"/>
        <v>0.33333333333333331</v>
      </c>
      <c r="Z4553" s="172">
        <f t="shared" si="10"/>
        <v>0.33333333333333331</v>
      </c>
      <c r="AA4553" s="195"/>
      <c r="AB4553" s="159"/>
    </row>
    <row r="4554" spans="1:28" ht="12.75" customHeight="1" x14ac:dyDescent="0.3">
      <c r="A4554" s="161">
        <v>554</v>
      </c>
      <c r="B4554" s="159" t="s">
        <v>2982</v>
      </c>
      <c r="C4554" s="160" t="s">
        <v>2983</v>
      </c>
      <c r="D4554" s="160" t="s">
        <v>618</v>
      </c>
      <c r="E4554" s="545">
        <v>4.3600000000000003</v>
      </c>
      <c r="F4554" s="161">
        <v>260.68</v>
      </c>
      <c r="G4554" s="191"/>
      <c r="H4554" s="191">
        <v>3.4933333324599997E-5</v>
      </c>
      <c r="I4554" s="191">
        <v>500</v>
      </c>
      <c r="J4554" s="191"/>
      <c r="K4554" s="191">
        <v>2137.9620895022344</v>
      </c>
      <c r="L4554" s="191"/>
      <c r="M4554" s="191"/>
      <c r="N4554" s="191"/>
      <c r="O4554" s="191"/>
      <c r="P4554" s="191"/>
      <c r="Q4554" s="191">
        <v>1.69146E-6</v>
      </c>
      <c r="R4554" s="191">
        <v>2.1393431498763744E-7</v>
      </c>
      <c r="S4554" s="191">
        <v>2.3770479443070826E-8</v>
      </c>
      <c r="T4554" s="191">
        <v>1.0696715749381872E-7</v>
      </c>
      <c r="U4554" s="439"/>
      <c r="V4554" s="439"/>
      <c r="W4554" s="178">
        <v>30000</v>
      </c>
      <c r="X4554" s="172">
        <f t="shared" si="10"/>
        <v>0.33333333333333331</v>
      </c>
      <c r="Y4554" s="172">
        <f t="shared" si="10"/>
        <v>0.33333333333333331</v>
      </c>
      <c r="Z4554" s="172">
        <f t="shared" si="10"/>
        <v>0.33333333333333331</v>
      </c>
      <c r="AA4554" s="195"/>
      <c r="AB4554" s="159"/>
    </row>
    <row r="4555" spans="1:28" ht="12.75" customHeight="1" x14ac:dyDescent="0.3">
      <c r="A4555" s="161">
        <v>555</v>
      </c>
      <c r="B4555" s="159" t="s">
        <v>2984</v>
      </c>
      <c r="C4555" s="160" t="s">
        <v>1563</v>
      </c>
      <c r="D4555" s="160" t="s">
        <v>618</v>
      </c>
      <c r="E4555" s="545">
        <v>4.4000000000000004</v>
      </c>
      <c r="F4555" s="161">
        <v>178.23</v>
      </c>
      <c r="G4555" s="191"/>
      <c r="H4555" s="191">
        <v>1.061333333068E-2</v>
      </c>
      <c r="I4555" s="191">
        <v>28</v>
      </c>
      <c r="J4555" s="191"/>
      <c r="K4555" s="191">
        <v>7079.4578438413828</v>
      </c>
      <c r="L4555" s="191"/>
      <c r="M4555" s="191"/>
      <c r="N4555" s="191"/>
      <c r="O4555" s="191"/>
      <c r="P4555" s="191"/>
      <c r="Q4555" s="191">
        <v>1.95933E-6</v>
      </c>
      <c r="R4555" s="191">
        <v>2.1393431498763744E-7</v>
      </c>
      <c r="S4555" s="191">
        <v>2.3770479443070826E-8</v>
      </c>
      <c r="T4555" s="191">
        <v>1.0696715749381872E-7</v>
      </c>
      <c r="U4555" s="439"/>
      <c r="V4555" s="439"/>
      <c r="W4555" s="178">
        <v>30000</v>
      </c>
      <c r="X4555" s="172">
        <f t="shared" si="10"/>
        <v>0.33333333333333331</v>
      </c>
      <c r="Y4555" s="172">
        <f t="shared" si="10"/>
        <v>0.33333333333333331</v>
      </c>
      <c r="Z4555" s="172">
        <f t="shared" si="10"/>
        <v>0.33333333333333331</v>
      </c>
      <c r="AA4555" s="195"/>
      <c r="AB4555" s="159"/>
    </row>
    <row r="4556" spans="1:28" ht="12.75" customHeight="1" x14ac:dyDescent="0.3">
      <c r="A4556" s="161">
        <v>556</v>
      </c>
      <c r="B4556" s="159" t="s">
        <v>2987</v>
      </c>
      <c r="C4556" s="160" t="s">
        <v>2988</v>
      </c>
      <c r="D4556" s="160" t="s">
        <v>618</v>
      </c>
      <c r="E4556" s="545">
        <v>4.41</v>
      </c>
      <c r="F4556" s="161">
        <v>150.18</v>
      </c>
      <c r="G4556" s="191"/>
      <c r="H4556" s="191">
        <v>0.93866666643200003</v>
      </c>
      <c r="I4556" s="191">
        <v>4987</v>
      </c>
      <c r="J4556" s="191"/>
      <c r="K4556" s="191">
        <v>70.794578438413865</v>
      </c>
      <c r="L4556" s="191"/>
      <c r="M4556" s="191"/>
      <c r="N4556" s="191"/>
      <c r="O4556" s="191"/>
      <c r="P4556" s="191"/>
      <c r="Q4556" s="191">
        <v>5.0761649999999999E-6</v>
      </c>
      <c r="R4556" s="191">
        <v>5.3483578746909358E-7</v>
      </c>
      <c r="S4556" s="191">
        <v>5.9426198607677063E-8</v>
      </c>
      <c r="T4556" s="191">
        <v>2.6741789373454679E-7</v>
      </c>
      <c r="U4556" s="439"/>
      <c r="V4556" s="439"/>
      <c r="W4556" s="178">
        <v>30000</v>
      </c>
      <c r="X4556" s="172">
        <f t="shared" si="10"/>
        <v>0.33333333333333331</v>
      </c>
      <c r="Y4556" s="172">
        <f t="shared" si="10"/>
        <v>0.33333333333333331</v>
      </c>
      <c r="Z4556" s="172">
        <f t="shared" si="10"/>
        <v>0.33333333333333331</v>
      </c>
      <c r="AA4556" s="195"/>
      <c r="AB4556" s="159"/>
    </row>
    <row r="4557" spans="1:28" ht="12.75" customHeight="1" x14ac:dyDescent="0.3">
      <c r="A4557" s="161">
        <v>557</v>
      </c>
      <c r="B4557" s="159" t="s">
        <v>2985</v>
      </c>
      <c r="C4557" s="160" t="s">
        <v>2986</v>
      </c>
      <c r="D4557" s="160" t="s">
        <v>618</v>
      </c>
      <c r="E4557" s="545">
        <v>4.41</v>
      </c>
      <c r="F4557" s="161">
        <v>164.21</v>
      </c>
      <c r="G4557" s="191"/>
      <c r="H4557" s="191">
        <v>0.9333333331</v>
      </c>
      <c r="I4557" s="191">
        <v>2235</v>
      </c>
      <c r="J4557" s="191"/>
      <c r="K4557" s="191">
        <v>151.3561248436209</v>
      </c>
      <c r="L4557" s="191"/>
      <c r="M4557" s="191"/>
      <c r="N4557" s="191"/>
      <c r="O4557" s="191"/>
      <c r="P4557" s="191"/>
      <c r="Q4557" s="191">
        <v>6.1887675000000002E-6</v>
      </c>
      <c r="R4557" s="191">
        <v>5.3483578746909358E-7</v>
      </c>
      <c r="S4557" s="191">
        <v>5.9426198607677063E-8</v>
      </c>
      <c r="T4557" s="191">
        <v>2.6741789373454679E-7</v>
      </c>
      <c r="U4557" s="439"/>
      <c r="V4557" s="439"/>
      <c r="W4557" s="178">
        <v>30000</v>
      </c>
      <c r="X4557" s="172">
        <f t="shared" si="10"/>
        <v>0.33333333333333331</v>
      </c>
      <c r="Y4557" s="172">
        <f t="shared" si="10"/>
        <v>0.33333333333333331</v>
      </c>
      <c r="Z4557" s="172">
        <f t="shared" si="10"/>
        <v>0.33333333333333331</v>
      </c>
      <c r="AA4557" s="195"/>
      <c r="AB4557" s="159"/>
    </row>
    <row r="4558" spans="1:28" ht="12.75" customHeight="1" x14ac:dyDescent="0.3">
      <c r="A4558" s="161">
        <v>558</v>
      </c>
      <c r="B4558" s="159" t="s">
        <v>2989</v>
      </c>
      <c r="C4558" s="160" t="s">
        <v>2990</v>
      </c>
      <c r="D4558" s="160" t="s">
        <v>618</v>
      </c>
      <c r="E4558" s="545">
        <v>4.41</v>
      </c>
      <c r="F4558" s="161">
        <v>164.21</v>
      </c>
      <c r="G4558" s="191"/>
      <c r="H4558" s="191">
        <v>0.9333333331</v>
      </c>
      <c r="I4558" s="191">
        <v>2235</v>
      </c>
      <c r="J4558" s="191"/>
      <c r="K4558" s="191">
        <v>151.3561248436209</v>
      </c>
      <c r="L4558" s="191"/>
      <c r="M4558" s="191"/>
      <c r="N4558" s="191"/>
      <c r="O4558" s="191"/>
      <c r="P4558" s="191"/>
      <c r="Q4558" s="191">
        <v>6.1887675000000002E-6</v>
      </c>
      <c r="R4558" s="191">
        <v>5.3483578746909358E-7</v>
      </c>
      <c r="S4558" s="191">
        <v>5.9426198607677063E-8</v>
      </c>
      <c r="T4558" s="191">
        <v>2.6741789373454679E-7</v>
      </c>
      <c r="U4558" s="439"/>
      <c r="V4558" s="439"/>
      <c r="W4558" s="178">
        <v>30000</v>
      </c>
      <c r="X4558" s="172">
        <f t="shared" si="10"/>
        <v>0.33333333333333331</v>
      </c>
      <c r="Y4558" s="172">
        <f t="shared" si="10"/>
        <v>0.33333333333333331</v>
      </c>
      <c r="Z4558" s="172">
        <f t="shared" si="10"/>
        <v>0.33333333333333331</v>
      </c>
      <c r="AA4558" s="195"/>
      <c r="AB4558" s="159"/>
    </row>
    <row r="4559" spans="1:28" ht="12.75" customHeight="1" x14ac:dyDescent="0.3">
      <c r="A4559" s="161">
        <v>559</v>
      </c>
      <c r="B4559" s="159" t="s">
        <v>2991</v>
      </c>
      <c r="C4559" s="160" t="s">
        <v>2992</v>
      </c>
      <c r="D4559" s="160" t="s">
        <v>618</v>
      </c>
      <c r="E4559" s="545">
        <v>4.43</v>
      </c>
      <c r="F4559" s="161">
        <v>131.18</v>
      </c>
      <c r="G4559" s="191"/>
      <c r="H4559" s="191">
        <v>3.9866666656700005E-6</v>
      </c>
      <c r="I4559" s="191">
        <v>505000</v>
      </c>
      <c r="J4559" s="191"/>
      <c r="K4559" s="191">
        <v>1.1220184543019622E-3</v>
      </c>
      <c r="L4559" s="191"/>
      <c r="M4559" s="191"/>
      <c r="N4559" s="191"/>
      <c r="O4559" s="191"/>
      <c r="P4559" s="191"/>
      <c r="Q4559" s="191">
        <v>2.7978592500000003E-5</v>
      </c>
      <c r="R4559" s="191">
        <v>9.2532143160742838E-7</v>
      </c>
      <c r="S4559" s="191">
        <v>1.0281349240082538E-7</v>
      </c>
      <c r="T4559" s="191">
        <v>4.6266071580371419E-7</v>
      </c>
      <c r="U4559" s="439"/>
      <c r="V4559" s="439"/>
      <c r="W4559" s="178">
        <v>30000</v>
      </c>
      <c r="X4559" s="172">
        <f t="shared" si="10"/>
        <v>0.33333333333333331</v>
      </c>
      <c r="Y4559" s="172">
        <f t="shared" si="10"/>
        <v>0.33333333333333331</v>
      </c>
      <c r="Z4559" s="172">
        <f t="shared" si="10"/>
        <v>0.33333333333333331</v>
      </c>
      <c r="AA4559" s="195"/>
      <c r="AB4559" s="159"/>
    </row>
    <row r="4560" spans="1:28" ht="12.75" customHeight="1" x14ac:dyDescent="0.3">
      <c r="A4560" s="161">
        <v>560</v>
      </c>
      <c r="B4560" s="159" t="s">
        <v>2993</v>
      </c>
      <c r="C4560" s="160" t="s">
        <v>1691</v>
      </c>
      <c r="D4560" s="160" t="s">
        <v>618</v>
      </c>
      <c r="E4560" s="545">
        <v>4.4400000000000004</v>
      </c>
      <c r="F4560" s="161">
        <v>146.13999999999999</v>
      </c>
      <c r="G4560" s="191"/>
      <c r="H4560" s="191">
        <v>4.23999999894E-5</v>
      </c>
      <c r="I4560" s="191">
        <v>30800</v>
      </c>
      <c r="J4560" s="191"/>
      <c r="K4560" s="191">
        <v>1.2022644346174129</v>
      </c>
      <c r="L4560" s="191"/>
      <c r="M4560" s="191"/>
      <c r="N4560" s="191"/>
      <c r="O4560" s="191"/>
      <c r="P4560" s="191"/>
      <c r="Q4560" s="191">
        <v>4.1919975000000005E-6</v>
      </c>
      <c r="R4560" s="191">
        <v>9.2532143160742838E-7</v>
      </c>
      <c r="S4560" s="191">
        <v>1.0281349240082538E-7</v>
      </c>
      <c r="T4560" s="191">
        <v>4.6266071580371419E-7</v>
      </c>
      <c r="U4560" s="439"/>
      <c r="V4560" s="439"/>
      <c r="W4560" s="178">
        <v>30000</v>
      </c>
      <c r="X4560" s="172">
        <f t="shared" si="10"/>
        <v>0.33333333333333331</v>
      </c>
      <c r="Y4560" s="172">
        <f t="shared" si="10"/>
        <v>0.33333333333333331</v>
      </c>
      <c r="Z4560" s="172">
        <f t="shared" si="10"/>
        <v>0.33333333333333331</v>
      </c>
      <c r="AA4560" s="195"/>
      <c r="AB4560" s="159"/>
    </row>
    <row r="4561" spans="1:28" ht="12.75" customHeight="1" x14ac:dyDescent="0.3">
      <c r="A4561" s="161">
        <v>561</v>
      </c>
      <c r="B4561" s="159" t="s">
        <v>2994</v>
      </c>
      <c r="C4561" s="160" t="s">
        <v>2995</v>
      </c>
      <c r="D4561" s="160" t="s">
        <v>618</v>
      </c>
      <c r="E4561" s="545">
        <v>4.45</v>
      </c>
      <c r="F4561" s="161">
        <v>254.29</v>
      </c>
      <c r="G4561" s="191"/>
      <c r="H4561" s="191">
        <v>1.94666666618E-4</v>
      </c>
      <c r="I4561" s="191">
        <v>51</v>
      </c>
      <c r="J4561" s="191"/>
      <c r="K4561" s="191">
        <v>1318.2567385564089</v>
      </c>
      <c r="L4561" s="191"/>
      <c r="M4561" s="191"/>
      <c r="N4561" s="191"/>
      <c r="O4561" s="191"/>
      <c r="P4561" s="191"/>
      <c r="Q4561" s="191">
        <v>4.5440175000000004E-6</v>
      </c>
      <c r="R4561" s="191">
        <v>5.3483578746909358E-7</v>
      </c>
      <c r="S4561" s="191">
        <v>5.9426198607677063E-8</v>
      </c>
      <c r="T4561" s="191">
        <v>2.6741789373454679E-7</v>
      </c>
      <c r="U4561" s="439"/>
      <c r="V4561" s="439"/>
      <c r="W4561" s="178">
        <v>30000</v>
      </c>
      <c r="X4561" s="172">
        <f t="shared" si="10"/>
        <v>0.33333333333333331</v>
      </c>
      <c r="Y4561" s="172">
        <f t="shared" si="10"/>
        <v>0.33333333333333331</v>
      </c>
      <c r="Z4561" s="172">
        <f t="shared" si="10"/>
        <v>0.33333333333333331</v>
      </c>
      <c r="AA4561" s="195"/>
      <c r="AB4561" s="159"/>
    </row>
    <row r="4562" spans="1:28" ht="12.75" customHeight="1" x14ac:dyDescent="0.3">
      <c r="A4562" s="161">
        <v>562</v>
      </c>
      <c r="B4562" s="159" t="s">
        <v>2996</v>
      </c>
      <c r="C4562" s="160" t="s">
        <v>2997</v>
      </c>
      <c r="D4562" s="160" t="s">
        <v>618</v>
      </c>
      <c r="E4562" s="545">
        <v>4.46</v>
      </c>
      <c r="F4562" s="161">
        <v>287.36</v>
      </c>
      <c r="G4562" s="191"/>
      <c r="H4562" s="191">
        <v>2.6933333326599995E-6</v>
      </c>
      <c r="I4562" s="191">
        <v>16.010000000000002</v>
      </c>
      <c r="J4562" s="191"/>
      <c r="K4562" s="191">
        <v>8511.3803820237772</v>
      </c>
      <c r="L4562" s="191"/>
      <c r="M4562" s="191"/>
      <c r="N4562" s="191"/>
      <c r="O4562" s="191"/>
      <c r="P4562" s="191"/>
      <c r="Q4562" s="191">
        <v>1.6333959E-4</v>
      </c>
      <c r="R4562" s="191">
        <v>2.1393431498763744E-7</v>
      </c>
      <c r="S4562" s="191">
        <v>2.3770479443070826E-8</v>
      </c>
      <c r="T4562" s="191">
        <v>1.0696715749381872E-7</v>
      </c>
      <c r="U4562" s="439"/>
      <c r="V4562" s="439"/>
      <c r="W4562" s="178">
        <v>30000</v>
      </c>
      <c r="X4562" s="172">
        <f t="shared" si="10"/>
        <v>0.33333333333333331</v>
      </c>
      <c r="Y4562" s="172">
        <f t="shared" si="10"/>
        <v>0.33333333333333331</v>
      </c>
      <c r="Z4562" s="172">
        <f t="shared" si="10"/>
        <v>0.33333333333333331</v>
      </c>
      <c r="AA4562" s="195"/>
      <c r="AB4562" s="159"/>
    </row>
    <row r="4563" spans="1:28" ht="12.75" customHeight="1" x14ac:dyDescent="0.3">
      <c r="A4563" s="161">
        <v>563</v>
      </c>
      <c r="B4563" s="159" t="s">
        <v>2998</v>
      </c>
      <c r="C4563" s="160" t="s">
        <v>2999</v>
      </c>
      <c r="D4563" s="160" t="s">
        <v>618</v>
      </c>
      <c r="E4563" s="545">
        <v>4.47</v>
      </c>
      <c r="F4563" s="161">
        <v>193.2</v>
      </c>
      <c r="G4563" s="191"/>
      <c r="H4563" s="191">
        <v>3.2533333325199997E-5</v>
      </c>
      <c r="I4563" s="191">
        <v>16540</v>
      </c>
      <c r="J4563" s="191"/>
      <c r="K4563" s="191">
        <v>3.4673685045253171</v>
      </c>
      <c r="L4563" s="191"/>
      <c r="M4563" s="191"/>
      <c r="N4563" s="191"/>
      <c r="O4563" s="191"/>
      <c r="P4563" s="191"/>
      <c r="Q4563" s="191">
        <v>1.0596075E-5</v>
      </c>
      <c r="R4563" s="191">
        <v>5.3483578746909358E-7</v>
      </c>
      <c r="S4563" s="191">
        <v>5.9426198607677063E-8</v>
      </c>
      <c r="T4563" s="191">
        <v>2.6741789373454679E-7</v>
      </c>
      <c r="U4563" s="439"/>
      <c r="V4563" s="439"/>
      <c r="W4563" s="178">
        <v>30000</v>
      </c>
      <c r="X4563" s="172">
        <f t="shared" si="10"/>
        <v>0.33333333333333331</v>
      </c>
      <c r="Y4563" s="172">
        <f t="shared" si="10"/>
        <v>0.33333333333333331</v>
      </c>
      <c r="Z4563" s="172">
        <f t="shared" si="10"/>
        <v>0.33333333333333331</v>
      </c>
      <c r="AA4563" s="195"/>
      <c r="AB4563" s="159"/>
    </row>
    <row r="4564" spans="1:28" ht="12.75" customHeight="1" x14ac:dyDescent="0.3">
      <c r="A4564" s="161">
        <v>564</v>
      </c>
      <c r="B4564" s="159" t="s">
        <v>3000</v>
      </c>
      <c r="C4564" s="160" t="s">
        <v>3001</v>
      </c>
      <c r="D4564" s="160" t="s">
        <v>618</v>
      </c>
      <c r="E4564" s="545">
        <v>4.47</v>
      </c>
      <c r="F4564" s="161">
        <v>359.91</v>
      </c>
      <c r="G4564" s="191"/>
      <c r="H4564" s="191">
        <v>3.5466666657799995E-7</v>
      </c>
      <c r="I4564" s="191">
        <v>1.36</v>
      </c>
      <c r="J4564" s="191"/>
      <c r="K4564" s="191">
        <v>16218.100973589309</v>
      </c>
      <c r="L4564" s="191"/>
      <c r="M4564" s="191"/>
      <c r="N4564" s="191"/>
      <c r="O4564" s="191"/>
      <c r="P4564" s="191"/>
      <c r="Q4564" s="191">
        <v>1.164528225E-4</v>
      </c>
      <c r="R4564" s="191">
        <v>2.1393431498763744E-7</v>
      </c>
      <c r="S4564" s="191">
        <v>2.3770479443070826E-8</v>
      </c>
      <c r="T4564" s="191">
        <v>2.6741789373454678E-6</v>
      </c>
      <c r="U4564" s="439"/>
      <c r="V4564" s="439"/>
      <c r="W4564" s="178">
        <v>30000</v>
      </c>
      <c r="X4564" s="172">
        <f t="shared" si="10"/>
        <v>0.33333333333333331</v>
      </c>
      <c r="Y4564" s="172">
        <f t="shared" si="10"/>
        <v>0.33333333333333331</v>
      </c>
      <c r="Z4564" s="172">
        <f t="shared" si="10"/>
        <v>0.33333333333333331</v>
      </c>
      <c r="AA4564" s="195"/>
      <c r="AB4564" s="159"/>
    </row>
    <row r="4565" spans="1:28" ht="12.75" customHeight="1" x14ac:dyDescent="0.3">
      <c r="A4565" s="161">
        <v>565</v>
      </c>
      <c r="B4565" s="159" t="s">
        <v>3002</v>
      </c>
      <c r="C4565" s="160" t="s">
        <v>3003</v>
      </c>
      <c r="D4565" s="160" t="s">
        <v>618</v>
      </c>
      <c r="E4565" s="545">
        <v>4.4800000000000004</v>
      </c>
      <c r="F4565" s="161">
        <v>250.34</v>
      </c>
      <c r="G4565" s="191"/>
      <c r="H4565" s="191">
        <v>4.0666666656499996E-3</v>
      </c>
      <c r="I4565" s="191">
        <v>4.9640000000000004</v>
      </c>
      <c r="J4565" s="191"/>
      <c r="K4565" s="191">
        <v>58884.365535558936</v>
      </c>
      <c r="L4565" s="191"/>
      <c r="M4565" s="191"/>
      <c r="N4565" s="191"/>
      <c r="O4565" s="191"/>
      <c r="P4565" s="191"/>
      <c r="Q4565" s="191">
        <v>6.1789469999999993E-5</v>
      </c>
      <c r="R4565" s="191">
        <v>2.1393431498763744E-7</v>
      </c>
      <c r="S4565" s="191">
        <v>2.3770479443070826E-8</v>
      </c>
      <c r="T4565" s="191">
        <v>1.0696715749381872E-7</v>
      </c>
      <c r="U4565" s="439"/>
      <c r="V4565" s="439"/>
      <c r="W4565" s="178">
        <v>30000</v>
      </c>
      <c r="X4565" s="172">
        <f t="shared" si="10"/>
        <v>0.33333333333333331</v>
      </c>
      <c r="Y4565" s="172">
        <f t="shared" si="10"/>
        <v>0.33333333333333331</v>
      </c>
      <c r="Z4565" s="172">
        <f t="shared" si="10"/>
        <v>0.33333333333333331</v>
      </c>
      <c r="AA4565" s="195"/>
      <c r="AB4565" s="159"/>
    </row>
    <row r="4566" spans="1:28" ht="12.75" customHeight="1" x14ac:dyDescent="0.3">
      <c r="A4566" s="161">
        <v>566</v>
      </c>
      <c r="B4566" s="159" t="s">
        <v>3004</v>
      </c>
      <c r="C4566" s="160" t="s">
        <v>3005</v>
      </c>
      <c r="D4566" s="160" t="s">
        <v>618</v>
      </c>
      <c r="E4566" s="545">
        <v>4.5</v>
      </c>
      <c r="F4566" s="161">
        <v>226.66</v>
      </c>
      <c r="G4566" s="191"/>
      <c r="H4566" s="191">
        <v>5.0933333320599995E-3</v>
      </c>
      <c r="I4566" s="191">
        <v>600.29999999999995</v>
      </c>
      <c r="J4566" s="191"/>
      <c r="K4566" s="191">
        <v>301.99517204020168</v>
      </c>
      <c r="L4566" s="191"/>
      <c r="M4566" s="191"/>
      <c r="N4566" s="191"/>
      <c r="O4566" s="191"/>
      <c r="P4566" s="191"/>
      <c r="Q4566" s="191">
        <v>2.9769900000000001E-5</v>
      </c>
      <c r="R4566" s="191">
        <v>2.1393431498763744E-7</v>
      </c>
      <c r="S4566" s="191">
        <v>2.3770479443070826E-8</v>
      </c>
      <c r="T4566" s="191">
        <v>1.0696715749381872E-7</v>
      </c>
      <c r="U4566" s="439"/>
      <c r="V4566" s="439"/>
      <c r="W4566" s="178">
        <v>30000</v>
      </c>
      <c r="X4566" s="172">
        <f t="shared" si="10"/>
        <v>0.33333333333333331</v>
      </c>
      <c r="Y4566" s="172">
        <f t="shared" si="10"/>
        <v>0.33333333333333331</v>
      </c>
      <c r="Z4566" s="172">
        <f t="shared" si="10"/>
        <v>0.33333333333333331</v>
      </c>
      <c r="AA4566" s="195"/>
      <c r="AB4566" s="159"/>
    </row>
    <row r="4567" spans="1:28" ht="12.75" customHeight="1" x14ac:dyDescent="0.3">
      <c r="A4567" s="161">
        <v>567</v>
      </c>
      <c r="B4567" s="159" t="s">
        <v>3006</v>
      </c>
      <c r="C4567" s="160" t="s">
        <v>3007</v>
      </c>
      <c r="D4567" s="160" t="s">
        <v>618</v>
      </c>
      <c r="E4567" s="545">
        <v>4.51</v>
      </c>
      <c r="F4567" s="161">
        <v>168.15</v>
      </c>
      <c r="G4567" s="191"/>
      <c r="H4567" s="191">
        <v>1.9733333328399998E-4</v>
      </c>
      <c r="I4567" s="191">
        <v>1500</v>
      </c>
      <c r="J4567" s="191"/>
      <c r="K4567" s="191">
        <v>26.915348039269158</v>
      </c>
      <c r="L4567" s="191"/>
      <c r="M4567" s="191"/>
      <c r="N4567" s="191"/>
      <c r="O4567" s="191"/>
      <c r="P4567" s="191"/>
      <c r="Q4567" s="191">
        <v>9.1229324999999992E-6</v>
      </c>
      <c r="R4567" s="191">
        <v>5.3483578746909358E-7</v>
      </c>
      <c r="S4567" s="191">
        <v>5.9426198607677063E-8</v>
      </c>
      <c r="T4567" s="191">
        <v>2.6741789373454679E-7</v>
      </c>
      <c r="U4567" s="439"/>
      <c r="V4567" s="439"/>
      <c r="W4567" s="178">
        <v>30000</v>
      </c>
      <c r="X4567" s="172">
        <f t="shared" si="10"/>
        <v>0.33333333333333331</v>
      </c>
      <c r="Y4567" s="172">
        <f t="shared" si="10"/>
        <v>0.33333333333333331</v>
      </c>
      <c r="Z4567" s="172">
        <f t="shared" si="10"/>
        <v>0.33333333333333331</v>
      </c>
      <c r="AA4567" s="195"/>
      <c r="AB4567" s="159"/>
    </row>
    <row r="4568" spans="1:28" ht="12.75" customHeight="1" x14ac:dyDescent="0.3">
      <c r="A4568" s="161">
        <v>568</v>
      </c>
      <c r="B4568" s="159" t="s">
        <v>3008</v>
      </c>
      <c r="C4568" s="160" t="s">
        <v>3009</v>
      </c>
      <c r="D4568" s="160" t="s">
        <v>618</v>
      </c>
      <c r="E4568" s="545">
        <v>4.57</v>
      </c>
      <c r="F4568" s="161">
        <v>252.27</v>
      </c>
      <c r="G4568" s="191"/>
      <c r="H4568" s="191">
        <v>2.1599999994600001E-3</v>
      </c>
      <c r="I4568" s="191">
        <v>2.8</v>
      </c>
      <c r="J4568" s="191"/>
      <c r="K4568" s="191">
        <v>39.810717055349755</v>
      </c>
      <c r="L4568" s="191"/>
      <c r="M4568" s="191"/>
      <c r="N4568" s="191"/>
      <c r="O4568" s="191"/>
      <c r="P4568" s="191"/>
      <c r="Q4568" s="191">
        <v>7.1314192500000005E-5</v>
      </c>
      <c r="R4568" s="191">
        <v>5.3483578746909358E-7</v>
      </c>
      <c r="S4568" s="191">
        <v>5.9426198607677063E-8</v>
      </c>
      <c r="T4568" s="191">
        <v>5.4948882274221939E-7</v>
      </c>
      <c r="U4568" s="439"/>
      <c r="V4568" s="439"/>
      <c r="W4568" s="178">
        <v>30000</v>
      </c>
      <c r="X4568" s="172">
        <f t="shared" si="10"/>
        <v>0.33333333333333331</v>
      </c>
      <c r="Y4568" s="172">
        <f t="shared" si="10"/>
        <v>0.33333333333333331</v>
      </c>
      <c r="Z4568" s="172">
        <f t="shared" si="10"/>
        <v>0.33333333333333331</v>
      </c>
      <c r="AA4568" s="195"/>
      <c r="AB4568" s="159"/>
    </row>
    <row r="4569" spans="1:28" ht="12.75" customHeight="1" x14ac:dyDescent="0.3">
      <c r="A4569" s="161">
        <v>569</v>
      </c>
      <c r="B4569" s="159" t="s">
        <v>3010</v>
      </c>
      <c r="C4569" s="160" t="s">
        <v>3011</v>
      </c>
      <c r="D4569" s="160" t="s">
        <v>618</v>
      </c>
      <c r="E4569" s="545">
        <v>4.59</v>
      </c>
      <c r="F4569" s="161">
        <v>470.7</v>
      </c>
      <c r="G4569" s="191"/>
      <c r="H4569" s="191">
        <v>3.8799999990299996E-13</v>
      </c>
      <c r="I4569" s="191">
        <v>1.1379999999999999E-2</v>
      </c>
      <c r="J4569" s="191"/>
      <c r="K4569" s="191">
        <v>7943282.3472428275</v>
      </c>
      <c r="L4569" s="191"/>
      <c r="M4569" s="191"/>
      <c r="N4569" s="191"/>
      <c r="O4569" s="191"/>
      <c r="P4569" s="191"/>
      <c r="Q4569" s="191">
        <v>8.3833019999999996E-5</v>
      </c>
      <c r="R4569" s="191">
        <v>4.45696489557578E-8</v>
      </c>
      <c r="S4569" s="191">
        <v>4.9521832173064224E-9</v>
      </c>
      <c r="T4569" s="191">
        <v>2.22848244778789E-8</v>
      </c>
      <c r="U4569" s="439"/>
      <c r="V4569" s="439"/>
      <c r="W4569" s="178">
        <v>30000</v>
      </c>
      <c r="X4569" s="172">
        <f t="shared" si="10"/>
        <v>0.33333333333333331</v>
      </c>
      <c r="Y4569" s="172">
        <f t="shared" si="10"/>
        <v>0.33333333333333331</v>
      </c>
      <c r="Z4569" s="172">
        <f t="shared" si="10"/>
        <v>0.33333333333333331</v>
      </c>
      <c r="AA4569" s="195"/>
      <c r="AB4569" s="159"/>
    </row>
    <row r="4570" spans="1:28" ht="12.75" customHeight="1" x14ac:dyDescent="0.3">
      <c r="A4570" s="161">
        <v>570</v>
      </c>
      <c r="B4570" s="159" t="s">
        <v>3012</v>
      </c>
      <c r="C4570" s="160" t="s">
        <v>3013</v>
      </c>
      <c r="D4570" s="160" t="s">
        <v>618</v>
      </c>
      <c r="E4570" s="545">
        <v>4.59</v>
      </c>
      <c r="F4570" s="161">
        <v>98.1</v>
      </c>
      <c r="G4570" s="191"/>
      <c r="H4570" s="191">
        <v>28.133333326299997</v>
      </c>
      <c r="I4570" s="191">
        <v>62390</v>
      </c>
      <c r="J4570" s="191"/>
      <c r="K4570" s="191">
        <v>6.1659500186148231</v>
      </c>
      <c r="L4570" s="191"/>
      <c r="M4570" s="191"/>
      <c r="N4570" s="191"/>
      <c r="O4570" s="191"/>
      <c r="P4570" s="191"/>
      <c r="Q4570" s="191">
        <v>7.14783E-6</v>
      </c>
      <c r="R4570" s="191">
        <v>9.2532143160742838E-7</v>
      </c>
      <c r="S4570" s="191">
        <v>1.0281349240082538E-7</v>
      </c>
      <c r="T4570" s="191">
        <v>4.6266071580371419E-7</v>
      </c>
      <c r="U4570" s="439"/>
      <c r="V4570" s="439"/>
      <c r="W4570" s="178">
        <v>30000</v>
      </c>
      <c r="X4570" s="172">
        <f t="shared" si="10"/>
        <v>0.33333333333333331</v>
      </c>
      <c r="Y4570" s="172">
        <f t="shared" si="10"/>
        <v>0.33333333333333331</v>
      </c>
      <c r="Z4570" s="172">
        <f t="shared" si="10"/>
        <v>0.33333333333333331</v>
      </c>
      <c r="AA4570" s="195"/>
      <c r="AB4570" s="159"/>
    </row>
    <row r="4571" spans="1:28" ht="12.75" customHeight="1" x14ac:dyDescent="0.3">
      <c r="A4571" s="161">
        <v>571</v>
      </c>
      <c r="B4571" s="159" t="s">
        <v>3016</v>
      </c>
      <c r="C4571" s="160" t="s">
        <v>3017</v>
      </c>
      <c r="D4571" s="160" t="s">
        <v>618</v>
      </c>
      <c r="E4571" s="545">
        <v>4.62</v>
      </c>
      <c r="F4571" s="161">
        <v>240.22</v>
      </c>
      <c r="G4571" s="191"/>
      <c r="H4571" s="191">
        <v>9.9199999975199994E-3</v>
      </c>
      <c r="I4571" s="191">
        <v>52</v>
      </c>
      <c r="J4571" s="191"/>
      <c r="K4571" s="191">
        <v>3630.7805477010188</v>
      </c>
      <c r="L4571" s="191"/>
      <c r="M4571" s="191"/>
      <c r="N4571" s="191"/>
      <c r="O4571" s="191"/>
      <c r="P4571" s="191"/>
      <c r="Q4571" s="191">
        <v>3.0254175000000002E-6</v>
      </c>
      <c r="R4571" s="191">
        <v>2.1393431498763744E-7</v>
      </c>
      <c r="S4571" s="191">
        <v>2.3770479443070826E-8</v>
      </c>
      <c r="T4571" s="191">
        <v>4.4569648955757796E-7</v>
      </c>
      <c r="U4571" s="439"/>
      <c r="V4571" s="439"/>
      <c r="W4571" s="178">
        <v>30000</v>
      </c>
      <c r="X4571" s="172">
        <f t="shared" si="10"/>
        <v>0.33333333333333331</v>
      </c>
      <c r="Y4571" s="172">
        <f t="shared" si="10"/>
        <v>0.33333333333333331</v>
      </c>
      <c r="Z4571" s="172">
        <f t="shared" si="10"/>
        <v>0.33333333333333331</v>
      </c>
      <c r="AA4571" s="195"/>
      <c r="AB4571" s="159"/>
    </row>
    <row r="4572" spans="1:28" ht="12.75" customHeight="1" x14ac:dyDescent="0.3">
      <c r="A4572" s="161">
        <v>572</v>
      </c>
      <c r="B4572" s="159" t="s">
        <v>3014</v>
      </c>
      <c r="C4572" s="160" t="s">
        <v>3015</v>
      </c>
      <c r="D4572" s="160" t="s">
        <v>618</v>
      </c>
      <c r="E4572" s="545">
        <v>4.62</v>
      </c>
      <c r="F4572" s="161">
        <v>180.16</v>
      </c>
      <c r="G4572" s="191"/>
      <c r="H4572" s="191">
        <v>3.9199999990199996E-6</v>
      </c>
      <c r="I4572" s="191">
        <v>54070</v>
      </c>
      <c r="J4572" s="191"/>
      <c r="K4572" s="191">
        <v>14.125375446227544</v>
      </c>
      <c r="L4572" s="191"/>
      <c r="M4572" s="191"/>
      <c r="N4572" s="191"/>
      <c r="O4572" s="191"/>
      <c r="P4572" s="191"/>
      <c r="Q4572" s="191">
        <v>3.15828675E-5</v>
      </c>
      <c r="R4572" s="191">
        <v>9.2532143160742838E-7</v>
      </c>
      <c r="S4572" s="191">
        <v>1.0281349240082538E-7</v>
      </c>
      <c r="T4572" s="191">
        <v>4.6266071580371419E-7</v>
      </c>
      <c r="U4572" s="439"/>
      <c r="V4572" s="439"/>
      <c r="W4572" s="178">
        <v>30000</v>
      </c>
      <c r="X4572" s="172">
        <f t="shared" si="10"/>
        <v>0.33333333333333331</v>
      </c>
      <c r="Y4572" s="172">
        <f t="shared" si="10"/>
        <v>0.33333333333333331</v>
      </c>
      <c r="Z4572" s="172">
        <f t="shared" si="10"/>
        <v>0.33333333333333331</v>
      </c>
      <c r="AA4572" s="195"/>
      <c r="AB4572" s="159"/>
    </row>
    <row r="4573" spans="1:28" ht="12.75" customHeight="1" x14ac:dyDescent="0.3">
      <c r="A4573" s="161">
        <v>573</v>
      </c>
      <c r="B4573" s="159" t="s">
        <v>3018</v>
      </c>
      <c r="C4573" s="160" t="s">
        <v>3019</v>
      </c>
      <c r="D4573" s="160" t="s">
        <v>618</v>
      </c>
      <c r="E4573" s="545">
        <v>4.62</v>
      </c>
      <c r="F4573" s="161">
        <v>488.59</v>
      </c>
      <c r="G4573" s="191"/>
      <c r="H4573" s="191">
        <v>6.7733333316399994E-6</v>
      </c>
      <c r="I4573" s="191">
        <v>2.605E-2</v>
      </c>
      <c r="J4573" s="191"/>
      <c r="K4573" s="191">
        <v>912010.83935591124</v>
      </c>
      <c r="L4573" s="191"/>
      <c r="M4573" s="191"/>
      <c r="N4573" s="191"/>
      <c r="O4573" s="191"/>
      <c r="P4573" s="191"/>
      <c r="Q4573" s="191">
        <v>3.3821999999999997E-7</v>
      </c>
      <c r="R4573" s="191">
        <v>4.45696489557578E-8</v>
      </c>
      <c r="S4573" s="191">
        <v>4.9521832173064224E-9</v>
      </c>
      <c r="T4573" s="191">
        <v>2.22848244778789E-8</v>
      </c>
      <c r="U4573" s="439"/>
      <c r="V4573" s="439"/>
      <c r="W4573" s="178">
        <v>30000</v>
      </c>
      <c r="X4573" s="172">
        <f t="shared" si="10"/>
        <v>0.33333333333333331</v>
      </c>
      <c r="Y4573" s="172">
        <f t="shared" si="10"/>
        <v>0.33333333333333331</v>
      </c>
      <c r="Z4573" s="172">
        <f t="shared" si="10"/>
        <v>0.33333333333333331</v>
      </c>
      <c r="AA4573" s="195"/>
      <c r="AB4573" s="159"/>
    </row>
    <row r="4574" spans="1:28" ht="12.75" customHeight="1" x14ac:dyDescent="0.3">
      <c r="A4574" s="161">
        <v>574</v>
      </c>
      <c r="B4574" s="159" t="s">
        <v>3020</v>
      </c>
      <c r="C4574" s="160" t="s">
        <v>3021</v>
      </c>
      <c r="D4574" s="160" t="s">
        <v>618</v>
      </c>
      <c r="E4574" s="545">
        <v>4.63</v>
      </c>
      <c r="F4574" s="161">
        <v>100.12</v>
      </c>
      <c r="G4574" s="191"/>
      <c r="H4574" s="191">
        <v>85.066666645399991</v>
      </c>
      <c r="I4574" s="191">
        <v>17650</v>
      </c>
      <c r="J4574" s="191"/>
      <c r="K4574" s="191">
        <v>26.302679918953825</v>
      </c>
      <c r="L4574" s="191"/>
      <c r="M4574" s="191"/>
      <c r="N4574" s="191"/>
      <c r="O4574" s="191"/>
      <c r="P4574" s="191"/>
      <c r="Q4574" s="191">
        <v>2.1622822500000001E-5</v>
      </c>
      <c r="R4574" s="191">
        <v>9.2532143160742838E-7</v>
      </c>
      <c r="S4574" s="191">
        <v>1.0281349240082538E-7</v>
      </c>
      <c r="T4574" s="191">
        <v>4.6266071580371419E-7</v>
      </c>
      <c r="U4574" s="439"/>
      <c r="V4574" s="439"/>
      <c r="W4574" s="178">
        <v>30000</v>
      </c>
      <c r="X4574" s="172">
        <f t="shared" si="10"/>
        <v>0.33333333333333331</v>
      </c>
      <c r="Y4574" s="172">
        <f t="shared" si="10"/>
        <v>0.33333333333333331</v>
      </c>
      <c r="Z4574" s="172">
        <f t="shared" si="10"/>
        <v>0.33333333333333331</v>
      </c>
      <c r="AA4574" s="195"/>
      <c r="AB4574" s="159"/>
    </row>
    <row r="4575" spans="1:28" ht="12.75" customHeight="1" x14ac:dyDescent="0.3">
      <c r="A4575" s="161">
        <v>575</v>
      </c>
      <c r="B4575" s="159" t="s">
        <v>3022</v>
      </c>
      <c r="C4575" s="160" t="s">
        <v>1725</v>
      </c>
      <c r="D4575" s="160" t="s">
        <v>618</v>
      </c>
      <c r="E4575" s="545">
        <v>4.6500000000000004</v>
      </c>
      <c r="F4575" s="161">
        <v>86.09</v>
      </c>
      <c r="G4575" s="191"/>
      <c r="H4575" s="191">
        <v>131.99999996699998</v>
      </c>
      <c r="I4575" s="191">
        <v>89000</v>
      </c>
      <c r="J4575" s="191"/>
      <c r="K4575" s="191">
        <v>8.5113803820237681</v>
      </c>
      <c r="L4575" s="191"/>
      <c r="M4575" s="191"/>
      <c r="N4575" s="191"/>
      <c r="O4575" s="191"/>
      <c r="P4575" s="191"/>
      <c r="Q4575" s="191">
        <v>1.39845E-5</v>
      </c>
      <c r="R4575" s="191">
        <v>9.2532143160742838E-7</v>
      </c>
      <c r="S4575" s="191">
        <v>1.0281349240082538E-7</v>
      </c>
      <c r="T4575" s="191">
        <v>4.6266071580371419E-7</v>
      </c>
      <c r="U4575" s="439"/>
      <c r="V4575" s="439"/>
      <c r="W4575" s="178">
        <v>30000</v>
      </c>
      <c r="X4575" s="172">
        <f t="shared" si="10"/>
        <v>0.33333333333333331</v>
      </c>
      <c r="Y4575" s="172">
        <f t="shared" si="10"/>
        <v>0.33333333333333331</v>
      </c>
      <c r="Z4575" s="172">
        <f t="shared" si="10"/>
        <v>0.33333333333333331</v>
      </c>
      <c r="AA4575" s="195"/>
      <c r="AB4575" s="159"/>
    </row>
    <row r="4576" spans="1:28" ht="12.75" customHeight="1" x14ac:dyDescent="0.3">
      <c r="A4576" s="161">
        <v>576</v>
      </c>
      <c r="B4576" s="159" t="s">
        <v>3023</v>
      </c>
      <c r="C4576" s="160" t="s">
        <v>3024</v>
      </c>
      <c r="D4576" s="160" t="s">
        <v>618</v>
      </c>
      <c r="E4576" s="545">
        <v>4.66</v>
      </c>
      <c r="F4576" s="161">
        <v>150.18</v>
      </c>
      <c r="G4576" s="191"/>
      <c r="H4576" s="191">
        <v>0.35599999991100001</v>
      </c>
      <c r="I4576" s="191">
        <v>5900</v>
      </c>
      <c r="J4576" s="191"/>
      <c r="K4576" s="191">
        <v>69.183097091893657</v>
      </c>
      <c r="L4576" s="191"/>
      <c r="M4576" s="191"/>
      <c r="N4576" s="191"/>
      <c r="O4576" s="191"/>
      <c r="P4576" s="191"/>
      <c r="Q4576" s="191">
        <v>5.5316249999999997E-6</v>
      </c>
      <c r="R4576" s="191">
        <v>5.3483578746909358E-7</v>
      </c>
      <c r="S4576" s="191">
        <v>5.9426198607677063E-8</v>
      </c>
      <c r="T4576" s="191">
        <v>2.6741789373454679E-7</v>
      </c>
      <c r="U4576" s="439"/>
      <c r="V4576" s="439"/>
      <c r="W4576" s="178">
        <v>30000</v>
      </c>
      <c r="X4576" s="172">
        <f t="shared" si="10"/>
        <v>0.33333333333333331</v>
      </c>
      <c r="Y4576" s="172">
        <f t="shared" si="10"/>
        <v>0.33333333333333331</v>
      </c>
      <c r="Z4576" s="172">
        <f t="shared" si="10"/>
        <v>0.33333333333333331</v>
      </c>
      <c r="AA4576" s="195"/>
      <c r="AB4576" s="159"/>
    </row>
    <row r="4577" spans="1:28" ht="12.75" customHeight="1" x14ac:dyDescent="0.3">
      <c r="A4577" s="161">
        <v>577</v>
      </c>
      <c r="B4577" s="159" t="s">
        <v>3025</v>
      </c>
      <c r="C4577" s="160" t="s">
        <v>3026</v>
      </c>
      <c r="D4577" s="160" t="s">
        <v>618</v>
      </c>
      <c r="E4577" s="545">
        <v>4.68</v>
      </c>
      <c r="F4577" s="161">
        <v>160.16999999999999</v>
      </c>
      <c r="G4577" s="191"/>
      <c r="H4577" s="191">
        <v>2.6666666660000001E-2</v>
      </c>
      <c r="I4577" s="191">
        <v>100000</v>
      </c>
      <c r="J4577" s="191"/>
      <c r="K4577" s="191">
        <v>3.1622776601683784E-2</v>
      </c>
      <c r="L4577" s="191"/>
      <c r="M4577" s="191"/>
      <c r="N4577" s="191"/>
      <c r="O4577" s="191"/>
      <c r="P4577" s="191"/>
      <c r="Q4577" s="191">
        <v>9.1073775000000004E-6</v>
      </c>
      <c r="R4577" s="191">
        <v>5.3483578746909358E-7</v>
      </c>
      <c r="S4577" s="191">
        <v>5.9426198607677063E-8</v>
      </c>
      <c r="T4577" s="191">
        <v>1.3370894686727342E-5</v>
      </c>
      <c r="U4577" s="439"/>
      <c r="V4577" s="439"/>
      <c r="W4577" s="178">
        <v>30000</v>
      </c>
      <c r="X4577" s="172">
        <f t="shared" si="10"/>
        <v>0.33333333333333331</v>
      </c>
      <c r="Y4577" s="172">
        <f t="shared" si="10"/>
        <v>0.33333333333333331</v>
      </c>
      <c r="Z4577" s="172">
        <f t="shared" si="10"/>
        <v>0.33333333333333331</v>
      </c>
      <c r="AA4577" s="195"/>
      <c r="AB4577" s="159"/>
    </row>
    <row r="4578" spans="1:28" ht="12.75" customHeight="1" x14ac:dyDescent="0.3">
      <c r="A4578" s="161">
        <v>578</v>
      </c>
      <c r="B4578" s="159" t="s">
        <v>3027</v>
      </c>
      <c r="C4578" s="160" t="s">
        <v>3028</v>
      </c>
      <c r="D4578" s="160" t="s">
        <v>618</v>
      </c>
      <c r="E4578" s="545">
        <v>4.6900000000000004</v>
      </c>
      <c r="F4578" s="161">
        <v>300.44</v>
      </c>
      <c r="G4578" s="191"/>
      <c r="H4578" s="191">
        <v>1.35999999966E-5</v>
      </c>
      <c r="I4578" s="191">
        <v>0.1263</v>
      </c>
      <c r="J4578" s="191"/>
      <c r="K4578" s="191">
        <v>1995262.31496888</v>
      </c>
      <c r="L4578" s="191"/>
      <c r="M4578" s="191"/>
      <c r="N4578" s="191"/>
      <c r="O4578" s="191"/>
      <c r="P4578" s="191"/>
      <c r="Q4578" s="191">
        <v>2.1940313249999997E-4</v>
      </c>
      <c r="R4578" s="191">
        <v>2.1393431498763744E-7</v>
      </c>
      <c r="S4578" s="191">
        <v>2.3770479443070826E-8</v>
      </c>
      <c r="T4578" s="191">
        <v>1.0696715749381872E-7</v>
      </c>
      <c r="U4578" s="439"/>
      <c r="V4578" s="439"/>
      <c r="W4578" s="178">
        <v>30000</v>
      </c>
      <c r="X4578" s="172">
        <f t="shared" ref="X4578:Z4641" si="11">1/3</f>
        <v>0.33333333333333331</v>
      </c>
      <c r="Y4578" s="172">
        <f t="shared" si="11"/>
        <v>0.33333333333333331</v>
      </c>
      <c r="Z4578" s="172">
        <f t="shared" si="11"/>
        <v>0.33333333333333331</v>
      </c>
      <c r="AA4578" s="195"/>
      <c r="AB4578" s="159"/>
    </row>
    <row r="4579" spans="1:28" ht="12.75" customHeight="1" x14ac:dyDescent="0.3">
      <c r="A4579" s="161">
        <v>579</v>
      </c>
      <c r="B4579" s="159" t="s">
        <v>3029</v>
      </c>
      <c r="C4579" s="160" t="s">
        <v>3030</v>
      </c>
      <c r="D4579" s="160" t="s">
        <v>618</v>
      </c>
      <c r="E4579" s="545">
        <v>4.7</v>
      </c>
      <c r="F4579" s="161">
        <v>266.33999999999997</v>
      </c>
      <c r="G4579" s="191"/>
      <c r="H4579" s="191">
        <v>1.4666666663E-2</v>
      </c>
      <c r="I4579" s="191">
        <v>14</v>
      </c>
      <c r="J4579" s="191"/>
      <c r="K4579" s="191">
        <v>131825.67385564081</v>
      </c>
      <c r="L4579" s="191"/>
      <c r="M4579" s="191"/>
      <c r="N4579" s="191"/>
      <c r="O4579" s="191"/>
      <c r="P4579" s="191"/>
      <c r="Q4579" s="191">
        <v>4.128675E-7</v>
      </c>
      <c r="R4579" s="191">
        <v>4.45696489557578E-8</v>
      </c>
      <c r="S4579" s="191">
        <v>4.9521832173064224E-9</v>
      </c>
      <c r="T4579" s="191">
        <v>1.27341854159308E-7</v>
      </c>
      <c r="U4579" s="439"/>
      <c r="V4579" s="439"/>
      <c r="W4579" s="178">
        <v>30000</v>
      </c>
      <c r="X4579" s="172">
        <f t="shared" si="11"/>
        <v>0.33333333333333331</v>
      </c>
      <c r="Y4579" s="172">
        <f t="shared" si="11"/>
        <v>0.33333333333333331</v>
      </c>
      <c r="Z4579" s="172">
        <f t="shared" si="11"/>
        <v>0.33333333333333331</v>
      </c>
      <c r="AA4579" s="195"/>
      <c r="AB4579" s="159"/>
    </row>
    <row r="4580" spans="1:28" ht="12.75" customHeight="1" x14ac:dyDescent="0.3">
      <c r="A4580" s="161">
        <v>580</v>
      </c>
      <c r="B4580" s="159" t="s">
        <v>3031</v>
      </c>
      <c r="C4580" s="160" t="s">
        <v>3032</v>
      </c>
      <c r="D4580" s="160" t="s">
        <v>618</v>
      </c>
      <c r="E4580" s="545">
        <v>4.7</v>
      </c>
      <c r="F4580" s="161">
        <v>454.45</v>
      </c>
      <c r="G4580" s="191"/>
      <c r="H4580" s="191">
        <v>2.01333333283E-15</v>
      </c>
      <c r="I4580" s="191">
        <v>2600</v>
      </c>
      <c r="J4580" s="191"/>
      <c r="K4580" s="191">
        <v>1.4125375446227528E-2</v>
      </c>
      <c r="L4580" s="191"/>
      <c r="M4580" s="191"/>
      <c r="N4580" s="191"/>
      <c r="O4580" s="191"/>
      <c r="P4580" s="191"/>
      <c r="Q4580" s="191">
        <v>2.378055975E-4</v>
      </c>
      <c r="R4580" s="191">
        <v>2.1393431498763744E-7</v>
      </c>
      <c r="S4580" s="191">
        <v>2.3770479443070826E-8</v>
      </c>
      <c r="T4580" s="191">
        <v>1.0696715749381872E-7</v>
      </c>
      <c r="U4580" s="439"/>
      <c r="V4580" s="439"/>
      <c r="W4580" s="178">
        <v>30000</v>
      </c>
      <c r="X4580" s="172">
        <f t="shared" si="11"/>
        <v>0.33333333333333331</v>
      </c>
      <c r="Y4580" s="172">
        <f t="shared" si="11"/>
        <v>0.33333333333333331</v>
      </c>
      <c r="Z4580" s="172">
        <f t="shared" si="11"/>
        <v>0.33333333333333331</v>
      </c>
      <c r="AA4580" s="195"/>
      <c r="AB4580" s="159"/>
    </row>
    <row r="4581" spans="1:28" ht="12.75" customHeight="1" x14ac:dyDescent="0.3">
      <c r="A4581" s="161">
        <v>581</v>
      </c>
      <c r="B4581" s="159" t="s">
        <v>3033</v>
      </c>
      <c r="C4581" s="160" t="s">
        <v>3034</v>
      </c>
      <c r="D4581" s="160" t="s">
        <v>618</v>
      </c>
      <c r="E4581" s="545">
        <v>4.71</v>
      </c>
      <c r="F4581" s="161">
        <v>116.16</v>
      </c>
      <c r="G4581" s="191"/>
      <c r="H4581" s="191">
        <v>25.066666660399999</v>
      </c>
      <c r="I4581" s="191">
        <v>18000</v>
      </c>
      <c r="J4581" s="191"/>
      <c r="K4581" s="191">
        <v>47.863009232263856</v>
      </c>
      <c r="L4581" s="191"/>
      <c r="M4581" s="191"/>
      <c r="N4581" s="191"/>
      <c r="O4581" s="191"/>
      <c r="P4581" s="191"/>
      <c r="Q4581" s="191">
        <v>4.0151025000000001E-6</v>
      </c>
      <c r="R4581" s="191">
        <v>9.2532143160742838E-7</v>
      </c>
      <c r="S4581" s="191">
        <v>1.0281349240082538E-7</v>
      </c>
      <c r="T4581" s="191">
        <v>4.6266071580371419E-7</v>
      </c>
      <c r="U4581" s="439"/>
      <c r="V4581" s="439"/>
      <c r="W4581" s="178">
        <v>30000</v>
      </c>
      <c r="X4581" s="172">
        <f t="shared" si="11"/>
        <v>0.33333333333333331</v>
      </c>
      <c r="Y4581" s="172">
        <f t="shared" si="11"/>
        <v>0.33333333333333331</v>
      </c>
      <c r="Z4581" s="172">
        <f t="shared" si="11"/>
        <v>0.33333333333333331</v>
      </c>
      <c r="AA4581" s="195"/>
      <c r="AB4581" s="159"/>
    </row>
    <row r="4582" spans="1:28" ht="12.75" customHeight="1" x14ac:dyDescent="0.3">
      <c r="A4582" s="161">
        <v>582</v>
      </c>
      <c r="B4582" s="159" t="s">
        <v>3036</v>
      </c>
      <c r="C4582" s="160" t="s">
        <v>3037</v>
      </c>
      <c r="D4582" s="160" t="s">
        <v>618</v>
      </c>
      <c r="E4582" s="545">
        <v>4.72</v>
      </c>
      <c r="F4582" s="161">
        <v>200.32</v>
      </c>
      <c r="G4582" s="191"/>
      <c r="H4582" s="191">
        <v>4.2133333322800004</v>
      </c>
      <c r="I4582" s="191">
        <v>225.9</v>
      </c>
      <c r="J4582" s="191"/>
      <c r="K4582" s="191">
        <v>2398.8329190194918</v>
      </c>
      <c r="L4582" s="191"/>
      <c r="M4582" s="191"/>
      <c r="N4582" s="191"/>
      <c r="O4582" s="191"/>
      <c r="P4582" s="191"/>
      <c r="Q4582" s="191">
        <v>7.2910725000000001E-6</v>
      </c>
      <c r="R4582" s="191">
        <v>5.3483578746909358E-7</v>
      </c>
      <c r="S4582" s="191">
        <v>5.9426198607677063E-8</v>
      </c>
      <c r="T4582" s="191">
        <v>2.6741789373454679E-7</v>
      </c>
      <c r="U4582" s="439"/>
      <c r="V4582" s="439"/>
      <c r="W4582" s="178">
        <v>30000</v>
      </c>
      <c r="X4582" s="172">
        <f t="shared" si="11"/>
        <v>0.33333333333333331</v>
      </c>
      <c r="Y4582" s="172">
        <f t="shared" si="11"/>
        <v>0.33333333333333331</v>
      </c>
      <c r="Z4582" s="172">
        <f t="shared" si="11"/>
        <v>0.33333333333333331</v>
      </c>
      <c r="AA4582" s="195"/>
      <c r="AB4582" s="159"/>
    </row>
    <row r="4583" spans="1:28" ht="12.75" customHeight="1" x14ac:dyDescent="0.3">
      <c r="A4583" s="161">
        <v>583</v>
      </c>
      <c r="B4583" s="159" t="s">
        <v>3035</v>
      </c>
      <c r="C4583" s="160" t="s">
        <v>1705</v>
      </c>
      <c r="D4583" s="160" t="s">
        <v>618</v>
      </c>
      <c r="E4583" s="545">
        <v>4.72</v>
      </c>
      <c r="F4583" s="161">
        <v>144.22</v>
      </c>
      <c r="G4583" s="191"/>
      <c r="H4583" s="191">
        <v>3.9999999989999995</v>
      </c>
      <c r="I4583" s="191">
        <v>2000</v>
      </c>
      <c r="J4583" s="191"/>
      <c r="K4583" s="191">
        <v>436.51583224016622</v>
      </c>
      <c r="L4583" s="191"/>
      <c r="M4583" s="191"/>
      <c r="N4583" s="191"/>
      <c r="O4583" s="191"/>
      <c r="P4583" s="191"/>
      <c r="Q4583" s="191">
        <v>6.1346775E-6</v>
      </c>
      <c r="R4583" s="191">
        <v>9.2532143160742838E-7</v>
      </c>
      <c r="S4583" s="191">
        <v>1.0281349240082538E-7</v>
      </c>
      <c r="T4583" s="191">
        <v>4.6266071580371419E-7</v>
      </c>
      <c r="U4583" s="439"/>
      <c r="V4583" s="439"/>
      <c r="W4583" s="178">
        <v>30000</v>
      </c>
      <c r="X4583" s="172">
        <f t="shared" si="11"/>
        <v>0.33333333333333331</v>
      </c>
      <c r="Y4583" s="172">
        <f t="shared" si="11"/>
        <v>0.33333333333333331</v>
      </c>
      <c r="Z4583" s="172">
        <f t="shared" si="11"/>
        <v>0.33333333333333331</v>
      </c>
      <c r="AA4583" s="195"/>
      <c r="AB4583" s="159"/>
    </row>
    <row r="4584" spans="1:28" ht="12.75" customHeight="1" x14ac:dyDescent="0.3">
      <c r="A4584" s="161">
        <v>584</v>
      </c>
      <c r="B4584" s="159" t="s">
        <v>3038</v>
      </c>
      <c r="C4584" s="160" t="s">
        <v>3039</v>
      </c>
      <c r="D4584" s="160" t="s">
        <v>618</v>
      </c>
      <c r="E4584" s="545">
        <v>4.74</v>
      </c>
      <c r="F4584" s="161">
        <v>392.58</v>
      </c>
      <c r="G4584" s="191"/>
      <c r="H4584" s="191">
        <v>5.1333333320499997E-10</v>
      </c>
      <c r="I4584" s="191">
        <v>89.9</v>
      </c>
      <c r="J4584" s="191"/>
      <c r="K4584" s="191">
        <v>14125.375446227561</v>
      </c>
      <c r="L4584" s="191"/>
      <c r="M4584" s="191"/>
      <c r="N4584" s="191"/>
      <c r="O4584" s="191"/>
      <c r="P4584" s="191"/>
      <c r="Q4584" s="191">
        <v>3.9596137499999998E-5</v>
      </c>
      <c r="R4584" s="191">
        <v>2.1393431498763744E-7</v>
      </c>
      <c r="S4584" s="191">
        <v>2.3770479443070826E-8</v>
      </c>
      <c r="T4584" s="191">
        <v>1.0696715749381872E-7</v>
      </c>
      <c r="U4584" s="439"/>
      <c r="V4584" s="439"/>
      <c r="W4584" s="178">
        <v>30000</v>
      </c>
      <c r="X4584" s="172">
        <f t="shared" si="11"/>
        <v>0.33333333333333331</v>
      </c>
      <c r="Y4584" s="172">
        <f t="shared" si="11"/>
        <v>0.33333333333333331</v>
      </c>
      <c r="Z4584" s="172">
        <f t="shared" si="11"/>
        <v>0.33333333333333331</v>
      </c>
      <c r="AA4584" s="195"/>
      <c r="AB4584" s="159"/>
    </row>
    <row r="4585" spans="1:28" ht="12.75" customHeight="1" x14ac:dyDescent="0.3">
      <c r="A4585" s="161">
        <v>585</v>
      </c>
      <c r="B4585" s="159" t="s">
        <v>3040</v>
      </c>
      <c r="C4585" s="160" t="s">
        <v>3041</v>
      </c>
      <c r="D4585" s="160" t="s">
        <v>618</v>
      </c>
      <c r="E4585" s="545">
        <v>4.74</v>
      </c>
      <c r="F4585" s="161">
        <v>282.47000000000003</v>
      </c>
      <c r="G4585" s="191"/>
      <c r="H4585" s="191">
        <v>1.8666666661999997E-4</v>
      </c>
      <c r="I4585" s="191">
        <v>1.1509999999999999E-2</v>
      </c>
      <c r="J4585" s="191"/>
      <c r="K4585" s="191">
        <v>43651583.224016666</v>
      </c>
      <c r="L4585" s="191"/>
      <c r="M4585" s="191"/>
      <c r="N4585" s="191"/>
      <c r="O4585" s="191"/>
      <c r="P4585" s="191"/>
      <c r="Q4585" s="191">
        <v>5.6644380000000001E-5</v>
      </c>
      <c r="R4585" s="191">
        <v>5.3483578746909358E-7</v>
      </c>
      <c r="S4585" s="191">
        <v>5.9426198607677063E-8</v>
      </c>
      <c r="T4585" s="191">
        <v>2.6741789373454679E-7</v>
      </c>
      <c r="U4585" s="439"/>
      <c r="V4585" s="439"/>
      <c r="W4585" s="178">
        <v>30000</v>
      </c>
      <c r="X4585" s="172">
        <f t="shared" si="11"/>
        <v>0.33333333333333331</v>
      </c>
      <c r="Y4585" s="172">
        <f t="shared" si="11"/>
        <v>0.33333333333333331</v>
      </c>
      <c r="Z4585" s="172">
        <f t="shared" si="11"/>
        <v>0.33333333333333331</v>
      </c>
      <c r="AA4585" s="195"/>
      <c r="AB4585" s="159"/>
    </row>
    <row r="4586" spans="1:28" ht="12.75" customHeight="1" x14ac:dyDescent="0.3">
      <c r="A4586" s="161">
        <v>586</v>
      </c>
      <c r="B4586" s="159" t="s">
        <v>3042</v>
      </c>
      <c r="C4586" s="160" t="s">
        <v>3043</v>
      </c>
      <c r="D4586" s="160" t="s">
        <v>618</v>
      </c>
      <c r="E4586" s="545">
        <v>4.75</v>
      </c>
      <c r="F4586" s="161">
        <v>376.58</v>
      </c>
      <c r="G4586" s="191"/>
      <c r="H4586" s="191">
        <v>3.6933333324099997E-9</v>
      </c>
      <c r="I4586" s="191">
        <v>0.377</v>
      </c>
      <c r="J4586" s="191"/>
      <c r="K4586" s="191">
        <v>1548816.6189124861</v>
      </c>
      <c r="L4586" s="191"/>
      <c r="M4586" s="191"/>
      <c r="N4586" s="191"/>
      <c r="O4586" s="191"/>
      <c r="P4586" s="191"/>
      <c r="Q4586" s="191">
        <v>3.2846475000000003E-5</v>
      </c>
      <c r="R4586" s="191">
        <v>2.1393431498763744E-7</v>
      </c>
      <c r="S4586" s="191">
        <v>2.3770479443070826E-8</v>
      </c>
      <c r="T4586" s="191">
        <v>1.0696715749381872E-7</v>
      </c>
      <c r="U4586" s="439"/>
      <c r="V4586" s="439"/>
      <c r="W4586" s="178">
        <v>30000</v>
      </c>
      <c r="X4586" s="172">
        <f t="shared" si="11"/>
        <v>0.33333333333333331</v>
      </c>
      <c r="Y4586" s="172">
        <f t="shared" si="11"/>
        <v>0.33333333333333331</v>
      </c>
      <c r="Z4586" s="172">
        <f t="shared" si="11"/>
        <v>0.33333333333333331</v>
      </c>
      <c r="AA4586" s="195"/>
      <c r="AB4586" s="159"/>
    </row>
    <row r="4587" spans="1:28" ht="12.75" customHeight="1" x14ac:dyDescent="0.3">
      <c r="A4587" s="161">
        <v>587</v>
      </c>
      <c r="B4587" s="159" t="s">
        <v>3046</v>
      </c>
      <c r="C4587" s="160" t="s">
        <v>3047</v>
      </c>
      <c r="D4587" s="160" t="s">
        <v>618</v>
      </c>
      <c r="E4587" s="545">
        <v>4.75</v>
      </c>
      <c r="F4587" s="161">
        <v>116.16</v>
      </c>
      <c r="G4587" s="191"/>
      <c r="H4587" s="191">
        <v>78.933333313599988</v>
      </c>
      <c r="I4587" s="191">
        <v>5670</v>
      </c>
      <c r="J4587" s="191"/>
      <c r="K4587" s="191">
        <v>87.096358995608071</v>
      </c>
      <c r="L4587" s="191"/>
      <c r="M4587" s="191"/>
      <c r="N4587" s="191"/>
      <c r="O4587" s="191"/>
      <c r="P4587" s="191"/>
      <c r="Q4587" s="191">
        <v>1.4125950000000001E-6</v>
      </c>
      <c r="R4587" s="191">
        <v>5.3483578746909358E-7</v>
      </c>
      <c r="S4587" s="191">
        <v>5.9426198607677063E-8</v>
      </c>
      <c r="T4587" s="191">
        <v>2.6741789373454679E-7</v>
      </c>
      <c r="U4587" s="439"/>
      <c r="V4587" s="439"/>
      <c r="W4587" s="178">
        <v>30000</v>
      </c>
      <c r="X4587" s="172">
        <f t="shared" si="11"/>
        <v>0.33333333333333331</v>
      </c>
      <c r="Y4587" s="172">
        <f t="shared" si="11"/>
        <v>0.33333333333333331</v>
      </c>
      <c r="Z4587" s="172">
        <f t="shared" si="11"/>
        <v>0.33333333333333331</v>
      </c>
      <c r="AA4587" s="195"/>
      <c r="AB4587" s="159"/>
    </row>
    <row r="4588" spans="1:28" ht="12.75" customHeight="1" x14ac:dyDescent="0.3">
      <c r="A4588" s="161">
        <v>588</v>
      </c>
      <c r="B4588" s="159" t="s">
        <v>3044</v>
      </c>
      <c r="C4588" s="160" t="s">
        <v>3045</v>
      </c>
      <c r="D4588" s="160" t="s">
        <v>618</v>
      </c>
      <c r="E4588" s="545">
        <v>4.75</v>
      </c>
      <c r="F4588" s="161">
        <v>175.19</v>
      </c>
      <c r="G4588" s="191"/>
      <c r="H4588" s="191">
        <v>2.7999999992999998E-4</v>
      </c>
      <c r="I4588" s="191">
        <v>1500</v>
      </c>
      <c r="J4588" s="191"/>
      <c r="K4588" s="191">
        <v>25.703957827688647</v>
      </c>
      <c r="L4588" s="191"/>
      <c r="M4588" s="191"/>
      <c r="N4588" s="191"/>
      <c r="O4588" s="191"/>
      <c r="P4588" s="191"/>
      <c r="Q4588" s="191">
        <v>1.5091537499999999E-4</v>
      </c>
      <c r="R4588" s="191">
        <v>5.3483578746909358E-7</v>
      </c>
      <c r="S4588" s="191">
        <v>5.9426198607677063E-8</v>
      </c>
      <c r="T4588" s="191">
        <v>2.6741789373454679E-7</v>
      </c>
      <c r="U4588" s="439"/>
      <c r="V4588" s="439"/>
      <c r="W4588" s="178">
        <v>30000</v>
      </c>
      <c r="X4588" s="172">
        <f t="shared" si="11"/>
        <v>0.33333333333333331</v>
      </c>
      <c r="Y4588" s="172">
        <f t="shared" si="11"/>
        <v>0.33333333333333331</v>
      </c>
      <c r="Z4588" s="172">
        <f t="shared" si="11"/>
        <v>0.33333333333333331</v>
      </c>
      <c r="AA4588" s="195"/>
      <c r="AB4588" s="159"/>
    </row>
    <row r="4589" spans="1:28" ht="12.75" customHeight="1" x14ac:dyDescent="0.3">
      <c r="A4589" s="161">
        <v>589</v>
      </c>
      <c r="B4589" s="159" t="s">
        <v>3048</v>
      </c>
      <c r="C4589" s="160" t="s">
        <v>3049</v>
      </c>
      <c r="D4589" s="160" t="s">
        <v>618</v>
      </c>
      <c r="E4589" s="545">
        <v>4.75</v>
      </c>
      <c r="F4589" s="161">
        <v>302.45999999999998</v>
      </c>
      <c r="G4589" s="191"/>
      <c r="H4589" s="191">
        <v>4.7333333321499995E-5</v>
      </c>
      <c r="I4589" s="191">
        <v>1.8079999999999999E-2</v>
      </c>
      <c r="J4589" s="191"/>
      <c r="K4589" s="191">
        <v>18620871.366628703</v>
      </c>
      <c r="L4589" s="191"/>
      <c r="M4589" s="191"/>
      <c r="N4589" s="191"/>
      <c r="O4589" s="191"/>
      <c r="P4589" s="191"/>
      <c r="Q4589" s="191">
        <v>2.2562839500000001E-4</v>
      </c>
      <c r="R4589" s="191">
        <v>2.1393431498763744E-7</v>
      </c>
      <c r="S4589" s="191">
        <v>2.3770479443070826E-8</v>
      </c>
      <c r="T4589" s="191">
        <v>1.0696715749381872E-7</v>
      </c>
      <c r="U4589" s="439"/>
      <c r="V4589" s="439"/>
      <c r="W4589" s="178">
        <v>30000</v>
      </c>
      <c r="X4589" s="172">
        <f t="shared" si="11"/>
        <v>0.33333333333333331</v>
      </c>
      <c r="Y4589" s="172">
        <f t="shared" si="11"/>
        <v>0.33333333333333331</v>
      </c>
      <c r="Z4589" s="172">
        <f t="shared" si="11"/>
        <v>0.33333333333333331</v>
      </c>
      <c r="AA4589" s="195"/>
      <c r="AB4589" s="159"/>
    </row>
    <row r="4590" spans="1:28" ht="12.75" customHeight="1" x14ac:dyDescent="0.3">
      <c r="A4590" s="161">
        <v>590</v>
      </c>
      <c r="B4590" s="159" t="s">
        <v>3050</v>
      </c>
      <c r="C4590" s="160" t="s">
        <v>3051</v>
      </c>
      <c r="D4590" s="160" t="s">
        <v>618</v>
      </c>
      <c r="E4590" s="545">
        <v>4.75</v>
      </c>
      <c r="F4590" s="161">
        <v>292.33999999999997</v>
      </c>
      <c r="G4590" s="191"/>
      <c r="H4590" s="191">
        <v>8.5066666645400006E-9</v>
      </c>
      <c r="I4590" s="191">
        <v>4</v>
      </c>
      <c r="J4590" s="191"/>
      <c r="K4590" s="191">
        <v>16982.436524617482</v>
      </c>
      <c r="L4590" s="191"/>
      <c r="M4590" s="191"/>
      <c r="N4590" s="191"/>
      <c r="O4590" s="191"/>
      <c r="P4590" s="191"/>
      <c r="Q4590" s="191">
        <v>3.9541605000000001E-5</v>
      </c>
      <c r="R4590" s="191">
        <v>2.1393431498763744E-7</v>
      </c>
      <c r="S4590" s="191">
        <v>2.3770479443070826E-8</v>
      </c>
      <c r="T4590" s="191">
        <v>9.0140863056588808E-8</v>
      </c>
      <c r="U4590" s="439"/>
      <c r="V4590" s="439"/>
      <c r="W4590" s="178">
        <v>30000</v>
      </c>
      <c r="X4590" s="172">
        <f t="shared" si="11"/>
        <v>0.33333333333333331</v>
      </c>
      <c r="Y4590" s="172">
        <f t="shared" si="11"/>
        <v>0.33333333333333331</v>
      </c>
      <c r="Z4590" s="172">
        <f t="shared" si="11"/>
        <v>0.33333333333333331</v>
      </c>
      <c r="AA4590" s="195"/>
      <c r="AB4590" s="159"/>
    </row>
    <row r="4591" spans="1:28" ht="12.75" customHeight="1" x14ac:dyDescent="0.3">
      <c r="A4591" s="161">
        <v>591</v>
      </c>
      <c r="B4591" s="159" t="s">
        <v>3052</v>
      </c>
      <c r="C4591" s="160" t="s">
        <v>3053</v>
      </c>
      <c r="D4591" s="160" t="s">
        <v>618</v>
      </c>
      <c r="E4591" s="545">
        <v>4.76</v>
      </c>
      <c r="F4591" s="161">
        <v>164.21</v>
      </c>
      <c r="G4591" s="191"/>
      <c r="H4591" s="191">
        <v>0.24933333327099996</v>
      </c>
      <c r="I4591" s="191">
        <v>1394</v>
      </c>
      <c r="J4591" s="191"/>
      <c r="K4591" s="191">
        <v>263.02679918953817</v>
      </c>
      <c r="L4591" s="191"/>
      <c r="M4591" s="191"/>
      <c r="N4591" s="191"/>
      <c r="O4591" s="191"/>
      <c r="P4591" s="191"/>
      <c r="Q4591" s="191">
        <v>6.5914124999999993E-6</v>
      </c>
      <c r="R4591" s="191">
        <v>5.3483578746909358E-7</v>
      </c>
      <c r="S4591" s="191">
        <v>5.9426198607677063E-8</v>
      </c>
      <c r="T4591" s="191">
        <v>2.6741789373454679E-7</v>
      </c>
      <c r="U4591" s="439"/>
      <c r="V4591" s="439"/>
      <c r="W4591" s="178">
        <v>30000</v>
      </c>
      <c r="X4591" s="172">
        <f t="shared" si="11"/>
        <v>0.33333333333333331</v>
      </c>
      <c r="Y4591" s="172">
        <f t="shared" si="11"/>
        <v>0.33333333333333331</v>
      </c>
      <c r="Z4591" s="172">
        <f t="shared" si="11"/>
        <v>0.33333333333333331</v>
      </c>
      <c r="AA4591" s="195"/>
      <c r="AB4591" s="159"/>
    </row>
    <row r="4592" spans="1:28" ht="12.75" customHeight="1" x14ac:dyDescent="0.3">
      <c r="A4592" s="161">
        <v>592</v>
      </c>
      <c r="B4592" s="159" t="s">
        <v>3054</v>
      </c>
      <c r="C4592" s="160" t="s">
        <v>3055</v>
      </c>
      <c r="D4592" s="160" t="s">
        <v>618</v>
      </c>
      <c r="E4592" s="545">
        <v>4.76</v>
      </c>
      <c r="F4592" s="161">
        <v>60.05</v>
      </c>
      <c r="G4592" s="191"/>
      <c r="H4592" s="191">
        <v>2093.3333328099998</v>
      </c>
      <c r="I4592" s="191">
        <v>1000000</v>
      </c>
      <c r="J4592" s="191"/>
      <c r="K4592" s="191">
        <v>0.67608297539198181</v>
      </c>
      <c r="L4592" s="191"/>
      <c r="M4592" s="191"/>
      <c r="N4592" s="191"/>
      <c r="O4592" s="191"/>
      <c r="P4592" s="191"/>
      <c r="Q4592" s="191">
        <v>5.5499999999999998E-7</v>
      </c>
      <c r="R4592" s="191">
        <v>9.2532143160742838E-7</v>
      </c>
      <c r="S4592" s="191">
        <v>1.0281349240082538E-7</v>
      </c>
      <c r="T4592" s="191">
        <v>6.6854473433636709E-6</v>
      </c>
      <c r="U4592" s="439"/>
      <c r="V4592" s="439"/>
      <c r="W4592" s="178">
        <v>30000</v>
      </c>
      <c r="X4592" s="172">
        <f t="shared" si="11"/>
        <v>0.33333333333333331</v>
      </c>
      <c r="Y4592" s="172">
        <f t="shared" si="11"/>
        <v>0.33333333333333331</v>
      </c>
      <c r="Z4592" s="172">
        <f t="shared" si="11"/>
        <v>0.33333333333333331</v>
      </c>
      <c r="AA4592" s="195"/>
      <c r="AB4592" s="159"/>
    </row>
    <row r="4593" spans="1:28" ht="12.75" customHeight="1" x14ac:dyDescent="0.3">
      <c r="A4593" s="161">
        <v>593</v>
      </c>
      <c r="B4593" s="159" t="s">
        <v>3056</v>
      </c>
      <c r="C4593" s="160" t="s">
        <v>3057</v>
      </c>
      <c r="D4593" s="160" t="s">
        <v>618</v>
      </c>
      <c r="E4593" s="545">
        <v>4.7699999999999996</v>
      </c>
      <c r="F4593" s="161">
        <v>102.13</v>
      </c>
      <c r="G4593" s="191"/>
      <c r="H4593" s="191">
        <v>58.666666651999996</v>
      </c>
      <c r="I4593" s="191">
        <v>40700</v>
      </c>
      <c r="J4593" s="191"/>
      <c r="K4593" s="191">
        <v>14.454397707459275</v>
      </c>
      <c r="L4593" s="191"/>
      <c r="M4593" s="191"/>
      <c r="N4593" s="191"/>
      <c r="O4593" s="191"/>
      <c r="P4593" s="191"/>
      <c r="Q4593" s="191">
        <v>3.0767849999999997E-6</v>
      </c>
      <c r="R4593" s="191">
        <v>9.2532143160742838E-7</v>
      </c>
      <c r="S4593" s="191">
        <v>1.0281349240082538E-7</v>
      </c>
      <c r="T4593" s="191">
        <v>4.6266071580371419E-7</v>
      </c>
      <c r="U4593" s="439"/>
      <c r="V4593" s="439"/>
      <c r="W4593" s="178">
        <v>30000</v>
      </c>
      <c r="X4593" s="172">
        <f t="shared" si="11"/>
        <v>0.33333333333333331</v>
      </c>
      <c r="Y4593" s="172">
        <f t="shared" si="11"/>
        <v>0.33333333333333331</v>
      </c>
      <c r="Z4593" s="172">
        <f t="shared" si="11"/>
        <v>0.33333333333333331</v>
      </c>
      <c r="AA4593" s="195"/>
      <c r="AB4593" s="159"/>
    </row>
    <row r="4594" spans="1:28" ht="12.75" customHeight="1" x14ac:dyDescent="0.3">
      <c r="A4594" s="161">
        <v>594</v>
      </c>
      <c r="B4594" s="159" t="s">
        <v>3058</v>
      </c>
      <c r="C4594" s="160" t="s">
        <v>3059</v>
      </c>
      <c r="D4594" s="160" t="s">
        <v>618</v>
      </c>
      <c r="E4594" s="545">
        <v>4.7699999999999996</v>
      </c>
      <c r="F4594" s="161">
        <v>302.45999999999998</v>
      </c>
      <c r="G4594" s="191"/>
      <c r="H4594" s="191">
        <v>4.2533333322699995E-5</v>
      </c>
      <c r="I4594" s="191">
        <v>48.4</v>
      </c>
      <c r="J4594" s="191"/>
      <c r="K4594" s="191">
        <v>2884031.5031266073</v>
      </c>
      <c r="L4594" s="191"/>
      <c r="M4594" s="191"/>
      <c r="N4594" s="191"/>
      <c r="O4594" s="191"/>
      <c r="P4594" s="191"/>
      <c r="Q4594" s="191">
        <v>2.0821803750000002E-4</v>
      </c>
      <c r="R4594" s="191">
        <v>2.1393431498763744E-7</v>
      </c>
      <c r="S4594" s="191">
        <v>2.3770479443070826E-8</v>
      </c>
      <c r="T4594" s="191">
        <v>1.0696715749381872E-7</v>
      </c>
      <c r="U4594" s="439"/>
      <c r="V4594" s="439"/>
      <c r="W4594" s="178">
        <v>30000</v>
      </c>
      <c r="X4594" s="172">
        <f t="shared" si="11"/>
        <v>0.33333333333333331</v>
      </c>
      <c r="Y4594" s="172">
        <f t="shared" si="11"/>
        <v>0.33333333333333331</v>
      </c>
      <c r="Z4594" s="172">
        <f t="shared" si="11"/>
        <v>0.33333333333333331</v>
      </c>
      <c r="AA4594" s="195"/>
      <c r="AB4594" s="159"/>
    </row>
    <row r="4595" spans="1:28" ht="12.75" customHeight="1" x14ac:dyDescent="0.3">
      <c r="A4595" s="161">
        <v>595</v>
      </c>
      <c r="B4595" s="159" t="s">
        <v>3060</v>
      </c>
      <c r="C4595" s="160" t="s">
        <v>3061</v>
      </c>
      <c r="D4595" s="160" t="s">
        <v>618</v>
      </c>
      <c r="E4595" s="545">
        <v>4.79</v>
      </c>
      <c r="F4595" s="161">
        <v>116.16</v>
      </c>
      <c r="G4595" s="191"/>
      <c r="H4595" s="191">
        <v>57.199999985699996</v>
      </c>
      <c r="I4595" s="191">
        <v>15000</v>
      </c>
      <c r="J4595" s="191"/>
      <c r="K4595" s="191">
        <v>63.095734448019364</v>
      </c>
      <c r="L4595" s="191"/>
      <c r="M4595" s="191"/>
      <c r="N4595" s="191"/>
      <c r="O4595" s="191"/>
      <c r="P4595" s="191"/>
      <c r="Q4595" s="191">
        <v>3.9045600000000004E-6</v>
      </c>
      <c r="R4595" s="191">
        <v>9.2532143160742838E-7</v>
      </c>
      <c r="S4595" s="191">
        <v>1.0281349240082538E-7</v>
      </c>
      <c r="T4595" s="191">
        <v>4.6266071580371419E-7</v>
      </c>
      <c r="U4595" s="439"/>
      <c r="V4595" s="439"/>
      <c r="W4595" s="178">
        <v>30000</v>
      </c>
      <c r="X4595" s="172">
        <f t="shared" si="11"/>
        <v>0.33333333333333331</v>
      </c>
      <c r="Y4595" s="172">
        <f t="shared" si="11"/>
        <v>0.33333333333333331</v>
      </c>
      <c r="Z4595" s="172">
        <f t="shared" si="11"/>
        <v>0.33333333333333331</v>
      </c>
      <c r="AA4595" s="195"/>
      <c r="AB4595" s="159"/>
    </row>
    <row r="4596" spans="1:28" ht="12.75" customHeight="1" x14ac:dyDescent="0.3">
      <c r="A4596" s="161">
        <v>596</v>
      </c>
      <c r="B4596" s="159" t="s">
        <v>3062</v>
      </c>
      <c r="C4596" s="160" t="s">
        <v>3063</v>
      </c>
      <c r="D4596" s="160" t="s">
        <v>618</v>
      </c>
      <c r="E4596" s="545">
        <v>4.8</v>
      </c>
      <c r="F4596" s="161">
        <v>302.45999999999998</v>
      </c>
      <c r="G4596" s="191"/>
      <c r="H4596" s="191">
        <v>7.5333333314499989E-5</v>
      </c>
      <c r="I4596" s="191">
        <v>9.2319999999999999E-2</v>
      </c>
      <c r="J4596" s="191"/>
      <c r="K4596" s="191">
        <v>2818382.9312644606</v>
      </c>
      <c r="L4596" s="191"/>
      <c r="M4596" s="191"/>
      <c r="N4596" s="191"/>
      <c r="O4596" s="191"/>
      <c r="P4596" s="191"/>
      <c r="Q4596" s="191">
        <v>9.7597364999999999E-5</v>
      </c>
      <c r="R4596" s="191">
        <v>2.1393431498763744E-7</v>
      </c>
      <c r="S4596" s="191">
        <v>2.3770479443070826E-8</v>
      </c>
      <c r="T4596" s="191">
        <v>1.0696715749381872E-7</v>
      </c>
      <c r="U4596" s="439"/>
      <c r="V4596" s="439"/>
      <c r="W4596" s="178">
        <v>30000</v>
      </c>
      <c r="X4596" s="172">
        <f t="shared" si="11"/>
        <v>0.33333333333333331</v>
      </c>
      <c r="Y4596" s="172">
        <f t="shared" si="11"/>
        <v>0.33333333333333331</v>
      </c>
      <c r="Z4596" s="172">
        <f t="shared" si="11"/>
        <v>0.33333333333333331</v>
      </c>
      <c r="AA4596" s="195"/>
      <c r="AB4596" s="159"/>
    </row>
    <row r="4597" spans="1:28" ht="12.75" customHeight="1" x14ac:dyDescent="0.3">
      <c r="A4597" s="161">
        <v>597</v>
      </c>
      <c r="B4597" s="159" t="s">
        <v>3064</v>
      </c>
      <c r="C4597" s="160" t="s">
        <v>3065</v>
      </c>
      <c r="D4597" s="160" t="s">
        <v>618</v>
      </c>
      <c r="E4597" s="545">
        <v>4.8</v>
      </c>
      <c r="F4597" s="161">
        <v>130.19</v>
      </c>
      <c r="G4597" s="191"/>
      <c r="H4597" s="191">
        <v>1.4266666663099998</v>
      </c>
      <c r="I4597" s="191">
        <v>2820</v>
      </c>
      <c r="J4597" s="191"/>
      <c r="K4597" s="191">
        <v>263.02679918953817</v>
      </c>
      <c r="L4597" s="191"/>
      <c r="M4597" s="191"/>
      <c r="N4597" s="191"/>
      <c r="O4597" s="191"/>
      <c r="P4597" s="191"/>
      <c r="Q4597" s="191">
        <v>5.2026449999999997E-6</v>
      </c>
      <c r="R4597" s="191">
        <v>9.2532143160742838E-7</v>
      </c>
      <c r="S4597" s="191">
        <v>1.0281349240082538E-7</v>
      </c>
      <c r="T4597" s="191">
        <v>4.6266071580371419E-7</v>
      </c>
      <c r="U4597" s="439"/>
      <c r="V4597" s="439"/>
      <c r="W4597" s="178">
        <v>30000</v>
      </c>
      <c r="X4597" s="172">
        <f t="shared" si="11"/>
        <v>0.33333333333333331</v>
      </c>
      <c r="Y4597" s="172">
        <f t="shared" si="11"/>
        <v>0.33333333333333331</v>
      </c>
      <c r="Z4597" s="172">
        <f t="shared" si="11"/>
        <v>0.33333333333333331</v>
      </c>
      <c r="AA4597" s="195"/>
      <c r="AB4597" s="159"/>
    </row>
    <row r="4598" spans="1:28" ht="12.75" customHeight="1" x14ac:dyDescent="0.3">
      <c r="A4598" s="161">
        <v>598</v>
      </c>
      <c r="B4598" s="159" t="s">
        <v>3066</v>
      </c>
      <c r="C4598" s="160" t="s">
        <v>3067</v>
      </c>
      <c r="D4598" s="160" t="s">
        <v>618</v>
      </c>
      <c r="E4598" s="545">
        <v>4.8099999999999996</v>
      </c>
      <c r="F4598" s="161">
        <v>212.36</v>
      </c>
      <c r="G4598" s="191"/>
      <c r="H4598" s="191">
        <v>9.9999999974999983E-6</v>
      </c>
      <c r="I4598" s="191">
        <v>114000</v>
      </c>
      <c r="J4598" s="191"/>
      <c r="K4598" s="191">
        <v>4.1686938347033546</v>
      </c>
      <c r="L4598" s="191"/>
      <c r="M4598" s="191"/>
      <c r="N4598" s="191"/>
      <c r="O4598" s="191"/>
      <c r="P4598" s="191"/>
      <c r="Q4598" s="191">
        <v>1.5927604500000001E-4</v>
      </c>
      <c r="R4598" s="191">
        <v>2.1393431498763744E-7</v>
      </c>
      <c r="S4598" s="191">
        <v>2.3770479443070826E-8</v>
      </c>
      <c r="T4598" s="191">
        <v>4.4569648955757796E-7</v>
      </c>
      <c r="U4598" s="439"/>
      <c r="V4598" s="439"/>
      <c r="W4598" s="178">
        <v>30000</v>
      </c>
      <c r="X4598" s="172">
        <f t="shared" si="11"/>
        <v>0.33333333333333331</v>
      </c>
      <c r="Y4598" s="172">
        <f t="shared" si="11"/>
        <v>0.33333333333333331</v>
      </c>
      <c r="Z4598" s="172">
        <f t="shared" si="11"/>
        <v>0.33333333333333331</v>
      </c>
      <c r="AA4598" s="195"/>
      <c r="AB4598" s="159"/>
    </row>
    <row r="4599" spans="1:28" ht="12.75" customHeight="1" x14ac:dyDescent="0.3">
      <c r="A4599" s="161">
        <v>599</v>
      </c>
      <c r="B4599" s="159" t="s">
        <v>3068</v>
      </c>
      <c r="C4599" s="160" t="s">
        <v>3069</v>
      </c>
      <c r="D4599" s="160" t="s">
        <v>618</v>
      </c>
      <c r="E4599" s="545">
        <v>4.8099999999999996</v>
      </c>
      <c r="F4599" s="161">
        <v>102.13</v>
      </c>
      <c r="G4599" s="191"/>
      <c r="H4599" s="191">
        <v>65.466666650299999</v>
      </c>
      <c r="I4599" s="191">
        <v>45000</v>
      </c>
      <c r="J4599" s="191"/>
      <c r="K4599" s="191">
        <v>15.135612484362087</v>
      </c>
      <c r="L4599" s="191"/>
      <c r="M4599" s="191"/>
      <c r="N4599" s="191"/>
      <c r="O4599" s="191"/>
      <c r="P4599" s="191"/>
      <c r="Q4599" s="191">
        <v>2.8447725E-6</v>
      </c>
      <c r="R4599" s="191">
        <v>9.2532143160742838E-7</v>
      </c>
      <c r="S4599" s="191">
        <v>1.0281349240082538E-7</v>
      </c>
      <c r="T4599" s="191">
        <v>4.6266071580371419E-7</v>
      </c>
      <c r="U4599" s="439"/>
      <c r="V4599" s="439"/>
      <c r="W4599" s="178">
        <v>30000</v>
      </c>
      <c r="X4599" s="172">
        <f t="shared" si="11"/>
        <v>0.33333333333333331</v>
      </c>
      <c r="Y4599" s="172">
        <f t="shared" si="11"/>
        <v>0.33333333333333331</v>
      </c>
      <c r="Z4599" s="172">
        <f t="shared" si="11"/>
        <v>0.33333333333333331</v>
      </c>
      <c r="AA4599" s="195"/>
      <c r="AB4599" s="159"/>
    </row>
    <row r="4600" spans="1:28" ht="12.75" customHeight="1" x14ac:dyDescent="0.3">
      <c r="A4600" s="161">
        <v>600</v>
      </c>
      <c r="B4600" s="159" t="s">
        <v>3070</v>
      </c>
      <c r="C4600" s="160" t="s">
        <v>1659</v>
      </c>
      <c r="D4600" s="160" t="s">
        <v>618</v>
      </c>
      <c r="E4600" s="545">
        <v>4.82</v>
      </c>
      <c r="F4600" s="161">
        <v>88.11</v>
      </c>
      <c r="G4600" s="191"/>
      <c r="H4600" s="191">
        <v>219.99999994499998</v>
      </c>
      <c r="I4600" s="191">
        <v>60000</v>
      </c>
      <c r="J4600" s="191"/>
      <c r="K4600" s="191">
        <v>6.1659500186148231</v>
      </c>
      <c r="L4600" s="191"/>
      <c r="M4600" s="191"/>
      <c r="N4600" s="191"/>
      <c r="O4600" s="191"/>
      <c r="P4600" s="191"/>
      <c r="Q4600" s="191">
        <v>1.7999999999999999E-6</v>
      </c>
      <c r="R4600" s="191">
        <v>9.2532143160742838E-7</v>
      </c>
      <c r="S4600" s="191">
        <v>1.0281349240082538E-7</v>
      </c>
      <c r="T4600" s="191">
        <v>4.6266071580371419E-7</v>
      </c>
      <c r="U4600" s="439"/>
      <c r="V4600" s="439"/>
      <c r="W4600" s="178">
        <v>30000</v>
      </c>
      <c r="X4600" s="172">
        <f t="shared" si="11"/>
        <v>0.33333333333333331</v>
      </c>
      <c r="Y4600" s="172">
        <f t="shared" si="11"/>
        <v>0.33333333333333331</v>
      </c>
      <c r="Z4600" s="172">
        <f t="shared" si="11"/>
        <v>0.33333333333333331</v>
      </c>
      <c r="AA4600" s="195"/>
      <c r="AB4600" s="159"/>
    </row>
    <row r="4601" spans="1:28" ht="12.75" customHeight="1" x14ac:dyDescent="0.3">
      <c r="A4601" s="161">
        <v>601</v>
      </c>
      <c r="B4601" s="159" t="s">
        <v>3071</v>
      </c>
      <c r="C4601" s="160" t="s">
        <v>3072</v>
      </c>
      <c r="D4601" s="160" t="s">
        <v>618</v>
      </c>
      <c r="E4601" s="545">
        <v>4.84</v>
      </c>
      <c r="F4601" s="161">
        <v>228.68</v>
      </c>
      <c r="G4601" s="191"/>
      <c r="H4601" s="191">
        <v>5.7733333318899999E-5</v>
      </c>
      <c r="I4601" s="191">
        <v>48</v>
      </c>
      <c r="J4601" s="191"/>
      <c r="K4601" s="191">
        <v>3162.2776601683804</v>
      </c>
      <c r="L4601" s="191"/>
      <c r="M4601" s="191"/>
      <c r="N4601" s="191"/>
      <c r="O4601" s="191"/>
      <c r="P4601" s="191"/>
      <c r="Q4601" s="191">
        <v>1.5182182499999999E-5</v>
      </c>
      <c r="R4601" s="191">
        <v>2.1393431498763744E-7</v>
      </c>
      <c r="S4601" s="191">
        <v>2.3770479443070826E-8</v>
      </c>
      <c r="T4601" s="191">
        <v>1.1460766874337719E-6</v>
      </c>
      <c r="U4601" s="439"/>
      <c r="V4601" s="439"/>
      <c r="W4601" s="178">
        <v>30000</v>
      </c>
      <c r="X4601" s="172">
        <f t="shared" si="11"/>
        <v>0.33333333333333331</v>
      </c>
      <c r="Y4601" s="172">
        <f t="shared" si="11"/>
        <v>0.33333333333333331</v>
      </c>
      <c r="Z4601" s="172">
        <f t="shared" si="11"/>
        <v>0.33333333333333331</v>
      </c>
      <c r="AA4601" s="195"/>
      <c r="AB4601" s="159"/>
    </row>
    <row r="4602" spans="1:28" ht="12.75" customHeight="1" x14ac:dyDescent="0.3">
      <c r="A4602" s="161">
        <v>602</v>
      </c>
      <c r="B4602" s="159" t="s">
        <v>3075</v>
      </c>
      <c r="C4602" s="160" t="s">
        <v>1723</v>
      </c>
      <c r="D4602" s="160" t="s">
        <v>618</v>
      </c>
      <c r="E4602" s="545">
        <v>4.84</v>
      </c>
      <c r="F4602" s="161">
        <v>88.11</v>
      </c>
      <c r="G4602" s="191"/>
      <c r="H4602" s="191">
        <v>241.33333327299999</v>
      </c>
      <c r="I4602" s="191">
        <v>167000</v>
      </c>
      <c r="J4602" s="191"/>
      <c r="K4602" s="191">
        <v>8.709635899560805</v>
      </c>
      <c r="L4602" s="191"/>
      <c r="M4602" s="191"/>
      <c r="N4602" s="191"/>
      <c r="O4602" s="191"/>
      <c r="P4602" s="191"/>
      <c r="Q4602" s="191">
        <v>1.5E-6</v>
      </c>
      <c r="R4602" s="191">
        <v>9.2532143160742838E-7</v>
      </c>
      <c r="S4602" s="191">
        <v>1.0281349240082538E-7</v>
      </c>
      <c r="T4602" s="191">
        <v>4.6266071580371419E-7</v>
      </c>
      <c r="U4602" s="439"/>
      <c r="V4602" s="439"/>
      <c r="W4602" s="178">
        <v>30000</v>
      </c>
      <c r="X4602" s="172">
        <f t="shared" si="11"/>
        <v>0.33333333333333331</v>
      </c>
      <c r="Y4602" s="172">
        <f t="shared" si="11"/>
        <v>0.33333333333333331</v>
      </c>
      <c r="Z4602" s="172">
        <f t="shared" si="11"/>
        <v>0.33333333333333331</v>
      </c>
      <c r="AA4602" s="195"/>
      <c r="AB4602" s="159"/>
    </row>
    <row r="4603" spans="1:28" ht="12.75" customHeight="1" x14ac:dyDescent="0.3">
      <c r="A4603" s="161">
        <v>603</v>
      </c>
      <c r="B4603" s="159" t="s">
        <v>3073</v>
      </c>
      <c r="C4603" s="160" t="s">
        <v>3074</v>
      </c>
      <c r="D4603" s="160" t="s">
        <v>618</v>
      </c>
      <c r="E4603" s="545">
        <v>4.84</v>
      </c>
      <c r="F4603" s="161">
        <v>116.16</v>
      </c>
      <c r="G4603" s="191"/>
      <c r="H4603" s="191">
        <v>46.933333321599996</v>
      </c>
      <c r="I4603" s="191">
        <v>5266</v>
      </c>
      <c r="J4603" s="191"/>
      <c r="K4603" s="191">
        <v>95.499258602143655</v>
      </c>
      <c r="L4603" s="191"/>
      <c r="M4603" s="191"/>
      <c r="N4603" s="191"/>
      <c r="O4603" s="191"/>
      <c r="P4603" s="191"/>
      <c r="Q4603" s="191">
        <v>4.1365649999999996E-6</v>
      </c>
      <c r="R4603" s="191">
        <v>9.2532143160742838E-7</v>
      </c>
      <c r="S4603" s="191">
        <v>1.0281349240082538E-7</v>
      </c>
      <c r="T4603" s="191">
        <v>4.6266071580371419E-7</v>
      </c>
      <c r="U4603" s="439"/>
      <c r="V4603" s="439"/>
      <c r="W4603" s="178">
        <v>30000</v>
      </c>
      <c r="X4603" s="172">
        <f t="shared" si="11"/>
        <v>0.33333333333333331</v>
      </c>
      <c r="Y4603" s="172">
        <f t="shared" si="11"/>
        <v>0.33333333333333331</v>
      </c>
      <c r="Z4603" s="172">
        <f t="shared" si="11"/>
        <v>0.33333333333333331</v>
      </c>
      <c r="AA4603" s="195"/>
      <c r="AB4603" s="159"/>
    </row>
    <row r="4604" spans="1:28" ht="12.75" customHeight="1" x14ac:dyDescent="0.3">
      <c r="A4604" s="161">
        <v>604</v>
      </c>
      <c r="B4604" s="159" t="s">
        <v>3076</v>
      </c>
      <c r="C4604" s="160" t="s">
        <v>3077</v>
      </c>
      <c r="D4604" s="160" t="s">
        <v>618</v>
      </c>
      <c r="E4604" s="545">
        <v>4.88</v>
      </c>
      <c r="F4604" s="161">
        <v>116.16</v>
      </c>
      <c r="G4604" s="191"/>
      <c r="H4604" s="191">
        <v>5.7999999985499997</v>
      </c>
      <c r="I4604" s="191">
        <v>10300</v>
      </c>
      <c r="J4604" s="191"/>
      <c r="K4604" s="191">
        <v>83.176377110267126</v>
      </c>
      <c r="L4604" s="191"/>
      <c r="M4604" s="191"/>
      <c r="N4604" s="191"/>
      <c r="O4604" s="191"/>
      <c r="P4604" s="191"/>
      <c r="Q4604" s="191">
        <v>4.1428575000000002E-6</v>
      </c>
      <c r="R4604" s="191">
        <v>9.2532143160742838E-7</v>
      </c>
      <c r="S4604" s="191">
        <v>1.0281349240082538E-7</v>
      </c>
      <c r="T4604" s="191">
        <v>4.6266071580371419E-7</v>
      </c>
      <c r="U4604" s="439"/>
      <c r="V4604" s="439"/>
      <c r="W4604" s="178">
        <v>30000</v>
      </c>
      <c r="X4604" s="172">
        <f t="shared" si="11"/>
        <v>0.33333333333333331</v>
      </c>
      <c r="Y4604" s="172">
        <f t="shared" si="11"/>
        <v>0.33333333333333331</v>
      </c>
      <c r="Z4604" s="172">
        <f t="shared" si="11"/>
        <v>0.33333333333333331</v>
      </c>
      <c r="AA4604" s="195"/>
      <c r="AB4604" s="159"/>
    </row>
    <row r="4605" spans="1:28" ht="12.75" customHeight="1" x14ac:dyDescent="0.3">
      <c r="A4605" s="161">
        <v>605</v>
      </c>
      <c r="B4605" s="159" t="s">
        <v>3078</v>
      </c>
      <c r="C4605" s="160" t="s">
        <v>3079</v>
      </c>
      <c r="D4605" s="160" t="s">
        <v>618</v>
      </c>
      <c r="E4605" s="545">
        <v>4.88</v>
      </c>
      <c r="F4605" s="161">
        <v>178.23</v>
      </c>
      <c r="G4605" s="191"/>
      <c r="H4605" s="191">
        <v>6.7333333316500002E-2</v>
      </c>
      <c r="I4605" s="191">
        <v>610</v>
      </c>
      <c r="J4605" s="191"/>
      <c r="K4605" s="191">
        <v>870.96358995608091</v>
      </c>
      <c r="L4605" s="191"/>
      <c r="M4605" s="191"/>
      <c r="N4605" s="191"/>
      <c r="O4605" s="191"/>
      <c r="P4605" s="191"/>
      <c r="Q4605" s="191">
        <v>7.6512000000000005E-6</v>
      </c>
      <c r="R4605" s="191">
        <v>5.3483578746909358E-7</v>
      </c>
      <c r="S4605" s="191">
        <v>5.9426198607677063E-8</v>
      </c>
      <c r="T4605" s="191">
        <v>2.6741789373454679E-7</v>
      </c>
      <c r="U4605" s="439"/>
      <c r="V4605" s="439"/>
      <c r="W4605" s="178">
        <v>30000</v>
      </c>
      <c r="X4605" s="172">
        <f t="shared" si="11"/>
        <v>0.33333333333333331</v>
      </c>
      <c r="Y4605" s="172">
        <f t="shared" si="11"/>
        <v>0.33333333333333331</v>
      </c>
      <c r="Z4605" s="172">
        <f t="shared" si="11"/>
        <v>0.33333333333333331</v>
      </c>
      <c r="AA4605" s="195"/>
      <c r="AB4605" s="159"/>
    </row>
    <row r="4606" spans="1:28" ht="12.75" customHeight="1" x14ac:dyDescent="0.3">
      <c r="A4606" s="161">
        <v>606</v>
      </c>
      <c r="B4606" s="159" t="s">
        <v>3080</v>
      </c>
      <c r="C4606" s="160" t="s">
        <v>1692</v>
      </c>
      <c r="D4606" s="160" t="s">
        <v>618</v>
      </c>
      <c r="E4606" s="545">
        <v>4.8899999999999997</v>
      </c>
      <c r="F4606" s="161">
        <v>144.22</v>
      </c>
      <c r="G4606" s="191"/>
      <c r="H4606" s="191">
        <v>0.49466666654300001</v>
      </c>
      <c r="I4606" s="191">
        <v>789</v>
      </c>
      <c r="J4606" s="191"/>
      <c r="K4606" s="191">
        <v>1122.0184543019636</v>
      </c>
      <c r="L4606" s="191"/>
      <c r="M4606" s="191"/>
      <c r="N4606" s="191"/>
      <c r="O4606" s="191"/>
      <c r="P4606" s="191"/>
      <c r="Q4606" s="191">
        <v>6.2624325000000001E-6</v>
      </c>
      <c r="R4606" s="191">
        <v>9.2532143160742838E-7</v>
      </c>
      <c r="S4606" s="191">
        <v>1.0281349240082538E-7</v>
      </c>
      <c r="T4606" s="191">
        <v>4.6266071580371419E-7</v>
      </c>
      <c r="U4606" s="439"/>
      <c r="V4606" s="439"/>
      <c r="W4606" s="178">
        <v>30000</v>
      </c>
      <c r="X4606" s="172">
        <f t="shared" si="11"/>
        <v>0.33333333333333331</v>
      </c>
      <c r="Y4606" s="172">
        <f t="shared" si="11"/>
        <v>0.33333333333333331</v>
      </c>
      <c r="Z4606" s="172">
        <f t="shared" si="11"/>
        <v>0.33333333333333331</v>
      </c>
      <c r="AA4606" s="195"/>
      <c r="AB4606" s="159"/>
    </row>
    <row r="4607" spans="1:28" ht="12.75" customHeight="1" x14ac:dyDescent="0.3">
      <c r="A4607" s="161">
        <v>607</v>
      </c>
      <c r="B4607" s="159" t="s">
        <v>3081</v>
      </c>
      <c r="C4607" s="160" t="s">
        <v>1627</v>
      </c>
      <c r="D4607" s="160" t="s">
        <v>618</v>
      </c>
      <c r="E4607" s="545">
        <v>4.91</v>
      </c>
      <c r="F4607" s="161">
        <v>206.29</v>
      </c>
      <c r="G4607" s="191"/>
      <c r="H4607" s="191">
        <v>2.4799999993799997E-2</v>
      </c>
      <c r="I4607" s="191">
        <v>21</v>
      </c>
      <c r="J4607" s="191"/>
      <c r="K4607" s="191">
        <v>9332.5430079699217</v>
      </c>
      <c r="L4607" s="191"/>
      <c r="M4607" s="191"/>
      <c r="N4607" s="191"/>
      <c r="O4607" s="191"/>
      <c r="P4607" s="191"/>
      <c r="Q4607" s="191">
        <v>8.8817100000000007E-6</v>
      </c>
      <c r="R4607" s="191">
        <v>5.3483578746909358E-7</v>
      </c>
      <c r="S4607" s="191">
        <v>5.9426198607677063E-8</v>
      </c>
      <c r="T4607" s="191">
        <v>2.6741789373454679E-7</v>
      </c>
      <c r="U4607" s="439"/>
      <c r="V4607" s="439"/>
      <c r="W4607" s="178">
        <v>30000</v>
      </c>
      <c r="X4607" s="172">
        <f t="shared" si="11"/>
        <v>0.33333333333333331</v>
      </c>
      <c r="Y4607" s="172">
        <f t="shared" si="11"/>
        <v>0.33333333333333331</v>
      </c>
      <c r="Z4607" s="172">
        <f t="shared" si="11"/>
        <v>0.33333333333333331</v>
      </c>
      <c r="AA4607" s="195"/>
      <c r="AB4607" s="159"/>
    </row>
    <row r="4608" spans="1:28" ht="12.75" customHeight="1" x14ac:dyDescent="0.3">
      <c r="A4608" s="161">
        <v>608</v>
      </c>
      <c r="B4608" s="159" t="s">
        <v>3084</v>
      </c>
      <c r="C4608" s="160" t="s">
        <v>3085</v>
      </c>
      <c r="D4608" s="160" t="s">
        <v>618</v>
      </c>
      <c r="E4608" s="545">
        <v>4.95</v>
      </c>
      <c r="F4608" s="161">
        <v>158.24</v>
      </c>
      <c r="G4608" s="191"/>
      <c r="H4608" s="191">
        <v>0.219999999945</v>
      </c>
      <c r="I4608" s="191">
        <v>284</v>
      </c>
      <c r="J4608" s="191"/>
      <c r="K4608" s="191">
        <v>2630.2679918953822</v>
      </c>
      <c r="L4608" s="191"/>
      <c r="M4608" s="191"/>
      <c r="N4608" s="191"/>
      <c r="O4608" s="191"/>
      <c r="P4608" s="191"/>
      <c r="Q4608" s="191">
        <v>7.3222199999999997E-6</v>
      </c>
      <c r="R4608" s="191">
        <v>9.2532143160742838E-7</v>
      </c>
      <c r="S4608" s="191">
        <v>1.0281349240082538E-7</v>
      </c>
      <c r="T4608" s="191">
        <v>4.6266071580371419E-7</v>
      </c>
      <c r="U4608" s="439"/>
      <c r="V4608" s="439"/>
      <c r="W4608" s="178">
        <v>30000</v>
      </c>
      <c r="X4608" s="172">
        <f t="shared" si="11"/>
        <v>0.33333333333333331</v>
      </c>
      <c r="Y4608" s="172">
        <f t="shared" si="11"/>
        <v>0.33333333333333331</v>
      </c>
      <c r="Z4608" s="172">
        <f t="shared" si="11"/>
        <v>0.33333333333333331</v>
      </c>
      <c r="AA4608" s="195"/>
      <c r="AB4608" s="159"/>
    </row>
    <row r="4609" spans="1:28" ht="12.75" customHeight="1" x14ac:dyDescent="0.3">
      <c r="A4609" s="161">
        <v>609</v>
      </c>
      <c r="B4609" s="159" t="s">
        <v>3082</v>
      </c>
      <c r="C4609" s="160" t="s">
        <v>3083</v>
      </c>
      <c r="D4609" s="160" t="s">
        <v>618</v>
      </c>
      <c r="E4609" s="545">
        <v>4.95</v>
      </c>
      <c r="F4609" s="161">
        <v>406.91</v>
      </c>
      <c r="G4609" s="191"/>
      <c r="H4609" s="191">
        <v>1.1079999997229999E-8</v>
      </c>
      <c r="I4609" s="191">
        <v>140</v>
      </c>
      <c r="J4609" s="191"/>
      <c r="K4609" s="191">
        <v>34673685.045253254</v>
      </c>
      <c r="L4609" s="191"/>
      <c r="M4609" s="191"/>
      <c r="N4609" s="191"/>
      <c r="O4609" s="191"/>
      <c r="P4609" s="191"/>
      <c r="Q4609" s="191">
        <v>1.6333875000000001E-6</v>
      </c>
      <c r="R4609" s="191">
        <v>4.45696489557578E-8</v>
      </c>
      <c r="S4609" s="191">
        <v>4.9521832173064224E-9</v>
      </c>
      <c r="T4609" s="191">
        <v>2.22848244778789E-8</v>
      </c>
      <c r="U4609" s="439"/>
      <c r="V4609" s="439"/>
      <c r="W4609" s="178">
        <v>30000</v>
      </c>
      <c r="X4609" s="172">
        <f t="shared" si="11"/>
        <v>0.33333333333333331</v>
      </c>
      <c r="Y4609" s="172">
        <f t="shared" si="11"/>
        <v>0.33333333333333331</v>
      </c>
      <c r="Z4609" s="172">
        <f t="shared" si="11"/>
        <v>0.33333333333333331</v>
      </c>
      <c r="AA4609" s="195"/>
      <c r="AB4609" s="159"/>
    </row>
    <row r="4610" spans="1:28" ht="12.75" customHeight="1" x14ac:dyDescent="0.3">
      <c r="A4610" s="161">
        <v>610</v>
      </c>
      <c r="B4610" s="159" t="s">
        <v>3086</v>
      </c>
      <c r="C4610" s="160" t="s">
        <v>3087</v>
      </c>
      <c r="D4610" s="160" t="s">
        <v>618</v>
      </c>
      <c r="E4610" s="545">
        <v>4.96</v>
      </c>
      <c r="F4610" s="161">
        <v>208</v>
      </c>
      <c r="G4610" s="191"/>
      <c r="H4610" s="191">
        <v>4.9599999987599997E-3</v>
      </c>
      <c r="I4610" s="191">
        <v>17</v>
      </c>
      <c r="J4610" s="191"/>
      <c r="K4610" s="191">
        <v>1584.8931924611156</v>
      </c>
      <c r="L4610" s="191"/>
      <c r="M4610" s="191"/>
      <c r="N4610" s="191"/>
      <c r="O4610" s="191"/>
      <c r="P4610" s="191"/>
      <c r="Q4610" s="191">
        <v>1.4852999999999999E-7</v>
      </c>
      <c r="R4610" s="191">
        <v>1.3370894686727339E-7</v>
      </c>
      <c r="S4610" s="191">
        <v>1.4856549651919266E-8</v>
      </c>
      <c r="T4610" s="191">
        <v>6.6854473433636697E-8</v>
      </c>
      <c r="U4610" s="439"/>
      <c r="V4610" s="439"/>
      <c r="W4610" s="178">
        <v>30000</v>
      </c>
      <c r="X4610" s="172">
        <f t="shared" si="11"/>
        <v>0.33333333333333331</v>
      </c>
      <c r="Y4610" s="172">
        <f t="shared" si="11"/>
        <v>0.33333333333333331</v>
      </c>
      <c r="Z4610" s="172">
        <f t="shared" si="11"/>
        <v>0.33333333333333331</v>
      </c>
      <c r="AA4610" s="195"/>
      <c r="AB4610" s="159"/>
    </row>
    <row r="4611" spans="1:28" ht="12.75" customHeight="1" x14ac:dyDescent="0.3">
      <c r="A4611" s="161">
        <v>611</v>
      </c>
      <c r="B4611" s="159" t="s">
        <v>3088</v>
      </c>
      <c r="C4611" s="160" t="s">
        <v>3089</v>
      </c>
      <c r="D4611" s="160" t="s">
        <v>618</v>
      </c>
      <c r="E4611" s="545">
        <v>5.03</v>
      </c>
      <c r="F4611" s="161">
        <v>116.16</v>
      </c>
      <c r="G4611" s="191"/>
      <c r="H4611" s="191">
        <v>19.733333328399997</v>
      </c>
      <c r="I4611" s="191">
        <v>6135</v>
      </c>
      <c r="J4611" s="191"/>
      <c r="K4611" s="191">
        <v>79.432823472428197</v>
      </c>
      <c r="L4611" s="191"/>
      <c r="M4611" s="191"/>
      <c r="N4611" s="191"/>
      <c r="O4611" s="191"/>
      <c r="P4611" s="191"/>
      <c r="Q4611" s="191">
        <v>1.627995E-6</v>
      </c>
      <c r="R4611" s="191">
        <v>5.3483578746909358E-7</v>
      </c>
      <c r="S4611" s="191">
        <v>5.9426198607677063E-8</v>
      </c>
      <c r="T4611" s="191">
        <v>2.6741789373454679E-7</v>
      </c>
      <c r="U4611" s="439"/>
      <c r="V4611" s="439"/>
      <c r="W4611" s="178">
        <v>30000</v>
      </c>
      <c r="X4611" s="172">
        <f t="shared" si="11"/>
        <v>0.33333333333333331</v>
      </c>
      <c r="Y4611" s="172">
        <f t="shared" si="11"/>
        <v>0.33333333333333331</v>
      </c>
      <c r="Z4611" s="172">
        <f t="shared" si="11"/>
        <v>0.33333333333333331</v>
      </c>
      <c r="AA4611" s="195"/>
      <c r="AB4611" s="159"/>
    </row>
    <row r="4612" spans="1:28" ht="12.75" customHeight="1" x14ac:dyDescent="0.3">
      <c r="A4612" s="161">
        <v>612</v>
      </c>
      <c r="B4612" s="159" t="s">
        <v>3090</v>
      </c>
      <c r="C4612" s="160" t="s">
        <v>3091</v>
      </c>
      <c r="D4612" s="160" t="s">
        <v>618</v>
      </c>
      <c r="E4612" s="545">
        <v>5.13</v>
      </c>
      <c r="F4612" s="161">
        <v>226.19</v>
      </c>
      <c r="G4612" s="191"/>
      <c r="H4612" s="191">
        <v>2.21333333278E-4</v>
      </c>
      <c r="I4612" s="191">
        <v>71.849999999999994</v>
      </c>
      <c r="J4612" s="191"/>
      <c r="K4612" s="191">
        <v>1258.925411794168</v>
      </c>
      <c r="L4612" s="191"/>
      <c r="M4612" s="191"/>
      <c r="N4612" s="191"/>
      <c r="O4612" s="191"/>
      <c r="P4612" s="191"/>
      <c r="Q4612" s="191">
        <v>1.8291525000000001E-6</v>
      </c>
      <c r="R4612" s="191">
        <v>2.1393431498763744E-7</v>
      </c>
      <c r="S4612" s="191">
        <v>2.3770479443070826E-8</v>
      </c>
      <c r="T4612" s="191">
        <v>1.0696715749381872E-7</v>
      </c>
      <c r="U4612" s="439"/>
      <c r="V4612" s="439"/>
      <c r="W4612" s="178">
        <v>30000</v>
      </c>
      <c r="X4612" s="172">
        <f t="shared" si="11"/>
        <v>0.33333333333333331</v>
      </c>
      <c r="Y4612" s="172">
        <f t="shared" si="11"/>
        <v>0.33333333333333331</v>
      </c>
      <c r="Z4612" s="172">
        <f t="shared" si="11"/>
        <v>0.33333333333333331</v>
      </c>
      <c r="AA4612" s="195"/>
      <c r="AB4612" s="159"/>
    </row>
    <row r="4613" spans="1:28" ht="12.75" customHeight="1" x14ac:dyDescent="0.3">
      <c r="A4613" s="161">
        <v>613</v>
      </c>
      <c r="B4613" s="159" t="s">
        <v>3092</v>
      </c>
      <c r="C4613" s="160" t="s">
        <v>3093</v>
      </c>
      <c r="D4613" s="160" t="s">
        <v>618</v>
      </c>
      <c r="E4613" s="545">
        <v>5.14</v>
      </c>
      <c r="F4613" s="161">
        <v>231.89</v>
      </c>
      <c r="G4613" s="191"/>
      <c r="H4613" s="191">
        <v>2.2399999994399997E-2</v>
      </c>
      <c r="I4613" s="191">
        <v>54.9</v>
      </c>
      <c r="J4613" s="191"/>
      <c r="K4613" s="191">
        <v>7585.7757502918394</v>
      </c>
      <c r="L4613" s="191"/>
      <c r="M4613" s="191"/>
      <c r="N4613" s="191"/>
      <c r="O4613" s="191"/>
      <c r="P4613" s="191"/>
      <c r="Q4613" s="191">
        <v>1.1594399999999999E-6</v>
      </c>
      <c r="R4613" s="191">
        <v>1.3370894686727339E-7</v>
      </c>
      <c r="S4613" s="191">
        <v>1.4856549651919266E-8</v>
      </c>
      <c r="T4613" s="191">
        <v>6.6854473433636697E-8</v>
      </c>
      <c r="U4613" s="439"/>
      <c r="V4613" s="439"/>
      <c r="W4613" s="178">
        <v>30000</v>
      </c>
      <c r="X4613" s="172">
        <f t="shared" si="11"/>
        <v>0.33333333333333331</v>
      </c>
      <c r="Y4613" s="172">
        <f t="shared" si="11"/>
        <v>0.33333333333333331</v>
      </c>
      <c r="Z4613" s="172">
        <f t="shared" si="11"/>
        <v>0.33333333333333331</v>
      </c>
      <c r="AA4613" s="195"/>
      <c r="AB4613" s="159"/>
    </row>
    <row r="4614" spans="1:28" ht="12.75" customHeight="1" x14ac:dyDescent="0.3">
      <c r="A4614" s="161">
        <v>614</v>
      </c>
      <c r="B4614" s="159" t="s">
        <v>3098</v>
      </c>
      <c r="C4614" s="160" t="s">
        <v>3099</v>
      </c>
      <c r="D4614" s="160" t="s">
        <v>618</v>
      </c>
      <c r="E4614" s="545">
        <v>5.2</v>
      </c>
      <c r="F4614" s="161">
        <v>247.89</v>
      </c>
      <c r="G4614" s="191"/>
      <c r="H4614" s="191">
        <v>5.5333333319499995E-4</v>
      </c>
      <c r="I4614" s="191">
        <v>2.7</v>
      </c>
      <c r="J4614" s="191"/>
      <c r="K4614" s="191">
        <v>19498.445997580486</v>
      </c>
      <c r="L4614" s="191"/>
      <c r="M4614" s="191"/>
      <c r="N4614" s="191"/>
      <c r="O4614" s="191"/>
      <c r="P4614" s="191"/>
      <c r="Q4614" s="191">
        <v>9.3590999999999997E-7</v>
      </c>
      <c r="R4614" s="191">
        <v>1.3370894686727339E-7</v>
      </c>
      <c r="S4614" s="191">
        <v>1.4856549651919266E-8</v>
      </c>
      <c r="T4614" s="191">
        <v>6.6854473433636697E-8</v>
      </c>
      <c r="U4614" s="439"/>
      <c r="V4614" s="439"/>
      <c r="W4614" s="178">
        <v>30000</v>
      </c>
      <c r="X4614" s="172">
        <f t="shared" si="11"/>
        <v>0.33333333333333331</v>
      </c>
      <c r="Y4614" s="172">
        <f t="shared" si="11"/>
        <v>0.33333333333333331</v>
      </c>
      <c r="Z4614" s="172">
        <f t="shared" si="11"/>
        <v>0.33333333333333331</v>
      </c>
      <c r="AA4614" s="195"/>
      <c r="AB4614" s="159"/>
    </row>
    <row r="4615" spans="1:28" ht="12.75" customHeight="1" x14ac:dyDescent="0.3">
      <c r="A4615" s="161">
        <v>615</v>
      </c>
      <c r="B4615" s="159" t="s">
        <v>3096</v>
      </c>
      <c r="C4615" s="160" t="s">
        <v>3097</v>
      </c>
      <c r="D4615" s="160" t="s">
        <v>618</v>
      </c>
      <c r="E4615" s="545">
        <v>5.2</v>
      </c>
      <c r="F4615" s="161">
        <v>367.04</v>
      </c>
      <c r="G4615" s="191"/>
      <c r="H4615" s="191">
        <v>4.7066666654899998E-5</v>
      </c>
      <c r="I4615" s="191">
        <v>0.4</v>
      </c>
      <c r="J4615" s="191"/>
      <c r="K4615" s="191">
        <v>3388.4415613920255</v>
      </c>
      <c r="L4615" s="191"/>
      <c r="M4615" s="191"/>
      <c r="N4615" s="191"/>
      <c r="O4615" s="191"/>
      <c r="P4615" s="191"/>
      <c r="Q4615" s="191">
        <v>4.4921475000000005E-6</v>
      </c>
      <c r="R4615" s="191">
        <v>2.1393431498763744E-7</v>
      </c>
      <c r="S4615" s="191">
        <v>2.3770479443070826E-8</v>
      </c>
      <c r="T4615" s="191">
        <v>1.0696715749381872E-7</v>
      </c>
      <c r="U4615" s="439"/>
      <c r="V4615" s="439"/>
      <c r="W4615" s="178">
        <v>30000</v>
      </c>
      <c r="X4615" s="172">
        <f t="shared" si="11"/>
        <v>0.33333333333333331</v>
      </c>
      <c r="Y4615" s="172">
        <f t="shared" si="11"/>
        <v>0.33333333333333331</v>
      </c>
      <c r="Z4615" s="172">
        <f t="shared" si="11"/>
        <v>0.33333333333333331</v>
      </c>
      <c r="AA4615" s="195"/>
      <c r="AB4615" s="159"/>
    </row>
    <row r="4616" spans="1:28" ht="12.75" customHeight="1" x14ac:dyDescent="0.3">
      <c r="A4616" s="161">
        <v>616</v>
      </c>
      <c r="B4616" s="159" t="s">
        <v>3094</v>
      </c>
      <c r="C4616" s="160" t="s">
        <v>3095</v>
      </c>
      <c r="D4616" s="160" t="s">
        <v>618</v>
      </c>
      <c r="E4616" s="545">
        <v>5.2</v>
      </c>
      <c r="F4616" s="161">
        <v>410.4</v>
      </c>
      <c r="G4616" s="191"/>
      <c r="H4616" s="191">
        <v>2.7999999992999998E-12</v>
      </c>
      <c r="I4616" s="191">
        <v>120</v>
      </c>
      <c r="J4616" s="191"/>
      <c r="K4616" s="191">
        <v>151.3561248436209</v>
      </c>
      <c r="L4616" s="191"/>
      <c r="M4616" s="191"/>
      <c r="N4616" s="191"/>
      <c r="O4616" s="191"/>
      <c r="P4616" s="191"/>
      <c r="Q4616" s="191">
        <v>1.576215E-4</v>
      </c>
      <c r="R4616" s="191">
        <v>2.1393431498763744E-7</v>
      </c>
      <c r="S4616" s="191">
        <v>2.3770479443070826E-8</v>
      </c>
      <c r="T4616" s="191">
        <v>9.7835814780931768E-7</v>
      </c>
      <c r="U4616" s="439"/>
      <c r="V4616" s="439"/>
      <c r="W4616" s="178">
        <v>30000</v>
      </c>
      <c r="X4616" s="172">
        <f t="shared" si="11"/>
        <v>0.33333333333333331</v>
      </c>
      <c r="Y4616" s="172">
        <f t="shared" si="11"/>
        <v>0.33333333333333331</v>
      </c>
      <c r="Z4616" s="172">
        <f t="shared" si="11"/>
        <v>0.33333333333333331</v>
      </c>
      <c r="AA4616" s="195"/>
      <c r="AB4616" s="159"/>
    </row>
    <row r="4617" spans="1:28" ht="12.75" customHeight="1" x14ac:dyDescent="0.3">
      <c r="A4617" s="161">
        <v>617</v>
      </c>
      <c r="B4617" s="159" t="s">
        <v>3100</v>
      </c>
      <c r="C4617" s="160" t="s">
        <v>3101</v>
      </c>
      <c r="D4617" s="160" t="s">
        <v>618</v>
      </c>
      <c r="E4617" s="545">
        <v>5.21</v>
      </c>
      <c r="F4617" s="161">
        <v>184.11</v>
      </c>
      <c r="G4617" s="191"/>
      <c r="H4617" s="191">
        <v>1.6266666662599998E-2</v>
      </c>
      <c r="I4617" s="191">
        <v>385</v>
      </c>
      <c r="J4617" s="191"/>
      <c r="K4617" s="191">
        <v>56.234132519034915</v>
      </c>
      <c r="L4617" s="191"/>
      <c r="M4617" s="191"/>
      <c r="N4617" s="191"/>
      <c r="O4617" s="191"/>
      <c r="P4617" s="191"/>
      <c r="Q4617" s="191">
        <v>3.7796249999999999E-7</v>
      </c>
      <c r="R4617" s="191">
        <v>2.1393431498763744E-7</v>
      </c>
      <c r="S4617" s="191">
        <v>2.3770479443070826E-8</v>
      </c>
      <c r="T4617" s="191">
        <v>1.0696715749381872E-7</v>
      </c>
      <c r="U4617" s="439"/>
      <c r="V4617" s="439"/>
      <c r="W4617" s="178">
        <v>30000</v>
      </c>
      <c r="X4617" s="172">
        <f t="shared" si="11"/>
        <v>0.33333333333333331</v>
      </c>
      <c r="Y4617" s="172">
        <f t="shared" si="11"/>
        <v>0.33333333333333331</v>
      </c>
      <c r="Z4617" s="172">
        <f t="shared" si="11"/>
        <v>0.33333333333333331</v>
      </c>
      <c r="AA4617" s="195"/>
      <c r="AB4617" s="159"/>
    </row>
    <row r="4618" spans="1:28" ht="12.75" customHeight="1" x14ac:dyDescent="0.3">
      <c r="A4618" s="161">
        <v>618</v>
      </c>
      <c r="B4618" s="159" t="s">
        <v>3102</v>
      </c>
      <c r="C4618" s="160" t="s">
        <v>3103</v>
      </c>
      <c r="D4618" s="160" t="s">
        <v>618</v>
      </c>
      <c r="E4618" s="545">
        <v>5.31</v>
      </c>
      <c r="F4618" s="161">
        <v>231.89</v>
      </c>
      <c r="G4618" s="191"/>
      <c r="H4618" s="191">
        <v>8.8799999977799998E-2</v>
      </c>
      <c r="I4618" s="191">
        <v>23</v>
      </c>
      <c r="J4618" s="191"/>
      <c r="K4618" s="191">
        <v>28183.829312644593</v>
      </c>
      <c r="L4618" s="191"/>
      <c r="M4618" s="191"/>
      <c r="N4618" s="191"/>
      <c r="O4618" s="191"/>
      <c r="P4618" s="191"/>
      <c r="Q4618" s="191">
        <v>2.0732250000000002E-7</v>
      </c>
      <c r="R4618" s="191">
        <v>1.3370894686727339E-7</v>
      </c>
      <c r="S4618" s="191">
        <v>1.4856549651919266E-8</v>
      </c>
      <c r="T4618" s="191">
        <v>6.6854473433636697E-8</v>
      </c>
      <c r="U4618" s="439"/>
      <c r="V4618" s="439"/>
      <c r="W4618" s="178">
        <v>30000</v>
      </c>
      <c r="X4618" s="172">
        <f t="shared" si="11"/>
        <v>0.33333333333333331</v>
      </c>
      <c r="Y4618" s="172">
        <f t="shared" si="11"/>
        <v>0.33333333333333331</v>
      </c>
      <c r="Z4618" s="172">
        <f t="shared" si="11"/>
        <v>0.33333333333333331</v>
      </c>
      <c r="AA4618" s="195"/>
      <c r="AB4618" s="159"/>
    </row>
    <row r="4619" spans="1:28" ht="12.75" customHeight="1" x14ac:dyDescent="0.3">
      <c r="A4619" s="161">
        <v>619</v>
      </c>
      <c r="B4619" s="159" t="s">
        <v>3104</v>
      </c>
      <c r="C4619" s="160" t="s">
        <v>3105</v>
      </c>
      <c r="D4619" s="160" t="s">
        <v>618</v>
      </c>
      <c r="E4619" s="545">
        <v>5.39</v>
      </c>
      <c r="F4619" s="161">
        <v>123.11</v>
      </c>
      <c r="G4619" s="191"/>
      <c r="H4619" s="191">
        <v>0.181333333288</v>
      </c>
      <c r="I4619" s="191">
        <v>960000</v>
      </c>
      <c r="J4619" s="191"/>
      <c r="K4619" s="191">
        <v>5.2480746024977263</v>
      </c>
      <c r="L4619" s="191"/>
      <c r="M4619" s="191"/>
      <c r="N4619" s="191"/>
      <c r="O4619" s="191"/>
      <c r="P4619" s="191"/>
      <c r="Q4619" s="191">
        <v>4.9275000000000007E-7</v>
      </c>
      <c r="R4619" s="191">
        <v>5.3483578746909358E-7</v>
      </c>
      <c r="S4619" s="191">
        <v>5.9426198607677063E-8</v>
      </c>
      <c r="T4619" s="191">
        <v>2.6741789373454679E-7</v>
      </c>
      <c r="U4619" s="439"/>
      <c r="V4619" s="439"/>
      <c r="W4619" s="178">
        <v>30000</v>
      </c>
      <c r="X4619" s="172">
        <f t="shared" si="11"/>
        <v>0.33333333333333331</v>
      </c>
      <c r="Y4619" s="172">
        <f t="shared" si="11"/>
        <v>0.33333333333333331</v>
      </c>
      <c r="Z4619" s="172">
        <f t="shared" si="11"/>
        <v>0.33333333333333331</v>
      </c>
      <c r="AA4619" s="195"/>
      <c r="AB4619" s="159"/>
    </row>
    <row r="4620" spans="1:28" ht="12.75" customHeight="1" x14ac:dyDescent="0.3">
      <c r="A4620" s="161">
        <v>620</v>
      </c>
      <c r="B4620" s="159" t="s">
        <v>3106</v>
      </c>
      <c r="C4620" s="160" t="s">
        <v>3107</v>
      </c>
      <c r="D4620" s="160" t="s">
        <v>618</v>
      </c>
      <c r="E4620" s="545">
        <v>5.48</v>
      </c>
      <c r="F4620" s="161">
        <v>173.56</v>
      </c>
      <c r="G4620" s="191"/>
      <c r="H4620" s="191">
        <v>3.9466666656799994E-2</v>
      </c>
      <c r="I4620" s="191">
        <v>390.8</v>
      </c>
      <c r="J4620" s="191"/>
      <c r="K4620" s="191">
        <v>354.81338923357566</v>
      </c>
      <c r="L4620" s="191"/>
      <c r="M4620" s="191"/>
      <c r="N4620" s="191"/>
      <c r="O4620" s="191"/>
      <c r="P4620" s="191"/>
      <c r="Q4620" s="191">
        <v>1.0170975E-6</v>
      </c>
      <c r="R4620" s="191">
        <v>2.1393431498763744E-7</v>
      </c>
      <c r="S4620" s="191">
        <v>2.3770479443070826E-8</v>
      </c>
      <c r="T4620" s="191">
        <v>1.0696715749381872E-7</v>
      </c>
      <c r="U4620" s="439"/>
      <c r="V4620" s="439"/>
      <c r="W4620" s="178">
        <v>30000</v>
      </c>
      <c r="X4620" s="172">
        <f t="shared" si="11"/>
        <v>0.33333333333333331</v>
      </c>
      <c r="Y4620" s="172">
        <f t="shared" si="11"/>
        <v>0.33333333333333331</v>
      </c>
      <c r="Z4620" s="172">
        <f t="shared" si="11"/>
        <v>0.33333333333333331</v>
      </c>
      <c r="AA4620" s="195"/>
      <c r="AB4620" s="159"/>
    </row>
    <row r="4621" spans="1:28" ht="12.75" customHeight="1" x14ac:dyDescent="0.3">
      <c r="A4621" s="161">
        <v>621</v>
      </c>
      <c r="B4621" s="159" t="s">
        <v>3108</v>
      </c>
      <c r="C4621" s="160" t="s">
        <v>3109</v>
      </c>
      <c r="D4621" s="160" t="s">
        <v>618</v>
      </c>
      <c r="E4621" s="545">
        <v>5.64</v>
      </c>
      <c r="F4621" s="161">
        <v>359.4</v>
      </c>
      <c r="G4621" s="191"/>
      <c r="H4621" s="191">
        <v>4.0799999989799998E-10</v>
      </c>
      <c r="I4621" s="191">
        <v>3397</v>
      </c>
      <c r="J4621" s="191"/>
      <c r="K4621" s="191">
        <v>5.0118723362727229</v>
      </c>
      <c r="L4621" s="191"/>
      <c r="M4621" s="191"/>
      <c r="N4621" s="191"/>
      <c r="O4621" s="191"/>
      <c r="P4621" s="191"/>
      <c r="Q4621" s="191">
        <v>2.4382438500000002E-4</v>
      </c>
      <c r="R4621" s="191">
        <v>4.45696489557578E-8</v>
      </c>
      <c r="S4621" s="191">
        <v>4.9521832173064224E-9</v>
      </c>
      <c r="T4621" s="191">
        <v>6.5223876520621167E-8</v>
      </c>
      <c r="U4621" s="439"/>
      <c r="V4621" s="439"/>
      <c r="W4621" s="178">
        <v>30000</v>
      </c>
      <c r="X4621" s="172">
        <f t="shared" si="11"/>
        <v>0.33333333333333331</v>
      </c>
      <c r="Y4621" s="172">
        <f t="shared" si="11"/>
        <v>0.33333333333333331</v>
      </c>
      <c r="Z4621" s="172">
        <f t="shared" si="11"/>
        <v>0.33333333333333331</v>
      </c>
      <c r="AA4621" s="195"/>
      <c r="AB4621" s="159"/>
    </row>
    <row r="4622" spans="1:28" ht="12.75" customHeight="1" x14ac:dyDescent="0.3">
      <c r="A4622" s="161">
        <v>622</v>
      </c>
      <c r="B4622" s="159" t="s">
        <v>3110</v>
      </c>
      <c r="C4622" s="160" t="s">
        <v>3111</v>
      </c>
      <c r="D4622" s="160" t="s">
        <v>618</v>
      </c>
      <c r="E4622" s="545">
        <v>5.75</v>
      </c>
      <c r="F4622" s="161">
        <v>304.22000000000003</v>
      </c>
      <c r="G4622" s="191"/>
      <c r="H4622" s="191">
        <v>1.241333333023E-4</v>
      </c>
      <c r="I4622" s="191">
        <v>4.6109999999999998</v>
      </c>
      <c r="J4622" s="191"/>
      <c r="K4622" s="191">
        <v>27542.287033381719</v>
      </c>
      <c r="L4622" s="191"/>
      <c r="M4622" s="191"/>
      <c r="N4622" s="191"/>
      <c r="O4622" s="191"/>
      <c r="P4622" s="191"/>
      <c r="Q4622" s="191">
        <v>1.42215525E-4</v>
      </c>
      <c r="R4622" s="191">
        <v>1.3370894686727339E-7</v>
      </c>
      <c r="S4622" s="191">
        <v>1.4856549651919266E-8</v>
      </c>
      <c r="T4622" s="191">
        <v>6.6854473433636697E-8</v>
      </c>
      <c r="U4622" s="439"/>
      <c r="V4622" s="439"/>
      <c r="W4622" s="178">
        <v>30000</v>
      </c>
      <c r="X4622" s="172">
        <f t="shared" si="11"/>
        <v>0.33333333333333331</v>
      </c>
      <c r="Y4622" s="172">
        <f t="shared" si="11"/>
        <v>0.33333333333333331</v>
      </c>
      <c r="Z4622" s="172">
        <f t="shared" si="11"/>
        <v>0.33333333333333331</v>
      </c>
      <c r="AA4622" s="195"/>
      <c r="AB4622" s="159"/>
    </row>
    <row r="4623" spans="1:28" ht="12.75" customHeight="1" x14ac:dyDescent="0.3">
      <c r="A4623" s="161">
        <v>623</v>
      </c>
      <c r="B4623" s="159" t="s">
        <v>3112</v>
      </c>
      <c r="C4623" s="160" t="s">
        <v>3113</v>
      </c>
      <c r="D4623" s="160" t="s">
        <v>618</v>
      </c>
      <c r="E4623" s="545">
        <v>5.8</v>
      </c>
      <c r="F4623" s="161">
        <v>197.45</v>
      </c>
      <c r="G4623" s="191"/>
      <c r="H4623" s="191">
        <v>0.37333333323999995</v>
      </c>
      <c r="I4623" s="191">
        <v>450</v>
      </c>
      <c r="J4623" s="191"/>
      <c r="K4623" s="191">
        <v>5888.4365535558973</v>
      </c>
      <c r="L4623" s="191"/>
      <c r="M4623" s="191"/>
      <c r="N4623" s="191"/>
      <c r="O4623" s="191"/>
      <c r="P4623" s="191"/>
      <c r="Q4623" s="191">
        <v>1.6039274999999998E-6</v>
      </c>
      <c r="R4623" s="191">
        <v>1.3370894686727339E-7</v>
      </c>
      <c r="S4623" s="191">
        <v>1.4856549651919266E-8</v>
      </c>
      <c r="T4623" s="191">
        <v>6.6854473433636697E-8</v>
      </c>
      <c r="U4623" s="439"/>
      <c r="V4623" s="439"/>
      <c r="W4623" s="178">
        <v>30000</v>
      </c>
      <c r="X4623" s="172">
        <f t="shared" si="11"/>
        <v>0.33333333333333331</v>
      </c>
      <c r="Y4623" s="172">
        <f t="shared" si="11"/>
        <v>0.33333333333333331</v>
      </c>
      <c r="Z4623" s="172">
        <f t="shared" si="11"/>
        <v>0.33333333333333331</v>
      </c>
      <c r="AA4623" s="195"/>
      <c r="AB4623" s="159"/>
    </row>
    <row r="4624" spans="1:28" ht="12.75" customHeight="1" x14ac:dyDescent="0.3">
      <c r="A4624" s="161">
        <v>624</v>
      </c>
      <c r="B4624" s="159" t="s">
        <v>3114</v>
      </c>
      <c r="C4624" s="160" t="s">
        <v>3115</v>
      </c>
      <c r="D4624" s="160" t="s">
        <v>618</v>
      </c>
      <c r="E4624" s="545">
        <v>5.98</v>
      </c>
      <c r="F4624" s="161">
        <v>261.92</v>
      </c>
      <c r="G4624" s="191"/>
      <c r="H4624" s="191">
        <v>1.1199999997199998E-2</v>
      </c>
      <c r="I4624" s="191">
        <v>4.2</v>
      </c>
      <c r="J4624" s="191"/>
      <c r="K4624" s="191">
        <v>38904.514499428085</v>
      </c>
      <c r="L4624" s="191"/>
      <c r="M4624" s="191"/>
      <c r="N4624" s="191"/>
      <c r="O4624" s="191"/>
      <c r="P4624" s="191"/>
      <c r="Q4624" s="191">
        <v>1.6392975E-6</v>
      </c>
      <c r="R4624" s="191">
        <v>1.3370894686727339E-7</v>
      </c>
      <c r="S4624" s="191">
        <v>1.4856549651919266E-8</v>
      </c>
      <c r="T4624" s="191">
        <v>6.6854473433636697E-8</v>
      </c>
      <c r="U4624" s="439"/>
      <c r="V4624" s="439"/>
      <c r="W4624" s="178">
        <v>30000</v>
      </c>
      <c r="X4624" s="172">
        <f t="shared" si="11"/>
        <v>0.33333333333333331</v>
      </c>
      <c r="Y4624" s="172">
        <f t="shared" si="11"/>
        <v>0.33333333333333331</v>
      </c>
      <c r="Z4624" s="172">
        <f t="shared" si="11"/>
        <v>0.33333333333333331</v>
      </c>
      <c r="AA4624" s="195"/>
      <c r="AB4624" s="159"/>
    </row>
    <row r="4625" spans="1:28" ht="12.75" customHeight="1" x14ac:dyDescent="0.3">
      <c r="A4625" s="161">
        <v>625</v>
      </c>
      <c r="B4625" s="159" t="s">
        <v>3116</v>
      </c>
      <c r="C4625" s="160" t="s">
        <v>3117</v>
      </c>
      <c r="D4625" s="160" t="s">
        <v>618</v>
      </c>
      <c r="E4625" s="545">
        <v>6.07</v>
      </c>
      <c r="F4625" s="161">
        <v>207.11</v>
      </c>
      <c r="G4625" s="191"/>
      <c r="H4625" s="191">
        <v>0.19466666661799997</v>
      </c>
      <c r="I4625" s="191">
        <v>5000</v>
      </c>
      <c r="J4625" s="191"/>
      <c r="K4625" s="191">
        <v>741.31024130091828</v>
      </c>
      <c r="L4625" s="191"/>
      <c r="M4625" s="191"/>
      <c r="N4625" s="191"/>
      <c r="O4625" s="191"/>
      <c r="P4625" s="191"/>
      <c r="Q4625" s="191">
        <v>5.7774000000000004E-7</v>
      </c>
      <c r="R4625" s="191">
        <v>1.3370894686727339E-7</v>
      </c>
      <c r="S4625" s="191">
        <v>1.4856549651919266E-8</v>
      </c>
      <c r="T4625" s="191">
        <v>6.6854473433636697E-8</v>
      </c>
      <c r="U4625" s="439"/>
      <c r="V4625" s="439"/>
      <c r="W4625" s="178">
        <v>30000</v>
      </c>
      <c r="X4625" s="172">
        <f t="shared" si="11"/>
        <v>0.33333333333333331</v>
      </c>
      <c r="Y4625" s="172">
        <f t="shared" si="11"/>
        <v>0.33333333333333331</v>
      </c>
      <c r="Z4625" s="172">
        <f t="shared" si="11"/>
        <v>0.33333333333333331</v>
      </c>
      <c r="AA4625" s="195"/>
      <c r="AB4625" s="159"/>
    </row>
    <row r="4626" spans="1:28" ht="12.75" customHeight="1" x14ac:dyDescent="0.3">
      <c r="A4626" s="161">
        <v>626</v>
      </c>
      <c r="B4626" s="159" t="s">
        <v>3118</v>
      </c>
      <c r="C4626" s="160" t="s">
        <v>3119</v>
      </c>
      <c r="D4626" s="160" t="s">
        <v>618</v>
      </c>
      <c r="E4626" s="545">
        <v>6.14</v>
      </c>
      <c r="F4626" s="161">
        <v>471.8</v>
      </c>
      <c r="G4626" s="191"/>
      <c r="H4626" s="191">
        <v>6.5999999983499993E-5</v>
      </c>
      <c r="I4626" s="191">
        <v>0.59160000000000001</v>
      </c>
      <c r="J4626" s="191"/>
      <c r="K4626" s="191">
        <v>31622.77660168384</v>
      </c>
      <c r="L4626" s="191"/>
      <c r="M4626" s="191"/>
      <c r="N4626" s="191"/>
      <c r="O4626" s="191"/>
      <c r="P4626" s="191"/>
      <c r="Q4626" s="191">
        <v>3.9354750000000001E-7</v>
      </c>
      <c r="R4626" s="191">
        <v>1.3370894686727339E-7</v>
      </c>
      <c r="S4626" s="191">
        <v>1.4856549651919266E-8</v>
      </c>
      <c r="T4626" s="191">
        <v>6.6854473433636697E-8</v>
      </c>
      <c r="U4626" s="439"/>
      <c r="V4626" s="439"/>
      <c r="W4626" s="178">
        <v>30000</v>
      </c>
      <c r="X4626" s="172">
        <f t="shared" si="11"/>
        <v>0.33333333333333331</v>
      </c>
      <c r="Y4626" s="172">
        <f t="shared" si="11"/>
        <v>0.33333333333333331</v>
      </c>
      <c r="Z4626" s="172">
        <f t="shared" si="11"/>
        <v>0.33333333333333331</v>
      </c>
      <c r="AA4626" s="195"/>
      <c r="AB4626" s="159"/>
    </row>
    <row r="4627" spans="1:28" ht="12.75" customHeight="1" x14ac:dyDescent="0.3">
      <c r="A4627" s="161">
        <v>627</v>
      </c>
      <c r="B4627" s="159" t="s">
        <v>3120</v>
      </c>
      <c r="C4627" s="160" t="s">
        <v>3121</v>
      </c>
      <c r="D4627" s="160" t="s">
        <v>618</v>
      </c>
      <c r="E4627" s="545">
        <v>6.23</v>
      </c>
      <c r="F4627" s="161">
        <v>197.45</v>
      </c>
      <c r="G4627" s="191"/>
      <c r="H4627" s="191">
        <v>1.0666666664</v>
      </c>
      <c r="I4627" s="191">
        <v>800</v>
      </c>
      <c r="J4627" s="191"/>
      <c r="K4627" s="191">
        <v>4897.7881936844633</v>
      </c>
      <c r="L4627" s="191"/>
      <c r="M4627" s="191"/>
      <c r="N4627" s="191"/>
      <c r="O4627" s="191"/>
      <c r="P4627" s="191"/>
      <c r="Q4627" s="191">
        <v>4.5546000000000003E-7</v>
      </c>
      <c r="R4627" s="191">
        <v>1.3370894686727339E-7</v>
      </c>
      <c r="S4627" s="191">
        <v>1.4856549651919266E-8</v>
      </c>
      <c r="T4627" s="191">
        <v>6.6854473433636697E-8</v>
      </c>
      <c r="U4627" s="439"/>
      <c r="V4627" s="439"/>
      <c r="W4627" s="178">
        <v>30000</v>
      </c>
      <c r="X4627" s="172">
        <f t="shared" si="11"/>
        <v>0.33333333333333331</v>
      </c>
      <c r="Y4627" s="172">
        <f t="shared" si="11"/>
        <v>0.33333333333333331</v>
      </c>
      <c r="Z4627" s="172">
        <f t="shared" si="11"/>
        <v>0.33333333333333331</v>
      </c>
      <c r="AA4627" s="195"/>
      <c r="AB4627" s="159"/>
    </row>
    <row r="4628" spans="1:28" ht="12.75" customHeight="1" x14ac:dyDescent="0.3">
      <c r="A4628" s="161">
        <v>628</v>
      </c>
      <c r="B4628" s="159" t="s">
        <v>3122</v>
      </c>
      <c r="C4628" s="160" t="s">
        <v>3123</v>
      </c>
      <c r="D4628" s="160" t="s">
        <v>618</v>
      </c>
      <c r="E4628" s="545">
        <v>6.23</v>
      </c>
      <c r="F4628" s="161">
        <v>197.45</v>
      </c>
      <c r="G4628" s="191"/>
      <c r="H4628" s="191">
        <v>1.0666666664</v>
      </c>
      <c r="I4628" s="191">
        <v>800</v>
      </c>
      <c r="J4628" s="191"/>
      <c r="K4628" s="191">
        <v>4897.7881936844633</v>
      </c>
      <c r="L4628" s="191"/>
      <c r="M4628" s="191"/>
      <c r="N4628" s="191"/>
      <c r="O4628" s="191"/>
      <c r="P4628" s="191"/>
      <c r="Q4628" s="191">
        <v>4.5546000000000003E-7</v>
      </c>
      <c r="R4628" s="191">
        <v>1.3370894686727339E-7</v>
      </c>
      <c r="S4628" s="191">
        <v>1.4856549651919266E-8</v>
      </c>
      <c r="T4628" s="191">
        <v>6.6854473433636697E-8</v>
      </c>
      <c r="U4628" s="439"/>
      <c r="V4628" s="439"/>
      <c r="W4628" s="178">
        <v>30000</v>
      </c>
      <c r="X4628" s="172">
        <f t="shared" si="11"/>
        <v>0.33333333333333331</v>
      </c>
      <c r="Y4628" s="172">
        <f t="shared" si="11"/>
        <v>0.33333333333333331</v>
      </c>
      <c r="Z4628" s="172">
        <f t="shared" si="11"/>
        <v>0.33333333333333331</v>
      </c>
      <c r="AA4628" s="195"/>
      <c r="AB4628" s="159"/>
    </row>
    <row r="4629" spans="1:28" ht="12.75" customHeight="1" x14ac:dyDescent="0.3">
      <c r="A4629" s="161">
        <v>629</v>
      </c>
      <c r="B4629" s="159" t="s">
        <v>3124</v>
      </c>
      <c r="C4629" s="160" t="s">
        <v>3125</v>
      </c>
      <c r="D4629" s="160" t="s">
        <v>618</v>
      </c>
      <c r="E4629" s="545">
        <v>6.28</v>
      </c>
      <c r="F4629" s="161">
        <v>213.45</v>
      </c>
      <c r="G4629" s="191"/>
      <c r="H4629" s="191">
        <v>2.6933333326599998E-3</v>
      </c>
      <c r="I4629" s="191">
        <v>96.17</v>
      </c>
      <c r="J4629" s="191"/>
      <c r="K4629" s="191">
        <v>5128.6138399136489</v>
      </c>
      <c r="L4629" s="191"/>
      <c r="M4629" s="191"/>
      <c r="N4629" s="191"/>
      <c r="O4629" s="191"/>
      <c r="P4629" s="191"/>
      <c r="Q4629" s="191">
        <v>2.6962274999999999E-6</v>
      </c>
      <c r="R4629" s="191">
        <v>1.3370894686727339E-7</v>
      </c>
      <c r="S4629" s="191">
        <v>1.4856549651919266E-8</v>
      </c>
      <c r="T4629" s="191">
        <v>6.6854473433636697E-8</v>
      </c>
      <c r="U4629" s="439"/>
      <c r="V4629" s="439"/>
      <c r="W4629" s="178">
        <v>30000</v>
      </c>
      <c r="X4629" s="172">
        <f t="shared" si="11"/>
        <v>0.33333333333333331</v>
      </c>
      <c r="Y4629" s="172">
        <f t="shared" si="11"/>
        <v>0.33333333333333331</v>
      </c>
      <c r="Z4629" s="172">
        <f t="shared" si="11"/>
        <v>0.33333333333333331</v>
      </c>
      <c r="AA4629" s="195"/>
      <c r="AB4629" s="159"/>
    </row>
    <row r="4630" spans="1:28" ht="12.75" customHeight="1" x14ac:dyDescent="0.3">
      <c r="A4630" s="161">
        <v>630</v>
      </c>
      <c r="B4630" s="159" t="s">
        <v>3126</v>
      </c>
      <c r="C4630" s="160" t="s">
        <v>3127</v>
      </c>
      <c r="D4630" s="160" t="s">
        <v>618</v>
      </c>
      <c r="E4630" s="545">
        <v>6.33</v>
      </c>
      <c r="F4630" s="161">
        <v>211.48</v>
      </c>
      <c r="G4630" s="191"/>
      <c r="H4630" s="191">
        <v>0.41199999989699998</v>
      </c>
      <c r="I4630" s="191">
        <v>112</v>
      </c>
      <c r="J4630" s="191"/>
      <c r="K4630" s="191">
        <v>9772.3722095581161</v>
      </c>
      <c r="L4630" s="191"/>
      <c r="M4630" s="191"/>
      <c r="N4630" s="191"/>
      <c r="O4630" s="191"/>
      <c r="P4630" s="191"/>
      <c r="Q4630" s="191">
        <v>6.3661499999999996E-7</v>
      </c>
      <c r="R4630" s="191">
        <v>1.3370894686727339E-7</v>
      </c>
      <c r="S4630" s="191">
        <v>1.4856549651919266E-8</v>
      </c>
      <c r="T4630" s="191">
        <v>6.6854473433636697E-8</v>
      </c>
      <c r="U4630" s="439"/>
      <c r="V4630" s="439"/>
      <c r="W4630" s="178">
        <v>30000</v>
      </c>
      <c r="X4630" s="172">
        <f t="shared" si="11"/>
        <v>0.33333333333333331</v>
      </c>
      <c r="Y4630" s="172">
        <f t="shared" si="11"/>
        <v>0.33333333333333331</v>
      </c>
      <c r="Z4630" s="172">
        <f t="shared" si="11"/>
        <v>0.33333333333333331</v>
      </c>
      <c r="AA4630" s="195"/>
      <c r="AB4630" s="159"/>
    </row>
    <row r="4631" spans="1:28" ht="12.75" customHeight="1" x14ac:dyDescent="0.3">
      <c r="A4631" s="161">
        <v>631</v>
      </c>
      <c r="B4631" s="159" t="s">
        <v>3128</v>
      </c>
      <c r="C4631" s="160" t="s">
        <v>3129</v>
      </c>
      <c r="D4631" s="160" t="s">
        <v>618</v>
      </c>
      <c r="E4631" s="545">
        <v>6.35</v>
      </c>
      <c r="F4631" s="161">
        <v>231.89</v>
      </c>
      <c r="G4631" s="191"/>
      <c r="H4631" s="191">
        <v>2.1599999994600001E-2</v>
      </c>
      <c r="I4631" s="191">
        <v>28.69</v>
      </c>
      <c r="J4631" s="191"/>
      <c r="K4631" s="191">
        <v>16218.100973589309</v>
      </c>
      <c r="L4631" s="191"/>
      <c r="M4631" s="191"/>
      <c r="N4631" s="191"/>
      <c r="O4631" s="191"/>
      <c r="P4631" s="191"/>
      <c r="Q4631" s="191">
        <v>1.1594399999999999E-6</v>
      </c>
      <c r="R4631" s="191">
        <v>1.3370894686727339E-7</v>
      </c>
      <c r="S4631" s="191">
        <v>1.4856549651919266E-8</v>
      </c>
      <c r="T4631" s="191">
        <v>6.6854473433636697E-8</v>
      </c>
      <c r="U4631" s="439"/>
      <c r="V4631" s="439"/>
      <c r="W4631" s="178">
        <v>30000</v>
      </c>
      <c r="X4631" s="172">
        <f t="shared" si="11"/>
        <v>0.33333333333333331</v>
      </c>
      <c r="Y4631" s="172">
        <f t="shared" si="11"/>
        <v>0.33333333333333331</v>
      </c>
      <c r="Z4631" s="172">
        <f t="shared" si="11"/>
        <v>0.33333333333333331</v>
      </c>
      <c r="AA4631" s="195"/>
      <c r="AB4631" s="159"/>
    </row>
    <row r="4632" spans="1:28" ht="12.75" customHeight="1" x14ac:dyDescent="0.3">
      <c r="A4632" s="161">
        <v>632</v>
      </c>
      <c r="B4632" s="159" t="s">
        <v>3130</v>
      </c>
      <c r="C4632" s="160" t="s">
        <v>3131</v>
      </c>
      <c r="D4632" s="160" t="s">
        <v>618</v>
      </c>
      <c r="E4632" s="545">
        <v>6.51</v>
      </c>
      <c r="F4632" s="161">
        <v>663.08</v>
      </c>
      <c r="G4632" s="191"/>
      <c r="H4632" s="191">
        <v>5.6799999985799991E-15</v>
      </c>
      <c r="I4632" s="191">
        <v>1.519E-5</v>
      </c>
      <c r="J4632" s="191"/>
      <c r="K4632" s="191">
        <v>128824955.16931349</v>
      </c>
      <c r="L4632" s="191"/>
      <c r="M4632" s="191"/>
      <c r="N4632" s="191"/>
      <c r="O4632" s="191"/>
      <c r="P4632" s="191"/>
      <c r="Q4632" s="191">
        <v>1.1569514999999999E-5</v>
      </c>
      <c r="R4632" s="191">
        <v>4.45696489557578E-8</v>
      </c>
      <c r="S4632" s="191">
        <v>4.9521832173064224E-9</v>
      </c>
      <c r="T4632" s="191">
        <v>2.22848244778789E-8</v>
      </c>
      <c r="U4632" s="439"/>
      <c r="V4632" s="439"/>
      <c r="W4632" s="178">
        <v>30000</v>
      </c>
      <c r="X4632" s="172">
        <f t="shared" si="11"/>
        <v>0.33333333333333331</v>
      </c>
      <c r="Y4632" s="172">
        <f t="shared" si="11"/>
        <v>0.33333333333333331</v>
      </c>
      <c r="Z4632" s="172">
        <f t="shared" si="11"/>
        <v>0.33333333333333331</v>
      </c>
      <c r="AA4632" s="195"/>
      <c r="AB4632" s="159"/>
    </row>
    <row r="4633" spans="1:28" ht="12.75" customHeight="1" x14ac:dyDescent="0.3">
      <c r="A4633" s="161">
        <v>633</v>
      </c>
      <c r="B4633" s="159" t="s">
        <v>3132</v>
      </c>
      <c r="C4633" s="160" t="s">
        <v>3133</v>
      </c>
      <c r="D4633" s="160" t="s">
        <v>618</v>
      </c>
      <c r="E4633" s="545">
        <v>6.61</v>
      </c>
      <c r="F4633" s="161">
        <v>366.07</v>
      </c>
      <c r="G4633" s="191"/>
      <c r="H4633" s="191">
        <v>3.8399999990399998E-7</v>
      </c>
      <c r="I4633" s="191">
        <v>9.1579999999999995E-2</v>
      </c>
      <c r="J4633" s="191"/>
      <c r="K4633" s="191">
        <v>1659586.9074375622</v>
      </c>
      <c r="L4633" s="191"/>
      <c r="M4633" s="191"/>
      <c r="N4633" s="191"/>
      <c r="O4633" s="191"/>
      <c r="P4633" s="191"/>
      <c r="Q4633" s="191">
        <v>2.6561025E-6</v>
      </c>
      <c r="R4633" s="191">
        <v>4.45696489557578E-8</v>
      </c>
      <c r="S4633" s="191">
        <v>4.9521832173064224E-9</v>
      </c>
      <c r="T4633" s="191">
        <v>2.22848244778789E-8</v>
      </c>
      <c r="U4633" s="439"/>
      <c r="V4633" s="439"/>
      <c r="W4633" s="178">
        <v>30000</v>
      </c>
      <c r="X4633" s="172">
        <f t="shared" si="11"/>
        <v>0.33333333333333331</v>
      </c>
      <c r="Y4633" s="172">
        <f t="shared" si="11"/>
        <v>0.33333333333333331</v>
      </c>
      <c r="Z4633" s="172">
        <f t="shared" si="11"/>
        <v>0.33333333333333331</v>
      </c>
      <c r="AA4633" s="195"/>
      <c r="AB4633" s="159"/>
    </row>
    <row r="4634" spans="1:28" ht="12.75" customHeight="1" x14ac:dyDescent="0.3">
      <c r="A4634" s="161">
        <v>634</v>
      </c>
      <c r="B4634" s="159" t="s">
        <v>3134</v>
      </c>
      <c r="C4634" s="160" t="s">
        <v>1727</v>
      </c>
      <c r="D4634" s="160" t="s">
        <v>618</v>
      </c>
      <c r="E4634" s="545">
        <v>6.67</v>
      </c>
      <c r="F4634" s="161">
        <v>543.88</v>
      </c>
      <c r="G4634" s="191"/>
      <c r="H4634" s="191">
        <v>4.6133333321800002E-9</v>
      </c>
      <c r="I4634" s="191">
        <v>1.0020000000000001E-3</v>
      </c>
      <c r="J4634" s="191"/>
      <c r="K4634" s="191">
        <v>15848931.924611172</v>
      </c>
      <c r="L4634" s="191"/>
      <c r="M4634" s="191"/>
      <c r="N4634" s="191"/>
      <c r="O4634" s="191"/>
      <c r="P4634" s="191"/>
      <c r="Q4634" s="191">
        <v>2.2188074999999999E-6</v>
      </c>
      <c r="R4634" s="191">
        <v>4.45696489557578E-8</v>
      </c>
      <c r="S4634" s="191">
        <v>4.9521832173064224E-9</v>
      </c>
      <c r="T4634" s="191">
        <v>2.22848244778789E-8</v>
      </c>
      <c r="U4634" s="439"/>
      <c r="V4634" s="439"/>
      <c r="W4634" s="178">
        <v>30000</v>
      </c>
      <c r="X4634" s="172">
        <f t="shared" si="11"/>
        <v>0.33333333333333331</v>
      </c>
      <c r="Y4634" s="172">
        <f t="shared" si="11"/>
        <v>0.33333333333333331</v>
      </c>
      <c r="Z4634" s="172">
        <f t="shared" si="11"/>
        <v>0.33333333333333331</v>
      </c>
      <c r="AA4634" s="195"/>
      <c r="AB4634" s="159"/>
    </row>
    <row r="4635" spans="1:28" ht="12.75" customHeight="1" x14ac:dyDescent="0.3">
      <c r="A4635" s="161">
        <v>635</v>
      </c>
      <c r="B4635" s="159" t="s">
        <v>3135</v>
      </c>
      <c r="C4635" s="160" t="s">
        <v>3136</v>
      </c>
      <c r="D4635" s="160" t="s">
        <v>618</v>
      </c>
      <c r="E4635" s="545">
        <v>6.79</v>
      </c>
      <c r="F4635" s="161">
        <v>163</v>
      </c>
      <c r="G4635" s="191"/>
      <c r="H4635" s="191">
        <v>4.3999999989000003</v>
      </c>
      <c r="I4635" s="191">
        <v>1900</v>
      </c>
      <c r="J4635" s="191"/>
      <c r="K4635" s="191">
        <v>562.34132519034927</v>
      </c>
      <c r="L4635" s="191"/>
      <c r="M4635" s="191"/>
      <c r="N4635" s="191"/>
      <c r="O4635" s="191"/>
      <c r="P4635" s="191"/>
      <c r="Q4635" s="191">
        <v>2.2357949999999999E-6</v>
      </c>
      <c r="R4635" s="191">
        <v>2.1393431498763744E-7</v>
      </c>
      <c r="S4635" s="191">
        <v>2.3770479443070826E-8</v>
      </c>
      <c r="T4635" s="191">
        <v>1.0696715749381872E-7</v>
      </c>
      <c r="U4635" s="439"/>
      <c r="V4635" s="439"/>
      <c r="W4635" s="178">
        <v>30000</v>
      </c>
      <c r="X4635" s="172">
        <f t="shared" si="11"/>
        <v>0.33333333333333331</v>
      </c>
      <c r="Y4635" s="172">
        <f t="shared" si="11"/>
        <v>0.33333333333333331</v>
      </c>
      <c r="Z4635" s="172">
        <f t="shared" si="11"/>
        <v>0.33333333333333331</v>
      </c>
      <c r="AA4635" s="195"/>
      <c r="AB4635" s="159"/>
    </row>
    <row r="4636" spans="1:28" ht="12.75" customHeight="1" x14ac:dyDescent="0.3">
      <c r="A4636" s="161">
        <v>636</v>
      </c>
      <c r="B4636" s="159" t="s">
        <v>3137</v>
      </c>
      <c r="C4636" s="160" t="s">
        <v>3138</v>
      </c>
      <c r="D4636" s="160" t="s">
        <v>618</v>
      </c>
      <c r="E4636" s="545">
        <v>6.8</v>
      </c>
      <c r="F4636" s="161">
        <v>330.8</v>
      </c>
      <c r="G4636" s="191"/>
      <c r="H4636" s="191">
        <v>4.0399999989899994E-2</v>
      </c>
      <c r="I4636" s="191">
        <v>70</v>
      </c>
      <c r="J4636" s="191"/>
      <c r="K4636" s="191">
        <v>13489.628825916556</v>
      </c>
      <c r="L4636" s="191"/>
      <c r="M4636" s="191"/>
      <c r="N4636" s="191"/>
      <c r="O4636" s="191"/>
      <c r="P4636" s="191"/>
      <c r="Q4636" s="191">
        <v>3.5614499999999999E-7</v>
      </c>
      <c r="R4636" s="191">
        <v>1.3370894686727339E-7</v>
      </c>
      <c r="S4636" s="191">
        <v>1.4856549651919266E-8</v>
      </c>
      <c r="T4636" s="191">
        <v>6.6854473433636697E-8</v>
      </c>
      <c r="U4636" s="439"/>
      <c r="V4636" s="439"/>
      <c r="W4636" s="178">
        <v>30000</v>
      </c>
      <c r="X4636" s="172">
        <f t="shared" si="11"/>
        <v>0.33333333333333331</v>
      </c>
      <c r="Y4636" s="172">
        <f t="shared" si="11"/>
        <v>0.33333333333333331</v>
      </c>
      <c r="Z4636" s="172">
        <f t="shared" si="11"/>
        <v>0.33333333333333331</v>
      </c>
      <c r="AA4636" s="195"/>
      <c r="AB4636" s="159"/>
    </row>
    <row r="4637" spans="1:28" ht="12.75" customHeight="1" x14ac:dyDescent="0.3">
      <c r="A4637" s="161">
        <v>637</v>
      </c>
      <c r="B4637" s="159" t="s">
        <v>3139</v>
      </c>
      <c r="C4637" s="160" t="s">
        <v>3140</v>
      </c>
      <c r="D4637" s="160" t="s">
        <v>618</v>
      </c>
      <c r="E4637" s="545">
        <v>6.84</v>
      </c>
      <c r="F4637" s="161">
        <v>227.48</v>
      </c>
      <c r="G4637" s="191"/>
      <c r="H4637" s="191">
        <v>0.24933333327099996</v>
      </c>
      <c r="I4637" s="191">
        <v>20.89</v>
      </c>
      <c r="J4637" s="191"/>
      <c r="K4637" s="191">
        <v>5248.0746024977352</v>
      </c>
      <c r="L4637" s="191"/>
      <c r="M4637" s="191"/>
      <c r="N4637" s="191"/>
      <c r="O4637" s="191"/>
      <c r="P4637" s="191"/>
      <c r="Q4637" s="191">
        <v>2.3314125000000003E-6</v>
      </c>
      <c r="R4637" s="191">
        <v>1.3370894686727339E-7</v>
      </c>
      <c r="S4637" s="191">
        <v>1.4856549651919266E-8</v>
      </c>
      <c r="T4637" s="191">
        <v>6.6854473433636697E-8</v>
      </c>
      <c r="U4637" s="439"/>
      <c r="V4637" s="439"/>
      <c r="W4637" s="178">
        <v>30000</v>
      </c>
      <c r="X4637" s="172">
        <f t="shared" si="11"/>
        <v>0.33333333333333331</v>
      </c>
      <c r="Y4637" s="172">
        <f t="shared" si="11"/>
        <v>0.33333333333333331</v>
      </c>
      <c r="Z4637" s="172">
        <f t="shared" si="11"/>
        <v>0.33333333333333331</v>
      </c>
      <c r="AA4637" s="195"/>
      <c r="AB4637" s="159"/>
    </row>
    <row r="4638" spans="1:28" ht="12.75" customHeight="1" x14ac:dyDescent="0.3">
      <c r="A4638" s="161">
        <v>638</v>
      </c>
      <c r="B4638" s="159" t="s">
        <v>3141</v>
      </c>
      <c r="C4638" s="160" t="s">
        <v>3142</v>
      </c>
      <c r="D4638" s="160" t="s">
        <v>618</v>
      </c>
      <c r="E4638" s="545">
        <v>6.86</v>
      </c>
      <c r="F4638" s="161">
        <v>240.22</v>
      </c>
      <c r="G4638" s="191"/>
      <c r="H4638" s="191">
        <v>1.167999999708E-7</v>
      </c>
      <c r="I4638" s="191">
        <v>400</v>
      </c>
      <c r="J4638" s="191"/>
      <c r="K4638" s="191">
        <v>1445.4397707459289</v>
      </c>
      <c r="L4638" s="191"/>
      <c r="M4638" s="191"/>
      <c r="N4638" s="191"/>
      <c r="O4638" s="191"/>
      <c r="P4638" s="191"/>
      <c r="Q4638" s="191">
        <v>7.3837274999999995E-6</v>
      </c>
      <c r="R4638" s="191">
        <v>2.1393431498763744E-7</v>
      </c>
      <c r="S4638" s="191">
        <v>2.3770479443070826E-8</v>
      </c>
      <c r="T4638" s="191">
        <v>1.0696715749381872E-7</v>
      </c>
      <c r="U4638" s="439"/>
      <c r="V4638" s="439"/>
      <c r="W4638" s="178">
        <v>30000</v>
      </c>
      <c r="X4638" s="172">
        <f t="shared" si="11"/>
        <v>0.33333333333333331</v>
      </c>
      <c r="Y4638" s="172">
        <f t="shared" si="11"/>
        <v>0.33333333333333331</v>
      </c>
      <c r="Z4638" s="172">
        <f t="shared" si="11"/>
        <v>0.33333333333333331</v>
      </c>
      <c r="AA4638" s="195"/>
      <c r="AB4638" s="159"/>
    </row>
    <row r="4639" spans="1:28" ht="12.75" customHeight="1" x14ac:dyDescent="0.3">
      <c r="A4639" s="161">
        <v>639</v>
      </c>
      <c r="B4639" s="159" t="s">
        <v>3143</v>
      </c>
      <c r="C4639" s="160" t="s">
        <v>3144</v>
      </c>
      <c r="D4639" s="160" t="s">
        <v>618</v>
      </c>
      <c r="E4639" s="545">
        <v>6.87</v>
      </c>
      <c r="F4639" s="161">
        <v>261.24</v>
      </c>
      <c r="G4639" s="191"/>
      <c r="H4639" s="191">
        <v>1.3599999996599999E-7</v>
      </c>
      <c r="I4639" s="191">
        <v>3.2</v>
      </c>
      <c r="J4639" s="191"/>
      <c r="K4639" s="191">
        <v>8.709635899560805</v>
      </c>
      <c r="L4639" s="191"/>
      <c r="M4639" s="191"/>
      <c r="N4639" s="191"/>
      <c r="O4639" s="191"/>
      <c r="P4639" s="191"/>
      <c r="Q4639" s="191">
        <v>9.4445700000000003E-5</v>
      </c>
      <c r="R4639" s="191">
        <v>2.1393431498763744E-7</v>
      </c>
      <c r="S4639" s="191">
        <v>2.3770479443070826E-8</v>
      </c>
      <c r="T4639" s="191">
        <v>1.4586430567338916E-8</v>
      </c>
      <c r="U4639" s="439"/>
      <c r="V4639" s="439"/>
      <c r="W4639" s="178">
        <v>30000</v>
      </c>
      <c r="X4639" s="172">
        <f t="shared" si="11"/>
        <v>0.33333333333333331</v>
      </c>
      <c r="Y4639" s="172">
        <f t="shared" si="11"/>
        <v>0.33333333333333331</v>
      </c>
      <c r="Z4639" s="172">
        <f t="shared" si="11"/>
        <v>0.33333333333333331</v>
      </c>
      <c r="AA4639" s="195"/>
      <c r="AB4639" s="159"/>
    </row>
    <row r="4640" spans="1:28" ht="12.75" customHeight="1" x14ac:dyDescent="0.3">
      <c r="A4640" s="161">
        <v>640</v>
      </c>
      <c r="B4640" s="159" t="s">
        <v>3145</v>
      </c>
      <c r="C4640" s="160" t="s">
        <v>3146</v>
      </c>
      <c r="D4640" s="160" t="s">
        <v>618</v>
      </c>
      <c r="E4640" s="545">
        <v>6.88</v>
      </c>
      <c r="F4640" s="161">
        <v>257.5</v>
      </c>
      <c r="G4640" s="191"/>
      <c r="H4640" s="191">
        <v>3.01333333258E-3</v>
      </c>
      <c r="I4640" s="191">
        <v>13.75</v>
      </c>
      <c r="J4640" s="191"/>
      <c r="K4640" s="191">
        <v>5495.4087385762541</v>
      </c>
      <c r="L4640" s="191"/>
      <c r="M4640" s="191"/>
      <c r="N4640" s="191"/>
      <c r="O4640" s="191"/>
      <c r="P4640" s="191"/>
      <c r="Q4640" s="191">
        <v>8.6925299999999989E-6</v>
      </c>
      <c r="R4640" s="191">
        <v>1.3370894686727339E-7</v>
      </c>
      <c r="S4640" s="191">
        <v>1.4856549651919266E-8</v>
      </c>
      <c r="T4640" s="191">
        <v>6.6854473433636697E-8</v>
      </c>
      <c r="U4640" s="439"/>
      <c r="V4640" s="439"/>
      <c r="W4640" s="178">
        <v>30000</v>
      </c>
      <c r="X4640" s="172">
        <f t="shared" si="11"/>
        <v>0.33333333333333331</v>
      </c>
      <c r="Y4640" s="172">
        <f t="shared" si="11"/>
        <v>0.33333333333333331</v>
      </c>
      <c r="Z4640" s="172">
        <f t="shared" si="11"/>
        <v>0.33333333333333331</v>
      </c>
      <c r="AA4640" s="195"/>
      <c r="AB4640" s="159"/>
    </row>
    <row r="4641" spans="1:28" ht="12.75" customHeight="1" x14ac:dyDescent="0.3">
      <c r="A4641" s="161">
        <v>641</v>
      </c>
      <c r="B4641" s="159" t="s">
        <v>3147</v>
      </c>
      <c r="C4641" s="160" t="s">
        <v>1589</v>
      </c>
      <c r="D4641" s="160" t="s">
        <v>618</v>
      </c>
      <c r="E4641" s="545">
        <v>6.93</v>
      </c>
      <c r="F4641" s="161">
        <v>167.24</v>
      </c>
      <c r="G4641" s="191"/>
      <c r="H4641" s="191">
        <v>5.6133333319299998E-3</v>
      </c>
      <c r="I4641" s="191">
        <v>120</v>
      </c>
      <c r="J4641" s="191"/>
      <c r="K4641" s="191">
        <v>263.02679918953817</v>
      </c>
      <c r="L4641" s="191"/>
      <c r="M4641" s="191"/>
      <c r="N4641" s="191"/>
      <c r="O4641" s="191"/>
      <c r="P4641" s="191"/>
      <c r="Q4641" s="191">
        <v>3.0476092500000001E-5</v>
      </c>
      <c r="R4641" s="191">
        <v>5.3483578746909358E-7</v>
      </c>
      <c r="S4641" s="191">
        <v>5.9426198607677063E-8</v>
      </c>
      <c r="T4641" s="191">
        <v>2.6741789373454679E-7</v>
      </c>
      <c r="U4641" s="439"/>
      <c r="V4641" s="439"/>
      <c r="W4641" s="178">
        <v>30000</v>
      </c>
      <c r="X4641" s="172">
        <f t="shared" si="11"/>
        <v>0.33333333333333331</v>
      </c>
      <c r="Y4641" s="172">
        <f t="shared" si="11"/>
        <v>0.33333333333333331</v>
      </c>
      <c r="Z4641" s="172">
        <f t="shared" si="11"/>
        <v>0.33333333333333331</v>
      </c>
      <c r="AA4641" s="195"/>
      <c r="AB4641" s="159"/>
    </row>
    <row r="4642" spans="1:28" ht="12.75" customHeight="1" x14ac:dyDescent="0.3">
      <c r="A4642" s="161">
        <v>642</v>
      </c>
      <c r="B4642" s="159" t="s">
        <v>3148</v>
      </c>
      <c r="C4642" s="160" t="s">
        <v>3149</v>
      </c>
      <c r="D4642" s="160" t="s">
        <v>618</v>
      </c>
      <c r="E4642" s="545">
        <v>6.95</v>
      </c>
      <c r="F4642" s="161">
        <v>302.24</v>
      </c>
      <c r="G4642" s="191"/>
      <c r="H4642" s="191">
        <v>3.7199999990699997E-13</v>
      </c>
      <c r="I4642" s="191">
        <v>60</v>
      </c>
      <c r="J4642" s="191"/>
      <c r="K4642" s="191">
        <v>30.199517204020164</v>
      </c>
      <c r="L4642" s="191"/>
      <c r="M4642" s="191"/>
      <c r="N4642" s="191"/>
      <c r="O4642" s="191"/>
      <c r="P4642" s="191"/>
      <c r="Q4642" s="191">
        <v>1.794E-4</v>
      </c>
      <c r="R4642" s="191">
        <v>5.3483578746909358E-7</v>
      </c>
      <c r="S4642" s="191">
        <v>5.9426198607677063E-8</v>
      </c>
      <c r="T4642" s="191">
        <v>2.6741789373454679E-7</v>
      </c>
      <c r="U4642" s="439"/>
      <c r="V4642" s="439"/>
      <c r="W4642" s="178">
        <v>30000</v>
      </c>
      <c r="X4642" s="172">
        <f t="shared" ref="X4642:Z4705" si="12">1/3</f>
        <v>0.33333333333333331</v>
      </c>
      <c r="Y4642" s="172">
        <f t="shared" si="12"/>
        <v>0.33333333333333331</v>
      </c>
      <c r="Z4642" s="172">
        <f t="shared" si="12"/>
        <v>0.33333333333333331</v>
      </c>
      <c r="AA4642" s="195"/>
      <c r="AB4642" s="159"/>
    </row>
    <row r="4643" spans="1:28" ht="12.75" customHeight="1" x14ac:dyDescent="0.3">
      <c r="A4643" s="161">
        <v>643</v>
      </c>
      <c r="B4643" s="159" t="s">
        <v>3150</v>
      </c>
      <c r="C4643" s="160" t="s">
        <v>3151</v>
      </c>
      <c r="D4643" s="160" t="s">
        <v>618</v>
      </c>
      <c r="E4643" s="545">
        <v>7.03</v>
      </c>
      <c r="F4643" s="161">
        <v>153.13999999999999</v>
      </c>
      <c r="G4643" s="191"/>
      <c r="H4643" s="191">
        <v>2.9599999992599997E-2</v>
      </c>
      <c r="I4643" s="191">
        <v>1190</v>
      </c>
      <c r="J4643" s="191"/>
      <c r="K4643" s="191">
        <v>301.99517204020168</v>
      </c>
      <c r="L4643" s="191"/>
      <c r="M4643" s="191"/>
      <c r="N4643" s="191"/>
      <c r="O4643" s="191"/>
      <c r="P4643" s="191"/>
      <c r="Q4643" s="191">
        <v>8.3623200000000009E-6</v>
      </c>
      <c r="R4643" s="191">
        <v>2.1393431498763744E-7</v>
      </c>
      <c r="S4643" s="191">
        <v>2.3770479443070826E-8</v>
      </c>
      <c r="T4643" s="191">
        <v>2.4310717612231532E-6</v>
      </c>
      <c r="U4643" s="439"/>
      <c r="V4643" s="439"/>
      <c r="W4643" s="178">
        <v>30000</v>
      </c>
      <c r="X4643" s="172">
        <f t="shared" si="12"/>
        <v>0.33333333333333331</v>
      </c>
      <c r="Y4643" s="172">
        <f t="shared" si="12"/>
        <v>0.33333333333333331</v>
      </c>
      <c r="Z4643" s="172">
        <f t="shared" si="12"/>
        <v>0.33333333333333331</v>
      </c>
      <c r="AA4643" s="195"/>
      <c r="AB4643" s="159"/>
    </row>
    <row r="4644" spans="1:28" ht="12.75" customHeight="1" x14ac:dyDescent="0.3">
      <c r="A4644" s="161">
        <v>644</v>
      </c>
      <c r="B4644" s="159" t="s">
        <v>3152</v>
      </c>
      <c r="C4644" s="160" t="s">
        <v>3153</v>
      </c>
      <c r="D4644" s="160" t="s">
        <v>618</v>
      </c>
      <c r="E4644" s="545">
        <v>7.07</v>
      </c>
      <c r="F4644" s="161">
        <v>197.45</v>
      </c>
      <c r="G4644" s="191"/>
      <c r="H4644" s="191">
        <v>2.9333333325999997</v>
      </c>
      <c r="I4644" s="191">
        <v>90.09</v>
      </c>
      <c r="J4644" s="191"/>
      <c r="K4644" s="191">
        <v>6918.3097091893687</v>
      </c>
      <c r="L4644" s="191"/>
      <c r="M4644" s="191"/>
      <c r="N4644" s="191"/>
      <c r="O4644" s="191"/>
      <c r="P4644" s="191"/>
      <c r="Q4644" s="191">
        <v>3.7164449999999999E-6</v>
      </c>
      <c r="R4644" s="191">
        <v>1.3370894686727339E-7</v>
      </c>
      <c r="S4644" s="191">
        <v>1.4856549651919266E-8</v>
      </c>
      <c r="T4644" s="191">
        <v>6.6854473433636697E-8</v>
      </c>
      <c r="U4644" s="439"/>
      <c r="V4644" s="439"/>
      <c r="W4644" s="178">
        <v>30000</v>
      </c>
      <c r="X4644" s="172">
        <f t="shared" si="12"/>
        <v>0.33333333333333331</v>
      </c>
      <c r="Y4644" s="172">
        <f t="shared" si="12"/>
        <v>0.33333333333333331</v>
      </c>
      <c r="Z4644" s="172">
        <f t="shared" si="12"/>
        <v>0.33333333333333331</v>
      </c>
      <c r="AA4644" s="195"/>
      <c r="AB4644" s="159"/>
    </row>
    <row r="4645" spans="1:28" ht="12.75" customHeight="1" x14ac:dyDescent="0.3">
      <c r="A4645" s="161">
        <v>645</v>
      </c>
      <c r="B4645" s="159" t="s">
        <v>3154</v>
      </c>
      <c r="C4645" s="160" t="s">
        <v>3155</v>
      </c>
      <c r="D4645" s="160" t="s">
        <v>618</v>
      </c>
      <c r="E4645" s="545">
        <v>7.09</v>
      </c>
      <c r="F4645" s="161">
        <v>270.24</v>
      </c>
      <c r="G4645" s="191"/>
      <c r="H4645" s="191">
        <v>8.9199999977699999E-10</v>
      </c>
      <c r="I4645" s="191">
        <v>2.0419999999999998</v>
      </c>
      <c r="J4645" s="191"/>
      <c r="K4645" s="191">
        <v>10232.929922807549</v>
      </c>
      <c r="L4645" s="191"/>
      <c r="M4645" s="191"/>
      <c r="N4645" s="191"/>
      <c r="O4645" s="191"/>
      <c r="P4645" s="191"/>
      <c r="Q4645" s="191">
        <v>1.5041699999999999E-4</v>
      </c>
      <c r="R4645" s="191">
        <v>2.1393431498763744E-7</v>
      </c>
      <c r="S4645" s="191">
        <v>2.3770479443070826E-8</v>
      </c>
      <c r="T4645" s="191">
        <v>1.0696715749381872E-7</v>
      </c>
      <c r="U4645" s="439"/>
      <c r="V4645" s="439"/>
      <c r="W4645" s="178">
        <v>30000</v>
      </c>
      <c r="X4645" s="172">
        <f t="shared" si="12"/>
        <v>0.33333333333333331</v>
      </c>
      <c r="Y4645" s="172">
        <f t="shared" si="12"/>
        <v>0.33333333333333331</v>
      </c>
      <c r="Z4645" s="172">
        <f t="shared" si="12"/>
        <v>0.33333333333333331</v>
      </c>
      <c r="AA4645" s="195"/>
      <c r="AB4645" s="159"/>
    </row>
    <row r="4646" spans="1:28" ht="12.75" customHeight="1" x14ac:dyDescent="0.3">
      <c r="A4646" s="161">
        <v>646</v>
      </c>
      <c r="B4646" s="159" t="s">
        <v>3156</v>
      </c>
      <c r="C4646" s="160" t="s">
        <v>1648</v>
      </c>
      <c r="D4646" s="160" t="s">
        <v>618</v>
      </c>
      <c r="E4646" s="545">
        <v>7.15</v>
      </c>
      <c r="F4646" s="161">
        <v>139.11000000000001</v>
      </c>
      <c r="G4646" s="191"/>
      <c r="H4646" s="191">
        <v>1.3053333330069998E-2</v>
      </c>
      <c r="I4646" s="191">
        <v>11600</v>
      </c>
      <c r="J4646" s="191"/>
      <c r="K4646" s="191">
        <v>81.283051616409963</v>
      </c>
      <c r="L4646" s="191"/>
      <c r="M4646" s="191"/>
      <c r="N4646" s="191"/>
      <c r="O4646" s="191"/>
      <c r="P4646" s="191"/>
      <c r="Q4646" s="191">
        <v>3.2289300000000001E-6</v>
      </c>
      <c r="R4646" s="191">
        <v>5.3483578746909358E-7</v>
      </c>
      <c r="S4646" s="191">
        <v>5.9426198607677063E-8</v>
      </c>
      <c r="T4646" s="191">
        <v>2.6741789373454679E-7</v>
      </c>
      <c r="U4646" s="439"/>
      <c r="V4646" s="439"/>
      <c r="W4646" s="178">
        <v>30000</v>
      </c>
      <c r="X4646" s="172">
        <f t="shared" si="12"/>
        <v>0.33333333333333331</v>
      </c>
      <c r="Y4646" s="172">
        <f t="shared" si="12"/>
        <v>0.33333333333333331</v>
      </c>
      <c r="Z4646" s="172">
        <f t="shared" si="12"/>
        <v>0.33333333333333331</v>
      </c>
      <c r="AA4646" s="195"/>
      <c r="AB4646" s="159"/>
    </row>
    <row r="4647" spans="1:28" ht="12.75" customHeight="1" x14ac:dyDescent="0.3">
      <c r="A4647" s="161">
        <v>647</v>
      </c>
      <c r="B4647" s="159" t="s">
        <v>3157</v>
      </c>
      <c r="C4647" s="160" t="s">
        <v>3158</v>
      </c>
      <c r="D4647" s="160" t="s">
        <v>618</v>
      </c>
      <c r="E4647" s="545">
        <v>7.19</v>
      </c>
      <c r="F4647" s="161">
        <v>177.03</v>
      </c>
      <c r="G4647" s="191"/>
      <c r="H4647" s="191">
        <v>3.1733333325399999</v>
      </c>
      <c r="I4647" s="191">
        <v>6730</v>
      </c>
      <c r="J4647" s="191"/>
      <c r="K4647" s="191">
        <v>2238.7211385683418</v>
      </c>
      <c r="L4647" s="191"/>
      <c r="M4647" s="191"/>
      <c r="N4647" s="191"/>
      <c r="O4647" s="191"/>
      <c r="P4647" s="191"/>
      <c r="Q4647" s="191">
        <v>1.5075899999999999E-6</v>
      </c>
      <c r="R4647" s="191">
        <v>2.1393431498763744E-7</v>
      </c>
      <c r="S4647" s="191">
        <v>2.3770479443070826E-8</v>
      </c>
      <c r="T4647" s="191">
        <v>1.0696715749381872E-7</v>
      </c>
      <c r="U4647" s="439"/>
      <c r="V4647" s="439"/>
      <c r="W4647" s="178">
        <v>30000</v>
      </c>
      <c r="X4647" s="172">
        <f t="shared" si="12"/>
        <v>0.33333333333333331</v>
      </c>
      <c r="Y4647" s="172">
        <f t="shared" si="12"/>
        <v>0.33333333333333331</v>
      </c>
      <c r="Z4647" s="172">
        <f t="shared" si="12"/>
        <v>0.33333333333333331</v>
      </c>
      <c r="AA4647" s="195"/>
      <c r="AB4647" s="159"/>
    </row>
    <row r="4648" spans="1:28" ht="12.75" customHeight="1" x14ac:dyDescent="0.3">
      <c r="A4648" s="161">
        <v>648</v>
      </c>
      <c r="B4648" s="159" t="s">
        <v>3159</v>
      </c>
      <c r="C4648" s="160" t="s">
        <v>3160</v>
      </c>
      <c r="D4648" s="160" t="s">
        <v>618</v>
      </c>
      <c r="E4648" s="545">
        <v>7.23</v>
      </c>
      <c r="F4648" s="161">
        <v>179</v>
      </c>
      <c r="G4648" s="191"/>
      <c r="H4648" s="191">
        <v>7.3199999981700001E-2</v>
      </c>
      <c r="I4648" s="191">
        <v>2203</v>
      </c>
      <c r="J4648" s="191"/>
      <c r="K4648" s="191">
        <v>208.92961308540396</v>
      </c>
      <c r="L4648" s="191"/>
      <c r="M4648" s="191"/>
      <c r="N4648" s="191"/>
      <c r="O4648" s="191"/>
      <c r="P4648" s="191"/>
      <c r="Q4648" s="191">
        <v>3.6630120000000002E-5</v>
      </c>
      <c r="R4648" s="191">
        <v>2.1393431498763744E-7</v>
      </c>
      <c r="S4648" s="191">
        <v>2.3770479443070826E-8</v>
      </c>
      <c r="T4648" s="191">
        <v>1.0696715749381872E-7</v>
      </c>
      <c r="U4648" s="439"/>
      <c r="V4648" s="439"/>
      <c r="W4648" s="178">
        <v>30000</v>
      </c>
      <c r="X4648" s="172">
        <f t="shared" si="12"/>
        <v>0.33333333333333331</v>
      </c>
      <c r="Y4648" s="172">
        <f t="shared" si="12"/>
        <v>0.33333333333333331</v>
      </c>
      <c r="Z4648" s="172">
        <f t="shared" si="12"/>
        <v>0.33333333333333331</v>
      </c>
      <c r="AA4648" s="195"/>
      <c r="AB4648" s="159"/>
    </row>
    <row r="4649" spans="1:28" ht="12.75" customHeight="1" x14ac:dyDescent="0.3">
      <c r="A4649" s="161">
        <v>649</v>
      </c>
      <c r="B4649" s="159" t="s">
        <v>3161</v>
      </c>
      <c r="C4649" s="160" t="s">
        <v>3162</v>
      </c>
      <c r="D4649" s="160" t="s">
        <v>618</v>
      </c>
      <c r="E4649" s="545">
        <v>7.33</v>
      </c>
      <c r="F4649" s="161">
        <v>138.12</v>
      </c>
      <c r="G4649" s="191"/>
      <c r="H4649" s="191">
        <v>4.9333333320999992E-3</v>
      </c>
      <c r="I4649" s="191">
        <v>16100</v>
      </c>
      <c r="J4649" s="191"/>
      <c r="K4649" s="191">
        <v>33.884415613920268</v>
      </c>
      <c r="L4649" s="191"/>
      <c r="M4649" s="191"/>
      <c r="N4649" s="191"/>
      <c r="O4649" s="191"/>
      <c r="P4649" s="191"/>
      <c r="Q4649" s="191">
        <v>1.5355788E-4</v>
      </c>
      <c r="R4649" s="191">
        <v>5.3483578746909358E-7</v>
      </c>
      <c r="S4649" s="191">
        <v>5.9426198607677063E-8</v>
      </c>
      <c r="T4649" s="191">
        <v>2.6741789373454679E-7</v>
      </c>
      <c r="U4649" s="439"/>
      <c r="V4649" s="439"/>
      <c r="W4649" s="178">
        <v>30000</v>
      </c>
      <c r="X4649" s="172">
        <f t="shared" si="12"/>
        <v>0.33333333333333331</v>
      </c>
      <c r="Y4649" s="172">
        <f t="shared" si="12"/>
        <v>0.33333333333333331</v>
      </c>
      <c r="Z4649" s="172">
        <f t="shared" si="12"/>
        <v>0.33333333333333331</v>
      </c>
      <c r="AA4649" s="195"/>
      <c r="AB4649" s="159"/>
    </row>
    <row r="4650" spans="1:28" ht="12.75" customHeight="1" x14ac:dyDescent="0.3">
      <c r="A4650" s="161">
        <v>650</v>
      </c>
      <c r="B4650" s="159" t="s">
        <v>3165</v>
      </c>
      <c r="C4650" s="160" t="s">
        <v>3166</v>
      </c>
      <c r="D4650" s="160" t="s">
        <v>618</v>
      </c>
      <c r="E4650" s="545">
        <v>7.38</v>
      </c>
      <c r="F4650" s="161">
        <v>204.23</v>
      </c>
      <c r="G4650" s="191"/>
      <c r="H4650" s="191">
        <v>2.5866666660199998E-7</v>
      </c>
      <c r="I4650" s="191">
        <v>13400</v>
      </c>
      <c r="J4650" s="191"/>
      <c r="K4650" s="191">
        <v>8.7096358995608011E-2</v>
      </c>
      <c r="L4650" s="191"/>
      <c r="M4650" s="191"/>
      <c r="N4650" s="191"/>
      <c r="O4650" s="191"/>
      <c r="P4650" s="191"/>
      <c r="Q4650" s="191">
        <v>1.7948441999999999E-4</v>
      </c>
      <c r="R4650" s="191">
        <v>5.3483578746909358E-7</v>
      </c>
      <c r="S4650" s="191">
        <v>5.9426198607677063E-8</v>
      </c>
      <c r="T4650" s="191">
        <v>2.6741789373454679E-7</v>
      </c>
      <c r="U4650" s="439"/>
      <c r="V4650" s="439"/>
      <c r="W4650" s="178">
        <v>30000</v>
      </c>
      <c r="X4650" s="172">
        <f t="shared" si="12"/>
        <v>0.33333333333333331</v>
      </c>
      <c r="Y4650" s="172">
        <f t="shared" si="12"/>
        <v>0.33333333333333331</v>
      </c>
      <c r="Z4650" s="172">
        <f t="shared" si="12"/>
        <v>0.33333333333333331</v>
      </c>
      <c r="AA4650" s="195"/>
      <c r="AB4650" s="159"/>
    </row>
    <row r="4651" spans="1:28" ht="12.75" customHeight="1" x14ac:dyDescent="0.3">
      <c r="A4651" s="161">
        <v>651</v>
      </c>
      <c r="B4651" s="159" t="s">
        <v>3163</v>
      </c>
      <c r="C4651" s="160" t="s">
        <v>3164</v>
      </c>
      <c r="D4651" s="160" t="s">
        <v>618</v>
      </c>
      <c r="E4651" s="545">
        <v>7.38</v>
      </c>
      <c r="F4651" s="161">
        <v>204.23</v>
      </c>
      <c r="G4651" s="191"/>
      <c r="H4651" s="191">
        <v>2.5866666660199998E-7</v>
      </c>
      <c r="I4651" s="191">
        <v>13400</v>
      </c>
      <c r="J4651" s="191"/>
      <c r="K4651" s="191">
        <v>8.9125093813374537E-2</v>
      </c>
      <c r="L4651" s="191"/>
      <c r="M4651" s="191"/>
      <c r="N4651" s="191"/>
      <c r="O4651" s="191"/>
      <c r="P4651" s="191"/>
      <c r="Q4651" s="191">
        <v>1.7948441999999999E-4</v>
      </c>
      <c r="R4651" s="191">
        <v>5.3483578746909358E-7</v>
      </c>
      <c r="S4651" s="191">
        <v>5.9426198607677063E-8</v>
      </c>
      <c r="T4651" s="191">
        <v>2.6741789373454679E-7</v>
      </c>
      <c r="U4651" s="439"/>
      <c r="V4651" s="439"/>
      <c r="W4651" s="178">
        <v>30000</v>
      </c>
      <c r="X4651" s="172">
        <f t="shared" si="12"/>
        <v>0.33333333333333331</v>
      </c>
      <c r="Y4651" s="172">
        <f t="shared" si="12"/>
        <v>0.33333333333333331</v>
      </c>
      <c r="Z4651" s="172">
        <f t="shared" si="12"/>
        <v>0.33333333333333331</v>
      </c>
      <c r="AA4651" s="195"/>
      <c r="AB4651" s="159"/>
    </row>
    <row r="4652" spans="1:28" ht="12.75" customHeight="1" x14ac:dyDescent="0.3">
      <c r="A4652" s="161">
        <v>652</v>
      </c>
      <c r="B4652" s="159" t="s">
        <v>3167</v>
      </c>
      <c r="C4652" s="160" t="s">
        <v>3168</v>
      </c>
      <c r="D4652" s="160" t="s">
        <v>618</v>
      </c>
      <c r="E4652" s="545">
        <v>7.4</v>
      </c>
      <c r="F4652" s="161">
        <v>213.24</v>
      </c>
      <c r="G4652" s="191"/>
      <c r="H4652" s="191">
        <v>7.8399999980399991E-6</v>
      </c>
      <c r="I4652" s="191">
        <v>55</v>
      </c>
      <c r="J4652" s="191"/>
      <c r="K4652" s="191">
        <v>1862.0871366628687</v>
      </c>
      <c r="L4652" s="191"/>
      <c r="M4652" s="191"/>
      <c r="N4652" s="191"/>
      <c r="O4652" s="191"/>
      <c r="P4652" s="191"/>
      <c r="Q4652" s="191">
        <v>3.2203034999999999E-5</v>
      </c>
      <c r="R4652" s="191">
        <v>5.3483578746909358E-7</v>
      </c>
      <c r="S4652" s="191">
        <v>5.9426198607677063E-8</v>
      </c>
      <c r="T4652" s="191">
        <v>2.6741789373454679E-7</v>
      </c>
      <c r="U4652" s="439"/>
      <c r="V4652" s="439"/>
      <c r="W4652" s="178">
        <v>30000</v>
      </c>
      <c r="X4652" s="172">
        <f t="shared" si="12"/>
        <v>0.33333333333333331</v>
      </c>
      <c r="Y4652" s="172">
        <f t="shared" si="12"/>
        <v>0.33333333333333331</v>
      </c>
      <c r="Z4652" s="172">
        <f t="shared" si="12"/>
        <v>0.33333333333333331</v>
      </c>
      <c r="AA4652" s="195"/>
      <c r="AB4652" s="159"/>
    </row>
    <row r="4653" spans="1:28" ht="12.75" customHeight="1" x14ac:dyDescent="0.3">
      <c r="A4653" s="161">
        <v>653</v>
      </c>
      <c r="B4653" s="159" t="s">
        <v>3169</v>
      </c>
      <c r="C4653" s="160" t="s">
        <v>3170</v>
      </c>
      <c r="D4653" s="160" t="s">
        <v>618</v>
      </c>
      <c r="E4653" s="545">
        <v>7.4</v>
      </c>
      <c r="F4653" s="161">
        <v>152.15</v>
      </c>
      <c r="G4653" s="191"/>
      <c r="H4653" s="191">
        <v>1.5733333329399999E-2</v>
      </c>
      <c r="I4653" s="191">
        <v>11000</v>
      </c>
      <c r="J4653" s="191"/>
      <c r="K4653" s="191">
        <v>16.218100973589298</v>
      </c>
      <c r="L4653" s="191"/>
      <c r="M4653" s="191"/>
      <c r="N4653" s="191"/>
      <c r="O4653" s="191"/>
      <c r="P4653" s="191"/>
      <c r="Q4653" s="191">
        <v>2.0505720000000001E-5</v>
      </c>
      <c r="R4653" s="191">
        <v>5.3483578746909358E-7</v>
      </c>
      <c r="S4653" s="191">
        <v>5.9426198607677063E-8</v>
      </c>
      <c r="T4653" s="191">
        <v>2.6741789373454679E-7</v>
      </c>
      <c r="U4653" s="439"/>
      <c r="V4653" s="439"/>
      <c r="W4653" s="178">
        <v>30000</v>
      </c>
      <c r="X4653" s="172">
        <f t="shared" si="12"/>
        <v>0.33333333333333331</v>
      </c>
      <c r="Y4653" s="172">
        <f t="shared" si="12"/>
        <v>0.33333333333333331</v>
      </c>
      <c r="Z4653" s="172">
        <f t="shared" si="12"/>
        <v>0.33333333333333331</v>
      </c>
      <c r="AA4653" s="195"/>
      <c r="AB4653" s="159"/>
    </row>
    <row r="4654" spans="1:28" ht="12.75" customHeight="1" x14ac:dyDescent="0.3">
      <c r="A4654" s="161">
        <v>654</v>
      </c>
      <c r="B4654" s="159" t="s">
        <v>3171</v>
      </c>
      <c r="C4654" s="160" t="s">
        <v>3172</v>
      </c>
      <c r="D4654" s="160" t="s">
        <v>618</v>
      </c>
      <c r="E4654" s="545">
        <v>7.49</v>
      </c>
      <c r="F4654" s="161">
        <v>153.13999999999999</v>
      </c>
      <c r="G4654" s="191"/>
      <c r="H4654" s="191">
        <v>4.959999998759999</v>
      </c>
      <c r="I4654" s="191">
        <v>3510</v>
      </c>
      <c r="J4654" s="191"/>
      <c r="K4654" s="191">
        <v>194.98445997580458</v>
      </c>
      <c r="L4654" s="191"/>
      <c r="M4654" s="191"/>
      <c r="N4654" s="191"/>
      <c r="O4654" s="191"/>
      <c r="P4654" s="191"/>
      <c r="Q4654" s="191">
        <v>8.3623274999999998E-6</v>
      </c>
      <c r="R4654" s="191">
        <v>2.1393431498763744E-7</v>
      </c>
      <c r="S4654" s="191">
        <v>2.3770479443070826E-8</v>
      </c>
      <c r="T4654" s="191">
        <v>1.0696715749381872E-7</v>
      </c>
      <c r="U4654" s="439"/>
      <c r="V4654" s="439"/>
      <c r="W4654" s="178">
        <v>30000</v>
      </c>
      <c r="X4654" s="172">
        <f t="shared" si="12"/>
        <v>0.33333333333333331</v>
      </c>
      <c r="Y4654" s="172">
        <f t="shared" si="12"/>
        <v>0.33333333333333331</v>
      </c>
      <c r="Z4654" s="172">
        <f t="shared" si="12"/>
        <v>0.33333333333333331</v>
      </c>
      <c r="AA4654" s="195"/>
      <c r="AB4654" s="159"/>
    </row>
    <row r="4655" spans="1:28" ht="12.75" customHeight="1" x14ac:dyDescent="0.3">
      <c r="A4655" s="161">
        <v>655</v>
      </c>
      <c r="B4655" s="159" t="s">
        <v>3173</v>
      </c>
      <c r="C4655" s="160" t="s">
        <v>3174</v>
      </c>
      <c r="D4655" s="160" t="s">
        <v>618</v>
      </c>
      <c r="E4655" s="545">
        <v>7.5</v>
      </c>
      <c r="F4655" s="161">
        <v>227.48</v>
      </c>
      <c r="G4655" s="191"/>
      <c r="H4655" s="191">
        <v>0.11999999996999999</v>
      </c>
      <c r="I4655" s="191">
        <v>306</v>
      </c>
      <c r="J4655" s="191"/>
      <c r="K4655" s="191">
        <v>5888.4365535558973</v>
      </c>
      <c r="L4655" s="191"/>
      <c r="M4655" s="191"/>
      <c r="N4655" s="191"/>
      <c r="O4655" s="191"/>
      <c r="P4655" s="191"/>
      <c r="Q4655" s="191">
        <v>3.8511299999999998E-6</v>
      </c>
      <c r="R4655" s="191">
        <v>1.3370894686727339E-7</v>
      </c>
      <c r="S4655" s="191">
        <v>1.4856549651919266E-8</v>
      </c>
      <c r="T4655" s="191">
        <v>6.6854473433636697E-8</v>
      </c>
      <c r="U4655" s="439"/>
      <c r="V4655" s="439"/>
      <c r="W4655" s="178">
        <v>30000</v>
      </c>
      <c r="X4655" s="172">
        <f t="shared" si="12"/>
        <v>0.33333333333333331</v>
      </c>
      <c r="Y4655" s="172">
        <f t="shared" si="12"/>
        <v>0.33333333333333331</v>
      </c>
      <c r="Z4655" s="172">
        <f t="shared" si="12"/>
        <v>0.33333333333333331</v>
      </c>
      <c r="AA4655" s="195"/>
      <c r="AB4655" s="159"/>
    </row>
    <row r="4656" spans="1:28" ht="12.75" customHeight="1" x14ac:dyDescent="0.3">
      <c r="A4656" s="161">
        <v>656</v>
      </c>
      <c r="B4656" s="159" t="s">
        <v>3175</v>
      </c>
      <c r="C4656" s="160" t="s">
        <v>3176</v>
      </c>
      <c r="D4656" s="160" t="s">
        <v>618</v>
      </c>
      <c r="E4656" s="545">
        <v>7.53</v>
      </c>
      <c r="F4656" s="161">
        <v>168.15</v>
      </c>
      <c r="G4656" s="191"/>
      <c r="H4656" s="191">
        <v>3.8933333323599999E-3</v>
      </c>
      <c r="I4656" s="191">
        <v>3666</v>
      </c>
      <c r="J4656" s="191"/>
      <c r="K4656" s="191">
        <v>131.82567385564084</v>
      </c>
      <c r="L4656" s="191"/>
      <c r="M4656" s="191"/>
      <c r="N4656" s="191"/>
      <c r="O4656" s="191"/>
      <c r="P4656" s="191"/>
      <c r="Q4656" s="191">
        <v>1.3763233499999999E-4</v>
      </c>
      <c r="R4656" s="191">
        <v>5.3483578746909358E-7</v>
      </c>
      <c r="S4656" s="191">
        <v>5.9426198607677063E-8</v>
      </c>
      <c r="T4656" s="191">
        <v>2.6741789373454679E-7</v>
      </c>
      <c r="U4656" s="439"/>
      <c r="V4656" s="439"/>
      <c r="W4656" s="178">
        <v>30000</v>
      </c>
      <c r="X4656" s="172">
        <f t="shared" si="12"/>
        <v>0.33333333333333331</v>
      </c>
      <c r="Y4656" s="172">
        <f t="shared" si="12"/>
        <v>0.33333333333333331</v>
      </c>
      <c r="Z4656" s="172">
        <f t="shared" si="12"/>
        <v>0.33333333333333331</v>
      </c>
      <c r="AA4656" s="195"/>
      <c r="AB4656" s="159"/>
    </row>
    <row r="4657" spans="1:28" ht="12.75" customHeight="1" x14ac:dyDescent="0.3">
      <c r="A4657" s="161">
        <v>657</v>
      </c>
      <c r="B4657" s="159" t="s">
        <v>3177</v>
      </c>
      <c r="C4657" s="160" t="s">
        <v>3178</v>
      </c>
      <c r="D4657" s="160" t="s">
        <v>618</v>
      </c>
      <c r="E4657" s="545">
        <v>7.53</v>
      </c>
      <c r="F4657" s="161">
        <v>226.23</v>
      </c>
      <c r="G4657" s="191"/>
      <c r="H4657" s="191">
        <v>7.8666666646999994E-8</v>
      </c>
      <c r="I4657" s="191">
        <v>31.13</v>
      </c>
      <c r="J4657" s="191"/>
      <c r="K4657" s="191">
        <v>794.32823472428208</v>
      </c>
      <c r="L4657" s="191"/>
      <c r="M4657" s="191"/>
      <c r="N4657" s="191"/>
      <c r="O4657" s="191"/>
      <c r="P4657" s="191"/>
      <c r="Q4657" s="191">
        <v>1.5031499999999999E-4</v>
      </c>
      <c r="R4657" s="191">
        <v>5.3483578746909358E-7</v>
      </c>
      <c r="S4657" s="191">
        <v>5.9426198607677063E-8</v>
      </c>
      <c r="T4657" s="191">
        <v>2.6741789373454679E-7</v>
      </c>
      <c r="U4657" s="439"/>
      <c r="V4657" s="439"/>
      <c r="W4657" s="178">
        <v>30000</v>
      </c>
      <c r="X4657" s="172">
        <f t="shared" si="12"/>
        <v>0.33333333333333331</v>
      </c>
      <c r="Y4657" s="172">
        <f t="shared" si="12"/>
        <v>0.33333333333333331</v>
      </c>
      <c r="Z4657" s="172">
        <f t="shared" si="12"/>
        <v>0.33333333333333331</v>
      </c>
      <c r="AA4657" s="195"/>
      <c r="AB4657" s="159"/>
    </row>
    <row r="4658" spans="1:28" ht="12.75" customHeight="1" x14ac:dyDescent="0.3">
      <c r="A4658" s="161">
        <v>658</v>
      </c>
      <c r="B4658" s="159" t="s">
        <v>3181</v>
      </c>
      <c r="C4658" s="160" t="s">
        <v>3182</v>
      </c>
      <c r="D4658" s="160" t="s">
        <v>618</v>
      </c>
      <c r="E4658" s="545">
        <v>7.55</v>
      </c>
      <c r="F4658" s="161">
        <v>201.02</v>
      </c>
      <c r="G4658" s="191"/>
      <c r="H4658" s="191">
        <v>7.1599999982099996E-2</v>
      </c>
      <c r="I4658" s="191">
        <v>100</v>
      </c>
      <c r="J4658" s="191"/>
      <c r="K4658" s="191">
        <v>794.32823472428208</v>
      </c>
      <c r="L4658" s="191"/>
      <c r="M4658" s="191"/>
      <c r="N4658" s="191"/>
      <c r="O4658" s="191"/>
      <c r="P4658" s="191"/>
      <c r="Q4658" s="191">
        <v>1.51226775E-5</v>
      </c>
      <c r="R4658" s="191">
        <v>2.1393431498763744E-7</v>
      </c>
      <c r="S4658" s="191">
        <v>2.3770479443070826E-8</v>
      </c>
      <c r="T4658" s="191">
        <v>1.0696715749381872E-7</v>
      </c>
      <c r="U4658" s="439"/>
      <c r="V4658" s="439"/>
      <c r="W4658" s="178">
        <v>30000</v>
      </c>
      <c r="X4658" s="172">
        <f t="shared" si="12"/>
        <v>0.33333333333333331</v>
      </c>
      <c r="Y4658" s="172">
        <f t="shared" si="12"/>
        <v>0.33333333333333331</v>
      </c>
      <c r="Z4658" s="172">
        <f t="shared" si="12"/>
        <v>0.33333333333333331</v>
      </c>
      <c r="AA4658" s="195"/>
      <c r="AB4658" s="159"/>
    </row>
    <row r="4659" spans="1:28" ht="12.75" customHeight="1" x14ac:dyDescent="0.3">
      <c r="A4659" s="161">
        <v>659</v>
      </c>
      <c r="B4659" s="159" t="s">
        <v>3179</v>
      </c>
      <c r="C4659" s="160" t="s">
        <v>3180</v>
      </c>
      <c r="D4659" s="160" t="s">
        <v>618</v>
      </c>
      <c r="E4659" s="545">
        <v>7.55</v>
      </c>
      <c r="F4659" s="161">
        <v>318.37</v>
      </c>
      <c r="G4659" s="191"/>
      <c r="H4659" s="191">
        <v>1.4266666663099999E-9</v>
      </c>
      <c r="I4659" s="191">
        <v>31.76</v>
      </c>
      <c r="J4659" s="191"/>
      <c r="K4659" s="191">
        <v>3801.8939632056172</v>
      </c>
      <c r="L4659" s="191"/>
      <c r="M4659" s="191"/>
      <c r="N4659" s="191"/>
      <c r="O4659" s="191"/>
      <c r="P4659" s="191"/>
      <c r="Q4659" s="191">
        <v>2.0543332499999999E-4</v>
      </c>
      <c r="R4659" s="191">
        <v>2.1393431498763744E-7</v>
      </c>
      <c r="S4659" s="191">
        <v>2.3770479443070826E-8</v>
      </c>
      <c r="T4659" s="191">
        <v>1.0696715749381872E-7</v>
      </c>
      <c r="U4659" s="439"/>
      <c r="V4659" s="439"/>
      <c r="W4659" s="178">
        <v>30000</v>
      </c>
      <c r="X4659" s="172">
        <f t="shared" si="12"/>
        <v>0.33333333333333331</v>
      </c>
      <c r="Y4659" s="172">
        <f t="shared" si="12"/>
        <v>0.33333333333333331</v>
      </c>
      <c r="Z4659" s="172">
        <f t="shared" si="12"/>
        <v>0.33333333333333331</v>
      </c>
      <c r="AA4659" s="195"/>
      <c r="AB4659" s="159"/>
    </row>
    <row r="4660" spans="1:28" ht="12.75" customHeight="1" x14ac:dyDescent="0.3">
      <c r="A4660" s="161">
        <v>660</v>
      </c>
      <c r="B4660" s="159" t="s">
        <v>3183</v>
      </c>
      <c r="C4660" s="160" t="s">
        <v>3184</v>
      </c>
      <c r="D4660" s="160" t="s">
        <v>618</v>
      </c>
      <c r="E4660" s="545">
        <v>7.58</v>
      </c>
      <c r="F4660" s="161">
        <v>156.57</v>
      </c>
      <c r="G4660" s="191"/>
      <c r="H4660" s="191">
        <v>0.10399999997399999</v>
      </c>
      <c r="I4660" s="191">
        <v>1467</v>
      </c>
      <c r="J4660" s="191"/>
      <c r="K4660" s="191">
        <v>446.68359215096331</v>
      </c>
      <c r="L4660" s="191"/>
      <c r="M4660" s="191"/>
      <c r="N4660" s="191"/>
      <c r="O4660" s="191"/>
      <c r="P4660" s="191"/>
      <c r="Q4660" s="191">
        <v>1.5166762499999999E-5</v>
      </c>
      <c r="R4660" s="191">
        <v>2.1393431498763744E-7</v>
      </c>
      <c r="S4660" s="191">
        <v>2.3770479443070826E-8</v>
      </c>
      <c r="T4660" s="191">
        <v>1.0696715749381872E-7</v>
      </c>
      <c r="U4660" s="439"/>
      <c r="V4660" s="439"/>
      <c r="W4660" s="178">
        <v>30000</v>
      </c>
      <c r="X4660" s="172">
        <f t="shared" si="12"/>
        <v>0.33333333333333331</v>
      </c>
      <c r="Y4660" s="172">
        <f t="shared" si="12"/>
        <v>0.33333333333333331</v>
      </c>
      <c r="Z4660" s="172">
        <f t="shared" si="12"/>
        <v>0.33333333333333331</v>
      </c>
      <c r="AA4660" s="195"/>
      <c r="AB4660" s="159"/>
    </row>
    <row r="4661" spans="1:28" ht="12.75" customHeight="1" x14ac:dyDescent="0.3">
      <c r="A4661" s="161">
        <v>661</v>
      </c>
      <c r="B4661" s="159" t="s">
        <v>3185</v>
      </c>
      <c r="C4661" s="160" t="s">
        <v>3186</v>
      </c>
      <c r="D4661" s="160" t="s">
        <v>618</v>
      </c>
      <c r="E4661" s="545">
        <v>7.6</v>
      </c>
      <c r="F4661" s="161">
        <v>153.13999999999999</v>
      </c>
      <c r="G4661" s="191"/>
      <c r="H4661" s="191">
        <v>10.3999999974</v>
      </c>
      <c r="I4661" s="191">
        <v>633</v>
      </c>
      <c r="J4661" s="191"/>
      <c r="K4661" s="191">
        <v>234.42288153199232</v>
      </c>
      <c r="L4661" s="191"/>
      <c r="M4661" s="191"/>
      <c r="N4661" s="191"/>
      <c r="O4661" s="191"/>
      <c r="P4661" s="191"/>
      <c r="Q4661" s="191">
        <v>4.0364924999999997E-6</v>
      </c>
      <c r="R4661" s="191">
        <v>2.1393431498763744E-7</v>
      </c>
      <c r="S4661" s="191">
        <v>2.3770479443070826E-8</v>
      </c>
      <c r="T4661" s="191">
        <v>1.0696715749381872E-7</v>
      </c>
      <c r="U4661" s="439"/>
      <c r="V4661" s="439"/>
      <c r="W4661" s="178">
        <v>30000</v>
      </c>
      <c r="X4661" s="172">
        <f t="shared" si="12"/>
        <v>0.33333333333333331</v>
      </c>
      <c r="Y4661" s="172">
        <f t="shared" si="12"/>
        <v>0.33333333333333331</v>
      </c>
      <c r="Z4661" s="172">
        <f t="shared" si="12"/>
        <v>0.33333333333333331</v>
      </c>
      <c r="AA4661" s="195"/>
      <c r="AB4661" s="159"/>
    </row>
    <row r="4662" spans="1:28" ht="12.75" customHeight="1" x14ac:dyDescent="0.3">
      <c r="A4662" s="161">
        <v>662</v>
      </c>
      <c r="B4662" s="159" t="s">
        <v>3187</v>
      </c>
      <c r="C4662" s="160" t="s">
        <v>3188</v>
      </c>
      <c r="D4662" s="160" t="s">
        <v>618</v>
      </c>
      <c r="E4662" s="545">
        <v>7.6</v>
      </c>
      <c r="F4662" s="161">
        <v>269.13</v>
      </c>
      <c r="G4662" s="191"/>
      <c r="H4662" s="191">
        <v>1.299999999675E-8</v>
      </c>
      <c r="I4662" s="191">
        <v>30</v>
      </c>
      <c r="J4662" s="191"/>
      <c r="K4662" s="191">
        <v>18197.008586099837</v>
      </c>
      <c r="L4662" s="191"/>
      <c r="M4662" s="191"/>
      <c r="N4662" s="191"/>
      <c r="O4662" s="191"/>
      <c r="P4662" s="191"/>
      <c r="Q4662" s="191">
        <v>1.8692940000000001E-5</v>
      </c>
      <c r="R4662" s="191">
        <v>1.3370894686727339E-7</v>
      </c>
      <c r="S4662" s="191">
        <v>1.4856549651919266E-8</v>
      </c>
      <c r="T4662" s="191">
        <v>6.1711821631049263E-7</v>
      </c>
      <c r="U4662" s="439"/>
      <c r="V4662" s="439"/>
      <c r="W4662" s="178">
        <v>30000</v>
      </c>
      <c r="X4662" s="172">
        <f t="shared" si="12"/>
        <v>0.33333333333333331</v>
      </c>
      <c r="Y4662" s="172">
        <f t="shared" si="12"/>
        <v>0.33333333333333331</v>
      </c>
      <c r="Z4662" s="172">
        <f t="shared" si="12"/>
        <v>0.33333333333333331</v>
      </c>
      <c r="AA4662" s="195"/>
      <c r="AB4662" s="159"/>
    </row>
    <row r="4663" spans="1:28" ht="12.75" customHeight="1" x14ac:dyDescent="0.3">
      <c r="A4663" s="161">
        <v>663</v>
      </c>
      <c r="B4663" s="159" t="s">
        <v>3189</v>
      </c>
      <c r="C4663" s="160" t="s">
        <v>3190</v>
      </c>
      <c r="D4663" s="160" t="s">
        <v>618</v>
      </c>
      <c r="E4663" s="545">
        <v>7.68</v>
      </c>
      <c r="F4663" s="161">
        <v>89.09</v>
      </c>
      <c r="G4663" s="191"/>
      <c r="H4663" s="191">
        <v>2293.3333327599998</v>
      </c>
      <c r="I4663" s="191">
        <v>17000</v>
      </c>
      <c r="J4663" s="191"/>
      <c r="K4663" s="191">
        <v>8.5113803820237681</v>
      </c>
      <c r="L4663" s="191"/>
      <c r="M4663" s="191"/>
      <c r="N4663" s="191"/>
      <c r="O4663" s="191"/>
      <c r="P4663" s="191"/>
      <c r="Q4663" s="191">
        <v>1.9500000000000001E-7</v>
      </c>
      <c r="R4663" s="191">
        <v>5.3483578746909358E-7</v>
      </c>
      <c r="S4663" s="191">
        <v>5.9426198607677063E-8</v>
      </c>
      <c r="T4663" s="191">
        <v>2.6741789373454679E-7</v>
      </c>
      <c r="U4663" s="439"/>
      <c r="V4663" s="439"/>
      <c r="W4663" s="178">
        <v>30000</v>
      </c>
      <c r="X4663" s="172">
        <f t="shared" si="12"/>
        <v>0.33333333333333331</v>
      </c>
      <c r="Y4663" s="172">
        <f t="shared" si="12"/>
        <v>0.33333333333333331</v>
      </c>
      <c r="Z4663" s="172">
        <f t="shared" si="12"/>
        <v>0.33333333333333331</v>
      </c>
      <c r="AA4663" s="195"/>
      <c r="AB4663" s="159"/>
    </row>
    <row r="4664" spans="1:28" ht="12.75" customHeight="1" x14ac:dyDescent="0.3">
      <c r="A4664" s="161">
        <v>664</v>
      </c>
      <c r="B4664" s="159" t="s">
        <v>3191</v>
      </c>
      <c r="C4664" s="160" t="s">
        <v>3192</v>
      </c>
      <c r="D4664" s="160" t="s">
        <v>618</v>
      </c>
      <c r="E4664" s="545">
        <v>7.69</v>
      </c>
      <c r="F4664" s="161">
        <v>548.64</v>
      </c>
      <c r="G4664" s="191"/>
      <c r="H4664" s="191">
        <v>4.1066666656399997E-20</v>
      </c>
      <c r="I4664" s="191">
        <v>8.9010000000000006E-2</v>
      </c>
      <c r="J4664" s="191"/>
      <c r="K4664" s="191">
        <v>16218.100973589309</v>
      </c>
      <c r="L4664" s="191"/>
      <c r="M4664" s="191"/>
      <c r="N4664" s="191"/>
      <c r="O4664" s="191"/>
      <c r="P4664" s="191"/>
      <c r="Q4664" s="191">
        <v>7.7865299999999995E-5</v>
      </c>
      <c r="R4664" s="191">
        <v>2.1393431498763744E-7</v>
      </c>
      <c r="S4664" s="191">
        <v>2.3770479443070826E-8</v>
      </c>
      <c r="T4664" s="191">
        <v>1.0696715749381872E-7</v>
      </c>
      <c r="U4664" s="439"/>
      <c r="V4664" s="439"/>
      <c r="W4664" s="178">
        <v>30000</v>
      </c>
      <c r="X4664" s="172">
        <f t="shared" si="12"/>
        <v>0.33333333333333331</v>
      </c>
      <c r="Y4664" s="172">
        <f t="shared" si="12"/>
        <v>0.33333333333333331</v>
      </c>
      <c r="Z4664" s="172">
        <f t="shared" si="12"/>
        <v>0.33333333333333331</v>
      </c>
      <c r="AA4664" s="195"/>
      <c r="AB4664" s="159"/>
    </row>
    <row r="4665" spans="1:28" ht="12.75" customHeight="1" x14ac:dyDescent="0.3">
      <c r="A4665" s="161">
        <v>665</v>
      </c>
      <c r="B4665" s="159" t="s">
        <v>3193</v>
      </c>
      <c r="C4665" s="160" t="s">
        <v>3194</v>
      </c>
      <c r="D4665" s="160" t="s">
        <v>618</v>
      </c>
      <c r="E4665" s="545">
        <v>7.7</v>
      </c>
      <c r="F4665" s="161">
        <v>163</v>
      </c>
      <c r="G4665" s="191"/>
      <c r="H4665" s="191">
        <v>7.7333333313999999</v>
      </c>
      <c r="I4665" s="191">
        <v>3600</v>
      </c>
      <c r="J4665" s="191"/>
      <c r="K4665" s="191">
        <v>691.83097091893671</v>
      </c>
      <c r="L4665" s="191"/>
      <c r="M4665" s="191"/>
      <c r="N4665" s="191"/>
      <c r="O4665" s="191"/>
      <c r="P4665" s="191"/>
      <c r="Q4665" s="191">
        <v>1.2449999999999999E-6</v>
      </c>
      <c r="R4665" s="191">
        <v>2.1393431498763744E-7</v>
      </c>
      <c r="S4665" s="191">
        <v>2.3770479443070826E-8</v>
      </c>
      <c r="T4665" s="191">
        <v>1.0696715749381872E-7</v>
      </c>
      <c r="U4665" s="439"/>
      <c r="V4665" s="439"/>
      <c r="W4665" s="178">
        <v>30000</v>
      </c>
      <c r="X4665" s="172">
        <f t="shared" si="12"/>
        <v>0.33333333333333331</v>
      </c>
      <c r="Y4665" s="172">
        <f t="shared" si="12"/>
        <v>0.33333333333333331</v>
      </c>
      <c r="Z4665" s="172">
        <f t="shared" si="12"/>
        <v>0.33333333333333331</v>
      </c>
      <c r="AA4665" s="195"/>
      <c r="AB4665" s="159"/>
    </row>
    <row r="4666" spans="1:28" ht="12.75" customHeight="1" x14ac:dyDescent="0.3">
      <c r="A4666" s="161">
        <v>666</v>
      </c>
      <c r="B4666" s="159" t="s">
        <v>3195</v>
      </c>
      <c r="C4666" s="160" t="s">
        <v>3196</v>
      </c>
      <c r="D4666" s="160" t="s">
        <v>618</v>
      </c>
      <c r="E4666" s="545">
        <v>7.71</v>
      </c>
      <c r="F4666" s="161">
        <v>154.13</v>
      </c>
      <c r="G4666" s="191"/>
      <c r="H4666" s="191">
        <v>3.1333333325499996E-3</v>
      </c>
      <c r="I4666" s="191">
        <v>11020</v>
      </c>
      <c r="J4666" s="191"/>
      <c r="K4666" s="191">
        <v>9.1201083935590983</v>
      </c>
      <c r="L4666" s="191"/>
      <c r="M4666" s="191"/>
      <c r="N4666" s="191"/>
      <c r="O4666" s="191"/>
      <c r="P4666" s="191"/>
      <c r="Q4666" s="191">
        <v>5.223015E-6</v>
      </c>
      <c r="R4666" s="191">
        <v>2.1393431498763744E-7</v>
      </c>
      <c r="S4666" s="191">
        <v>2.3770479443070826E-8</v>
      </c>
      <c r="T4666" s="191">
        <v>1.0696715749381872E-7</v>
      </c>
      <c r="U4666" s="439"/>
      <c r="V4666" s="439"/>
      <c r="W4666" s="178">
        <v>30000</v>
      </c>
      <c r="X4666" s="172">
        <f t="shared" si="12"/>
        <v>0.33333333333333331</v>
      </c>
      <c r="Y4666" s="172">
        <f t="shared" si="12"/>
        <v>0.33333333333333331</v>
      </c>
      <c r="Z4666" s="172">
        <f t="shared" si="12"/>
        <v>0.33333333333333331</v>
      </c>
      <c r="AA4666" s="195"/>
      <c r="AB4666" s="159"/>
    </row>
    <row r="4667" spans="1:28" ht="12.75" customHeight="1" x14ac:dyDescent="0.3">
      <c r="A4667" s="161">
        <v>667</v>
      </c>
      <c r="B4667" s="159" t="s">
        <v>3197</v>
      </c>
      <c r="C4667" s="160" t="s">
        <v>3198</v>
      </c>
      <c r="D4667" s="160" t="s">
        <v>618</v>
      </c>
      <c r="E4667" s="545">
        <v>7.73</v>
      </c>
      <c r="F4667" s="161">
        <v>119.12</v>
      </c>
      <c r="G4667" s="191"/>
      <c r="H4667" s="191">
        <v>0.23866666660699998</v>
      </c>
      <c r="I4667" s="191">
        <v>8982</v>
      </c>
      <c r="J4667" s="191"/>
      <c r="K4667" s="191">
        <v>39.810717055349755</v>
      </c>
      <c r="L4667" s="191"/>
      <c r="M4667" s="191"/>
      <c r="N4667" s="191"/>
      <c r="O4667" s="191"/>
      <c r="P4667" s="191"/>
      <c r="Q4667" s="191">
        <v>4.5184799999999995E-6</v>
      </c>
      <c r="R4667" s="191">
        <v>5.3483578746909358E-7</v>
      </c>
      <c r="S4667" s="191">
        <v>5.9426198607677063E-8</v>
      </c>
      <c r="T4667" s="191">
        <v>2.6741789373454679E-7</v>
      </c>
      <c r="U4667" s="439"/>
      <c r="V4667" s="439"/>
      <c r="W4667" s="178">
        <v>30000</v>
      </c>
      <c r="X4667" s="172">
        <f t="shared" si="12"/>
        <v>0.33333333333333331</v>
      </c>
      <c r="Y4667" s="172">
        <f t="shared" si="12"/>
        <v>0.33333333333333331</v>
      </c>
      <c r="Z4667" s="172">
        <f t="shared" si="12"/>
        <v>0.33333333333333331</v>
      </c>
      <c r="AA4667" s="195"/>
      <c r="AB4667" s="159"/>
    </row>
    <row r="4668" spans="1:28" ht="12.75" customHeight="1" x14ac:dyDescent="0.3">
      <c r="A4668" s="161">
        <v>668</v>
      </c>
      <c r="B4668" s="159" t="s">
        <v>3199</v>
      </c>
      <c r="C4668" s="160" t="s">
        <v>3200</v>
      </c>
      <c r="D4668" s="160" t="s">
        <v>618</v>
      </c>
      <c r="E4668" s="545">
        <v>7.74</v>
      </c>
      <c r="F4668" s="161">
        <v>182.18</v>
      </c>
      <c r="G4668" s="191"/>
      <c r="H4668" s="191">
        <v>2.3999999994000001E-2</v>
      </c>
      <c r="I4668" s="191">
        <v>2871</v>
      </c>
      <c r="J4668" s="191"/>
      <c r="K4668" s="191">
        <v>147.91083881682084</v>
      </c>
      <c r="L4668" s="191"/>
      <c r="M4668" s="191"/>
      <c r="N4668" s="191"/>
      <c r="O4668" s="191"/>
      <c r="P4668" s="191"/>
      <c r="Q4668" s="191">
        <v>1.6400790000000001E-4</v>
      </c>
      <c r="R4668" s="191">
        <v>5.3483578746909358E-7</v>
      </c>
      <c r="S4668" s="191">
        <v>5.9426198607677063E-8</v>
      </c>
      <c r="T4668" s="191">
        <v>2.6741789373454679E-7</v>
      </c>
      <c r="U4668" s="439"/>
      <c r="V4668" s="439"/>
      <c r="W4668" s="178">
        <v>30000</v>
      </c>
      <c r="X4668" s="172">
        <f t="shared" si="12"/>
        <v>0.33333333333333331</v>
      </c>
      <c r="Y4668" s="172">
        <f t="shared" si="12"/>
        <v>0.33333333333333331</v>
      </c>
      <c r="Z4668" s="172">
        <f t="shared" si="12"/>
        <v>0.33333333333333331</v>
      </c>
      <c r="AA4668" s="195"/>
      <c r="AB4668" s="159"/>
    </row>
    <row r="4669" spans="1:28" ht="12.75" customHeight="1" x14ac:dyDescent="0.3">
      <c r="A4669" s="161">
        <v>669</v>
      </c>
      <c r="B4669" s="159" t="s">
        <v>3201</v>
      </c>
      <c r="C4669" s="160" t="s">
        <v>3202</v>
      </c>
      <c r="D4669" s="160" t="s">
        <v>618</v>
      </c>
      <c r="E4669" s="545">
        <v>7.8</v>
      </c>
      <c r="F4669" s="161">
        <v>212.2</v>
      </c>
      <c r="G4669" s="191"/>
      <c r="H4669" s="191">
        <v>5.4399999986399999E-5</v>
      </c>
      <c r="I4669" s="191">
        <v>3500</v>
      </c>
      <c r="J4669" s="191"/>
      <c r="K4669" s="191">
        <v>63.095734448019364</v>
      </c>
      <c r="L4669" s="191"/>
      <c r="M4669" s="191"/>
      <c r="N4669" s="191"/>
      <c r="O4669" s="191"/>
      <c r="P4669" s="191"/>
      <c r="Q4669" s="191">
        <v>6.9153067499999995E-5</v>
      </c>
      <c r="R4669" s="191">
        <v>5.3483578746909358E-7</v>
      </c>
      <c r="S4669" s="191">
        <v>5.9426198607677063E-8</v>
      </c>
      <c r="T4669" s="191">
        <v>2.6741789373454679E-7</v>
      </c>
      <c r="U4669" s="439"/>
      <c r="V4669" s="439"/>
      <c r="W4669" s="178">
        <v>30000</v>
      </c>
      <c r="X4669" s="172">
        <f t="shared" si="12"/>
        <v>0.33333333333333331</v>
      </c>
      <c r="Y4669" s="172">
        <f t="shared" si="12"/>
        <v>0.33333333333333331</v>
      </c>
      <c r="Z4669" s="172">
        <f t="shared" si="12"/>
        <v>0.33333333333333331</v>
      </c>
      <c r="AA4669" s="195"/>
      <c r="AB4669" s="159"/>
    </row>
    <row r="4670" spans="1:28" ht="12.75" customHeight="1" x14ac:dyDescent="0.3">
      <c r="A4670" s="161">
        <v>670</v>
      </c>
      <c r="B4670" s="159" t="s">
        <v>3203</v>
      </c>
      <c r="C4670" s="160" t="s">
        <v>3204</v>
      </c>
      <c r="D4670" s="160" t="s">
        <v>618</v>
      </c>
      <c r="E4670" s="545">
        <v>7.84</v>
      </c>
      <c r="F4670" s="161">
        <v>197.45</v>
      </c>
      <c r="G4670" s="191"/>
      <c r="H4670" s="191">
        <v>6.6133333316800005E-2</v>
      </c>
      <c r="I4670" s="191">
        <v>64.489999999999995</v>
      </c>
      <c r="J4670" s="191"/>
      <c r="K4670" s="191">
        <v>10232.929922807549</v>
      </c>
      <c r="L4670" s="191"/>
      <c r="M4670" s="191"/>
      <c r="N4670" s="191"/>
      <c r="O4670" s="191"/>
      <c r="P4670" s="191"/>
      <c r="Q4670" s="191">
        <v>3.7164449999999999E-6</v>
      </c>
      <c r="R4670" s="191">
        <v>1.3370894686727339E-7</v>
      </c>
      <c r="S4670" s="191">
        <v>1.4856549651919266E-8</v>
      </c>
      <c r="T4670" s="191">
        <v>6.6854473433636697E-8</v>
      </c>
      <c r="U4670" s="439"/>
      <c r="V4670" s="439"/>
      <c r="W4670" s="178">
        <v>30000</v>
      </c>
      <c r="X4670" s="172">
        <f t="shared" si="12"/>
        <v>0.33333333333333331</v>
      </c>
      <c r="Y4670" s="172">
        <f t="shared" si="12"/>
        <v>0.33333333333333331</v>
      </c>
      <c r="Z4670" s="172">
        <f t="shared" si="12"/>
        <v>0.33333333333333331</v>
      </c>
      <c r="AA4670" s="195"/>
      <c r="AB4670" s="159"/>
    </row>
    <row r="4671" spans="1:28" ht="12.75" customHeight="1" x14ac:dyDescent="0.3">
      <c r="A4671" s="161">
        <v>671</v>
      </c>
      <c r="B4671" s="159" t="s">
        <v>3206</v>
      </c>
      <c r="C4671" s="160" t="s">
        <v>3207</v>
      </c>
      <c r="D4671" s="160" t="s">
        <v>618</v>
      </c>
      <c r="E4671" s="545">
        <v>7.89</v>
      </c>
      <c r="F4671" s="161">
        <v>163</v>
      </c>
      <c r="G4671" s="191"/>
      <c r="H4671" s="191">
        <v>11.999999997</v>
      </c>
      <c r="I4671" s="191">
        <v>4500</v>
      </c>
      <c r="J4671" s="191"/>
      <c r="K4671" s="191">
        <v>1148.1536214968839</v>
      </c>
      <c r="L4671" s="191"/>
      <c r="M4671" s="191"/>
      <c r="N4671" s="191"/>
      <c r="O4671" s="191"/>
      <c r="P4671" s="191"/>
      <c r="Q4671" s="191">
        <v>7.9499999999999991E-7</v>
      </c>
      <c r="R4671" s="191">
        <v>2.1393431498763744E-7</v>
      </c>
      <c r="S4671" s="191">
        <v>2.3770479443070826E-8</v>
      </c>
      <c r="T4671" s="191">
        <v>1.0696715749381872E-7</v>
      </c>
      <c r="U4671" s="439"/>
      <c r="V4671" s="439"/>
      <c r="W4671" s="178">
        <v>30000</v>
      </c>
      <c r="X4671" s="172">
        <f t="shared" si="12"/>
        <v>0.33333333333333331</v>
      </c>
      <c r="Y4671" s="172">
        <f t="shared" si="12"/>
        <v>0.33333333333333331</v>
      </c>
      <c r="Z4671" s="172">
        <f t="shared" si="12"/>
        <v>0.33333333333333331</v>
      </c>
      <c r="AA4671" s="195"/>
      <c r="AB4671" s="159"/>
    </row>
    <row r="4672" spans="1:28" ht="12.75" customHeight="1" x14ac:dyDescent="0.3">
      <c r="A4672" s="161">
        <v>672</v>
      </c>
      <c r="B4672" s="159" t="s">
        <v>3205</v>
      </c>
      <c r="C4672" s="160" t="s">
        <v>896</v>
      </c>
      <c r="D4672" s="160" t="s">
        <v>618</v>
      </c>
      <c r="E4672" s="545">
        <v>7.89</v>
      </c>
      <c r="F4672" s="161">
        <v>163</v>
      </c>
      <c r="G4672" s="191"/>
      <c r="H4672" s="191">
        <v>11.999999997</v>
      </c>
      <c r="I4672" s="191">
        <v>4500</v>
      </c>
      <c r="J4672" s="191"/>
      <c r="K4672" s="191">
        <v>1148.1536214968839</v>
      </c>
      <c r="L4672" s="191"/>
      <c r="M4672" s="191"/>
      <c r="N4672" s="191"/>
      <c r="O4672" s="191"/>
      <c r="P4672" s="191"/>
      <c r="Q4672" s="191">
        <v>7.9499999999999991E-7</v>
      </c>
      <c r="R4672" s="191">
        <v>2.1393431498763744E-7</v>
      </c>
      <c r="S4672" s="191">
        <v>2.3770479443070826E-8</v>
      </c>
      <c r="T4672" s="191">
        <v>1.0696715749381872E-7</v>
      </c>
      <c r="U4672" s="439"/>
      <c r="V4672" s="439"/>
      <c r="W4672" s="178">
        <v>30000</v>
      </c>
      <c r="X4672" s="172">
        <f t="shared" si="12"/>
        <v>0.33333333333333331</v>
      </c>
      <c r="Y4672" s="172">
        <f t="shared" si="12"/>
        <v>0.33333333333333331</v>
      </c>
      <c r="Z4672" s="172">
        <f t="shared" si="12"/>
        <v>0.33333333333333331</v>
      </c>
      <c r="AA4672" s="195"/>
      <c r="AB4672" s="159"/>
    </row>
    <row r="4673" spans="1:28" ht="12.75" customHeight="1" x14ac:dyDescent="0.3">
      <c r="A4673" s="161">
        <v>673</v>
      </c>
      <c r="B4673" s="159" t="s">
        <v>3208</v>
      </c>
      <c r="C4673" s="160" t="s">
        <v>3209</v>
      </c>
      <c r="D4673" s="160" t="s">
        <v>618</v>
      </c>
      <c r="E4673" s="545">
        <v>7.9</v>
      </c>
      <c r="F4673" s="161">
        <v>297.73</v>
      </c>
      <c r="G4673" s="191"/>
      <c r="H4673" s="191">
        <v>2.3733333327400001E-8</v>
      </c>
      <c r="I4673" s="191">
        <v>722</v>
      </c>
      <c r="J4673" s="191"/>
      <c r="K4673" s="191">
        <v>0.85113803820237643</v>
      </c>
      <c r="L4673" s="191"/>
      <c r="M4673" s="191"/>
      <c r="N4673" s="191"/>
      <c r="O4673" s="191"/>
      <c r="P4673" s="191"/>
      <c r="Q4673" s="191">
        <v>6.1614982500000001E-5</v>
      </c>
      <c r="R4673" s="191">
        <v>1.3370894686727339E-7</v>
      </c>
      <c r="S4673" s="191">
        <v>1.4856549651919266E-8</v>
      </c>
      <c r="T4673" s="191">
        <v>6.6854473433636697E-8</v>
      </c>
      <c r="U4673" s="439"/>
      <c r="V4673" s="439"/>
      <c r="W4673" s="178">
        <v>30000</v>
      </c>
      <c r="X4673" s="172">
        <f t="shared" si="12"/>
        <v>0.33333333333333331</v>
      </c>
      <c r="Y4673" s="172">
        <f t="shared" si="12"/>
        <v>0.33333333333333331</v>
      </c>
      <c r="Z4673" s="172">
        <f t="shared" si="12"/>
        <v>0.33333333333333331</v>
      </c>
      <c r="AA4673" s="195"/>
      <c r="AB4673" s="159"/>
    </row>
    <row r="4674" spans="1:28" ht="12.75" customHeight="1" x14ac:dyDescent="0.3">
      <c r="A4674" s="161">
        <v>674</v>
      </c>
      <c r="B4674" s="159" t="s">
        <v>3210</v>
      </c>
      <c r="C4674" s="160" t="s">
        <v>3211</v>
      </c>
      <c r="D4674" s="160" t="s">
        <v>618</v>
      </c>
      <c r="E4674" s="545">
        <v>7.91</v>
      </c>
      <c r="F4674" s="161">
        <v>152.15</v>
      </c>
      <c r="G4674" s="191"/>
      <c r="H4674" s="191">
        <v>0.41333333322999999</v>
      </c>
      <c r="I4674" s="191">
        <v>5019</v>
      </c>
      <c r="J4674" s="191"/>
      <c r="K4674" s="191">
        <v>23.442288153199236</v>
      </c>
      <c r="L4674" s="191"/>
      <c r="M4674" s="191"/>
      <c r="N4674" s="191"/>
      <c r="O4674" s="191"/>
      <c r="P4674" s="191"/>
      <c r="Q4674" s="191">
        <v>2.0505720000000001E-5</v>
      </c>
      <c r="R4674" s="191">
        <v>5.3483578746909358E-7</v>
      </c>
      <c r="S4674" s="191">
        <v>5.9426198607677063E-8</v>
      </c>
      <c r="T4674" s="191">
        <v>2.6741789373454679E-7</v>
      </c>
      <c r="U4674" s="439"/>
      <c r="V4674" s="439"/>
      <c r="W4674" s="178">
        <v>30000</v>
      </c>
      <c r="X4674" s="172">
        <f t="shared" si="12"/>
        <v>0.33333333333333331</v>
      </c>
      <c r="Y4674" s="172">
        <f t="shared" si="12"/>
        <v>0.33333333333333331</v>
      </c>
      <c r="Z4674" s="172">
        <f t="shared" si="12"/>
        <v>0.33333333333333331</v>
      </c>
      <c r="AA4674" s="195"/>
      <c r="AB4674" s="159"/>
    </row>
    <row r="4675" spans="1:28" ht="12.75" customHeight="1" x14ac:dyDescent="0.3">
      <c r="A4675" s="161">
        <v>675</v>
      </c>
      <c r="B4675" s="159" t="s">
        <v>3212</v>
      </c>
      <c r="C4675" s="160" t="s">
        <v>3213</v>
      </c>
      <c r="D4675" s="160" t="s">
        <v>618</v>
      </c>
      <c r="E4675" s="545">
        <v>7.97</v>
      </c>
      <c r="F4675" s="161">
        <v>368.39</v>
      </c>
      <c r="G4675" s="191"/>
      <c r="H4675" s="191">
        <v>4.1066666656399993E-10</v>
      </c>
      <c r="I4675" s="191">
        <v>7.4749999999999996</v>
      </c>
      <c r="J4675" s="191"/>
      <c r="K4675" s="191">
        <v>1949.8445997580463</v>
      </c>
      <c r="L4675" s="191"/>
      <c r="M4675" s="191"/>
      <c r="N4675" s="191"/>
      <c r="O4675" s="191"/>
      <c r="P4675" s="191"/>
      <c r="Q4675" s="191">
        <v>1.18643175E-4</v>
      </c>
      <c r="R4675" s="191">
        <v>2.1393431498763744E-7</v>
      </c>
      <c r="S4675" s="191">
        <v>2.3770479443070826E-8</v>
      </c>
      <c r="T4675" s="191">
        <v>1.0696715749381872E-7</v>
      </c>
      <c r="U4675" s="439"/>
      <c r="V4675" s="439"/>
      <c r="W4675" s="178">
        <v>30000</v>
      </c>
      <c r="X4675" s="172">
        <f t="shared" si="12"/>
        <v>0.33333333333333331</v>
      </c>
      <c r="Y4675" s="172">
        <f t="shared" si="12"/>
        <v>0.33333333333333331</v>
      </c>
      <c r="Z4675" s="172">
        <f t="shared" si="12"/>
        <v>0.33333333333333331</v>
      </c>
      <c r="AA4675" s="195"/>
      <c r="AB4675" s="159"/>
    </row>
    <row r="4676" spans="1:28" ht="12.75" customHeight="1" x14ac:dyDescent="0.3">
      <c r="A4676" s="161">
        <v>676</v>
      </c>
      <c r="B4676" s="159" t="s">
        <v>3214</v>
      </c>
      <c r="C4676" s="160" t="s">
        <v>3215</v>
      </c>
      <c r="D4676" s="160" t="s">
        <v>618</v>
      </c>
      <c r="E4676" s="545">
        <v>8.01</v>
      </c>
      <c r="F4676" s="161">
        <v>289.55</v>
      </c>
      <c r="G4676" s="191"/>
      <c r="H4676" s="191">
        <v>6.1999999984499996E-4</v>
      </c>
      <c r="I4676" s="191">
        <v>10</v>
      </c>
      <c r="J4676" s="191"/>
      <c r="K4676" s="191">
        <v>57543.993733715732</v>
      </c>
      <c r="L4676" s="191"/>
      <c r="M4676" s="191"/>
      <c r="N4676" s="191"/>
      <c r="O4676" s="191"/>
      <c r="P4676" s="191"/>
      <c r="Q4676" s="191">
        <v>1.2086047500000001E-5</v>
      </c>
      <c r="R4676" s="191">
        <v>1.3370894686727339E-7</v>
      </c>
      <c r="S4676" s="191">
        <v>1.4856549651919266E-8</v>
      </c>
      <c r="T4676" s="191">
        <v>6.6854473433636697E-8</v>
      </c>
      <c r="U4676" s="439"/>
      <c r="V4676" s="439"/>
      <c r="W4676" s="178">
        <v>30000</v>
      </c>
      <c r="X4676" s="172">
        <f t="shared" si="12"/>
        <v>0.33333333333333331</v>
      </c>
      <c r="Y4676" s="172">
        <f t="shared" si="12"/>
        <v>0.33333333333333331</v>
      </c>
      <c r="Z4676" s="172">
        <f t="shared" si="12"/>
        <v>0.33333333333333331</v>
      </c>
      <c r="AA4676" s="195"/>
      <c r="AB4676" s="159"/>
    </row>
    <row r="4677" spans="1:28" ht="12.75" customHeight="1" x14ac:dyDescent="0.3">
      <c r="A4677" s="161">
        <v>677</v>
      </c>
      <c r="B4677" s="159" t="s">
        <v>3216</v>
      </c>
      <c r="C4677" s="160" t="s">
        <v>3217</v>
      </c>
      <c r="D4677" s="160" t="s">
        <v>618</v>
      </c>
      <c r="E4677" s="545">
        <v>8.0500000000000007</v>
      </c>
      <c r="F4677" s="161">
        <v>136.15</v>
      </c>
      <c r="G4677" s="191"/>
      <c r="H4677" s="191">
        <v>0.26133333326799996</v>
      </c>
      <c r="I4677" s="191">
        <v>9900</v>
      </c>
      <c r="J4677" s="191"/>
      <c r="K4677" s="191">
        <v>22.387211385683404</v>
      </c>
      <c r="L4677" s="191"/>
      <c r="M4677" s="191"/>
      <c r="N4677" s="191"/>
      <c r="O4677" s="191"/>
      <c r="P4677" s="191"/>
      <c r="Q4677" s="191">
        <v>2.2967145000000002E-5</v>
      </c>
      <c r="R4677" s="191">
        <v>5.3483578746909358E-7</v>
      </c>
      <c r="S4677" s="191">
        <v>5.9426198607677063E-8</v>
      </c>
      <c r="T4677" s="191">
        <v>2.6741789373454679E-7</v>
      </c>
      <c r="U4677" s="439"/>
      <c r="V4677" s="439"/>
      <c r="W4677" s="178">
        <v>30000</v>
      </c>
      <c r="X4677" s="172">
        <f t="shared" si="12"/>
        <v>0.33333333333333331</v>
      </c>
      <c r="Y4677" s="172">
        <f t="shared" si="12"/>
        <v>0.33333333333333331</v>
      </c>
      <c r="Z4677" s="172">
        <f t="shared" si="12"/>
        <v>0.33333333333333331</v>
      </c>
      <c r="AA4677" s="195"/>
      <c r="AB4677" s="159"/>
    </row>
    <row r="4678" spans="1:28" ht="12.75" customHeight="1" x14ac:dyDescent="0.3">
      <c r="A4678" s="161">
        <v>678</v>
      </c>
      <c r="B4678" s="159" t="s">
        <v>3218</v>
      </c>
      <c r="C4678" s="160" t="s">
        <v>3219</v>
      </c>
      <c r="D4678" s="160" t="s">
        <v>618</v>
      </c>
      <c r="E4678" s="545">
        <v>8.11</v>
      </c>
      <c r="F4678" s="161">
        <v>144.56</v>
      </c>
      <c r="G4678" s="191"/>
      <c r="H4678" s="191">
        <v>6.5333333316999989E-2</v>
      </c>
      <c r="I4678" s="191">
        <v>8840</v>
      </c>
      <c r="J4678" s="191"/>
      <c r="K4678" s="191">
        <v>63.095734448019364</v>
      </c>
      <c r="L4678" s="191"/>
      <c r="M4678" s="191"/>
      <c r="N4678" s="191"/>
      <c r="O4678" s="191"/>
      <c r="P4678" s="191"/>
      <c r="Q4678" s="191">
        <v>1.2494870999999998E-4</v>
      </c>
      <c r="R4678" s="191">
        <v>5.3483578746909358E-7</v>
      </c>
      <c r="S4678" s="191">
        <v>5.9426198607677063E-8</v>
      </c>
      <c r="T4678" s="191">
        <v>2.6741789373454679E-7</v>
      </c>
      <c r="U4678" s="439"/>
      <c r="V4678" s="439"/>
      <c r="W4678" s="178">
        <v>30000</v>
      </c>
      <c r="X4678" s="172">
        <f t="shared" si="12"/>
        <v>0.33333333333333331</v>
      </c>
      <c r="Y4678" s="172">
        <f t="shared" si="12"/>
        <v>0.33333333333333331</v>
      </c>
      <c r="Z4678" s="172">
        <f t="shared" si="12"/>
        <v>0.33333333333333331</v>
      </c>
      <c r="AA4678" s="195"/>
      <c r="AB4678" s="159"/>
    </row>
    <row r="4679" spans="1:28" ht="12.75" customHeight="1" x14ac:dyDescent="0.3">
      <c r="A4679" s="161">
        <v>679</v>
      </c>
      <c r="B4679" s="159" t="s">
        <v>3220</v>
      </c>
      <c r="C4679" s="160" t="s">
        <v>3221</v>
      </c>
      <c r="D4679" s="160" t="s">
        <v>618</v>
      </c>
      <c r="E4679" s="545">
        <v>8.15</v>
      </c>
      <c r="F4679" s="161">
        <v>177.03</v>
      </c>
      <c r="G4679" s="191"/>
      <c r="H4679" s="191">
        <v>0.72399999981899998</v>
      </c>
      <c r="I4679" s="191">
        <v>1600</v>
      </c>
      <c r="J4679" s="191"/>
      <c r="K4679" s="191">
        <v>2238.7211385683418</v>
      </c>
      <c r="L4679" s="191"/>
      <c r="M4679" s="191"/>
      <c r="N4679" s="191"/>
      <c r="O4679" s="191"/>
      <c r="P4679" s="191"/>
      <c r="Q4679" s="191">
        <v>1.5075899999999999E-6</v>
      </c>
      <c r="R4679" s="191">
        <v>2.1393431498763744E-7</v>
      </c>
      <c r="S4679" s="191">
        <v>2.3770479443070826E-8</v>
      </c>
      <c r="T4679" s="191">
        <v>1.0696715749381872E-7</v>
      </c>
      <c r="U4679" s="439"/>
      <c r="V4679" s="439"/>
      <c r="W4679" s="178">
        <v>30000</v>
      </c>
      <c r="X4679" s="172">
        <f t="shared" si="12"/>
        <v>0.33333333333333331</v>
      </c>
      <c r="Y4679" s="172">
        <f t="shared" si="12"/>
        <v>0.33333333333333331</v>
      </c>
      <c r="Z4679" s="172">
        <f t="shared" si="12"/>
        <v>0.33333333333333331</v>
      </c>
      <c r="AA4679" s="195"/>
      <c r="AB4679" s="159"/>
    </row>
    <row r="4680" spans="1:28" ht="12.75" customHeight="1" x14ac:dyDescent="0.3">
      <c r="A4680" s="161">
        <v>680</v>
      </c>
      <c r="B4680" s="159" t="s">
        <v>3222</v>
      </c>
      <c r="C4680" s="160" t="s">
        <v>3223</v>
      </c>
      <c r="D4680" s="160" t="s">
        <v>618</v>
      </c>
      <c r="E4680" s="545">
        <v>8.1999999999999993</v>
      </c>
      <c r="F4680" s="161">
        <v>198.23</v>
      </c>
      <c r="G4680" s="191"/>
      <c r="H4680" s="191">
        <v>3.0799999992299999E-5</v>
      </c>
      <c r="I4680" s="191">
        <v>90</v>
      </c>
      <c r="J4680" s="191"/>
      <c r="K4680" s="191">
        <v>4265.7951880159299</v>
      </c>
      <c r="L4680" s="191"/>
      <c r="M4680" s="191"/>
      <c r="N4680" s="191"/>
      <c r="O4680" s="191"/>
      <c r="P4680" s="191"/>
      <c r="Q4680" s="191">
        <v>1.05896625E-5</v>
      </c>
      <c r="R4680" s="191">
        <v>2.1393431498763744E-7</v>
      </c>
      <c r="S4680" s="191">
        <v>2.3770479443070826E-8</v>
      </c>
      <c r="T4680" s="191">
        <v>1.0696715749381872E-7</v>
      </c>
      <c r="U4680" s="439"/>
      <c r="V4680" s="439"/>
      <c r="W4680" s="178">
        <v>30000</v>
      </c>
      <c r="X4680" s="172">
        <f t="shared" si="12"/>
        <v>0.33333333333333331</v>
      </c>
      <c r="Y4680" s="172">
        <f t="shared" si="12"/>
        <v>0.33333333333333331</v>
      </c>
      <c r="Z4680" s="172">
        <f t="shared" si="12"/>
        <v>0.33333333333333331</v>
      </c>
      <c r="AA4680" s="195"/>
      <c r="AB4680" s="159"/>
    </row>
    <row r="4681" spans="1:28" ht="12.75" customHeight="1" x14ac:dyDescent="0.3">
      <c r="A4681" s="161">
        <v>681</v>
      </c>
      <c r="B4681" s="159" t="s">
        <v>3224</v>
      </c>
      <c r="C4681" s="160" t="s">
        <v>3225</v>
      </c>
      <c r="D4681" s="160" t="s">
        <v>618</v>
      </c>
      <c r="E4681" s="545">
        <v>8.24</v>
      </c>
      <c r="F4681" s="161">
        <v>193.25</v>
      </c>
      <c r="G4681" s="191"/>
      <c r="H4681" s="191">
        <v>6.4266666650599994E-3</v>
      </c>
      <c r="I4681" s="191">
        <v>186.5</v>
      </c>
      <c r="J4681" s="191"/>
      <c r="K4681" s="191">
        <v>660.69344800759643</v>
      </c>
      <c r="L4681" s="191"/>
      <c r="M4681" s="191"/>
      <c r="N4681" s="191"/>
      <c r="O4681" s="191"/>
      <c r="P4681" s="191"/>
      <c r="Q4681" s="191">
        <v>1.7604372000000002E-4</v>
      </c>
      <c r="R4681" s="191">
        <v>2.1393431498763744E-7</v>
      </c>
      <c r="S4681" s="191">
        <v>2.3770479443070826E-8</v>
      </c>
      <c r="T4681" s="191">
        <v>1.0696715749381872E-7</v>
      </c>
      <c r="U4681" s="439"/>
      <c r="V4681" s="439"/>
      <c r="W4681" s="178">
        <v>30000</v>
      </c>
      <c r="X4681" s="172">
        <f t="shared" si="12"/>
        <v>0.33333333333333331</v>
      </c>
      <c r="Y4681" s="172">
        <f t="shared" si="12"/>
        <v>0.33333333333333331</v>
      </c>
      <c r="Z4681" s="172">
        <f t="shared" si="12"/>
        <v>0.33333333333333331</v>
      </c>
      <c r="AA4681" s="195"/>
      <c r="AB4681" s="159"/>
    </row>
    <row r="4682" spans="1:28" ht="12.75" customHeight="1" x14ac:dyDescent="0.3">
      <c r="A4682" s="161">
        <v>682</v>
      </c>
      <c r="B4682" s="159" t="s">
        <v>3226</v>
      </c>
      <c r="C4682" s="160" t="s">
        <v>3227</v>
      </c>
      <c r="D4682" s="160" t="s">
        <v>618</v>
      </c>
      <c r="E4682" s="545">
        <v>8.3000000000000007</v>
      </c>
      <c r="F4682" s="161">
        <v>147.13</v>
      </c>
      <c r="G4682" s="191"/>
      <c r="H4682" s="191">
        <v>1.3999999996499998E-6</v>
      </c>
      <c r="I4682" s="191">
        <v>360</v>
      </c>
      <c r="J4682" s="191"/>
      <c r="K4682" s="191">
        <v>14.125375446227544</v>
      </c>
      <c r="L4682" s="191"/>
      <c r="M4682" s="191"/>
      <c r="N4682" s="191"/>
      <c r="O4682" s="191"/>
      <c r="P4682" s="191"/>
      <c r="Q4682" s="191">
        <v>4.6869E-6</v>
      </c>
      <c r="R4682" s="191">
        <v>5.3483578746909358E-7</v>
      </c>
      <c r="S4682" s="191">
        <v>5.9426198607677063E-8</v>
      </c>
      <c r="T4682" s="191">
        <v>3.4880594834940889E-6</v>
      </c>
      <c r="U4682" s="439"/>
      <c r="V4682" s="439"/>
      <c r="W4682" s="178">
        <v>30000</v>
      </c>
      <c r="X4682" s="172">
        <f t="shared" si="12"/>
        <v>0.33333333333333331</v>
      </c>
      <c r="Y4682" s="172">
        <f t="shared" si="12"/>
        <v>0.33333333333333331</v>
      </c>
      <c r="Z4682" s="172">
        <f t="shared" si="12"/>
        <v>0.33333333333333331</v>
      </c>
      <c r="AA4682" s="195"/>
      <c r="AB4682" s="159"/>
    </row>
    <row r="4683" spans="1:28" ht="12.75" customHeight="1" x14ac:dyDescent="0.3">
      <c r="A4683" s="161">
        <v>683</v>
      </c>
      <c r="B4683" s="159" t="s">
        <v>3228</v>
      </c>
      <c r="C4683" s="160" t="s">
        <v>3229</v>
      </c>
      <c r="D4683" s="160" t="s">
        <v>618</v>
      </c>
      <c r="E4683" s="545">
        <v>8.33</v>
      </c>
      <c r="F4683" s="161">
        <v>144.56</v>
      </c>
      <c r="G4683" s="191"/>
      <c r="H4683" s="191">
        <v>9.7066666642400004E-2</v>
      </c>
      <c r="I4683" s="191">
        <v>11260</v>
      </c>
      <c r="J4683" s="191"/>
      <c r="K4683" s="191">
        <v>47.863009232263856</v>
      </c>
      <c r="L4683" s="191"/>
      <c r="M4683" s="191"/>
      <c r="N4683" s="191"/>
      <c r="O4683" s="191"/>
      <c r="P4683" s="191"/>
      <c r="Q4683" s="191">
        <v>1.23149025E-5</v>
      </c>
      <c r="R4683" s="191">
        <v>5.3483578746909358E-7</v>
      </c>
      <c r="S4683" s="191">
        <v>5.9426198607677063E-8</v>
      </c>
      <c r="T4683" s="191">
        <v>2.6741789373454679E-7</v>
      </c>
      <c r="U4683" s="439"/>
      <c r="V4683" s="439"/>
      <c r="W4683" s="178">
        <v>30000</v>
      </c>
      <c r="X4683" s="172">
        <f t="shared" si="12"/>
        <v>0.33333333333333331</v>
      </c>
      <c r="Y4683" s="172">
        <f t="shared" si="12"/>
        <v>0.33333333333333331</v>
      </c>
      <c r="Z4683" s="172">
        <f t="shared" si="12"/>
        <v>0.33333333333333331</v>
      </c>
      <c r="AA4683" s="195"/>
      <c r="AB4683" s="159"/>
    </row>
    <row r="4684" spans="1:28" ht="12.75" customHeight="1" x14ac:dyDescent="0.3">
      <c r="A4684" s="161">
        <v>684</v>
      </c>
      <c r="B4684" s="159" t="s">
        <v>3230</v>
      </c>
      <c r="C4684" s="160" t="s">
        <v>3231</v>
      </c>
      <c r="D4684" s="160" t="s">
        <v>618</v>
      </c>
      <c r="E4684" s="545">
        <v>8.36</v>
      </c>
      <c r="F4684" s="161">
        <v>139.11000000000001</v>
      </c>
      <c r="G4684" s="191"/>
      <c r="H4684" s="191">
        <v>0.15733333329400001</v>
      </c>
      <c r="I4684" s="191">
        <v>13500</v>
      </c>
      <c r="J4684" s="191"/>
      <c r="K4684" s="191">
        <v>100</v>
      </c>
      <c r="L4684" s="191"/>
      <c r="M4684" s="191"/>
      <c r="N4684" s="191"/>
      <c r="O4684" s="191"/>
      <c r="P4684" s="191"/>
      <c r="Q4684" s="191">
        <v>2.2890449999999998E-6</v>
      </c>
      <c r="R4684" s="191">
        <v>5.3483578746909358E-7</v>
      </c>
      <c r="S4684" s="191">
        <v>5.9426198607677063E-8</v>
      </c>
      <c r="T4684" s="191">
        <v>2.6741789373454679E-7</v>
      </c>
      <c r="U4684" s="439"/>
      <c r="V4684" s="439"/>
      <c r="W4684" s="178">
        <v>30000</v>
      </c>
      <c r="X4684" s="172">
        <f t="shared" si="12"/>
        <v>0.33333333333333331</v>
      </c>
      <c r="Y4684" s="172">
        <f t="shared" si="12"/>
        <v>0.33333333333333331</v>
      </c>
      <c r="Z4684" s="172">
        <f t="shared" si="12"/>
        <v>0.33333333333333331</v>
      </c>
      <c r="AA4684" s="195"/>
      <c r="AB4684" s="159"/>
    </row>
    <row r="4685" spans="1:28" ht="12.75" customHeight="1" x14ac:dyDescent="0.3">
      <c r="A4685" s="161">
        <v>685</v>
      </c>
      <c r="B4685" s="159" t="s">
        <v>3232</v>
      </c>
      <c r="C4685" s="160" t="s">
        <v>3233</v>
      </c>
      <c r="D4685" s="160" t="s">
        <v>618</v>
      </c>
      <c r="E4685" s="545">
        <v>8.4499999999999993</v>
      </c>
      <c r="F4685" s="161">
        <v>173.01</v>
      </c>
      <c r="G4685" s="191"/>
      <c r="H4685" s="191">
        <v>33.866666658199996</v>
      </c>
      <c r="I4685" s="191">
        <v>2227</v>
      </c>
      <c r="J4685" s="191"/>
      <c r="K4685" s="191">
        <v>223.87211385683412</v>
      </c>
      <c r="L4685" s="191"/>
      <c r="M4685" s="191"/>
      <c r="N4685" s="191"/>
      <c r="O4685" s="191"/>
      <c r="P4685" s="191"/>
      <c r="Q4685" s="191">
        <v>7.2690974999999994E-6</v>
      </c>
      <c r="R4685" s="191">
        <v>2.1393431498763744E-7</v>
      </c>
      <c r="S4685" s="191">
        <v>2.3770479443070826E-8</v>
      </c>
      <c r="T4685" s="191">
        <v>1.0696715749381872E-7</v>
      </c>
      <c r="U4685" s="439"/>
      <c r="V4685" s="439"/>
      <c r="W4685" s="178">
        <v>30000</v>
      </c>
      <c r="X4685" s="172">
        <f t="shared" si="12"/>
        <v>0.33333333333333331</v>
      </c>
      <c r="Y4685" s="172">
        <f t="shared" si="12"/>
        <v>0.33333333333333331</v>
      </c>
      <c r="Z4685" s="172">
        <f t="shared" si="12"/>
        <v>0.33333333333333331</v>
      </c>
      <c r="AA4685" s="195"/>
      <c r="AB4685" s="159"/>
    </row>
    <row r="4686" spans="1:28" ht="12.75" customHeight="1" x14ac:dyDescent="0.3">
      <c r="A4686" s="161">
        <v>686</v>
      </c>
      <c r="B4686" s="159" t="s">
        <v>3234</v>
      </c>
      <c r="C4686" s="160" t="s">
        <v>3235</v>
      </c>
      <c r="D4686" s="160" t="s">
        <v>618</v>
      </c>
      <c r="E4686" s="545">
        <v>8.69</v>
      </c>
      <c r="F4686" s="161">
        <v>142.59</v>
      </c>
      <c r="G4686" s="191"/>
      <c r="H4686" s="191">
        <v>32.533333325199997</v>
      </c>
      <c r="I4686" s="191">
        <v>24000</v>
      </c>
      <c r="J4686" s="191"/>
      <c r="K4686" s="191">
        <v>630.95734448019323</v>
      </c>
      <c r="L4686" s="191"/>
      <c r="M4686" s="191"/>
      <c r="N4686" s="191"/>
      <c r="O4686" s="191"/>
      <c r="P4686" s="191"/>
      <c r="Q4686" s="191">
        <v>9.1532549999999995E-6</v>
      </c>
      <c r="R4686" s="191">
        <v>2.1393431498763744E-7</v>
      </c>
      <c r="S4686" s="191">
        <v>2.3770479443070826E-8</v>
      </c>
      <c r="T4686" s="191">
        <v>1.0696715749381872E-7</v>
      </c>
      <c r="U4686" s="439"/>
      <c r="V4686" s="439"/>
      <c r="W4686" s="178">
        <v>30000</v>
      </c>
      <c r="X4686" s="172">
        <f t="shared" si="12"/>
        <v>0.33333333333333331</v>
      </c>
      <c r="Y4686" s="172">
        <f t="shared" si="12"/>
        <v>0.33333333333333331</v>
      </c>
      <c r="Z4686" s="172">
        <f t="shared" si="12"/>
        <v>0.33333333333333331</v>
      </c>
      <c r="AA4686" s="195"/>
      <c r="AB4686" s="159"/>
    </row>
    <row r="4687" spans="1:28" ht="12.75" customHeight="1" x14ac:dyDescent="0.3">
      <c r="A4687" s="161">
        <v>687</v>
      </c>
      <c r="B4687" s="159" t="s">
        <v>3236</v>
      </c>
      <c r="C4687" s="160" t="s">
        <v>3237</v>
      </c>
      <c r="D4687" s="160" t="s">
        <v>618</v>
      </c>
      <c r="E4687" s="545">
        <v>8.86</v>
      </c>
      <c r="F4687" s="161">
        <v>203.67</v>
      </c>
      <c r="G4687" s="191"/>
      <c r="H4687" s="191">
        <v>1.50666666629E-8</v>
      </c>
      <c r="I4687" s="191">
        <v>1000000</v>
      </c>
      <c r="J4687" s="191"/>
      <c r="K4687" s="191">
        <v>7.9432823472428099E-4</v>
      </c>
      <c r="L4687" s="191"/>
      <c r="M4687" s="191"/>
      <c r="N4687" s="191"/>
      <c r="O4687" s="191"/>
      <c r="P4687" s="191"/>
      <c r="Q4687" s="191">
        <v>7.4736299999999991E-5</v>
      </c>
      <c r="R4687" s="191">
        <v>5.3483578746909358E-7</v>
      </c>
      <c r="S4687" s="191">
        <v>5.9426198607677063E-8</v>
      </c>
      <c r="T4687" s="191">
        <v>2.6741789373454679E-7</v>
      </c>
      <c r="U4687" s="439"/>
      <c r="V4687" s="439"/>
      <c r="W4687" s="178">
        <v>30000</v>
      </c>
      <c r="X4687" s="172">
        <f t="shared" si="12"/>
        <v>0.33333333333333331</v>
      </c>
      <c r="Y4687" s="172">
        <f t="shared" si="12"/>
        <v>0.33333333333333331</v>
      </c>
      <c r="Z4687" s="172">
        <f t="shared" si="12"/>
        <v>0.33333333333333331</v>
      </c>
      <c r="AA4687" s="195"/>
      <c r="AB4687" s="159"/>
    </row>
    <row r="4688" spans="1:28" ht="12.75" customHeight="1" x14ac:dyDescent="0.3">
      <c r="A4688" s="161">
        <v>688</v>
      </c>
      <c r="B4688" s="159" t="s">
        <v>3238</v>
      </c>
      <c r="C4688" s="160" t="s">
        <v>3239</v>
      </c>
      <c r="D4688" s="160" t="s">
        <v>618</v>
      </c>
      <c r="E4688" s="545">
        <v>8.8800000000000008</v>
      </c>
      <c r="F4688" s="161">
        <v>733.95</v>
      </c>
      <c r="G4688" s="191"/>
      <c r="H4688" s="191">
        <v>2.8266666659599997E-23</v>
      </c>
      <c r="I4688" s="191">
        <v>0.51680000000000004</v>
      </c>
      <c r="J4688" s="191"/>
      <c r="K4688" s="191">
        <v>1148.1536214968839</v>
      </c>
      <c r="L4688" s="191"/>
      <c r="M4688" s="191"/>
      <c r="N4688" s="191"/>
      <c r="O4688" s="191"/>
      <c r="P4688" s="191"/>
      <c r="Q4688" s="191">
        <v>3.0215574749999996E-4</v>
      </c>
      <c r="R4688" s="191">
        <v>4.45696489557578E-8</v>
      </c>
      <c r="S4688" s="191">
        <v>4.9521832173064224E-9</v>
      </c>
      <c r="T4688" s="191">
        <v>2.22848244778789E-8</v>
      </c>
      <c r="U4688" s="439"/>
      <c r="V4688" s="439"/>
      <c r="W4688" s="178">
        <v>30000</v>
      </c>
      <c r="X4688" s="172">
        <f t="shared" si="12"/>
        <v>0.33333333333333331</v>
      </c>
      <c r="Y4688" s="172">
        <f t="shared" si="12"/>
        <v>0.33333333333333331</v>
      </c>
      <c r="Z4688" s="172">
        <f t="shared" si="12"/>
        <v>0.33333333333333331</v>
      </c>
      <c r="AA4688" s="195"/>
      <c r="AB4688" s="159"/>
    </row>
    <row r="4689" spans="1:28" ht="12.75" customHeight="1" x14ac:dyDescent="0.3">
      <c r="A4689" s="161">
        <v>689</v>
      </c>
      <c r="B4689" s="159" t="s">
        <v>3240</v>
      </c>
      <c r="C4689" s="160" t="s">
        <v>3241</v>
      </c>
      <c r="D4689" s="160" t="s">
        <v>618</v>
      </c>
      <c r="E4689" s="545">
        <v>8.93</v>
      </c>
      <c r="F4689" s="161">
        <v>100.12</v>
      </c>
      <c r="G4689" s="191"/>
      <c r="H4689" s="191">
        <v>394.66666656799998</v>
      </c>
      <c r="I4689" s="191">
        <v>166000</v>
      </c>
      <c r="J4689" s="191"/>
      <c r="K4689" s="191">
        <v>2.5118864315095806</v>
      </c>
      <c r="L4689" s="191"/>
      <c r="M4689" s="191"/>
      <c r="N4689" s="191"/>
      <c r="O4689" s="191"/>
      <c r="P4689" s="191"/>
      <c r="Q4689" s="191">
        <v>8.625E-7</v>
      </c>
      <c r="R4689" s="191">
        <v>5.3483578746909358E-7</v>
      </c>
      <c r="S4689" s="191">
        <v>5.9426198607677063E-8</v>
      </c>
      <c r="T4689" s="191">
        <v>2.6741789373454679E-7</v>
      </c>
      <c r="U4689" s="439"/>
      <c r="V4689" s="439"/>
      <c r="W4689" s="178">
        <v>30000</v>
      </c>
      <c r="X4689" s="172">
        <f t="shared" si="12"/>
        <v>0.33333333333333331</v>
      </c>
      <c r="Y4689" s="172">
        <f t="shared" si="12"/>
        <v>0.33333333333333331</v>
      </c>
      <c r="Z4689" s="172">
        <f t="shared" si="12"/>
        <v>0.33333333333333331</v>
      </c>
      <c r="AA4689" s="195"/>
      <c r="AB4689" s="159"/>
    </row>
    <row r="4690" spans="1:28" ht="12.75" customHeight="1" x14ac:dyDescent="0.3">
      <c r="A4690" s="161">
        <v>690</v>
      </c>
      <c r="B4690" s="159" t="s">
        <v>3242</v>
      </c>
      <c r="C4690" s="160" t="s">
        <v>3243</v>
      </c>
      <c r="D4690" s="160" t="s">
        <v>618</v>
      </c>
      <c r="E4690" s="545">
        <v>8.9499999999999993</v>
      </c>
      <c r="F4690" s="161">
        <v>162.11000000000001</v>
      </c>
      <c r="G4690" s="191"/>
      <c r="H4690" s="191">
        <v>81.199999979699996</v>
      </c>
      <c r="I4690" s="191">
        <v>769.7</v>
      </c>
      <c r="J4690" s="191"/>
      <c r="K4690" s="191">
        <v>891.25093813374656</v>
      </c>
      <c r="L4690" s="191"/>
      <c r="M4690" s="191"/>
      <c r="N4690" s="191"/>
      <c r="O4690" s="191"/>
      <c r="P4690" s="191"/>
      <c r="Q4690" s="191">
        <v>3.8875200000000002E-6</v>
      </c>
      <c r="R4690" s="191">
        <v>2.1393431498763744E-7</v>
      </c>
      <c r="S4690" s="191">
        <v>2.3770479443070826E-8</v>
      </c>
      <c r="T4690" s="191">
        <v>1.0696715749381872E-7</v>
      </c>
      <c r="U4690" s="439"/>
      <c r="V4690" s="439"/>
      <c r="W4690" s="178">
        <v>30000</v>
      </c>
      <c r="X4690" s="172">
        <f t="shared" si="12"/>
        <v>0.33333333333333331</v>
      </c>
      <c r="Y4690" s="172">
        <f t="shared" si="12"/>
        <v>0.33333333333333331</v>
      </c>
      <c r="Z4690" s="172">
        <f t="shared" si="12"/>
        <v>0.33333333333333331</v>
      </c>
      <c r="AA4690" s="195"/>
      <c r="AB4690" s="159"/>
    </row>
    <row r="4691" spans="1:28" ht="12.75" customHeight="1" x14ac:dyDescent="0.3">
      <c r="A4691" s="161">
        <v>691</v>
      </c>
      <c r="B4691" s="159" t="s">
        <v>3244</v>
      </c>
      <c r="C4691" s="160" t="s">
        <v>3245</v>
      </c>
      <c r="D4691" s="160" t="s">
        <v>618</v>
      </c>
      <c r="E4691" s="545">
        <v>8.99</v>
      </c>
      <c r="F4691" s="161">
        <v>302.29000000000002</v>
      </c>
      <c r="G4691" s="191"/>
      <c r="H4691" s="191">
        <v>1.4799999996300001E-9</v>
      </c>
      <c r="I4691" s="191">
        <v>35940</v>
      </c>
      <c r="J4691" s="191"/>
      <c r="K4691" s="191">
        <v>5.1286138399136494</v>
      </c>
      <c r="L4691" s="191"/>
      <c r="M4691" s="191"/>
      <c r="N4691" s="191"/>
      <c r="O4691" s="191"/>
      <c r="P4691" s="191"/>
      <c r="Q4691" s="191">
        <v>1.7200476749999998E-4</v>
      </c>
      <c r="R4691" s="191">
        <v>2.1393431498763744E-7</v>
      </c>
      <c r="S4691" s="191">
        <v>2.3770479443070826E-8</v>
      </c>
      <c r="T4691" s="191">
        <v>1.0696715749381872E-7</v>
      </c>
      <c r="U4691" s="439"/>
      <c r="V4691" s="439"/>
      <c r="W4691" s="178">
        <v>30000</v>
      </c>
      <c r="X4691" s="172">
        <f t="shared" si="12"/>
        <v>0.33333333333333331</v>
      </c>
      <c r="Y4691" s="172">
        <f t="shared" si="12"/>
        <v>0.33333333333333331</v>
      </c>
      <c r="Z4691" s="172">
        <f t="shared" si="12"/>
        <v>0.33333333333333331</v>
      </c>
      <c r="AA4691" s="195"/>
      <c r="AB4691" s="159"/>
    </row>
    <row r="4692" spans="1:28" ht="12.75" customHeight="1" x14ac:dyDescent="0.3">
      <c r="A4692" s="161">
        <v>692</v>
      </c>
      <c r="B4692" s="159" t="s">
        <v>3246</v>
      </c>
      <c r="C4692" s="160" t="s">
        <v>1625</v>
      </c>
      <c r="D4692" s="160" t="s">
        <v>618</v>
      </c>
      <c r="E4692" s="545">
        <v>9.1</v>
      </c>
      <c r="F4692" s="161">
        <v>133.19</v>
      </c>
      <c r="G4692" s="191"/>
      <c r="H4692" s="191">
        <v>1.6666666662499999E-2</v>
      </c>
      <c r="I4692" s="191">
        <v>860000</v>
      </c>
      <c r="J4692" s="191"/>
      <c r="K4692" s="191">
        <v>0.15135612484362079</v>
      </c>
      <c r="L4692" s="191"/>
      <c r="M4692" s="191"/>
      <c r="N4692" s="191"/>
      <c r="O4692" s="191"/>
      <c r="P4692" s="191"/>
      <c r="Q4692" s="191">
        <v>7.6264507499999992E-5</v>
      </c>
      <c r="R4692" s="191">
        <v>5.3483578746909358E-7</v>
      </c>
      <c r="S4692" s="191">
        <v>5.9426198607677063E-8</v>
      </c>
      <c r="T4692" s="191">
        <v>2.6741789373454679E-7</v>
      </c>
      <c r="U4692" s="439"/>
      <c r="V4692" s="439"/>
      <c r="W4692" s="178">
        <v>30000</v>
      </c>
      <c r="X4692" s="172">
        <f t="shared" si="12"/>
        <v>0.33333333333333331</v>
      </c>
      <c r="Y4692" s="172">
        <f t="shared" si="12"/>
        <v>0.33333333333333331</v>
      </c>
      <c r="Z4692" s="172">
        <f t="shared" si="12"/>
        <v>0.33333333333333331</v>
      </c>
      <c r="AA4692" s="195"/>
      <c r="AB4692" s="159"/>
    </row>
    <row r="4693" spans="1:28" ht="12.75" customHeight="1" x14ac:dyDescent="0.3">
      <c r="A4693" s="161">
        <v>693</v>
      </c>
      <c r="B4693" s="159" t="s">
        <v>3247</v>
      </c>
      <c r="C4693" s="160" t="s">
        <v>3248</v>
      </c>
      <c r="D4693" s="160" t="s">
        <v>618</v>
      </c>
      <c r="E4693" s="545">
        <v>9.1199999999999992</v>
      </c>
      <c r="F4693" s="161">
        <v>128.56</v>
      </c>
      <c r="G4693" s="191"/>
      <c r="H4693" s="191">
        <v>16.666666662499999</v>
      </c>
      <c r="I4693" s="191">
        <v>26000</v>
      </c>
      <c r="J4693" s="191"/>
      <c r="K4693" s="191">
        <v>316.22776601683825</v>
      </c>
      <c r="L4693" s="191"/>
      <c r="M4693" s="191"/>
      <c r="N4693" s="191"/>
      <c r="O4693" s="191"/>
      <c r="P4693" s="191"/>
      <c r="Q4693" s="191">
        <v>1.7688337500000001E-5</v>
      </c>
      <c r="R4693" s="191">
        <v>5.3483578746909358E-7</v>
      </c>
      <c r="S4693" s="191">
        <v>5.9426198607677063E-8</v>
      </c>
      <c r="T4693" s="191">
        <v>2.6741789373454679E-7</v>
      </c>
      <c r="U4693" s="439"/>
      <c r="V4693" s="439"/>
      <c r="W4693" s="178">
        <v>30000</v>
      </c>
      <c r="X4693" s="172">
        <f t="shared" si="12"/>
        <v>0.33333333333333331</v>
      </c>
      <c r="Y4693" s="172">
        <f t="shared" si="12"/>
        <v>0.33333333333333331</v>
      </c>
      <c r="Z4693" s="172">
        <f t="shared" si="12"/>
        <v>0.33333333333333331</v>
      </c>
      <c r="AA4693" s="195"/>
      <c r="AB4693" s="159"/>
    </row>
    <row r="4694" spans="1:28" ht="12.75" customHeight="1" x14ac:dyDescent="0.3">
      <c r="A4694" s="161">
        <v>694</v>
      </c>
      <c r="B4694" s="159" t="s">
        <v>3249</v>
      </c>
      <c r="C4694" s="160" t="s">
        <v>3250</v>
      </c>
      <c r="D4694" s="160" t="s">
        <v>618</v>
      </c>
      <c r="E4694" s="545">
        <v>9.1300000000000008</v>
      </c>
      <c r="F4694" s="161">
        <v>186.21</v>
      </c>
      <c r="G4694" s="191"/>
      <c r="H4694" s="191">
        <v>9.9999999974999983E-3</v>
      </c>
      <c r="I4694" s="191">
        <v>268.8</v>
      </c>
      <c r="J4694" s="191"/>
      <c r="K4694" s="191">
        <v>2238.7211385683418</v>
      </c>
      <c r="L4694" s="191"/>
      <c r="M4694" s="191"/>
      <c r="N4694" s="191"/>
      <c r="O4694" s="191"/>
      <c r="P4694" s="191"/>
      <c r="Q4694" s="191">
        <v>2.87907675E-5</v>
      </c>
      <c r="R4694" s="191">
        <v>5.3483578746909358E-7</v>
      </c>
      <c r="S4694" s="191">
        <v>5.9426198607677063E-8</v>
      </c>
      <c r="T4694" s="191">
        <v>2.6741789373454679E-7</v>
      </c>
      <c r="U4694" s="439"/>
      <c r="V4694" s="439"/>
      <c r="W4694" s="178">
        <v>30000</v>
      </c>
      <c r="X4694" s="172">
        <f t="shared" si="12"/>
        <v>0.33333333333333331</v>
      </c>
      <c r="Y4694" s="172">
        <f t="shared" si="12"/>
        <v>0.33333333333333331</v>
      </c>
      <c r="Z4694" s="172">
        <f t="shared" si="12"/>
        <v>0.33333333333333331</v>
      </c>
      <c r="AA4694" s="195"/>
      <c r="AB4694" s="159"/>
    </row>
    <row r="4695" spans="1:28" ht="12.75" customHeight="1" x14ac:dyDescent="0.3">
      <c r="A4695" s="161">
        <v>695</v>
      </c>
      <c r="B4695" s="159" t="s">
        <v>3251</v>
      </c>
      <c r="C4695" s="160" t="s">
        <v>3252</v>
      </c>
      <c r="D4695" s="160" t="s">
        <v>618</v>
      </c>
      <c r="E4695" s="545">
        <v>9.17</v>
      </c>
      <c r="F4695" s="161">
        <v>173.01</v>
      </c>
      <c r="G4695" s="191"/>
      <c r="H4695" s="191">
        <v>1.55999999961</v>
      </c>
      <c r="I4695" s="191">
        <v>14000</v>
      </c>
      <c r="J4695" s="191"/>
      <c r="K4695" s="191">
        <v>389.04514499428063</v>
      </c>
      <c r="L4695" s="191"/>
      <c r="M4695" s="191"/>
      <c r="N4695" s="191"/>
      <c r="O4695" s="191"/>
      <c r="P4695" s="191"/>
      <c r="Q4695" s="191">
        <v>7.2690974999999994E-6</v>
      </c>
      <c r="R4695" s="191">
        <v>2.1393431498763744E-7</v>
      </c>
      <c r="S4695" s="191">
        <v>2.3770479443070826E-8</v>
      </c>
      <c r="T4695" s="191">
        <v>1.0696715749381872E-7</v>
      </c>
      <c r="U4695" s="439"/>
      <c r="V4695" s="439"/>
      <c r="W4695" s="178">
        <v>30000</v>
      </c>
      <c r="X4695" s="172">
        <f t="shared" si="12"/>
        <v>0.33333333333333331</v>
      </c>
      <c r="Y4695" s="172">
        <f t="shared" si="12"/>
        <v>0.33333333333333331</v>
      </c>
      <c r="Z4695" s="172">
        <f t="shared" si="12"/>
        <v>0.33333333333333331</v>
      </c>
      <c r="AA4695" s="195"/>
      <c r="AB4695" s="159"/>
    </row>
    <row r="4696" spans="1:28" ht="12.75" customHeight="1" x14ac:dyDescent="0.3">
      <c r="A4696" s="161">
        <v>696</v>
      </c>
      <c r="B4696" s="159" t="s">
        <v>3253</v>
      </c>
      <c r="C4696" s="160" t="s">
        <v>3254</v>
      </c>
      <c r="D4696" s="160" t="s">
        <v>618</v>
      </c>
      <c r="E4696" s="545">
        <v>9.2100000000000009</v>
      </c>
      <c r="F4696" s="161">
        <v>220.01</v>
      </c>
      <c r="G4696" s="191"/>
      <c r="H4696" s="191">
        <v>0.29599999992600001</v>
      </c>
      <c r="I4696" s="191">
        <v>428.2</v>
      </c>
      <c r="J4696" s="191"/>
      <c r="K4696" s="191">
        <v>812.83051616409978</v>
      </c>
      <c r="L4696" s="191"/>
      <c r="M4696" s="191"/>
      <c r="N4696" s="191"/>
      <c r="O4696" s="191"/>
      <c r="P4696" s="191"/>
      <c r="Q4696" s="191">
        <v>8.3615999999999997E-6</v>
      </c>
      <c r="R4696" s="191">
        <v>2.1393431498763744E-7</v>
      </c>
      <c r="S4696" s="191">
        <v>2.3770479443070826E-8</v>
      </c>
      <c r="T4696" s="191">
        <v>1.0696715749381872E-7</v>
      </c>
      <c r="U4696" s="439"/>
      <c r="V4696" s="439"/>
      <c r="W4696" s="178">
        <v>30000</v>
      </c>
      <c r="X4696" s="172">
        <f t="shared" si="12"/>
        <v>0.33333333333333331</v>
      </c>
      <c r="Y4696" s="172">
        <f t="shared" si="12"/>
        <v>0.33333333333333331</v>
      </c>
      <c r="Z4696" s="172">
        <f t="shared" si="12"/>
        <v>0.33333333333333331</v>
      </c>
      <c r="AA4696" s="195"/>
      <c r="AB4696" s="159"/>
    </row>
    <row r="4697" spans="1:28" ht="12.75" customHeight="1" x14ac:dyDescent="0.3">
      <c r="A4697" s="161">
        <v>697</v>
      </c>
      <c r="B4697" s="159" t="s">
        <v>3255</v>
      </c>
      <c r="C4697" s="160" t="s">
        <v>3256</v>
      </c>
      <c r="D4697" s="160" t="s">
        <v>618</v>
      </c>
      <c r="E4697" s="545">
        <v>9.23</v>
      </c>
      <c r="F4697" s="161">
        <v>318.33</v>
      </c>
      <c r="G4697" s="191"/>
      <c r="H4697" s="191">
        <v>8.3733333312400006E-11</v>
      </c>
      <c r="I4697" s="191">
        <v>400</v>
      </c>
      <c r="J4697" s="191"/>
      <c r="K4697" s="191">
        <v>1148.1536214968839</v>
      </c>
      <c r="L4697" s="191"/>
      <c r="M4697" s="191"/>
      <c r="N4697" s="191"/>
      <c r="O4697" s="191"/>
      <c r="P4697" s="191"/>
      <c r="Q4697" s="191">
        <v>6.3119362499999991E-5</v>
      </c>
      <c r="R4697" s="191">
        <v>2.1393431498763744E-7</v>
      </c>
      <c r="S4697" s="191">
        <v>2.3770479443070826E-8</v>
      </c>
      <c r="T4697" s="191">
        <v>1.0696715749381872E-7</v>
      </c>
      <c r="U4697" s="439"/>
      <c r="V4697" s="439"/>
      <c r="W4697" s="178">
        <v>30000</v>
      </c>
      <c r="X4697" s="172">
        <f t="shared" si="12"/>
        <v>0.33333333333333331</v>
      </c>
      <c r="Y4697" s="172">
        <f t="shared" si="12"/>
        <v>0.33333333333333331</v>
      </c>
      <c r="Z4697" s="172">
        <f t="shared" si="12"/>
        <v>0.33333333333333331</v>
      </c>
      <c r="AA4697" s="195"/>
      <c r="AB4697" s="159"/>
    </row>
    <row r="4698" spans="1:28" ht="12.75" customHeight="1" x14ac:dyDescent="0.3">
      <c r="A4698" s="161">
        <v>698</v>
      </c>
      <c r="B4698" s="159" t="s">
        <v>3257</v>
      </c>
      <c r="C4698" s="160" t="s">
        <v>3258</v>
      </c>
      <c r="D4698" s="160" t="s">
        <v>618</v>
      </c>
      <c r="E4698" s="545">
        <v>9.3000000000000007</v>
      </c>
      <c r="F4698" s="161">
        <v>168.04</v>
      </c>
      <c r="G4698" s="191"/>
      <c r="H4698" s="191">
        <v>21199.9999947</v>
      </c>
      <c r="I4698" s="191">
        <v>7770</v>
      </c>
      <c r="J4698" s="191"/>
      <c r="K4698" s="191">
        <v>45.708818961487509</v>
      </c>
      <c r="L4698" s="191"/>
      <c r="M4698" s="191"/>
      <c r="N4698" s="191"/>
      <c r="O4698" s="191"/>
      <c r="P4698" s="191"/>
      <c r="Q4698" s="191">
        <v>1.9350000000000001E-8</v>
      </c>
      <c r="R4698" s="191">
        <v>1.3370894686727339E-7</v>
      </c>
      <c r="S4698" s="191">
        <v>1.4856549651919266E-8</v>
      </c>
      <c r="T4698" s="191">
        <v>6.6854473433636697E-8</v>
      </c>
      <c r="U4698" s="439"/>
      <c r="V4698" s="439"/>
      <c r="W4698" s="178">
        <v>30000</v>
      </c>
      <c r="X4698" s="172">
        <f t="shared" si="12"/>
        <v>0.33333333333333331</v>
      </c>
      <c r="Y4698" s="172">
        <f t="shared" si="12"/>
        <v>0.33333333333333331</v>
      </c>
      <c r="Z4698" s="172">
        <f t="shared" si="12"/>
        <v>0.33333333333333331</v>
      </c>
      <c r="AA4698" s="195"/>
      <c r="AB4698" s="159"/>
    </row>
    <row r="4699" spans="1:28" ht="12.75" customHeight="1" x14ac:dyDescent="0.3">
      <c r="A4699" s="161">
        <v>699</v>
      </c>
      <c r="B4699" s="159" t="s">
        <v>3260</v>
      </c>
      <c r="C4699" s="160" t="s">
        <v>3261</v>
      </c>
      <c r="D4699" s="160" t="s">
        <v>618</v>
      </c>
      <c r="E4699" s="545">
        <v>9.32</v>
      </c>
      <c r="F4699" s="161">
        <v>124.14</v>
      </c>
      <c r="G4699" s="191"/>
      <c r="H4699" s="191">
        <v>0.27199999993200003</v>
      </c>
      <c r="I4699" s="191">
        <v>24900</v>
      </c>
      <c r="J4699" s="191"/>
      <c r="K4699" s="191">
        <v>23.442288153199236</v>
      </c>
      <c r="L4699" s="191"/>
      <c r="M4699" s="191"/>
      <c r="N4699" s="191"/>
      <c r="O4699" s="191"/>
      <c r="P4699" s="191"/>
      <c r="Q4699" s="191">
        <v>1.17E-4</v>
      </c>
      <c r="R4699" s="191">
        <v>5.3483578746909358E-7</v>
      </c>
      <c r="S4699" s="191">
        <v>5.9426198607677063E-8</v>
      </c>
      <c r="T4699" s="191">
        <v>2.6741789373454679E-7</v>
      </c>
      <c r="U4699" s="439"/>
      <c r="V4699" s="439"/>
      <c r="W4699" s="178">
        <v>30000</v>
      </c>
      <c r="X4699" s="172">
        <f t="shared" si="12"/>
        <v>0.33333333333333331</v>
      </c>
      <c r="Y4699" s="172">
        <f t="shared" si="12"/>
        <v>0.33333333333333331</v>
      </c>
      <c r="Z4699" s="172">
        <f t="shared" si="12"/>
        <v>0.33333333333333331</v>
      </c>
      <c r="AA4699" s="195"/>
      <c r="AB4699" s="159"/>
    </row>
    <row r="4700" spans="1:28" ht="12.75" customHeight="1" x14ac:dyDescent="0.3">
      <c r="A4700" s="161">
        <v>700</v>
      </c>
      <c r="B4700" s="159" t="s">
        <v>3262</v>
      </c>
      <c r="C4700" s="160" t="s">
        <v>3263</v>
      </c>
      <c r="D4700" s="160" t="s">
        <v>618</v>
      </c>
      <c r="E4700" s="545">
        <v>9.32</v>
      </c>
      <c r="F4700" s="161">
        <v>240.22</v>
      </c>
      <c r="G4700" s="191"/>
      <c r="H4700" s="191">
        <v>3.2399999991899997E-6</v>
      </c>
      <c r="I4700" s="191">
        <v>9.6100000000000005E-2</v>
      </c>
      <c r="J4700" s="191"/>
      <c r="K4700" s="191">
        <v>8709.6358995608189</v>
      </c>
      <c r="L4700" s="191"/>
      <c r="M4700" s="191"/>
      <c r="N4700" s="191"/>
      <c r="O4700" s="191"/>
      <c r="P4700" s="191"/>
      <c r="Q4700" s="191">
        <v>7.3837274999999995E-6</v>
      </c>
      <c r="R4700" s="191">
        <v>2.1393431498763744E-7</v>
      </c>
      <c r="S4700" s="191">
        <v>2.3770479443070826E-8</v>
      </c>
      <c r="T4700" s="191">
        <v>1.0696715749381872E-7</v>
      </c>
      <c r="U4700" s="439"/>
      <c r="V4700" s="439"/>
      <c r="W4700" s="178">
        <v>30000</v>
      </c>
      <c r="X4700" s="172">
        <f t="shared" si="12"/>
        <v>0.33333333333333331</v>
      </c>
      <c r="Y4700" s="172">
        <f t="shared" si="12"/>
        <v>0.33333333333333331</v>
      </c>
      <c r="Z4700" s="172">
        <f t="shared" si="12"/>
        <v>0.33333333333333331</v>
      </c>
      <c r="AA4700" s="195"/>
      <c r="AB4700" s="159"/>
    </row>
    <row r="4701" spans="1:28" ht="12.75" customHeight="1" x14ac:dyDescent="0.3">
      <c r="A4701" s="161">
        <v>701</v>
      </c>
      <c r="B4701" s="159" t="s">
        <v>3259</v>
      </c>
      <c r="C4701" s="160" t="s">
        <v>1576</v>
      </c>
      <c r="D4701" s="160" t="s">
        <v>618</v>
      </c>
      <c r="E4701" s="545">
        <v>9.32</v>
      </c>
      <c r="F4701" s="161">
        <v>110.11</v>
      </c>
      <c r="G4701" s="191"/>
      <c r="H4701" s="191">
        <v>6.5199999983699991E-2</v>
      </c>
      <c r="I4701" s="191">
        <v>717000</v>
      </c>
      <c r="J4701" s="191"/>
      <c r="K4701" s="191">
        <v>6.3095734448019343</v>
      </c>
      <c r="L4701" s="191"/>
      <c r="M4701" s="191"/>
      <c r="N4701" s="191"/>
      <c r="O4701" s="191"/>
      <c r="P4701" s="191"/>
      <c r="Q4701" s="191">
        <v>1.5021000000000001E-4</v>
      </c>
      <c r="R4701" s="191">
        <v>5.3483578746909358E-7</v>
      </c>
      <c r="S4701" s="191">
        <v>5.9426198607677063E-8</v>
      </c>
      <c r="T4701" s="191">
        <v>2.6741789373454679E-7</v>
      </c>
      <c r="U4701" s="439"/>
      <c r="V4701" s="439"/>
      <c r="W4701" s="178">
        <v>30000</v>
      </c>
      <c r="X4701" s="172">
        <f t="shared" si="12"/>
        <v>0.33333333333333331</v>
      </c>
      <c r="Y4701" s="172">
        <f t="shared" si="12"/>
        <v>0.33333333333333331</v>
      </c>
      <c r="Z4701" s="172">
        <f t="shared" si="12"/>
        <v>0.33333333333333331</v>
      </c>
      <c r="AA4701" s="195"/>
      <c r="AB4701" s="159"/>
    </row>
    <row r="4702" spans="1:28" ht="12.75" customHeight="1" x14ac:dyDescent="0.3">
      <c r="A4702" s="161">
        <v>702</v>
      </c>
      <c r="B4702" s="159" t="s">
        <v>3264</v>
      </c>
      <c r="C4702" s="160" t="s">
        <v>3265</v>
      </c>
      <c r="D4702" s="160" t="s">
        <v>618</v>
      </c>
      <c r="E4702" s="545">
        <v>9.34</v>
      </c>
      <c r="F4702" s="161">
        <v>144.16999999999999</v>
      </c>
      <c r="G4702" s="191"/>
      <c r="H4702" s="191">
        <v>3.6533333324199994E-2</v>
      </c>
      <c r="I4702" s="191">
        <v>866</v>
      </c>
      <c r="J4702" s="191"/>
      <c r="K4702" s="191">
        <v>707.94578438413873</v>
      </c>
      <c r="L4702" s="191"/>
      <c r="M4702" s="191"/>
      <c r="N4702" s="191"/>
      <c r="O4702" s="191"/>
      <c r="P4702" s="191"/>
      <c r="Q4702" s="191">
        <v>4.125E-4</v>
      </c>
      <c r="R4702" s="191">
        <v>5.3483578746909358E-7</v>
      </c>
      <c r="S4702" s="191">
        <v>5.9426198607677063E-8</v>
      </c>
      <c r="T4702" s="191">
        <v>1.5136861909502649E-5</v>
      </c>
      <c r="U4702" s="439"/>
      <c r="V4702" s="439"/>
      <c r="W4702" s="178">
        <v>30000</v>
      </c>
      <c r="X4702" s="172">
        <f t="shared" si="12"/>
        <v>0.33333333333333331</v>
      </c>
      <c r="Y4702" s="172">
        <f t="shared" si="12"/>
        <v>0.33333333333333331</v>
      </c>
      <c r="Z4702" s="172">
        <f t="shared" si="12"/>
        <v>0.33333333333333331</v>
      </c>
      <c r="AA4702" s="195"/>
      <c r="AB4702" s="159"/>
    </row>
    <row r="4703" spans="1:28" ht="12.75" customHeight="1" x14ac:dyDescent="0.3">
      <c r="A4703" s="161">
        <v>703</v>
      </c>
      <c r="B4703" s="159" t="s">
        <v>3266</v>
      </c>
      <c r="C4703" s="160" t="s">
        <v>3267</v>
      </c>
      <c r="D4703" s="160" t="s">
        <v>618</v>
      </c>
      <c r="E4703" s="545">
        <v>9.3699999999999992</v>
      </c>
      <c r="F4703" s="161">
        <v>160.16999999999999</v>
      </c>
      <c r="G4703" s="191"/>
      <c r="H4703" s="191">
        <v>1.1359999997159998E-4</v>
      </c>
      <c r="I4703" s="191">
        <v>1000</v>
      </c>
      <c r="J4703" s="191"/>
      <c r="K4703" s="191">
        <v>79.432823472428197</v>
      </c>
      <c r="L4703" s="191"/>
      <c r="M4703" s="191"/>
      <c r="N4703" s="191"/>
      <c r="O4703" s="191"/>
      <c r="P4703" s="191"/>
      <c r="Q4703" s="191">
        <v>1.5021000000000001E-4</v>
      </c>
      <c r="R4703" s="191">
        <v>5.3483578746909358E-7</v>
      </c>
      <c r="S4703" s="191">
        <v>5.9426198607677063E-8</v>
      </c>
      <c r="T4703" s="191">
        <v>2.6741789373454679E-7</v>
      </c>
      <c r="U4703" s="439"/>
      <c r="V4703" s="439"/>
      <c r="W4703" s="178">
        <v>30000</v>
      </c>
      <c r="X4703" s="172">
        <f t="shared" si="12"/>
        <v>0.33333333333333331</v>
      </c>
      <c r="Y4703" s="172">
        <f t="shared" si="12"/>
        <v>0.33333333333333331</v>
      </c>
      <c r="Z4703" s="172">
        <f t="shared" si="12"/>
        <v>0.33333333333333331</v>
      </c>
      <c r="AA4703" s="195"/>
      <c r="AB4703" s="159"/>
    </row>
    <row r="4704" spans="1:28" ht="12.75" customHeight="1" x14ac:dyDescent="0.3">
      <c r="A4704" s="161">
        <v>704</v>
      </c>
      <c r="B4704" s="159" t="s">
        <v>3268</v>
      </c>
      <c r="C4704" s="160" t="s">
        <v>3269</v>
      </c>
      <c r="D4704" s="160" t="s">
        <v>618</v>
      </c>
      <c r="E4704" s="545">
        <v>9.41</v>
      </c>
      <c r="F4704" s="161">
        <v>128.56</v>
      </c>
      <c r="G4704" s="191"/>
      <c r="H4704" s="191">
        <v>11.866666663699998</v>
      </c>
      <c r="I4704" s="191">
        <v>24000</v>
      </c>
      <c r="J4704" s="191"/>
      <c r="K4704" s="191">
        <v>245.4708915685033</v>
      </c>
      <c r="L4704" s="191"/>
      <c r="M4704" s="191"/>
      <c r="N4704" s="191"/>
      <c r="O4704" s="191"/>
      <c r="P4704" s="191"/>
      <c r="Q4704" s="191">
        <v>7.4029575000000005E-6</v>
      </c>
      <c r="R4704" s="191">
        <v>5.3483578746909358E-7</v>
      </c>
      <c r="S4704" s="191">
        <v>5.9426198607677063E-8</v>
      </c>
      <c r="T4704" s="191">
        <v>2.6741789373454679E-7</v>
      </c>
      <c r="U4704" s="439"/>
      <c r="V4704" s="439"/>
      <c r="W4704" s="178">
        <v>30000</v>
      </c>
      <c r="X4704" s="172">
        <f t="shared" si="12"/>
        <v>0.33333333333333331</v>
      </c>
      <c r="Y4704" s="172">
        <f t="shared" si="12"/>
        <v>0.33333333333333331</v>
      </c>
      <c r="Z4704" s="172">
        <f t="shared" si="12"/>
        <v>0.33333333333333331</v>
      </c>
      <c r="AA4704" s="195"/>
      <c r="AB4704" s="159"/>
    </row>
    <row r="4705" spans="1:28" ht="12.75" customHeight="1" x14ac:dyDescent="0.3">
      <c r="A4705" s="161">
        <v>705</v>
      </c>
      <c r="B4705" s="159" t="s">
        <v>3270</v>
      </c>
      <c r="C4705" s="160" t="s">
        <v>3271</v>
      </c>
      <c r="D4705" s="160" t="s">
        <v>618</v>
      </c>
      <c r="E4705" s="545">
        <v>9.42</v>
      </c>
      <c r="F4705" s="161">
        <v>186.21</v>
      </c>
      <c r="G4705" s="191"/>
      <c r="H4705" s="191">
        <v>1.53333333295E-6</v>
      </c>
      <c r="I4705" s="191">
        <v>798.2</v>
      </c>
      <c r="J4705" s="191"/>
      <c r="K4705" s="191">
        <v>630.95734448019323</v>
      </c>
      <c r="L4705" s="191"/>
      <c r="M4705" s="191"/>
      <c r="N4705" s="191"/>
      <c r="O4705" s="191"/>
      <c r="P4705" s="191"/>
      <c r="Q4705" s="191">
        <v>3.5923402499999999E-5</v>
      </c>
      <c r="R4705" s="191">
        <v>5.3483578746909358E-7</v>
      </c>
      <c r="S4705" s="191">
        <v>5.9426198607677063E-8</v>
      </c>
      <c r="T4705" s="191">
        <v>2.6741789373454679E-7</v>
      </c>
      <c r="U4705" s="439"/>
      <c r="V4705" s="439"/>
      <c r="W4705" s="178">
        <v>30000</v>
      </c>
      <c r="X4705" s="172">
        <f t="shared" si="12"/>
        <v>0.33333333333333331</v>
      </c>
      <c r="Y4705" s="172">
        <f t="shared" si="12"/>
        <v>0.33333333333333331</v>
      </c>
      <c r="Z4705" s="172">
        <f t="shared" si="12"/>
        <v>0.33333333333333331</v>
      </c>
      <c r="AA4705" s="195"/>
      <c r="AB4705" s="159"/>
    </row>
    <row r="4706" spans="1:28" ht="12.75" customHeight="1" x14ac:dyDescent="0.3">
      <c r="A4706" s="161">
        <v>706</v>
      </c>
      <c r="B4706" s="159" t="s">
        <v>3272</v>
      </c>
      <c r="C4706" s="160" t="s">
        <v>3273</v>
      </c>
      <c r="D4706" s="160" t="s">
        <v>618</v>
      </c>
      <c r="E4706" s="545">
        <v>9.42</v>
      </c>
      <c r="F4706" s="161">
        <v>174.16</v>
      </c>
      <c r="G4706" s="191"/>
      <c r="H4706" s="191">
        <v>3.7466666657299998E-4</v>
      </c>
      <c r="I4706" s="191">
        <v>5121</v>
      </c>
      <c r="J4706" s="191"/>
      <c r="K4706" s="191">
        <v>83.176377110267126</v>
      </c>
      <c r="L4706" s="191"/>
      <c r="M4706" s="191"/>
      <c r="N4706" s="191"/>
      <c r="O4706" s="191"/>
      <c r="P4706" s="191"/>
      <c r="Q4706" s="191">
        <v>1.14012E-5</v>
      </c>
      <c r="R4706" s="191">
        <v>5.3483578746909358E-7</v>
      </c>
      <c r="S4706" s="191">
        <v>5.9426198607677063E-8</v>
      </c>
      <c r="T4706" s="191">
        <v>2.6741789373454679E-7</v>
      </c>
      <c r="U4706" s="439"/>
      <c r="V4706" s="439"/>
      <c r="W4706" s="178">
        <v>30000</v>
      </c>
      <c r="X4706" s="172">
        <f t="shared" ref="X4706:Z4769" si="13">1/3</f>
        <v>0.33333333333333331</v>
      </c>
      <c r="Y4706" s="172">
        <f t="shared" si="13"/>
        <v>0.33333333333333331</v>
      </c>
      <c r="Z4706" s="172">
        <f t="shared" si="13"/>
        <v>0.33333333333333331</v>
      </c>
      <c r="AA4706" s="195"/>
      <c r="AB4706" s="159"/>
    </row>
    <row r="4707" spans="1:28" ht="12.75" customHeight="1" x14ac:dyDescent="0.3">
      <c r="A4707" s="161">
        <v>707</v>
      </c>
      <c r="B4707" s="159" t="s">
        <v>3274</v>
      </c>
      <c r="C4707" s="160" t="s">
        <v>3275</v>
      </c>
      <c r="D4707" s="160" t="s">
        <v>618</v>
      </c>
      <c r="E4707" s="545">
        <v>9.4499999999999993</v>
      </c>
      <c r="F4707" s="161">
        <v>110.11</v>
      </c>
      <c r="G4707" s="191"/>
      <c r="H4707" s="191">
        <v>0.48799999987799997</v>
      </c>
      <c r="I4707" s="191">
        <v>461000</v>
      </c>
      <c r="J4707" s="191"/>
      <c r="K4707" s="191">
        <v>7.5857757502918375</v>
      </c>
      <c r="L4707" s="191"/>
      <c r="M4707" s="191"/>
      <c r="N4707" s="191"/>
      <c r="O4707" s="191"/>
      <c r="P4707" s="191"/>
      <c r="Q4707" s="191">
        <v>7.7999999999999999E-5</v>
      </c>
      <c r="R4707" s="191">
        <v>5.3483578746909358E-7</v>
      </c>
      <c r="S4707" s="191">
        <v>5.9426198607677063E-8</v>
      </c>
      <c r="T4707" s="191">
        <v>2.6741789373454679E-7</v>
      </c>
      <c r="U4707" s="439"/>
      <c r="V4707" s="439"/>
      <c r="W4707" s="178">
        <v>30000</v>
      </c>
      <c r="X4707" s="172">
        <f t="shared" si="13"/>
        <v>0.33333333333333331</v>
      </c>
      <c r="Y4707" s="172">
        <f t="shared" si="13"/>
        <v>0.33333333333333331</v>
      </c>
      <c r="Z4707" s="172">
        <f t="shared" si="13"/>
        <v>0.33333333333333331</v>
      </c>
      <c r="AA4707" s="195"/>
      <c r="AB4707" s="159"/>
    </row>
    <row r="4708" spans="1:28" ht="12.75" customHeight="1" x14ac:dyDescent="0.3">
      <c r="A4708" s="161">
        <v>708</v>
      </c>
      <c r="B4708" s="159" t="s">
        <v>3278</v>
      </c>
      <c r="C4708" s="160" t="s">
        <v>3279</v>
      </c>
      <c r="D4708" s="160" t="s">
        <v>618</v>
      </c>
      <c r="E4708" s="545">
        <v>9.4700000000000006</v>
      </c>
      <c r="F4708" s="161">
        <v>224.22</v>
      </c>
      <c r="G4708" s="191"/>
      <c r="H4708" s="191">
        <v>2.7866666659699999E-5</v>
      </c>
      <c r="I4708" s="191">
        <v>8.5</v>
      </c>
      <c r="J4708" s="191"/>
      <c r="K4708" s="191">
        <v>3311.3112148259115</v>
      </c>
      <c r="L4708" s="191"/>
      <c r="M4708" s="191"/>
      <c r="N4708" s="191"/>
      <c r="O4708" s="191"/>
      <c r="P4708" s="191"/>
      <c r="Q4708" s="191">
        <v>1.0271107499999999E-5</v>
      </c>
      <c r="R4708" s="191">
        <v>2.1393431498763744E-7</v>
      </c>
      <c r="S4708" s="191">
        <v>2.3770479443070826E-8</v>
      </c>
      <c r="T4708" s="191">
        <v>1.0696715749381872E-7</v>
      </c>
      <c r="U4708" s="439"/>
      <c r="V4708" s="439"/>
      <c r="W4708" s="178">
        <v>30000</v>
      </c>
      <c r="X4708" s="172">
        <f t="shared" si="13"/>
        <v>0.33333333333333331</v>
      </c>
      <c r="Y4708" s="172">
        <f t="shared" si="13"/>
        <v>0.33333333333333331</v>
      </c>
      <c r="Z4708" s="172">
        <f t="shared" si="13"/>
        <v>0.33333333333333331</v>
      </c>
      <c r="AA4708" s="195"/>
      <c r="AB4708" s="159"/>
    </row>
    <row r="4709" spans="1:28" ht="12.75" customHeight="1" x14ac:dyDescent="0.3">
      <c r="A4709" s="161">
        <v>709</v>
      </c>
      <c r="B4709" s="159" t="s">
        <v>3276</v>
      </c>
      <c r="C4709" s="160" t="s">
        <v>3277</v>
      </c>
      <c r="D4709" s="160" t="s">
        <v>618</v>
      </c>
      <c r="E4709" s="545">
        <v>9.4700000000000006</v>
      </c>
      <c r="F4709" s="161">
        <v>268.36</v>
      </c>
      <c r="G4709" s="191"/>
      <c r="H4709" s="191">
        <v>1.1519999997119998E-6</v>
      </c>
      <c r="I4709" s="191">
        <v>12</v>
      </c>
      <c r="J4709" s="191"/>
      <c r="K4709" s="191">
        <v>117489.75549395311</v>
      </c>
      <c r="L4709" s="191"/>
      <c r="M4709" s="191"/>
      <c r="N4709" s="191"/>
      <c r="O4709" s="191"/>
      <c r="P4709" s="191"/>
      <c r="Q4709" s="191">
        <v>1.3136121000000001E-4</v>
      </c>
      <c r="R4709" s="191">
        <v>2.1393431498763744E-7</v>
      </c>
      <c r="S4709" s="191">
        <v>2.3770479443070826E-8</v>
      </c>
      <c r="T4709" s="191">
        <v>1.0696715749381872E-7</v>
      </c>
      <c r="U4709" s="439"/>
      <c r="V4709" s="439"/>
      <c r="W4709" s="178">
        <v>30000</v>
      </c>
      <c r="X4709" s="172">
        <f t="shared" si="13"/>
        <v>0.33333333333333331</v>
      </c>
      <c r="Y4709" s="172">
        <f t="shared" si="13"/>
        <v>0.33333333333333331</v>
      </c>
      <c r="Z4709" s="172">
        <f t="shared" si="13"/>
        <v>0.33333333333333331</v>
      </c>
      <c r="AA4709" s="195"/>
      <c r="AB4709" s="159"/>
    </row>
    <row r="4710" spans="1:28" ht="12.75" customHeight="1" x14ac:dyDescent="0.3">
      <c r="A4710" s="161">
        <v>710</v>
      </c>
      <c r="B4710" s="159" t="s">
        <v>3280</v>
      </c>
      <c r="C4710" s="160" t="s">
        <v>3281</v>
      </c>
      <c r="D4710" s="160" t="s">
        <v>618</v>
      </c>
      <c r="E4710" s="545">
        <v>9.5399999999999991</v>
      </c>
      <c r="F4710" s="161">
        <v>307.31</v>
      </c>
      <c r="G4710" s="191"/>
      <c r="H4710" s="191">
        <v>3.51999999912E-8</v>
      </c>
      <c r="I4710" s="191">
        <v>4.8570000000000002E-2</v>
      </c>
      <c r="J4710" s="191"/>
      <c r="K4710" s="191">
        <v>2818382.9312644606</v>
      </c>
      <c r="L4710" s="191"/>
      <c r="M4710" s="191"/>
      <c r="N4710" s="191"/>
      <c r="O4710" s="191"/>
      <c r="P4710" s="191"/>
      <c r="Q4710" s="191">
        <v>1.3372214999999998E-5</v>
      </c>
      <c r="R4710" s="191">
        <v>1.3370894686727339E-7</v>
      </c>
      <c r="S4710" s="191">
        <v>1.4856549651919266E-8</v>
      </c>
      <c r="T4710" s="191">
        <v>6.6854473433636697E-8</v>
      </c>
      <c r="U4710" s="439"/>
      <c r="V4710" s="439"/>
      <c r="W4710" s="178">
        <v>30000</v>
      </c>
      <c r="X4710" s="172">
        <f t="shared" si="13"/>
        <v>0.33333333333333331</v>
      </c>
      <c r="Y4710" s="172">
        <f t="shared" si="13"/>
        <v>0.33333333333333331</v>
      </c>
      <c r="Z4710" s="172">
        <f t="shared" si="13"/>
        <v>0.33333333333333331</v>
      </c>
      <c r="AA4710" s="195"/>
      <c r="AB4710" s="159"/>
    </row>
    <row r="4711" spans="1:28" ht="12.75" customHeight="1" x14ac:dyDescent="0.3">
      <c r="A4711" s="161">
        <v>711</v>
      </c>
      <c r="B4711" s="159" t="s">
        <v>3282</v>
      </c>
      <c r="C4711" s="160" t="s">
        <v>3283</v>
      </c>
      <c r="D4711" s="160" t="s">
        <v>618</v>
      </c>
      <c r="E4711" s="545">
        <v>9.5500000000000007</v>
      </c>
      <c r="F4711" s="161">
        <v>170.21</v>
      </c>
      <c r="G4711" s="191"/>
      <c r="H4711" s="191">
        <v>2.3066666660899997E-3</v>
      </c>
      <c r="I4711" s="191">
        <v>56.2</v>
      </c>
      <c r="J4711" s="191"/>
      <c r="K4711" s="191">
        <v>1584.8931924611156</v>
      </c>
      <c r="L4711" s="191"/>
      <c r="M4711" s="191"/>
      <c r="N4711" s="191"/>
      <c r="O4711" s="191"/>
      <c r="P4711" s="191"/>
      <c r="Q4711" s="191">
        <v>2.0502209999999999E-5</v>
      </c>
      <c r="R4711" s="191">
        <v>5.3483578746909358E-7</v>
      </c>
      <c r="S4711" s="191">
        <v>5.9426198607677063E-8</v>
      </c>
      <c r="T4711" s="191">
        <v>2.6741789373454679E-7</v>
      </c>
      <c r="U4711" s="439"/>
      <c r="V4711" s="439"/>
      <c r="W4711" s="178">
        <v>30000</v>
      </c>
      <c r="X4711" s="172">
        <f t="shared" si="13"/>
        <v>0.33333333333333331</v>
      </c>
      <c r="Y4711" s="172">
        <f t="shared" si="13"/>
        <v>0.33333333333333331</v>
      </c>
      <c r="Z4711" s="172">
        <f t="shared" si="13"/>
        <v>0.33333333333333331</v>
      </c>
      <c r="AA4711" s="195"/>
      <c r="AB4711" s="159"/>
    </row>
    <row r="4712" spans="1:28" ht="12.75" customHeight="1" x14ac:dyDescent="0.3">
      <c r="A4712" s="161">
        <v>712</v>
      </c>
      <c r="B4712" s="159" t="s">
        <v>3284</v>
      </c>
      <c r="C4712" s="160" t="s">
        <v>3285</v>
      </c>
      <c r="D4712" s="160" t="s">
        <v>618</v>
      </c>
      <c r="E4712" s="545">
        <v>9.5500000000000007</v>
      </c>
      <c r="F4712" s="161">
        <v>142.59</v>
      </c>
      <c r="G4712" s="191"/>
      <c r="H4712" s="191">
        <v>6.6666666650000002</v>
      </c>
      <c r="I4712" s="191">
        <v>3830</v>
      </c>
      <c r="J4712" s="191"/>
      <c r="K4712" s="191">
        <v>1258.925411794168</v>
      </c>
      <c r="L4712" s="191"/>
      <c r="M4712" s="191"/>
      <c r="N4712" s="191"/>
      <c r="O4712" s="191"/>
      <c r="P4712" s="191"/>
      <c r="Q4712" s="191">
        <v>1.9259032500000002E-5</v>
      </c>
      <c r="R4712" s="191">
        <v>2.1393431498763744E-7</v>
      </c>
      <c r="S4712" s="191">
        <v>2.3770479443070826E-8</v>
      </c>
      <c r="T4712" s="191">
        <v>1.0696715749381872E-7</v>
      </c>
      <c r="U4712" s="439"/>
      <c r="V4712" s="439"/>
      <c r="W4712" s="178">
        <v>30000</v>
      </c>
      <c r="X4712" s="172">
        <f t="shared" si="13"/>
        <v>0.33333333333333331</v>
      </c>
      <c r="Y4712" s="172">
        <f t="shared" si="13"/>
        <v>0.33333333333333331</v>
      </c>
      <c r="Z4712" s="172">
        <f t="shared" si="13"/>
        <v>0.33333333333333331</v>
      </c>
      <c r="AA4712" s="195"/>
      <c r="AB4712" s="159"/>
    </row>
    <row r="4713" spans="1:28" ht="12.75" customHeight="1" x14ac:dyDescent="0.3">
      <c r="A4713" s="161">
        <v>713</v>
      </c>
      <c r="B4713" s="159" t="s">
        <v>3286</v>
      </c>
      <c r="C4713" s="160" t="s">
        <v>3287</v>
      </c>
      <c r="D4713" s="160" t="s">
        <v>618</v>
      </c>
      <c r="E4713" s="545">
        <v>9.65</v>
      </c>
      <c r="F4713" s="161">
        <v>124.14</v>
      </c>
      <c r="G4713" s="191"/>
      <c r="H4713" s="191">
        <v>2.6133333326799999</v>
      </c>
      <c r="I4713" s="191">
        <v>497</v>
      </c>
      <c r="J4713" s="191"/>
      <c r="K4713" s="191">
        <v>21.877616239495538</v>
      </c>
      <c r="L4713" s="191"/>
      <c r="M4713" s="191"/>
      <c r="N4713" s="191"/>
      <c r="O4713" s="191"/>
      <c r="P4713" s="191"/>
      <c r="Q4713" s="191">
        <v>1.5072720000000001E-4</v>
      </c>
      <c r="R4713" s="191">
        <v>5.3483578746909358E-7</v>
      </c>
      <c r="S4713" s="191">
        <v>5.9426198607677063E-8</v>
      </c>
      <c r="T4713" s="191">
        <v>2.6741789373454679E-7</v>
      </c>
      <c r="U4713" s="439"/>
      <c r="V4713" s="439"/>
      <c r="W4713" s="178">
        <v>30000</v>
      </c>
      <c r="X4713" s="172">
        <f t="shared" si="13"/>
        <v>0.33333333333333331</v>
      </c>
      <c r="Y4713" s="172">
        <f t="shared" si="13"/>
        <v>0.33333333333333331</v>
      </c>
      <c r="Z4713" s="172">
        <f t="shared" si="13"/>
        <v>0.33333333333333331</v>
      </c>
      <c r="AA4713" s="195"/>
      <c r="AB4713" s="159"/>
    </row>
    <row r="4714" spans="1:28" ht="12.75" customHeight="1" x14ac:dyDescent="0.3">
      <c r="A4714" s="161">
        <v>714</v>
      </c>
      <c r="B4714" s="159" t="s">
        <v>3288</v>
      </c>
      <c r="C4714" s="160" t="s">
        <v>3289</v>
      </c>
      <c r="D4714" s="160" t="s">
        <v>618</v>
      </c>
      <c r="E4714" s="545">
        <v>9.66</v>
      </c>
      <c r="F4714" s="161">
        <v>147.38999999999999</v>
      </c>
      <c r="G4714" s="191"/>
      <c r="H4714" s="191">
        <v>6666.6666649999997</v>
      </c>
      <c r="I4714" s="191">
        <v>30000</v>
      </c>
      <c r="J4714" s="191"/>
      <c r="K4714" s="191">
        <v>9.7723722095581103</v>
      </c>
      <c r="L4714" s="191"/>
      <c r="M4714" s="191"/>
      <c r="N4714" s="191"/>
      <c r="O4714" s="191"/>
      <c r="P4714" s="191"/>
      <c r="Q4714" s="191">
        <v>1.1999999999999999E-6</v>
      </c>
      <c r="R4714" s="191">
        <v>1.3370894686727339E-7</v>
      </c>
      <c r="S4714" s="191">
        <v>1.4856549651919266E-8</v>
      </c>
      <c r="T4714" s="191">
        <v>6.6854473433636697E-8</v>
      </c>
      <c r="U4714" s="439"/>
      <c r="V4714" s="439"/>
      <c r="W4714" s="178">
        <v>30000</v>
      </c>
      <c r="X4714" s="172">
        <f t="shared" si="13"/>
        <v>0.33333333333333331</v>
      </c>
      <c r="Y4714" s="172">
        <f t="shared" si="13"/>
        <v>0.33333333333333331</v>
      </c>
      <c r="Z4714" s="172">
        <f t="shared" si="13"/>
        <v>0.33333333333333331</v>
      </c>
      <c r="AA4714" s="195"/>
      <c r="AB4714" s="159"/>
    </row>
    <row r="4715" spans="1:28" ht="12.75" customHeight="1" x14ac:dyDescent="0.3">
      <c r="A4715" s="161">
        <v>715</v>
      </c>
      <c r="B4715" s="159" t="s">
        <v>3290</v>
      </c>
      <c r="C4715" s="160" t="s">
        <v>3291</v>
      </c>
      <c r="D4715" s="160" t="s">
        <v>618</v>
      </c>
      <c r="E4715" s="545">
        <v>9.6999999999999993</v>
      </c>
      <c r="F4715" s="161">
        <v>156.61000000000001</v>
      </c>
      <c r="G4715" s="191"/>
      <c r="H4715" s="191">
        <v>0.23999999993999999</v>
      </c>
      <c r="I4715" s="191">
        <v>250</v>
      </c>
      <c r="J4715" s="191"/>
      <c r="K4715" s="191">
        <v>1862.0871366628687</v>
      </c>
      <c r="L4715" s="191"/>
      <c r="M4715" s="191"/>
      <c r="N4715" s="191"/>
      <c r="O4715" s="191"/>
      <c r="P4715" s="191"/>
      <c r="Q4715" s="191">
        <v>5.0046195000000002E-5</v>
      </c>
      <c r="R4715" s="191">
        <v>2.1393431498763744E-7</v>
      </c>
      <c r="S4715" s="191">
        <v>2.3770479443070826E-8</v>
      </c>
      <c r="T4715" s="191">
        <v>1.0696715749381872E-7</v>
      </c>
      <c r="U4715" s="439"/>
      <c r="V4715" s="439"/>
      <c r="W4715" s="178">
        <v>30000</v>
      </c>
      <c r="X4715" s="172">
        <f t="shared" si="13"/>
        <v>0.33333333333333331</v>
      </c>
      <c r="Y4715" s="172">
        <f t="shared" si="13"/>
        <v>0.33333333333333331</v>
      </c>
      <c r="Z4715" s="172">
        <f t="shared" si="13"/>
        <v>0.33333333333333331</v>
      </c>
      <c r="AA4715" s="195"/>
      <c r="AB4715" s="159"/>
    </row>
    <row r="4716" spans="1:28" ht="12.75" customHeight="1" x14ac:dyDescent="0.3">
      <c r="A4716" s="161">
        <v>716</v>
      </c>
      <c r="B4716" s="159" t="s">
        <v>3292</v>
      </c>
      <c r="C4716" s="160" t="s">
        <v>1706</v>
      </c>
      <c r="D4716" s="160" t="s">
        <v>618</v>
      </c>
      <c r="E4716" s="545">
        <v>9.7100000000000009</v>
      </c>
      <c r="F4716" s="161">
        <v>142.59</v>
      </c>
      <c r="G4716" s="191"/>
      <c r="H4716" s="191">
        <v>3.1999999991999997</v>
      </c>
      <c r="I4716" s="191">
        <v>4000</v>
      </c>
      <c r="J4716" s="191"/>
      <c r="K4716" s="191">
        <v>602.55958607435775</v>
      </c>
      <c r="L4716" s="191"/>
      <c r="M4716" s="191"/>
      <c r="N4716" s="191"/>
      <c r="O4716" s="191"/>
      <c r="P4716" s="191"/>
      <c r="Q4716" s="191">
        <v>9.1532549999999995E-6</v>
      </c>
      <c r="R4716" s="191">
        <v>2.1393431498763744E-7</v>
      </c>
      <c r="S4716" s="191">
        <v>2.3770479443070826E-8</v>
      </c>
      <c r="T4716" s="191">
        <v>1.0696715749381872E-7</v>
      </c>
      <c r="U4716" s="439"/>
      <c r="V4716" s="439"/>
      <c r="W4716" s="178">
        <v>30000</v>
      </c>
      <c r="X4716" s="172">
        <f t="shared" si="13"/>
        <v>0.33333333333333331</v>
      </c>
      <c r="Y4716" s="172">
        <f t="shared" si="13"/>
        <v>0.33333333333333331</v>
      </c>
      <c r="Z4716" s="172">
        <f t="shared" si="13"/>
        <v>0.33333333333333331</v>
      </c>
      <c r="AA4716" s="195"/>
      <c r="AB4716" s="159"/>
    </row>
    <row r="4717" spans="1:28" ht="12.75" customHeight="1" x14ac:dyDescent="0.3">
      <c r="A4717" s="161">
        <v>717</v>
      </c>
      <c r="B4717" s="159" t="s">
        <v>3293</v>
      </c>
      <c r="C4717" s="160" t="s">
        <v>3294</v>
      </c>
      <c r="D4717" s="160" t="s">
        <v>618</v>
      </c>
      <c r="E4717" s="545">
        <v>9.7200000000000006</v>
      </c>
      <c r="F4717" s="161">
        <v>78.13</v>
      </c>
      <c r="G4717" s="191"/>
      <c r="H4717" s="191">
        <v>234.66666660799999</v>
      </c>
      <c r="I4717" s="191">
        <v>1000000</v>
      </c>
      <c r="J4717" s="191"/>
      <c r="K4717" s="191">
        <v>0.63095734448019325</v>
      </c>
      <c r="L4717" s="191"/>
      <c r="M4717" s="191"/>
      <c r="N4717" s="191"/>
      <c r="O4717" s="191"/>
      <c r="P4717" s="191"/>
      <c r="Q4717" s="191">
        <v>3.42162525E-5</v>
      </c>
      <c r="R4717" s="191">
        <v>5.3483578746909358E-7</v>
      </c>
      <c r="S4717" s="191">
        <v>5.9426198607677063E-8</v>
      </c>
      <c r="T4717" s="191">
        <v>2.6741789373454679E-7</v>
      </c>
      <c r="U4717" s="439"/>
      <c r="V4717" s="439"/>
      <c r="W4717" s="178">
        <v>30000</v>
      </c>
      <c r="X4717" s="172">
        <f t="shared" si="13"/>
        <v>0.33333333333333331</v>
      </c>
      <c r="Y4717" s="172">
        <f t="shared" si="13"/>
        <v>0.33333333333333331</v>
      </c>
      <c r="Z4717" s="172">
        <f t="shared" si="13"/>
        <v>0.33333333333333331</v>
      </c>
      <c r="AA4717" s="195"/>
      <c r="AB4717" s="159"/>
    </row>
    <row r="4718" spans="1:28" ht="12.75" customHeight="1" x14ac:dyDescent="0.3">
      <c r="A4718" s="161">
        <v>718</v>
      </c>
      <c r="B4718" s="159" t="s">
        <v>3295</v>
      </c>
      <c r="C4718" s="160" t="s">
        <v>3296</v>
      </c>
      <c r="D4718" s="160" t="s">
        <v>618</v>
      </c>
      <c r="E4718" s="545">
        <v>9.82</v>
      </c>
      <c r="F4718" s="161">
        <v>124.14</v>
      </c>
      <c r="G4718" s="191"/>
      <c r="H4718" s="191">
        <v>3.7999999990499994E-2</v>
      </c>
      <c r="I4718" s="191">
        <v>6700</v>
      </c>
      <c r="J4718" s="191"/>
      <c r="K4718" s="191">
        <v>1.778279410038923</v>
      </c>
      <c r="L4718" s="191"/>
      <c r="M4718" s="191"/>
      <c r="N4718" s="191"/>
      <c r="O4718" s="191"/>
      <c r="P4718" s="191"/>
      <c r="Q4718" s="191">
        <v>3.3114135000000004E-5</v>
      </c>
      <c r="R4718" s="191">
        <v>5.3483578746909358E-7</v>
      </c>
      <c r="S4718" s="191">
        <v>5.9426198607677063E-8</v>
      </c>
      <c r="T4718" s="191">
        <v>2.6741789373454679E-7</v>
      </c>
      <c r="U4718" s="439"/>
      <c r="V4718" s="439"/>
      <c r="W4718" s="178">
        <v>30000</v>
      </c>
      <c r="X4718" s="172">
        <f t="shared" si="13"/>
        <v>0.33333333333333331</v>
      </c>
      <c r="Y4718" s="172">
        <f t="shared" si="13"/>
        <v>0.33333333333333331</v>
      </c>
      <c r="Z4718" s="172">
        <f t="shared" si="13"/>
        <v>0.33333333333333331</v>
      </c>
      <c r="AA4718" s="195"/>
      <c r="AB4718" s="159"/>
    </row>
    <row r="4719" spans="1:28" ht="12.75" customHeight="1" x14ac:dyDescent="0.3">
      <c r="A4719" s="161">
        <v>719</v>
      </c>
      <c r="B4719" s="159" t="s">
        <v>3297</v>
      </c>
      <c r="C4719" s="160" t="s">
        <v>3298</v>
      </c>
      <c r="D4719" s="160" t="s">
        <v>618</v>
      </c>
      <c r="E4719" s="545">
        <v>9.9</v>
      </c>
      <c r="F4719" s="161">
        <v>636.48</v>
      </c>
      <c r="G4719" s="191"/>
      <c r="H4719" s="191">
        <v>1.175999999706E-26</v>
      </c>
      <c r="I4719" s="191">
        <v>512.4</v>
      </c>
      <c r="J4719" s="191"/>
      <c r="K4719" s="191">
        <v>0.64565422903465541</v>
      </c>
      <c r="L4719" s="191"/>
      <c r="M4719" s="191"/>
      <c r="N4719" s="191"/>
      <c r="O4719" s="191"/>
      <c r="P4719" s="191"/>
      <c r="Q4719" s="191">
        <v>2.0235924000000001E-4</v>
      </c>
      <c r="R4719" s="191">
        <v>5.3483578746909358E-7</v>
      </c>
      <c r="S4719" s="191">
        <v>5.9426198607677063E-8</v>
      </c>
      <c r="T4719" s="191">
        <v>2.6741789373454679E-7</v>
      </c>
      <c r="U4719" s="439"/>
      <c r="V4719" s="439"/>
      <c r="W4719" s="178">
        <v>30000</v>
      </c>
      <c r="X4719" s="172">
        <f t="shared" si="13"/>
        <v>0.33333333333333331</v>
      </c>
      <c r="Y4719" s="172">
        <f t="shared" si="13"/>
        <v>0.33333333333333331</v>
      </c>
      <c r="Z4719" s="172">
        <f t="shared" si="13"/>
        <v>0.33333333333333331</v>
      </c>
      <c r="AA4719" s="195"/>
      <c r="AB4719" s="159"/>
    </row>
    <row r="4720" spans="1:28" ht="12.75" customHeight="1" x14ac:dyDescent="0.3">
      <c r="A4720" s="161">
        <v>720</v>
      </c>
      <c r="B4720" s="159" t="s">
        <v>3299</v>
      </c>
      <c r="C4720" s="160" t="s">
        <v>3300</v>
      </c>
      <c r="D4720" s="160" t="s">
        <v>618</v>
      </c>
      <c r="E4720" s="545">
        <v>9.91</v>
      </c>
      <c r="F4720" s="161">
        <v>218.68</v>
      </c>
      <c r="G4720" s="191"/>
      <c r="H4720" s="191">
        <v>1.8666666661999997E-4</v>
      </c>
      <c r="I4720" s="191">
        <v>149</v>
      </c>
      <c r="J4720" s="191"/>
      <c r="K4720" s="191">
        <v>15135.612484362096</v>
      </c>
      <c r="L4720" s="191"/>
      <c r="M4720" s="191"/>
      <c r="N4720" s="191"/>
      <c r="O4720" s="191"/>
      <c r="P4720" s="191"/>
      <c r="Q4720" s="191">
        <v>1.33305225E-5</v>
      </c>
      <c r="R4720" s="191">
        <v>2.1393431498763744E-7</v>
      </c>
      <c r="S4720" s="191">
        <v>2.3770479443070826E-8</v>
      </c>
      <c r="T4720" s="191">
        <v>1.0696715749381872E-7</v>
      </c>
      <c r="U4720" s="439"/>
      <c r="V4720" s="439"/>
      <c r="W4720" s="178">
        <v>30000</v>
      </c>
      <c r="X4720" s="172">
        <f t="shared" si="13"/>
        <v>0.33333333333333331</v>
      </c>
      <c r="Y4720" s="172">
        <f t="shared" si="13"/>
        <v>0.33333333333333331</v>
      </c>
      <c r="Z4720" s="172">
        <f t="shared" si="13"/>
        <v>0.33333333333333331</v>
      </c>
      <c r="AA4720" s="195"/>
      <c r="AB4720" s="159"/>
    </row>
    <row r="4721" spans="1:28" ht="12.75" customHeight="1" x14ac:dyDescent="0.3">
      <c r="A4721" s="161">
        <v>721</v>
      </c>
      <c r="B4721" s="159" t="s">
        <v>3301</v>
      </c>
      <c r="C4721" s="160" t="s">
        <v>3302</v>
      </c>
      <c r="D4721" s="160" t="s">
        <v>618</v>
      </c>
      <c r="E4721" s="545">
        <v>9.93</v>
      </c>
      <c r="F4721" s="161">
        <v>134.18</v>
      </c>
      <c r="G4721" s="191"/>
      <c r="H4721" s="191">
        <v>8.3733333312399996</v>
      </c>
      <c r="I4721" s="191">
        <v>1110</v>
      </c>
      <c r="J4721" s="191"/>
      <c r="K4721" s="191">
        <v>812.83051616409978</v>
      </c>
      <c r="L4721" s="191"/>
      <c r="M4721" s="191"/>
      <c r="N4721" s="191"/>
      <c r="O4721" s="191"/>
      <c r="P4721" s="191"/>
      <c r="Q4721" s="191">
        <v>5.0982884999999995E-5</v>
      </c>
      <c r="R4721" s="191">
        <v>5.3483578746909358E-7</v>
      </c>
      <c r="S4721" s="191">
        <v>5.9426198607677063E-8</v>
      </c>
      <c r="T4721" s="191">
        <v>2.6741789373454679E-7</v>
      </c>
      <c r="U4721" s="439"/>
      <c r="V4721" s="439"/>
      <c r="W4721" s="178">
        <v>30000</v>
      </c>
      <c r="X4721" s="172">
        <f t="shared" si="13"/>
        <v>0.33333333333333331</v>
      </c>
      <c r="Y4721" s="172">
        <f t="shared" si="13"/>
        <v>0.33333333333333331</v>
      </c>
      <c r="Z4721" s="172">
        <f t="shared" si="13"/>
        <v>0.33333333333333331</v>
      </c>
      <c r="AA4721" s="195"/>
      <c r="AB4721" s="159"/>
    </row>
    <row r="4722" spans="1:28" ht="12.75" customHeight="1" x14ac:dyDescent="0.3">
      <c r="A4722" s="161">
        <v>722</v>
      </c>
      <c r="B4722" s="159" t="s">
        <v>3303</v>
      </c>
      <c r="C4722" s="160" t="s">
        <v>3304</v>
      </c>
      <c r="D4722" s="160" t="s">
        <v>618</v>
      </c>
      <c r="E4722" s="545">
        <v>9.98</v>
      </c>
      <c r="F4722" s="161">
        <v>124.14</v>
      </c>
      <c r="G4722" s="191"/>
      <c r="H4722" s="191">
        <v>13.733333329899999</v>
      </c>
      <c r="I4722" s="191">
        <v>18700</v>
      </c>
      <c r="J4722" s="191"/>
      <c r="K4722" s="191">
        <v>20.8929613085404</v>
      </c>
      <c r="L4722" s="191"/>
      <c r="M4722" s="191"/>
      <c r="N4722" s="191"/>
      <c r="O4722" s="191"/>
      <c r="P4722" s="191"/>
      <c r="Q4722" s="191">
        <v>2.23484775E-5</v>
      </c>
      <c r="R4722" s="191">
        <v>5.3483578746909358E-7</v>
      </c>
      <c r="S4722" s="191">
        <v>5.9426198607677063E-8</v>
      </c>
      <c r="T4722" s="191">
        <v>2.6741789373454679E-7</v>
      </c>
      <c r="U4722" s="439"/>
      <c r="V4722" s="439"/>
      <c r="W4722" s="178">
        <v>30000</v>
      </c>
      <c r="X4722" s="172">
        <f t="shared" si="13"/>
        <v>0.33333333333333331</v>
      </c>
      <c r="Y4722" s="172">
        <f t="shared" si="13"/>
        <v>0.33333333333333331</v>
      </c>
      <c r="Z4722" s="172">
        <f t="shared" si="13"/>
        <v>0.33333333333333331</v>
      </c>
      <c r="AA4722" s="195"/>
      <c r="AB4722" s="159"/>
    </row>
    <row r="4723" spans="1:28" ht="12.75" customHeight="1" x14ac:dyDescent="0.3">
      <c r="A4723" s="161">
        <v>723</v>
      </c>
      <c r="B4723" s="159" t="s">
        <v>3305</v>
      </c>
      <c r="C4723" s="160" t="s">
        <v>3306</v>
      </c>
      <c r="D4723" s="160" t="s">
        <v>618</v>
      </c>
      <c r="E4723" s="545">
        <v>10</v>
      </c>
      <c r="F4723" s="161">
        <v>122.17</v>
      </c>
      <c r="G4723" s="191"/>
      <c r="H4723" s="191">
        <v>4.959999998759999</v>
      </c>
      <c r="I4723" s="191">
        <v>4900</v>
      </c>
      <c r="J4723" s="191"/>
      <c r="K4723" s="191">
        <v>380.18939632056163</v>
      </c>
      <c r="L4723" s="191"/>
      <c r="M4723" s="191"/>
      <c r="N4723" s="191"/>
      <c r="O4723" s="191"/>
      <c r="P4723" s="191"/>
      <c r="Q4723" s="191">
        <v>3.1383344999999998E-5</v>
      </c>
      <c r="R4723" s="191">
        <v>5.3483578746909358E-7</v>
      </c>
      <c r="S4723" s="191">
        <v>5.9426198607677063E-8</v>
      </c>
      <c r="T4723" s="191">
        <v>2.6741789373454679E-7</v>
      </c>
      <c r="U4723" s="439"/>
      <c r="V4723" s="439"/>
      <c r="W4723" s="178">
        <v>30000</v>
      </c>
      <c r="X4723" s="172">
        <f t="shared" si="13"/>
        <v>0.33333333333333331</v>
      </c>
      <c r="Y4723" s="172">
        <f t="shared" si="13"/>
        <v>0.33333333333333331</v>
      </c>
      <c r="Z4723" s="172">
        <f t="shared" si="13"/>
        <v>0.33333333333333331</v>
      </c>
      <c r="AA4723" s="195"/>
      <c r="AB4723" s="159"/>
    </row>
    <row r="4724" spans="1:28" ht="12.75" customHeight="1" x14ac:dyDescent="0.3">
      <c r="A4724" s="161">
        <v>724</v>
      </c>
      <c r="B4724" s="159" t="s">
        <v>3309</v>
      </c>
      <c r="C4724" s="160" t="s">
        <v>3310</v>
      </c>
      <c r="D4724" s="160" t="s">
        <v>618</v>
      </c>
      <c r="E4724" s="545">
        <v>10.14</v>
      </c>
      <c r="F4724" s="161">
        <v>166.18</v>
      </c>
      <c r="G4724" s="191"/>
      <c r="H4724" s="191">
        <v>11.279999997179999</v>
      </c>
      <c r="I4724" s="191">
        <v>737.1</v>
      </c>
      <c r="J4724" s="191"/>
      <c r="K4724" s="191">
        <v>891.25093813374656</v>
      </c>
      <c r="L4724" s="191"/>
      <c r="M4724" s="191"/>
      <c r="N4724" s="191"/>
      <c r="O4724" s="191"/>
      <c r="P4724" s="191"/>
      <c r="Q4724" s="191">
        <v>9.4314450000000006E-6</v>
      </c>
      <c r="R4724" s="191">
        <v>5.3483578746909358E-7</v>
      </c>
      <c r="S4724" s="191">
        <v>5.9426198607677063E-8</v>
      </c>
      <c r="T4724" s="191">
        <v>2.6741789373454679E-7</v>
      </c>
      <c r="U4724" s="439"/>
      <c r="V4724" s="439"/>
      <c r="W4724" s="178">
        <v>30000</v>
      </c>
      <c r="X4724" s="172">
        <f t="shared" si="13"/>
        <v>0.33333333333333331</v>
      </c>
      <c r="Y4724" s="172">
        <f t="shared" si="13"/>
        <v>0.33333333333333331</v>
      </c>
      <c r="Z4724" s="172">
        <f t="shared" si="13"/>
        <v>0.33333333333333331</v>
      </c>
      <c r="AA4724" s="195"/>
      <c r="AB4724" s="159"/>
    </row>
    <row r="4725" spans="1:28" ht="12.75" customHeight="1" x14ac:dyDescent="0.3">
      <c r="A4725" s="161">
        <v>725</v>
      </c>
      <c r="B4725" s="159" t="s">
        <v>3307</v>
      </c>
      <c r="C4725" s="160" t="s">
        <v>3308</v>
      </c>
      <c r="D4725" s="160" t="s">
        <v>618</v>
      </c>
      <c r="E4725" s="545">
        <v>10.14</v>
      </c>
      <c r="F4725" s="161">
        <v>165.4</v>
      </c>
      <c r="G4725" s="191"/>
      <c r="H4725" s="191">
        <v>1999.9999994999998</v>
      </c>
      <c r="I4725" s="191">
        <v>793000</v>
      </c>
      <c r="J4725" s="191"/>
      <c r="K4725" s="191">
        <v>9.7723722095581103</v>
      </c>
      <c r="L4725" s="191"/>
      <c r="M4725" s="191"/>
      <c r="N4725" s="191"/>
      <c r="O4725" s="191"/>
      <c r="P4725" s="191"/>
      <c r="Q4725" s="191">
        <v>1.4398425E-6</v>
      </c>
      <c r="R4725" s="191">
        <v>2.1393431498763744E-7</v>
      </c>
      <c r="S4725" s="191">
        <v>2.3770479443070826E-8</v>
      </c>
      <c r="T4725" s="191">
        <v>1.0696715749381872E-7</v>
      </c>
      <c r="U4725" s="439"/>
      <c r="V4725" s="439"/>
      <c r="W4725" s="178">
        <v>30000</v>
      </c>
      <c r="X4725" s="172">
        <f t="shared" si="13"/>
        <v>0.33333333333333331</v>
      </c>
      <c r="Y4725" s="172">
        <f t="shared" si="13"/>
        <v>0.33333333333333331</v>
      </c>
      <c r="Z4725" s="172">
        <f t="shared" si="13"/>
        <v>0.33333333333333331</v>
      </c>
      <c r="AA4725" s="195"/>
      <c r="AB4725" s="159"/>
    </row>
    <row r="4726" spans="1:28" ht="12.75" customHeight="1" x14ac:dyDescent="0.3">
      <c r="A4726" s="161">
        <v>726</v>
      </c>
      <c r="B4726" s="159" t="s">
        <v>3311</v>
      </c>
      <c r="C4726" s="160" t="s">
        <v>3312</v>
      </c>
      <c r="D4726" s="160" t="s">
        <v>618</v>
      </c>
      <c r="E4726" s="545">
        <v>10.16</v>
      </c>
      <c r="F4726" s="161">
        <v>326.44</v>
      </c>
      <c r="G4726" s="191"/>
      <c r="H4726" s="191">
        <v>9.2266666643599986E-6</v>
      </c>
      <c r="I4726" s="191">
        <v>3.6929999999999998E-2</v>
      </c>
      <c r="J4726" s="191"/>
      <c r="K4726" s="191">
        <v>9120108.3935591076</v>
      </c>
      <c r="L4726" s="191"/>
      <c r="M4726" s="191"/>
      <c r="N4726" s="191"/>
      <c r="O4726" s="191"/>
      <c r="P4726" s="191"/>
      <c r="Q4726" s="191">
        <v>1.6360272000000002E-4</v>
      </c>
      <c r="R4726" s="191">
        <v>5.3483578746909358E-7</v>
      </c>
      <c r="S4726" s="191">
        <v>5.9426198607677063E-8</v>
      </c>
      <c r="T4726" s="191">
        <v>2.6741789373454679E-7</v>
      </c>
      <c r="U4726" s="439"/>
      <c r="V4726" s="439"/>
      <c r="W4726" s="178">
        <v>30000</v>
      </c>
      <c r="X4726" s="172">
        <f t="shared" si="13"/>
        <v>0.33333333333333331</v>
      </c>
      <c r="Y4726" s="172">
        <f t="shared" si="13"/>
        <v>0.33333333333333331</v>
      </c>
      <c r="Z4726" s="172">
        <f t="shared" si="13"/>
        <v>0.33333333333333331</v>
      </c>
      <c r="AA4726" s="195"/>
      <c r="AB4726" s="159"/>
    </row>
    <row r="4727" spans="1:28" ht="12.75" customHeight="1" x14ac:dyDescent="0.3">
      <c r="A4727" s="161">
        <v>727</v>
      </c>
      <c r="B4727" s="159" t="s">
        <v>3313</v>
      </c>
      <c r="C4727" s="160" t="s">
        <v>3314</v>
      </c>
      <c r="D4727" s="160" t="s">
        <v>618</v>
      </c>
      <c r="E4727" s="545">
        <v>10.17</v>
      </c>
      <c r="F4727" s="161">
        <v>164.21</v>
      </c>
      <c r="G4727" s="191"/>
      <c r="H4727" s="191">
        <v>0.28133333326299997</v>
      </c>
      <c r="I4727" s="191">
        <v>1096</v>
      </c>
      <c r="J4727" s="191"/>
      <c r="K4727" s="191">
        <v>120.22644346174135</v>
      </c>
      <c r="L4727" s="191"/>
      <c r="M4727" s="191"/>
      <c r="N4727" s="191"/>
      <c r="O4727" s="191"/>
      <c r="P4727" s="191"/>
      <c r="Q4727" s="191">
        <v>5.6113709999999998E-5</v>
      </c>
      <c r="R4727" s="191">
        <v>2.1393431498763744E-7</v>
      </c>
      <c r="S4727" s="191">
        <v>2.3770479443070826E-8</v>
      </c>
      <c r="T4727" s="191">
        <v>2.6741789373454684E-5</v>
      </c>
      <c r="U4727" s="439"/>
      <c r="V4727" s="439"/>
      <c r="W4727" s="178">
        <v>30000</v>
      </c>
      <c r="X4727" s="172">
        <f t="shared" si="13"/>
        <v>0.33333333333333331</v>
      </c>
      <c r="Y4727" s="172">
        <f t="shared" si="13"/>
        <v>0.33333333333333331</v>
      </c>
      <c r="Z4727" s="172">
        <f t="shared" si="13"/>
        <v>0.33333333333333331</v>
      </c>
      <c r="AA4727" s="195"/>
      <c r="AB4727" s="159"/>
    </row>
    <row r="4728" spans="1:28" ht="12.75" customHeight="1" x14ac:dyDescent="0.3">
      <c r="A4728" s="161">
        <v>728</v>
      </c>
      <c r="B4728" s="159" t="s">
        <v>3315</v>
      </c>
      <c r="C4728" s="160" t="s">
        <v>3316</v>
      </c>
      <c r="D4728" s="160" t="s">
        <v>618</v>
      </c>
      <c r="E4728" s="545">
        <v>10.19</v>
      </c>
      <c r="F4728" s="161">
        <v>122.17</v>
      </c>
      <c r="G4728" s="191"/>
      <c r="H4728" s="191">
        <v>5.3999999986500002</v>
      </c>
      <c r="I4728" s="191">
        <v>4880</v>
      </c>
      <c r="J4728" s="191"/>
      <c r="K4728" s="191">
        <v>223.87211385683412</v>
      </c>
      <c r="L4728" s="191"/>
      <c r="M4728" s="191"/>
      <c r="N4728" s="191"/>
      <c r="O4728" s="191"/>
      <c r="P4728" s="191"/>
      <c r="Q4728" s="191">
        <v>8.475E-5</v>
      </c>
      <c r="R4728" s="191">
        <v>5.3483578746909358E-7</v>
      </c>
      <c r="S4728" s="191">
        <v>5.9426198607677063E-8</v>
      </c>
      <c r="T4728" s="191">
        <v>2.6741789373454679E-7</v>
      </c>
      <c r="U4728" s="439"/>
      <c r="V4728" s="439"/>
      <c r="W4728" s="178">
        <v>30000</v>
      </c>
      <c r="X4728" s="172">
        <f t="shared" si="13"/>
        <v>0.33333333333333331</v>
      </c>
      <c r="Y4728" s="172">
        <f t="shared" si="13"/>
        <v>0.33333333333333331</v>
      </c>
      <c r="Z4728" s="172">
        <f t="shared" si="13"/>
        <v>0.33333333333333331</v>
      </c>
      <c r="AA4728" s="195"/>
      <c r="AB4728" s="159"/>
    </row>
    <row r="4729" spans="1:28" ht="12.75" customHeight="1" x14ac:dyDescent="0.3">
      <c r="A4729" s="161">
        <v>729</v>
      </c>
      <c r="B4729" s="159" t="s">
        <v>3319</v>
      </c>
      <c r="C4729" s="160" t="s">
        <v>3320</v>
      </c>
      <c r="D4729" s="160" t="s">
        <v>618</v>
      </c>
      <c r="E4729" s="545">
        <v>10.199999999999999</v>
      </c>
      <c r="F4729" s="161">
        <v>358.54</v>
      </c>
      <c r="G4729" s="191"/>
      <c r="H4729" s="191">
        <v>2.8933333326099997E-8</v>
      </c>
      <c r="I4729" s="191">
        <v>1.9059999999999999E-3</v>
      </c>
      <c r="J4729" s="191"/>
      <c r="K4729" s="191">
        <v>173780082.87493807</v>
      </c>
      <c r="L4729" s="191"/>
      <c r="M4729" s="191"/>
      <c r="N4729" s="191"/>
      <c r="O4729" s="191"/>
      <c r="P4729" s="191"/>
      <c r="Q4729" s="191">
        <v>9.7321612500000004E-5</v>
      </c>
      <c r="R4729" s="191">
        <v>1.3370894686727339E-7</v>
      </c>
      <c r="S4729" s="191">
        <v>1.4856549651919266E-8</v>
      </c>
      <c r="T4729" s="191">
        <v>6.6854473433636697E-8</v>
      </c>
      <c r="U4729" s="439"/>
      <c r="V4729" s="439"/>
      <c r="W4729" s="178">
        <v>30000</v>
      </c>
      <c r="X4729" s="172">
        <f t="shared" si="13"/>
        <v>0.33333333333333331</v>
      </c>
      <c r="Y4729" s="172">
        <f t="shared" si="13"/>
        <v>0.33333333333333331</v>
      </c>
      <c r="Z4729" s="172">
        <f t="shared" si="13"/>
        <v>0.33333333333333331</v>
      </c>
      <c r="AA4729" s="195"/>
      <c r="AB4729" s="159"/>
    </row>
    <row r="4730" spans="1:28" ht="12.75" customHeight="1" x14ac:dyDescent="0.3">
      <c r="A4730" s="161">
        <v>730</v>
      </c>
      <c r="B4730" s="159" t="s">
        <v>3317</v>
      </c>
      <c r="C4730" s="160" t="s">
        <v>3318</v>
      </c>
      <c r="D4730" s="160" t="s">
        <v>618</v>
      </c>
      <c r="E4730" s="545">
        <v>10.199999999999999</v>
      </c>
      <c r="F4730" s="161">
        <v>124.14</v>
      </c>
      <c r="G4730" s="191"/>
      <c r="H4730" s="191">
        <v>1.7066666662399997E-2</v>
      </c>
      <c r="I4730" s="191">
        <v>61520</v>
      </c>
      <c r="J4730" s="191"/>
      <c r="K4730" s="191">
        <v>8.1283051616409931</v>
      </c>
      <c r="L4730" s="191"/>
      <c r="M4730" s="191"/>
      <c r="N4730" s="191"/>
      <c r="O4730" s="191"/>
      <c r="P4730" s="191"/>
      <c r="Q4730" s="191">
        <v>4.5234209999999995E-5</v>
      </c>
      <c r="R4730" s="191">
        <v>5.3483578746909358E-7</v>
      </c>
      <c r="S4730" s="191">
        <v>5.9426198607677063E-8</v>
      </c>
      <c r="T4730" s="191">
        <v>2.6741789373454679E-7</v>
      </c>
      <c r="U4730" s="439"/>
      <c r="V4730" s="439"/>
      <c r="W4730" s="178">
        <v>30000</v>
      </c>
      <c r="X4730" s="172">
        <f t="shared" si="13"/>
        <v>0.33333333333333331</v>
      </c>
      <c r="Y4730" s="172">
        <f t="shared" si="13"/>
        <v>0.33333333333333331</v>
      </c>
      <c r="Z4730" s="172">
        <f t="shared" si="13"/>
        <v>0.33333333333333331</v>
      </c>
      <c r="AA4730" s="195"/>
      <c r="AB4730" s="159"/>
    </row>
    <row r="4731" spans="1:28" ht="12.75" customHeight="1" x14ac:dyDescent="0.3">
      <c r="A4731" s="161">
        <v>731</v>
      </c>
      <c r="B4731" s="159" t="s">
        <v>3321</v>
      </c>
      <c r="C4731" s="160" t="s">
        <v>1696</v>
      </c>
      <c r="D4731" s="160" t="s">
        <v>618</v>
      </c>
      <c r="E4731" s="545">
        <v>10.220000000000001</v>
      </c>
      <c r="F4731" s="161">
        <v>108.14</v>
      </c>
      <c r="G4731" s="191"/>
      <c r="H4731" s="191">
        <v>22.666666661000001</v>
      </c>
      <c r="I4731" s="191">
        <v>25900</v>
      </c>
      <c r="J4731" s="191"/>
      <c r="K4731" s="191">
        <v>89.125093813374562</v>
      </c>
      <c r="L4731" s="191"/>
      <c r="M4731" s="191"/>
      <c r="N4731" s="191"/>
      <c r="O4731" s="191"/>
      <c r="P4731" s="191"/>
      <c r="Q4731" s="191">
        <v>3.15E-5</v>
      </c>
      <c r="R4731" s="191">
        <v>5.3483578746909358E-7</v>
      </c>
      <c r="S4731" s="191">
        <v>5.9426198607677063E-8</v>
      </c>
      <c r="T4731" s="191">
        <v>2.6741789373454679E-7</v>
      </c>
      <c r="U4731" s="439"/>
      <c r="V4731" s="439"/>
      <c r="W4731" s="178">
        <v>30000</v>
      </c>
      <c r="X4731" s="172">
        <f t="shared" si="13"/>
        <v>0.33333333333333331</v>
      </c>
      <c r="Y4731" s="172">
        <f t="shared" si="13"/>
        <v>0.33333333333333331</v>
      </c>
      <c r="Z4731" s="172">
        <f t="shared" si="13"/>
        <v>0.33333333333333331</v>
      </c>
      <c r="AA4731" s="195"/>
      <c r="AB4731" s="159"/>
    </row>
    <row r="4732" spans="1:28" ht="12.75" customHeight="1" x14ac:dyDescent="0.3">
      <c r="A4732" s="161">
        <v>732</v>
      </c>
      <c r="B4732" s="159" t="s">
        <v>3322</v>
      </c>
      <c r="C4732" s="160" t="s">
        <v>3323</v>
      </c>
      <c r="D4732" s="160" t="s">
        <v>618</v>
      </c>
      <c r="E4732" s="545">
        <v>10.24</v>
      </c>
      <c r="F4732" s="161">
        <v>136.19999999999999</v>
      </c>
      <c r="G4732" s="191"/>
      <c r="H4732" s="191">
        <v>6.0266666651599996</v>
      </c>
      <c r="I4732" s="191">
        <v>1102</v>
      </c>
      <c r="J4732" s="191"/>
      <c r="K4732" s="191">
        <v>794.32823472428208</v>
      </c>
      <c r="L4732" s="191"/>
      <c r="M4732" s="191"/>
      <c r="N4732" s="191"/>
      <c r="O4732" s="191"/>
      <c r="P4732" s="191"/>
      <c r="Q4732" s="191">
        <v>3.1889774999999999E-5</v>
      </c>
      <c r="R4732" s="191">
        <v>5.3483578746909358E-7</v>
      </c>
      <c r="S4732" s="191">
        <v>5.9426198607677063E-8</v>
      </c>
      <c r="T4732" s="191">
        <v>2.6741789373454679E-7</v>
      </c>
      <c r="U4732" s="439"/>
      <c r="V4732" s="439"/>
      <c r="W4732" s="178">
        <v>30000</v>
      </c>
      <c r="X4732" s="172">
        <f t="shared" si="13"/>
        <v>0.33333333333333331</v>
      </c>
      <c r="Y4732" s="172">
        <f t="shared" si="13"/>
        <v>0.33333333333333331</v>
      </c>
      <c r="Z4732" s="172">
        <f t="shared" si="13"/>
        <v>0.33333333333333331</v>
      </c>
      <c r="AA4732" s="195"/>
      <c r="AB4732" s="159"/>
    </row>
    <row r="4733" spans="1:28" ht="12.75" customHeight="1" x14ac:dyDescent="0.3">
      <c r="A4733" s="161">
        <v>733</v>
      </c>
      <c r="B4733" s="159" t="s">
        <v>3327</v>
      </c>
      <c r="C4733" s="160" t="s">
        <v>1709</v>
      </c>
      <c r="D4733" s="160" t="s">
        <v>618</v>
      </c>
      <c r="E4733" s="545">
        <v>10.25</v>
      </c>
      <c r="F4733" s="161">
        <v>220.36</v>
      </c>
      <c r="G4733" s="191"/>
      <c r="H4733" s="191">
        <v>3.1466666658799998E-3</v>
      </c>
      <c r="I4733" s="191">
        <v>6.35</v>
      </c>
      <c r="J4733" s="191"/>
      <c r="K4733" s="191">
        <v>575439.93733715697</v>
      </c>
      <c r="L4733" s="191"/>
      <c r="M4733" s="191"/>
      <c r="N4733" s="191"/>
      <c r="O4733" s="191"/>
      <c r="P4733" s="191"/>
      <c r="Q4733" s="191">
        <v>3.8764792500000001E-5</v>
      </c>
      <c r="R4733" s="191">
        <v>5.3483578746909358E-7</v>
      </c>
      <c r="S4733" s="191">
        <v>5.9426198607677063E-8</v>
      </c>
      <c r="T4733" s="191">
        <v>2.6741789373454679E-7</v>
      </c>
      <c r="U4733" s="439"/>
      <c r="V4733" s="439"/>
      <c r="W4733" s="178">
        <v>30000</v>
      </c>
      <c r="X4733" s="172">
        <f t="shared" si="13"/>
        <v>0.33333333333333331</v>
      </c>
      <c r="Y4733" s="172">
        <f t="shared" si="13"/>
        <v>0.33333333333333331</v>
      </c>
      <c r="Z4733" s="172">
        <f t="shared" si="13"/>
        <v>0.33333333333333331</v>
      </c>
      <c r="AA4733" s="195"/>
      <c r="AB4733" s="159"/>
    </row>
    <row r="4734" spans="1:28" ht="12.75" customHeight="1" x14ac:dyDescent="0.3">
      <c r="A4734" s="161">
        <v>734</v>
      </c>
      <c r="B4734" s="159" t="s">
        <v>3326</v>
      </c>
      <c r="C4734" s="160" t="s">
        <v>1700</v>
      </c>
      <c r="D4734" s="160" t="s">
        <v>618</v>
      </c>
      <c r="E4734" s="545">
        <v>10.25</v>
      </c>
      <c r="F4734" s="161">
        <v>206.33</v>
      </c>
      <c r="G4734" s="191"/>
      <c r="H4734" s="191">
        <v>6.3733333317399998E-2</v>
      </c>
      <c r="I4734" s="191">
        <v>4.8209999999999997</v>
      </c>
      <c r="J4734" s="191"/>
      <c r="K4734" s="191">
        <v>190546.07179632492</v>
      </c>
      <c r="L4734" s="191"/>
      <c r="M4734" s="191"/>
      <c r="N4734" s="191"/>
      <c r="O4734" s="191"/>
      <c r="P4734" s="191"/>
      <c r="Q4734" s="191">
        <v>3.1778279999999999E-5</v>
      </c>
      <c r="R4734" s="191">
        <v>2.1393431498763744E-7</v>
      </c>
      <c r="S4734" s="191">
        <v>2.3770479443070826E-8</v>
      </c>
      <c r="T4734" s="191">
        <v>1.0696715749381872E-7</v>
      </c>
      <c r="U4734" s="439"/>
      <c r="V4734" s="439"/>
      <c r="W4734" s="178">
        <v>30000</v>
      </c>
      <c r="X4734" s="172">
        <f t="shared" si="13"/>
        <v>0.33333333333333331</v>
      </c>
      <c r="Y4734" s="172">
        <f t="shared" si="13"/>
        <v>0.33333333333333331</v>
      </c>
      <c r="Z4734" s="172">
        <f t="shared" si="13"/>
        <v>0.33333333333333331</v>
      </c>
      <c r="AA4734" s="195"/>
      <c r="AB4734" s="159"/>
    </row>
    <row r="4735" spans="1:28" ht="12.75" customHeight="1" x14ac:dyDescent="0.3">
      <c r="A4735" s="161">
        <v>735</v>
      </c>
      <c r="B4735" s="159" t="s">
        <v>3324</v>
      </c>
      <c r="C4735" s="160" t="s">
        <v>3325</v>
      </c>
      <c r="D4735" s="160" t="s">
        <v>618</v>
      </c>
      <c r="E4735" s="545">
        <v>10.25</v>
      </c>
      <c r="F4735" s="161">
        <v>220.36</v>
      </c>
      <c r="G4735" s="191"/>
      <c r="H4735" s="191">
        <v>3.1466666658799998E-3</v>
      </c>
      <c r="I4735" s="191">
        <v>7</v>
      </c>
      <c r="J4735" s="191"/>
      <c r="K4735" s="191">
        <v>575439.93733715697</v>
      </c>
      <c r="L4735" s="191"/>
      <c r="M4735" s="191"/>
      <c r="N4735" s="191"/>
      <c r="O4735" s="191"/>
      <c r="P4735" s="191"/>
      <c r="Q4735" s="191">
        <v>3.8764792500000001E-5</v>
      </c>
      <c r="R4735" s="191">
        <v>5.3483578746909358E-7</v>
      </c>
      <c r="S4735" s="191">
        <v>5.9426198607677063E-8</v>
      </c>
      <c r="T4735" s="191">
        <v>2.6741789373454679E-7</v>
      </c>
      <c r="U4735" s="439"/>
      <c r="V4735" s="439"/>
      <c r="W4735" s="178">
        <v>30000</v>
      </c>
      <c r="X4735" s="172">
        <f t="shared" si="13"/>
        <v>0.33333333333333331</v>
      </c>
      <c r="Y4735" s="172">
        <f t="shared" si="13"/>
        <v>0.33333333333333331</v>
      </c>
      <c r="Z4735" s="172">
        <f t="shared" si="13"/>
        <v>0.33333333333333331</v>
      </c>
      <c r="AA4735" s="195"/>
      <c r="AB4735" s="159"/>
    </row>
    <row r="4736" spans="1:28" ht="12.75" customHeight="1" x14ac:dyDescent="0.3">
      <c r="A4736" s="161">
        <v>736</v>
      </c>
      <c r="B4736" s="159" t="s">
        <v>3328</v>
      </c>
      <c r="C4736" s="160" t="s">
        <v>3329</v>
      </c>
      <c r="D4736" s="160" t="s">
        <v>618</v>
      </c>
      <c r="E4736" s="545">
        <v>10.26</v>
      </c>
      <c r="F4736" s="161">
        <v>124.14</v>
      </c>
      <c r="G4736" s="191"/>
      <c r="H4736" s="191">
        <v>1.10666666639</v>
      </c>
      <c r="I4736" s="191">
        <v>40000</v>
      </c>
      <c r="J4736" s="191"/>
      <c r="K4736" s="191">
        <v>38.018939632056139</v>
      </c>
      <c r="L4736" s="191"/>
      <c r="M4736" s="191"/>
      <c r="N4736" s="191"/>
      <c r="O4736" s="191"/>
      <c r="P4736" s="191"/>
      <c r="Q4736" s="191">
        <v>2.23484775E-5</v>
      </c>
      <c r="R4736" s="191">
        <v>5.3483578746909358E-7</v>
      </c>
      <c r="S4736" s="191">
        <v>5.9426198607677063E-8</v>
      </c>
      <c r="T4736" s="191">
        <v>2.6741789373454679E-7</v>
      </c>
      <c r="U4736" s="439"/>
      <c r="V4736" s="439"/>
      <c r="W4736" s="178">
        <v>30000</v>
      </c>
      <c r="X4736" s="172">
        <f t="shared" si="13"/>
        <v>0.33333333333333331</v>
      </c>
      <c r="Y4736" s="172">
        <f t="shared" si="13"/>
        <v>0.33333333333333331</v>
      </c>
      <c r="Z4736" s="172">
        <f t="shared" si="13"/>
        <v>0.33333333333333331</v>
      </c>
      <c r="AA4736" s="195"/>
      <c r="AB4736" s="159"/>
    </row>
    <row r="4737" spans="1:28" ht="12.75" customHeight="1" x14ac:dyDescent="0.3">
      <c r="A4737" s="161">
        <v>737</v>
      </c>
      <c r="B4737" s="159" t="s">
        <v>3330</v>
      </c>
      <c r="C4737" s="160" t="s">
        <v>3331</v>
      </c>
      <c r="D4737" s="160" t="s">
        <v>618</v>
      </c>
      <c r="E4737" s="545">
        <v>10.26</v>
      </c>
      <c r="F4737" s="161">
        <v>108.14</v>
      </c>
      <c r="G4737" s="191"/>
      <c r="H4737" s="191">
        <v>14.666666662999999</v>
      </c>
      <c r="I4737" s="191">
        <v>21500</v>
      </c>
      <c r="J4737" s="191"/>
      <c r="K4737" s="191">
        <v>87.096358995608071</v>
      </c>
      <c r="L4737" s="191"/>
      <c r="M4737" s="191"/>
      <c r="N4737" s="191"/>
      <c r="O4737" s="191"/>
      <c r="P4737" s="191"/>
      <c r="Q4737" s="191">
        <v>3.5249999999999996E-5</v>
      </c>
      <c r="R4737" s="191">
        <v>5.3483578746909358E-7</v>
      </c>
      <c r="S4737" s="191">
        <v>5.9426198607677063E-8</v>
      </c>
      <c r="T4737" s="191">
        <v>2.6741789373454679E-7</v>
      </c>
      <c r="U4737" s="439"/>
      <c r="V4737" s="439"/>
      <c r="W4737" s="178">
        <v>30000</v>
      </c>
      <c r="X4737" s="172">
        <f t="shared" si="13"/>
        <v>0.33333333333333331</v>
      </c>
      <c r="Y4737" s="172">
        <f t="shared" si="13"/>
        <v>0.33333333333333331</v>
      </c>
      <c r="Z4737" s="172">
        <f t="shared" si="13"/>
        <v>0.33333333333333331</v>
      </c>
      <c r="AA4737" s="195"/>
      <c r="AB4737" s="159"/>
    </row>
    <row r="4738" spans="1:28" ht="12.75" customHeight="1" x14ac:dyDescent="0.3">
      <c r="A4738" s="161">
        <v>738</v>
      </c>
      <c r="B4738" s="159" t="s">
        <v>3334</v>
      </c>
      <c r="C4738" s="160" t="s">
        <v>3335</v>
      </c>
      <c r="D4738" s="160" t="s">
        <v>618</v>
      </c>
      <c r="E4738" s="545">
        <v>10.28</v>
      </c>
      <c r="F4738" s="161">
        <v>150.22</v>
      </c>
      <c r="G4738" s="191"/>
      <c r="H4738" s="191">
        <v>11.999999997</v>
      </c>
      <c r="I4738" s="191">
        <v>700</v>
      </c>
      <c r="J4738" s="191"/>
      <c r="K4738" s="191">
        <v>2041.7379446695318</v>
      </c>
      <c r="L4738" s="191"/>
      <c r="M4738" s="191"/>
      <c r="N4738" s="191"/>
      <c r="O4738" s="191"/>
      <c r="P4738" s="191"/>
      <c r="Q4738" s="191">
        <v>3.0467572500000001E-5</v>
      </c>
      <c r="R4738" s="191">
        <v>2.1393431498763744E-7</v>
      </c>
      <c r="S4738" s="191">
        <v>2.3770479443070826E-8</v>
      </c>
      <c r="T4738" s="191">
        <v>1.0696715749381872E-7</v>
      </c>
      <c r="U4738" s="439"/>
      <c r="V4738" s="439"/>
      <c r="W4738" s="178">
        <v>30000</v>
      </c>
      <c r="X4738" s="172">
        <f t="shared" si="13"/>
        <v>0.33333333333333331</v>
      </c>
      <c r="Y4738" s="172">
        <f t="shared" si="13"/>
        <v>0.33333333333333331</v>
      </c>
      <c r="Z4738" s="172">
        <f t="shared" si="13"/>
        <v>0.33333333333333331</v>
      </c>
      <c r="AA4738" s="195"/>
      <c r="AB4738" s="159"/>
    </row>
    <row r="4739" spans="1:28" ht="12.75" customHeight="1" x14ac:dyDescent="0.3">
      <c r="A4739" s="161">
        <v>739</v>
      </c>
      <c r="B4739" s="159" t="s">
        <v>3336</v>
      </c>
      <c r="C4739" s="160" t="s">
        <v>3337</v>
      </c>
      <c r="D4739" s="160" t="s">
        <v>618</v>
      </c>
      <c r="E4739" s="545">
        <v>10.28</v>
      </c>
      <c r="F4739" s="161">
        <v>138.16999999999999</v>
      </c>
      <c r="G4739" s="191"/>
      <c r="H4739" s="191">
        <v>7.9199999980199998</v>
      </c>
      <c r="I4739" s="191">
        <v>2093</v>
      </c>
      <c r="J4739" s="191"/>
      <c r="K4739" s="191">
        <v>75.857757502918361</v>
      </c>
      <c r="L4739" s="191"/>
      <c r="M4739" s="191"/>
      <c r="N4739" s="191"/>
      <c r="O4739" s="191"/>
      <c r="P4739" s="191"/>
      <c r="Q4739" s="191">
        <v>2.98147275E-5</v>
      </c>
      <c r="R4739" s="191">
        <v>5.3483578746909358E-7</v>
      </c>
      <c r="S4739" s="191">
        <v>5.9426198607677063E-8</v>
      </c>
      <c r="T4739" s="191">
        <v>2.6741789373454679E-7</v>
      </c>
      <c r="U4739" s="439"/>
      <c r="V4739" s="439"/>
      <c r="W4739" s="178">
        <v>30000</v>
      </c>
      <c r="X4739" s="172">
        <f t="shared" si="13"/>
        <v>0.33333333333333331</v>
      </c>
      <c r="Y4739" s="172">
        <f t="shared" si="13"/>
        <v>0.33333333333333331</v>
      </c>
      <c r="Z4739" s="172">
        <f t="shared" si="13"/>
        <v>0.33333333333333331</v>
      </c>
      <c r="AA4739" s="195"/>
      <c r="AB4739" s="159"/>
    </row>
    <row r="4740" spans="1:28" ht="12.75" customHeight="1" x14ac:dyDescent="0.3">
      <c r="A4740" s="161">
        <v>740</v>
      </c>
      <c r="B4740" s="159" t="s">
        <v>3332</v>
      </c>
      <c r="C4740" s="160" t="s">
        <v>3333</v>
      </c>
      <c r="D4740" s="160" t="s">
        <v>618</v>
      </c>
      <c r="E4740" s="545">
        <v>10.28</v>
      </c>
      <c r="F4740" s="161">
        <v>108.14</v>
      </c>
      <c r="G4740" s="191"/>
      <c r="H4740" s="191">
        <v>22.666666661000001</v>
      </c>
      <c r="I4740" s="191">
        <v>25900</v>
      </c>
      <c r="J4740" s="191"/>
      <c r="K4740" s="191">
        <v>89.125093813374562</v>
      </c>
      <c r="L4740" s="191"/>
      <c r="M4740" s="191"/>
      <c r="N4740" s="191"/>
      <c r="O4740" s="191"/>
      <c r="P4740" s="191"/>
      <c r="Q4740" s="191">
        <v>3.15E-5</v>
      </c>
      <c r="R4740" s="191">
        <v>5.3483578746909358E-7</v>
      </c>
      <c r="S4740" s="191">
        <v>5.9426198607677063E-8</v>
      </c>
      <c r="T4740" s="191">
        <v>2.6741789373454679E-7</v>
      </c>
      <c r="U4740" s="439"/>
      <c r="V4740" s="439"/>
      <c r="W4740" s="178">
        <v>30000</v>
      </c>
      <c r="X4740" s="172">
        <f t="shared" si="13"/>
        <v>0.33333333333333331</v>
      </c>
      <c r="Y4740" s="172">
        <f t="shared" si="13"/>
        <v>0.33333333333333331</v>
      </c>
      <c r="Z4740" s="172">
        <f t="shared" si="13"/>
        <v>0.33333333333333331</v>
      </c>
      <c r="AA4740" s="195"/>
      <c r="AB4740" s="159"/>
    </row>
    <row r="4741" spans="1:28" ht="12.75" customHeight="1" x14ac:dyDescent="0.3">
      <c r="A4741" s="161">
        <v>741</v>
      </c>
      <c r="B4741" s="159" t="s">
        <v>3338</v>
      </c>
      <c r="C4741" s="160" t="s">
        <v>3339</v>
      </c>
      <c r="D4741" s="160" t="s">
        <v>618</v>
      </c>
      <c r="E4741" s="545">
        <v>10.3</v>
      </c>
      <c r="F4741" s="161">
        <v>61.04</v>
      </c>
      <c r="G4741" s="191"/>
      <c r="H4741" s="191">
        <v>4773.3333321399996</v>
      </c>
      <c r="I4741" s="191">
        <v>111000</v>
      </c>
      <c r="J4741" s="191"/>
      <c r="K4741" s="191">
        <v>0.44668359215096315</v>
      </c>
      <c r="L4741" s="191"/>
      <c r="M4741" s="191"/>
      <c r="N4741" s="191"/>
      <c r="O4741" s="191"/>
      <c r="P4741" s="191"/>
      <c r="Q4741" s="191">
        <v>9.7500000000000006E-8</v>
      </c>
      <c r="R4741" s="191">
        <v>5.3483578746909358E-7</v>
      </c>
      <c r="S4741" s="191">
        <v>5.9426198607677063E-8</v>
      </c>
      <c r="T4741" s="191">
        <v>2.6741789373454679E-7</v>
      </c>
      <c r="U4741" s="439"/>
      <c r="V4741" s="439"/>
      <c r="W4741" s="178">
        <v>30000</v>
      </c>
      <c r="X4741" s="172">
        <f t="shared" si="13"/>
        <v>0.33333333333333331</v>
      </c>
      <c r="Y4741" s="172">
        <f t="shared" si="13"/>
        <v>0.33333333333333331</v>
      </c>
      <c r="Z4741" s="172">
        <f t="shared" si="13"/>
        <v>0.33333333333333331</v>
      </c>
      <c r="AA4741" s="195"/>
      <c r="AB4741" s="159"/>
    </row>
    <row r="4742" spans="1:28" ht="12.75" customHeight="1" x14ac:dyDescent="0.3">
      <c r="A4742" s="161">
        <v>742</v>
      </c>
      <c r="B4742" s="159" t="s">
        <v>3340</v>
      </c>
      <c r="C4742" s="160" t="s">
        <v>3341</v>
      </c>
      <c r="D4742" s="160" t="s">
        <v>618</v>
      </c>
      <c r="E4742" s="545">
        <v>10.39</v>
      </c>
      <c r="F4742" s="161">
        <v>113.16</v>
      </c>
      <c r="G4742" s="191"/>
      <c r="H4742" s="191">
        <v>3.7333333324</v>
      </c>
      <c r="I4742" s="191">
        <v>18000</v>
      </c>
      <c r="J4742" s="191"/>
      <c r="K4742" s="191">
        <v>6.9183097091893666</v>
      </c>
      <c r="L4742" s="191"/>
      <c r="M4742" s="191"/>
      <c r="N4742" s="191"/>
      <c r="O4742" s="191"/>
      <c r="P4742" s="191"/>
      <c r="Q4742" s="191">
        <v>5.2989299999999998E-6</v>
      </c>
      <c r="R4742" s="191">
        <v>5.3483578746909358E-7</v>
      </c>
      <c r="S4742" s="191">
        <v>5.9426198607677063E-8</v>
      </c>
      <c r="T4742" s="191">
        <v>2.6741789373454679E-7</v>
      </c>
      <c r="U4742" s="439"/>
      <c r="V4742" s="439"/>
      <c r="W4742" s="178">
        <v>30000</v>
      </c>
      <c r="X4742" s="172">
        <f t="shared" si="13"/>
        <v>0.33333333333333331</v>
      </c>
      <c r="Y4742" s="172">
        <f t="shared" si="13"/>
        <v>0.33333333333333331</v>
      </c>
      <c r="Z4742" s="172">
        <f t="shared" si="13"/>
        <v>0.33333333333333331</v>
      </c>
      <c r="AA4742" s="195"/>
      <c r="AB4742" s="159"/>
    </row>
    <row r="4743" spans="1:28" ht="12.75" customHeight="1" x14ac:dyDescent="0.3">
      <c r="A4743" s="161">
        <v>743</v>
      </c>
      <c r="B4743" s="159" t="s">
        <v>3342</v>
      </c>
      <c r="C4743" s="160" t="s">
        <v>3343</v>
      </c>
      <c r="D4743" s="160" t="s">
        <v>618</v>
      </c>
      <c r="E4743" s="545">
        <v>10.41</v>
      </c>
      <c r="F4743" s="161">
        <v>122.17</v>
      </c>
      <c r="G4743" s="191"/>
      <c r="H4743" s="191">
        <v>20.7999999948</v>
      </c>
      <c r="I4743" s="191">
        <v>3540</v>
      </c>
      <c r="J4743" s="191"/>
      <c r="K4743" s="191">
        <v>213.79620895022339</v>
      </c>
      <c r="L4743" s="191"/>
      <c r="M4743" s="191"/>
      <c r="N4743" s="191"/>
      <c r="O4743" s="191"/>
      <c r="P4743" s="191"/>
      <c r="Q4743" s="191">
        <v>5.9999999999999995E-5</v>
      </c>
      <c r="R4743" s="191">
        <v>5.3483578746909358E-7</v>
      </c>
      <c r="S4743" s="191">
        <v>5.9426198607677063E-8</v>
      </c>
      <c r="T4743" s="191">
        <v>2.6741789373454679E-7</v>
      </c>
      <c r="U4743" s="439"/>
      <c r="V4743" s="439"/>
      <c r="W4743" s="178">
        <v>30000</v>
      </c>
      <c r="X4743" s="172">
        <f t="shared" si="13"/>
        <v>0.33333333333333331</v>
      </c>
      <c r="Y4743" s="172">
        <f t="shared" si="13"/>
        <v>0.33333333333333331</v>
      </c>
      <c r="Z4743" s="172">
        <f t="shared" si="13"/>
        <v>0.33333333333333331</v>
      </c>
      <c r="AA4743" s="195"/>
      <c r="AB4743" s="159"/>
    </row>
    <row r="4744" spans="1:28" ht="12.75" customHeight="1" x14ac:dyDescent="0.3">
      <c r="A4744" s="161">
        <v>744</v>
      </c>
      <c r="B4744" s="159" t="s">
        <v>3344</v>
      </c>
      <c r="C4744" s="160" t="s">
        <v>3345</v>
      </c>
      <c r="D4744" s="160" t="s">
        <v>618</v>
      </c>
      <c r="E4744" s="545">
        <v>10.51</v>
      </c>
      <c r="F4744" s="161">
        <v>296.41000000000003</v>
      </c>
      <c r="G4744" s="191"/>
      <c r="H4744" s="191">
        <v>2.5999999993500001E-7</v>
      </c>
      <c r="I4744" s="191">
        <v>11.3</v>
      </c>
      <c r="J4744" s="191"/>
      <c r="K4744" s="191">
        <v>4677.3514128719844</v>
      </c>
      <c r="L4744" s="191"/>
      <c r="M4744" s="191"/>
      <c r="N4744" s="191"/>
      <c r="O4744" s="191"/>
      <c r="P4744" s="191"/>
      <c r="Q4744" s="191">
        <v>9.3783217499999991E-5</v>
      </c>
      <c r="R4744" s="191">
        <v>1.3370894686727339E-7</v>
      </c>
      <c r="S4744" s="191">
        <v>1.4856549651919266E-8</v>
      </c>
      <c r="T4744" s="191">
        <v>6.6854473433636697E-8</v>
      </c>
      <c r="U4744" s="439"/>
      <c r="V4744" s="439"/>
      <c r="W4744" s="178">
        <v>30000</v>
      </c>
      <c r="X4744" s="172">
        <f t="shared" si="13"/>
        <v>0.33333333333333331</v>
      </c>
      <c r="Y4744" s="172">
        <f t="shared" si="13"/>
        <v>0.33333333333333331</v>
      </c>
      <c r="Z4744" s="172">
        <f t="shared" si="13"/>
        <v>0.33333333333333331</v>
      </c>
      <c r="AA4744" s="195"/>
      <c r="AB4744" s="159"/>
    </row>
    <row r="4745" spans="1:28" ht="12.75" customHeight="1" x14ac:dyDescent="0.3">
      <c r="A4745" s="161">
        <v>745</v>
      </c>
      <c r="B4745" s="159" t="s">
        <v>3348</v>
      </c>
      <c r="C4745" s="160" t="s">
        <v>3349</v>
      </c>
      <c r="D4745" s="160" t="s">
        <v>618</v>
      </c>
      <c r="E4745" s="545">
        <v>10.54</v>
      </c>
      <c r="F4745" s="161">
        <v>122.17</v>
      </c>
      <c r="G4745" s="191"/>
      <c r="H4745" s="191">
        <v>11.866666663699998</v>
      </c>
      <c r="I4745" s="191">
        <v>4570</v>
      </c>
      <c r="J4745" s="191"/>
      <c r="K4745" s="191">
        <v>301.99517204020168</v>
      </c>
      <c r="L4745" s="191"/>
      <c r="M4745" s="191"/>
      <c r="N4745" s="191"/>
      <c r="O4745" s="191"/>
      <c r="P4745" s="191"/>
      <c r="Q4745" s="191">
        <v>6.0150000000000005E-5</v>
      </c>
      <c r="R4745" s="191">
        <v>5.3483578746909358E-7</v>
      </c>
      <c r="S4745" s="191">
        <v>5.9426198607677063E-8</v>
      </c>
      <c r="T4745" s="191">
        <v>2.6741789373454679E-7</v>
      </c>
      <c r="U4745" s="439"/>
      <c r="V4745" s="439"/>
      <c r="W4745" s="178">
        <v>30000</v>
      </c>
      <c r="X4745" s="172">
        <f t="shared" si="13"/>
        <v>0.33333333333333331</v>
      </c>
      <c r="Y4745" s="172">
        <f t="shared" si="13"/>
        <v>0.33333333333333331</v>
      </c>
      <c r="Z4745" s="172">
        <f t="shared" si="13"/>
        <v>0.33333333333333331</v>
      </c>
      <c r="AA4745" s="195"/>
      <c r="AB4745" s="159"/>
    </row>
    <row r="4746" spans="1:28" ht="12.75" customHeight="1" x14ac:dyDescent="0.3">
      <c r="A4746" s="161">
        <v>746</v>
      </c>
      <c r="B4746" s="159" t="s">
        <v>3346</v>
      </c>
      <c r="C4746" s="160" t="s">
        <v>3347</v>
      </c>
      <c r="D4746" s="160" t="s">
        <v>618</v>
      </c>
      <c r="E4746" s="545">
        <v>10.54</v>
      </c>
      <c r="F4746" s="161">
        <v>272.39</v>
      </c>
      <c r="G4746" s="191"/>
      <c r="H4746" s="191">
        <v>2.6533333326699995E-7</v>
      </c>
      <c r="I4746" s="191">
        <v>3.6</v>
      </c>
      <c r="J4746" s="191"/>
      <c r="K4746" s="191">
        <v>10232.929922807549</v>
      </c>
      <c r="L4746" s="191"/>
      <c r="M4746" s="191"/>
      <c r="N4746" s="191"/>
      <c r="O4746" s="191"/>
      <c r="P4746" s="191"/>
      <c r="Q4746" s="191">
        <v>9.2046869999999999E-5</v>
      </c>
      <c r="R4746" s="191">
        <v>2.1393431498763744E-7</v>
      </c>
      <c r="S4746" s="191">
        <v>2.3770479443070826E-8</v>
      </c>
      <c r="T4746" s="191">
        <v>1.0696715749381872E-7</v>
      </c>
      <c r="U4746" s="439"/>
      <c r="V4746" s="439"/>
      <c r="W4746" s="178">
        <v>30000</v>
      </c>
      <c r="X4746" s="172">
        <f t="shared" si="13"/>
        <v>0.33333333333333331</v>
      </c>
      <c r="Y4746" s="172">
        <f t="shared" si="13"/>
        <v>0.33333333333333331</v>
      </c>
      <c r="Z4746" s="172">
        <f t="shared" si="13"/>
        <v>0.33333333333333331</v>
      </c>
      <c r="AA4746" s="195"/>
      <c r="AB4746" s="159"/>
    </row>
    <row r="4747" spans="1:28" ht="12.75" customHeight="1" x14ac:dyDescent="0.3">
      <c r="A4747" s="161">
        <v>747</v>
      </c>
      <c r="B4747" s="159" t="s">
        <v>3350</v>
      </c>
      <c r="C4747" s="160" t="s">
        <v>3351</v>
      </c>
      <c r="D4747" s="160" t="s">
        <v>618</v>
      </c>
      <c r="E4747" s="545">
        <v>10.57</v>
      </c>
      <c r="F4747" s="161">
        <v>152.19</v>
      </c>
      <c r="G4747" s="191"/>
      <c r="H4747" s="191">
        <v>2.7199999993199997E-2</v>
      </c>
      <c r="I4747" s="191">
        <v>10170</v>
      </c>
      <c r="J4747" s="191"/>
      <c r="K4747" s="191">
        <v>48.977881936844632</v>
      </c>
      <c r="L4747" s="191"/>
      <c r="M4747" s="191"/>
      <c r="N4747" s="191"/>
      <c r="O4747" s="191"/>
      <c r="P4747" s="191"/>
      <c r="Q4747" s="191">
        <v>1.4427700500000001E-4</v>
      </c>
      <c r="R4747" s="191">
        <v>5.3483578746909358E-7</v>
      </c>
      <c r="S4747" s="191">
        <v>5.9426198607677063E-8</v>
      </c>
      <c r="T4747" s="191">
        <v>2.6741789373454679E-7</v>
      </c>
      <c r="U4747" s="439"/>
      <c r="V4747" s="439"/>
      <c r="W4747" s="178">
        <v>30000</v>
      </c>
      <c r="X4747" s="172">
        <f t="shared" si="13"/>
        <v>0.33333333333333331</v>
      </c>
      <c r="Y4747" s="172">
        <f t="shared" si="13"/>
        <v>0.33333333333333331</v>
      </c>
      <c r="Z4747" s="172">
        <f t="shared" si="13"/>
        <v>0.33333333333333331</v>
      </c>
      <c r="AA4747" s="195"/>
      <c r="AB4747" s="159"/>
    </row>
    <row r="4748" spans="1:28" ht="12.75" customHeight="1" x14ac:dyDescent="0.3">
      <c r="A4748" s="161">
        <v>748</v>
      </c>
      <c r="B4748" s="159" t="s">
        <v>3352</v>
      </c>
      <c r="C4748" s="160" t="s">
        <v>3353</v>
      </c>
      <c r="D4748" s="160" t="s">
        <v>618</v>
      </c>
      <c r="E4748" s="545">
        <v>10.6</v>
      </c>
      <c r="F4748" s="161">
        <v>122.17</v>
      </c>
      <c r="G4748" s="191"/>
      <c r="H4748" s="191">
        <v>13.599999996599998</v>
      </c>
      <c r="I4748" s="191">
        <v>7870</v>
      </c>
      <c r="J4748" s="191"/>
      <c r="K4748" s="191">
        <v>199.52623149688802</v>
      </c>
      <c r="L4748" s="191"/>
      <c r="M4748" s="191"/>
      <c r="N4748" s="191"/>
      <c r="O4748" s="191"/>
      <c r="P4748" s="191"/>
      <c r="Q4748" s="191">
        <v>5.3624999999999996E-5</v>
      </c>
      <c r="R4748" s="191">
        <v>5.3483578746909358E-7</v>
      </c>
      <c r="S4748" s="191">
        <v>5.9426198607677063E-8</v>
      </c>
      <c r="T4748" s="191">
        <v>2.0056342030091009E-6</v>
      </c>
      <c r="U4748" s="439"/>
      <c r="V4748" s="439"/>
      <c r="W4748" s="178">
        <v>30000</v>
      </c>
      <c r="X4748" s="172">
        <f t="shared" si="13"/>
        <v>0.33333333333333331</v>
      </c>
      <c r="Y4748" s="172">
        <f t="shared" si="13"/>
        <v>0.33333333333333331</v>
      </c>
      <c r="Z4748" s="172">
        <f t="shared" si="13"/>
        <v>0.33333333333333331</v>
      </c>
      <c r="AA4748" s="195"/>
      <c r="AB4748" s="159"/>
    </row>
    <row r="4749" spans="1:28" ht="12.75" customHeight="1" x14ac:dyDescent="0.3">
      <c r="A4749" s="161">
        <v>749</v>
      </c>
      <c r="B4749" s="159" t="s">
        <v>3354</v>
      </c>
      <c r="C4749" s="160" t="s">
        <v>3355</v>
      </c>
      <c r="D4749" s="160" t="s">
        <v>618</v>
      </c>
      <c r="E4749" s="545">
        <v>10.61</v>
      </c>
      <c r="F4749" s="161">
        <v>62.13</v>
      </c>
      <c r="G4749" s="191"/>
      <c r="H4749" s="191">
        <v>70533.333315700002</v>
      </c>
      <c r="I4749" s="191">
        <v>15600</v>
      </c>
      <c r="J4749" s="191"/>
      <c r="K4749" s="191">
        <v>18.62087136662868</v>
      </c>
      <c r="L4749" s="191"/>
      <c r="M4749" s="191"/>
      <c r="N4749" s="191"/>
      <c r="O4749" s="191"/>
      <c r="P4749" s="191"/>
      <c r="Q4749" s="191">
        <v>3.5099999999999999E-5</v>
      </c>
      <c r="R4749" s="191">
        <v>5.3483578746909358E-7</v>
      </c>
      <c r="S4749" s="191">
        <v>5.9426198607677063E-8</v>
      </c>
      <c r="T4749" s="191">
        <v>2.6741789373454679E-7</v>
      </c>
      <c r="U4749" s="439"/>
      <c r="V4749" s="439"/>
      <c r="W4749" s="178">
        <v>30000</v>
      </c>
      <c r="X4749" s="172">
        <f t="shared" si="13"/>
        <v>0.33333333333333331</v>
      </c>
      <c r="Y4749" s="172">
        <f t="shared" si="13"/>
        <v>0.33333333333333331</v>
      </c>
      <c r="Z4749" s="172">
        <f t="shared" si="13"/>
        <v>0.33333333333333331</v>
      </c>
      <c r="AA4749" s="195"/>
      <c r="AB4749" s="159"/>
    </row>
    <row r="4750" spans="1:28" ht="12.75" customHeight="1" x14ac:dyDescent="0.3">
      <c r="A4750" s="161">
        <v>750</v>
      </c>
      <c r="B4750" s="159" t="s">
        <v>3356</v>
      </c>
      <c r="C4750" s="160" t="s">
        <v>3357</v>
      </c>
      <c r="D4750" s="160" t="s">
        <v>618</v>
      </c>
      <c r="E4750" s="545">
        <v>10.62</v>
      </c>
      <c r="F4750" s="161">
        <v>122.17</v>
      </c>
      <c r="G4750" s="191"/>
      <c r="H4750" s="191">
        <v>22.799999994300002</v>
      </c>
      <c r="I4750" s="191">
        <v>6050</v>
      </c>
      <c r="J4750" s="191"/>
      <c r="K4750" s="191">
        <v>229.08676527677744</v>
      </c>
      <c r="L4750" s="191"/>
      <c r="M4750" s="191"/>
      <c r="N4750" s="191"/>
      <c r="O4750" s="191"/>
      <c r="P4750" s="191"/>
      <c r="Q4750" s="191">
        <v>4.9425000000000002E-5</v>
      </c>
      <c r="R4750" s="191">
        <v>5.3483578746909358E-7</v>
      </c>
      <c r="S4750" s="191">
        <v>5.9426198607677063E-8</v>
      </c>
      <c r="T4750" s="191">
        <v>2.6741789373454679E-7</v>
      </c>
      <c r="U4750" s="439"/>
      <c r="V4750" s="439"/>
      <c r="W4750" s="178">
        <v>30000</v>
      </c>
      <c r="X4750" s="172">
        <f t="shared" si="13"/>
        <v>0.33333333333333331</v>
      </c>
      <c r="Y4750" s="172">
        <f t="shared" si="13"/>
        <v>0.33333333333333331</v>
      </c>
      <c r="Z4750" s="172">
        <f t="shared" si="13"/>
        <v>0.33333333333333331</v>
      </c>
      <c r="AA4750" s="195"/>
      <c r="AB4750" s="159"/>
    </row>
    <row r="4751" spans="1:28" ht="12.75" customHeight="1" x14ac:dyDescent="0.3">
      <c r="A4751" s="161">
        <v>751</v>
      </c>
      <c r="B4751" s="159" t="s">
        <v>3358</v>
      </c>
      <c r="C4751" s="160" t="s">
        <v>3359</v>
      </c>
      <c r="D4751" s="160" t="s">
        <v>618</v>
      </c>
      <c r="E4751" s="545">
        <v>10.62</v>
      </c>
      <c r="F4751" s="161">
        <v>150.22</v>
      </c>
      <c r="G4751" s="191"/>
      <c r="H4751" s="191">
        <v>0.29333333326</v>
      </c>
      <c r="I4751" s="191">
        <v>900</v>
      </c>
      <c r="J4751" s="191"/>
      <c r="K4751" s="191">
        <v>1995.2623149688804</v>
      </c>
      <c r="L4751" s="191"/>
      <c r="M4751" s="191"/>
      <c r="N4751" s="191"/>
      <c r="O4751" s="191"/>
      <c r="P4751" s="191"/>
      <c r="Q4751" s="191">
        <v>8.0436712499999999E-5</v>
      </c>
      <c r="R4751" s="191">
        <v>5.3483578746909358E-7</v>
      </c>
      <c r="S4751" s="191">
        <v>5.9426198607677063E-8</v>
      </c>
      <c r="T4751" s="191">
        <v>1.6045073624072808E-6</v>
      </c>
      <c r="U4751" s="439"/>
      <c r="V4751" s="439"/>
      <c r="W4751" s="178">
        <v>30000</v>
      </c>
      <c r="X4751" s="172">
        <f t="shared" si="13"/>
        <v>0.33333333333333331</v>
      </c>
      <c r="Y4751" s="172">
        <f t="shared" si="13"/>
        <v>0.33333333333333331</v>
      </c>
      <c r="Z4751" s="172">
        <f t="shared" si="13"/>
        <v>0.33333333333333331</v>
      </c>
      <c r="AA4751" s="195"/>
      <c r="AB4751" s="159"/>
    </row>
    <row r="4752" spans="1:28" ht="12.75" customHeight="1" x14ac:dyDescent="0.3">
      <c r="A4752" s="161">
        <v>752</v>
      </c>
      <c r="B4752" s="159" t="s">
        <v>3360</v>
      </c>
      <c r="C4752" s="160" t="s">
        <v>3361</v>
      </c>
      <c r="D4752" s="160" t="s">
        <v>618</v>
      </c>
      <c r="E4752" s="545">
        <v>10.63</v>
      </c>
      <c r="F4752" s="161">
        <v>318.38</v>
      </c>
      <c r="G4752" s="191"/>
      <c r="H4752" s="191">
        <v>6.5999999983499992E-9</v>
      </c>
      <c r="I4752" s="191">
        <v>19.899999999999999</v>
      </c>
      <c r="J4752" s="191"/>
      <c r="K4752" s="191">
        <v>6606.9344800759654</v>
      </c>
      <c r="L4752" s="191"/>
      <c r="M4752" s="191"/>
      <c r="N4752" s="191"/>
      <c r="O4752" s="191"/>
      <c r="P4752" s="191"/>
      <c r="Q4752" s="191">
        <v>1.622230875E-4</v>
      </c>
      <c r="R4752" s="191">
        <v>2.1393431498763744E-7</v>
      </c>
      <c r="S4752" s="191">
        <v>2.3770479443070826E-8</v>
      </c>
      <c r="T4752" s="191">
        <v>1.0696715749381872E-7</v>
      </c>
      <c r="U4752" s="439"/>
      <c r="V4752" s="439"/>
      <c r="W4752" s="178">
        <v>30000</v>
      </c>
      <c r="X4752" s="172">
        <f t="shared" si="13"/>
        <v>0.33333333333333331</v>
      </c>
      <c r="Y4752" s="172">
        <f t="shared" si="13"/>
        <v>0.33333333333333331</v>
      </c>
      <c r="Z4752" s="172">
        <f t="shared" si="13"/>
        <v>0.33333333333333331</v>
      </c>
      <c r="AA4752" s="195"/>
      <c r="AB4752" s="159"/>
    </row>
    <row r="4753" spans="1:28" ht="12.75" customHeight="1" x14ac:dyDescent="0.3">
      <c r="A4753" s="161">
        <v>753</v>
      </c>
      <c r="B4753" s="159" t="s">
        <v>3362</v>
      </c>
      <c r="C4753" s="160" t="s">
        <v>3363</v>
      </c>
      <c r="D4753" s="160" t="s">
        <v>618</v>
      </c>
      <c r="E4753" s="545">
        <v>10.67</v>
      </c>
      <c r="F4753" s="161">
        <v>136.19999999999999</v>
      </c>
      <c r="G4753" s="191"/>
      <c r="H4753" s="191">
        <v>0.50666666653999992</v>
      </c>
      <c r="I4753" s="191">
        <v>762</v>
      </c>
      <c r="J4753" s="191"/>
      <c r="K4753" s="191">
        <v>1412.5375446227545</v>
      </c>
      <c r="L4753" s="191"/>
      <c r="M4753" s="191"/>
      <c r="N4753" s="191"/>
      <c r="O4753" s="191"/>
      <c r="P4753" s="191"/>
      <c r="Q4753" s="191">
        <v>1.5041100000000001E-4</v>
      </c>
      <c r="R4753" s="191">
        <v>2.1393431498763744E-7</v>
      </c>
      <c r="S4753" s="191">
        <v>2.3770479443070826E-8</v>
      </c>
      <c r="T4753" s="191">
        <v>1.0696715749381872E-7</v>
      </c>
      <c r="U4753" s="439"/>
      <c r="V4753" s="439"/>
      <c r="W4753" s="178">
        <v>30000</v>
      </c>
      <c r="X4753" s="172">
        <f t="shared" si="13"/>
        <v>0.33333333333333331</v>
      </c>
      <c r="Y4753" s="172">
        <f t="shared" si="13"/>
        <v>0.33333333333333331</v>
      </c>
      <c r="Z4753" s="172">
        <f t="shared" si="13"/>
        <v>0.33333333333333331</v>
      </c>
      <c r="AA4753" s="195"/>
      <c r="AB4753" s="159"/>
    </row>
    <row r="4754" spans="1:28" ht="12.75" customHeight="1" x14ac:dyDescent="0.3">
      <c r="A4754" s="161">
        <v>754</v>
      </c>
      <c r="B4754" s="159" t="s">
        <v>3364</v>
      </c>
      <c r="C4754" s="160" t="s">
        <v>3365</v>
      </c>
      <c r="D4754" s="160" t="s">
        <v>618</v>
      </c>
      <c r="E4754" s="545">
        <v>10.78</v>
      </c>
      <c r="F4754" s="161">
        <v>90.18</v>
      </c>
      <c r="G4754" s="191"/>
      <c r="H4754" s="191">
        <v>6066.66666515</v>
      </c>
      <c r="I4754" s="191">
        <v>597</v>
      </c>
      <c r="J4754" s="191"/>
      <c r="K4754" s="191">
        <v>190.54607179632481</v>
      </c>
      <c r="L4754" s="191"/>
      <c r="M4754" s="191"/>
      <c r="N4754" s="191"/>
      <c r="O4754" s="191"/>
      <c r="P4754" s="191"/>
      <c r="Q4754" s="191">
        <v>3.8250000000000001E-5</v>
      </c>
      <c r="R4754" s="191">
        <v>9.2532143160742838E-7</v>
      </c>
      <c r="S4754" s="191">
        <v>1.0281349240082538E-7</v>
      </c>
      <c r="T4754" s="191">
        <v>4.6266071580371419E-7</v>
      </c>
      <c r="U4754" s="439"/>
      <c r="V4754" s="439"/>
      <c r="W4754" s="178">
        <v>30000</v>
      </c>
      <c r="X4754" s="172">
        <f t="shared" si="13"/>
        <v>0.33333333333333331</v>
      </c>
      <c r="Y4754" s="172">
        <f t="shared" si="13"/>
        <v>0.33333333333333331</v>
      </c>
      <c r="Z4754" s="172">
        <f t="shared" si="13"/>
        <v>0.33333333333333331</v>
      </c>
      <c r="AA4754" s="195"/>
      <c r="AB4754" s="159"/>
    </row>
    <row r="4755" spans="1:28" ht="12.75" customHeight="1" x14ac:dyDescent="0.3">
      <c r="A4755" s="161">
        <v>755</v>
      </c>
      <c r="B4755" s="159" t="s">
        <v>3366</v>
      </c>
      <c r="C4755" s="160" t="s">
        <v>1587</v>
      </c>
      <c r="D4755" s="160" t="s">
        <v>618</v>
      </c>
      <c r="E4755" s="545">
        <v>10.85</v>
      </c>
      <c r="F4755" s="161">
        <v>110.11</v>
      </c>
      <c r="G4755" s="191"/>
      <c r="H4755" s="191">
        <v>3.1999999991999999E-3</v>
      </c>
      <c r="I4755" s="191">
        <v>72000</v>
      </c>
      <c r="J4755" s="191"/>
      <c r="K4755" s="191">
        <v>3.8904514499428067</v>
      </c>
      <c r="L4755" s="191"/>
      <c r="M4755" s="191"/>
      <c r="N4755" s="191"/>
      <c r="O4755" s="191"/>
      <c r="P4755" s="191"/>
      <c r="Q4755" s="191">
        <v>1.741764E-5</v>
      </c>
      <c r="R4755" s="191">
        <v>5.3483578746909358E-7</v>
      </c>
      <c r="S4755" s="191">
        <v>5.9426198607677063E-8</v>
      </c>
      <c r="T4755" s="191">
        <v>2.6741789373454679E-7</v>
      </c>
      <c r="U4755" s="439"/>
      <c r="V4755" s="439"/>
      <c r="W4755" s="178">
        <v>30000</v>
      </c>
      <c r="X4755" s="172">
        <f t="shared" si="13"/>
        <v>0.33333333333333331</v>
      </c>
      <c r="Y4755" s="172">
        <f t="shared" si="13"/>
        <v>0.33333333333333331</v>
      </c>
      <c r="Z4755" s="172">
        <f t="shared" si="13"/>
        <v>0.33333333333333331</v>
      </c>
      <c r="AA4755" s="195"/>
      <c r="AB4755" s="159"/>
    </row>
    <row r="4756" spans="1:28" ht="12.75" customHeight="1" x14ac:dyDescent="0.3">
      <c r="A4756" s="234">
        <v>756</v>
      </c>
      <c r="B4756" s="598" t="s">
        <v>3367</v>
      </c>
      <c r="C4756" s="235" t="s">
        <v>3368</v>
      </c>
      <c r="D4756" s="235" t="s">
        <v>618</v>
      </c>
      <c r="E4756" s="594">
        <v>10.86</v>
      </c>
      <c r="F4756" s="234">
        <v>136.19999999999999</v>
      </c>
      <c r="G4756" s="238"/>
      <c r="H4756" s="238">
        <v>2.3199999994199998</v>
      </c>
      <c r="I4756" s="238">
        <v>1200</v>
      </c>
      <c r="J4756" s="238"/>
      <c r="K4756" s="238">
        <v>537.03179637025301</v>
      </c>
      <c r="L4756" s="238"/>
      <c r="M4756" s="238"/>
      <c r="N4756" s="238"/>
      <c r="O4756" s="238"/>
      <c r="P4756" s="238"/>
      <c r="Q4756" s="238">
        <v>1.8322882499999999E-5</v>
      </c>
      <c r="R4756" s="238">
        <v>2.1393431498763744E-7</v>
      </c>
      <c r="S4756" s="238">
        <v>2.3770479443070826E-8</v>
      </c>
      <c r="T4756" s="238">
        <v>1.0696715749381872E-7</v>
      </c>
      <c r="U4756" s="537"/>
      <c r="V4756" s="537"/>
      <c r="W4756" s="596">
        <v>30000</v>
      </c>
      <c r="X4756" s="597">
        <f t="shared" si="13"/>
        <v>0.33333333333333331</v>
      </c>
      <c r="Y4756" s="597">
        <f t="shared" si="13"/>
        <v>0.33333333333333331</v>
      </c>
      <c r="Z4756" s="597">
        <f t="shared" si="13"/>
        <v>0.33333333333333331</v>
      </c>
      <c r="AA4756" s="195"/>
      <c r="AB4756" s="159"/>
    </row>
    <row r="4757" spans="1:28" ht="12.75" customHeight="1" x14ac:dyDescent="0.3">
      <c r="A4757" s="161">
        <v>757</v>
      </c>
      <c r="B4757" s="159" t="s">
        <v>3369</v>
      </c>
      <c r="C4757" s="160" t="s">
        <v>3370</v>
      </c>
      <c r="D4757" s="160" t="s">
        <v>619</v>
      </c>
      <c r="E4757" s="545">
        <v>3.03</v>
      </c>
      <c r="F4757" s="161">
        <v>152.15</v>
      </c>
      <c r="G4757" s="191"/>
      <c r="H4757" s="191">
        <v>0.31333333325500001</v>
      </c>
      <c r="I4757" s="191">
        <v>1402</v>
      </c>
      <c r="J4757" s="191"/>
      <c r="K4757" s="191">
        <v>104.71285480508998</v>
      </c>
      <c r="L4757" s="191"/>
      <c r="M4757" s="191"/>
      <c r="N4757" s="191"/>
      <c r="O4757" s="191"/>
      <c r="P4757" s="191"/>
      <c r="Q4757" s="191">
        <v>8.7497099999999993E-6</v>
      </c>
      <c r="R4757" s="191">
        <v>2.1393431498763744E-7</v>
      </c>
      <c r="S4757" s="191">
        <v>2.3770479443070826E-8</v>
      </c>
      <c r="T4757" s="191">
        <v>1.0696715749381872E-7</v>
      </c>
      <c r="U4757" s="439"/>
      <c r="V4757" s="439"/>
      <c r="W4757" s="178">
        <v>30000</v>
      </c>
      <c r="X4757" s="172">
        <f t="shared" si="13"/>
        <v>0.33333333333333331</v>
      </c>
      <c r="Y4757" s="172">
        <f t="shared" si="13"/>
        <v>0.33333333333333331</v>
      </c>
      <c r="Z4757" s="172">
        <f t="shared" si="13"/>
        <v>0.33333333333333331</v>
      </c>
      <c r="AA4757" s="195"/>
      <c r="AB4757" s="159"/>
    </row>
    <row r="4758" spans="1:28" ht="12.75" customHeight="1" x14ac:dyDescent="0.3">
      <c r="A4758" s="161">
        <v>758</v>
      </c>
      <c r="B4758" s="159" t="s">
        <v>3371</v>
      </c>
      <c r="C4758" s="160" t="s">
        <v>3372</v>
      </c>
      <c r="D4758" s="160" t="s">
        <v>619</v>
      </c>
      <c r="E4758" s="545">
        <v>3.05</v>
      </c>
      <c r="F4758" s="161">
        <v>141.6</v>
      </c>
      <c r="G4758" s="191"/>
      <c r="H4758" s="191">
        <v>17.4666666623</v>
      </c>
      <c r="I4758" s="191">
        <v>953.9</v>
      </c>
      <c r="J4758" s="191"/>
      <c r="K4758" s="191">
        <v>186.20871366628685</v>
      </c>
      <c r="L4758" s="191"/>
      <c r="M4758" s="191"/>
      <c r="N4758" s="191"/>
      <c r="O4758" s="191"/>
      <c r="P4758" s="191"/>
      <c r="Q4758" s="191">
        <v>2.8998232499999998E-5</v>
      </c>
      <c r="R4758" s="191">
        <v>2.1393431498763744E-7</v>
      </c>
      <c r="S4758" s="191">
        <v>2.3770479443070826E-8</v>
      </c>
      <c r="T4758" s="191">
        <v>1.0696715749381872E-7</v>
      </c>
      <c r="U4758" s="439"/>
      <c r="V4758" s="439"/>
      <c r="W4758" s="178">
        <v>30000</v>
      </c>
      <c r="X4758" s="172">
        <f t="shared" si="13"/>
        <v>0.33333333333333331</v>
      </c>
      <c r="Y4758" s="172">
        <f t="shared" si="13"/>
        <v>0.33333333333333331</v>
      </c>
      <c r="Z4758" s="172">
        <f t="shared" si="13"/>
        <v>0.33333333333333331</v>
      </c>
      <c r="AA4758" s="195"/>
      <c r="AB4758" s="159"/>
    </row>
    <row r="4759" spans="1:28" ht="12.75" customHeight="1" x14ac:dyDescent="0.3">
      <c r="A4759" s="161">
        <v>759</v>
      </c>
      <c r="B4759" s="159" t="s">
        <v>3373</v>
      </c>
      <c r="C4759" s="160" t="s">
        <v>3374</v>
      </c>
      <c r="D4759" s="160" t="s">
        <v>619</v>
      </c>
      <c r="E4759" s="545">
        <v>3.09</v>
      </c>
      <c r="F4759" s="161">
        <v>131.18</v>
      </c>
      <c r="G4759" s="191"/>
      <c r="H4759" s="191">
        <v>95.599999976099994</v>
      </c>
      <c r="I4759" s="191">
        <v>76260</v>
      </c>
      <c r="J4759" s="191"/>
      <c r="K4759" s="191">
        <v>18.62087136662868</v>
      </c>
      <c r="L4759" s="191"/>
      <c r="M4759" s="191"/>
      <c r="N4759" s="191"/>
      <c r="O4759" s="191"/>
      <c r="P4759" s="191"/>
      <c r="Q4759" s="191">
        <v>8.4793949999999998E-5</v>
      </c>
      <c r="R4759" s="191">
        <v>2.1393431498763744E-7</v>
      </c>
      <c r="S4759" s="191">
        <v>2.3770479443070826E-8</v>
      </c>
      <c r="T4759" s="191">
        <v>1.0696715749381872E-7</v>
      </c>
      <c r="U4759" s="439"/>
      <c r="V4759" s="439"/>
      <c r="W4759" s="178">
        <v>30000</v>
      </c>
      <c r="X4759" s="172">
        <f t="shared" si="13"/>
        <v>0.33333333333333331</v>
      </c>
      <c r="Y4759" s="172">
        <f t="shared" si="13"/>
        <v>0.33333333333333331</v>
      </c>
      <c r="Z4759" s="172">
        <f t="shared" si="13"/>
        <v>0.33333333333333331</v>
      </c>
      <c r="AA4759" s="195"/>
      <c r="AB4759" s="159"/>
    </row>
    <row r="4760" spans="1:28" ht="12.75" customHeight="1" x14ac:dyDescent="0.3">
      <c r="A4760" s="161">
        <v>760</v>
      </c>
      <c r="B4760" s="159" t="s">
        <v>3375</v>
      </c>
      <c r="C4760" s="160" t="s">
        <v>3376</v>
      </c>
      <c r="D4760" s="160" t="s">
        <v>619</v>
      </c>
      <c r="E4760" s="545">
        <v>3.09</v>
      </c>
      <c r="F4760" s="161">
        <v>271.38</v>
      </c>
      <c r="G4760" s="191"/>
      <c r="H4760" s="191">
        <v>3.7999999990499999E-5</v>
      </c>
      <c r="I4760" s="191">
        <v>320</v>
      </c>
      <c r="J4760" s="191"/>
      <c r="K4760" s="191">
        <v>660.69344800759643</v>
      </c>
      <c r="L4760" s="191"/>
      <c r="M4760" s="191"/>
      <c r="N4760" s="191"/>
      <c r="O4760" s="191"/>
      <c r="P4760" s="191"/>
      <c r="Q4760" s="191">
        <v>3.167019E-5</v>
      </c>
      <c r="R4760" s="191">
        <v>1.3370894686727339E-7</v>
      </c>
      <c r="S4760" s="191">
        <v>1.4856549651919266E-8</v>
      </c>
      <c r="T4760" s="191">
        <v>6.6854473433636697E-8</v>
      </c>
      <c r="U4760" s="439"/>
      <c r="V4760" s="439"/>
      <c r="W4760" s="178">
        <v>30000</v>
      </c>
      <c r="X4760" s="172">
        <f t="shared" si="13"/>
        <v>0.33333333333333331</v>
      </c>
      <c r="Y4760" s="172">
        <f t="shared" si="13"/>
        <v>0.33333333333333331</v>
      </c>
      <c r="Z4760" s="172">
        <f t="shared" si="13"/>
        <v>0.33333333333333331</v>
      </c>
      <c r="AA4760" s="195"/>
      <c r="AB4760" s="159"/>
    </row>
    <row r="4761" spans="1:28" ht="12.75" customHeight="1" x14ac:dyDescent="0.3">
      <c r="A4761" s="161">
        <v>761</v>
      </c>
      <c r="B4761" s="159" t="s">
        <v>3379</v>
      </c>
      <c r="C4761" s="160" t="s">
        <v>3380</v>
      </c>
      <c r="D4761" s="160" t="s">
        <v>619</v>
      </c>
      <c r="E4761" s="545">
        <v>3.1</v>
      </c>
      <c r="F4761" s="161">
        <v>162.24</v>
      </c>
      <c r="G4761" s="191"/>
      <c r="H4761" s="191">
        <v>5.0666666653999997</v>
      </c>
      <c r="I4761" s="191">
        <v>1000000</v>
      </c>
      <c r="J4761" s="191"/>
      <c r="K4761" s="191">
        <v>14.791083881682074</v>
      </c>
      <c r="L4761" s="191"/>
      <c r="M4761" s="191"/>
      <c r="N4761" s="191"/>
      <c r="O4761" s="191"/>
      <c r="P4761" s="191"/>
      <c r="Q4761" s="191">
        <v>6.8243812499999996E-5</v>
      </c>
      <c r="R4761" s="191">
        <v>2.1393431498763744E-7</v>
      </c>
      <c r="S4761" s="191">
        <v>2.3770479443070826E-8</v>
      </c>
      <c r="T4761" s="191">
        <v>4.0112684060182019E-6</v>
      </c>
      <c r="U4761" s="439"/>
      <c r="V4761" s="439"/>
      <c r="W4761" s="178">
        <v>30000</v>
      </c>
      <c r="X4761" s="172">
        <f t="shared" si="13"/>
        <v>0.33333333333333331</v>
      </c>
      <c r="Y4761" s="172">
        <f t="shared" si="13"/>
        <v>0.33333333333333331</v>
      </c>
      <c r="Z4761" s="172">
        <f t="shared" si="13"/>
        <v>0.33333333333333331</v>
      </c>
      <c r="AA4761" s="195"/>
      <c r="AB4761" s="159"/>
    </row>
    <row r="4762" spans="1:28" ht="12.75" customHeight="1" x14ac:dyDescent="0.3">
      <c r="A4762" s="161">
        <v>762</v>
      </c>
      <c r="B4762" s="159" t="s">
        <v>3377</v>
      </c>
      <c r="C4762" s="160" t="s">
        <v>3378</v>
      </c>
      <c r="D4762" s="160" t="s">
        <v>619</v>
      </c>
      <c r="E4762" s="545">
        <v>3.1</v>
      </c>
      <c r="F4762" s="161">
        <v>154.13</v>
      </c>
      <c r="G4762" s="191"/>
      <c r="H4762" s="191">
        <v>1.98666666617E-3</v>
      </c>
      <c r="I4762" s="191">
        <v>925</v>
      </c>
      <c r="J4762" s="191"/>
      <c r="K4762" s="191">
        <v>18.197008586099841</v>
      </c>
      <c r="L4762" s="191"/>
      <c r="M4762" s="191"/>
      <c r="N4762" s="191"/>
      <c r="O4762" s="191"/>
      <c r="P4762" s="191"/>
      <c r="Q4762" s="191">
        <v>5.223015E-6</v>
      </c>
      <c r="R4762" s="191">
        <v>2.1393431498763744E-7</v>
      </c>
      <c r="S4762" s="191">
        <v>2.3770479443070826E-8</v>
      </c>
      <c r="T4762" s="191">
        <v>1.0696715749381872E-7</v>
      </c>
      <c r="U4762" s="439"/>
      <c r="V4762" s="439"/>
      <c r="W4762" s="178">
        <v>30000</v>
      </c>
      <c r="X4762" s="172">
        <f t="shared" si="13"/>
        <v>0.33333333333333331</v>
      </c>
      <c r="Y4762" s="172">
        <f t="shared" si="13"/>
        <v>0.33333333333333331</v>
      </c>
      <c r="Z4762" s="172">
        <f t="shared" si="13"/>
        <v>0.33333333333333331</v>
      </c>
      <c r="AA4762" s="195"/>
      <c r="AB4762" s="159"/>
    </row>
    <row r="4763" spans="1:28" ht="12.75" customHeight="1" x14ac:dyDescent="0.3">
      <c r="A4763" s="161">
        <v>763</v>
      </c>
      <c r="B4763" s="159" t="s">
        <v>3381</v>
      </c>
      <c r="C4763" s="160" t="s">
        <v>3382</v>
      </c>
      <c r="D4763" s="160" t="s">
        <v>619</v>
      </c>
      <c r="E4763" s="545">
        <v>3.11</v>
      </c>
      <c r="F4763" s="161">
        <v>294.75</v>
      </c>
      <c r="G4763" s="191"/>
      <c r="H4763" s="191">
        <v>1.3186666663369999E-6</v>
      </c>
      <c r="I4763" s="191">
        <v>1.486</v>
      </c>
      <c r="J4763" s="191"/>
      <c r="K4763" s="191">
        <v>2089.2961308540398</v>
      </c>
      <c r="L4763" s="191"/>
      <c r="M4763" s="191"/>
      <c r="N4763" s="191"/>
      <c r="O4763" s="191"/>
      <c r="P4763" s="191"/>
      <c r="Q4763" s="191">
        <v>5.7278100000000003E-6</v>
      </c>
      <c r="R4763" s="191">
        <v>2.1393431498763744E-7</v>
      </c>
      <c r="S4763" s="191">
        <v>2.3770479443070826E-8</v>
      </c>
      <c r="T4763" s="191">
        <v>1.0696715749381872E-7</v>
      </c>
      <c r="U4763" s="439"/>
      <c r="V4763" s="439"/>
      <c r="W4763" s="178">
        <v>30000</v>
      </c>
      <c r="X4763" s="172">
        <f t="shared" si="13"/>
        <v>0.33333333333333331</v>
      </c>
      <c r="Y4763" s="172">
        <f t="shared" si="13"/>
        <v>0.33333333333333331</v>
      </c>
      <c r="Z4763" s="172">
        <f t="shared" si="13"/>
        <v>0.33333333333333331</v>
      </c>
      <c r="AA4763" s="195"/>
      <c r="AB4763" s="159"/>
    </row>
    <row r="4764" spans="1:28" ht="12.75" customHeight="1" x14ac:dyDescent="0.3">
      <c r="A4764" s="161">
        <v>764</v>
      </c>
      <c r="B4764" s="159" t="s">
        <v>3383</v>
      </c>
      <c r="C4764" s="160" t="s">
        <v>3384</v>
      </c>
      <c r="D4764" s="160" t="s">
        <v>619</v>
      </c>
      <c r="E4764" s="545">
        <v>3.11</v>
      </c>
      <c r="F4764" s="161">
        <v>253.37</v>
      </c>
      <c r="G4764" s="191"/>
      <c r="H4764" s="191">
        <v>4.8933333321100002E-4</v>
      </c>
      <c r="I4764" s="191">
        <v>7.5170000000000003</v>
      </c>
      <c r="J4764" s="191"/>
      <c r="K4764" s="191">
        <v>11748.975549395318</v>
      </c>
      <c r="L4764" s="191"/>
      <c r="M4764" s="191"/>
      <c r="N4764" s="191"/>
      <c r="O4764" s="191"/>
      <c r="P4764" s="191"/>
      <c r="Q4764" s="191">
        <v>1.8092624999999999E-6</v>
      </c>
      <c r="R4764" s="191">
        <v>1.3370894686727339E-7</v>
      </c>
      <c r="S4764" s="191">
        <v>1.4856549651919266E-8</v>
      </c>
      <c r="T4764" s="191">
        <v>6.6854473433636697E-8</v>
      </c>
      <c r="U4764" s="439"/>
      <c r="V4764" s="439"/>
      <c r="W4764" s="178">
        <v>30000</v>
      </c>
      <c r="X4764" s="172">
        <f t="shared" si="13"/>
        <v>0.33333333333333331</v>
      </c>
      <c r="Y4764" s="172">
        <f t="shared" si="13"/>
        <v>0.33333333333333331</v>
      </c>
      <c r="Z4764" s="172">
        <f t="shared" si="13"/>
        <v>0.33333333333333331</v>
      </c>
      <c r="AA4764" s="195"/>
      <c r="AB4764" s="159"/>
    </row>
    <row r="4765" spans="1:28" ht="12.75" customHeight="1" x14ac:dyDescent="0.3">
      <c r="A4765" s="161">
        <v>765</v>
      </c>
      <c r="B4765" s="159" t="s">
        <v>3385</v>
      </c>
      <c r="C4765" s="160" t="s">
        <v>3386</v>
      </c>
      <c r="D4765" s="160" t="s">
        <v>619</v>
      </c>
      <c r="E4765" s="545">
        <v>3.12</v>
      </c>
      <c r="F4765" s="161">
        <v>364.92</v>
      </c>
      <c r="G4765" s="191"/>
      <c r="H4765" s="191">
        <v>3.26666666585E-11</v>
      </c>
      <c r="I4765" s="191">
        <v>40000</v>
      </c>
      <c r="J4765" s="191"/>
      <c r="K4765" s="191">
        <v>4.1686938347033546</v>
      </c>
      <c r="L4765" s="191"/>
      <c r="M4765" s="191"/>
      <c r="N4765" s="191"/>
      <c r="O4765" s="191"/>
      <c r="P4765" s="191"/>
      <c r="Q4765" s="191">
        <v>3.3063690749999999E-4</v>
      </c>
      <c r="R4765" s="191">
        <v>1.3370894686727339E-7</v>
      </c>
      <c r="S4765" s="191">
        <v>1.4856549651919266E-8</v>
      </c>
      <c r="T4765" s="191">
        <v>6.6854473433636697E-8</v>
      </c>
      <c r="U4765" s="439"/>
      <c r="V4765" s="439"/>
      <c r="W4765" s="178">
        <v>30000</v>
      </c>
      <c r="X4765" s="172">
        <f t="shared" si="13"/>
        <v>0.33333333333333331</v>
      </c>
      <c r="Y4765" s="172">
        <f t="shared" si="13"/>
        <v>0.33333333333333331</v>
      </c>
      <c r="Z4765" s="172">
        <f t="shared" si="13"/>
        <v>0.33333333333333331</v>
      </c>
      <c r="AA4765" s="195"/>
      <c r="AB4765" s="159"/>
    </row>
    <row r="4766" spans="1:28" ht="12.75" customHeight="1" x14ac:dyDescent="0.3">
      <c r="A4766" s="161">
        <v>766</v>
      </c>
      <c r="B4766" s="159" t="s">
        <v>3387</v>
      </c>
      <c r="C4766" s="160" t="s">
        <v>3388</v>
      </c>
      <c r="D4766" s="160" t="s">
        <v>619</v>
      </c>
      <c r="E4766" s="545">
        <v>3.18</v>
      </c>
      <c r="F4766" s="161">
        <v>177.03</v>
      </c>
      <c r="G4766" s="191"/>
      <c r="H4766" s="191">
        <v>4.5999999988499997E-2</v>
      </c>
      <c r="I4766" s="191">
        <v>9735</v>
      </c>
      <c r="J4766" s="191"/>
      <c r="K4766" s="191">
        <v>7.9432823472428176</v>
      </c>
      <c r="L4766" s="191"/>
      <c r="M4766" s="191"/>
      <c r="N4766" s="191"/>
      <c r="O4766" s="191"/>
      <c r="P4766" s="191"/>
      <c r="Q4766" s="191">
        <v>6.5454764999999993E-5</v>
      </c>
      <c r="R4766" s="191">
        <v>1.3370894686727339E-7</v>
      </c>
      <c r="S4766" s="191">
        <v>1.4856549651919266E-8</v>
      </c>
      <c r="T4766" s="191">
        <v>6.6854473433636697E-8</v>
      </c>
      <c r="U4766" s="439"/>
      <c r="V4766" s="439"/>
      <c r="W4766" s="178">
        <v>30000</v>
      </c>
      <c r="X4766" s="172">
        <f t="shared" si="13"/>
        <v>0.33333333333333331</v>
      </c>
      <c r="Y4766" s="172">
        <f t="shared" si="13"/>
        <v>0.33333333333333331</v>
      </c>
      <c r="Z4766" s="172">
        <f t="shared" si="13"/>
        <v>0.33333333333333331</v>
      </c>
      <c r="AA4766" s="195"/>
      <c r="AB4766" s="159"/>
    </row>
    <row r="4767" spans="1:28" ht="12.75" customHeight="1" x14ac:dyDescent="0.3">
      <c r="A4767" s="161">
        <v>767</v>
      </c>
      <c r="B4767" s="159" t="s">
        <v>3389</v>
      </c>
      <c r="C4767" s="160" t="s">
        <v>3390</v>
      </c>
      <c r="D4767" s="160" t="s">
        <v>619</v>
      </c>
      <c r="E4767" s="545">
        <v>3.2</v>
      </c>
      <c r="F4767" s="161">
        <v>253.13</v>
      </c>
      <c r="G4767" s="191"/>
      <c r="H4767" s="191">
        <v>5.5466666652799999E-4</v>
      </c>
      <c r="I4767" s="191">
        <v>3.1</v>
      </c>
      <c r="J4767" s="191"/>
      <c r="K4767" s="191">
        <v>3235.9365692962833</v>
      </c>
      <c r="L4767" s="191"/>
      <c r="M4767" s="191"/>
      <c r="N4767" s="191"/>
      <c r="O4767" s="191"/>
      <c r="P4767" s="191"/>
      <c r="Q4767" s="191">
        <v>2.96777625E-5</v>
      </c>
      <c r="R4767" s="191">
        <v>1.3370894686727339E-7</v>
      </c>
      <c r="S4767" s="191">
        <v>1.4856549651919266E-8</v>
      </c>
      <c r="T4767" s="191">
        <v>6.6854473433636697E-8</v>
      </c>
      <c r="U4767" s="439"/>
      <c r="V4767" s="439"/>
      <c r="W4767" s="178">
        <v>30000</v>
      </c>
      <c r="X4767" s="172">
        <f t="shared" si="13"/>
        <v>0.33333333333333331</v>
      </c>
      <c r="Y4767" s="172">
        <f t="shared" si="13"/>
        <v>0.33333333333333331</v>
      </c>
      <c r="Z4767" s="172">
        <f t="shared" si="13"/>
        <v>0.33333333333333331</v>
      </c>
      <c r="AA4767" s="195"/>
      <c r="AB4767" s="159"/>
    </row>
    <row r="4768" spans="1:28" ht="12.75" customHeight="1" x14ac:dyDescent="0.3">
      <c r="A4768" s="161">
        <v>768</v>
      </c>
      <c r="B4768" s="159" t="s">
        <v>3391</v>
      </c>
      <c r="C4768" s="160" t="s">
        <v>3392</v>
      </c>
      <c r="D4768" s="160" t="s">
        <v>619</v>
      </c>
      <c r="E4768" s="545">
        <v>3.23</v>
      </c>
      <c r="F4768" s="161">
        <v>60.06</v>
      </c>
      <c r="G4768" s="191"/>
      <c r="H4768" s="191">
        <v>16.933333329099998</v>
      </c>
      <c r="I4768" s="191">
        <v>1000000</v>
      </c>
      <c r="J4768" s="191"/>
      <c r="K4768" s="191">
        <v>8.9125093813374554E-3</v>
      </c>
      <c r="L4768" s="191"/>
      <c r="M4768" s="191"/>
      <c r="N4768" s="191"/>
      <c r="O4768" s="191"/>
      <c r="P4768" s="191"/>
      <c r="Q4768" s="191">
        <v>4.1250000000000003E-6</v>
      </c>
      <c r="R4768" s="191">
        <v>5.3483578746909358E-7</v>
      </c>
      <c r="S4768" s="191">
        <v>5.9426198607677063E-8</v>
      </c>
      <c r="T4768" s="191">
        <v>2.6741789373454679E-7</v>
      </c>
      <c r="U4768" s="439"/>
      <c r="V4768" s="439"/>
      <c r="W4768" s="178">
        <v>30000</v>
      </c>
      <c r="X4768" s="172">
        <f t="shared" si="13"/>
        <v>0.33333333333333331</v>
      </c>
      <c r="Y4768" s="172">
        <f t="shared" si="13"/>
        <v>0.33333333333333331</v>
      </c>
      <c r="Z4768" s="172">
        <f t="shared" si="13"/>
        <v>0.33333333333333331</v>
      </c>
      <c r="AA4768" s="195"/>
      <c r="AB4768" s="159"/>
    </row>
    <row r="4769" spans="1:28" ht="12.75" customHeight="1" x14ac:dyDescent="0.3">
      <c r="A4769" s="161">
        <v>769</v>
      </c>
      <c r="B4769" s="159" t="s">
        <v>3393</v>
      </c>
      <c r="C4769" s="160" t="s">
        <v>3394</v>
      </c>
      <c r="D4769" s="160" t="s">
        <v>619</v>
      </c>
      <c r="E4769" s="545">
        <v>3.24</v>
      </c>
      <c r="F4769" s="161">
        <v>74.08</v>
      </c>
      <c r="G4769" s="191"/>
      <c r="H4769" s="191">
        <v>5.3999999986500002</v>
      </c>
      <c r="I4769" s="191">
        <v>146500</v>
      </c>
      <c r="J4769" s="191"/>
      <c r="K4769" s="191">
        <v>2.6302679918953804E-2</v>
      </c>
      <c r="L4769" s="191"/>
      <c r="M4769" s="191"/>
      <c r="N4769" s="191"/>
      <c r="O4769" s="191"/>
      <c r="P4769" s="191"/>
      <c r="Q4769" s="191">
        <v>4.2014999999999995E-6</v>
      </c>
      <c r="R4769" s="191">
        <v>5.3483578746909358E-7</v>
      </c>
      <c r="S4769" s="191">
        <v>5.9426198607677063E-8</v>
      </c>
      <c r="T4769" s="191">
        <v>2.6741789373454679E-7</v>
      </c>
      <c r="U4769" s="439"/>
      <c r="V4769" s="439"/>
      <c r="W4769" s="178">
        <v>30000</v>
      </c>
      <c r="X4769" s="172">
        <f t="shared" si="13"/>
        <v>0.33333333333333331</v>
      </c>
      <c r="Y4769" s="172">
        <f t="shared" si="13"/>
        <v>0.33333333333333331</v>
      </c>
      <c r="Z4769" s="172">
        <f t="shared" si="13"/>
        <v>0.33333333333333331</v>
      </c>
      <c r="AA4769" s="195"/>
      <c r="AB4769" s="159"/>
    </row>
    <row r="4770" spans="1:28" ht="12.75" customHeight="1" x14ac:dyDescent="0.3">
      <c r="A4770" s="161">
        <v>770</v>
      </c>
      <c r="B4770" s="159" t="s">
        <v>3395</v>
      </c>
      <c r="C4770" s="160" t="s">
        <v>3396</v>
      </c>
      <c r="D4770" s="160" t="s">
        <v>619</v>
      </c>
      <c r="E4770" s="545">
        <v>3.31</v>
      </c>
      <c r="F4770" s="161">
        <v>177.29</v>
      </c>
      <c r="G4770" s="191"/>
      <c r="H4770" s="191">
        <v>2.4933333327100002</v>
      </c>
      <c r="I4770" s="191">
        <v>109.2</v>
      </c>
      <c r="J4770" s="191"/>
      <c r="K4770" s="191">
        <v>1513.5612484362093</v>
      </c>
      <c r="L4770" s="191"/>
      <c r="M4770" s="191"/>
      <c r="N4770" s="191"/>
      <c r="O4770" s="191"/>
      <c r="P4770" s="191"/>
      <c r="Q4770" s="191">
        <v>1.2032435999999999E-4</v>
      </c>
      <c r="R4770" s="191">
        <v>2.1393431498763744E-7</v>
      </c>
      <c r="S4770" s="191">
        <v>2.3770479443070826E-8</v>
      </c>
      <c r="T4770" s="191">
        <v>1.0696715749381872E-7</v>
      </c>
      <c r="U4770" s="439"/>
      <c r="V4770" s="439"/>
      <c r="W4770" s="178">
        <v>30000</v>
      </c>
      <c r="X4770" s="172">
        <f t="shared" ref="X4770:Z4833" si="14">1/3</f>
        <v>0.33333333333333331</v>
      </c>
      <c r="Y4770" s="172">
        <f t="shared" si="14"/>
        <v>0.33333333333333331</v>
      </c>
      <c r="Z4770" s="172">
        <f t="shared" si="14"/>
        <v>0.33333333333333331</v>
      </c>
      <c r="AA4770" s="195"/>
      <c r="AB4770" s="159"/>
    </row>
    <row r="4771" spans="1:28" ht="12.75" customHeight="1" x14ac:dyDescent="0.3">
      <c r="A4771" s="161">
        <v>771</v>
      </c>
      <c r="B4771" s="159" t="s">
        <v>3397</v>
      </c>
      <c r="C4771" s="160" t="s">
        <v>3398</v>
      </c>
      <c r="D4771" s="160" t="s">
        <v>619</v>
      </c>
      <c r="E4771" s="545">
        <v>3.35</v>
      </c>
      <c r="F4771" s="161">
        <v>74.08</v>
      </c>
      <c r="G4771" s="191"/>
      <c r="H4771" s="191">
        <v>427.99999989299999</v>
      </c>
      <c r="I4771" s="191">
        <v>1000000</v>
      </c>
      <c r="J4771" s="191"/>
      <c r="K4771" s="191">
        <v>6.7608297539198132E-3</v>
      </c>
      <c r="L4771" s="191"/>
      <c r="M4771" s="191"/>
      <c r="N4771" s="191"/>
      <c r="O4771" s="191"/>
      <c r="P4771" s="191"/>
      <c r="Q4771" s="191">
        <v>1.2198599999999999E-5</v>
      </c>
      <c r="R4771" s="191">
        <v>5.3483578746909358E-7</v>
      </c>
      <c r="S4771" s="191">
        <v>5.9426198607677063E-8</v>
      </c>
      <c r="T4771" s="191">
        <v>2.6741789373454679E-7</v>
      </c>
      <c r="U4771" s="439"/>
      <c r="V4771" s="439"/>
      <c r="W4771" s="178">
        <v>30000</v>
      </c>
      <c r="X4771" s="172">
        <f t="shared" si="14"/>
        <v>0.33333333333333331</v>
      </c>
      <c r="Y4771" s="172">
        <f t="shared" si="14"/>
        <v>0.33333333333333331</v>
      </c>
      <c r="Z4771" s="172">
        <f t="shared" si="14"/>
        <v>0.33333333333333331</v>
      </c>
      <c r="AA4771" s="195"/>
      <c r="AB4771" s="159"/>
    </row>
    <row r="4772" spans="1:28" ht="12.75" customHeight="1" x14ac:dyDescent="0.3">
      <c r="A4772" s="161">
        <v>772</v>
      </c>
      <c r="B4772" s="159" t="s">
        <v>3399</v>
      </c>
      <c r="C4772" s="160" t="s">
        <v>3400</v>
      </c>
      <c r="D4772" s="160" t="s">
        <v>619</v>
      </c>
      <c r="E4772" s="545">
        <v>3.37</v>
      </c>
      <c r="F4772" s="161">
        <v>163.13999999999999</v>
      </c>
      <c r="G4772" s="191"/>
      <c r="H4772" s="191">
        <v>2.3066666660899999E-5</v>
      </c>
      <c r="I4772" s="191">
        <v>1412</v>
      </c>
      <c r="J4772" s="191"/>
      <c r="K4772" s="191">
        <v>31.622776601683803</v>
      </c>
      <c r="L4772" s="191"/>
      <c r="M4772" s="191"/>
      <c r="N4772" s="191"/>
      <c r="O4772" s="191"/>
      <c r="P4772" s="191"/>
      <c r="Q4772" s="191">
        <v>3.3744525000000001E-6</v>
      </c>
      <c r="R4772" s="191">
        <v>2.1393431498763744E-7</v>
      </c>
      <c r="S4772" s="191">
        <v>2.3770479443070826E-8</v>
      </c>
      <c r="T4772" s="191">
        <v>1.0696715749381872E-7</v>
      </c>
      <c r="U4772" s="439"/>
      <c r="V4772" s="439"/>
      <c r="W4772" s="178">
        <v>30000</v>
      </c>
      <c r="X4772" s="172">
        <f t="shared" si="14"/>
        <v>0.33333333333333331</v>
      </c>
      <c r="Y4772" s="172">
        <f t="shared" si="14"/>
        <v>0.33333333333333331</v>
      </c>
      <c r="Z4772" s="172">
        <f t="shared" si="14"/>
        <v>0.33333333333333331</v>
      </c>
      <c r="AA4772" s="195"/>
      <c r="AB4772" s="159"/>
    </row>
    <row r="4773" spans="1:28" ht="12.75" customHeight="1" x14ac:dyDescent="0.3">
      <c r="A4773" s="161">
        <v>773</v>
      </c>
      <c r="B4773" s="159" t="s">
        <v>3401</v>
      </c>
      <c r="C4773" s="160" t="s">
        <v>3402</v>
      </c>
      <c r="D4773" s="160" t="s">
        <v>619</v>
      </c>
      <c r="E4773" s="545">
        <v>3.38</v>
      </c>
      <c r="F4773" s="161">
        <v>221.65</v>
      </c>
      <c r="G4773" s="191"/>
      <c r="H4773" s="191">
        <v>5.9999999984999997E-5</v>
      </c>
      <c r="I4773" s="191">
        <v>400</v>
      </c>
      <c r="J4773" s="191"/>
      <c r="K4773" s="191">
        <v>13.803842646028851</v>
      </c>
      <c r="L4773" s="191"/>
      <c r="M4773" s="191"/>
      <c r="N4773" s="191"/>
      <c r="O4773" s="191"/>
      <c r="P4773" s="191"/>
      <c r="Q4773" s="191">
        <v>3.0155639999999999E-5</v>
      </c>
      <c r="R4773" s="191">
        <v>2.1393431498763744E-7</v>
      </c>
      <c r="S4773" s="191">
        <v>2.3770479443070826E-8</v>
      </c>
      <c r="T4773" s="191">
        <v>2.3119702628346981E-7</v>
      </c>
      <c r="U4773" s="439"/>
      <c r="V4773" s="439"/>
      <c r="W4773" s="178">
        <v>30000</v>
      </c>
      <c r="X4773" s="172">
        <f t="shared" si="14"/>
        <v>0.33333333333333331</v>
      </c>
      <c r="Y4773" s="172">
        <f t="shared" si="14"/>
        <v>0.33333333333333331</v>
      </c>
      <c r="Z4773" s="172">
        <f t="shared" si="14"/>
        <v>0.33333333333333331</v>
      </c>
      <c r="AA4773" s="195"/>
      <c r="AB4773" s="159"/>
    </row>
    <row r="4774" spans="1:28" ht="12.75" customHeight="1" x14ac:dyDescent="0.3">
      <c r="A4774" s="161">
        <v>774</v>
      </c>
      <c r="B4774" s="159" t="s">
        <v>3403</v>
      </c>
      <c r="C4774" s="160" t="s">
        <v>3404</v>
      </c>
      <c r="D4774" s="160" t="s">
        <v>619</v>
      </c>
      <c r="E4774" s="545">
        <v>3.4</v>
      </c>
      <c r="F4774" s="161">
        <v>284.75</v>
      </c>
      <c r="G4774" s="191"/>
      <c r="H4774" s="191">
        <v>1.35999999966E-5</v>
      </c>
      <c r="I4774" s="191">
        <v>50</v>
      </c>
      <c r="J4774" s="191"/>
      <c r="K4774" s="191">
        <v>660.69344800759643</v>
      </c>
      <c r="L4774" s="191"/>
      <c r="M4774" s="191"/>
      <c r="N4774" s="191"/>
      <c r="O4774" s="191"/>
      <c r="P4774" s="191"/>
      <c r="Q4774" s="191">
        <v>7.4272275E-6</v>
      </c>
      <c r="R4774" s="191">
        <v>2.1393431498763744E-7</v>
      </c>
      <c r="S4774" s="191">
        <v>2.3770479443070826E-8</v>
      </c>
      <c r="T4774" s="191">
        <v>1.0696715749381872E-7</v>
      </c>
      <c r="U4774" s="439"/>
      <c r="V4774" s="439"/>
      <c r="W4774" s="178">
        <v>30000</v>
      </c>
      <c r="X4774" s="172">
        <f t="shared" si="14"/>
        <v>0.33333333333333331</v>
      </c>
      <c r="Y4774" s="172">
        <f t="shared" si="14"/>
        <v>0.33333333333333331</v>
      </c>
      <c r="Z4774" s="172">
        <f t="shared" si="14"/>
        <v>0.33333333333333331</v>
      </c>
      <c r="AA4774" s="195"/>
      <c r="AB4774" s="159"/>
    </row>
    <row r="4775" spans="1:28" ht="12.75" customHeight="1" x14ac:dyDescent="0.3">
      <c r="A4775" s="161">
        <v>775</v>
      </c>
      <c r="B4775" s="159" t="s">
        <v>3405</v>
      </c>
      <c r="C4775" s="160" t="s">
        <v>3406</v>
      </c>
      <c r="D4775" s="160" t="s">
        <v>619</v>
      </c>
      <c r="E4775" s="545">
        <v>3.41</v>
      </c>
      <c r="F4775" s="161">
        <v>206.27</v>
      </c>
      <c r="G4775" s="191"/>
      <c r="H4775" s="191">
        <v>7.2799999981800007E-5</v>
      </c>
      <c r="I4775" s="191">
        <v>2635</v>
      </c>
      <c r="J4775" s="191"/>
      <c r="K4775" s="191">
        <v>24.547089156850305</v>
      </c>
      <c r="L4775" s="191"/>
      <c r="M4775" s="191"/>
      <c r="N4775" s="191"/>
      <c r="O4775" s="191"/>
      <c r="P4775" s="191"/>
      <c r="Q4775" s="191">
        <v>6.0665280000000002E-5</v>
      </c>
      <c r="R4775" s="191">
        <v>2.1393431498763744E-7</v>
      </c>
      <c r="S4775" s="191">
        <v>2.3770479443070826E-8</v>
      </c>
      <c r="T4775" s="191">
        <v>1.0696715749381872E-7</v>
      </c>
      <c r="U4775" s="439"/>
      <c r="V4775" s="439"/>
      <c r="W4775" s="178">
        <v>30000</v>
      </c>
      <c r="X4775" s="172">
        <f t="shared" si="14"/>
        <v>0.33333333333333331</v>
      </c>
      <c r="Y4775" s="172">
        <f t="shared" si="14"/>
        <v>0.33333333333333331</v>
      </c>
      <c r="Z4775" s="172">
        <f t="shared" si="14"/>
        <v>0.33333333333333331</v>
      </c>
      <c r="AA4775" s="195"/>
      <c r="AB4775" s="159"/>
    </row>
    <row r="4776" spans="1:28" ht="12.75" customHeight="1" x14ac:dyDescent="0.3">
      <c r="A4776" s="161">
        <v>776</v>
      </c>
      <c r="B4776" s="159" t="s">
        <v>3407</v>
      </c>
      <c r="C4776" s="160" t="s">
        <v>3408</v>
      </c>
      <c r="D4776" s="160" t="s">
        <v>619</v>
      </c>
      <c r="E4776" s="545">
        <v>3.43</v>
      </c>
      <c r="F4776" s="161">
        <v>239.32</v>
      </c>
      <c r="G4776" s="191"/>
      <c r="H4776" s="191">
        <v>1.5333333329499998E-3</v>
      </c>
      <c r="I4776" s="191">
        <v>0.4</v>
      </c>
      <c r="J4776" s="191"/>
      <c r="K4776" s="191">
        <v>69183.097091893651</v>
      </c>
      <c r="L4776" s="191"/>
      <c r="M4776" s="191"/>
      <c r="N4776" s="191"/>
      <c r="O4776" s="191"/>
      <c r="P4776" s="191"/>
      <c r="Q4776" s="191">
        <v>1.12625715E-4</v>
      </c>
      <c r="R4776" s="191">
        <v>1.3370894686727339E-7</v>
      </c>
      <c r="S4776" s="191">
        <v>1.4856549651919266E-8</v>
      </c>
      <c r="T4776" s="191">
        <v>6.6854473433636697E-8</v>
      </c>
      <c r="U4776" s="439"/>
      <c r="V4776" s="439"/>
      <c r="W4776" s="178">
        <v>30000</v>
      </c>
      <c r="X4776" s="172">
        <f t="shared" si="14"/>
        <v>0.33333333333333331</v>
      </c>
      <c r="Y4776" s="172">
        <f t="shared" si="14"/>
        <v>0.33333333333333331</v>
      </c>
      <c r="Z4776" s="172">
        <f t="shared" si="14"/>
        <v>0.33333333333333331</v>
      </c>
      <c r="AA4776" s="195"/>
      <c r="AB4776" s="159"/>
    </row>
    <row r="4777" spans="1:28" ht="12.75" customHeight="1" x14ac:dyDescent="0.3">
      <c r="A4777" s="161">
        <v>777</v>
      </c>
      <c r="B4777" s="159" t="s">
        <v>3411</v>
      </c>
      <c r="C4777" s="160" t="s">
        <v>3412</v>
      </c>
      <c r="D4777" s="160" t="s">
        <v>619</v>
      </c>
      <c r="E4777" s="545">
        <v>3.44</v>
      </c>
      <c r="F4777" s="161">
        <v>434.81</v>
      </c>
      <c r="G4777" s="191"/>
      <c r="H4777" s="191">
        <v>3.6666666657499999E-10</v>
      </c>
      <c r="I4777" s="191">
        <v>15</v>
      </c>
      <c r="J4777" s="191"/>
      <c r="K4777" s="191">
        <v>2.5118864315095806</v>
      </c>
      <c r="L4777" s="191"/>
      <c r="M4777" s="191"/>
      <c r="N4777" s="191"/>
      <c r="O4777" s="191"/>
      <c r="P4777" s="191"/>
      <c r="Q4777" s="191">
        <v>1.5225959999999998E-4</v>
      </c>
      <c r="R4777" s="191">
        <v>1.3370894686727339E-7</v>
      </c>
      <c r="S4777" s="191">
        <v>1.4856549651919266E-8</v>
      </c>
      <c r="T4777" s="191">
        <v>5.7303834371688594E-7</v>
      </c>
      <c r="U4777" s="439"/>
      <c r="V4777" s="439"/>
      <c r="W4777" s="178">
        <v>30000</v>
      </c>
      <c r="X4777" s="172">
        <f t="shared" si="14"/>
        <v>0.33333333333333331</v>
      </c>
      <c r="Y4777" s="172">
        <f t="shared" si="14"/>
        <v>0.33333333333333331</v>
      </c>
      <c r="Z4777" s="172">
        <f t="shared" si="14"/>
        <v>0.33333333333333331</v>
      </c>
      <c r="AA4777" s="195"/>
      <c r="AB4777" s="159"/>
    </row>
    <row r="4778" spans="1:28" ht="12.75" customHeight="1" x14ac:dyDescent="0.3">
      <c r="A4778" s="161">
        <v>778</v>
      </c>
      <c r="B4778" s="159" t="s">
        <v>3409</v>
      </c>
      <c r="C4778" s="160" t="s">
        <v>3410</v>
      </c>
      <c r="D4778" s="160" t="s">
        <v>619</v>
      </c>
      <c r="E4778" s="545">
        <v>3.44</v>
      </c>
      <c r="F4778" s="161">
        <v>149.19999999999999</v>
      </c>
      <c r="G4778" s="191"/>
      <c r="H4778" s="191">
        <v>16.266666662599999</v>
      </c>
      <c r="I4778" s="191">
        <v>469.6</v>
      </c>
      <c r="J4778" s="191"/>
      <c r="K4778" s="191">
        <v>389.04514499428063</v>
      </c>
      <c r="L4778" s="191"/>
      <c r="M4778" s="191"/>
      <c r="N4778" s="191"/>
      <c r="O4778" s="191"/>
      <c r="P4778" s="191"/>
      <c r="Q4778" s="191">
        <v>2.4767099999999998E-6</v>
      </c>
      <c r="R4778" s="191">
        <v>5.3483578746909358E-7</v>
      </c>
      <c r="S4778" s="191">
        <v>5.9426198607677063E-8</v>
      </c>
      <c r="T4778" s="191">
        <v>2.6741789373454679E-7</v>
      </c>
      <c r="U4778" s="439"/>
      <c r="V4778" s="439"/>
      <c r="W4778" s="178">
        <v>30000</v>
      </c>
      <c r="X4778" s="172">
        <f t="shared" si="14"/>
        <v>0.33333333333333331</v>
      </c>
      <c r="Y4778" s="172">
        <f t="shared" si="14"/>
        <v>0.33333333333333331</v>
      </c>
      <c r="Z4778" s="172">
        <f t="shared" si="14"/>
        <v>0.33333333333333331</v>
      </c>
      <c r="AA4778" s="195"/>
      <c r="AB4778" s="159"/>
    </row>
    <row r="4779" spans="1:28" ht="12.75" customHeight="1" x14ac:dyDescent="0.3">
      <c r="A4779" s="161">
        <v>779</v>
      </c>
      <c r="B4779" s="159" t="s">
        <v>3413</v>
      </c>
      <c r="C4779" s="160" t="s">
        <v>3414</v>
      </c>
      <c r="D4779" s="160" t="s">
        <v>619</v>
      </c>
      <c r="E4779" s="545">
        <v>3.48</v>
      </c>
      <c r="F4779" s="161">
        <v>213.24</v>
      </c>
      <c r="G4779" s="191"/>
      <c r="H4779" s="191">
        <v>5.1333333320499998E-4</v>
      </c>
      <c r="I4779" s="191">
        <v>5.2290000000000001</v>
      </c>
      <c r="J4779" s="191"/>
      <c r="K4779" s="191">
        <v>1621.8100973589308</v>
      </c>
      <c r="L4779" s="191"/>
      <c r="M4779" s="191"/>
      <c r="N4779" s="191"/>
      <c r="O4779" s="191"/>
      <c r="P4779" s="191"/>
      <c r="Q4779" s="191">
        <v>1.2915725249999999E-4</v>
      </c>
      <c r="R4779" s="191">
        <v>2.1393431498763744E-7</v>
      </c>
      <c r="S4779" s="191">
        <v>2.3770479443070826E-8</v>
      </c>
      <c r="T4779" s="191">
        <v>1.0696715749381872E-7</v>
      </c>
      <c r="U4779" s="439"/>
      <c r="V4779" s="439"/>
      <c r="W4779" s="178">
        <v>30000</v>
      </c>
      <c r="X4779" s="172">
        <f t="shared" si="14"/>
        <v>0.33333333333333331</v>
      </c>
      <c r="Y4779" s="172">
        <f t="shared" si="14"/>
        <v>0.33333333333333331</v>
      </c>
      <c r="Z4779" s="172">
        <f t="shared" si="14"/>
        <v>0.33333333333333331</v>
      </c>
      <c r="AA4779" s="195"/>
      <c r="AB4779" s="159"/>
    </row>
    <row r="4780" spans="1:28" ht="12.75" customHeight="1" x14ac:dyDescent="0.3">
      <c r="A4780" s="161">
        <v>780</v>
      </c>
      <c r="B4780" s="159" t="s">
        <v>3415</v>
      </c>
      <c r="C4780" s="160" t="s">
        <v>3416</v>
      </c>
      <c r="D4780" s="160" t="s">
        <v>619</v>
      </c>
      <c r="E4780" s="545">
        <v>3.51</v>
      </c>
      <c r="F4780" s="161">
        <v>470.48</v>
      </c>
      <c r="G4780" s="191"/>
      <c r="H4780" s="191">
        <v>8.813333331129999E-8</v>
      </c>
      <c r="I4780" s="191">
        <v>18</v>
      </c>
      <c r="J4780" s="191"/>
      <c r="K4780" s="191">
        <v>9.7723722095581103</v>
      </c>
      <c r="L4780" s="191"/>
      <c r="M4780" s="191"/>
      <c r="N4780" s="191"/>
      <c r="O4780" s="191"/>
      <c r="P4780" s="191"/>
      <c r="Q4780" s="191">
        <v>1.5881789999999999E-4</v>
      </c>
      <c r="R4780" s="191">
        <v>1.3370894686727339E-7</v>
      </c>
      <c r="S4780" s="191">
        <v>1.4856549651919266E-8</v>
      </c>
      <c r="T4780" s="191">
        <v>3.3427236716818347E-7</v>
      </c>
      <c r="U4780" s="439"/>
      <c r="V4780" s="439"/>
      <c r="W4780" s="178">
        <v>30000</v>
      </c>
      <c r="X4780" s="172">
        <f t="shared" si="14"/>
        <v>0.33333333333333331</v>
      </c>
      <c r="Y4780" s="172">
        <f t="shared" si="14"/>
        <v>0.33333333333333331</v>
      </c>
      <c r="Z4780" s="172">
        <f t="shared" si="14"/>
        <v>0.33333333333333331</v>
      </c>
      <c r="AA4780" s="195"/>
      <c r="AB4780" s="159"/>
    </row>
    <row r="4781" spans="1:28" ht="12.75" customHeight="1" x14ac:dyDescent="0.3">
      <c r="A4781" s="161">
        <v>781</v>
      </c>
      <c r="B4781" s="159" t="s">
        <v>3419</v>
      </c>
      <c r="C4781" s="160" t="s">
        <v>3420</v>
      </c>
      <c r="D4781" s="160" t="s">
        <v>619</v>
      </c>
      <c r="E4781" s="545">
        <v>3.52</v>
      </c>
      <c r="F4781" s="161">
        <v>199.26</v>
      </c>
      <c r="G4781" s="191"/>
      <c r="H4781" s="191">
        <v>2.19999999945E-3</v>
      </c>
      <c r="I4781" s="191">
        <v>121</v>
      </c>
      <c r="J4781" s="191"/>
      <c r="K4781" s="191">
        <v>691.83097091893671</v>
      </c>
      <c r="L4781" s="191"/>
      <c r="M4781" s="191"/>
      <c r="N4781" s="191"/>
      <c r="O4781" s="191"/>
      <c r="P4781" s="191"/>
      <c r="Q4781" s="191">
        <v>1.50204E-4</v>
      </c>
      <c r="R4781" s="191">
        <v>2.1393431498763744E-7</v>
      </c>
      <c r="S4781" s="191">
        <v>2.3770479443070826E-8</v>
      </c>
      <c r="T4781" s="191">
        <v>2.7195040040801367E-7</v>
      </c>
      <c r="U4781" s="439"/>
      <c r="V4781" s="439"/>
      <c r="W4781" s="178">
        <v>30000</v>
      </c>
      <c r="X4781" s="172">
        <f t="shared" si="14"/>
        <v>0.33333333333333331</v>
      </c>
      <c r="Y4781" s="172">
        <f t="shared" si="14"/>
        <v>0.33333333333333331</v>
      </c>
      <c r="Z4781" s="172">
        <f t="shared" si="14"/>
        <v>0.33333333333333331</v>
      </c>
      <c r="AA4781" s="195"/>
      <c r="AB4781" s="159"/>
    </row>
    <row r="4782" spans="1:28" ht="12.75" customHeight="1" x14ac:dyDescent="0.3">
      <c r="A4782" s="161">
        <v>782</v>
      </c>
      <c r="B4782" s="159" t="s">
        <v>3417</v>
      </c>
      <c r="C4782" s="160" t="s">
        <v>3418</v>
      </c>
      <c r="D4782" s="160" t="s">
        <v>619</v>
      </c>
      <c r="E4782" s="545">
        <v>3.52</v>
      </c>
      <c r="F4782" s="161">
        <v>127.57</v>
      </c>
      <c r="G4782" s="191"/>
      <c r="H4782" s="191">
        <v>8.7999999978000005</v>
      </c>
      <c r="I4782" s="191">
        <v>5400</v>
      </c>
      <c r="J4782" s="191"/>
      <c r="K4782" s="191">
        <v>75.857757502918361</v>
      </c>
      <c r="L4782" s="191"/>
      <c r="M4782" s="191"/>
      <c r="N4782" s="191"/>
      <c r="O4782" s="191"/>
      <c r="P4782" s="191"/>
      <c r="Q4782" s="191">
        <v>5.6793839999999994E-5</v>
      </c>
      <c r="R4782" s="191">
        <v>2.1393431498763744E-7</v>
      </c>
      <c r="S4782" s="191">
        <v>2.3770479443070826E-8</v>
      </c>
      <c r="T4782" s="191">
        <v>1.0696715749381872E-7</v>
      </c>
      <c r="U4782" s="439"/>
      <c r="V4782" s="439"/>
      <c r="W4782" s="178">
        <v>30000</v>
      </c>
      <c r="X4782" s="172">
        <f t="shared" si="14"/>
        <v>0.33333333333333331</v>
      </c>
      <c r="Y4782" s="172">
        <f t="shared" si="14"/>
        <v>0.33333333333333331</v>
      </c>
      <c r="Z4782" s="172">
        <f t="shared" si="14"/>
        <v>0.33333333333333331</v>
      </c>
      <c r="AA4782" s="195"/>
      <c r="AB4782" s="159"/>
    </row>
    <row r="4783" spans="1:28" ht="12.75" customHeight="1" x14ac:dyDescent="0.3">
      <c r="A4783" s="161">
        <v>783</v>
      </c>
      <c r="B4783" s="159" t="s">
        <v>3421</v>
      </c>
      <c r="C4783" s="160" t="s">
        <v>3422</v>
      </c>
      <c r="D4783" s="160" t="s">
        <v>619</v>
      </c>
      <c r="E4783" s="545">
        <v>3.52</v>
      </c>
      <c r="F4783" s="161">
        <v>165.19</v>
      </c>
      <c r="G4783" s="191"/>
      <c r="H4783" s="191">
        <v>1.9333333328499999E-2</v>
      </c>
      <c r="I4783" s="191">
        <v>100000</v>
      </c>
      <c r="J4783" s="191"/>
      <c r="K4783" s="191">
        <v>63.095734448019364</v>
      </c>
      <c r="L4783" s="191"/>
      <c r="M4783" s="191"/>
      <c r="N4783" s="191"/>
      <c r="O4783" s="191"/>
      <c r="P4783" s="191"/>
      <c r="Q4783" s="191">
        <v>1.949283E-5</v>
      </c>
      <c r="R4783" s="191">
        <v>5.3483578746909358E-7</v>
      </c>
      <c r="S4783" s="191">
        <v>5.9426198607677063E-8</v>
      </c>
      <c r="T4783" s="191">
        <v>2.6741789373454679E-7</v>
      </c>
      <c r="U4783" s="439"/>
      <c r="V4783" s="439"/>
      <c r="W4783" s="178">
        <v>30000</v>
      </c>
      <c r="X4783" s="172">
        <f t="shared" si="14"/>
        <v>0.33333333333333331</v>
      </c>
      <c r="Y4783" s="172">
        <f t="shared" si="14"/>
        <v>0.33333333333333331</v>
      </c>
      <c r="Z4783" s="172">
        <f t="shared" si="14"/>
        <v>0.33333333333333331</v>
      </c>
      <c r="AA4783" s="195"/>
      <c r="AB4783" s="159"/>
    </row>
    <row r="4784" spans="1:28" ht="12.75" customHeight="1" x14ac:dyDescent="0.3">
      <c r="A4784" s="161">
        <v>784</v>
      </c>
      <c r="B4784" s="159" t="s">
        <v>3423</v>
      </c>
      <c r="C4784" s="160" t="s">
        <v>3424</v>
      </c>
      <c r="D4784" s="160" t="s">
        <v>619</v>
      </c>
      <c r="E4784" s="545">
        <v>3.53</v>
      </c>
      <c r="F4784" s="161">
        <v>194.24</v>
      </c>
      <c r="G4784" s="191"/>
      <c r="H4784" s="191">
        <v>1.5333333329499999E-4</v>
      </c>
      <c r="I4784" s="191">
        <v>10610</v>
      </c>
      <c r="J4784" s="191"/>
      <c r="K4784" s="191">
        <v>5.6234132519034921</v>
      </c>
      <c r="L4784" s="191"/>
      <c r="M4784" s="191"/>
      <c r="N4784" s="191"/>
      <c r="O4784" s="191"/>
      <c r="P4784" s="191"/>
      <c r="Q4784" s="191">
        <v>1.547065575E-4</v>
      </c>
      <c r="R4784" s="191">
        <v>2.1393431498763744E-7</v>
      </c>
      <c r="S4784" s="191">
        <v>2.3770479443070826E-8</v>
      </c>
      <c r="T4784" s="191">
        <v>1.0696715749381872E-7</v>
      </c>
      <c r="U4784" s="439"/>
      <c r="V4784" s="439"/>
      <c r="W4784" s="178">
        <v>30000</v>
      </c>
      <c r="X4784" s="172">
        <f t="shared" si="14"/>
        <v>0.33333333333333331</v>
      </c>
      <c r="Y4784" s="172">
        <f t="shared" si="14"/>
        <v>0.33333333333333331</v>
      </c>
      <c r="Z4784" s="172">
        <f t="shared" si="14"/>
        <v>0.33333333333333331</v>
      </c>
      <c r="AA4784" s="195"/>
      <c r="AB4784" s="159"/>
    </row>
    <row r="4785" spans="1:28" ht="12.75" customHeight="1" x14ac:dyDescent="0.3">
      <c r="A4785" s="161">
        <v>785</v>
      </c>
      <c r="B4785" s="159" t="s">
        <v>3425</v>
      </c>
      <c r="C4785" s="160" t="s">
        <v>3426</v>
      </c>
      <c r="D4785" s="160" t="s">
        <v>619</v>
      </c>
      <c r="E4785" s="545">
        <v>3.58</v>
      </c>
      <c r="F4785" s="161">
        <v>324.81</v>
      </c>
      <c r="G4785" s="191"/>
      <c r="H4785" s="191">
        <v>1.1866666663699999E-6</v>
      </c>
      <c r="I4785" s="191">
        <v>5.7220000000000004</v>
      </c>
      <c r="J4785" s="191"/>
      <c r="K4785" s="191">
        <v>5370.3179637025269</v>
      </c>
      <c r="L4785" s="191"/>
      <c r="M4785" s="191"/>
      <c r="N4785" s="191"/>
      <c r="O4785" s="191"/>
      <c r="P4785" s="191"/>
      <c r="Q4785" s="191">
        <v>1.06381875E-5</v>
      </c>
      <c r="R4785" s="191">
        <v>1.3370894686727339E-7</v>
      </c>
      <c r="S4785" s="191">
        <v>1.4856549651919266E-8</v>
      </c>
      <c r="T4785" s="191">
        <v>6.6854473433636697E-8</v>
      </c>
      <c r="U4785" s="439"/>
      <c r="V4785" s="439"/>
      <c r="W4785" s="178">
        <v>30000</v>
      </c>
      <c r="X4785" s="172">
        <f t="shared" si="14"/>
        <v>0.33333333333333331</v>
      </c>
      <c r="Y4785" s="172">
        <f t="shared" si="14"/>
        <v>0.33333333333333331</v>
      </c>
      <c r="Z4785" s="172">
        <f t="shared" si="14"/>
        <v>0.33333333333333331</v>
      </c>
      <c r="AA4785" s="195"/>
      <c r="AB4785" s="159"/>
    </row>
    <row r="4786" spans="1:28" ht="12.75" customHeight="1" x14ac:dyDescent="0.3">
      <c r="A4786" s="161">
        <v>786</v>
      </c>
      <c r="B4786" s="159" t="s">
        <v>3427</v>
      </c>
      <c r="C4786" s="160" t="s">
        <v>3428</v>
      </c>
      <c r="D4786" s="160" t="s">
        <v>619</v>
      </c>
      <c r="E4786" s="545">
        <v>3.6</v>
      </c>
      <c r="F4786" s="161">
        <v>76.06</v>
      </c>
      <c r="G4786" s="191"/>
      <c r="H4786" s="191">
        <v>931.99999976699996</v>
      </c>
      <c r="I4786" s="191">
        <v>1000000</v>
      </c>
      <c r="J4786" s="191"/>
      <c r="K4786" s="191">
        <v>3.0902954325135901E-2</v>
      </c>
      <c r="L4786" s="191"/>
      <c r="M4786" s="191"/>
      <c r="N4786" s="191"/>
      <c r="O4786" s="191"/>
      <c r="P4786" s="191"/>
      <c r="Q4786" s="191">
        <v>9.7500000000000006E-8</v>
      </c>
      <c r="R4786" s="191">
        <v>5.3483578746909358E-7</v>
      </c>
      <c r="S4786" s="191">
        <v>5.9426198607677063E-8</v>
      </c>
      <c r="T4786" s="191">
        <v>2.6741789373454679E-7</v>
      </c>
      <c r="U4786" s="439"/>
      <c r="V4786" s="439"/>
      <c r="W4786" s="178">
        <v>30000</v>
      </c>
      <c r="X4786" s="172">
        <f t="shared" si="14"/>
        <v>0.33333333333333331</v>
      </c>
      <c r="Y4786" s="172">
        <f t="shared" si="14"/>
        <v>0.33333333333333331</v>
      </c>
      <c r="Z4786" s="172">
        <f t="shared" si="14"/>
        <v>0.33333333333333331</v>
      </c>
      <c r="AA4786" s="195"/>
      <c r="AB4786" s="159"/>
    </row>
    <row r="4787" spans="1:28" ht="12.75" customHeight="1" x14ac:dyDescent="0.3">
      <c r="A4787" s="161">
        <v>787</v>
      </c>
      <c r="B4787" s="159" t="s">
        <v>3429</v>
      </c>
      <c r="C4787" s="160" t="s">
        <v>3430</v>
      </c>
      <c r="D4787" s="160" t="s">
        <v>619</v>
      </c>
      <c r="E4787" s="545">
        <v>3.61</v>
      </c>
      <c r="F4787" s="161">
        <v>122.13</v>
      </c>
      <c r="G4787" s="191"/>
      <c r="H4787" s="191">
        <v>1.3866666663199998E-2</v>
      </c>
      <c r="I4787" s="191">
        <v>170900</v>
      </c>
      <c r="J4787" s="191"/>
      <c r="K4787" s="191">
        <v>0.52480746024977254</v>
      </c>
      <c r="L4787" s="191"/>
      <c r="M4787" s="191"/>
      <c r="N4787" s="191"/>
      <c r="O4787" s="191"/>
      <c r="P4787" s="191"/>
      <c r="Q4787" s="191">
        <v>1.7529675E-6</v>
      </c>
      <c r="R4787" s="191">
        <v>2.1393431498763744E-7</v>
      </c>
      <c r="S4787" s="191">
        <v>2.3770479443070826E-8</v>
      </c>
      <c r="T4787" s="191">
        <v>1.0696715749381872E-7</v>
      </c>
      <c r="U4787" s="439"/>
      <c r="V4787" s="439"/>
      <c r="W4787" s="178">
        <v>30000</v>
      </c>
      <c r="X4787" s="172">
        <f t="shared" si="14"/>
        <v>0.33333333333333331</v>
      </c>
      <c r="Y4787" s="172">
        <f t="shared" si="14"/>
        <v>0.33333333333333331</v>
      </c>
      <c r="Z4787" s="172">
        <f t="shared" si="14"/>
        <v>0.33333333333333331</v>
      </c>
      <c r="AA4787" s="195"/>
      <c r="AB4787" s="159"/>
    </row>
    <row r="4788" spans="1:28" ht="12.75" customHeight="1" x14ac:dyDescent="0.3">
      <c r="A4788" s="161">
        <v>788</v>
      </c>
      <c r="B4788" s="159" t="s">
        <v>3431</v>
      </c>
      <c r="C4788" s="160" t="s">
        <v>3432</v>
      </c>
      <c r="D4788" s="160" t="s">
        <v>619</v>
      </c>
      <c r="E4788" s="545">
        <v>3.7</v>
      </c>
      <c r="F4788" s="161">
        <v>317.22000000000003</v>
      </c>
      <c r="G4788" s="191"/>
      <c r="H4788" s="191">
        <v>2.7733333326399998E-14</v>
      </c>
      <c r="I4788" s="191">
        <v>3178</v>
      </c>
      <c r="J4788" s="191"/>
      <c r="K4788" s="191">
        <v>3.7153522909717256</v>
      </c>
      <c r="L4788" s="191"/>
      <c r="M4788" s="191"/>
      <c r="N4788" s="191"/>
      <c r="O4788" s="191"/>
      <c r="P4788" s="191"/>
      <c r="Q4788" s="191">
        <v>1.3224802499999999E-5</v>
      </c>
      <c r="R4788" s="191">
        <v>2.1393431498763744E-7</v>
      </c>
      <c r="S4788" s="191">
        <v>2.3770479443070826E-8</v>
      </c>
      <c r="T4788" s="191">
        <v>1.0696715749381872E-7</v>
      </c>
      <c r="U4788" s="439"/>
      <c r="V4788" s="439"/>
      <c r="W4788" s="178">
        <v>30000</v>
      </c>
      <c r="X4788" s="172">
        <f t="shared" si="14"/>
        <v>0.33333333333333331</v>
      </c>
      <c r="Y4788" s="172">
        <f t="shared" si="14"/>
        <v>0.33333333333333331</v>
      </c>
      <c r="Z4788" s="172">
        <f t="shared" si="14"/>
        <v>0.33333333333333331</v>
      </c>
      <c r="AA4788" s="195"/>
      <c r="AB4788" s="159"/>
    </row>
    <row r="4789" spans="1:28" ht="12.75" customHeight="1" x14ac:dyDescent="0.3">
      <c r="A4789" s="161">
        <v>789</v>
      </c>
      <c r="B4789" s="159" t="s">
        <v>3433</v>
      </c>
      <c r="C4789" s="160" t="s">
        <v>3434</v>
      </c>
      <c r="D4789" s="160" t="s">
        <v>619</v>
      </c>
      <c r="E4789" s="545">
        <v>3.71</v>
      </c>
      <c r="F4789" s="161">
        <v>304.35000000000002</v>
      </c>
      <c r="G4789" s="191"/>
      <c r="H4789" s="191">
        <v>1.2013333330329999E-2</v>
      </c>
      <c r="I4789" s="191">
        <v>40</v>
      </c>
      <c r="J4789" s="191"/>
      <c r="K4789" s="191">
        <v>6456.5422903465615</v>
      </c>
      <c r="L4789" s="191"/>
      <c r="M4789" s="191"/>
      <c r="N4789" s="191"/>
      <c r="O4789" s="191"/>
      <c r="P4789" s="191"/>
      <c r="Q4789" s="191">
        <v>7.25096325E-5</v>
      </c>
      <c r="R4789" s="191">
        <v>2.1393431498763744E-7</v>
      </c>
      <c r="S4789" s="191">
        <v>2.3770479443070826E-8</v>
      </c>
      <c r="T4789" s="191">
        <v>4.3600743543676112E-7</v>
      </c>
      <c r="U4789" s="439"/>
      <c r="V4789" s="439"/>
      <c r="W4789" s="178">
        <v>30000</v>
      </c>
      <c r="X4789" s="172">
        <f t="shared" si="14"/>
        <v>0.33333333333333331</v>
      </c>
      <c r="Y4789" s="172">
        <f t="shared" si="14"/>
        <v>0.33333333333333331</v>
      </c>
      <c r="Z4789" s="172">
        <f t="shared" si="14"/>
        <v>0.33333333333333331</v>
      </c>
      <c r="AA4789" s="195"/>
      <c r="AB4789" s="159"/>
    </row>
    <row r="4790" spans="1:28" ht="12.75" customHeight="1" x14ac:dyDescent="0.3">
      <c r="A4790" s="161">
        <v>790</v>
      </c>
      <c r="B4790" s="159" t="s">
        <v>3437</v>
      </c>
      <c r="C4790" s="160" t="s">
        <v>3438</v>
      </c>
      <c r="D4790" s="160" t="s">
        <v>619</v>
      </c>
      <c r="E4790" s="545">
        <v>3.75</v>
      </c>
      <c r="F4790" s="161">
        <v>100.12</v>
      </c>
      <c r="G4790" s="191"/>
      <c r="H4790" s="191">
        <v>190.66666661899998</v>
      </c>
      <c r="I4790" s="191">
        <v>360800</v>
      </c>
      <c r="J4790" s="191"/>
      <c r="K4790" s="191">
        <v>0.26915348039269155</v>
      </c>
      <c r="L4790" s="191"/>
      <c r="M4790" s="191"/>
      <c r="N4790" s="191"/>
      <c r="O4790" s="191"/>
      <c r="P4790" s="191"/>
      <c r="Q4790" s="191">
        <v>1.3779059999999999E-5</v>
      </c>
      <c r="R4790" s="191">
        <v>5.3483578746909358E-7</v>
      </c>
      <c r="S4790" s="191">
        <v>5.9426198607677063E-8</v>
      </c>
      <c r="T4790" s="191">
        <v>2.6741789373454679E-7</v>
      </c>
      <c r="U4790" s="439"/>
      <c r="V4790" s="439"/>
      <c r="W4790" s="178">
        <v>30000</v>
      </c>
      <c r="X4790" s="172">
        <f t="shared" si="14"/>
        <v>0.33333333333333331</v>
      </c>
      <c r="Y4790" s="172">
        <f t="shared" si="14"/>
        <v>0.33333333333333331</v>
      </c>
      <c r="Z4790" s="172">
        <f t="shared" si="14"/>
        <v>0.33333333333333331</v>
      </c>
      <c r="AA4790" s="195"/>
      <c r="AB4790" s="159"/>
    </row>
    <row r="4791" spans="1:28" ht="12.75" customHeight="1" x14ac:dyDescent="0.3">
      <c r="A4791" s="161">
        <v>791</v>
      </c>
      <c r="B4791" s="159" t="s">
        <v>3439</v>
      </c>
      <c r="C4791" s="160" t="s">
        <v>3440</v>
      </c>
      <c r="D4791" s="160" t="s">
        <v>619</v>
      </c>
      <c r="E4791" s="545">
        <v>3.75</v>
      </c>
      <c r="F4791" s="161">
        <v>335.83</v>
      </c>
      <c r="G4791" s="191"/>
      <c r="H4791" s="191">
        <v>5.3333333319999996E-6</v>
      </c>
      <c r="I4791" s="191">
        <v>0.59</v>
      </c>
      <c r="J4791" s="191"/>
      <c r="K4791" s="191">
        <v>107151.93052376082</v>
      </c>
      <c r="L4791" s="191"/>
      <c r="M4791" s="191"/>
      <c r="N4791" s="191"/>
      <c r="O4791" s="191"/>
      <c r="P4791" s="191"/>
      <c r="Q4791" s="191">
        <v>2.0658075E-5</v>
      </c>
      <c r="R4791" s="191">
        <v>2.1393431498763744E-7</v>
      </c>
      <c r="S4791" s="191">
        <v>2.3770479443070826E-8</v>
      </c>
      <c r="T4791" s="191">
        <v>1.6045073624072808E-6</v>
      </c>
      <c r="U4791" s="439"/>
      <c r="V4791" s="439"/>
      <c r="W4791" s="178">
        <v>30000</v>
      </c>
      <c r="X4791" s="172">
        <f t="shared" si="14"/>
        <v>0.33333333333333331</v>
      </c>
      <c r="Y4791" s="172">
        <f t="shared" si="14"/>
        <v>0.33333333333333331</v>
      </c>
      <c r="Z4791" s="172">
        <f t="shared" si="14"/>
        <v>0.33333333333333331</v>
      </c>
      <c r="AA4791" s="195"/>
      <c r="AB4791" s="159"/>
    </row>
    <row r="4792" spans="1:28" ht="12.75" customHeight="1" x14ac:dyDescent="0.3">
      <c r="A4792" s="161">
        <v>792</v>
      </c>
      <c r="B4792" s="159" t="s">
        <v>3435</v>
      </c>
      <c r="C4792" s="160" t="s">
        <v>3436</v>
      </c>
      <c r="D4792" s="160" t="s">
        <v>619</v>
      </c>
      <c r="E4792" s="545">
        <v>3.75</v>
      </c>
      <c r="F4792" s="161">
        <v>219.67</v>
      </c>
      <c r="G4792" s="191"/>
      <c r="H4792" s="191">
        <v>3.3199999991699995E-3</v>
      </c>
      <c r="I4792" s="191">
        <v>20.57</v>
      </c>
      <c r="J4792" s="191"/>
      <c r="K4792" s="191">
        <v>6025.595860743585</v>
      </c>
      <c r="L4792" s="191"/>
      <c r="M4792" s="191"/>
      <c r="N4792" s="191"/>
      <c r="O4792" s="191"/>
      <c r="P4792" s="191"/>
      <c r="Q4792" s="191">
        <v>6.4153027500000006E-5</v>
      </c>
      <c r="R4792" s="191">
        <v>2.1393431498763744E-7</v>
      </c>
      <c r="S4792" s="191">
        <v>2.3770479443070826E-8</v>
      </c>
      <c r="T4792" s="191">
        <v>1.0696715749381872E-7</v>
      </c>
      <c r="U4792" s="439"/>
      <c r="V4792" s="439"/>
      <c r="W4792" s="178">
        <v>30000</v>
      </c>
      <c r="X4792" s="172">
        <f t="shared" si="14"/>
        <v>0.33333333333333331</v>
      </c>
      <c r="Y4792" s="172">
        <f t="shared" si="14"/>
        <v>0.33333333333333331</v>
      </c>
      <c r="Z4792" s="172">
        <f t="shared" si="14"/>
        <v>0.33333333333333331</v>
      </c>
      <c r="AA4792" s="195"/>
      <c r="AB4792" s="159"/>
    </row>
    <row r="4793" spans="1:28" ht="12.75" customHeight="1" x14ac:dyDescent="0.3">
      <c r="A4793" s="161">
        <v>793</v>
      </c>
      <c r="B4793" s="159" t="s">
        <v>3443</v>
      </c>
      <c r="C4793" s="160" t="s">
        <v>3444</v>
      </c>
      <c r="D4793" s="160" t="s">
        <v>619</v>
      </c>
      <c r="E4793" s="545">
        <v>3.8</v>
      </c>
      <c r="F4793" s="161">
        <v>381.37</v>
      </c>
      <c r="G4793" s="191"/>
      <c r="H4793" s="191">
        <v>3.8133333323799995E-9</v>
      </c>
      <c r="I4793" s="191">
        <v>9500</v>
      </c>
      <c r="J4793" s="191"/>
      <c r="K4793" s="191">
        <v>158.48931924611153</v>
      </c>
      <c r="L4793" s="191"/>
      <c r="M4793" s="191"/>
      <c r="N4793" s="191"/>
      <c r="O4793" s="191"/>
      <c r="P4793" s="191"/>
      <c r="Q4793" s="191">
        <v>1.9332899999999999E-6</v>
      </c>
      <c r="R4793" s="191">
        <v>1.3370894686727339E-7</v>
      </c>
      <c r="S4793" s="191">
        <v>1.4856549651919266E-8</v>
      </c>
      <c r="T4793" s="191">
        <v>8.0225368120364042E-7</v>
      </c>
      <c r="U4793" s="439"/>
      <c r="V4793" s="439"/>
      <c r="W4793" s="178">
        <v>30000</v>
      </c>
      <c r="X4793" s="172">
        <f t="shared" si="14"/>
        <v>0.33333333333333331</v>
      </c>
      <c r="Y4793" s="172">
        <f t="shared" si="14"/>
        <v>0.33333333333333331</v>
      </c>
      <c r="Z4793" s="172">
        <f t="shared" si="14"/>
        <v>0.33333333333333331</v>
      </c>
      <c r="AA4793" s="195"/>
      <c r="AB4793" s="159"/>
    </row>
    <row r="4794" spans="1:28" ht="12.75" customHeight="1" x14ac:dyDescent="0.3">
      <c r="A4794" s="161">
        <v>794</v>
      </c>
      <c r="B4794" s="159" t="s">
        <v>3445</v>
      </c>
      <c r="C4794" s="160" t="s">
        <v>3446</v>
      </c>
      <c r="D4794" s="160" t="s">
        <v>619</v>
      </c>
      <c r="E4794" s="545">
        <v>3.8</v>
      </c>
      <c r="F4794" s="161">
        <v>107.11</v>
      </c>
      <c r="G4794" s="191"/>
      <c r="H4794" s="191">
        <v>75.733333314399985</v>
      </c>
      <c r="I4794" s="191">
        <v>62860</v>
      </c>
      <c r="J4794" s="191"/>
      <c r="K4794" s="191">
        <v>1.9498445997580454</v>
      </c>
      <c r="L4794" s="191"/>
      <c r="M4794" s="191"/>
      <c r="N4794" s="191"/>
      <c r="O4794" s="191"/>
      <c r="P4794" s="191"/>
      <c r="Q4794" s="191">
        <v>1.27992525E-5</v>
      </c>
      <c r="R4794" s="191">
        <v>5.3483578746909358E-7</v>
      </c>
      <c r="S4794" s="191">
        <v>5.9426198607677063E-8</v>
      </c>
      <c r="T4794" s="191">
        <v>2.6741789373454679E-7</v>
      </c>
      <c r="U4794" s="439"/>
      <c r="V4794" s="439"/>
      <c r="W4794" s="178">
        <v>30000</v>
      </c>
      <c r="X4794" s="172">
        <f t="shared" si="14"/>
        <v>0.33333333333333331</v>
      </c>
      <c r="Y4794" s="172">
        <f t="shared" si="14"/>
        <v>0.33333333333333331</v>
      </c>
      <c r="Z4794" s="172">
        <f t="shared" si="14"/>
        <v>0.33333333333333331</v>
      </c>
      <c r="AA4794" s="195"/>
      <c r="AB4794" s="159"/>
    </row>
    <row r="4795" spans="1:28" ht="12.75" customHeight="1" x14ac:dyDescent="0.3">
      <c r="A4795" s="161">
        <v>795</v>
      </c>
      <c r="B4795" s="159" t="s">
        <v>3441</v>
      </c>
      <c r="C4795" s="160" t="s">
        <v>3442</v>
      </c>
      <c r="D4795" s="160" t="s">
        <v>619</v>
      </c>
      <c r="E4795" s="545">
        <v>3.8</v>
      </c>
      <c r="F4795" s="161">
        <v>376.67</v>
      </c>
      <c r="G4795" s="191"/>
      <c r="H4795" s="191">
        <v>1.5066666662899998E-4</v>
      </c>
      <c r="I4795" s="191">
        <v>34</v>
      </c>
      <c r="J4795" s="191"/>
      <c r="K4795" s="191">
        <v>12589.254117941671</v>
      </c>
      <c r="L4795" s="191"/>
      <c r="M4795" s="191"/>
      <c r="N4795" s="191"/>
      <c r="O4795" s="191"/>
      <c r="P4795" s="191"/>
      <c r="Q4795" s="191">
        <v>5.85180825E-5</v>
      </c>
      <c r="R4795" s="191">
        <v>4.45696489557578E-8</v>
      </c>
      <c r="S4795" s="191">
        <v>4.9521832173064224E-9</v>
      </c>
      <c r="T4795" s="191">
        <v>4.8039142587044347E-7</v>
      </c>
      <c r="U4795" s="439"/>
      <c r="V4795" s="439"/>
      <c r="W4795" s="178">
        <v>30000</v>
      </c>
      <c r="X4795" s="172">
        <f t="shared" si="14"/>
        <v>0.33333333333333331</v>
      </c>
      <c r="Y4795" s="172">
        <f t="shared" si="14"/>
        <v>0.33333333333333331</v>
      </c>
      <c r="Z4795" s="172">
        <f t="shared" si="14"/>
        <v>0.33333333333333331</v>
      </c>
      <c r="AA4795" s="195"/>
      <c r="AB4795" s="159"/>
    </row>
    <row r="4796" spans="1:28" ht="12.75" customHeight="1" x14ac:dyDescent="0.3">
      <c r="A4796" s="161">
        <v>796</v>
      </c>
      <c r="B4796" s="159" t="s">
        <v>3447</v>
      </c>
      <c r="C4796" s="160" t="s">
        <v>3448</v>
      </c>
      <c r="D4796" s="160" t="s">
        <v>619</v>
      </c>
      <c r="E4796" s="545">
        <v>3.81</v>
      </c>
      <c r="F4796" s="161">
        <v>156.57</v>
      </c>
      <c r="G4796" s="191"/>
      <c r="H4796" s="191">
        <v>3.8933333323599995E-2</v>
      </c>
      <c r="I4796" s="191">
        <v>450</v>
      </c>
      <c r="J4796" s="191"/>
      <c r="K4796" s="191">
        <v>478.63009232263886</v>
      </c>
      <c r="L4796" s="191"/>
      <c r="M4796" s="191"/>
      <c r="N4796" s="191"/>
      <c r="O4796" s="191"/>
      <c r="P4796" s="191"/>
      <c r="Q4796" s="191">
        <v>6.7064999999999999E-7</v>
      </c>
      <c r="R4796" s="191">
        <v>2.1393431498763744E-7</v>
      </c>
      <c r="S4796" s="191">
        <v>2.3770479443070826E-8</v>
      </c>
      <c r="T4796" s="191">
        <v>1.0696715749381872E-7</v>
      </c>
      <c r="U4796" s="439"/>
      <c r="V4796" s="439"/>
      <c r="W4796" s="178">
        <v>30000</v>
      </c>
      <c r="X4796" s="172">
        <f t="shared" si="14"/>
        <v>0.33333333333333331</v>
      </c>
      <c r="Y4796" s="172">
        <f t="shared" si="14"/>
        <v>0.33333333333333331</v>
      </c>
      <c r="Z4796" s="172">
        <f t="shared" si="14"/>
        <v>0.33333333333333331</v>
      </c>
      <c r="AA4796" s="195"/>
      <c r="AB4796" s="159"/>
    </row>
    <row r="4797" spans="1:28" ht="12.75" customHeight="1" x14ac:dyDescent="0.3">
      <c r="A4797" s="161">
        <v>797</v>
      </c>
      <c r="B4797" s="159" t="s">
        <v>3449</v>
      </c>
      <c r="C4797" s="160" t="s">
        <v>3450</v>
      </c>
      <c r="D4797" s="160" t="s">
        <v>619</v>
      </c>
      <c r="E4797" s="545">
        <v>3.83</v>
      </c>
      <c r="F4797" s="161">
        <v>142.59</v>
      </c>
      <c r="G4797" s="191"/>
      <c r="H4797" s="191">
        <v>3.3466666658299999</v>
      </c>
      <c r="I4797" s="191">
        <v>6590</v>
      </c>
      <c r="J4797" s="191"/>
      <c r="K4797" s="191">
        <v>19.054607179632477</v>
      </c>
      <c r="L4797" s="191"/>
      <c r="M4797" s="191"/>
      <c r="N4797" s="191"/>
      <c r="O4797" s="191"/>
      <c r="P4797" s="191"/>
      <c r="Q4797" s="191">
        <v>9.3046747499999998E-5</v>
      </c>
      <c r="R4797" s="191">
        <v>2.1393431498763744E-7</v>
      </c>
      <c r="S4797" s="191">
        <v>2.3770479443070826E-8</v>
      </c>
      <c r="T4797" s="191">
        <v>1.0696715749381872E-7</v>
      </c>
      <c r="U4797" s="439"/>
      <c r="V4797" s="439"/>
      <c r="W4797" s="178">
        <v>30000</v>
      </c>
      <c r="X4797" s="172">
        <f t="shared" si="14"/>
        <v>0.33333333333333331</v>
      </c>
      <c r="Y4797" s="172">
        <f t="shared" si="14"/>
        <v>0.33333333333333331</v>
      </c>
      <c r="Z4797" s="172">
        <f t="shared" si="14"/>
        <v>0.33333333333333331</v>
      </c>
      <c r="AA4797" s="195"/>
      <c r="AB4797" s="159"/>
    </row>
    <row r="4798" spans="1:28" ht="12.75" customHeight="1" x14ac:dyDescent="0.3">
      <c r="A4798" s="161">
        <v>798</v>
      </c>
      <c r="B4798" s="159" t="s">
        <v>3453</v>
      </c>
      <c r="C4798" s="160" t="s">
        <v>3454</v>
      </c>
      <c r="D4798" s="160" t="s">
        <v>619</v>
      </c>
      <c r="E4798" s="545">
        <v>3.84</v>
      </c>
      <c r="F4798" s="161">
        <v>130.15</v>
      </c>
      <c r="G4798" s="191"/>
      <c r="H4798" s="191">
        <v>2.5866666660199999E-2</v>
      </c>
      <c r="I4798" s="191">
        <v>50000</v>
      </c>
      <c r="J4798" s="191"/>
      <c r="K4798" s="191">
        <v>3.7153522909717256</v>
      </c>
      <c r="L4798" s="191"/>
      <c r="M4798" s="191"/>
      <c r="N4798" s="191"/>
      <c r="O4798" s="191"/>
      <c r="P4798" s="191"/>
      <c r="Q4798" s="191">
        <v>1.5E-6</v>
      </c>
      <c r="R4798" s="191">
        <v>5.3483578746909358E-7</v>
      </c>
      <c r="S4798" s="191">
        <v>5.9426198607677063E-8</v>
      </c>
      <c r="T4798" s="191">
        <v>2.6741789373454679E-7</v>
      </c>
      <c r="U4798" s="439"/>
      <c r="V4798" s="439"/>
      <c r="W4798" s="178">
        <v>30000</v>
      </c>
      <c r="X4798" s="172">
        <f t="shared" si="14"/>
        <v>0.33333333333333331</v>
      </c>
      <c r="Y4798" s="172">
        <f t="shared" si="14"/>
        <v>0.33333333333333331</v>
      </c>
      <c r="Z4798" s="172">
        <f t="shared" si="14"/>
        <v>0.33333333333333331</v>
      </c>
      <c r="AA4798" s="195"/>
      <c r="AB4798" s="159"/>
    </row>
    <row r="4799" spans="1:28" ht="12.75" customHeight="1" x14ac:dyDescent="0.3">
      <c r="A4799" s="161">
        <v>799</v>
      </c>
      <c r="B4799" s="159" t="s">
        <v>3451</v>
      </c>
      <c r="C4799" s="160" t="s">
        <v>3452</v>
      </c>
      <c r="D4799" s="160" t="s">
        <v>619</v>
      </c>
      <c r="E4799" s="545">
        <v>3.84</v>
      </c>
      <c r="F4799" s="161">
        <v>284.18</v>
      </c>
      <c r="G4799" s="191"/>
      <c r="H4799" s="191">
        <v>3.6399999990899996E-3</v>
      </c>
      <c r="I4799" s="191">
        <v>12380</v>
      </c>
      <c r="J4799" s="191"/>
      <c r="K4799" s="191">
        <v>19.054607179632477</v>
      </c>
      <c r="L4799" s="191"/>
      <c r="M4799" s="191"/>
      <c r="N4799" s="191"/>
      <c r="O4799" s="191"/>
      <c r="P4799" s="191"/>
      <c r="Q4799" s="191">
        <v>4.822185E-6</v>
      </c>
      <c r="R4799" s="191">
        <v>2.1393431498763744E-7</v>
      </c>
      <c r="S4799" s="191">
        <v>2.3770479443070826E-8</v>
      </c>
      <c r="T4799" s="191">
        <v>1.0696715749381872E-7</v>
      </c>
      <c r="U4799" s="439"/>
      <c r="V4799" s="439"/>
      <c r="W4799" s="178">
        <v>30000</v>
      </c>
      <c r="X4799" s="172">
        <f t="shared" si="14"/>
        <v>0.33333333333333331</v>
      </c>
      <c r="Y4799" s="172">
        <f t="shared" si="14"/>
        <v>0.33333333333333331</v>
      </c>
      <c r="Z4799" s="172">
        <f t="shared" si="14"/>
        <v>0.33333333333333331</v>
      </c>
      <c r="AA4799" s="195"/>
      <c r="AB4799" s="159"/>
    </row>
    <row r="4800" spans="1:28" ht="12.75" customHeight="1" x14ac:dyDescent="0.3">
      <c r="A4800" s="161">
        <v>800</v>
      </c>
      <c r="B4800" s="159" t="s">
        <v>3455</v>
      </c>
      <c r="C4800" s="160" t="s">
        <v>3456</v>
      </c>
      <c r="D4800" s="160" t="s">
        <v>619</v>
      </c>
      <c r="E4800" s="545">
        <v>3.86</v>
      </c>
      <c r="F4800" s="161">
        <v>172.03</v>
      </c>
      <c r="G4800" s="191"/>
      <c r="H4800" s="191">
        <v>3.0533333325699998</v>
      </c>
      <c r="I4800" s="191">
        <v>706.7</v>
      </c>
      <c r="J4800" s="191"/>
      <c r="K4800" s="191">
        <v>181.9700858609983</v>
      </c>
      <c r="L4800" s="191"/>
      <c r="M4800" s="191"/>
      <c r="N4800" s="191"/>
      <c r="O4800" s="191"/>
      <c r="P4800" s="191"/>
      <c r="Q4800" s="191">
        <v>2.3139885000000001E-5</v>
      </c>
      <c r="R4800" s="191">
        <v>2.1393431498763744E-7</v>
      </c>
      <c r="S4800" s="191">
        <v>2.3770479443070826E-8</v>
      </c>
      <c r="T4800" s="191">
        <v>1.0696715749381872E-7</v>
      </c>
      <c r="U4800" s="439"/>
      <c r="V4800" s="439"/>
      <c r="W4800" s="178">
        <v>30000</v>
      </c>
      <c r="X4800" s="172">
        <f t="shared" si="14"/>
        <v>0.33333333333333331</v>
      </c>
      <c r="Y4800" s="172">
        <f t="shared" si="14"/>
        <v>0.33333333333333331</v>
      </c>
      <c r="Z4800" s="172">
        <f t="shared" si="14"/>
        <v>0.33333333333333331</v>
      </c>
      <c r="AA4800" s="195"/>
      <c r="AB4800" s="159"/>
    </row>
    <row r="4801" spans="1:28" ht="12.75" customHeight="1" x14ac:dyDescent="0.3">
      <c r="A4801" s="161">
        <v>801</v>
      </c>
      <c r="B4801" s="159" t="s">
        <v>3457</v>
      </c>
      <c r="C4801" s="160" t="s">
        <v>3458</v>
      </c>
      <c r="D4801" s="160" t="s">
        <v>619</v>
      </c>
      <c r="E4801" s="545">
        <v>3.92</v>
      </c>
      <c r="F4801" s="161">
        <v>143.19</v>
      </c>
      <c r="G4801" s="191"/>
      <c r="H4801" s="191">
        <v>0.55733333319399991</v>
      </c>
      <c r="I4801" s="191">
        <v>1700</v>
      </c>
      <c r="J4801" s="191"/>
      <c r="K4801" s="191">
        <v>177.82794100389242</v>
      </c>
      <c r="L4801" s="191"/>
      <c r="M4801" s="191"/>
      <c r="N4801" s="191"/>
      <c r="O4801" s="191"/>
      <c r="P4801" s="191"/>
      <c r="Q4801" s="191">
        <v>1.5000000000000001E-4</v>
      </c>
      <c r="R4801" s="191">
        <v>2.1393431498763744E-7</v>
      </c>
      <c r="S4801" s="191">
        <v>2.3770479443070826E-8</v>
      </c>
      <c r="T4801" s="191">
        <v>1.0696715749381872E-7</v>
      </c>
      <c r="U4801" s="439"/>
      <c r="V4801" s="439"/>
      <c r="W4801" s="178">
        <v>30000</v>
      </c>
      <c r="X4801" s="172">
        <f t="shared" si="14"/>
        <v>0.33333333333333331</v>
      </c>
      <c r="Y4801" s="172">
        <f t="shared" si="14"/>
        <v>0.33333333333333331</v>
      </c>
      <c r="Z4801" s="172">
        <f t="shared" si="14"/>
        <v>0.33333333333333331</v>
      </c>
      <c r="AA4801" s="195"/>
      <c r="AB4801" s="159"/>
    </row>
    <row r="4802" spans="1:28" ht="12.75" customHeight="1" x14ac:dyDescent="0.3">
      <c r="A4802" s="161">
        <v>802</v>
      </c>
      <c r="B4802" s="159" t="s">
        <v>3459</v>
      </c>
      <c r="C4802" s="160" t="s">
        <v>3460</v>
      </c>
      <c r="D4802" s="160" t="s">
        <v>619</v>
      </c>
      <c r="E4802" s="545">
        <v>3.93</v>
      </c>
      <c r="F4802" s="161">
        <v>135.21</v>
      </c>
      <c r="G4802" s="191"/>
      <c r="H4802" s="191">
        <v>9.8933333308599991</v>
      </c>
      <c r="I4802" s="191">
        <v>467.3</v>
      </c>
      <c r="J4802" s="191"/>
      <c r="K4802" s="191">
        <v>457.0881896148756</v>
      </c>
      <c r="L4802" s="191"/>
      <c r="M4802" s="191"/>
      <c r="N4802" s="191"/>
      <c r="O4802" s="191"/>
      <c r="P4802" s="191"/>
      <c r="Q4802" s="191">
        <v>1.215040425E-4</v>
      </c>
      <c r="R4802" s="191">
        <v>2.1393431498763744E-7</v>
      </c>
      <c r="S4802" s="191">
        <v>2.3770479443070826E-8</v>
      </c>
      <c r="T4802" s="191">
        <v>1.0696715749381872E-7</v>
      </c>
      <c r="U4802" s="439"/>
      <c r="V4802" s="439"/>
      <c r="W4802" s="178">
        <v>30000</v>
      </c>
      <c r="X4802" s="172">
        <f t="shared" si="14"/>
        <v>0.33333333333333331</v>
      </c>
      <c r="Y4802" s="172">
        <f t="shared" si="14"/>
        <v>0.33333333333333331</v>
      </c>
      <c r="Z4802" s="172">
        <f t="shared" si="14"/>
        <v>0.33333333333333331</v>
      </c>
      <c r="AA4802" s="195"/>
      <c r="AB4802" s="159"/>
    </row>
    <row r="4803" spans="1:28" ht="12.75" customHeight="1" x14ac:dyDescent="0.3">
      <c r="A4803" s="161">
        <v>803</v>
      </c>
      <c r="B4803" s="159" t="s">
        <v>3461</v>
      </c>
      <c r="C4803" s="160" t="s">
        <v>3462</v>
      </c>
      <c r="D4803" s="160" t="s">
        <v>619</v>
      </c>
      <c r="E4803" s="545">
        <v>3.95</v>
      </c>
      <c r="F4803" s="161">
        <v>121.18</v>
      </c>
      <c r="G4803" s="191"/>
      <c r="H4803" s="191">
        <v>17.333333328999998</v>
      </c>
      <c r="I4803" s="191">
        <v>8240</v>
      </c>
      <c r="J4803" s="191"/>
      <c r="K4803" s="191">
        <v>69.183097091893657</v>
      </c>
      <c r="L4803" s="191"/>
      <c r="M4803" s="191"/>
      <c r="N4803" s="191"/>
      <c r="O4803" s="191"/>
      <c r="P4803" s="191"/>
      <c r="Q4803" s="191">
        <v>1.21526445E-4</v>
      </c>
      <c r="R4803" s="191">
        <v>2.1393431498763744E-7</v>
      </c>
      <c r="S4803" s="191">
        <v>2.3770479443070826E-8</v>
      </c>
      <c r="T4803" s="191">
        <v>1.0696715749381872E-7</v>
      </c>
      <c r="U4803" s="439"/>
      <c r="V4803" s="439"/>
      <c r="W4803" s="178">
        <v>30000</v>
      </c>
      <c r="X4803" s="172">
        <f t="shared" si="14"/>
        <v>0.33333333333333331</v>
      </c>
      <c r="Y4803" s="172">
        <f t="shared" si="14"/>
        <v>0.33333333333333331</v>
      </c>
      <c r="Z4803" s="172">
        <f t="shared" si="14"/>
        <v>0.33333333333333331</v>
      </c>
      <c r="AA4803" s="195"/>
      <c r="AB4803" s="159"/>
    </row>
    <row r="4804" spans="1:28" ht="12.75" customHeight="1" x14ac:dyDescent="0.3">
      <c r="A4804" s="161">
        <v>804</v>
      </c>
      <c r="B4804" s="159" t="s">
        <v>3463</v>
      </c>
      <c r="C4804" s="160" t="s">
        <v>3464</v>
      </c>
      <c r="D4804" s="160" t="s">
        <v>619</v>
      </c>
      <c r="E4804" s="545">
        <v>3.95</v>
      </c>
      <c r="F4804" s="161">
        <v>144.18</v>
      </c>
      <c r="G4804" s="191"/>
      <c r="H4804" s="191">
        <v>2.2799999994299997E-3</v>
      </c>
      <c r="I4804" s="191">
        <v>8216</v>
      </c>
      <c r="J4804" s="191"/>
      <c r="K4804" s="191">
        <v>14.454397707459275</v>
      </c>
      <c r="L4804" s="191"/>
      <c r="M4804" s="191"/>
      <c r="N4804" s="191"/>
      <c r="O4804" s="191"/>
      <c r="P4804" s="191"/>
      <c r="Q4804" s="191">
        <v>1.5000000000000001E-4</v>
      </c>
      <c r="R4804" s="191">
        <v>2.1393431498763744E-7</v>
      </c>
      <c r="S4804" s="191">
        <v>2.3770479443070826E-8</v>
      </c>
      <c r="T4804" s="191">
        <v>1.0696715749381872E-7</v>
      </c>
      <c r="U4804" s="439"/>
      <c r="V4804" s="439"/>
      <c r="W4804" s="178">
        <v>30000</v>
      </c>
      <c r="X4804" s="172">
        <f t="shared" si="14"/>
        <v>0.33333333333333331</v>
      </c>
      <c r="Y4804" s="172">
        <f t="shared" si="14"/>
        <v>0.33333333333333331</v>
      </c>
      <c r="Z4804" s="172">
        <f t="shared" si="14"/>
        <v>0.33333333333333331</v>
      </c>
      <c r="AA4804" s="195"/>
      <c r="AB4804" s="159"/>
    </row>
    <row r="4805" spans="1:28" ht="12.75" customHeight="1" x14ac:dyDescent="0.3">
      <c r="A4805" s="161">
        <v>805</v>
      </c>
      <c r="B4805" s="159" t="s">
        <v>3465</v>
      </c>
      <c r="C4805" s="160" t="s">
        <v>3466</v>
      </c>
      <c r="D4805" s="160" t="s">
        <v>619</v>
      </c>
      <c r="E4805" s="545">
        <v>3.96</v>
      </c>
      <c r="F4805" s="161">
        <v>171.24</v>
      </c>
      <c r="G4805" s="191"/>
      <c r="H4805" s="191">
        <v>4.9466666654299999E-4</v>
      </c>
      <c r="I4805" s="191">
        <v>47920</v>
      </c>
      <c r="J4805" s="191"/>
      <c r="K4805" s="191">
        <v>1.3182567385564072</v>
      </c>
      <c r="L4805" s="191"/>
      <c r="M4805" s="191"/>
      <c r="N4805" s="191"/>
      <c r="O4805" s="191"/>
      <c r="P4805" s="191"/>
      <c r="Q4805" s="191">
        <v>5.1294262499999995E-5</v>
      </c>
      <c r="R4805" s="191">
        <v>2.1393431498763744E-7</v>
      </c>
      <c r="S4805" s="191">
        <v>2.3770479443070826E-8</v>
      </c>
      <c r="T4805" s="191">
        <v>1.0696715749381872E-7</v>
      </c>
      <c r="U4805" s="439"/>
      <c r="V4805" s="439"/>
      <c r="W4805" s="178">
        <v>30000</v>
      </c>
      <c r="X4805" s="172">
        <f t="shared" si="14"/>
        <v>0.33333333333333331</v>
      </c>
      <c r="Y4805" s="172">
        <f t="shared" si="14"/>
        <v>0.33333333333333331</v>
      </c>
      <c r="Z4805" s="172">
        <f t="shared" si="14"/>
        <v>0.33333333333333331</v>
      </c>
      <c r="AA4805" s="195"/>
      <c r="AB4805" s="159"/>
    </row>
    <row r="4806" spans="1:28" ht="12.75" customHeight="1" x14ac:dyDescent="0.3">
      <c r="A4806" s="161">
        <v>806</v>
      </c>
      <c r="B4806" s="159" t="s">
        <v>3467</v>
      </c>
      <c r="C4806" s="160" t="s">
        <v>3468</v>
      </c>
      <c r="D4806" s="160" t="s">
        <v>619</v>
      </c>
      <c r="E4806" s="545">
        <v>3.98</v>
      </c>
      <c r="F4806" s="161">
        <v>184.24</v>
      </c>
      <c r="G4806" s="191"/>
      <c r="H4806" s="191">
        <v>1.1973333330339999E-4</v>
      </c>
      <c r="I4806" s="191">
        <v>322</v>
      </c>
      <c r="J4806" s="191"/>
      <c r="K4806" s="191">
        <v>21.877616239495538</v>
      </c>
      <c r="L4806" s="191"/>
      <c r="M4806" s="191"/>
      <c r="N4806" s="191"/>
      <c r="O4806" s="191"/>
      <c r="P4806" s="191"/>
      <c r="Q4806" s="191">
        <v>1.15353615E-4</v>
      </c>
      <c r="R4806" s="191">
        <v>2.1393431498763744E-7</v>
      </c>
      <c r="S4806" s="191">
        <v>2.3770479443070826E-8</v>
      </c>
      <c r="T4806" s="191">
        <v>1.0696715749381872E-7</v>
      </c>
      <c r="U4806" s="439"/>
      <c r="V4806" s="439"/>
      <c r="W4806" s="178">
        <v>30000</v>
      </c>
      <c r="X4806" s="172">
        <f t="shared" si="14"/>
        <v>0.33333333333333331</v>
      </c>
      <c r="Y4806" s="172">
        <f t="shared" si="14"/>
        <v>0.33333333333333331</v>
      </c>
      <c r="Z4806" s="172">
        <f t="shared" si="14"/>
        <v>0.33333333333333331</v>
      </c>
      <c r="AA4806" s="195"/>
      <c r="AB4806" s="159"/>
    </row>
    <row r="4807" spans="1:28" ht="12.75" customHeight="1" x14ac:dyDescent="0.3">
      <c r="A4807" s="161">
        <v>807</v>
      </c>
      <c r="B4807" s="159" t="s">
        <v>3475</v>
      </c>
      <c r="C4807" s="160" t="s">
        <v>3476</v>
      </c>
      <c r="D4807" s="160" t="s">
        <v>619</v>
      </c>
      <c r="E4807" s="545">
        <v>4</v>
      </c>
      <c r="F4807" s="161">
        <v>184.2</v>
      </c>
      <c r="G4807" s="191"/>
      <c r="H4807" s="191">
        <v>8.9999999977499995E-7</v>
      </c>
      <c r="I4807" s="191">
        <v>71</v>
      </c>
      <c r="J4807" s="191"/>
      <c r="K4807" s="191">
        <v>467.7351412871983</v>
      </c>
      <c r="L4807" s="191"/>
      <c r="M4807" s="191"/>
      <c r="N4807" s="191"/>
      <c r="O4807" s="191"/>
      <c r="P4807" s="191"/>
      <c r="Q4807" s="191">
        <v>9.9674182499999997E-5</v>
      </c>
      <c r="R4807" s="191">
        <v>5.3483578746909358E-7</v>
      </c>
      <c r="S4807" s="191">
        <v>5.9426198607677063E-8</v>
      </c>
      <c r="T4807" s="191">
        <v>1.3370894686727339E-6</v>
      </c>
      <c r="U4807" s="439"/>
      <c r="V4807" s="439"/>
      <c r="W4807" s="178">
        <v>30000</v>
      </c>
      <c r="X4807" s="172">
        <f t="shared" si="14"/>
        <v>0.33333333333333331</v>
      </c>
      <c r="Y4807" s="172">
        <f t="shared" si="14"/>
        <v>0.33333333333333331</v>
      </c>
      <c r="Z4807" s="172">
        <f t="shared" si="14"/>
        <v>0.33333333333333331</v>
      </c>
      <c r="AA4807" s="195"/>
      <c r="AB4807" s="159"/>
    </row>
    <row r="4808" spans="1:28" ht="12.75" customHeight="1" x14ac:dyDescent="0.3">
      <c r="A4808" s="161">
        <v>808</v>
      </c>
      <c r="B4808" s="159" t="s">
        <v>3469</v>
      </c>
      <c r="C4808" s="160" t="s">
        <v>3470</v>
      </c>
      <c r="D4808" s="160" t="s">
        <v>619</v>
      </c>
      <c r="E4808" s="545">
        <v>4</v>
      </c>
      <c r="F4808" s="161">
        <v>387.39</v>
      </c>
      <c r="G4808" s="191"/>
      <c r="H4808" s="191">
        <v>1.70666666624E-8</v>
      </c>
      <c r="I4808" s="191">
        <v>2240</v>
      </c>
      <c r="J4808" s="191"/>
      <c r="K4808" s="191">
        <v>36.307805477010156</v>
      </c>
      <c r="L4808" s="191"/>
      <c r="M4808" s="191"/>
      <c r="N4808" s="191"/>
      <c r="O4808" s="191"/>
      <c r="P4808" s="191"/>
      <c r="Q4808" s="191">
        <v>2.3237849999999999E-6</v>
      </c>
      <c r="R4808" s="191">
        <v>1.3370894686727339E-7</v>
      </c>
      <c r="S4808" s="191">
        <v>1.4856549651919266E-8</v>
      </c>
      <c r="T4808" s="191">
        <v>8.0225368120364042E-7</v>
      </c>
      <c r="U4808" s="439"/>
      <c r="V4808" s="439"/>
      <c r="W4808" s="178">
        <v>30000</v>
      </c>
      <c r="X4808" s="172">
        <f t="shared" si="14"/>
        <v>0.33333333333333331</v>
      </c>
      <c r="Y4808" s="172">
        <f t="shared" si="14"/>
        <v>0.33333333333333331</v>
      </c>
      <c r="Z4808" s="172">
        <f t="shared" si="14"/>
        <v>0.33333333333333331</v>
      </c>
      <c r="AA4808" s="195"/>
      <c r="AB4808" s="159"/>
    </row>
    <row r="4809" spans="1:28" ht="12.75" customHeight="1" x14ac:dyDescent="0.3">
      <c r="A4809" s="161">
        <v>809</v>
      </c>
      <c r="B4809" s="159" t="s">
        <v>3471</v>
      </c>
      <c r="C4809" s="160" t="s">
        <v>3472</v>
      </c>
      <c r="D4809" s="160" t="s">
        <v>619</v>
      </c>
      <c r="E4809" s="545">
        <v>4</v>
      </c>
      <c r="F4809" s="161">
        <v>213.3</v>
      </c>
      <c r="G4809" s="191"/>
      <c r="H4809" s="191">
        <v>1.330666666334E-4</v>
      </c>
      <c r="I4809" s="191">
        <v>580</v>
      </c>
      <c r="J4809" s="191"/>
      <c r="K4809" s="191">
        <v>239.88329190194912</v>
      </c>
      <c r="L4809" s="191"/>
      <c r="M4809" s="191"/>
      <c r="N4809" s="191"/>
      <c r="O4809" s="191"/>
      <c r="P4809" s="191"/>
      <c r="Q4809" s="191">
        <v>1.57120725E-5</v>
      </c>
      <c r="R4809" s="191">
        <v>1.3370894686727339E-7</v>
      </c>
      <c r="S4809" s="191">
        <v>1.4856549651919266E-8</v>
      </c>
      <c r="T4809" s="191">
        <v>8.9139297911515593E-7</v>
      </c>
      <c r="U4809" s="439"/>
      <c r="V4809" s="439"/>
      <c r="W4809" s="178">
        <v>30000</v>
      </c>
      <c r="X4809" s="172">
        <f t="shared" si="14"/>
        <v>0.33333333333333331</v>
      </c>
      <c r="Y4809" s="172">
        <f t="shared" si="14"/>
        <v>0.33333333333333331</v>
      </c>
      <c r="Z4809" s="172">
        <f t="shared" si="14"/>
        <v>0.33333333333333331</v>
      </c>
      <c r="AA4809" s="195"/>
      <c r="AB4809" s="159"/>
    </row>
    <row r="4810" spans="1:28" ht="12.75" customHeight="1" x14ac:dyDescent="0.3">
      <c r="A4810" s="161">
        <v>810</v>
      </c>
      <c r="B4810" s="159" t="s">
        <v>3473</v>
      </c>
      <c r="C4810" s="160" t="s">
        <v>3474</v>
      </c>
      <c r="D4810" s="160" t="s">
        <v>619</v>
      </c>
      <c r="E4810" s="545">
        <v>4</v>
      </c>
      <c r="F4810" s="161">
        <v>213.3</v>
      </c>
      <c r="G4810" s="191"/>
      <c r="H4810" s="191">
        <v>9.466666664299999E-5</v>
      </c>
      <c r="I4810" s="191">
        <v>450</v>
      </c>
      <c r="J4810" s="191"/>
      <c r="K4810" s="191">
        <v>630.95734448019323</v>
      </c>
      <c r="L4810" s="191"/>
      <c r="M4810" s="191"/>
      <c r="N4810" s="191"/>
      <c r="O4810" s="191"/>
      <c r="P4810" s="191"/>
      <c r="Q4810" s="191">
        <v>1.42612725E-5</v>
      </c>
      <c r="R4810" s="191">
        <v>1.3370894686727339E-7</v>
      </c>
      <c r="S4810" s="191">
        <v>1.4856549651919266E-8</v>
      </c>
      <c r="T4810" s="191">
        <v>1.3370894686727339E-7</v>
      </c>
      <c r="U4810" s="439"/>
      <c r="V4810" s="439"/>
      <c r="W4810" s="178">
        <v>30000</v>
      </c>
      <c r="X4810" s="172">
        <f t="shared" si="14"/>
        <v>0.33333333333333331</v>
      </c>
      <c r="Y4810" s="172">
        <f t="shared" si="14"/>
        <v>0.33333333333333331</v>
      </c>
      <c r="Z4810" s="172">
        <f t="shared" si="14"/>
        <v>0.33333333333333331</v>
      </c>
      <c r="AA4810" s="195"/>
      <c r="AB4810" s="159"/>
    </row>
    <row r="4811" spans="1:28" ht="12.75" customHeight="1" x14ac:dyDescent="0.3">
      <c r="A4811" s="161">
        <v>811</v>
      </c>
      <c r="B4811" s="159" t="s">
        <v>3477</v>
      </c>
      <c r="C4811" s="160" t="s">
        <v>3478</v>
      </c>
      <c r="D4811" s="160" t="s">
        <v>619</v>
      </c>
      <c r="E4811" s="545">
        <v>4.03</v>
      </c>
      <c r="F4811" s="161">
        <v>297.85000000000002</v>
      </c>
      <c r="G4811" s="191"/>
      <c r="H4811" s="191">
        <v>2.4533333327199998E-4</v>
      </c>
      <c r="I4811" s="191">
        <v>120900</v>
      </c>
      <c r="J4811" s="191"/>
      <c r="K4811" s="191">
        <v>1.0715193052376064</v>
      </c>
      <c r="L4811" s="191"/>
      <c r="M4811" s="191"/>
      <c r="N4811" s="191"/>
      <c r="O4811" s="191"/>
      <c r="P4811" s="191"/>
      <c r="Q4811" s="191">
        <v>1.200558E-4</v>
      </c>
      <c r="R4811" s="191">
        <v>1.3370894686727339E-7</v>
      </c>
      <c r="S4811" s="191">
        <v>1.4856549651919266E-8</v>
      </c>
      <c r="T4811" s="191">
        <v>6.6854473433636697E-8</v>
      </c>
      <c r="U4811" s="439"/>
      <c r="V4811" s="439"/>
      <c r="W4811" s="178">
        <v>30000</v>
      </c>
      <c r="X4811" s="172">
        <f t="shared" si="14"/>
        <v>0.33333333333333331</v>
      </c>
      <c r="Y4811" s="172">
        <f t="shared" si="14"/>
        <v>0.33333333333333331</v>
      </c>
      <c r="Z4811" s="172">
        <f t="shared" si="14"/>
        <v>0.33333333333333331</v>
      </c>
      <c r="AA4811" s="195"/>
      <c r="AB4811" s="159"/>
    </row>
    <row r="4812" spans="1:28" ht="12.75" customHeight="1" x14ac:dyDescent="0.3">
      <c r="A4812" s="161">
        <v>812</v>
      </c>
      <c r="B4812" s="159" t="s">
        <v>3479</v>
      </c>
      <c r="C4812" s="160" t="s">
        <v>3480</v>
      </c>
      <c r="D4812" s="160" t="s">
        <v>619</v>
      </c>
      <c r="E4812" s="545">
        <v>4.07</v>
      </c>
      <c r="F4812" s="161">
        <v>183.21</v>
      </c>
      <c r="G4812" s="191"/>
      <c r="H4812" s="191">
        <v>3.2266666658599995E-3</v>
      </c>
      <c r="I4812" s="191">
        <v>8.7129999999999992</v>
      </c>
      <c r="J4812" s="191"/>
      <c r="K4812" s="191">
        <v>1348.9628825916541</v>
      </c>
      <c r="L4812" s="191"/>
      <c r="M4812" s="191"/>
      <c r="N4812" s="191"/>
      <c r="O4812" s="191"/>
      <c r="P4812" s="191"/>
      <c r="Q4812" s="191">
        <v>1.4289227250000001E-4</v>
      </c>
      <c r="R4812" s="191">
        <v>2.1393431498763744E-7</v>
      </c>
      <c r="S4812" s="191">
        <v>2.3770479443070826E-8</v>
      </c>
      <c r="T4812" s="191">
        <v>1.0696715749381872E-7</v>
      </c>
      <c r="U4812" s="439"/>
      <c r="V4812" s="439"/>
      <c r="W4812" s="178">
        <v>30000</v>
      </c>
      <c r="X4812" s="172">
        <f t="shared" si="14"/>
        <v>0.33333333333333331</v>
      </c>
      <c r="Y4812" s="172">
        <f t="shared" si="14"/>
        <v>0.33333333333333331</v>
      </c>
      <c r="Z4812" s="172">
        <f t="shared" si="14"/>
        <v>0.33333333333333331</v>
      </c>
      <c r="AA4812" s="195"/>
      <c r="AB4812" s="159"/>
    </row>
    <row r="4813" spans="1:28" ht="12.75" customHeight="1" x14ac:dyDescent="0.3">
      <c r="A4813" s="161">
        <v>813</v>
      </c>
      <c r="B4813" s="159" t="s">
        <v>3481</v>
      </c>
      <c r="C4813" s="160" t="s">
        <v>3482</v>
      </c>
      <c r="D4813" s="160" t="s">
        <v>619</v>
      </c>
      <c r="E4813" s="545">
        <v>4.17</v>
      </c>
      <c r="F4813" s="161">
        <v>187.22</v>
      </c>
      <c r="G4813" s="191"/>
      <c r="H4813" s="191">
        <v>1.61333333293E-2</v>
      </c>
      <c r="I4813" s="191">
        <v>128.5</v>
      </c>
      <c r="J4813" s="191"/>
      <c r="K4813" s="191">
        <v>1096.4781961431863</v>
      </c>
      <c r="L4813" s="191"/>
      <c r="M4813" s="191"/>
      <c r="N4813" s="191"/>
      <c r="O4813" s="191"/>
      <c r="P4813" s="191"/>
      <c r="Q4813" s="191">
        <v>5.2131750000000004E-5</v>
      </c>
      <c r="R4813" s="191">
        <v>1.3370894686727339E-7</v>
      </c>
      <c r="S4813" s="191">
        <v>1.4856549651919266E-8</v>
      </c>
      <c r="T4813" s="191">
        <v>6.6854473433636697E-8</v>
      </c>
      <c r="U4813" s="439"/>
      <c r="V4813" s="439"/>
      <c r="W4813" s="178">
        <v>30000</v>
      </c>
      <c r="X4813" s="172">
        <f t="shared" si="14"/>
        <v>0.33333333333333331</v>
      </c>
      <c r="Y4813" s="172">
        <f t="shared" si="14"/>
        <v>0.33333333333333331</v>
      </c>
      <c r="Z4813" s="172">
        <f t="shared" si="14"/>
        <v>0.33333333333333331</v>
      </c>
      <c r="AA4813" s="195"/>
      <c r="AB4813" s="159"/>
    </row>
    <row r="4814" spans="1:28" ht="12.75" customHeight="1" x14ac:dyDescent="0.3">
      <c r="A4814" s="161">
        <v>814</v>
      </c>
      <c r="B4814" s="159" t="s">
        <v>3483</v>
      </c>
      <c r="C4814" s="160" t="s">
        <v>3484</v>
      </c>
      <c r="D4814" s="160" t="s">
        <v>619</v>
      </c>
      <c r="E4814" s="545">
        <v>4.1900000000000004</v>
      </c>
      <c r="F4814" s="161">
        <v>171.24</v>
      </c>
      <c r="G4814" s="191"/>
      <c r="H4814" s="191">
        <v>7.9199999980199998E-2</v>
      </c>
      <c r="I4814" s="191">
        <v>110</v>
      </c>
      <c r="J4814" s="191"/>
      <c r="K4814" s="191">
        <v>2818.3829312644561</v>
      </c>
      <c r="L4814" s="191"/>
      <c r="M4814" s="191"/>
      <c r="N4814" s="191"/>
      <c r="O4814" s="191"/>
      <c r="P4814" s="191"/>
      <c r="Q4814" s="191">
        <v>1.5664011749999998E-4</v>
      </c>
      <c r="R4814" s="191">
        <v>2.1393431498763744E-7</v>
      </c>
      <c r="S4814" s="191">
        <v>2.3770479443070826E-8</v>
      </c>
      <c r="T4814" s="191">
        <v>1.0696715749381872E-7</v>
      </c>
      <c r="U4814" s="439"/>
      <c r="V4814" s="439"/>
      <c r="W4814" s="178">
        <v>30000</v>
      </c>
      <c r="X4814" s="172">
        <f t="shared" si="14"/>
        <v>0.33333333333333331</v>
      </c>
      <c r="Y4814" s="172">
        <f t="shared" si="14"/>
        <v>0.33333333333333331</v>
      </c>
      <c r="Z4814" s="172">
        <f t="shared" si="14"/>
        <v>0.33333333333333331</v>
      </c>
      <c r="AA4814" s="195"/>
      <c r="AB4814" s="159"/>
    </row>
    <row r="4815" spans="1:28" ht="12.75" customHeight="1" x14ac:dyDescent="0.3">
      <c r="A4815" s="161">
        <v>815</v>
      </c>
      <c r="B4815" s="159" t="s">
        <v>3485</v>
      </c>
      <c r="C4815" s="160" t="s">
        <v>3486</v>
      </c>
      <c r="D4815" s="160" t="s">
        <v>619</v>
      </c>
      <c r="E4815" s="545">
        <v>4.2</v>
      </c>
      <c r="F4815" s="161">
        <v>191.19</v>
      </c>
      <c r="G4815" s="191"/>
      <c r="H4815" s="191">
        <v>9.999999997499999E-8</v>
      </c>
      <c r="I4815" s="191">
        <v>29</v>
      </c>
      <c r="J4815" s="191"/>
      <c r="K4815" s="191">
        <v>33.113112148259127</v>
      </c>
      <c r="L4815" s="191"/>
      <c r="M4815" s="191"/>
      <c r="N4815" s="191"/>
      <c r="O4815" s="191"/>
      <c r="P4815" s="191"/>
      <c r="Q4815" s="191">
        <v>1.504896E-4</v>
      </c>
      <c r="R4815" s="191">
        <v>2.1393431498763744E-7</v>
      </c>
      <c r="S4815" s="191">
        <v>2.3770479443070826E-8</v>
      </c>
      <c r="T4815" s="191">
        <v>3.646607641834729E-7</v>
      </c>
      <c r="U4815" s="439"/>
      <c r="V4815" s="439"/>
      <c r="W4815" s="178">
        <v>30000</v>
      </c>
      <c r="X4815" s="172">
        <f t="shared" si="14"/>
        <v>0.33333333333333331</v>
      </c>
      <c r="Y4815" s="172">
        <f t="shared" si="14"/>
        <v>0.33333333333333331</v>
      </c>
      <c r="Z4815" s="172">
        <f t="shared" si="14"/>
        <v>0.33333333333333331</v>
      </c>
      <c r="AA4815" s="195"/>
      <c r="AB4815" s="159"/>
    </row>
    <row r="4816" spans="1:28" ht="12.75" customHeight="1" x14ac:dyDescent="0.3">
      <c r="A4816" s="161">
        <v>816</v>
      </c>
      <c r="B4816" s="159" t="s">
        <v>3487</v>
      </c>
      <c r="C4816" s="160" t="s">
        <v>3488</v>
      </c>
      <c r="D4816" s="160" t="s">
        <v>619</v>
      </c>
      <c r="E4816" s="545">
        <v>4.2</v>
      </c>
      <c r="F4816" s="161">
        <v>293.42</v>
      </c>
      <c r="G4816" s="191"/>
      <c r="H4816" s="191">
        <v>2.6666666659999996E-4</v>
      </c>
      <c r="I4816" s="191">
        <v>1</v>
      </c>
      <c r="J4816" s="191"/>
      <c r="K4816" s="191">
        <v>316227.7660168382</v>
      </c>
      <c r="L4816" s="191"/>
      <c r="M4816" s="191"/>
      <c r="N4816" s="191"/>
      <c r="O4816" s="191"/>
      <c r="P4816" s="191"/>
      <c r="Q4816" s="191">
        <v>9.9785692499999992E-5</v>
      </c>
      <c r="R4816" s="191">
        <v>2.1393431498763744E-7</v>
      </c>
      <c r="S4816" s="191">
        <v>2.3770479443070826E-8</v>
      </c>
      <c r="T4816" s="191">
        <v>8.0225368120364038E-6</v>
      </c>
      <c r="U4816" s="439"/>
      <c r="V4816" s="439"/>
      <c r="W4816" s="178">
        <v>30000</v>
      </c>
      <c r="X4816" s="172">
        <f t="shared" si="14"/>
        <v>0.33333333333333331</v>
      </c>
      <c r="Y4816" s="172">
        <f t="shared" si="14"/>
        <v>0.33333333333333331</v>
      </c>
      <c r="Z4816" s="172">
        <f t="shared" si="14"/>
        <v>0.33333333333333331</v>
      </c>
      <c r="AA4816" s="195"/>
      <c r="AB4816" s="159"/>
    </row>
    <row r="4817" spans="1:28" ht="12.75" customHeight="1" x14ac:dyDescent="0.3">
      <c r="A4817" s="161">
        <v>817</v>
      </c>
      <c r="B4817" s="159" t="s">
        <v>3489</v>
      </c>
      <c r="C4817" s="160" t="s">
        <v>3490</v>
      </c>
      <c r="D4817" s="160" t="s">
        <v>619</v>
      </c>
      <c r="E4817" s="545">
        <v>4.21</v>
      </c>
      <c r="F4817" s="161">
        <v>179.22</v>
      </c>
      <c r="G4817" s="191"/>
      <c r="H4817" s="191">
        <v>2.9066666659400001E-2</v>
      </c>
      <c r="I4817" s="191">
        <v>78.7</v>
      </c>
      <c r="J4817" s="191"/>
      <c r="K4817" s="191">
        <v>2691.5348039269184</v>
      </c>
      <c r="L4817" s="191"/>
      <c r="M4817" s="191"/>
      <c r="N4817" s="191"/>
      <c r="O4817" s="191"/>
      <c r="P4817" s="191"/>
      <c r="Q4817" s="191">
        <v>6.7500075000000003E-6</v>
      </c>
      <c r="R4817" s="191">
        <v>5.3483578746909358E-7</v>
      </c>
      <c r="S4817" s="191">
        <v>5.9426198607677063E-8</v>
      </c>
      <c r="T4817" s="191">
        <v>2.6741789373454679E-7</v>
      </c>
      <c r="U4817" s="439"/>
      <c r="V4817" s="439"/>
      <c r="W4817" s="178">
        <v>30000</v>
      </c>
      <c r="X4817" s="172">
        <f t="shared" si="14"/>
        <v>0.33333333333333331</v>
      </c>
      <c r="Y4817" s="172">
        <f t="shared" si="14"/>
        <v>0.33333333333333331</v>
      </c>
      <c r="Z4817" s="172">
        <f t="shared" si="14"/>
        <v>0.33333333333333331</v>
      </c>
      <c r="AA4817" s="195"/>
      <c r="AB4817" s="159"/>
    </row>
    <row r="4818" spans="1:28" ht="12.75" customHeight="1" x14ac:dyDescent="0.3">
      <c r="A4818" s="161">
        <v>818</v>
      </c>
      <c r="B4818" s="159" t="s">
        <v>3491</v>
      </c>
      <c r="C4818" s="160" t="s">
        <v>3492</v>
      </c>
      <c r="D4818" s="160" t="s">
        <v>619</v>
      </c>
      <c r="E4818" s="545">
        <v>4.2300000000000004</v>
      </c>
      <c r="F4818" s="161">
        <v>295.3</v>
      </c>
      <c r="G4818" s="191"/>
      <c r="H4818" s="191">
        <v>1.1253333330519999E-9</v>
      </c>
      <c r="I4818" s="191">
        <v>71.3</v>
      </c>
      <c r="J4818" s="191"/>
      <c r="K4818" s="191">
        <v>676.08297539198213</v>
      </c>
      <c r="L4818" s="191"/>
      <c r="M4818" s="191"/>
      <c r="N4818" s="191"/>
      <c r="O4818" s="191"/>
      <c r="P4818" s="191"/>
      <c r="Q4818" s="191">
        <v>1.0202178E-4</v>
      </c>
      <c r="R4818" s="191">
        <v>2.1393431498763744E-7</v>
      </c>
      <c r="S4818" s="191">
        <v>2.3770479443070826E-8</v>
      </c>
      <c r="T4818" s="191">
        <v>1.0696715749381872E-7</v>
      </c>
      <c r="U4818" s="439"/>
      <c r="V4818" s="439"/>
      <c r="W4818" s="178">
        <v>30000</v>
      </c>
      <c r="X4818" s="172">
        <f t="shared" si="14"/>
        <v>0.33333333333333331</v>
      </c>
      <c r="Y4818" s="172">
        <f t="shared" si="14"/>
        <v>0.33333333333333331</v>
      </c>
      <c r="Z4818" s="172">
        <f t="shared" si="14"/>
        <v>0.33333333333333331</v>
      </c>
      <c r="AA4818" s="195"/>
      <c r="AB4818" s="159"/>
    </row>
    <row r="4819" spans="1:28" ht="12.75" customHeight="1" x14ac:dyDescent="0.3">
      <c r="A4819" s="161">
        <v>819</v>
      </c>
      <c r="B4819" s="159" t="s">
        <v>3493</v>
      </c>
      <c r="C4819" s="160" t="s">
        <v>3494</v>
      </c>
      <c r="D4819" s="160" t="s">
        <v>619</v>
      </c>
      <c r="E4819" s="545">
        <v>4.24</v>
      </c>
      <c r="F4819" s="161">
        <v>123.16</v>
      </c>
      <c r="G4819" s="191"/>
      <c r="H4819" s="191">
        <v>9.9999999974999998</v>
      </c>
      <c r="I4819" s="191">
        <v>15690</v>
      </c>
      <c r="J4819" s="191"/>
      <c r="K4819" s="191">
        <v>8.5113803820237681</v>
      </c>
      <c r="L4819" s="191"/>
      <c r="M4819" s="191"/>
      <c r="N4819" s="191"/>
      <c r="O4819" s="191"/>
      <c r="P4819" s="191"/>
      <c r="Q4819" s="191">
        <v>1.5062220749999998E-4</v>
      </c>
      <c r="R4819" s="191">
        <v>2.1393431498763744E-7</v>
      </c>
      <c r="S4819" s="191">
        <v>2.3770479443070826E-8</v>
      </c>
      <c r="T4819" s="191">
        <v>1.0696715749381872E-7</v>
      </c>
      <c r="U4819" s="439"/>
      <c r="V4819" s="439"/>
      <c r="W4819" s="178">
        <v>30000</v>
      </c>
      <c r="X4819" s="172">
        <f t="shared" si="14"/>
        <v>0.33333333333333331</v>
      </c>
      <c r="Y4819" s="172">
        <f t="shared" si="14"/>
        <v>0.33333333333333331</v>
      </c>
      <c r="Z4819" s="172">
        <f t="shared" si="14"/>
        <v>0.33333333333333331</v>
      </c>
      <c r="AA4819" s="195"/>
      <c r="AB4819" s="159"/>
    </row>
    <row r="4820" spans="1:28" ht="12.75" customHeight="1" x14ac:dyDescent="0.3">
      <c r="A4820" s="161">
        <v>820</v>
      </c>
      <c r="B4820" s="159" t="s">
        <v>3495</v>
      </c>
      <c r="C4820" s="160" t="s">
        <v>3496</v>
      </c>
      <c r="D4820" s="160" t="s">
        <v>619</v>
      </c>
      <c r="E4820" s="545">
        <v>4.3</v>
      </c>
      <c r="F4820" s="161">
        <v>241.36</v>
      </c>
      <c r="G4820" s="191"/>
      <c r="H4820" s="191">
        <v>2.2533333327699997E-4</v>
      </c>
      <c r="I4820" s="191">
        <v>25</v>
      </c>
      <c r="J4820" s="191"/>
      <c r="K4820" s="191">
        <v>5495.4087385762541</v>
      </c>
      <c r="L4820" s="191"/>
      <c r="M4820" s="191"/>
      <c r="N4820" s="191"/>
      <c r="O4820" s="191"/>
      <c r="P4820" s="191"/>
      <c r="Q4820" s="191">
        <v>7.9975425000000005E-6</v>
      </c>
      <c r="R4820" s="191">
        <v>1.3370894686727339E-7</v>
      </c>
      <c r="S4820" s="191">
        <v>1.4856549651919266E-8</v>
      </c>
      <c r="T4820" s="191">
        <v>1.5427955407762316E-7</v>
      </c>
      <c r="U4820" s="439"/>
      <c r="V4820" s="439"/>
      <c r="W4820" s="178">
        <v>30000</v>
      </c>
      <c r="X4820" s="172">
        <f t="shared" si="14"/>
        <v>0.33333333333333331</v>
      </c>
      <c r="Y4820" s="172">
        <f t="shared" si="14"/>
        <v>0.33333333333333331</v>
      </c>
      <c r="Z4820" s="172">
        <f t="shared" si="14"/>
        <v>0.33333333333333331</v>
      </c>
      <c r="AA4820" s="195"/>
      <c r="AB4820" s="159"/>
    </row>
    <row r="4821" spans="1:28" ht="12.75" customHeight="1" x14ac:dyDescent="0.3">
      <c r="A4821" s="161">
        <v>821</v>
      </c>
      <c r="B4821" s="159" t="s">
        <v>3497</v>
      </c>
      <c r="C4821" s="160" t="s">
        <v>3498</v>
      </c>
      <c r="D4821" s="160" t="s">
        <v>619</v>
      </c>
      <c r="E4821" s="545">
        <v>4.3</v>
      </c>
      <c r="F4821" s="161">
        <v>121.18</v>
      </c>
      <c r="G4821" s="191"/>
      <c r="H4821" s="191">
        <v>22.666666661000001</v>
      </c>
      <c r="I4821" s="191">
        <v>3245</v>
      </c>
      <c r="J4821" s="191"/>
      <c r="K4821" s="191">
        <v>54.95408738576247</v>
      </c>
      <c r="L4821" s="191"/>
      <c r="M4821" s="191"/>
      <c r="N4821" s="191"/>
      <c r="O4821" s="191"/>
      <c r="P4821" s="191"/>
      <c r="Q4821" s="191">
        <v>9.9186562499999997E-5</v>
      </c>
      <c r="R4821" s="191">
        <v>2.1393431498763744E-7</v>
      </c>
      <c r="S4821" s="191">
        <v>2.3770479443070826E-8</v>
      </c>
      <c r="T4821" s="191">
        <v>1.0696715749381872E-7</v>
      </c>
      <c r="U4821" s="439"/>
      <c r="V4821" s="439"/>
      <c r="W4821" s="178">
        <v>30000</v>
      </c>
      <c r="X4821" s="172">
        <f t="shared" si="14"/>
        <v>0.33333333333333331</v>
      </c>
      <c r="Y4821" s="172">
        <f t="shared" si="14"/>
        <v>0.33333333333333331</v>
      </c>
      <c r="Z4821" s="172">
        <f t="shared" si="14"/>
        <v>0.33333333333333331</v>
      </c>
      <c r="AA4821" s="195"/>
      <c r="AB4821" s="159"/>
    </row>
    <row r="4822" spans="1:28" ht="12.75" customHeight="1" x14ac:dyDescent="0.3">
      <c r="A4822" s="161">
        <v>822</v>
      </c>
      <c r="B4822" s="159" t="s">
        <v>3499</v>
      </c>
      <c r="C4822" s="160" t="s">
        <v>3500</v>
      </c>
      <c r="D4822" s="160" t="s">
        <v>619</v>
      </c>
      <c r="E4822" s="545">
        <v>4.3499999999999996</v>
      </c>
      <c r="F4822" s="161">
        <v>169.23</v>
      </c>
      <c r="G4822" s="191"/>
      <c r="H4822" s="191">
        <v>0.12773333330139999</v>
      </c>
      <c r="I4822" s="191">
        <v>223.9</v>
      </c>
      <c r="J4822" s="191"/>
      <c r="K4822" s="191">
        <v>724.43596007499025</v>
      </c>
      <c r="L4822" s="191"/>
      <c r="M4822" s="191"/>
      <c r="N4822" s="191"/>
      <c r="O4822" s="191"/>
      <c r="P4822" s="191"/>
      <c r="Q4822" s="191">
        <v>6.0217320000000005E-5</v>
      </c>
      <c r="R4822" s="191">
        <v>2.1393431498763744E-7</v>
      </c>
      <c r="S4822" s="191">
        <v>2.3770479443070826E-8</v>
      </c>
      <c r="T4822" s="191">
        <v>1.0696715749381872E-7</v>
      </c>
      <c r="U4822" s="439"/>
      <c r="V4822" s="439"/>
      <c r="W4822" s="178">
        <v>30000</v>
      </c>
      <c r="X4822" s="172">
        <f t="shared" si="14"/>
        <v>0.33333333333333331</v>
      </c>
      <c r="Y4822" s="172">
        <f t="shared" si="14"/>
        <v>0.33333333333333331</v>
      </c>
      <c r="Z4822" s="172">
        <f t="shared" si="14"/>
        <v>0.33333333333333331</v>
      </c>
      <c r="AA4822" s="195"/>
      <c r="AB4822" s="159"/>
    </row>
    <row r="4823" spans="1:28" ht="12.75" customHeight="1" x14ac:dyDescent="0.3">
      <c r="A4823" s="161">
        <v>823</v>
      </c>
      <c r="B4823" s="159" t="s">
        <v>3501</v>
      </c>
      <c r="C4823" s="160" t="s">
        <v>3502</v>
      </c>
      <c r="D4823" s="160" t="s">
        <v>619</v>
      </c>
      <c r="E4823" s="545">
        <v>4.3600000000000003</v>
      </c>
      <c r="F4823" s="161">
        <v>210.28</v>
      </c>
      <c r="G4823" s="191"/>
      <c r="H4823" s="191">
        <v>1.3333333330000001E-3</v>
      </c>
      <c r="I4823" s="191">
        <v>3.66</v>
      </c>
      <c r="J4823" s="191"/>
      <c r="K4823" s="191">
        <v>2570.3957827688669</v>
      </c>
      <c r="L4823" s="191"/>
      <c r="M4823" s="191"/>
      <c r="N4823" s="191"/>
      <c r="O4823" s="191"/>
      <c r="P4823" s="191"/>
      <c r="Q4823" s="191">
        <v>1.5664011749999998E-4</v>
      </c>
      <c r="R4823" s="191">
        <v>2.1393431498763744E-7</v>
      </c>
      <c r="S4823" s="191">
        <v>2.3770479443070826E-8</v>
      </c>
      <c r="T4823" s="191">
        <v>1.0696715749381872E-7</v>
      </c>
      <c r="U4823" s="439"/>
      <c r="V4823" s="439"/>
      <c r="W4823" s="178">
        <v>30000</v>
      </c>
      <c r="X4823" s="172">
        <f t="shared" si="14"/>
        <v>0.33333333333333331</v>
      </c>
      <c r="Y4823" s="172">
        <f t="shared" si="14"/>
        <v>0.33333333333333331</v>
      </c>
      <c r="Z4823" s="172">
        <f t="shared" si="14"/>
        <v>0.33333333333333331</v>
      </c>
      <c r="AA4823" s="195"/>
      <c r="AB4823" s="159"/>
    </row>
    <row r="4824" spans="1:28" ht="12.75" customHeight="1" x14ac:dyDescent="0.3">
      <c r="A4824" s="161">
        <v>824</v>
      </c>
      <c r="B4824" s="159" t="s">
        <v>3503</v>
      </c>
      <c r="C4824" s="160" t="s">
        <v>3504</v>
      </c>
      <c r="D4824" s="160" t="s">
        <v>619</v>
      </c>
      <c r="E4824" s="545">
        <v>4.37</v>
      </c>
      <c r="F4824" s="161">
        <v>109.13</v>
      </c>
      <c r="G4824" s="191"/>
      <c r="H4824" s="191">
        <v>0.24799999993800001</v>
      </c>
      <c r="I4824" s="191">
        <v>27000</v>
      </c>
      <c r="J4824" s="191"/>
      <c r="K4824" s="191">
        <v>1.62181009735893</v>
      </c>
      <c r="L4824" s="191"/>
      <c r="M4824" s="191"/>
      <c r="N4824" s="191"/>
      <c r="O4824" s="191"/>
      <c r="P4824" s="191"/>
      <c r="Q4824" s="191">
        <v>1.5010499999999999E-4</v>
      </c>
      <c r="R4824" s="191">
        <v>5.3483578746909358E-7</v>
      </c>
      <c r="S4824" s="191">
        <v>5.9426198607677063E-8</v>
      </c>
      <c r="T4824" s="191">
        <v>1.4325958592922148E-7</v>
      </c>
      <c r="U4824" s="439"/>
      <c r="V4824" s="439"/>
      <c r="W4824" s="178">
        <v>30000</v>
      </c>
      <c r="X4824" s="172">
        <f t="shared" si="14"/>
        <v>0.33333333333333331</v>
      </c>
      <c r="Y4824" s="172">
        <f t="shared" si="14"/>
        <v>0.33333333333333331</v>
      </c>
      <c r="Z4824" s="172">
        <f t="shared" si="14"/>
        <v>0.33333333333333331</v>
      </c>
      <c r="AA4824" s="195"/>
      <c r="AB4824" s="159"/>
    </row>
    <row r="4825" spans="1:28" ht="12.75" customHeight="1" x14ac:dyDescent="0.3">
      <c r="A4825" s="161">
        <v>825</v>
      </c>
      <c r="B4825" s="159" t="s">
        <v>3505</v>
      </c>
      <c r="C4825" s="160" t="s">
        <v>3506</v>
      </c>
      <c r="D4825" s="160" t="s">
        <v>619</v>
      </c>
      <c r="E4825" s="545">
        <v>4.3899999999999997</v>
      </c>
      <c r="F4825" s="161">
        <v>226.32</v>
      </c>
      <c r="G4825" s="191"/>
      <c r="H4825" s="191">
        <v>1.2133333330299999E-4</v>
      </c>
      <c r="I4825" s="191">
        <v>50.73</v>
      </c>
      <c r="J4825" s="191"/>
      <c r="K4825" s="191">
        <v>1905.4607179632485</v>
      </c>
      <c r="L4825" s="191"/>
      <c r="M4825" s="191"/>
      <c r="N4825" s="191"/>
      <c r="O4825" s="191"/>
      <c r="P4825" s="191"/>
      <c r="Q4825" s="191">
        <v>1.509044925E-4</v>
      </c>
      <c r="R4825" s="191">
        <v>1.3370894686727339E-7</v>
      </c>
      <c r="S4825" s="191">
        <v>1.4856549651919266E-8</v>
      </c>
      <c r="T4825" s="191">
        <v>6.6854473433636697E-8</v>
      </c>
      <c r="U4825" s="439"/>
      <c r="V4825" s="439"/>
      <c r="W4825" s="178">
        <v>30000</v>
      </c>
      <c r="X4825" s="172">
        <f t="shared" si="14"/>
        <v>0.33333333333333331</v>
      </c>
      <c r="Y4825" s="172">
        <f t="shared" si="14"/>
        <v>0.33333333333333331</v>
      </c>
      <c r="Z4825" s="172">
        <f t="shared" si="14"/>
        <v>0.33333333333333331</v>
      </c>
      <c r="AA4825" s="195"/>
      <c r="AB4825" s="159"/>
    </row>
    <row r="4826" spans="1:28" ht="12.75" customHeight="1" x14ac:dyDescent="0.3">
      <c r="A4826" s="161">
        <v>826</v>
      </c>
      <c r="B4826" s="159" t="s">
        <v>3507</v>
      </c>
      <c r="C4826" s="160" t="s">
        <v>3508</v>
      </c>
      <c r="D4826" s="160" t="s">
        <v>619</v>
      </c>
      <c r="E4826" s="545">
        <v>4.41</v>
      </c>
      <c r="F4826" s="161">
        <v>198.23</v>
      </c>
      <c r="G4826" s="191"/>
      <c r="H4826" s="191">
        <v>4.6399999988399998E-7</v>
      </c>
      <c r="I4826" s="191">
        <v>133.5</v>
      </c>
      <c r="J4826" s="191"/>
      <c r="K4826" s="191">
        <v>45.708818961487509</v>
      </c>
      <c r="L4826" s="191"/>
      <c r="M4826" s="191"/>
      <c r="N4826" s="191"/>
      <c r="O4826" s="191"/>
      <c r="P4826" s="191"/>
      <c r="Q4826" s="191">
        <v>2.5622032500000002E-5</v>
      </c>
      <c r="R4826" s="191">
        <v>2.1393431498763744E-7</v>
      </c>
      <c r="S4826" s="191">
        <v>2.3770479443070826E-8</v>
      </c>
      <c r="T4826" s="191">
        <v>1.0696715749381872E-7</v>
      </c>
      <c r="U4826" s="439"/>
      <c r="V4826" s="439"/>
      <c r="W4826" s="178">
        <v>30000</v>
      </c>
      <c r="X4826" s="172">
        <f t="shared" si="14"/>
        <v>0.33333333333333331</v>
      </c>
      <c r="Y4826" s="172">
        <f t="shared" si="14"/>
        <v>0.33333333333333331</v>
      </c>
      <c r="Z4826" s="172">
        <f t="shared" si="14"/>
        <v>0.33333333333333331</v>
      </c>
      <c r="AA4826" s="195"/>
      <c r="AB4826" s="159"/>
    </row>
    <row r="4827" spans="1:28" ht="12.75" customHeight="1" x14ac:dyDescent="0.3">
      <c r="A4827" s="161">
        <v>827</v>
      </c>
      <c r="B4827" s="159" t="s">
        <v>3509</v>
      </c>
      <c r="C4827" s="160" t="s">
        <v>3510</v>
      </c>
      <c r="D4827" s="160" t="s">
        <v>619</v>
      </c>
      <c r="E4827" s="545">
        <v>4.4400000000000004</v>
      </c>
      <c r="F4827" s="161">
        <v>158.19999999999999</v>
      </c>
      <c r="G4827" s="191"/>
      <c r="H4827" s="191">
        <v>4.9599999987599993E-4</v>
      </c>
      <c r="I4827" s="191">
        <v>380</v>
      </c>
      <c r="J4827" s="191"/>
      <c r="K4827" s="191">
        <v>7.7624711662869199</v>
      </c>
      <c r="L4827" s="191"/>
      <c r="M4827" s="191"/>
      <c r="N4827" s="191"/>
      <c r="O4827" s="191"/>
      <c r="P4827" s="191"/>
      <c r="Q4827" s="191">
        <v>1.5000000000000001E-4</v>
      </c>
      <c r="R4827" s="191">
        <v>2.1393431498763744E-7</v>
      </c>
      <c r="S4827" s="191">
        <v>2.3770479443070826E-8</v>
      </c>
      <c r="T4827" s="191">
        <v>1.0696715749381872E-7</v>
      </c>
      <c r="U4827" s="439"/>
      <c r="V4827" s="439"/>
      <c r="W4827" s="178">
        <v>30000</v>
      </c>
      <c r="X4827" s="172">
        <f t="shared" si="14"/>
        <v>0.33333333333333331</v>
      </c>
      <c r="Y4827" s="172">
        <f t="shared" si="14"/>
        <v>0.33333333333333331</v>
      </c>
      <c r="Z4827" s="172">
        <f t="shared" si="14"/>
        <v>0.33333333333333331</v>
      </c>
      <c r="AA4827" s="195"/>
      <c r="AB4827" s="159"/>
    </row>
    <row r="4828" spans="1:28" ht="12.75" customHeight="1" x14ac:dyDescent="0.3">
      <c r="A4828" s="161">
        <v>828</v>
      </c>
      <c r="B4828" s="159" t="s">
        <v>3511</v>
      </c>
      <c r="C4828" s="160" t="s">
        <v>3512</v>
      </c>
      <c r="D4828" s="160" t="s">
        <v>619</v>
      </c>
      <c r="E4828" s="545">
        <v>4.4400000000000004</v>
      </c>
      <c r="F4828" s="161">
        <v>225.3</v>
      </c>
      <c r="G4828" s="191"/>
      <c r="H4828" s="191">
        <v>4.9066666654399996E-4</v>
      </c>
      <c r="I4828" s="191">
        <v>13</v>
      </c>
      <c r="J4828" s="191"/>
      <c r="K4828" s="191">
        <v>10000</v>
      </c>
      <c r="L4828" s="191"/>
      <c r="M4828" s="191"/>
      <c r="N4828" s="191"/>
      <c r="O4828" s="191"/>
      <c r="P4828" s="191"/>
      <c r="Q4828" s="191">
        <v>1.5018841500000001E-4</v>
      </c>
      <c r="R4828" s="191">
        <v>2.1393431498763744E-7</v>
      </c>
      <c r="S4828" s="191">
        <v>2.3770479443070826E-8</v>
      </c>
      <c r="T4828" s="191">
        <v>1.782785958230312E-7</v>
      </c>
      <c r="U4828" s="439"/>
      <c r="V4828" s="439"/>
      <c r="W4828" s="178">
        <v>30000</v>
      </c>
      <c r="X4828" s="172">
        <f t="shared" si="14"/>
        <v>0.33333333333333331</v>
      </c>
      <c r="Y4828" s="172">
        <f t="shared" si="14"/>
        <v>0.33333333333333331</v>
      </c>
      <c r="Z4828" s="172">
        <f t="shared" si="14"/>
        <v>0.33333333333333331</v>
      </c>
      <c r="AA4828" s="195"/>
      <c r="AB4828" s="159"/>
    </row>
    <row r="4829" spans="1:28" ht="12.75" customHeight="1" x14ac:dyDescent="0.3">
      <c r="A4829" s="161">
        <v>829</v>
      </c>
      <c r="B4829" s="159" t="s">
        <v>3513</v>
      </c>
      <c r="C4829" s="160" t="s">
        <v>3514</v>
      </c>
      <c r="D4829" s="160" t="s">
        <v>619</v>
      </c>
      <c r="E4829" s="545">
        <v>4.4400000000000004</v>
      </c>
      <c r="F4829" s="161">
        <v>107.16</v>
      </c>
      <c r="G4829" s="191"/>
      <c r="H4829" s="191">
        <v>34.666666657999997</v>
      </c>
      <c r="I4829" s="191">
        <v>16600</v>
      </c>
      <c r="J4829" s="191"/>
      <c r="K4829" s="191">
        <v>20.8929613085404</v>
      </c>
      <c r="L4829" s="191"/>
      <c r="M4829" s="191"/>
      <c r="N4829" s="191"/>
      <c r="O4829" s="191"/>
      <c r="P4829" s="191"/>
      <c r="Q4829" s="191">
        <v>9.9071460000000006E-5</v>
      </c>
      <c r="R4829" s="191">
        <v>5.3483578746909358E-7</v>
      </c>
      <c r="S4829" s="191">
        <v>5.9426198607677063E-8</v>
      </c>
      <c r="T4829" s="191">
        <v>2.6741789373454679E-7</v>
      </c>
      <c r="U4829" s="439"/>
      <c r="V4829" s="439"/>
      <c r="W4829" s="178">
        <v>30000</v>
      </c>
      <c r="X4829" s="172">
        <f t="shared" si="14"/>
        <v>0.33333333333333331</v>
      </c>
      <c r="Y4829" s="172">
        <f t="shared" si="14"/>
        <v>0.33333333333333331</v>
      </c>
      <c r="Z4829" s="172">
        <f t="shared" si="14"/>
        <v>0.33333333333333331</v>
      </c>
      <c r="AA4829" s="195"/>
      <c r="AB4829" s="159"/>
    </row>
    <row r="4830" spans="1:28" ht="12.75" customHeight="1" x14ac:dyDescent="0.3">
      <c r="A4830" s="161">
        <v>830</v>
      </c>
      <c r="B4830" s="159" t="s">
        <v>3515</v>
      </c>
      <c r="C4830" s="160" t="s">
        <v>3516</v>
      </c>
      <c r="D4830" s="160" t="s">
        <v>619</v>
      </c>
      <c r="E4830" s="545">
        <v>4.46</v>
      </c>
      <c r="F4830" s="161">
        <v>127.57</v>
      </c>
      <c r="G4830" s="191"/>
      <c r="H4830" s="191">
        <v>65.5999999836</v>
      </c>
      <c r="I4830" s="191">
        <v>79740</v>
      </c>
      <c r="J4830" s="191"/>
      <c r="K4830" s="191">
        <v>40.738027780411301</v>
      </c>
      <c r="L4830" s="191"/>
      <c r="M4830" s="191"/>
      <c r="N4830" s="191"/>
      <c r="O4830" s="191"/>
      <c r="P4830" s="191"/>
      <c r="Q4830" s="191">
        <v>5.5238249999999994E-7</v>
      </c>
      <c r="R4830" s="191">
        <v>2.1393431498763744E-7</v>
      </c>
      <c r="S4830" s="191">
        <v>2.3770479443070826E-8</v>
      </c>
      <c r="T4830" s="191">
        <v>1.0696715749381872E-7</v>
      </c>
      <c r="U4830" s="439"/>
      <c r="V4830" s="439"/>
      <c r="W4830" s="178">
        <v>30000</v>
      </c>
      <c r="X4830" s="172">
        <f t="shared" si="14"/>
        <v>0.33333333333333331</v>
      </c>
      <c r="Y4830" s="172">
        <f t="shared" si="14"/>
        <v>0.33333333333333331</v>
      </c>
      <c r="Z4830" s="172">
        <f t="shared" si="14"/>
        <v>0.33333333333333331</v>
      </c>
      <c r="AA4830" s="195"/>
      <c r="AB4830" s="159"/>
    </row>
    <row r="4831" spans="1:28" ht="12.75" customHeight="1" x14ac:dyDescent="0.3">
      <c r="A4831" s="161">
        <v>831</v>
      </c>
      <c r="B4831" s="159" t="s">
        <v>3519</v>
      </c>
      <c r="C4831" s="160" t="s">
        <v>3520</v>
      </c>
      <c r="D4831" s="160" t="s">
        <v>619</v>
      </c>
      <c r="E4831" s="545">
        <v>4.4800000000000004</v>
      </c>
      <c r="F4831" s="161">
        <v>261.27999999999997</v>
      </c>
      <c r="G4831" s="191"/>
      <c r="H4831" s="191">
        <v>7.6799999980799996E-3</v>
      </c>
      <c r="I4831" s="191">
        <v>390</v>
      </c>
      <c r="J4831" s="191"/>
      <c r="K4831" s="191">
        <v>398.10717055349761</v>
      </c>
      <c r="L4831" s="191"/>
      <c r="M4831" s="191"/>
      <c r="N4831" s="191"/>
      <c r="O4831" s="191"/>
      <c r="P4831" s="191"/>
      <c r="Q4831" s="191">
        <v>1.2802230750000001E-4</v>
      </c>
      <c r="R4831" s="191">
        <v>2.1393431498763744E-7</v>
      </c>
      <c r="S4831" s="191">
        <v>2.3770479443070826E-8</v>
      </c>
      <c r="T4831" s="191">
        <v>1.0696715749381872E-7</v>
      </c>
      <c r="U4831" s="439"/>
      <c r="V4831" s="439"/>
      <c r="W4831" s="178">
        <v>30000</v>
      </c>
      <c r="X4831" s="172">
        <f t="shared" si="14"/>
        <v>0.33333333333333331</v>
      </c>
      <c r="Y4831" s="172">
        <f t="shared" si="14"/>
        <v>0.33333333333333331</v>
      </c>
      <c r="Z4831" s="172">
        <f t="shared" si="14"/>
        <v>0.33333333333333331</v>
      </c>
      <c r="AA4831" s="195"/>
      <c r="AB4831" s="159"/>
    </row>
    <row r="4832" spans="1:28" ht="12.75" customHeight="1" x14ac:dyDescent="0.3">
      <c r="A4832" s="161">
        <v>832</v>
      </c>
      <c r="B4832" s="159" t="s">
        <v>3517</v>
      </c>
      <c r="C4832" s="160" t="s">
        <v>3518</v>
      </c>
      <c r="D4832" s="160" t="s">
        <v>619</v>
      </c>
      <c r="E4832" s="545">
        <v>4.4800000000000004</v>
      </c>
      <c r="F4832" s="161">
        <v>155.19999999999999</v>
      </c>
      <c r="G4832" s="191"/>
      <c r="H4832" s="191">
        <v>0.59866666651699996</v>
      </c>
      <c r="I4832" s="191">
        <v>408.3</v>
      </c>
      <c r="J4832" s="191"/>
      <c r="K4832" s="191">
        <v>426.57951880159294</v>
      </c>
      <c r="L4832" s="191"/>
      <c r="M4832" s="191"/>
      <c r="N4832" s="191"/>
      <c r="O4832" s="191"/>
      <c r="P4832" s="191"/>
      <c r="Q4832" s="191">
        <v>3.0225975000000003E-6</v>
      </c>
      <c r="R4832" s="191">
        <v>2.1393431498763744E-7</v>
      </c>
      <c r="S4832" s="191">
        <v>2.3770479443070826E-8</v>
      </c>
      <c r="T4832" s="191">
        <v>1.0696715749381872E-7</v>
      </c>
      <c r="U4832" s="439"/>
      <c r="V4832" s="439"/>
      <c r="W4832" s="178">
        <v>30000</v>
      </c>
      <c r="X4832" s="172">
        <f t="shared" si="14"/>
        <v>0.33333333333333331</v>
      </c>
      <c r="Y4832" s="172">
        <f t="shared" si="14"/>
        <v>0.33333333333333331</v>
      </c>
      <c r="Z4832" s="172">
        <f t="shared" si="14"/>
        <v>0.33333333333333331</v>
      </c>
      <c r="AA4832" s="195"/>
      <c r="AB4832" s="159"/>
    </row>
    <row r="4833" spans="1:28" ht="12.75" customHeight="1" x14ac:dyDescent="0.3">
      <c r="A4833" s="161">
        <v>833</v>
      </c>
      <c r="B4833" s="159" t="s">
        <v>3523</v>
      </c>
      <c r="C4833" s="160" t="s">
        <v>3524</v>
      </c>
      <c r="D4833" s="160" t="s">
        <v>619</v>
      </c>
      <c r="E4833" s="545">
        <v>4.5</v>
      </c>
      <c r="F4833" s="161">
        <v>212.3</v>
      </c>
      <c r="G4833" s="191"/>
      <c r="H4833" s="191">
        <v>2.7466666659799999E-3</v>
      </c>
      <c r="I4833" s="191">
        <v>1300</v>
      </c>
      <c r="J4833" s="191"/>
      <c r="K4833" s="191">
        <v>218.77616239495524</v>
      </c>
      <c r="L4833" s="191"/>
      <c r="M4833" s="191"/>
      <c r="N4833" s="191"/>
      <c r="O4833" s="191"/>
      <c r="P4833" s="191"/>
      <c r="Q4833" s="191">
        <v>1.4161109999999999E-4</v>
      </c>
      <c r="R4833" s="191">
        <v>2.1393431498763744E-7</v>
      </c>
      <c r="S4833" s="191">
        <v>2.3770479443070826E-8</v>
      </c>
      <c r="T4833" s="191">
        <v>1.0696715749381872E-7</v>
      </c>
      <c r="U4833" s="439"/>
      <c r="V4833" s="439"/>
      <c r="W4833" s="178">
        <v>30000</v>
      </c>
      <c r="X4833" s="172">
        <f t="shared" si="14"/>
        <v>0.33333333333333331</v>
      </c>
      <c r="Y4833" s="172">
        <f t="shared" si="14"/>
        <v>0.33333333333333331</v>
      </c>
      <c r="Z4833" s="172">
        <f t="shared" si="14"/>
        <v>0.33333333333333331</v>
      </c>
      <c r="AA4833" s="195"/>
      <c r="AB4833" s="159"/>
    </row>
    <row r="4834" spans="1:28" ht="12.75" customHeight="1" x14ac:dyDescent="0.3">
      <c r="A4834" s="161">
        <v>834</v>
      </c>
      <c r="B4834" s="159" t="s">
        <v>3525</v>
      </c>
      <c r="C4834" s="160" t="s">
        <v>3526</v>
      </c>
      <c r="D4834" s="160" t="s">
        <v>619</v>
      </c>
      <c r="E4834" s="545">
        <v>4.5</v>
      </c>
      <c r="F4834" s="161">
        <v>212.3</v>
      </c>
      <c r="G4834" s="191"/>
      <c r="H4834" s="191">
        <v>2.7466666659799999E-3</v>
      </c>
      <c r="I4834" s="191">
        <v>1300</v>
      </c>
      <c r="J4834" s="191"/>
      <c r="K4834" s="191">
        <v>218.77616239495524</v>
      </c>
      <c r="L4834" s="191"/>
      <c r="M4834" s="191"/>
      <c r="N4834" s="191"/>
      <c r="O4834" s="191"/>
      <c r="P4834" s="191"/>
      <c r="Q4834" s="191">
        <v>1.4161109999999999E-4</v>
      </c>
      <c r="R4834" s="191">
        <v>2.1393431498763744E-7</v>
      </c>
      <c r="S4834" s="191">
        <v>2.3770479443070826E-8</v>
      </c>
      <c r="T4834" s="191">
        <v>1.0696715749381872E-7</v>
      </c>
      <c r="U4834" s="439"/>
      <c r="V4834" s="439"/>
      <c r="W4834" s="178">
        <v>30000</v>
      </c>
      <c r="X4834" s="172">
        <f t="shared" ref="X4834:Z4865" si="15">1/3</f>
        <v>0.33333333333333331</v>
      </c>
      <c r="Y4834" s="172">
        <f t="shared" si="15"/>
        <v>0.33333333333333331</v>
      </c>
      <c r="Z4834" s="172">
        <f t="shared" si="15"/>
        <v>0.33333333333333331</v>
      </c>
      <c r="AA4834" s="195"/>
      <c r="AB4834" s="159"/>
    </row>
    <row r="4835" spans="1:28" ht="12.75" customHeight="1" x14ac:dyDescent="0.3">
      <c r="A4835" s="161">
        <v>835</v>
      </c>
      <c r="B4835" s="159" t="s">
        <v>3521</v>
      </c>
      <c r="C4835" s="160" t="s">
        <v>3522</v>
      </c>
      <c r="D4835" s="160" t="s">
        <v>619</v>
      </c>
      <c r="E4835" s="545">
        <v>4.5</v>
      </c>
      <c r="F4835" s="161">
        <v>308.38</v>
      </c>
      <c r="G4835" s="191"/>
      <c r="H4835" s="191">
        <v>6.3866666650699995E-7</v>
      </c>
      <c r="I4835" s="191">
        <v>47.5</v>
      </c>
      <c r="J4835" s="191"/>
      <c r="K4835" s="191">
        <v>1445.4397707459289</v>
      </c>
      <c r="L4835" s="191"/>
      <c r="M4835" s="191"/>
      <c r="N4835" s="191"/>
      <c r="O4835" s="191"/>
      <c r="P4835" s="191"/>
      <c r="Q4835" s="191">
        <v>2.4676222500000001E-5</v>
      </c>
      <c r="R4835" s="191">
        <v>5.3483578746909358E-7</v>
      </c>
      <c r="S4835" s="191">
        <v>5.9426198607677063E-8</v>
      </c>
      <c r="T4835" s="191">
        <v>2.6741789373454679E-7</v>
      </c>
      <c r="U4835" s="439"/>
      <c r="V4835" s="439"/>
      <c r="W4835" s="178">
        <v>30000</v>
      </c>
      <c r="X4835" s="172">
        <f t="shared" si="15"/>
        <v>0.33333333333333331</v>
      </c>
      <c r="Y4835" s="172">
        <f t="shared" si="15"/>
        <v>0.33333333333333331</v>
      </c>
      <c r="Z4835" s="172">
        <f t="shared" si="15"/>
        <v>0.33333333333333331</v>
      </c>
      <c r="AA4835" s="195"/>
      <c r="AB4835" s="159"/>
    </row>
    <row r="4836" spans="1:28" ht="12.75" customHeight="1" x14ac:dyDescent="0.3">
      <c r="A4836" s="161">
        <v>836</v>
      </c>
      <c r="B4836" s="159" t="s">
        <v>3529</v>
      </c>
      <c r="C4836" s="160" t="s">
        <v>1647</v>
      </c>
      <c r="D4836" s="160" t="s">
        <v>619</v>
      </c>
      <c r="E4836" s="545">
        <v>4.53</v>
      </c>
      <c r="F4836" s="161">
        <v>123.16</v>
      </c>
      <c r="G4836" s="191"/>
      <c r="H4836" s="191">
        <v>10.666666663999999</v>
      </c>
      <c r="I4836" s="191">
        <v>12600</v>
      </c>
      <c r="J4836" s="191"/>
      <c r="K4836" s="191">
        <v>15.135612484362087</v>
      </c>
      <c r="L4836" s="191"/>
      <c r="M4836" s="191"/>
      <c r="N4836" s="191"/>
      <c r="O4836" s="191"/>
      <c r="P4836" s="191"/>
      <c r="Q4836" s="191">
        <v>7.0458480000000002E-5</v>
      </c>
      <c r="R4836" s="191">
        <v>2.1393431498763744E-7</v>
      </c>
      <c r="S4836" s="191">
        <v>2.3770479443070826E-8</v>
      </c>
      <c r="T4836" s="191">
        <v>1.0696715749381872E-7</v>
      </c>
      <c r="U4836" s="439"/>
      <c r="V4836" s="439"/>
      <c r="W4836" s="178">
        <v>30000</v>
      </c>
      <c r="X4836" s="172">
        <f t="shared" si="15"/>
        <v>0.33333333333333331</v>
      </c>
      <c r="Y4836" s="172">
        <f t="shared" si="15"/>
        <v>0.33333333333333331</v>
      </c>
      <c r="Z4836" s="172">
        <f t="shared" si="15"/>
        <v>0.33333333333333331</v>
      </c>
      <c r="AA4836" s="195"/>
      <c r="AB4836" s="159"/>
    </row>
    <row r="4837" spans="1:28" ht="12.75" customHeight="1" x14ac:dyDescent="0.3">
      <c r="A4837" s="161">
        <v>837</v>
      </c>
      <c r="B4837" s="159" t="s">
        <v>3527</v>
      </c>
      <c r="C4837" s="160" t="s">
        <v>3528</v>
      </c>
      <c r="D4837" s="160" t="s">
        <v>619</v>
      </c>
      <c r="E4837" s="545">
        <v>4.53</v>
      </c>
      <c r="F4837" s="161">
        <v>238.29</v>
      </c>
      <c r="G4837" s="191"/>
      <c r="H4837" s="191">
        <v>9.7066666642399988E-4</v>
      </c>
      <c r="I4837" s="191">
        <v>2700</v>
      </c>
      <c r="J4837" s="191"/>
      <c r="K4837" s="191">
        <v>50.118723362727238</v>
      </c>
      <c r="L4837" s="191"/>
      <c r="M4837" s="191"/>
      <c r="N4837" s="191"/>
      <c r="O4837" s="191"/>
      <c r="P4837" s="191"/>
      <c r="Q4837" s="191">
        <v>1.1364261E-4</v>
      </c>
      <c r="R4837" s="191">
        <v>1.3370894686727339E-7</v>
      </c>
      <c r="S4837" s="191">
        <v>1.4856549651919266E-8</v>
      </c>
      <c r="T4837" s="191">
        <v>8.9139297911515593E-7</v>
      </c>
      <c r="U4837" s="439"/>
      <c r="V4837" s="439"/>
      <c r="W4837" s="178">
        <v>30000</v>
      </c>
      <c r="X4837" s="172">
        <f t="shared" si="15"/>
        <v>0.33333333333333331</v>
      </c>
      <c r="Y4837" s="172">
        <f t="shared" si="15"/>
        <v>0.33333333333333331</v>
      </c>
      <c r="Z4837" s="172">
        <f t="shared" si="15"/>
        <v>0.33333333333333331</v>
      </c>
      <c r="AA4837" s="195"/>
      <c r="AB4837" s="159"/>
    </row>
    <row r="4838" spans="1:28" ht="12.75" customHeight="1" x14ac:dyDescent="0.3">
      <c r="A4838" s="161">
        <v>838</v>
      </c>
      <c r="B4838" s="159" t="s">
        <v>3530</v>
      </c>
      <c r="C4838" s="160" t="s">
        <v>3531</v>
      </c>
      <c r="D4838" s="160" t="s">
        <v>619</v>
      </c>
      <c r="E4838" s="545">
        <v>4.58</v>
      </c>
      <c r="F4838" s="161">
        <v>327.49</v>
      </c>
      <c r="G4838" s="191"/>
      <c r="H4838" s="191">
        <v>2.1333333327999998E-5</v>
      </c>
      <c r="I4838" s="191">
        <v>25</v>
      </c>
      <c r="J4838" s="191"/>
      <c r="K4838" s="191">
        <v>23988.329190194923</v>
      </c>
      <c r="L4838" s="191"/>
      <c r="M4838" s="191"/>
      <c r="N4838" s="191"/>
      <c r="O4838" s="191"/>
      <c r="P4838" s="191"/>
      <c r="Q4838" s="191">
        <v>1.0875505500000001E-4</v>
      </c>
      <c r="R4838" s="191">
        <v>2.1393431498763744E-7</v>
      </c>
      <c r="S4838" s="191">
        <v>2.3770479443070826E-8</v>
      </c>
      <c r="T4838" s="191">
        <v>1.6045073624072808E-6</v>
      </c>
      <c r="U4838" s="439"/>
      <c r="V4838" s="439"/>
      <c r="W4838" s="178">
        <v>30000</v>
      </c>
      <c r="X4838" s="172">
        <f t="shared" si="15"/>
        <v>0.33333333333333331</v>
      </c>
      <c r="Y4838" s="172">
        <f t="shared" si="15"/>
        <v>0.33333333333333331</v>
      </c>
      <c r="Z4838" s="172">
        <f t="shared" si="15"/>
        <v>0.33333333333333331</v>
      </c>
      <c r="AA4838" s="195"/>
      <c r="AB4838" s="159"/>
    </row>
    <row r="4839" spans="1:28" ht="12.75" customHeight="1" x14ac:dyDescent="0.3">
      <c r="A4839" s="161">
        <v>839</v>
      </c>
      <c r="B4839" s="159" t="s">
        <v>3532</v>
      </c>
      <c r="C4839" s="160" t="s">
        <v>3533</v>
      </c>
      <c r="D4839" s="160" t="s">
        <v>619</v>
      </c>
      <c r="E4839" s="545">
        <v>4.5999999999999996</v>
      </c>
      <c r="F4839" s="161">
        <v>325.29000000000002</v>
      </c>
      <c r="G4839" s="191"/>
      <c r="H4839" s="191">
        <v>3.7066666657399996E-10</v>
      </c>
      <c r="I4839" s="191">
        <v>49</v>
      </c>
      <c r="J4839" s="191"/>
      <c r="K4839" s="191">
        <v>31.622776601683803</v>
      </c>
      <c r="L4839" s="191"/>
      <c r="M4839" s="191"/>
      <c r="N4839" s="191"/>
      <c r="O4839" s="191"/>
      <c r="P4839" s="191"/>
      <c r="Q4839" s="191">
        <v>4.1481000000000001E-6</v>
      </c>
      <c r="R4839" s="191">
        <v>4.45696489557578E-8</v>
      </c>
      <c r="S4839" s="191">
        <v>4.9521832173064224E-9</v>
      </c>
      <c r="T4839" s="191">
        <v>1.782785958230312E-7</v>
      </c>
      <c r="U4839" s="439"/>
      <c r="V4839" s="439"/>
      <c r="W4839" s="178">
        <v>30000</v>
      </c>
      <c r="X4839" s="172">
        <f t="shared" si="15"/>
        <v>0.33333333333333331</v>
      </c>
      <c r="Y4839" s="172">
        <f t="shared" si="15"/>
        <v>0.33333333333333331</v>
      </c>
      <c r="Z4839" s="172">
        <f t="shared" si="15"/>
        <v>0.33333333333333331</v>
      </c>
      <c r="AA4839" s="195"/>
      <c r="AB4839" s="159"/>
    </row>
    <row r="4840" spans="1:28" ht="12.75" customHeight="1" x14ac:dyDescent="0.3">
      <c r="A4840" s="161">
        <v>840</v>
      </c>
      <c r="B4840" s="159" t="s">
        <v>1534</v>
      </c>
      <c r="C4840" s="160" t="s">
        <v>1533</v>
      </c>
      <c r="D4840" s="160" t="s">
        <v>619</v>
      </c>
      <c r="E4840" s="545">
        <v>4.5999999999999996</v>
      </c>
      <c r="F4840" s="161">
        <v>93.13</v>
      </c>
      <c r="G4840" s="191"/>
      <c r="H4840" s="191">
        <v>65.333333316999997</v>
      </c>
      <c r="I4840" s="191">
        <v>36000</v>
      </c>
      <c r="J4840" s="191"/>
      <c r="K4840" s="191">
        <v>7.9432823472428176</v>
      </c>
      <c r="L4840" s="191"/>
      <c r="M4840" s="191"/>
      <c r="N4840" s="191"/>
      <c r="O4840" s="191"/>
      <c r="P4840" s="191"/>
      <c r="Q4840" s="191">
        <v>8.3250000000000004E-5</v>
      </c>
      <c r="R4840" s="191">
        <v>5.3483578746909358E-7</v>
      </c>
      <c r="S4840" s="191">
        <v>5.9426198607677063E-8</v>
      </c>
      <c r="T4840" s="191">
        <v>4.0112684060182019E-6</v>
      </c>
      <c r="U4840" s="439"/>
      <c r="V4840" s="439"/>
      <c r="W4840" s="178">
        <v>30000</v>
      </c>
      <c r="X4840" s="172">
        <f t="shared" si="15"/>
        <v>0.33333333333333331</v>
      </c>
      <c r="Y4840" s="172">
        <f t="shared" si="15"/>
        <v>0.33333333333333331</v>
      </c>
      <c r="Z4840" s="172">
        <f t="shared" si="15"/>
        <v>0.33333333333333331</v>
      </c>
      <c r="AA4840" s="195"/>
      <c r="AB4840" s="159"/>
    </row>
    <row r="4841" spans="1:28" ht="12.75" customHeight="1" x14ac:dyDescent="0.3">
      <c r="A4841" s="161">
        <v>841</v>
      </c>
      <c r="B4841" s="159" t="s">
        <v>3534</v>
      </c>
      <c r="C4841" s="160" t="s">
        <v>3535</v>
      </c>
      <c r="D4841" s="160" t="s">
        <v>619</v>
      </c>
      <c r="E4841" s="545">
        <v>4.6399999999999997</v>
      </c>
      <c r="F4841" s="161">
        <v>201.25</v>
      </c>
      <c r="G4841" s="191"/>
      <c r="H4841" s="191">
        <v>5.3333333319999998E-7</v>
      </c>
      <c r="I4841" s="191">
        <v>50</v>
      </c>
      <c r="J4841" s="191"/>
      <c r="K4841" s="191">
        <v>295.12092266663893</v>
      </c>
      <c r="L4841" s="191"/>
      <c r="M4841" s="191"/>
      <c r="N4841" s="191"/>
      <c r="O4841" s="191"/>
      <c r="P4841" s="191"/>
      <c r="Q4841" s="191">
        <v>4.8729607499999999E-5</v>
      </c>
      <c r="R4841" s="191">
        <v>5.3483578746909358E-7</v>
      </c>
      <c r="S4841" s="191">
        <v>5.9426198607677063E-8</v>
      </c>
      <c r="T4841" s="191">
        <v>1.1080851950326525E-8</v>
      </c>
      <c r="U4841" s="439"/>
      <c r="V4841" s="439"/>
      <c r="W4841" s="178">
        <v>30000</v>
      </c>
      <c r="X4841" s="172">
        <f t="shared" si="15"/>
        <v>0.33333333333333331</v>
      </c>
      <c r="Y4841" s="172">
        <f t="shared" si="15"/>
        <v>0.33333333333333331</v>
      </c>
      <c r="Z4841" s="172">
        <f t="shared" si="15"/>
        <v>0.33333333333333331</v>
      </c>
      <c r="AA4841" s="195"/>
      <c r="AB4841" s="159"/>
    </row>
    <row r="4842" spans="1:28" ht="12.75" customHeight="1" x14ac:dyDescent="0.3">
      <c r="A4842" s="161">
        <v>842</v>
      </c>
      <c r="B4842" s="159" t="s">
        <v>3536</v>
      </c>
      <c r="C4842" s="160" t="s">
        <v>3537</v>
      </c>
      <c r="D4842" s="160" t="s">
        <v>619</v>
      </c>
      <c r="E4842" s="545">
        <v>4.6399999999999997</v>
      </c>
      <c r="F4842" s="161">
        <v>401.83</v>
      </c>
      <c r="G4842" s="191"/>
      <c r="H4842" s="191">
        <v>7.37333333149E-10</v>
      </c>
      <c r="I4842" s="191">
        <v>32</v>
      </c>
      <c r="J4842" s="191"/>
      <c r="K4842" s="191">
        <v>275.42287033381683</v>
      </c>
      <c r="L4842" s="191"/>
      <c r="M4842" s="191"/>
      <c r="N4842" s="191"/>
      <c r="O4842" s="191"/>
      <c r="P4842" s="191"/>
      <c r="Q4842" s="191">
        <v>7.5877125000000002E-6</v>
      </c>
      <c r="R4842" s="191">
        <v>4.45696489557578E-8</v>
      </c>
      <c r="S4842" s="191">
        <v>4.9521832173064224E-9</v>
      </c>
      <c r="T4842" s="191">
        <v>4.2223877958086334E-7</v>
      </c>
      <c r="U4842" s="439"/>
      <c r="V4842" s="439"/>
      <c r="W4842" s="178">
        <v>30000</v>
      </c>
      <c r="X4842" s="172">
        <f t="shared" si="15"/>
        <v>0.33333333333333331</v>
      </c>
      <c r="Y4842" s="172">
        <f t="shared" si="15"/>
        <v>0.33333333333333331</v>
      </c>
      <c r="Z4842" s="172">
        <f t="shared" si="15"/>
        <v>0.33333333333333331</v>
      </c>
      <c r="AA4842" s="195"/>
      <c r="AB4842" s="159"/>
    </row>
    <row r="4843" spans="1:28" ht="12.75" customHeight="1" x14ac:dyDescent="0.3">
      <c r="A4843" s="161">
        <v>843</v>
      </c>
      <c r="B4843" s="159" t="s">
        <v>3538</v>
      </c>
      <c r="C4843" s="160" t="s">
        <v>3539</v>
      </c>
      <c r="D4843" s="160" t="s">
        <v>619</v>
      </c>
      <c r="E4843" s="545">
        <v>4.6399999999999997</v>
      </c>
      <c r="F4843" s="161">
        <v>399.45</v>
      </c>
      <c r="G4843" s="191"/>
      <c r="H4843" s="191">
        <v>9.9999999974999999E-13</v>
      </c>
      <c r="I4843" s="191">
        <v>119.7</v>
      </c>
      <c r="J4843" s="191"/>
      <c r="K4843" s="191">
        <v>44.668359215096324</v>
      </c>
      <c r="L4843" s="191"/>
      <c r="M4843" s="191"/>
      <c r="N4843" s="191"/>
      <c r="O4843" s="191"/>
      <c r="P4843" s="191"/>
      <c r="Q4843" s="191">
        <v>6.7258582500000002E-5</v>
      </c>
      <c r="R4843" s="191">
        <v>1.3370894686727339E-7</v>
      </c>
      <c r="S4843" s="191">
        <v>1.4856549651919266E-8</v>
      </c>
      <c r="T4843" s="191">
        <v>6.6854473433636697E-8</v>
      </c>
      <c r="U4843" s="439"/>
      <c r="V4843" s="439"/>
      <c r="W4843" s="178">
        <v>30000</v>
      </c>
      <c r="X4843" s="172">
        <f t="shared" si="15"/>
        <v>0.33333333333333331</v>
      </c>
      <c r="Y4843" s="172">
        <f t="shared" si="15"/>
        <v>0.33333333333333331</v>
      </c>
      <c r="Z4843" s="172">
        <f t="shared" si="15"/>
        <v>0.33333333333333331</v>
      </c>
      <c r="AA4843" s="195"/>
      <c r="AB4843" s="159"/>
    </row>
    <row r="4844" spans="1:28" ht="12.75" customHeight="1" x14ac:dyDescent="0.3">
      <c r="A4844" s="161">
        <v>844</v>
      </c>
      <c r="B4844" s="159" t="s">
        <v>3540</v>
      </c>
      <c r="C4844" s="160" t="s">
        <v>3541</v>
      </c>
      <c r="D4844" s="160" t="s">
        <v>619</v>
      </c>
      <c r="E4844" s="545">
        <v>4.6500000000000004</v>
      </c>
      <c r="F4844" s="161">
        <v>166.24</v>
      </c>
      <c r="G4844" s="191"/>
      <c r="H4844" s="191">
        <v>1.7866666662199999E-2</v>
      </c>
      <c r="I4844" s="191">
        <v>32580</v>
      </c>
      <c r="J4844" s="191"/>
      <c r="K4844" s="191">
        <v>33.113112148259127</v>
      </c>
      <c r="L4844" s="191"/>
      <c r="M4844" s="191"/>
      <c r="N4844" s="191"/>
      <c r="O4844" s="191"/>
      <c r="P4844" s="191"/>
      <c r="Q4844" s="191">
        <v>1.8095115E-5</v>
      </c>
      <c r="R4844" s="191">
        <v>2.1393431498763744E-7</v>
      </c>
      <c r="S4844" s="191">
        <v>2.3770479443070826E-8</v>
      </c>
      <c r="T4844" s="191">
        <v>1.0696715749381872E-7</v>
      </c>
      <c r="U4844" s="439"/>
      <c r="V4844" s="439"/>
      <c r="W4844" s="178">
        <v>30000</v>
      </c>
      <c r="X4844" s="172">
        <f t="shared" si="15"/>
        <v>0.33333333333333331</v>
      </c>
      <c r="Y4844" s="172">
        <f t="shared" si="15"/>
        <v>0.33333333333333331</v>
      </c>
      <c r="Z4844" s="172">
        <f t="shared" si="15"/>
        <v>0.33333333333333331</v>
      </c>
      <c r="AA4844" s="195"/>
      <c r="AB4844" s="159"/>
    </row>
    <row r="4845" spans="1:28" ht="12.75" customHeight="1" x14ac:dyDescent="0.3">
      <c r="A4845" s="161">
        <v>845</v>
      </c>
      <c r="B4845" s="159" t="s">
        <v>3542</v>
      </c>
      <c r="C4845" s="160" t="s">
        <v>3543</v>
      </c>
      <c r="D4845" s="160" t="s">
        <v>619</v>
      </c>
      <c r="E4845" s="545">
        <v>4.67</v>
      </c>
      <c r="F4845" s="161">
        <v>129.59</v>
      </c>
      <c r="G4845" s="191"/>
      <c r="H4845" s="191">
        <v>1.0546666664029999E-4</v>
      </c>
      <c r="I4845" s="191">
        <v>178000</v>
      </c>
      <c r="J4845" s="191"/>
      <c r="K4845" s="191">
        <v>2.4547089156850303E-3</v>
      </c>
      <c r="L4845" s="191"/>
      <c r="M4845" s="191"/>
      <c r="N4845" s="191"/>
      <c r="O4845" s="191"/>
      <c r="P4845" s="191"/>
      <c r="Q4845" s="191">
        <v>3.126525E-7</v>
      </c>
      <c r="R4845" s="191">
        <v>5.3483578746909358E-7</v>
      </c>
      <c r="S4845" s="191">
        <v>5.9426198607677063E-8</v>
      </c>
      <c r="T4845" s="191">
        <v>2.6741789373454679E-7</v>
      </c>
      <c r="U4845" s="439"/>
      <c r="V4845" s="439"/>
      <c r="W4845" s="178">
        <v>30000</v>
      </c>
      <c r="X4845" s="172">
        <f t="shared" si="15"/>
        <v>0.33333333333333331</v>
      </c>
      <c r="Y4845" s="172">
        <f t="shared" si="15"/>
        <v>0.33333333333333331</v>
      </c>
      <c r="Z4845" s="172">
        <f t="shared" si="15"/>
        <v>0.33333333333333331</v>
      </c>
      <c r="AA4845" s="195"/>
      <c r="AB4845" s="159"/>
    </row>
    <row r="4846" spans="1:28" ht="12.75" customHeight="1" x14ac:dyDescent="0.3">
      <c r="A4846" s="161">
        <v>846</v>
      </c>
      <c r="B4846" s="159" t="s">
        <v>3544</v>
      </c>
      <c r="C4846" s="160" t="s">
        <v>3545</v>
      </c>
      <c r="D4846" s="160" t="s">
        <v>619</v>
      </c>
      <c r="E4846" s="545">
        <v>4.6900000000000004</v>
      </c>
      <c r="F4846" s="161">
        <v>107.16</v>
      </c>
      <c r="G4846" s="191"/>
      <c r="H4846" s="191">
        <v>40.399999989899996</v>
      </c>
      <c r="I4846" s="191">
        <v>15000</v>
      </c>
      <c r="J4846" s="191"/>
      <c r="K4846" s="191">
        <v>25.118864315095799</v>
      </c>
      <c r="L4846" s="191"/>
      <c r="M4846" s="191"/>
      <c r="N4846" s="191"/>
      <c r="O4846" s="191"/>
      <c r="P4846" s="191"/>
      <c r="Q4846" s="191">
        <v>1.5010200000000002E-4</v>
      </c>
      <c r="R4846" s="191">
        <v>5.3483578746909358E-7</v>
      </c>
      <c r="S4846" s="191">
        <v>5.9426198607677063E-8</v>
      </c>
      <c r="T4846" s="191">
        <v>2.6741789373454679E-7</v>
      </c>
      <c r="U4846" s="439"/>
      <c r="V4846" s="439"/>
      <c r="W4846" s="178">
        <v>30000</v>
      </c>
      <c r="X4846" s="172">
        <f t="shared" si="15"/>
        <v>0.33333333333333331</v>
      </c>
      <c r="Y4846" s="172">
        <f t="shared" si="15"/>
        <v>0.33333333333333331</v>
      </c>
      <c r="Z4846" s="172">
        <f t="shared" si="15"/>
        <v>0.33333333333333331</v>
      </c>
      <c r="AA4846" s="195"/>
      <c r="AB4846" s="159"/>
    </row>
    <row r="4847" spans="1:28" ht="12.75" customHeight="1" x14ac:dyDescent="0.3">
      <c r="A4847" s="161">
        <v>847</v>
      </c>
      <c r="B4847" s="159" t="s">
        <v>3548</v>
      </c>
      <c r="C4847" s="160" t="s">
        <v>3549</v>
      </c>
      <c r="D4847" s="160" t="s">
        <v>619</v>
      </c>
      <c r="E4847" s="545">
        <v>4.7</v>
      </c>
      <c r="F4847" s="161">
        <v>229.28</v>
      </c>
      <c r="G4847" s="191"/>
      <c r="H4847" s="191">
        <v>7.2399999981900002E-5</v>
      </c>
      <c r="I4847" s="191">
        <v>0.35589999999999999</v>
      </c>
      <c r="J4847" s="191"/>
      <c r="K4847" s="191">
        <v>30199.517204020212</v>
      </c>
      <c r="L4847" s="191"/>
      <c r="M4847" s="191"/>
      <c r="N4847" s="191"/>
      <c r="O4847" s="191"/>
      <c r="P4847" s="191"/>
      <c r="Q4847" s="191">
        <v>2.1000097500000002E-5</v>
      </c>
      <c r="R4847" s="191">
        <v>1.3370894686727339E-7</v>
      </c>
      <c r="S4847" s="191">
        <v>1.4856549651919266E-8</v>
      </c>
      <c r="T4847" s="191">
        <v>6.6854473433636697E-8</v>
      </c>
      <c r="U4847" s="439"/>
      <c r="V4847" s="439"/>
      <c r="W4847" s="178">
        <v>30000</v>
      </c>
      <c r="X4847" s="172">
        <f t="shared" si="15"/>
        <v>0.33333333333333331</v>
      </c>
      <c r="Y4847" s="172">
        <f t="shared" si="15"/>
        <v>0.33333333333333331</v>
      </c>
      <c r="Z4847" s="172">
        <f t="shared" si="15"/>
        <v>0.33333333333333331</v>
      </c>
      <c r="AA4847" s="195"/>
      <c r="AB4847" s="159"/>
    </row>
    <row r="4848" spans="1:28" ht="12.75" customHeight="1" x14ac:dyDescent="0.3">
      <c r="A4848" s="161">
        <v>848</v>
      </c>
      <c r="B4848" s="159" t="s">
        <v>3550</v>
      </c>
      <c r="C4848" s="160" t="s">
        <v>3551</v>
      </c>
      <c r="D4848" s="160" t="s">
        <v>619</v>
      </c>
      <c r="E4848" s="545">
        <v>4.7</v>
      </c>
      <c r="F4848" s="161">
        <v>121.18</v>
      </c>
      <c r="G4848" s="191"/>
      <c r="H4848" s="191">
        <v>9.9999999974999998</v>
      </c>
      <c r="I4848" s="191">
        <v>1392</v>
      </c>
      <c r="J4848" s="191"/>
      <c r="K4848" s="191">
        <v>147.91083881682084</v>
      </c>
      <c r="L4848" s="191"/>
      <c r="M4848" s="191"/>
      <c r="N4848" s="191"/>
      <c r="O4848" s="191"/>
      <c r="P4848" s="191"/>
      <c r="Q4848" s="191">
        <v>1.50204E-4</v>
      </c>
      <c r="R4848" s="191">
        <v>2.1393431498763744E-7</v>
      </c>
      <c r="S4848" s="191">
        <v>2.3770479443070826E-8</v>
      </c>
      <c r="T4848" s="191">
        <v>1.0696715749381872E-7</v>
      </c>
      <c r="U4848" s="439"/>
      <c r="V4848" s="439"/>
      <c r="W4848" s="178">
        <v>30000</v>
      </c>
      <c r="X4848" s="172">
        <f t="shared" si="15"/>
        <v>0.33333333333333331</v>
      </c>
      <c r="Y4848" s="172">
        <f t="shared" si="15"/>
        <v>0.33333333333333331</v>
      </c>
      <c r="Z4848" s="172">
        <f t="shared" si="15"/>
        <v>0.33333333333333331</v>
      </c>
      <c r="AA4848" s="195"/>
      <c r="AB4848" s="159"/>
    </row>
    <row r="4849" spans="1:28" ht="12.75" customHeight="1" x14ac:dyDescent="0.3">
      <c r="A4849" s="161">
        <v>849</v>
      </c>
      <c r="B4849" s="159" t="s">
        <v>3546</v>
      </c>
      <c r="C4849" s="160" t="s">
        <v>3547</v>
      </c>
      <c r="D4849" s="160" t="s">
        <v>619</v>
      </c>
      <c r="E4849" s="545">
        <v>4.7</v>
      </c>
      <c r="F4849" s="161">
        <v>229.28</v>
      </c>
      <c r="G4849" s="191"/>
      <c r="H4849" s="191">
        <v>7.2399999981900002E-5</v>
      </c>
      <c r="I4849" s="191">
        <v>0.35589999999999999</v>
      </c>
      <c r="J4849" s="191"/>
      <c r="K4849" s="191">
        <v>30199.517204020212</v>
      </c>
      <c r="L4849" s="191"/>
      <c r="M4849" s="191"/>
      <c r="N4849" s="191"/>
      <c r="O4849" s="191"/>
      <c r="P4849" s="191"/>
      <c r="Q4849" s="191">
        <v>2.1000097500000002E-5</v>
      </c>
      <c r="R4849" s="191">
        <v>1.3370894686727339E-7</v>
      </c>
      <c r="S4849" s="191">
        <v>1.4856549651919266E-8</v>
      </c>
      <c r="T4849" s="191">
        <v>6.6854473433636697E-8</v>
      </c>
      <c r="U4849" s="439"/>
      <c r="V4849" s="439"/>
      <c r="W4849" s="178">
        <v>30000</v>
      </c>
      <c r="X4849" s="172">
        <f t="shared" si="15"/>
        <v>0.33333333333333331</v>
      </c>
      <c r="Y4849" s="172">
        <f t="shared" si="15"/>
        <v>0.33333333333333331</v>
      </c>
      <c r="Z4849" s="172">
        <f t="shared" si="15"/>
        <v>0.33333333333333331</v>
      </c>
      <c r="AA4849" s="195"/>
      <c r="AB4849" s="159"/>
    </row>
    <row r="4850" spans="1:28" ht="12.75" customHeight="1" x14ac:dyDescent="0.3">
      <c r="A4850" s="161">
        <v>850</v>
      </c>
      <c r="B4850" s="159" t="s">
        <v>3552</v>
      </c>
      <c r="C4850" s="160" t="s">
        <v>3553</v>
      </c>
      <c r="D4850" s="160" t="s">
        <v>619</v>
      </c>
      <c r="E4850" s="545">
        <v>4.7300000000000004</v>
      </c>
      <c r="F4850" s="161">
        <v>122.13</v>
      </c>
      <c r="G4850" s="191"/>
      <c r="H4850" s="191">
        <v>2.8266666659599999E-2</v>
      </c>
      <c r="I4850" s="191">
        <v>432700</v>
      </c>
      <c r="J4850" s="191"/>
      <c r="K4850" s="191">
        <v>5.8884365535558905</v>
      </c>
      <c r="L4850" s="191"/>
      <c r="M4850" s="191"/>
      <c r="N4850" s="191"/>
      <c r="O4850" s="191"/>
      <c r="P4850" s="191"/>
      <c r="Q4850" s="191">
        <v>2.1133575E-6</v>
      </c>
      <c r="R4850" s="191">
        <v>2.1393431498763744E-7</v>
      </c>
      <c r="S4850" s="191">
        <v>2.3770479443070826E-8</v>
      </c>
      <c r="T4850" s="191">
        <v>1.0696715749381872E-7</v>
      </c>
      <c r="U4850" s="439"/>
      <c r="V4850" s="439"/>
      <c r="W4850" s="178">
        <v>30000</v>
      </c>
      <c r="X4850" s="172">
        <f t="shared" si="15"/>
        <v>0.33333333333333331</v>
      </c>
      <c r="Y4850" s="172">
        <f t="shared" si="15"/>
        <v>0.33333333333333331</v>
      </c>
      <c r="Z4850" s="172">
        <f t="shared" si="15"/>
        <v>0.33333333333333331</v>
      </c>
      <c r="AA4850" s="195"/>
      <c r="AB4850" s="159"/>
    </row>
    <row r="4851" spans="1:28" ht="12.75" customHeight="1" x14ac:dyDescent="0.3">
      <c r="A4851" s="161">
        <v>851</v>
      </c>
      <c r="B4851" s="159" t="s">
        <v>3554</v>
      </c>
      <c r="C4851" s="160" t="s">
        <v>3555</v>
      </c>
      <c r="D4851" s="160" t="s">
        <v>619</v>
      </c>
      <c r="E4851" s="545">
        <v>4.7699999999999996</v>
      </c>
      <c r="F4851" s="161">
        <v>107.11</v>
      </c>
      <c r="G4851" s="191"/>
      <c r="H4851" s="191">
        <v>75.733333314399985</v>
      </c>
      <c r="I4851" s="191">
        <v>47740</v>
      </c>
      <c r="J4851" s="191"/>
      <c r="K4851" s="191">
        <v>2.691534803926916</v>
      </c>
      <c r="L4851" s="191"/>
      <c r="M4851" s="191"/>
      <c r="N4851" s="191"/>
      <c r="O4851" s="191"/>
      <c r="P4851" s="191"/>
      <c r="Q4851" s="191">
        <v>1.27992525E-5</v>
      </c>
      <c r="R4851" s="191">
        <v>5.3483578746909358E-7</v>
      </c>
      <c r="S4851" s="191">
        <v>5.9426198607677063E-8</v>
      </c>
      <c r="T4851" s="191">
        <v>2.6741789373454679E-7</v>
      </c>
      <c r="U4851" s="439"/>
      <c r="V4851" s="439"/>
      <c r="W4851" s="178">
        <v>30000</v>
      </c>
      <c r="X4851" s="172">
        <f t="shared" si="15"/>
        <v>0.33333333333333331</v>
      </c>
      <c r="Y4851" s="172">
        <f t="shared" si="15"/>
        <v>0.33333333333333331</v>
      </c>
      <c r="Z4851" s="172">
        <f t="shared" si="15"/>
        <v>0.33333333333333331</v>
      </c>
      <c r="AA4851" s="195"/>
      <c r="AB4851" s="159"/>
    </row>
    <row r="4852" spans="1:28" ht="12.75" customHeight="1" x14ac:dyDescent="0.3">
      <c r="A4852" s="161">
        <v>852</v>
      </c>
      <c r="B4852" s="159" t="s">
        <v>3556</v>
      </c>
      <c r="C4852" s="160" t="s">
        <v>3557</v>
      </c>
      <c r="D4852" s="160" t="s">
        <v>619</v>
      </c>
      <c r="E4852" s="545">
        <v>4.78</v>
      </c>
      <c r="F4852" s="161">
        <v>211.2</v>
      </c>
      <c r="G4852" s="191"/>
      <c r="H4852" s="191">
        <v>2.2799999994299998E-4</v>
      </c>
      <c r="I4852" s="191">
        <v>473.5</v>
      </c>
      <c r="J4852" s="191"/>
      <c r="K4852" s="191">
        <v>60.255958607435822</v>
      </c>
      <c r="L4852" s="191"/>
      <c r="M4852" s="191"/>
      <c r="N4852" s="191"/>
      <c r="O4852" s="191"/>
      <c r="P4852" s="191"/>
      <c r="Q4852" s="191">
        <v>8.7968775000000005E-6</v>
      </c>
      <c r="R4852" s="191">
        <v>2.1393431498763744E-7</v>
      </c>
      <c r="S4852" s="191">
        <v>2.3770479443070826E-8</v>
      </c>
      <c r="T4852" s="191">
        <v>1.0696715749381872E-7</v>
      </c>
      <c r="U4852" s="439"/>
      <c r="V4852" s="439"/>
      <c r="W4852" s="178">
        <v>30000</v>
      </c>
      <c r="X4852" s="172">
        <f t="shared" si="15"/>
        <v>0.33333333333333331</v>
      </c>
      <c r="Y4852" s="172">
        <f t="shared" si="15"/>
        <v>0.33333333333333331</v>
      </c>
      <c r="Z4852" s="172">
        <f t="shared" si="15"/>
        <v>0.33333333333333331</v>
      </c>
      <c r="AA4852" s="195"/>
      <c r="AB4852" s="159"/>
    </row>
    <row r="4853" spans="1:28" ht="12.75" customHeight="1" x14ac:dyDescent="0.3">
      <c r="A4853" s="161">
        <v>853</v>
      </c>
      <c r="B4853" s="159" t="s">
        <v>3558</v>
      </c>
      <c r="C4853" s="160" t="s">
        <v>3559</v>
      </c>
      <c r="D4853" s="160" t="s">
        <v>619</v>
      </c>
      <c r="E4853" s="545">
        <v>4.8099999999999996</v>
      </c>
      <c r="F4853" s="161">
        <v>168.2</v>
      </c>
      <c r="G4853" s="191"/>
      <c r="H4853" s="191">
        <v>3.2666666658499996E-4</v>
      </c>
      <c r="I4853" s="191">
        <v>9.5530000000000008</v>
      </c>
      <c r="J4853" s="191"/>
      <c r="K4853" s="191">
        <v>1479.1083881682086</v>
      </c>
      <c r="L4853" s="191"/>
      <c r="M4853" s="191"/>
      <c r="N4853" s="191"/>
      <c r="O4853" s="191"/>
      <c r="P4853" s="191"/>
      <c r="Q4853" s="191">
        <v>2.9999999999999997E-5</v>
      </c>
      <c r="R4853" s="191">
        <v>5.3483578746909358E-7</v>
      </c>
      <c r="S4853" s="191">
        <v>5.9426198607677063E-8</v>
      </c>
      <c r="T4853" s="191">
        <v>2.6741789373454679E-7</v>
      </c>
      <c r="U4853" s="439"/>
      <c r="V4853" s="439"/>
      <c r="W4853" s="178">
        <v>30000</v>
      </c>
      <c r="X4853" s="172">
        <f t="shared" si="15"/>
        <v>0.33333333333333331</v>
      </c>
      <c r="Y4853" s="172">
        <f t="shared" si="15"/>
        <v>0.33333333333333331</v>
      </c>
      <c r="Z4853" s="172">
        <f t="shared" si="15"/>
        <v>0.33333333333333331</v>
      </c>
      <c r="AA4853" s="195"/>
      <c r="AB4853" s="159"/>
    </row>
    <row r="4854" spans="1:28" ht="12.75" customHeight="1" x14ac:dyDescent="0.3">
      <c r="A4854" s="161">
        <v>854</v>
      </c>
      <c r="B4854" s="159" t="s">
        <v>3560</v>
      </c>
      <c r="C4854" s="160" t="s">
        <v>3561</v>
      </c>
      <c r="D4854" s="160" t="s">
        <v>619</v>
      </c>
      <c r="E4854" s="545">
        <v>4.8899999999999997</v>
      </c>
      <c r="F4854" s="161">
        <v>121.18</v>
      </c>
      <c r="G4854" s="191"/>
      <c r="H4854" s="191">
        <v>17.733333328899999</v>
      </c>
      <c r="I4854" s="191">
        <v>3652</v>
      </c>
      <c r="J4854" s="191"/>
      <c r="K4854" s="191">
        <v>47.863009232263856</v>
      </c>
      <c r="L4854" s="191"/>
      <c r="M4854" s="191"/>
      <c r="N4854" s="191"/>
      <c r="O4854" s="191"/>
      <c r="P4854" s="191"/>
      <c r="Q4854" s="191">
        <v>1.21526445E-4</v>
      </c>
      <c r="R4854" s="191">
        <v>2.1393431498763744E-7</v>
      </c>
      <c r="S4854" s="191">
        <v>2.3770479443070826E-8</v>
      </c>
      <c r="T4854" s="191">
        <v>1.0696715749381872E-7</v>
      </c>
      <c r="U4854" s="439"/>
      <c r="V4854" s="439"/>
      <c r="W4854" s="178">
        <v>30000</v>
      </c>
      <c r="X4854" s="172">
        <f t="shared" si="15"/>
        <v>0.33333333333333331</v>
      </c>
      <c r="Y4854" s="172">
        <f t="shared" si="15"/>
        <v>0.33333333333333331</v>
      </c>
      <c r="Z4854" s="172">
        <f t="shared" si="15"/>
        <v>0.33333333333333331</v>
      </c>
      <c r="AA4854" s="195"/>
      <c r="AB4854" s="159"/>
    </row>
    <row r="4855" spans="1:28" ht="12.75" customHeight="1" x14ac:dyDescent="0.3">
      <c r="A4855" s="161">
        <v>855</v>
      </c>
      <c r="B4855" s="159" t="s">
        <v>3564</v>
      </c>
      <c r="C4855" s="160" t="s">
        <v>3565</v>
      </c>
      <c r="D4855" s="160" t="s">
        <v>619</v>
      </c>
      <c r="E4855" s="545">
        <v>4.9000000000000004</v>
      </c>
      <c r="F4855" s="161">
        <v>129.16</v>
      </c>
      <c r="G4855" s="191"/>
      <c r="H4855" s="191">
        <v>7.9999999979999989</v>
      </c>
      <c r="I4855" s="191">
        <v>6110</v>
      </c>
      <c r="J4855" s="191"/>
      <c r="K4855" s="191">
        <v>107.15193052376065</v>
      </c>
      <c r="L4855" s="191"/>
      <c r="M4855" s="191"/>
      <c r="N4855" s="191"/>
      <c r="O4855" s="191"/>
      <c r="P4855" s="191"/>
      <c r="Q4855" s="191">
        <v>8.6999999999999997E-6</v>
      </c>
      <c r="R4855" s="191">
        <v>5.3483578746909358E-7</v>
      </c>
      <c r="S4855" s="191">
        <v>5.9426198607677063E-8</v>
      </c>
      <c r="T4855" s="191">
        <v>2.6741789373454679E-7</v>
      </c>
      <c r="U4855" s="439"/>
      <c r="V4855" s="439"/>
      <c r="W4855" s="178">
        <v>30000</v>
      </c>
      <c r="X4855" s="172">
        <f t="shared" si="15"/>
        <v>0.33333333333333331</v>
      </c>
      <c r="Y4855" s="172">
        <f t="shared" si="15"/>
        <v>0.33333333333333331</v>
      </c>
      <c r="Z4855" s="172">
        <f t="shared" si="15"/>
        <v>0.33333333333333331</v>
      </c>
      <c r="AA4855" s="195"/>
      <c r="AB4855" s="159"/>
    </row>
    <row r="4856" spans="1:28" ht="12.75" customHeight="1" x14ac:dyDescent="0.3">
      <c r="A4856" s="161">
        <v>856</v>
      </c>
      <c r="B4856" s="159" t="s">
        <v>3562</v>
      </c>
      <c r="C4856" s="160" t="s">
        <v>3563</v>
      </c>
      <c r="D4856" s="160" t="s">
        <v>619</v>
      </c>
      <c r="E4856" s="545">
        <v>4.9000000000000004</v>
      </c>
      <c r="F4856" s="161">
        <v>124.15</v>
      </c>
      <c r="G4856" s="191"/>
      <c r="H4856" s="191">
        <v>0.10946666663929999</v>
      </c>
      <c r="I4856" s="191">
        <v>10000</v>
      </c>
      <c r="J4856" s="191"/>
      <c r="K4856" s="191">
        <v>0.89125093813374545</v>
      </c>
      <c r="L4856" s="191"/>
      <c r="M4856" s="191"/>
      <c r="N4856" s="191"/>
      <c r="O4856" s="191"/>
      <c r="P4856" s="191"/>
      <c r="Q4856" s="191">
        <v>2.0080102500000001E-5</v>
      </c>
      <c r="R4856" s="191">
        <v>2.1393431498763744E-7</v>
      </c>
      <c r="S4856" s="191">
        <v>2.3770479443070826E-8</v>
      </c>
      <c r="T4856" s="191">
        <v>1.0696715749381872E-7</v>
      </c>
      <c r="U4856" s="439"/>
      <c r="V4856" s="439"/>
      <c r="W4856" s="178">
        <v>30000</v>
      </c>
      <c r="X4856" s="172">
        <f t="shared" si="15"/>
        <v>0.33333333333333331</v>
      </c>
      <c r="Y4856" s="172">
        <f t="shared" si="15"/>
        <v>0.33333333333333331</v>
      </c>
      <c r="Z4856" s="172">
        <f t="shared" si="15"/>
        <v>0.33333333333333331</v>
      </c>
      <c r="AA4856" s="195"/>
      <c r="AB4856" s="159"/>
    </row>
    <row r="4857" spans="1:28" ht="12.75" customHeight="1" x14ac:dyDescent="0.3">
      <c r="A4857" s="161">
        <v>857</v>
      </c>
      <c r="B4857" s="159" t="s">
        <v>3566</v>
      </c>
      <c r="C4857" s="160" t="s">
        <v>3567</v>
      </c>
      <c r="D4857" s="160" t="s">
        <v>619</v>
      </c>
      <c r="E4857" s="545">
        <v>4.92</v>
      </c>
      <c r="F4857" s="161">
        <v>100.16</v>
      </c>
      <c r="G4857" s="191"/>
      <c r="H4857" s="191">
        <v>927.99999976799995</v>
      </c>
      <c r="I4857" s="191">
        <v>1000000</v>
      </c>
      <c r="J4857" s="191"/>
      <c r="K4857" s="191">
        <v>0.25703957827688634</v>
      </c>
      <c r="L4857" s="191"/>
      <c r="M4857" s="191"/>
      <c r="N4857" s="191"/>
      <c r="O4857" s="191"/>
      <c r="P4857" s="191"/>
      <c r="Q4857" s="191">
        <v>1.2975069000000002E-4</v>
      </c>
      <c r="R4857" s="191">
        <v>2.1393431498763744E-7</v>
      </c>
      <c r="S4857" s="191">
        <v>2.3770479443070826E-8</v>
      </c>
      <c r="T4857" s="191">
        <v>1.0696715749381872E-7</v>
      </c>
      <c r="U4857" s="439"/>
      <c r="V4857" s="439"/>
      <c r="W4857" s="178">
        <v>30000</v>
      </c>
      <c r="X4857" s="172">
        <f t="shared" si="15"/>
        <v>0.33333333333333331</v>
      </c>
      <c r="Y4857" s="172">
        <f t="shared" si="15"/>
        <v>0.33333333333333331</v>
      </c>
      <c r="Z4857" s="172">
        <f t="shared" si="15"/>
        <v>0.33333333333333331</v>
      </c>
      <c r="AA4857" s="195"/>
      <c r="AB4857" s="159"/>
    </row>
    <row r="4858" spans="1:28" ht="12.75" customHeight="1" x14ac:dyDescent="0.3">
      <c r="A4858" s="161">
        <v>858</v>
      </c>
      <c r="B4858" s="159" t="s">
        <v>3568</v>
      </c>
      <c r="C4858" s="160" t="s">
        <v>3569</v>
      </c>
      <c r="D4858" s="160" t="s">
        <v>619</v>
      </c>
      <c r="E4858" s="545">
        <v>4.97</v>
      </c>
      <c r="F4858" s="161">
        <v>373.37</v>
      </c>
      <c r="G4858" s="191"/>
      <c r="H4858" s="191">
        <v>3.0266666659099999E-5</v>
      </c>
      <c r="I4858" s="191">
        <v>4.2</v>
      </c>
      <c r="J4858" s="191"/>
      <c r="K4858" s="191">
        <v>6309.5734448019384</v>
      </c>
      <c r="L4858" s="191"/>
      <c r="M4858" s="191"/>
      <c r="N4858" s="191"/>
      <c r="O4858" s="191"/>
      <c r="P4858" s="191"/>
      <c r="Q4858" s="191">
        <v>8.5302967500000001E-5</v>
      </c>
      <c r="R4858" s="191">
        <v>2.1393431498763744E-7</v>
      </c>
      <c r="S4858" s="191">
        <v>2.3770479443070826E-8</v>
      </c>
      <c r="T4858" s="191">
        <v>2.0570607210349753E-7</v>
      </c>
      <c r="U4858" s="439"/>
      <c r="V4858" s="439"/>
      <c r="W4858" s="178">
        <v>30000</v>
      </c>
      <c r="X4858" s="172">
        <f t="shared" si="15"/>
        <v>0.33333333333333331</v>
      </c>
      <c r="Y4858" s="172">
        <f t="shared" si="15"/>
        <v>0.33333333333333331</v>
      </c>
      <c r="Z4858" s="172">
        <f t="shared" si="15"/>
        <v>0.33333333333333331</v>
      </c>
      <c r="AA4858" s="195"/>
      <c r="AB4858" s="159"/>
    </row>
    <row r="4859" spans="1:28" ht="12.75" customHeight="1" x14ac:dyDescent="0.3">
      <c r="A4859" s="161">
        <v>859</v>
      </c>
      <c r="B4859" s="159" t="s">
        <v>3570</v>
      </c>
      <c r="C4859" s="160" t="s">
        <v>3571</v>
      </c>
      <c r="D4859" s="160" t="s">
        <v>619</v>
      </c>
      <c r="E4859" s="545">
        <v>4.9800000000000004</v>
      </c>
      <c r="F4859" s="161">
        <v>108.14</v>
      </c>
      <c r="G4859" s="191"/>
      <c r="H4859" s="191">
        <v>0.27866666659699996</v>
      </c>
      <c r="I4859" s="191">
        <v>238000</v>
      </c>
      <c r="J4859" s="191"/>
      <c r="K4859" s="191">
        <v>0.46773514128719818</v>
      </c>
      <c r="L4859" s="191"/>
      <c r="M4859" s="191"/>
      <c r="N4859" s="191"/>
      <c r="O4859" s="191"/>
      <c r="P4859" s="191"/>
      <c r="Q4859" s="191">
        <v>1.5000000000000001E-4</v>
      </c>
      <c r="R4859" s="191">
        <v>2.1393431498763744E-7</v>
      </c>
      <c r="S4859" s="191">
        <v>2.3770479443070826E-8</v>
      </c>
      <c r="T4859" s="191">
        <v>1.0696715749381872E-7</v>
      </c>
      <c r="U4859" s="439"/>
      <c r="V4859" s="439"/>
      <c r="W4859" s="178">
        <v>30000</v>
      </c>
      <c r="X4859" s="172">
        <f t="shared" si="15"/>
        <v>0.33333333333333331</v>
      </c>
      <c r="Y4859" s="172">
        <f t="shared" si="15"/>
        <v>0.33333333333333331</v>
      </c>
      <c r="Z4859" s="172">
        <f t="shared" si="15"/>
        <v>0.33333333333333331</v>
      </c>
      <c r="AA4859" s="195"/>
      <c r="AB4859" s="159"/>
    </row>
    <row r="4860" spans="1:28" ht="12.75" customHeight="1" x14ac:dyDescent="0.3">
      <c r="A4860" s="161">
        <v>860</v>
      </c>
      <c r="B4860" s="159" t="s">
        <v>3572</v>
      </c>
      <c r="C4860" s="160" t="s">
        <v>3573</v>
      </c>
      <c r="D4860" s="160" t="s">
        <v>619</v>
      </c>
      <c r="E4860" s="545">
        <v>4.99</v>
      </c>
      <c r="F4860" s="161">
        <v>297.52999999999997</v>
      </c>
      <c r="G4860" s="191"/>
      <c r="H4860" s="191">
        <v>1.5066666662899998E-2</v>
      </c>
      <c r="I4860" s="191">
        <v>0.46010000000000001</v>
      </c>
      <c r="J4860" s="191"/>
      <c r="K4860" s="191">
        <v>2398832.9190194933</v>
      </c>
      <c r="L4860" s="191"/>
      <c r="M4860" s="191"/>
      <c r="N4860" s="191"/>
      <c r="O4860" s="191"/>
      <c r="P4860" s="191"/>
      <c r="Q4860" s="191">
        <v>1.072086675E-4</v>
      </c>
      <c r="R4860" s="191">
        <v>2.1393431498763744E-7</v>
      </c>
      <c r="S4860" s="191">
        <v>2.3770479443070826E-8</v>
      </c>
      <c r="T4860" s="191">
        <v>3.3427236716818347E-7</v>
      </c>
      <c r="U4860" s="439"/>
      <c r="V4860" s="439"/>
      <c r="W4860" s="178">
        <v>30000</v>
      </c>
      <c r="X4860" s="172">
        <f t="shared" si="15"/>
        <v>0.33333333333333331</v>
      </c>
      <c r="Y4860" s="172">
        <f t="shared" si="15"/>
        <v>0.33333333333333331</v>
      </c>
      <c r="Z4860" s="172">
        <f t="shared" si="15"/>
        <v>0.33333333333333331</v>
      </c>
      <c r="AA4860" s="195"/>
      <c r="AB4860" s="159"/>
    </row>
    <row r="4861" spans="1:28" ht="12.75" customHeight="1" x14ac:dyDescent="0.3">
      <c r="A4861" s="161">
        <v>861</v>
      </c>
      <c r="B4861" s="159" t="s">
        <v>3574</v>
      </c>
      <c r="C4861" s="160" t="s">
        <v>3575</v>
      </c>
      <c r="D4861" s="160" t="s">
        <v>619</v>
      </c>
      <c r="E4861" s="545">
        <v>5</v>
      </c>
      <c r="F4861" s="161">
        <v>121.18</v>
      </c>
      <c r="G4861" s="191"/>
      <c r="H4861" s="191">
        <v>19.066666661899998</v>
      </c>
      <c r="I4861" s="191">
        <v>2106</v>
      </c>
      <c r="J4861" s="191"/>
      <c r="K4861" s="191">
        <v>91.201083935590972</v>
      </c>
      <c r="L4861" s="191"/>
      <c r="M4861" s="191"/>
      <c r="N4861" s="191"/>
      <c r="O4861" s="191"/>
      <c r="P4861" s="191"/>
      <c r="Q4861" s="191">
        <v>9.9186562499999997E-5</v>
      </c>
      <c r="R4861" s="191">
        <v>2.1393431498763744E-7</v>
      </c>
      <c r="S4861" s="191">
        <v>2.3770479443070826E-8</v>
      </c>
      <c r="T4861" s="191">
        <v>1.0696715749381872E-7</v>
      </c>
      <c r="U4861" s="439"/>
      <c r="V4861" s="439"/>
      <c r="W4861" s="178">
        <v>30000</v>
      </c>
      <c r="X4861" s="172">
        <f t="shared" si="15"/>
        <v>0.33333333333333331</v>
      </c>
      <c r="Y4861" s="172">
        <f t="shared" si="15"/>
        <v>0.33333333333333331</v>
      </c>
      <c r="Z4861" s="172">
        <f t="shared" si="15"/>
        <v>0.33333333333333331</v>
      </c>
      <c r="AA4861" s="195"/>
      <c r="AB4861" s="159"/>
    </row>
    <row r="4862" spans="1:28" ht="12.75" customHeight="1" x14ac:dyDescent="0.3">
      <c r="A4862" s="161">
        <v>862</v>
      </c>
      <c r="B4862" s="159" t="s">
        <v>3576</v>
      </c>
      <c r="C4862" s="160" t="s">
        <v>3577</v>
      </c>
      <c r="D4862" s="160" t="s">
        <v>619</v>
      </c>
      <c r="E4862" s="545">
        <v>5.01</v>
      </c>
      <c r="F4862" s="161">
        <v>191.23</v>
      </c>
      <c r="G4862" s="191"/>
      <c r="H4862" s="191">
        <v>8.9066666644399984E-3</v>
      </c>
      <c r="I4862" s="191">
        <v>195900</v>
      </c>
      <c r="J4862" s="191"/>
      <c r="K4862" s="191">
        <v>6.4565422903465572</v>
      </c>
      <c r="L4862" s="191"/>
      <c r="M4862" s="191"/>
      <c r="N4862" s="191"/>
      <c r="O4862" s="191"/>
      <c r="P4862" s="191"/>
      <c r="Q4862" s="191">
        <v>2.8494480000000002E-5</v>
      </c>
      <c r="R4862" s="191">
        <v>1.3370894686727339E-7</v>
      </c>
      <c r="S4862" s="191">
        <v>1.4856549651919266E-8</v>
      </c>
      <c r="T4862" s="191">
        <v>6.6854473433636697E-8</v>
      </c>
      <c r="U4862" s="439"/>
      <c r="V4862" s="439"/>
      <c r="W4862" s="178">
        <v>30000</v>
      </c>
      <c r="X4862" s="172">
        <f t="shared" si="15"/>
        <v>0.33333333333333331</v>
      </c>
      <c r="Y4862" s="172">
        <f t="shared" si="15"/>
        <v>0.33333333333333331</v>
      </c>
      <c r="Z4862" s="172">
        <f t="shared" si="15"/>
        <v>0.33333333333333331</v>
      </c>
      <c r="AA4862" s="195"/>
      <c r="AB4862" s="159"/>
    </row>
    <row r="4863" spans="1:28" ht="12.75" customHeight="1" x14ac:dyDescent="0.3">
      <c r="A4863" s="161">
        <v>863</v>
      </c>
      <c r="B4863" s="159" t="s">
        <v>3578</v>
      </c>
      <c r="C4863" s="160" t="s">
        <v>3579</v>
      </c>
      <c r="D4863" s="160" t="s">
        <v>619</v>
      </c>
      <c r="E4863" s="545">
        <v>5.04</v>
      </c>
      <c r="F4863" s="161">
        <v>209.29</v>
      </c>
      <c r="G4863" s="191"/>
      <c r="H4863" s="191">
        <v>2.6666666659999996E-4</v>
      </c>
      <c r="I4863" s="191">
        <v>150</v>
      </c>
      <c r="J4863" s="191"/>
      <c r="K4863" s="191">
        <v>165.95869074375622</v>
      </c>
      <c r="L4863" s="191"/>
      <c r="M4863" s="191"/>
      <c r="N4863" s="191"/>
      <c r="O4863" s="191"/>
      <c r="P4863" s="191"/>
      <c r="Q4863" s="191">
        <v>1.5975558750000002E-4</v>
      </c>
      <c r="R4863" s="191">
        <v>5.3483578746909358E-7</v>
      </c>
      <c r="S4863" s="191">
        <v>5.9426198607677063E-8</v>
      </c>
      <c r="T4863" s="191">
        <v>4.0112684060182021E-7</v>
      </c>
      <c r="U4863" s="439"/>
      <c r="V4863" s="439"/>
      <c r="W4863" s="178">
        <v>30000</v>
      </c>
      <c r="X4863" s="172">
        <f t="shared" si="15"/>
        <v>0.33333333333333331</v>
      </c>
      <c r="Y4863" s="172">
        <f t="shared" si="15"/>
        <v>0.33333333333333331</v>
      </c>
      <c r="Z4863" s="172">
        <f t="shared" si="15"/>
        <v>0.33333333333333331</v>
      </c>
      <c r="AA4863" s="195"/>
      <c r="AB4863" s="159"/>
    </row>
    <row r="4864" spans="1:28" ht="12.75" customHeight="1" x14ac:dyDescent="0.3">
      <c r="A4864" s="161">
        <v>864</v>
      </c>
      <c r="B4864" s="159" t="s">
        <v>3580</v>
      </c>
      <c r="C4864" s="160" t="s">
        <v>3581</v>
      </c>
      <c r="D4864" s="160" t="s">
        <v>619</v>
      </c>
      <c r="E4864" s="545">
        <v>5.05</v>
      </c>
      <c r="F4864" s="161">
        <v>143.19</v>
      </c>
      <c r="G4864" s="191"/>
      <c r="H4864" s="191">
        <v>3.3333333325000001</v>
      </c>
      <c r="I4864" s="191">
        <v>488.8</v>
      </c>
      <c r="J4864" s="191"/>
      <c r="K4864" s="191">
        <v>398.10717055349761</v>
      </c>
      <c r="L4864" s="191"/>
      <c r="M4864" s="191"/>
      <c r="N4864" s="191"/>
      <c r="O4864" s="191"/>
      <c r="P4864" s="191"/>
      <c r="Q4864" s="191">
        <v>2.2814205E-5</v>
      </c>
      <c r="R4864" s="191">
        <v>5.3483578746909358E-7</v>
      </c>
      <c r="S4864" s="191">
        <v>5.9426198607677063E-8</v>
      </c>
      <c r="T4864" s="191">
        <v>2.6741789373454679E-7</v>
      </c>
      <c r="U4864" s="439"/>
      <c r="V4864" s="439"/>
      <c r="W4864" s="178">
        <v>30000</v>
      </c>
      <c r="X4864" s="172">
        <f t="shared" si="15"/>
        <v>0.33333333333333331</v>
      </c>
      <c r="Y4864" s="172">
        <f t="shared" si="15"/>
        <v>0.33333333333333331</v>
      </c>
      <c r="Z4864" s="172">
        <f t="shared" si="15"/>
        <v>0.33333333333333331</v>
      </c>
      <c r="AA4864" s="195"/>
      <c r="AB4864" s="159"/>
    </row>
    <row r="4865" spans="1:28" ht="12.75" customHeight="1" x14ac:dyDescent="0.3">
      <c r="A4865" s="161">
        <v>865</v>
      </c>
      <c r="B4865" s="159" t="s">
        <v>3582</v>
      </c>
      <c r="C4865" s="160" t="s">
        <v>3583</v>
      </c>
      <c r="D4865" s="160" t="s">
        <v>619</v>
      </c>
      <c r="E4865" s="545">
        <v>5.07</v>
      </c>
      <c r="F4865" s="161">
        <v>135.21</v>
      </c>
      <c r="G4865" s="191"/>
      <c r="H4865" s="191">
        <v>21.4666666613</v>
      </c>
      <c r="I4865" s="191">
        <v>467.3</v>
      </c>
      <c r="J4865" s="191"/>
      <c r="K4865" s="191">
        <v>457.0881896148756</v>
      </c>
      <c r="L4865" s="191"/>
      <c r="M4865" s="191"/>
      <c r="N4865" s="191"/>
      <c r="O4865" s="191"/>
      <c r="P4865" s="191"/>
      <c r="Q4865" s="191">
        <v>4.5961537500000003E-5</v>
      </c>
      <c r="R4865" s="191">
        <v>2.1393431498763744E-7</v>
      </c>
      <c r="S4865" s="191">
        <v>2.3770479443070826E-8</v>
      </c>
      <c r="T4865" s="191">
        <v>1.0696715749381872E-7</v>
      </c>
      <c r="U4865" s="439"/>
      <c r="V4865" s="439"/>
      <c r="W4865" s="178">
        <v>30000</v>
      </c>
      <c r="X4865" s="172">
        <f t="shared" si="15"/>
        <v>0.33333333333333331</v>
      </c>
      <c r="Y4865" s="172">
        <f t="shared" si="15"/>
        <v>0.33333333333333331</v>
      </c>
      <c r="Z4865" s="172">
        <f t="shared" si="15"/>
        <v>0.33333333333333331</v>
      </c>
      <c r="AA4865" s="195"/>
      <c r="AB4865" s="159"/>
    </row>
    <row r="4866" spans="1:28" ht="12.75" customHeight="1" x14ac:dyDescent="0.3">
      <c r="A4866" s="161">
        <v>866</v>
      </c>
      <c r="B4866" s="159" t="s">
        <v>3584</v>
      </c>
      <c r="C4866" s="160" t="s">
        <v>3585</v>
      </c>
      <c r="D4866" s="160" t="s">
        <v>619</v>
      </c>
      <c r="E4866" s="545">
        <v>5.08</v>
      </c>
      <c r="F4866" s="161">
        <v>252.32</v>
      </c>
      <c r="G4866" s="191"/>
      <c r="H4866" s="191">
        <v>2.9999999992499998E-5</v>
      </c>
      <c r="I4866" s="191">
        <v>33000</v>
      </c>
      <c r="J4866" s="191"/>
      <c r="K4866" s="191">
        <v>70.794578438413865</v>
      </c>
      <c r="L4866" s="191"/>
      <c r="M4866" s="191"/>
      <c r="N4866" s="191"/>
      <c r="O4866" s="191"/>
      <c r="P4866" s="191"/>
      <c r="Q4866" s="191">
        <v>6.7639537500000001E-5</v>
      </c>
      <c r="R4866" s="191">
        <v>2.1393431498763744E-7</v>
      </c>
      <c r="S4866" s="191">
        <v>2.3770479443070826E-8</v>
      </c>
      <c r="T4866" s="191">
        <v>7.64051124955848E-8</v>
      </c>
      <c r="U4866" s="439"/>
      <c r="V4866" s="439"/>
      <c r="W4866" s="178">
        <v>30000</v>
      </c>
      <c r="X4866" s="172">
        <f t="shared" ref="X4866:Z4897" si="16">1/3</f>
        <v>0.33333333333333331</v>
      </c>
      <c r="Y4866" s="172">
        <f t="shared" si="16"/>
        <v>0.33333333333333331</v>
      </c>
      <c r="Z4866" s="172">
        <f t="shared" si="16"/>
        <v>0.33333333333333331</v>
      </c>
      <c r="AA4866" s="195"/>
      <c r="AB4866" s="159"/>
    </row>
    <row r="4867" spans="1:28" ht="12.75" customHeight="1" x14ac:dyDescent="0.3">
      <c r="A4867" s="161">
        <v>867</v>
      </c>
      <c r="B4867" s="159" t="s">
        <v>3586</v>
      </c>
      <c r="C4867" s="160" t="s">
        <v>3587</v>
      </c>
      <c r="D4867" s="160" t="s">
        <v>619</v>
      </c>
      <c r="E4867" s="545">
        <v>5.09</v>
      </c>
      <c r="F4867" s="161">
        <v>135.21</v>
      </c>
      <c r="G4867" s="191"/>
      <c r="H4867" s="191">
        <v>1.1999999996999999</v>
      </c>
      <c r="I4867" s="191">
        <v>1500</v>
      </c>
      <c r="J4867" s="191"/>
      <c r="K4867" s="191">
        <v>186.20871366628685</v>
      </c>
      <c r="L4867" s="191"/>
      <c r="M4867" s="191"/>
      <c r="N4867" s="191"/>
      <c r="O4867" s="191"/>
      <c r="P4867" s="191"/>
      <c r="Q4867" s="191">
        <v>1.5030600000000001E-4</v>
      </c>
      <c r="R4867" s="191">
        <v>2.1393431498763744E-7</v>
      </c>
      <c r="S4867" s="191">
        <v>2.3770479443070826E-8</v>
      </c>
      <c r="T4867" s="191">
        <v>1.0696715749381872E-7</v>
      </c>
      <c r="U4867" s="439"/>
      <c r="V4867" s="439"/>
      <c r="W4867" s="178">
        <v>30000</v>
      </c>
      <c r="X4867" s="172">
        <f t="shared" si="16"/>
        <v>0.33333333333333331</v>
      </c>
      <c r="Y4867" s="172">
        <f t="shared" si="16"/>
        <v>0.33333333333333331</v>
      </c>
      <c r="Z4867" s="172">
        <f t="shared" si="16"/>
        <v>0.33333333333333331</v>
      </c>
      <c r="AA4867" s="195"/>
      <c r="AB4867" s="159"/>
    </row>
    <row r="4868" spans="1:28" ht="12.75" customHeight="1" x14ac:dyDescent="0.3">
      <c r="A4868" s="161">
        <v>868</v>
      </c>
      <c r="B4868" s="159" t="s">
        <v>3590</v>
      </c>
      <c r="C4868" s="160" t="s">
        <v>3591</v>
      </c>
      <c r="D4868" s="160" t="s">
        <v>619</v>
      </c>
      <c r="E4868" s="545">
        <v>5.0999999999999996</v>
      </c>
      <c r="F4868" s="161">
        <v>107.16</v>
      </c>
      <c r="G4868" s="191"/>
      <c r="H4868" s="191">
        <v>38.133333323799995</v>
      </c>
      <c r="I4868" s="191">
        <v>6500</v>
      </c>
      <c r="J4868" s="191"/>
      <c r="K4868" s="191">
        <v>24.547089156850305</v>
      </c>
      <c r="L4868" s="191"/>
      <c r="M4868" s="191"/>
      <c r="N4868" s="191"/>
      <c r="O4868" s="191"/>
      <c r="P4868" s="191"/>
      <c r="Q4868" s="191">
        <v>9.9071460000000006E-5</v>
      </c>
      <c r="R4868" s="191">
        <v>5.3483578746909358E-7</v>
      </c>
      <c r="S4868" s="191">
        <v>5.9426198607677063E-8</v>
      </c>
      <c r="T4868" s="191">
        <v>2.6741789373454679E-7</v>
      </c>
      <c r="U4868" s="439"/>
      <c r="V4868" s="439"/>
      <c r="W4868" s="178">
        <v>30000</v>
      </c>
      <c r="X4868" s="172">
        <f t="shared" si="16"/>
        <v>0.33333333333333331</v>
      </c>
      <c r="Y4868" s="172">
        <f t="shared" si="16"/>
        <v>0.33333333333333331</v>
      </c>
      <c r="Z4868" s="172">
        <f t="shared" si="16"/>
        <v>0.33333333333333331</v>
      </c>
      <c r="AA4868" s="195"/>
      <c r="AB4868" s="159"/>
    </row>
    <row r="4869" spans="1:28" ht="12.75" customHeight="1" x14ac:dyDescent="0.3">
      <c r="A4869" s="161">
        <v>869</v>
      </c>
      <c r="B4869" s="159" t="s">
        <v>3588</v>
      </c>
      <c r="C4869" s="160" t="s">
        <v>3589</v>
      </c>
      <c r="D4869" s="160" t="s">
        <v>619</v>
      </c>
      <c r="E4869" s="545">
        <v>5.0999999999999996</v>
      </c>
      <c r="F4869" s="161">
        <v>107.16</v>
      </c>
      <c r="G4869" s="191"/>
      <c r="H4869" s="191">
        <v>38.133333323799995</v>
      </c>
      <c r="I4869" s="191">
        <v>6500</v>
      </c>
      <c r="J4869" s="191"/>
      <c r="K4869" s="191">
        <v>24.547089156850305</v>
      </c>
      <c r="L4869" s="191"/>
      <c r="M4869" s="191"/>
      <c r="N4869" s="191"/>
      <c r="O4869" s="191"/>
      <c r="P4869" s="191"/>
      <c r="Q4869" s="191">
        <v>9.9071460000000006E-5</v>
      </c>
      <c r="R4869" s="191">
        <v>5.3483578746909358E-7</v>
      </c>
      <c r="S4869" s="191">
        <v>5.9426198607677063E-8</v>
      </c>
      <c r="T4869" s="191">
        <v>2.6741789373454679E-7</v>
      </c>
      <c r="U4869" s="439"/>
      <c r="V4869" s="439"/>
      <c r="W4869" s="178">
        <v>30000</v>
      </c>
      <c r="X4869" s="172">
        <f t="shared" si="16"/>
        <v>0.33333333333333331</v>
      </c>
      <c r="Y4869" s="172">
        <f t="shared" si="16"/>
        <v>0.33333333333333331</v>
      </c>
      <c r="Z4869" s="172">
        <f t="shared" si="16"/>
        <v>0.33333333333333331</v>
      </c>
      <c r="AA4869" s="195"/>
      <c r="AB4869" s="159"/>
    </row>
    <row r="4870" spans="1:28" ht="12.75" customHeight="1" x14ac:dyDescent="0.3">
      <c r="A4870" s="161">
        <v>870</v>
      </c>
      <c r="B4870" s="159" t="s">
        <v>3596</v>
      </c>
      <c r="C4870" s="160" t="s">
        <v>3597</v>
      </c>
      <c r="D4870" s="160" t="s">
        <v>619</v>
      </c>
      <c r="E4870" s="545">
        <v>5.1100000000000003</v>
      </c>
      <c r="F4870" s="161">
        <v>205.35</v>
      </c>
      <c r="G4870" s="191"/>
      <c r="H4870" s="191">
        <v>0.15333333329499998</v>
      </c>
      <c r="I4870" s="191">
        <v>1.956</v>
      </c>
      <c r="J4870" s="191"/>
      <c r="K4870" s="191">
        <v>114815.36214968823</v>
      </c>
      <c r="L4870" s="191"/>
      <c r="M4870" s="191"/>
      <c r="N4870" s="191"/>
      <c r="O4870" s="191"/>
      <c r="P4870" s="191"/>
      <c r="Q4870" s="191">
        <v>1.0550823000000001E-4</v>
      </c>
      <c r="R4870" s="191">
        <v>5.3483578746909358E-7</v>
      </c>
      <c r="S4870" s="191">
        <v>5.9426198607677063E-8</v>
      </c>
      <c r="T4870" s="191">
        <v>2.6741789373454679E-7</v>
      </c>
      <c r="U4870" s="439"/>
      <c r="V4870" s="439"/>
      <c r="W4870" s="178">
        <v>30000</v>
      </c>
      <c r="X4870" s="172">
        <f t="shared" si="16"/>
        <v>0.33333333333333331</v>
      </c>
      <c r="Y4870" s="172">
        <f t="shared" si="16"/>
        <v>0.33333333333333331</v>
      </c>
      <c r="Z4870" s="172">
        <f t="shared" si="16"/>
        <v>0.33333333333333331</v>
      </c>
      <c r="AA4870" s="195"/>
      <c r="AB4870" s="159"/>
    </row>
    <row r="4871" spans="1:28" ht="12.75" customHeight="1" x14ac:dyDescent="0.3">
      <c r="A4871" s="161">
        <v>871</v>
      </c>
      <c r="B4871" s="159" t="s">
        <v>3592</v>
      </c>
      <c r="C4871" s="160" t="s">
        <v>3593</v>
      </c>
      <c r="D4871" s="160" t="s">
        <v>619</v>
      </c>
      <c r="E4871" s="545">
        <v>5.1100000000000003</v>
      </c>
      <c r="F4871" s="161">
        <v>149.24</v>
      </c>
      <c r="G4871" s="191"/>
      <c r="H4871" s="191">
        <v>1.3333333329999999</v>
      </c>
      <c r="I4871" s="191">
        <v>190</v>
      </c>
      <c r="J4871" s="191"/>
      <c r="K4871" s="191">
        <v>1122.0184543019636</v>
      </c>
      <c r="L4871" s="191"/>
      <c r="M4871" s="191"/>
      <c r="N4871" s="191"/>
      <c r="O4871" s="191"/>
      <c r="P4871" s="191"/>
      <c r="Q4871" s="191">
        <v>1.012690875E-4</v>
      </c>
      <c r="R4871" s="191">
        <v>5.3483578746909358E-7</v>
      </c>
      <c r="S4871" s="191">
        <v>5.9426198607677063E-8</v>
      </c>
      <c r="T4871" s="191">
        <v>2.6741789373454679E-7</v>
      </c>
      <c r="U4871" s="439"/>
      <c r="V4871" s="439"/>
      <c r="W4871" s="178">
        <v>30000</v>
      </c>
      <c r="X4871" s="172">
        <f t="shared" si="16"/>
        <v>0.33333333333333331</v>
      </c>
      <c r="Y4871" s="172">
        <f t="shared" si="16"/>
        <v>0.33333333333333331</v>
      </c>
      <c r="Z4871" s="172">
        <f t="shared" si="16"/>
        <v>0.33333333333333331</v>
      </c>
      <c r="AA4871" s="195"/>
      <c r="AB4871" s="159"/>
    </row>
    <row r="4872" spans="1:28" ht="12.75" customHeight="1" x14ac:dyDescent="0.3">
      <c r="A4872" s="161">
        <v>872</v>
      </c>
      <c r="B4872" s="159" t="s">
        <v>3594</v>
      </c>
      <c r="C4872" s="160" t="s">
        <v>3595</v>
      </c>
      <c r="D4872" s="160" t="s">
        <v>619</v>
      </c>
      <c r="E4872" s="545">
        <v>5.1100000000000003</v>
      </c>
      <c r="F4872" s="161">
        <v>261.45</v>
      </c>
      <c r="G4872" s="191"/>
      <c r="H4872" s="191">
        <v>4.6666666654999996E-3</v>
      </c>
      <c r="I4872" s="191">
        <v>600</v>
      </c>
      <c r="J4872" s="191"/>
      <c r="K4872" s="191">
        <v>10715193.052376067</v>
      </c>
      <c r="L4872" s="191"/>
      <c r="M4872" s="191"/>
      <c r="N4872" s="191"/>
      <c r="O4872" s="191"/>
      <c r="P4872" s="191"/>
      <c r="Q4872" s="191">
        <v>1.0974737249999999E-4</v>
      </c>
      <c r="R4872" s="191">
        <v>2.1393431498763744E-7</v>
      </c>
      <c r="S4872" s="191">
        <v>2.3770479443070826E-8</v>
      </c>
      <c r="T4872" s="191">
        <v>1.0696715749381872E-7</v>
      </c>
      <c r="U4872" s="439"/>
      <c r="V4872" s="439"/>
      <c r="W4872" s="178">
        <v>30000</v>
      </c>
      <c r="X4872" s="172">
        <f t="shared" si="16"/>
        <v>0.33333333333333331</v>
      </c>
      <c r="Y4872" s="172">
        <f t="shared" si="16"/>
        <v>0.33333333333333331</v>
      </c>
      <c r="Z4872" s="172">
        <f t="shared" si="16"/>
        <v>0.33333333333333331</v>
      </c>
      <c r="AA4872" s="195"/>
      <c r="AB4872" s="159"/>
    </row>
    <row r="4873" spans="1:28" ht="12.75" customHeight="1" x14ac:dyDescent="0.3">
      <c r="A4873" s="161">
        <v>873</v>
      </c>
      <c r="B4873" s="159" t="s">
        <v>3598</v>
      </c>
      <c r="C4873" s="160" t="s">
        <v>3599</v>
      </c>
      <c r="D4873" s="160" t="s">
        <v>619</v>
      </c>
      <c r="E4873" s="545">
        <v>5.1100000000000003</v>
      </c>
      <c r="F4873" s="161">
        <v>233.4</v>
      </c>
      <c r="G4873" s="191"/>
      <c r="H4873" s="191">
        <v>2.2933333327599999E-2</v>
      </c>
      <c r="I4873" s="191">
        <v>0.2014</v>
      </c>
      <c r="J4873" s="191"/>
      <c r="K4873" s="191">
        <v>1096478.196143186</v>
      </c>
      <c r="L4873" s="191"/>
      <c r="M4873" s="191"/>
      <c r="N4873" s="191"/>
      <c r="O4873" s="191"/>
      <c r="P4873" s="191"/>
      <c r="Q4873" s="191">
        <v>1.07627805E-4</v>
      </c>
      <c r="R4873" s="191">
        <v>5.3483578746909358E-7</v>
      </c>
      <c r="S4873" s="191">
        <v>5.9426198607677063E-8</v>
      </c>
      <c r="T4873" s="191">
        <v>2.6741789373454679E-7</v>
      </c>
      <c r="U4873" s="439"/>
      <c r="V4873" s="439"/>
      <c r="W4873" s="178">
        <v>30000</v>
      </c>
      <c r="X4873" s="172">
        <f t="shared" si="16"/>
        <v>0.33333333333333331</v>
      </c>
      <c r="Y4873" s="172">
        <f t="shared" si="16"/>
        <v>0.33333333333333331</v>
      </c>
      <c r="Z4873" s="172">
        <f t="shared" si="16"/>
        <v>0.33333333333333331</v>
      </c>
      <c r="AA4873" s="195"/>
      <c r="AB4873" s="159"/>
    </row>
    <row r="4874" spans="1:28" ht="12.75" customHeight="1" x14ac:dyDescent="0.3">
      <c r="A4874" s="161">
        <v>874</v>
      </c>
      <c r="B4874" s="159" t="s">
        <v>3600</v>
      </c>
      <c r="C4874" s="160" t="s">
        <v>3601</v>
      </c>
      <c r="D4874" s="160" t="s">
        <v>619</v>
      </c>
      <c r="E4874" s="545">
        <v>5.13</v>
      </c>
      <c r="F4874" s="161">
        <v>169.23</v>
      </c>
      <c r="G4874" s="191"/>
      <c r="H4874" s="191">
        <v>0.83733333312399993</v>
      </c>
      <c r="I4874" s="191">
        <v>3017</v>
      </c>
      <c r="J4874" s="191"/>
      <c r="K4874" s="191">
        <v>1148.1536214968839</v>
      </c>
      <c r="L4874" s="191"/>
      <c r="M4874" s="191"/>
      <c r="N4874" s="191"/>
      <c r="O4874" s="191"/>
      <c r="P4874" s="191"/>
      <c r="Q4874" s="191">
        <v>5.0238449999999998E-6</v>
      </c>
      <c r="R4874" s="191">
        <v>2.1393431498763744E-7</v>
      </c>
      <c r="S4874" s="191">
        <v>2.3770479443070826E-8</v>
      </c>
      <c r="T4874" s="191">
        <v>1.0696715749381872E-7</v>
      </c>
      <c r="U4874" s="439"/>
      <c r="V4874" s="439"/>
      <c r="W4874" s="178">
        <v>30000</v>
      </c>
      <c r="X4874" s="172">
        <f t="shared" si="16"/>
        <v>0.33333333333333331</v>
      </c>
      <c r="Y4874" s="172">
        <f t="shared" si="16"/>
        <v>0.33333333333333331</v>
      </c>
      <c r="Z4874" s="172">
        <f t="shared" si="16"/>
        <v>0.33333333333333331</v>
      </c>
      <c r="AA4874" s="195"/>
      <c r="AB4874" s="159"/>
    </row>
    <row r="4875" spans="1:28" ht="12.75" customHeight="1" x14ac:dyDescent="0.3">
      <c r="A4875" s="161">
        <v>875</v>
      </c>
      <c r="B4875" s="159" t="s">
        <v>3602</v>
      </c>
      <c r="C4875" s="160" t="s">
        <v>3603</v>
      </c>
      <c r="D4875" s="160" t="s">
        <v>619</v>
      </c>
      <c r="E4875" s="545">
        <v>5.15</v>
      </c>
      <c r="F4875" s="161">
        <v>121.18</v>
      </c>
      <c r="G4875" s="191"/>
      <c r="H4875" s="191">
        <v>93.333333309999986</v>
      </c>
      <c r="I4875" s="191">
        <v>1450</v>
      </c>
      <c r="J4875" s="191"/>
      <c r="K4875" s="191">
        <v>204.17379446695315</v>
      </c>
      <c r="L4875" s="191"/>
      <c r="M4875" s="191"/>
      <c r="N4875" s="191"/>
      <c r="O4875" s="191"/>
      <c r="P4875" s="191"/>
      <c r="Q4875" s="191">
        <v>1.11E-4</v>
      </c>
      <c r="R4875" s="191">
        <v>2.1393431498763744E-7</v>
      </c>
      <c r="S4875" s="191">
        <v>2.3770479443070826E-8</v>
      </c>
      <c r="T4875" s="191">
        <v>1.0696715749381872E-7</v>
      </c>
      <c r="U4875" s="439"/>
      <c r="V4875" s="439"/>
      <c r="W4875" s="178">
        <v>30000</v>
      </c>
      <c r="X4875" s="172">
        <f t="shared" si="16"/>
        <v>0.33333333333333331</v>
      </c>
      <c r="Y4875" s="172">
        <f t="shared" si="16"/>
        <v>0.33333333333333331</v>
      </c>
      <c r="Z4875" s="172">
        <f t="shared" si="16"/>
        <v>0.33333333333333331</v>
      </c>
      <c r="AA4875" s="195"/>
      <c r="AB4875" s="159"/>
    </row>
    <row r="4876" spans="1:28" ht="12.75" customHeight="1" x14ac:dyDescent="0.3">
      <c r="A4876" s="161">
        <v>876</v>
      </c>
      <c r="B4876" s="159" t="s">
        <v>3604</v>
      </c>
      <c r="C4876" s="160" t="s">
        <v>3605</v>
      </c>
      <c r="D4876" s="160" t="s">
        <v>619</v>
      </c>
      <c r="E4876" s="545">
        <v>5.19</v>
      </c>
      <c r="F4876" s="161">
        <v>135.21</v>
      </c>
      <c r="G4876" s="191"/>
      <c r="H4876" s="191">
        <v>1.1999999996999999</v>
      </c>
      <c r="I4876" s="191">
        <v>1500</v>
      </c>
      <c r="J4876" s="191"/>
      <c r="K4876" s="191">
        <v>186.20871366628685</v>
      </c>
      <c r="L4876" s="191"/>
      <c r="M4876" s="191"/>
      <c r="N4876" s="191"/>
      <c r="O4876" s="191"/>
      <c r="P4876" s="191"/>
      <c r="Q4876" s="191">
        <v>1.5030600000000001E-4</v>
      </c>
      <c r="R4876" s="191">
        <v>2.1393431498763744E-7</v>
      </c>
      <c r="S4876" s="191">
        <v>2.3770479443070826E-8</v>
      </c>
      <c r="T4876" s="191">
        <v>1.0696715749381872E-7</v>
      </c>
      <c r="U4876" s="439"/>
      <c r="V4876" s="439"/>
      <c r="W4876" s="178">
        <v>30000</v>
      </c>
      <c r="X4876" s="172">
        <f t="shared" si="16"/>
        <v>0.33333333333333331</v>
      </c>
      <c r="Y4876" s="172">
        <f t="shared" si="16"/>
        <v>0.33333333333333331</v>
      </c>
      <c r="Z4876" s="172">
        <f t="shared" si="16"/>
        <v>0.33333333333333331</v>
      </c>
      <c r="AA4876" s="195"/>
      <c r="AB4876" s="159"/>
    </row>
    <row r="4877" spans="1:28" ht="12.75" customHeight="1" x14ac:dyDescent="0.3">
      <c r="A4877" s="161">
        <v>877</v>
      </c>
      <c r="B4877" s="159" t="s">
        <v>3606</v>
      </c>
      <c r="C4877" s="160" t="s">
        <v>3607</v>
      </c>
      <c r="D4877" s="160" t="s">
        <v>619</v>
      </c>
      <c r="E4877" s="545">
        <v>5.2</v>
      </c>
      <c r="F4877" s="161">
        <v>364.38</v>
      </c>
      <c r="G4877" s="191"/>
      <c r="H4877" s="191">
        <v>3.5066666657899999E-9</v>
      </c>
      <c r="I4877" s="191">
        <v>244</v>
      </c>
      <c r="J4877" s="191"/>
      <c r="K4877" s="191">
        <v>15.848931924611136</v>
      </c>
      <c r="L4877" s="191"/>
      <c r="M4877" s="191"/>
      <c r="N4877" s="191"/>
      <c r="O4877" s="191"/>
      <c r="P4877" s="191"/>
      <c r="Q4877" s="191">
        <v>2.6937547500000001E-5</v>
      </c>
      <c r="R4877" s="191">
        <v>2.1393431498763744E-7</v>
      </c>
      <c r="S4877" s="191">
        <v>2.3770479443070826E-8</v>
      </c>
      <c r="T4877" s="191">
        <v>1.0219792117243827E-7</v>
      </c>
      <c r="U4877" s="439"/>
      <c r="V4877" s="439"/>
      <c r="W4877" s="178">
        <v>30000</v>
      </c>
      <c r="X4877" s="172">
        <f t="shared" si="16"/>
        <v>0.33333333333333331</v>
      </c>
      <c r="Y4877" s="172">
        <f t="shared" si="16"/>
        <v>0.33333333333333331</v>
      </c>
      <c r="Z4877" s="172">
        <f t="shared" si="16"/>
        <v>0.33333333333333331</v>
      </c>
      <c r="AA4877" s="195"/>
      <c r="AB4877" s="159"/>
    </row>
    <row r="4878" spans="1:28" ht="12.75" customHeight="1" x14ac:dyDescent="0.3">
      <c r="A4878" s="161">
        <v>878</v>
      </c>
      <c r="B4878" s="159" t="s">
        <v>3608</v>
      </c>
      <c r="C4878" s="160" t="s">
        <v>3609</v>
      </c>
      <c r="D4878" s="160" t="s">
        <v>619</v>
      </c>
      <c r="E4878" s="545">
        <v>5.22</v>
      </c>
      <c r="F4878" s="161">
        <v>166.19</v>
      </c>
      <c r="G4878" s="191"/>
      <c r="H4878" s="191">
        <v>4.47999999888E-7</v>
      </c>
      <c r="I4878" s="191">
        <v>13000</v>
      </c>
      <c r="J4878" s="191"/>
      <c r="K4878" s="191">
        <v>9.1201083935590983</v>
      </c>
      <c r="L4878" s="191"/>
      <c r="M4878" s="191"/>
      <c r="N4878" s="191"/>
      <c r="O4878" s="191"/>
      <c r="P4878" s="191"/>
      <c r="Q4878" s="191">
        <v>9.4653750000000004E-7</v>
      </c>
      <c r="R4878" s="191">
        <v>1.3370894686727339E-7</v>
      </c>
      <c r="S4878" s="191">
        <v>1.4856549651919266E-8</v>
      </c>
      <c r="T4878" s="191">
        <v>8.2706565072540251E-7</v>
      </c>
      <c r="U4878" s="439"/>
      <c r="V4878" s="439"/>
      <c r="W4878" s="178">
        <v>30000</v>
      </c>
      <c r="X4878" s="172">
        <f t="shared" si="16"/>
        <v>0.33333333333333331</v>
      </c>
      <c r="Y4878" s="172">
        <f t="shared" si="16"/>
        <v>0.33333333333333331</v>
      </c>
      <c r="Z4878" s="172">
        <f t="shared" si="16"/>
        <v>0.33333333333333331</v>
      </c>
      <c r="AA4878" s="195"/>
      <c r="AB4878" s="159"/>
    </row>
    <row r="4879" spans="1:28" ht="12.75" customHeight="1" x14ac:dyDescent="0.3">
      <c r="A4879" s="161">
        <v>879</v>
      </c>
      <c r="B4879" s="159" t="s">
        <v>3610</v>
      </c>
      <c r="C4879" s="160" t="s">
        <v>3611</v>
      </c>
      <c r="D4879" s="160" t="s">
        <v>619</v>
      </c>
      <c r="E4879" s="545">
        <v>5.28</v>
      </c>
      <c r="F4879" s="161">
        <v>121.18</v>
      </c>
      <c r="G4879" s="191"/>
      <c r="H4879" s="191">
        <v>3.7199999990700001</v>
      </c>
      <c r="I4879" s="191">
        <v>3800</v>
      </c>
      <c r="J4879" s="191"/>
      <c r="K4879" s="191">
        <v>69.183097091893657</v>
      </c>
      <c r="L4879" s="191"/>
      <c r="M4879" s="191"/>
      <c r="N4879" s="191"/>
      <c r="O4879" s="191"/>
      <c r="P4879" s="191"/>
      <c r="Q4879" s="191">
        <v>1.50204E-4</v>
      </c>
      <c r="R4879" s="191">
        <v>2.1393431498763744E-7</v>
      </c>
      <c r="S4879" s="191">
        <v>2.3770479443070826E-8</v>
      </c>
      <c r="T4879" s="191">
        <v>1.0696715749381872E-7</v>
      </c>
      <c r="U4879" s="439"/>
      <c r="V4879" s="439"/>
      <c r="W4879" s="178">
        <v>30000</v>
      </c>
      <c r="X4879" s="172">
        <f t="shared" si="16"/>
        <v>0.33333333333333331</v>
      </c>
      <c r="Y4879" s="172">
        <f t="shared" si="16"/>
        <v>0.33333333333333331</v>
      </c>
      <c r="Z4879" s="172">
        <f t="shared" si="16"/>
        <v>0.33333333333333331</v>
      </c>
      <c r="AA4879" s="195"/>
      <c r="AB4879" s="159"/>
    </row>
    <row r="4880" spans="1:28" ht="12.75" customHeight="1" x14ac:dyDescent="0.3">
      <c r="A4880" s="161">
        <v>880</v>
      </c>
      <c r="B4880" s="159" t="s">
        <v>3612</v>
      </c>
      <c r="C4880" s="160" t="s">
        <v>3613</v>
      </c>
      <c r="D4880" s="160" t="s">
        <v>619</v>
      </c>
      <c r="E4880" s="545">
        <v>5.33</v>
      </c>
      <c r="F4880" s="161">
        <v>289.33999999999997</v>
      </c>
      <c r="G4880" s="191"/>
      <c r="H4880" s="191">
        <v>8.8266666644599994E-7</v>
      </c>
      <c r="I4880" s="191">
        <v>3.8570000000000002</v>
      </c>
      <c r="J4880" s="191"/>
      <c r="K4880" s="191">
        <v>14791.083881682089</v>
      </c>
      <c r="L4880" s="191"/>
      <c r="M4880" s="191"/>
      <c r="N4880" s="191"/>
      <c r="O4880" s="191"/>
      <c r="P4880" s="191"/>
      <c r="Q4880" s="191">
        <v>6.0183067499999998E-5</v>
      </c>
      <c r="R4880" s="191">
        <v>1.3370894686727339E-7</v>
      </c>
      <c r="S4880" s="191">
        <v>1.4856549651919266E-8</v>
      </c>
      <c r="T4880" s="191">
        <v>6.6854473433636697E-8</v>
      </c>
      <c r="U4880" s="439"/>
      <c r="V4880" s="439"/>
      <c r="W4880" s="178">
        <v>30000</v>
      </c>
      <c r="X4880" s="172">
        <f t="shared" si="16"/>
        <v>0.33333333333333331</v>
      </c>
      <c r="Y4880" s="172">
        <f t="shared" si="16"/>
        <v>0.33333333333333331</v>
      </c>
      <c r="Z4880" s="172">
        <f t="shared" si="16"/>
        <v>0.33333333333333331</v>
      </c>
      <c r="AA4880" s="195"/>
      <c r="AB4880" s="159"/>
    </row>
    <row r="4881" spans="1:28" ht="12.75" customHeight="1" x14ac:dyDescent="0.3">
      <c r="A4881" s="161">
        <v>881</v>
      </c>
      <c r="B4881" s="159" t="s">
        <v>3616</v>
      </c>
      <c r="C4881" s="160" t="s">
        <v>3617</v>
      </c>
      <c r="D4881" s="160" t="s">
        <v>619</v>
      </c>
      <c r="E4881" s="545">
        <v>5.34</v>
      </c>
      <c r="F4881" s="161">
        <v>123.16</v>
      </c>
      <c r="G4881" s="191"/>
      <c r="H4881" s="191">
        <v>3.9999999989999995</v>
      </c>
      <c r="I4881" s="191">
        <v>21000</v>
      </c>
      <c r="J4881" s="191"/>
      <c r="K4881" s="191">
        <v>8.9125093813374576</v>
      </c>
      <c r="L4881" s="191"/>
      <c r="M4881" s="191"/>
      <c r="N4881" s="191"/>
      <c r="O4881" s="191"/>
      <c r="P4881" s="191"/>
      <c r="Q4881" s="191">
        <v>7.0458480000000002E-5</v>
      </c>
      <c r="R4881" s="191">
        <v>2.1393431498763744E-7</v>
      </c>
      <c r="S4881" s="191">
        <v>2.3770479443070826E-8</v>
      </c>
      <c r="T4881" s="191">
        <v>1.0696715749381872E-7</v>
      </c>
      <c r="U4881" s="439"/>
      <c r="V4881" s="439"/>
      <c r="W4881" s="178">
        <v>30000</v>
      </c>
      <c r="X4881" s="172">
        <f t="shared" si="16"/>
        <v>0.33333333333333331</v>
      </c>
      <c r="Y4881" s="172">
        <f t="shared" si="16"/>
        <v>0.33333333333333331</v>
      </c>
      <c r="Z4881" s="172">
        <f t="shared" si="16"/>
        <v>0.33333333333333331</v>
      </c>
      <c r="AA4881" s="195"/>
      <c r="AB4881" s="159"/>
    </row>
    <row r="4882" spans="1:28" ht="12.75" customHeight="1" x14ac:dyDescent="0.3">
      <c r="A4882" s="161">
        <v>882</v>
      </c>
      <c r="B4882" s="159" t="s">
        <v>3614</v>
      </c>
      <c r="C4882" s="160" t="s">
        <v>3615</v>
      </c>
      <c r="D4882" s="160" t="s">
        <v>619</v>
      </c>
      <c r="E4882" s="545">
        <v>5.34</v>
      </c>
      <c r="F4882" s="161">
        <v>143.19</v>
      </c>
      <c r="G4882" s="191"/>
      <c r="H4882" s="191">
        <v>1.178666666372</v>
      </c>
      <c r="I4882" s="191">
        <v>631.1</v>
      </c>
      <c r="J4882" s="191"/>
      <c r="K4882" s="191">
        <v>371.53522909717265</v>
      </c>
      <c r="L4882" s="191"/>
      <c r="M4882" s="191"/>
      <c r="N4882" s="191"/>
      <c r="O4882" s="191"/>
      <c r="P4882" s="191"/>
      <c r="Q4882" s="191">
        <v>2.2814205E-5</v>
      </c>
      <c r="R4882" s="191">
        <v>5.3483578746909358E-7</v>
      </c>
      <c r="S4882" s="191">
        <v>5.9426198607677063E-8</v>
      </c>
      <c r="T4882" s="191">
        <v>2.6741789373454679E-7</v>
      </c>
      <c r="U4882" s="439"/>
      <c r="V4882" s="439"/>
      <c r="W4882" s="178">
        <v>30000</v>
      </c>
      <c r="X4882" s="172">
        <f t="shared" si="16"/>
        <v>0.33333333333333331</v>
      </c>
      <c r="Y4882" s="172">
        <f t="shared" si="16"/>
        <v>0.33333333333333331</v>
      </c>
      <c r="Z4882" s="172">
        <f t="shared" si="16"/>
        <v>0.33333333333333331</v>
      </c>
      <c r="AA4882" s="195"/>
      <c r="AB4882" s="159"/>
    </row>
    <row r="4883" spans="1:28" ht="12.75" customHeight="1" x14ac:dyDescent="0.3">
      <c r="A4883" s="161">
        <v>883</v>
      </c>
      <c r="B4883" s="159" t="s">
        <v>3618</v>
      </c>
      <c r="C4883" s="160" t="s">
        <v>3619</v>
      </c>
      <c r="D4883" s="160" t="s">
        <v>619</v>
      </c>
      <c r="E4883" s="545">
        <v>5.35</v>
      </c>
      <c r="F4883" s="161">
        <v>179.26</v>
      </c>
      <c r="G4883" s="191"/>
      <c r="H4883" s="191">
        <v>1.255999999686E-2</v>
      </c>
      <c r="I4883" s="191">
        <v>684.7</v>
      </c>
      <c r="J4883" s="191"/>
      <c r="K4883" s="191">
        <v>173.78008287493768</v>
      </c>
      <c r="L4883" s="191"/>
      <c r="M4883" s="191"/>
      <c r="N4883" s="191"/>
      <c r="O4883" s="191"/>
      <c r="P4883" s="191"/>
      <c r="Q4883" s="191">
        <v>1.6787578500000001E-4</v>
      </c>
      <c r="R4883" s="191">
        <v>2.1393431498763744E-7</v>
      </c>
      <c r="S4883" s="191">
        <v>2.3770479443070826E-8</v>
      </c>
      <c r="T4883" s="191">
        <v>1.0696715749381872E-7</v>
      </c>
      <c r="U4883" s="439"/>
      <c r="V4883" s="439"/>
      <c r="W4883" s="178">
        <v>30000</v>
      </c>
      <c r="X4883" s="172">
        <f t="shared" si="16"/>
        <v>0.33333333333333331</v>
      </c>
      <c r="Y4883" s="172">
        <f t="shared" si="16"/>
        <v>0.33333333333333331</v>
      </c>
      <c r="Z4883" s="172">
        <f t="shared" si="16"/>
        <v>0.33333333333333331</v>
      </c>
      <c r="AA4883" s="195"/>
      <c r="AB4883" s="159"/>
    </row>
    <row r="4884" spans="1:28" ht="12.75" customHeight="1" x14ac:dyDescent="0.3">
      <c r="A4884" s="161">
        <v>884</v>
      </c>
      <c r="B4884" s="159" t="s">
        <v>3620</v>
      </c>
      <c r="C4884" s="160" t="s">
        <v>3621</v>
      </c>
      <c r="D4884" s="160" t="s">
        <v>619</v>
      </c>
      <c r="E4884" s="545">
        <v>5.37</v>
      </c>
      <c r="F4884" s="161">
        <v>222.29</v>
      </c>
      <c r="G4884" s="191"/>
      <c r="H4884" s="191">
        <v>3.6133333324299993E-2</v>
      </c>
      <c r="I4884" s="191">
        <v>100</v>
      </c>
      <c r="J4884" s="191"/>
      <c r="K4884" s="191">
        <v>363.07805477010152</v>
      </c>
      <c r="L4884" s="191"/>
      <c r="M4884" s="191"/>
      <c r="N4884" s="191"/>
      <c r="O4884" s="191"/>
      <c r="P4884" s="191"/>
      <c r="Q4884" s="191">
        <v>2.1731167500000001E-5</v>
      </c>
      <c r="R4884" s="191">
        <v>2.1393431498763744E-7</v>
      </c>
      <c r="S4884" s="191">
        <v>2.3770479443070826E-8</v>
      </c>
      <c r="T4884" s="191">
        <v>1.0028171015045505E-6</v>
      </c>
      <c r="U4884" s="439"/>
      <c r="V4884" s="439"/>
      <c r="W4884" s="178">
        <v>30000</v>
      </c>
      <c r="X4884" s="172">
        <f t="shared" si="16"/>
        <v>0.33333333333333331</v>
      </c>
      <c r="Y4884" s="172">
        <f t="shared" si="16"/>
        <v>0.33333333333333331</v>
      </c>
      <c r="Z4884" s="172">
        <f t="shared" si="16"/>
        <v>0.33333333333333331</v>
      </c>
      <c r="AA4884" s="195"/>
      <c r="AB4884" s="159"/>
    </row>
    <row r="4885" spans="1:28" ht="12.75" customHeight="1" x14ac:dyDescent="0.3">
      <c r="A4885" s="161">
        <v>885</v>
      </c>
      <c r="B4885" s="159" t="s">
        <v>3622</v>
      </c>
      <c r="C4885" s="160" t="s">
        <v>3623</v>
      </c>
      <c r="D4885" s="160" t="s">
        <v>619</v>
      </c>
      <c r="E4885" s="545">
        <v>5.42</v>
      </c>
      <c r="F4885" s="161">
        <v>129.16</v>
      </c>
      <c r="G4885" s="191"/>
      <c r="H4885" s="191">
        <v>9.3333333310000004</v>
      </c>
      <c r="I4885" s="191">
        <v>4520</v>
      </c>
      <c r="J4885" s="191"/>
      <c r="K4885" s="191">
        <v>120.22644346174135</v>
      </c>
      <c r="L4885" s="191"/>
      <c r="M4885" s="191"/>
      <c r="N4885" s="191"/>
      <c r="O4885" s="191"/>
      <c r="P4885" s="191"/>
      <c r="Q4885" s="191">
        <v>6.3749999999999999E-6</v>
      </c>
      <c r="R4885" s="191">
        <v>5.3483578746909358E-7</v>
      </c>
      <c r="S4885" s="191">
        <v>5.9426198607677063E-8</v>
      </c>
      <c r="T4885" s="191">
        <v>2.6741789373454679E-7</v>
      </c>
      <c r="U4885" s="439"/>
      <c r="V4885" s="439"/>
      <c r="W4885" s="178">
        <v>30000</v>
      </c>
      <c r="X4885" s="172">
        <f t="shared" si="16"/>
        <v>0.33333333333333331</v>
      </c>
      <c r="Y4885" s="172">
        <f t="shared" si="16"/>
        <v>0.33333333333333331</v>
      </c>
      <c r="Z4885" s="172">
        <f t="shared" si="16"/>
        <v>0.33333333333333331</v>
      </c>
      <c r="AA4885" s="195"/>
      <c r="AB4885" s="159"/>
    </row>
    <row r="4886" spans="1:28" ht="12.75" customHeight="1" x14ac:dyDescent="0.3">
      <c r="A4886" s="161">
        <v>886</v>
      </c>
      <c r="B4886" s="159" t="s">
        <v>3624</v>
      </c>
      <c r="C4886" s="160" t="s">
        <v>3625</v>
      </c>
      <c r="D4886" s="160" t="s">
        <v>619</v>
      </c>
      <c r="E4886" s="545">
        <v>5.45</v>
      </c>
      <c r="F4886" s="161">
        <v>179.22</v>
      </c>
      <c r="G4886" s="191"/>
      <c r="H4886" s="191">
        <v>1.7999999995499998E-2</v>
      </c>
      <c r="I4886" s="191">
        <v>38.4</v>
      </c>
      <c r="J4886" s="191"/>
      <c r="K4886" s="191">
        <v>2511.8864315095811</v>
      </c>
      <c r="L4886" s="191"/>
      <c r="M4886" s="191"/>
      <c r="N4886" s="191"/>
      <c r="O4886" s="191"/>
      <c r="P4886" s="191"/>
      <c r="Q4886" s="191">
        <v>2.0624872500000001E-5</v>
      </c>
      <c r="R4886" s="191">
        <v>5.3483578746909358E-7</v>
      </c>
      <c r="S4886" s="191">
        <v>5.9426198607677063E-8</v>
      </c>
      <c r="T4886" s="191">
        <v>2.6741789373454679E-7</v>
      </c>
      <c r="U4886" s="439"/>
      <c r="V4886" s="439"/>
      <c r="W4886" s="178">
        <v>30000</v>
      </c>
      <c r="X4886" s="172">
        <f t="shared" si="16"/>
        <v>0.33333333333333331</v>
      </c>
      <c r="Y4886" s="172">
        <f t="shared" si="16"/>
        <v>0.33333333333333331</v>
      </c>
      <c r="Z4886" s="172">
        <f t="shared" si="16"/>
        <v>0.33333333333333331</v>
      </c>
      <c r="AA4886" s="195"/>
      <c r="AB4886" s="159"/>
    </row>
    <row r="4887" spans="1:28" ht="12.75" customHeight="1" x14ac:dyDescent="0.3">
      <c r="A4887" s="161">
        <v>887</v>
      </c>
      <c r="B4887" s="159" t="s">
        <v>3626</v>
      </c>
      <c r="C4887" s="160" t="s">
        <v>1689</v>
      </c>
      <c r="D4887" s="160" t="s">
        <v>619</v>
      </c>
      <c r="E4887" s="545">
        <v>5.48</v>
      </c>
      <c r="F4887" s="161">
        <v>109.13</v>
      </c>
      <c r="G4887" s="191"/>
      <c r="H4887" s="191">
        <v>5.3333333320000004E-3</v>
      </c>
      <c r="I4887" s="191">
        <v>16000</v>
      </c>
      <c r="J4887" s="191"/>
      <c r="K4887" s="191">
        <v>1.0964781961431851</v>
      </c>
      <c r="L4887" s="191"/>
      <c r="M4887" s="191"/>
      <c r="N4887" s="191"/>
      <c r="O4887" s="191"/>
      <c r="P4887" s="191"/>
      <c r="Q4887" s="191">
        <v>5.5685332499999999E-5</v>
      </c>
      <c r="R4887" s="191">
        <v>5.3483578746909358E-7</v>
      </c>
      <c r="S4887" s="191">
        <v>5.9426198607677063E-8</v>
      </c>
      <c r="T4887" s="191">
        <v>2.6741789373454679E-7</v>
      </c>
      <c r="U4887" s="439"/>
      <c r="V4887" s="439"/>
      <c r="W4887" s="178">
        <v>30000</v>
      </c>
      <c r="X4887" s="172">
        <f t="shared" si="16"/>
        <v>0.33333333333333331</v>
      </c>
      <c r="Y4887" s="172">
        <f t="shared" si="16"/>
        <v>0.33333333333333331</v>
      </c>
      <c r="Z4887" s="172">
        <f t="shared" si="16"/>
        <v>0.33333333333333331</v>
      </c>
      <c r="AA4887" s="195"/>
      <c r="AB4887" s="159"/>
    </row>
    <row r="4888" spans="1:28" ht="12.75" customHeight="1" x14ac:dyDescent="0.3">
      <c r="A4888" s="161">
        <v>888</v>
      </c>
      <c r="B4888" s="159" t="s">
        <v>3627</v>
      </c>
      <c r="C4888" s="160" t="s">
        <v>3628</v>
      </c>
      <c r="D4888" s="160" t="s">
        <v>619</v>
      </c>
      <c r="E4888" s="545">
        <v>5.53</v>
      </c>
      <c r="F4888" s="161">
        <v>100.16</v>
      </c>
      <c r="G4888" s="191"/>
      <c r="H4888" s="191">
        <v>191.999999952</v>
      </c>
      <c r="I4888" s="191">
        <v>435000</v>
      </c>
      <c r="J4888" s="191"/>
      <c r="K4888" s="191">
        <v>0.41686938347033536</v>
      </c>
      <c r="L4888" s="191"/>
      <c r="M4888" s="191"/>
      <c r="N4888" s="191"/>
      <c r="O4888" s="191"/>
      <c r="P4888" s="191"/>
      <c r="Q4888" s="191">
        <v>1.353082575E-4</v>
      </c>
      <c r="R4888" s="191">
        <v>5.3483578746909358E-7</v>
      </c>
      <c r="S4888" s="191">
        <v>5.9426198607677063E-8</v>
      </c>
      <c r="T4888" s="191">
        <v>2.6741789373454679E-7</v>
      </c>
      <c r="U4888" s="439"/>
      <c r="V4888" s="439"/>
      <c r="W4888" s="178">
        <v>30000</v>
      </c>
      <c r="X4888" s="172">
        <f t="shared" si="16"/>
        <v>0.33333333333333331</v>
      </c>
      <c r="Y4888" s="172">
        <f t="shared" si="16"/>
        <v>0.33333333333333331</v>
      </c>
      <c r="Z4888" s="172">
        <f t="shared" si="16"/>
        <v>0.33333333333333331</v>
      </c>
      <c r="AA4888" s="195"/>
      <c r="AB4888" s="159"/>
    </row>
    <row r="4889" spans="1:28" ht="12.75" customHeight="1" x14ac:dyDescent="0.3">
      <c r="A4889" s="161">
        <v>889</v>
      </c>
      <c r="B4889" s="159" t="s">
        <v>3629</v>
      </c>
      <c r="C4889" s="160" t="s">
        <v>3630</v>
      </c>
      <c r="D4889" s="160" t="s">
        <v>619</v>
      </c>
      <c r="E4889" s="545">
        <v>5.55</v>
      </c>
      <c r="F4889" s="161">
        <v>155.19999999999999</v>
      </c>
      <c r="G4889" s="191"/>
      <c r="H4889" s="191">
        <v>0.225333333277</v>
      </c>
      <c r="I4889" s="191">
        <v>441.7</v>
      </c>
      <c r="J4889" s="191"/>
      <c r="K4889" s="191">
        <v>389.04514499428063</v>
      </c>
      <c r="L4889" s="191"/>
      <c r="M4889" s="191"/>
      <c r="N4889" s="191"/>
      <c r="O4889" s="191"/>
      <c r="P4889" s="191"/>
      <c r="Q4889" s="191">
        <v>3.0225975000000003E-6</v>
      </c>
      <c r="R4889" s="191">
        <v>2.1393431498763744E-7</v>
      </c>
      <c r="S4889" s="191">
        <v>2.3770479443070826E-8</v>
      </c>
      <c r="T4889" s="191">
        <v>1.0696715749381872E-7</v>
      </c>
      <c r="U4889" s="439"/>
      <c r="V4889" s="439"/>
      <c r="W4889" s="178">
        <v>30000</v>
      </c>
      <c r="X4889" s="172">
        <f t="shared" si="16"/>
        <v>0.33333333333333331</v>
      </c>
      <c r="Y4889" s="172">
        <f t="shared" si="16"/>
        <v>0.33333333333333331</v>
      </c>
      <c r="Z4889" s="172">
        <f t="shared" si="16"/>
        <v>0.33333333333333331</v>
      </c>
      <c r="AA4889" s="195"/>
      <c r="AB4889" s="159"/>
    </row>
    <row r="4890" spans="1:28" ht="12.75" customHeight="1" x14ac:dyDescent="0.3">
      <c r="A4890" s="161">
        <v>890</v>
      </c>
      <c r="B4890" s="159" t="s">
        <v>3631</v>
      </c>
      <c r="C4890" s="160" t="s">
        <v>3632</v>
      </c>
      <c r="D4890" s="160" t="s">
        <v>619</v>
      </c>
      <c r="E4890" s="545">
        <v>5.61</v>
      </c>
      <c r="F4890" s="161">
        <v>297.19</v>
      </c>
      <c r="G4890" s="191"/>
      <c r="H4890" s="191">
        <v>1.5866666662700001E-4</v>
      </c>
      <c r="I4890" s="191">
        <v>180</v>
      </c>
      <c r="J4890" s="191"/>
      <c r="K4890" s="191">
        <v>6606.9344800759654</v>
      </c>
      <c r="L4890" s="191"/>
      <c r="M4890" s="191"/>
      <c r="N4890" s="191"/>
      <c r="O4890" s="191"/>
      <c r="P4890" s="191"/>
      <c r="Q4890" s="191">
        <v>6.3647377500000005E-5</v>
      </c>
      <c r="R4890" s="191">
        <v>1.3370894686727339E-7</v>
      </c>
      <c r="S4890" s="191">
        <v>1.4856549651919266E-8</v>
      </c>
      <c r="T4890" s="191">
        <v>1.2535213768806879E-6</v>
      </c>
      <c r="U4890" s="439"/>
      <c r="V4890" s="439"/>
      <c r="W4890" s="178">
        <v>30000</v>
      </c>
      <c r="X4890" s="172">
        <f t="shared" si="16"/>
        <v>0.33333333333333331</v>
      </c>
      <c r="Y4890" s="172">
        <f t="shared" si="16"/>
        <v>0.33333333333333331</v>
      </c>
      <c r="Z4890" s="172">
        <f t="shared" si="16"/>
        <v>0.33333333333333331</v>
      </c>
      <c r="AA4890" s="195"/>
      <c r="AB4890" s="159"/>
    </row>
    <row r="4891" spans="1:28" ht="12.75" customHeight="1" x14ac:dyDescent="0.3">
      <c r="A4891" s="161">
        <v>891</v>
      </c>
      <c r="B4891" s="159" t="s">
        <v>3633</v>
      </c>
      <c r="C4891" s="160" t="s">
        <v>3634</v>
      </c>
      <c r="D4891" s="160" t="s">
        <v>619</v>
      </c>
      <c r="E4891" s="545">
        <v>5.62</v>
      </c>
      <c r="F4891" s="161">
        <v>105.14</v>
      </c>
      <c r="G4891" s="191"/>
      <c r="H4891" s="191">
        <v>226.66666660999999</v>
      </c>
      <c r="I4891" s="191">
        <v>29100</v>
      </c>
      <c r="J4891" s="191"/>
      <c r="K4891" s="191">
        <v>51.28613839913649</v>
      </c>
      <c r="L4891" s="191"/>
      <c r="M4891" s="191"/>
      <c r="N4891" s="191"/>
      <c r="O4891" s="191"/>
      <c r="P4891" s="191"/>
      <c r="Q4891" s="191">
        <v>1.9985894999999997E-5</v>
      </c>
      <c r="R4891" s="191">
        <v>5.3483578746909358E-7</v>
      </c>
      <c r="S4891" s="191">
        <v>5.9426198607677063E-8</v>
      </c>
      <c r="T4891" s="191">
        <v>2.6741789373454679E-7</v>
      </c>
      <c r="U4891" s="439"/>
      <c r="V4891" s="439"/>
      <c r="W4891" s="178">
        <v>30000</v>
      </c>
      <c r="X4891" s="172">
        <f t="shared" si="16"/>
        <v>0.33333333333333331</v>
      </c>
      <c r="Y4891" s="172">
        <f t="shared" si="16"/>
        <v>0.33333333333333331</v>
      </c>
      <c r="Z4891" s="172">
        <f t="shared" si="16"/>
        <v>0.33333333333333331</v>
      </c>
      <c r="AA4891" s="195"/>
      <c r="AB4891" s="159"/>
    </row>
    <row r="4892" spans="1:28" ht="12.75" customHeight="1" x14ac:dyDescent="0.3">
      <c r="A4892" s="161">
        <v>892</v>
      </c>
      <c r="B4892" s="159" t="s">
        <v>3635</v>
      </c>
      <c r="C4892" s="160" t="s">
        <v>3636</v>
      </c>
      <c r="D4892" s="160" t="s">
        <v>619</v>
      </c>
      <c r="E4892" s="545">
        <v>5.63</v>
      </c>
      <c r="F4892" s="161">
        <v>135.21</v>
      </c>
      <c r="G4892" s="191"/>
      <c r="H4892" s="191">
        <v>23.733333327399997</v>
      </c>
      <c r="I4892" s="191">
        <v>650</v>
      </c>
      <c r="J4892" s="191"/>
      <c r="K4892" s="191">
        <v>645.65422903465594</v>
      </c>
      <c r="L4892" s="191"/>
      <c r="M4892" s="191"/>
      <c r="N4892" s="191"/>
      <c r="O4892" s="191"/>
      <c r="P4892" s="191"/>
      <c r="Q4892" s="191">
        <v>1.5199920000000001E-4</v>
      </c>
      <c r="R4892" s="191">
        <v>2.1393431498763744E-7</v>
      </c>
      <c r="S4892" s="191">
        <v>2.3770479443070826E-8</v>
      </c>
      <c r="T4892" s="191">
        <v>1.0696715749381872E-7</v>
      </c>
      <c r="U4892" s="439"/>
      <c r="V4892" s="439"/>
      <c r="W4892" s="178">
        <v>30000</v>
      </c>
      <c r="X4892" s="172">
        <f t="shared" si="16"/>
        <v>0.33333333333333331</v>
      </c>
      <c r="Y4892" s="172">
        <f t="shared" si="16"/>
        <v>0.33333333333333331</v>
      </c>
      <c r="Z4892" s="172">
        <f t="shared" si="16"/>
        <v>0.33333333333333331</v>
      </c>
      <c r="AA4892" s="195"/>
      <c r="AB4892" s="159"/>
    </row>
    <row r="4893" spans="1:28" ht="12.75" customHeight="1" x14ac:dyDescent="0.3">
      <c r="A4893" s="161">
        <v>893</v>
      </c>
      <c r="B4893" s="159" t="s">
        <v>3637</v>
      </c>
      <c r="C4893" s="160" t="s">
        <v>3638</v>
      </c>
      <c r="D4893" s="160" t="s">
        <v>619</v>
      </c>
      <c r="E4893" s="545">
        <v>5.67</v>
      </c>
      <c r="F4893" s="161">
        <v>112.09</v>
      </c>
      <c r="G4893" s="191"/>
      <c r="H4893" s="191">
        <v>4.9066666654399994E-6</v>
      </c>
      <c r="I4893" s="191">
        <v>4510</v>
      </c>
      <c r="J4893" s="191"/>
      <c r="K4893" s="191">
        <v>0.14454397707459271</v>
      </c>
      <c r="L4893" s="191"/>
      <c r="M4893" s="191"/>
      <c r="N4893" s="191"/>
      <c r="O4893" s="191"/>
      <c r="P4893" s="191"/>
      <c r="Q4893" s="191">
        <v>9.941999999999999E-6</v>
      </c>
      <c r="R4893" s="191">
        <v>5.3483578746909358E-7</v>
      </c>
      <c r="S4893" s="191">
        <v>5.9426198607677063E-8</v>
      </c>
      <c r="T4893" s="191">
        <v>2.6741789373454678E-6</v>
      </c>
      <c r="U4893" s="439"/>
      <c r="V4893" s="439"/>
      <c r="W4893" s="178">
        <v>30000</v>
      </c>
      <c r="X4893" s="172">
        <f t="shared" si="16"/>
        <v>0.33333333333333331</v>
      </c>
      <c r="Y4893" s="172">
        <f t="shared" si="16"/>
        <v>0.33333333333333331</v>
      </c>
      <c r="Z4893" s="172">
        <f t="shared" si="16"/>
        <v>0.33333333333333331</v>
      </c>
      <c r="AA4893" s="195"/>
      <c r="AB4893" s="159"/>
    </row>
    <row r="4894" spans="1:28" ht="12.75" customHeight="1" x14ac:dyDescent="0.3">
      <c r="A4894" s="161">
        <v>894</v>
      </c>
      <c r="B4894" s="159" t="s">
        <v>3639</v>
      </c>
      <c r="C4894" s="160" t="s">
        <v>3640</v>
      </c>
      <c r="D4894" s="160" t="s">
        <v>619</v>
      </c>
      <c r="E4894" s="545">
        <v>5.76</v>
      </c>
      <c r="F4894" s="161">
        <v>329.45</v>
      </c>
      <c r="G4894" s="191"/>
      <c r="H4894" s="191">
        <v>3.7066666657399999E-6</v>
      </c>
      <c r="I4894" s="191">
        <v>0.02</v>
      </c>
      <c r="J4894" s="191"/>
      <c r="K4894" s="191">
        <v>16218.100973589309</v>
      </c>
      <c r="L4894" s="191"/>
      <c r="M4894" s="191"/>
      <c r="N4894" s="191"/>
      <c r="O4894" s="191"/>
      <c r="P4894" s="191"/>
      <c r="Q4894" s="191">
        <v>1.1527971E-4</v>
      </c>
      <c r="R4894" s="191">
        <v>1.3370894686727339E-7</v>
      </c>
      <c r="S4894" s="191">
        <v>1.4856549651919266E-8</v>
      </c>
      <c r="T4894" s="191">
        <v>6.6854473433636697E-8</v>
      </c>
      <c r="U4894" s="439"/>
      <c r="V4894" s="439"/>
      <c r="W4894" s="178">
        <v>30000</v>
      </c>
      <c r="X4894" s="172">
        <f t="shared" si="16"/>
        <v>0.33333333333333331</v>
      </c>
      <c r="Y4894" s="172">
        <f t="shared" si="16"/>
        <v>0.33333333333333331</v>
      </c>
      <c r="Z4894" s="172">
        <f t="shared" si="16"/>
        <v>0.33333333333333331</v>
      </c>
      <c r="AA4894" s="195"/>
      <c r="AB4894" s="159"/>
    </row>
    <row r="4895" spans="1:28" ht="12.75" customHeight="1" x14ac:dyDescent="0.3">
      <c r="A4895" s="161">
        <v>895</v>
      </c>
      <c r="B4895" s="159" t="s">
        <v>3641</v>
      </c>
      <c r="C4895" s="160" t="s">
        <v>3642</v>
      </c>
      <c r="D4895" s="160" t="s">
        <v>619</v>
      </c>
      <c r="E4895" s="545">
        <v>5.89</v>
      </c>
      <c r="F4895" s="161">
        <v>107.16</v>
      </c>
      <c r="G4895" s="191"/>
      <c r="H4895" s="191">
        <v>651.9999998369999</v>
      </c>
      <c r="I4895" s="191">
        <v>340000</v>
      </c>
      <c r="J4895" s="191"/>
      <c r="K4895" s="191">
        <v>48.977881936844632</v>
      </c>
      <c r="L4895" s="191"/>
      <c r="M4895" s="191"/>
      <c r="N4895" s="191"/>
      <c r="O4895" s="191"/>
      <c r="P4895" s="191"/>
      <c r="Q4895" s="191">
        <v>1.5155025000000001E-6</v>
      </c>
      <c r="R4895" s="191">
        <v>2.1393431498763744E-7</v>
      </c>
      <c r="S4895" s="191">
        <v>2.3770479443070826E-8</v>
      </c>
      <c r="T4895" s="191">
        <v>1.0696715749381872E-7</v>
      </c>
      <c r="U4895" s="439"/>
      <c r="V4895" s="439"/>
      <c r="W4895" s="178">
        <v>30000</v>
      </c>
      <c r="X4895" s="172">
        <f t="shared" si="16"/>
        <v>0.33333333333333331</v>
      </c>
      <c r="Y4895" s="172">
        <f t="shared" si="16"/>
        <v>0.33333333333333331</v>
      </c>
      <c r="Z4895" s="172">
        <f t="shared" si="16"/>
        <v>0.33333333333333331</v>
      </c>
      <c r="AA4895" s="195"/>
      <c r="AB4895" s="159"/>
    </row>
    <row r="4896" spans="1:28" ht="12.75" customHeight="1" x14ac:dyDescent="0.3">
      <c r="A4896" s="161">
        <v>896</v>
      </c>
      <c r="B4896" s="159" t="s">
        <v>3643</v>
      </c>
      <c r="C4896" s="160" t="s">
        <v>3644</v>
      </c>
      <c r="D4896" s="160" t="s">
        <v>619</v>
      </c>
      <c r="E4896" s="545">
        <v>6.03</v>
      </c>
      <c r="F4896" s="161">
        <v>94.12</v>
      </c>
      <c r="G4896" s="191"/>
      <c r="H4896" s="191">
        <v>1.3599999996600001</v>
      </c>
      <c r="I4896" s="191">
        <v>1000000</v>
      </c>
      <c r="J4896" s="191"/>
      <c r="K4896" s="191">
        <v>1.288249551693134</v>
      </c>
      <c r="L4896" s="191"/>
      <c r="M4896" s="191"/>
      <c r="N4896" s="191"/>
      <c r="O4896" s="191"/>
      <c r="P4896" s="191"/>
      <c r="Q4896" s="191">
        <v>1.5320085000000002E-5</v>
      </c>
      <c r="R4896" s="191">
        <v>2.1393431498763744E-7</v>
      </c>
      <c r="S4896" s="191">
        <v>2.3770479443070826E-8</v>
      </c>
      <c r="T4896" s="191">
        <v>1.0696715749381872E-7</v>
      </c>
      <c r="U4896" s="439"/>
      <c r="V4896" s="439"/>
      <c r="W4896" s="178">
        <v>30000</v>
      </c>
      <c r="X4896" s="172">
        <f t="shared" si="16"/>
        <v>0.33333333333333331</v>
      </c>
      <c r="Y4896" s="172">
        <f t="shared" si="16"/>
        <v>0.33333333333333331</v>
      </c>
      <c r="Z4896" s="172">
        <f t="shared" si="16"/>
        <v>0.33333333333333331</v>
      </c>
      <c r="AA4896" s="195"/>
      <c r="AB4896" s="159"/>
    </row>
    <row r="4897" spans="1:28" ht="12.75" customHeight="1" x14ac:dyDescent="0.3">
      <c r="A4897" s="161">
        <v>897</v>
      </c>
      <c r="B4897" s="159" t="s">
        <v>3645</v>
      </c>
      <c r="C4897" s="160" t="s">
        <v>3646</v>
      </c>
      <c r="D4897" s="160" t="s">
        <v>619</v>
      </c>
      <c r="E4897" s="545">
        <v>6.11</v>
      </c>
      <c r="F4897" s="161">
        <v>128.15</v>
      </c>
      <c r="G4897" s="191"/>
      <c r="H4897" s="191">
        <v>0.51066666653899995</v>
      </c>
      <c r="I4897" s="191">
        <v>709</v>
      </c>
      <c r="J4897" s="191"/>
      <c r="K4897" s="191">
        <v>7.9432823472428176</v>
      </c>
      <c r="L4897" s="191"/>
      <c r="M4897" s="191"/>
      <c r="N4897" s="191"/>
      <c r="O4897" s="191"/>
      <c r="P4897" s="191"/>
      <c r="Q4897" s="191">
        <v>1.7220487500000001E-5</v>
      </c>
      <c r="R4897" s="191">
        <v>5.3483578746909358E-7</v>
      </c>
      <c r="S4897" s="191">
        <v>5.9426198607677063E-8</v>
      </c>
      <c r="T4897" s="191">
        <v>2.6741789373454679E-7</v>
      </c>
      <c r="U4897" s="439"/>
      <c r="V4897" s="439"/>
      <c r="W4897" s="178">
        <v>30000</v>
      </c>
      <c r="X4897" s="172">
        <f t="shared" si="16"/>
        <v>0.33333333333333331</v>
      </c>
      <c r="Y4897" s="172">
        <f t="shared" si="16"/>
        <v>0.33333333333333331</v>
      </c>
      <c r="Z4897" s="172">
        <f t="shared" si="16"/>
        <v>0.33333333333333331</v>
      </c>
      <c r="AA4897" s="195"/>
      <c r="AB4897" s="159"/>
    </row>
    <row r="4898" spans="1:28" ht="12.75" customHeight="1" x14ac:dyDescent="0.3">
      <c r="A4898" s="161">
        <v>898</v>
      </c>
      <c r="B4898" s="159" t="s">
        <v>3647</v>
      </c>
      <c r="C4898" s="160" t="s">
        <v>3648</v>
      </c>
      <c r="D4898" s="160" t="s">
        <v>619</v>
      </c>
      <c r="E4898" s="545">
        <v>6.18</v>
      </c>
      <c r="F4898" s="161">
        <v>143.19</v>
      </c>
      <c r="G4898" s="191"/>
      <c r="H4898" s="191">
        <v>98.533333308699994</v>
      </c>
      <c r="I4898" s="191">
        <v>374600</v>
      </c>
      <c r="J4898" s="191"/>
      <c r="K4898" s="191">
        <v>2.5118864315095806</v>
      </c>
      <c r="L4898" s="191"/>
      <c r="M4898" s="191"/>
      <c r="N4898" s="191"/>
      <c r="O4898" s="191"/>
      <c r="P4898" s="191"/>
      <c r="Q4898" s="191">
        <v>6.3080947500000008E-5</v>
      </c>
      <c r="R4898" s="191">
        <v>2.1393431498763744E-7</v>
      </c>
      <c r="S4898" s="191">
        <v>2.3770479443070826E-8</v>
      </c>
      <c r="T4898" s="191">
        <v>1.0696715749381872E-7</v>
      </c>
      <c r="U4898" s="439"/>
      <c r="V4898" s="439"/>
      <c r="W4898" s="178">
        <v>30000</v>
      </c>
      <c r="X4898" s="172">
        <f t="shared" ref="X4898:Z4929" si="17">1/3</f>
        <v>0.33333333333333331</v>
      </c>
      <c r="Y4898" s="172">
        <f t="shared" si="17"/>
        <v>0.33333333333333331</v>
      </c>
      <c r="Z4898" s="172">
        <f t="shared" si="17"/>
        <v>0.33333333333333331</v>
      </c>
      <c r="AA4898" s="195"/>
      <c r="AB4898" s="159"/>
    </row>
    <row r="4899" spans="1:28" ht="12.75" customHeight="1" x14ac:dyDescent="0.3">
      <c r="A4899" s="161">
        <v>899</v>
      </c>
      <c r="B4899" s="159" t="s">
        <v>3649</v>
      </c>
      <c r="C4899" s="160" t="s">
        <v>3650</v>
      </c>
      <c r="D4899" s="160" t="s">
        <v>619</v>
      </c>
      <c r="E4899" s="545">
        <v>6.18</v>
      </c>
      <c r="F4899" s="161">
        <v>157.22</v>
      </c>
      <c r="G4899" s="191"/>
      <c r="H4899" s="191">
        <v>0.57866666652199994</v>
      </c>
      <c r="I4899" s="191">
        <v>1800</v>
      </c>
      <c r="J4899" s="191"/>
      <c r="K4899" s="191">
        <v>1737.8008287493772</v>
      </c>
      <c r="L4899" s="191"/>
      <c r="M4899" s="191"/>
      <c r="N4899" s="191"/>
      <c r="O4899" s="191"/>
      <c r="P4899" s="191"/>
      <c r="Q4899" s="191">
        <v>2.804592E-5</v>
      </c>
      <c r="R4899" s="191">
        <v>2.1393431498763744E-7</v>
      </c>
      <c r="S4899" s="191">
        <v>2.3770479443070826E-8</v>
      </c>
      <c r="T4899" s="191">
        <v>1.0696715749381872E-7</v>
      </c>
      <c r="U4899" s="439"/>
      <c r="V4899" s="439"/>
      <c r="W4899" s="178">
        <v>30000</v>
      </c>
      <c r="X4899" s="172">
        <f t="shared" si="17"/>
        <v>0.33333333333333331</v>
      </c>
      <c r="Y4899" s="172">
        <f t="shared" si="17"/>
        <v>0.33333333333333331</v>
      </c>
      <c r="Z4899" s="172">
        <f t="shared" si="17"/>
        <v>0.33333333333333331</v>
      </c>
      <c r="AA4899" s="195"/>
      <c r="AB4899" s="159"/>
    </row>
    <row r="4900" spans="1:28" ht="12.75" customHeight="1" x14ac:dyDescent="0.3">
      <c r="A4900" s="161">
        <v>900</v>
      </c>
      <c r="B4900" s="159" t="s">
        <v>3651</v>
      </c>
      <c r="C4900" s="160" t="s">
        <v>3652</v>
      </c>
      <c r="D4900" s="160" t="s">
        <v>619</v>
      </c>
      <c r="E4900" s="545">
        <v>6.3</v>
      </c>
      <c r="F4900" s="161">
        <v>331.35</v>
      </c>
      <c r="G4900" s="191"/>
      <c r="H4900" s="191">
        <v>2.3333333327500002E-12</v>
      </c>
      <c r="I4900" s="191">
        <v>23</v>
      </c>
      <c r="J4900" s="191"/>
      <c r="K4900" s="191">
        <v>1148.1536214968839</v>
      </c>
      <c r="L4900" s="191"/>
      <c r="M4900" s="191"/>
      <c r="N4900" s="191"/>
      <c r="O4900" s="191"/>
      <c r="P4900" s="191"/>
      <c r="Q4900" s="191">
        <v>2.4743557500000002E-5</v>
      </c>
      <c r="R4900" s="191">
        <v>2.1393431498763744E-7</v>
      </c>
      <c r="S4900" s="191">
        <v>2.3770479443070826E-8</v>
      </c>
      <c r="T4900" s="191">
        <v>1.0696715749381872E-7</v>
      </c>
      <c r="U4900" s="439"/>
      <c r="V4900" s="439"/>
      <c r="W4900" s="178">
        <v>30000</v>
      </c>
      <c r="X4900" s="172">
        <f t="shared" si="17"/>
        <v>0.33333333333333331</v>
      </c>
      <c r="Y4900" s="172">
        <f t="shared" si="17"/>
        <v>0.33333333333333331</v>
      </c>
      <c r="Z4900" s="172">
        <f t="shared" si="17"/>
        <v>0.33333333333333331</v>
      </c>
      <c r="AA4900" s="195"/>
      <c r="AB4900" s="159"/>
    </row>
    <row r="4901" spans="1:28" ht="12.75" customHeight="1" x14ac:dyDescent="0.3">
      <c r="A4901" s="161">
        <v>901</v>
      </c>
      <c r="B4901" s="159" t="s">
        <v>3653</v>
      </c>
      <c r="C4901" s="160" t="s">
        <v>3654</v>
      </c>
      <c r="D4901" s="160" t="s">
        <v>619</v>
      </c>
      <c r="E4901" s="545">
        <v>6.36</v>
      </c>
      <c r="F4901" s="161">
        <v>250.28</v>
      </c>
      <c r="G4901" s="191"/>
      <c r="H4901" s="191">
        <v>7.0133333315799988E-7</v>
      </c>
      <c r="I4901" s="191">
        <v>77</v>
      </c>
      <c r="J4901" s="191"/>
      <c r="K4901" s="191">
        <v>0.81283051616409918</v>
      </c>
      <c r="L4901" s="191"/>
      <c r="M4901" s="191"/>
      <c r="N4901" s="191"/>
      <c r="O4901" s="191"/>
      <c r="P4901" s="191"/>
      <c r="Q4901" s="191">
        <v>2.1034702500000001E-5</v>
      </c>
      <c r="R4901" s="191">
        <v>2.1393431498763744E-7</v>
      </c>
      <c r="S4901" s="191">
        <v>2.3770479443070826E-8</v>
      </c>
      <c r="T4901" s="191">
        <v>1.0696715749381872E-7</v>
      </c>
      <c r="U4901" s="439"/>
      <c r="V4901" s="439"/>
      <c r="W4901" s="178">
        <v>30000</v>
      </c>
      <c r="X4901" s="172">
        <f t="shared" si="17"/>
        <v>0.33333333333333331</v>
      </c>
      <c r="Y4901" s="172">
        <f t="shared" si="17"/>
        <v>0.33333333333333331</v>
      </c>
      <c r="Z4901" s="172">
        <f t="shared" si="17"/>
        <v>0.33333333333333331</v>
      </c>
      <c r="AA4901" s="195"/>
      <c r="AB4901" s="159"/>
    </row>
    <row r="4902" spans="1:28" ht="12.75" customHeight="1" x14ac:dyDescent="0.3">
      <c r="A4902" s="161">
        <v>902</v>
      </c>
      <c r="B4902" s="159" t="s">
        <v>3657</v>
      </c>
      <c r="C4902" s="160" t="s">
        <v>3658</v>
      </c>
      <c r="D4902" s="160" t="s">
        <v>619</v>
      </c>
      <c r="E4902" s="545">
        <v>6.53</v>
      </c>
      <c r="F4902" s="161">
        <v>147.09</v>
      </c>
      <c r="G4902" s="191"/>
      <c r="H4902" s="191">
        <v>1.5999999995999999E-2</v>
      </c>
      <c r="I4902" s="191">
        <v>477700</v>
      </c>
      <c r="J4902" s="191"/>
      <c r="K4902" s="191">
        <v>0.12022644346174129</v>
      </c>
      <c r="L4902" s="191"/>
      <c r="M4902" s="191"/>
      <c r="N4902" s="191"/>
      <c r="O4902" s="191"/>
      <c r="P4902" s="191"/>
      <c r="Q4902" s="191">
        <v>9.4860000000000001E-7</v>
      </c>
      <c r="R4902" s="191">
        <v>2.1393431498763744E-7</v>
      </c>
      <c r="S4902" s="191">
        <v>2.3770479443070826E-8</v>
      </c>
      <c r="T4902" s="191">
        <v>1.0696715749381872E-7</v>
      </c>
      <c r="U4902" s="439"/>
      <c r="V4902" s="439"/>
      <c r="W4902" s="178">
        <v>30000</v>
      </c>
      <c r="X4902" s="172">
        <f t="shared" si="17"/>
        <v>0.33333333333333331</v>
      </c>
      <c r="Y4902" s="172">
        <f t="shared" si="17"/>
        <v>0.33333333333333331</v>
      </c>
      <c r="Z4902" s="172">
        <f t="shared" si="17"/>
        <v>0.33333333333333331</v>
      </c>
      <c r="AA4902" s="195"/>
      <c r="AB4902" s="159"/>
    </row>
    <row r="4903" spans="1:28" ht="12.75" customHeight="1" x14ac:dyDescent="0.3">
      <c r="A4903" s="161">
        <v>903</v>
      </c>
      <c r="B4903" s="159" t="s">
        <v>3655</v>
      </c>
      <c r="C4903" s="160" t="s">
        <v>3656</v>
      </c>
      <c r="D4903" s="160" t="s">
        <v>619</v>
      </c>
      <c r="E4903" s="545">
        <v>6.53</v>
      </c>
      <c r="F4903" s="161">
        <v>161.12</v>
      </c>
      <c r="G4903" s="191"/>
      <c r="H4903" s="191">
        <v>8.4133333312300003E-3</v>
      </c>
      <c r="I4903" s="191">
        <v>157500</v>
      </c>
      <c r="J4903" s="191"/>
      <c r="K4903" s="191">
        <v>0.37153522909717251</v>
      </c>
      <c r="L4903" s="191"/>
      <c r="M4903" s="191"/>
      <c r="N4903" s="191"/>
      <c r="O4903" s="191"/>
      <c r="P4903" s="191"/>
      <c r="Q4903" s="191">
        <v>6.64011E-6</v>
      </c>
      <c r="R4903" s="191">
        <v>2.1393431498763744E-7</v>
      </c>
      <c r="S4903" s="191">
        <v>2.3770479443070826E-8</v>
      </c>
      <c r="T4903" s="191">
        <v>1.0696715749381872E-7</v>
      </c>
      <c r="U4903" s="439"/>
      <c r="V4903" s="439"/>
      <c r="W4903" s="178">
        <v>30000</v>
      </c>
      <c r="X4903" s="172">
        <f t="shared" si="17"/>
        <v>0.33333333333333331</v>
      </c>
      <c r="Y4903" s="172">
        <f t="shared" si="17"/>
        <v>0.33333333333333331</v>
      </c>
      <c r="Z4903" s="172">
        <f t="shared" si="17"/>
        <v>0.33333333333333331</v>
      </c>
      <c r="AA4903" s="195"/>
      <c r="AB4903" s="159"/>
    </row>
    <row r="4904" spans="1:28" ht="12.75" customHeight="1" x14ac:dyDescent="0.3">
      <c r="A4904" s="161">
        <v>904</v>
      </c>
      <c r="B4904" s="159" t="s">
        <v>3659</v>
      </c>
      <c r="C4904" s="160" t="s">
        <v>3660</v>
      </c>
      <c r="D4904" s="160" t="s">
        <v>619</v>
      </c>
      <c r="E4904" s="545">
        <v>6.53</v>
      </c>
      <c r="F4904" s="161">
        <v>175.15</v>
      </c>
      <c r="G4904" s="191"/>
      <c r="H4904" s="191">
        <v>3.7333333323999996E-3</v>
      </c>
      <c r="I4904" s="191">
        <v>51510</v>
      </c>
      <c r="J4904" s="191"/>
      <c r="K4904" s="191">
        <v>1.1481536214968828</v>
      </c>
      <c r="L4904" s="191"/>
      <c r="M4904" s="191"/>
      <c r="N4904" s="191"/>
      <c r="O4904" s="191"/>
      <c r="P4904" s="191"/>
      <c r="Q4904" s="191">
        <v>9.0000975000000003E-6</v>
      </c>
      <c r="R4904" s="191">
        <v>2.1393431498763744E-7</v>
      </c>
      <c r="S4904" s="191">
        <v>2.3770479443070826E-8</v>
      </c>
      <c r="T4904" s="191">
        <v>1.0696715749381872E-7</v>
      </c>
      <c r="U4904" s="439"/>
      <c r="V4904" s="439"/>
      <c r="W4904" s="178">
        <v>30000</v>
      </c>
      <c r="X4904" s="172">
        <f t="shared" si="17"/>
        <v>0.33333333333333331</v>
      </c>
      <c r="Y4904" s="172">
        <f t="shared" si="17"/>
        <v>0.33333333333333331</v>
      </c>
      <c r="Z4904" s="172">
        <f t="shared" si="17"/>
        <v>0.33333333333333331</v>
      </c>
      <c r="AA4904" s="195"/>
      <c r="AB4904" s="159"/>
    </row>
    <row r="4905" spans="1:28" ht="12.75" customHeight="1" x14ac:dyDescent="0.3">
      <c r="A4905" s="161">
        <v>905</v>
      </c>
      <c r="B4905" s="159" t="s">
        <v>3661</v>
      </c>
      <c r="C4905" s="160" t="s">
        <v>3662</v>
      </c>
      <c r="D4905" s="160" t="s">
        <v>619</v>
      </c>
      <c r="E4905" s="545">
        <v>6.56</v>
      </c>
      <c r="F4905" s="161">
        <v>387.19</v>
      </c>
      <c r="G4905" s="191"/>
      <c r="H4905" s="191">
        <v>1.2999999996750001E-7</v>
      </c>
      <c r="I4905" s="191">
        <v>780</v>
      </c>
      <c r="J4905" s="191"/>
      <c r="K4905" s="191">
        <v>446.68359215096331</v>
      </c>
      <c r="L4905" s="191"/>
      <c r="M4905" s="191"/>
      <c r="N4905" s="191"/>
      <c r="O4905" s="191"/>
      <c r="P4905" s="191"/>
      <c r="Q4905" s="191">
        <v>1.8341429999999999E-5</v>
      </c>
      <c r="R4905" s="191">
        <v>1.3370894686727339E-7</v>
      </c>
      <c r="S4905" s="191">
        <v>1.4856549651919266E-8</v>
      </c>
      <c r="T4905" s="191">
        <v>1.4829088377146772E-8</v>
      </c>
      <c r="U4905" s="439"/>
      <c r="V4905" s="439"/>
      <c r="W4905" s="178">
        <v>30000</v>
      </c>
      <c r="X4905" s="172">
        <f t="shared" si="17"/>
        <v>0.33333333333333331</v>
      </c>
      <c r="Y4905" s="172">
        <f t="shared" si="17"/>
        <v>0.33333333333333331</v>
      </c>
      <c r="Z4905" s="172">
        <f t="shared" si="17"/>
        <v>0.33333333333333331</v>
      </c>
      <c r="AA4905" s="195"/>
      <c r="AB4905" s="159"/>
    </row>
    <row r="4906" spans="1:28" ht="12.75" customHeight="1" x14ac:dyDescent="0.3">
      <c r="A4906" s="161">
        <v>906</v>
      </c>
      <c r="B4906" s="159" t="s">
        <v>3663</v>
      </c>
      <c r="C4906" s="160" t="s">
        <v>3664</v>
      </c>
      <c r="D4906" s="160" t="s">
        <v>619</v>
      </c>
      <c r="E4906" s="545">
        <v>6.6</v>
      </c>
      <c r="F4906" s="161">
        <v>608.69000000000005</v>
      </c>
      <c r="G4906" s="191"/>
      <c r="H4906" s="191">
        <v>1.57333333294E-13</v>
      </c>
      <c r="I4906" s="191">
        <v>73</v>
      </c>
      <c r="J4906" s="191"/>
      <c r="K4906" s="191">
        <v>2089.2961308540398</v>
      </c>
      <c r="L4906" s="191"/>
      <c r="M4906" s="191"/>
      <c r="N4906" s="191"/>
      <c r="O4906" s="191"/>
      <c r="P4906" s="191"/>
      <c r="Q4906" s="191">
        <v>2.8132416000000002E-4</v>
      </c>
      <c r="R4906" s="191">
        <v>4.45696489557578E-8</v>
      </c>
      <c r="S4906" s="191">
        <v>4.9521832173064224E-9</v>
      </c>
      <c r="T4906" s="191">
        <v>2.22848244778789E-8</v>
      </c>
      <c r="U4906" s="439"/>
      <c r="V4906" s="439"/>
      <c r="W4906" s="178">
        <v>30000</v>
      </c>
      <c r="X4906" s="172">
        <f t="shared" si="17"/>
        <v>0.33333333333333331</v>
      </c>
      <c r="Y4906" s="172">
        <f t="shared" si="17"/>
        <v>0.33333333333333331</v>
      </c>
      <c r="Z4906" s="172">
        <f t="shared" si="17"/>
        <v>0.33333333333333331</v>
      </c>
      <c r="AA4906" s="195"/>
      <c r="AB4906" s="159"/>
    </row>
    <row r="4907" spans="1:28" ht="12.75" customHeight="1" x14ac:dyDescent="0.3">
      <c r="A4907" s="161">
        <v>907</v>
      </c>
      <c r="B4907" s="159" t="s">
        <v>3665</v>
      </c>
      <c r="C4907" s="160" t="s">
        <v>3666</v>
      </c>
      <c r="D4907" s="160" t="s">
        <v>619</v>
      </c>
      <c r="E4907" s="545">
        <v>6.62</v>
      </c>
      <c r="F4907" s="161">
        <v>305.44</v>
      </c>
      <c r="G4907" s="191"/>
      <c r="H4907" s="191">
        <v>1.25333333302E-3</v>
      </c>
      <c r="I4907" s="191">
        <v>0.9</v>
      </c>
      <c r="J4907" s="191"/>
      <c r="K4907" s="191">
        <v>19952.623149688792</v>
      </c>
      <c r="L4907" s="191"/>
      <c r="M4907" s="191"/>
      <c r="N4907" s="191"/>
      <c r="O4907" s="191"/>
      <c r="P4907" s="191"/>
      <c r="Q4907" s="191">
        <v>4.0332179999999998E-5</v>
      </c>
      <c r="R4907" s="191">
        <v>2.1393431498763744E-7</v>
      </c>
      <c r="S4907" s="191">
        <v>2.3770479443070826E-8</v>
      </c>
      <c r="T4907" s="191">
        <v>1.7593282482535974E-7</v>
      </c>
      <c r="U4907" s="439"/>
      <c r="V4907" s="439"/>
      <c r="W4907" s="178">
        <v>30000</v>
      </c>
      <c r="X4907" s="172">
        <f t="shared" si="17"/>
        <v>0.33333333333333331</v>
      </c>
      <c r="Y4907" s="172">
        <f t="shared" si="17"/>
        <v>0.33333333333333331</v>
      </c>
      <c r="Z4907" s="172">
        <f t="shared" si="17"/>
        <v>0.33333333333333331</v>
      </c>
      <c r="AA4907" s="195"/>
      <c r="AB4907" s="159"/>
    </row>
    <row r="4908" spans="1:28" ht="12.75" customHeight="1" x14ac:dyDescent="0.3">
      <c r="A4908" s="161">
        <v>908</v>
      </c>
      <c r="B4908" s="159" t="s">
        <v>3667</v>
      </c>
      <c r="C4908" s="160" t="s">
        <v>3668</v>
      </c>
      <c r="D4908" s="160" t="s">
        <v>619</v>
      </c>
      <c r="E4908" s="545">
        <v>6.68</v>
      </c>
      <c r="F4908" s="161">
        <v>458.58</v>
      </c>
      <c r="G4908" s="191"/>
      <c r="H4908" s="191">
        <v>1.9599999995099999E-10</v>
      </c>
      <c r="I4908" s="191">
        <v>4.3159999999999997E-2</v>
      </c>
      <c r="J4908" s="191"/>
      <c r="K4908" s="191">
        <v>2691534.8039269177</v>
      </c>
      <c r="L4908" s="191"/>
      <c r="M4908" s="191"/>
      <c r="N4908" s="191"/>
      <c r="O4908" s="191"/>
      <c r="P4908" s="191"/>
      <c r="Q4908" s="191">
        <v>2.7019551000000001E-4</v>
      </c>
      <c r="R4908" s="191">
        <v>4.45696489557578E-8</v>
      </c>
      <c r="S4908" s="191">
        <v>4.9521832173064224E-9</v>
      </c>
      <c r="T4908" s="191">
        <v>2.22848244778789E-8</v>
      </c>
      <c r="U4908" s="439"/>
      <c r="V4908" s="439"/>
      <c r="W4908" s="178">
        <v>30000</v>
      </c>
      <c r="X4908" s="172">
        <f t="shared" si="17"/>
        <v>0.33333333333333331</v>
      </c>
      <c r="Y4908" s="172">
        <f t="shared" si="17"/>
        <v>0.33333333333333331</v>
      </c>
      <c r="Z4908" s="172">
        <f t="shared" si="17"/>
        <v>0.33333333333333331</v>
      </c>
      <c r="AA4908" s="195"/>
      <c r="AB4908" s="159"/>
    </row>
    <row r="4909" spans="1:28" ht="12.75" customHeight="1" x14ac:dyDescent="0.3">
      <c r="A4909" s="161">
        <v>909</v>
      </c>
      <c r="B4909" s="159" t="s">
        <v>3669</v>
      </c>
      <c r="C4909" s="160" t="s">
        <v>3670</v>
      </c>
      <c r="D4909" s="160" t="s">
        <v>619</v>
      </c>
      <c r="E4909" s="545">
        <v>6.7</v>
      </c>
      <c r="F4909" s="161">
        <v>158.19999999999999</v>
      </c>
      <c r="G4909" s="191"/>
      <c r="H4909" s="191">
        <v>6.0266666651599993E-2</v>
      </c>
      <c r="I4909" s="191">
        <v>3000</v>
      </c>
      <c r="J4909" s="191"/>
      <c r="K4909" s="191">
        <v>39.810717055349755</v>
      </c>
      <c r="L4909" s="191"/>
      <c r="M4909" s="191"/>
      <c r="N4909" s="191"/>
      <c r="O4909" s="191"/>
      <c r="P4909" s="191"/>
      <c r="Q4909" s="191">
        <v>3.1334302499999999E-5</v>
      </c>
      <c r="R4909" s="191">
        <v>5.3483578746909358E-7</v>
      </c>
      <c r="S4909" s="191">
        <v>5.9426198607677063E-8</v>
      </c>
      <c r="T4909" s="191">
        <v>2.6741789373454679E-7</v>
      </c>
      <c r="U4909" s="439"/>
      <c r="V4909" s="439"/>
      <c r="W4909" s="178">
        <v>30000</v>
      </c>
      <c r="X4909" s="172">
        <f t="shared" si="17"/>
        <v>0.33333333333333331</v>
      </c>
      <c r="Y4909" s="172">
        <f t="shared" si="17"/>
        <v>0.33333333333333331</v>
      </c>
      <c r="Z4909" s="172">
        <f t="shared" si="17"/>
        <v>0.33333333333333331</v>
      </c>
      <c r="AA4909" s="195"/>
      <c r="AB4909" s="159"/>
    </row>
    <row r="4910" spans="1:28" ht="12.75" customHeight="1" x14ac:dyDescent="0.3">
      <c r="A4910" s="161">
        <v>910</v>
      </c>
      <c r="B4910" s="159" t="s">
        <v>3671</v>
      </c>
      <c r="C4910" s="160" t="s">
        <v>3672</v>
      </c>
      <c r="D4910" s="160" t="s">
        <v>619</v>
      </c>
      <c r="E4910" s="545">
        <v>6.75</v>
      </c>
      <c r="F4910" s="161">
        <v>122.17</v>
      </c>
      <c r="G4910" s="191"/>
      <c r="H4910" s="191">
        <v>1.2386666663569998</v>
      </c>
      <c r="I4910" s="191">
        <v>3841</v>
      </c>
      <c r="J4910" s="191"/>
      <c r="K4910" s="191">
        <v>44.668359215096324</v>
      </c>
      <c r="L4910" s="191"/>
      <c r="M4910" s="191"/>
      <c r="N4910" s="191"/>
      <c r="O4910" s="191"/>
      <c r="P4910" s="191"/>
      <c r="Q4910" s="191">
        <v>5.4530587499999998E-5</v>
      </c>
      <c r="R4910" s="191">
        <v>2.1393431498763744E-7</v>
      </c>
      <c r="S4910" s="191">
        <v>2.3770479443070826E-8</v>
      </c>
      <c r="T4910" s="191">
        <v>1.0696715749381872E-7</v>
      </c>
      <c r="U4910" s="439"/>
      <c r="V4910" s="439"/>
      <c r="W4910" s="178">
        <v>30000</v>
      </c>
      <c r="X4910" s="172">
        <f t="shared" si="17"/>
        <v>0.33333333333333331</v>
      </c>
      <c r="Y4910" s="172">
        <f t="shared" si="17"/>
        <v>0.33333333333333331</v>
      </c>
      <c r="Z4910" s="172">
        <f t="shared" si="17"/>
        <v>0.33333333333333331</v>
      </c>
      <c r="AA4910" s="195"/>
      <c r="AB4910" s="159"/>
    </row>
    <row r="4911" spans="1:28" ht="12.75" customHeight="1" x14ac:dyDescent="0.3">
      <c r="A4911" s="161">
        <v>911</v>
      </c>
      <c r="B4911" s="159" t="s">
        <v>3673</v>
      </c>
      <c r="C4911" s="160" t="s">
        <v>3674</v>
      </c>
      <c r="D4911" s="160" t="s">
        <v>619</v>
      </c>
      <c r="E4911" s="545">
        <v>6.79</v>
      </c>
      <c r="F4911" s="161">
        <v>255.28</v>
      </c>
      <c r="G4911" s="191"/>
      <c r="H4911" s="191">
        <v>5.7733333318899997E-6</v>
      </c>
      <c r="I4911" s="191">
        <v>18.32</v>
      </c>
      <c r="J4911" s="191"/>
      <c r="K4911" s="191">
        <v>204.17379446695315</v>
      </c>
      <c r="L4911" s="191"/>
      <c r="M4911" s="191"/>
      <c r="N4911" s="191"/>
      <c r="O4911" s="191"/>
      <c r="P4911" s="191"/>
      <c r="Q4911" s="191">
        <v>1.5013362000000001E-4</v>
      </c>
      <c r="R4911" s="191">
        <v>2.1393431498763744E-7</v>
      </c>
      <c r="S4911" s="191">
        <v>2.3770479443070826E-8</v>
      </c>
      <c r="T4911" s="191">
        <v>1.0696715749381872E-7</v>
      </c>
      <c r="U4911" s="439"/>
      <c r="V4911" s="439"/>
      <c r="W4911" s="178">
        <v>30000</v>
      </c>
      <c r="X4911" s="172">
        <f t="shared" si="17"/>
        <v>0.33333333333333331</v>
      </c>
      <c r="Y4911" s="172">
        <f t="shared" si="17"/>
        <v>0.33333333333333331</v>
      </c>
      <c r="Z4911" s="172">
        <f t="shared" si="17"/>
        <v>0.33333333333333331</v>
      </c>
      <c r="AA4911" s="195"/>
      <c r="AB4911" s="159"/>
    </row>
    <row r="4912" spans="1:28" ht="12.75" customHeight="1" x14ac:dyDescent="0.3">
      <c r="A4912" s="161">
        <v>912</v>
      </c>
      <c r="B4912" s="159" t="s">
        <v>3675</v>
      </c>
      <c r="C4912" s="160" t="s">
        <v>3676</v>
      </c>
      <c r="D4912" s="160" t="s">
        <v>619</v>
      </c>
      <c r="E4912" s="545">
        <v>6.8</v>
      </c>
      <c r="F4912" s="161">
        <v>252.34</v>
      </c>
      <c r="G4912" s="191"/>
      <c r="H4912" s="191">
        <v>7.3199999981699995E-7</v>
      </c>
      <c r="I4912" s="191">
        <v>9380</v>
      </c>
      <c r="J4912" s="191"/>
      <c r="K4912" s="191">
        <v>2.5118864315095806</v>
      </c>
      <c r="L4912" s="191"/>
      <c r="M4912" s="191"/>
      <c r="N4912" s="191"/>
      <c r="O4912" s="191"/>
      <c r="P4912" s="191"/>
      <c r="Q4912" s="191">
        <v>1.5734712749999999E-4</v>
      </c>
      <c r="R4912" s="191">
        <v>2.1393431498763744E-7</v>
      </c>
      <c r="S4912" s="191">
        <v>2.3770479443070826E-8</v>
      </c>
      <c r="T4912" s="191">
        <v>1.0696715749381872E-7</v>
      </c>
      <c r="U4912" s="439"/>
      <c r="V4912" s="439"/>
      <c r="W4912" s="178">
        <v>30000</v>
      </c>
      <c r="X4912" s="172">
        <f t="shared" si="17"/>
        <v>0.33333333333333331</v>
      </c>
      <c r="Y4912" s="172">
        <f t="shared" si="17"/>
        <v>0.33333333333333331</v>
      </c>
      <c r="Z4912" s="172">
        <f t="shared" si="17"/>
        <v>0.33333333333333331</v>
      </c>
      <c r="AA4912" s="195"/>
      <c r="AB4912" s="159"/>
    </row>
    <row r="4913" spans="1:28" ht="12.75" customHeight="1" x14ac:dyDescent="0.3">
      <c r="A4913" s="161">
        <v>913</v>
      </c>
      <c r="B4913" s="159" t="s">
        <v>3677</v>
      </c>
      <c r="C4913" s="160" t="s">
        <v>3678</v>
      </c>
      <c r="D4913" s="160" t="s">
        <v>619</v>
      </c>
      <c r="E4913" s="545">
        <v>6.81</v>
      </c>
      <c r="F4913" s="161">
        <v>82.11</v>
      </c>
      <c r="G4913" s="191"/>
      <c r="H4913" s="191">
        <v>0.93733333309899991</v>
      </c>
      <c r="I4913" s="191">
        <v>82460</v>
      </c>
      <c r="J4913" s="191"/>
      <c r="K4913" s="191">
        <v>1.6982436524617444</v>
      </c>
      <c r="L4913" s="191"/>
      <c r="M4913" s="191"/>
      <c r="N4913" s="191"/>
      <c r="O4913" s="191"/>
      <c r="P4913" s="191"/>
      <c r="Q4913" s="191">
        <v>7.0588139999999992E-5</v>
      </c>
      <c r="R4913" s="191">
        <v>5.3483578746909358E-7</v>
      </c>
      <c r="S4913" s="191">
        <v>5.9426198607677063E-8</v>
      </c>
      <c r="T4913" s="191">
        <v>2.6741789373454679E-7</v>
      </c>
      <c r="U4913" s="439"/>
      <c r="V4913" s="439"/>
      <c r="W4913" s="178">
        <v>30000</v>
      </c>
      <c r="X4913" s="172">
        <f t="shared" si="17"/>
        <v>0.33333333333333331</v>
      </c>
      <c r="Y4913" s="172">
        <f t="shared" si="17"/>
        <v>0.33333333333333331</v>
      </c>
      <c r="Z4913" s="172">
        <f t="shared" si="17"/>
        <v>0.33333333333333331</v>
      </c>
      <c r="AA4913" s="195"/>
      <c r="AB4913" s="159"/>
    </row>
    <row r="4914" spans="1:28" ht="12.75" customHeight="1" x14ac:dyDescent="0.3">
      <c r="A4914" s="161">
        <v>914</v>
      </c>
      <c r="B4914" s="159" t="s">
        <v>3679</v>
      </c>
      <c r="C4914" s="160" t="s">
        <v>3680</v>
      </c>
      <c r="D4914" s="160" t="s">
        <v>619</v>
      </c>
      <c r="E4914" s="545">
        <v>6.86</v>
      </c>
      <c r="F4914" s="161">
        <v>94.12</v>
      </c>
      <c r="G4914" s="191"/>
      <c r="H4914" s="191">
        <v>12.999999996749999</v>
      </c>
      <c r="I4914" s="191">
        <v>890000</v>
      </c>
      <c r="J4914" s="191"/>
      <c r="K4914" s="191">
        <v>3.0199517204020165</v>
      </c>
      <c r="L4914" s="191"/>
      <c r="M4914" s="191"/>
      <c r="N4914" s="191"/>
      <c r="O4914" s="191"/>
      <c r="P4914" s="191"/>
      <c r="Q4914" s="191">
        <v>1.5320085000000002E-5</v>
      </c>
      <c r="R4914" s="191">
        <v>2.1393431498763744E-7</v>
      </c>
      <c r="S4914" s="191">
        <v>2.3770479443070826E-8</v>
      </c>
      <c r="T4914" s="191">
        <v>1.0696715749381872E-7</v>
      </c>
      <c r="U4914" s="439"/>
      <c r="V4914" s="439"/>
      <c r="W4914" s="178">
        <v>30000</v>
      </c>
      <c r="X4914" s="172">
        <f t="shared" si="17"/>
        <v>0.33333333333333331</v>
      </c>
      <c r="Y4914" s="172">
        <f t="shared" si="17"/>
        <v>0.33333333333333331</v>
      </c>
      <c r="Z4914" s="172">
        <f t="shared" si="17"/>
        <v>0.33333333333333331</v>
      </c>
      <c r="AA4914" s="195"/>
      <c r="AB4914" s="159"/>
    </row>
    <row r="4915" spans="1:28" ht="12.75" customHeight="1" x14ac:dyDescent="0.3">
      <c r="A4915" s="161">
        <v>915</v>
      </c>
      <c r="B4915" s="159" t="s">
        <v>3681</v>
      </c>
      <c r="C4915" s="160" t="s">
        <v>3682</v>
      </c>
      <c r="D4915" s="160" t="s">
        <v>619</v>
      </c>
      <c r="E4915" s="545">
        <v>6.94</v>
      </c>
      <c r="F4915" s="161">
        <v>142.18</v>
      </c>
      <c r="G4915" s="191"/>
      <c r="H4915" s="191">
        <v>1.8399999995399999E-4</v>
      </c>
      <c r="I4915" s="191">
        <v>533</v>
      </c>
      <c r="J4915" s="191"/>
      <c r="K4915" s="191">
        <v>28.183829312644548</v>
      </c>
      <c r="L4915" s="191"/>
      <c r="M4915" s="191"/>
      <c r="N4915" s="191"/>
      <c r="O4915" s="191"/>
      <c r="P4915" s="191"/>
      <c r="Q4915" s="191">
        <v>4.4888640000000005E-5</v>
      </c>
      <c r="R4915" s="191">
        <v>5.3483578746909358E-7</v>
      </c>
      <c r="S4915" s="191">
        <v>5.9426198607677063E-8</v>
      </c>
      <c r="T4915" s="191">
        <v>2.6741789373454679E-7</v>
      </c>
      <c r="U4915" s="439"/>
      <c r="V4915" s="439"/>
      <c r="W4915" s="178">
        <v>30000</v>
      </c>
      <c r="X4915" s="172">
        <f t="shared" si="17"/>
        <v>0.33333333333333331</v>
      </c>
      <c r="Y4915" s="172">
        <f t="shared" si="17"/>
        <v>0.33333333333333331</v>
      </c>
      <c r="Z4915" s="172">
        <f t="shared" si="17"/>
        <v>0.33333333333333331</v>
      </c>
      <c r="AA4915" s="195"/>
      <c r="AB4915" s="159"/>
    </row>
    <row r="4916" spans="1:28" ht="12.75" customHeight="1" x14ac:dyDescent="0.3">
      <c r="A4916" s="161">
        <v>916</v>
      </c>
      <c r="B4916" s="159" t="s">
        <v>3683</v>
      </c>
      <c r="C4916" s="160" t="s">
        <v>3684</v>
      </c>
      <c r="D4916" s="160" t="s">
        <v>619</v>
      </c>
      <c r="E4916" s="545">
        <v>6.95</v>
      </c>
      <c r="F4916" s="161">
        <v>68.08</v>
      </c>
      <c r="G4916" s="191"/>
      <c r="H4916" s="191">
        <v>0.57866666652199994</v>
      </c>
      <c r="I4916" s="191">
        <v>159100</v>
      </c>
      <c r="J4916" s="191"/>
      <c r="K4916" s="191">
        <v>0.83176377110267097</v>
      </c>
      <c r="L4916" s="191"/>
      <c r="M4916" s="191"/>
      <c r="N4916" s="191"/>
      <c r="O4916" s="191"/>
      <c r="P4916" s="191"/>
      <c r="Q4916" s="191">
        <v>2.6925000000000001E-5</v>
      </c>
      <c r="R4916" s="191">
        <v>5.3483578746909358E-7</v>
      </c>
      <c r="S4916" s="191">
        <v>5.9426198607677063E-8</v>
      </c>
      <c r="T4916" s="191">
        <v>2.6741789373454679E-7</v>
      </c>
      <c r="U4916" s="439"/>
      <c r="V4916" s="439"/>
      <c r="W4916" s="178">
        <v>30000</v>
      </c>
      <c r="X4916" s="172">
        <f t="shared" si="17"/>
        <v>0.33333333333333331</v>
      </c>
      <c r="Y4916" s="172">
        <f t="shared" si="17"/>
        <v>0.33333333333333331</v>
      </c>
      <c r="Z4916" s="172">
        <f t="shared" si="17"/>
        <v>0.33333333333333331</v>
      </c>
      <c r="AA4916" s="195"/>
      <c r="AB4916" s="159"/>
    </row>
    <row r="4917" spans="1:28" ht="12.75" customHeight="1" x14ac:dyDescent="0.3">
      <c r="A4917" s="161">
        <v>917</v>
      </c>
      <c r="B4917" s="159" t="s">
        <v>3685</v>
      </c>
      <c r="C4917" s="160" t="s">
        <v>3686</v>
      </c>
      <c r="D4917" s="160" t="s">
        <v>619</v>
      </c>
      <c r="E4917" s="545">
        <v>7.1</v>
      </c>
      <c r="F4917" s="161">
        <v>351.4</v>
      </c>
      <c r="G4917" s="191"/>
      <c r="H4917" s="191">
        <v>2.5199999993699999E-12</v>
      </c>
      <c r="I4917" s="191">
        <v>100200</v>
      </c>
      <c r="J4917" s="191"/>
      <c r="K4917" s="191">
        <v>0.56234132519034907</v>
      </c>
      <c r="L4917" s="191"/>
      <c r="M4917" s="191"/>
      <c r="N4917" s="191"/>
      <c r="O4917" s="191"/>
      <c r="P4917" s="191"/>
      <c r="Q4917" s="191">
        <v>1.3007079750000002E-4</v>
      </c>
      <c r="R4917" s="191">
        <v>2.1393431498763744E-7</v>
      </c>
      <c r="S4917" s="191">
        <v>2.3770479443070826E-8</v>
      </c>
      <c r="T4917" s="191">
        <v>1.0696715749381872E-7</v>
      </c>
      <c r="U4917" s="439"/>
      <c r="V4917" s="439"/>
      <c r="W4917" s="178">
        <v>30000</v>
      </c>
      <c r="X4917" s="172">
        <f t="shared" si="17"/>
        <v>0.33333333333333331</v>
      </c>
      <c r="Y4917" s="172">
        <f t="shared" si="17"/>
        <v>0.33333333333333331</v>
      </c>
      <c r="Z4917" s="172">
        <f t="shared" si="17"/>
        <v>0.33333333333333331</v>
      </c>
      <c r="AA4917" s="195"/>
      <c r="AB4917" s="159"/>
    </row>
    <row r="4918" spans="1:28" ht="12.75" customHeight="1" x14ac:dyDescent="0.3">
      <c r="A4918" s="161">
        <v>918</v>
      </c>
      <c r="B4918" s="159" t="s">
        <v>3687</v>
      </c>
      <c r="C4918" s="160" t="s">
        <v>3688</v>
      </c>
      <c r="D4918" s="160" t="s">
        <v>619</v>
      </c>
      <c r="E4918" s="545">
        <v>7.12</v>
      </c>
      <c r="F4918" s="161">
        <v>269.52</v>
      </c>
      <c r="G4918" s="191"/>
      <c r="H4918" s="191">
        <v>3.8133333323799999E-2</v>
      </c>
      <c r="I4918" s="191">
        <v>8.8830000000000006E-2</v>
      </c>
      <c r="J4918" s="191"/>
      <c r="K4918" s="191">
        <v>25703957.827688646</v>
      </c>
      <c r="L4918" s="191"/>
      <c r="M4918" s="191"/>
      <c r="N4918" s="191"/>
      <c r="O4918" s="191"/>
      <c r="P4918" s="191"/>
      <c r="Q4918" s="191">
        <v>7.4174512499999997E-5</v>
      </c>
      <c r="R4918" s="191">
        <v>2.1393431498763744E-7</v>
      </c>
      <c r="S4918" s="191">
        <v>2.3770479443070826E-8</v>
      </c>
      <c r="T4918" s="191">
        <v>1.0696715749381872E-7</v>
      </c>
      <c r="U4918" s="439"/>
      <c r="V4918" s="439"/>
      <c r="W4918" s="178">
        <v>30000</v>
      </c>
      <c r="X4918" s="172">
        <f t="shared" si="17"/>
        <v>0.33333333333333331</v>
      </c>
      <c r="Y4918" s="172">
        <f t="shared" si="17"/>
        <v>0.33333333333333331</v>
      </c>
      <c r="Z4918" s="172">
        <f t="shared" si="17"/>
        <v>0.33333333333333331</v>
      </c>
      <c r="AA4918" s="195"/>
      <c r="AB4918" s="159"/>
    </row>
    <row r="4919" spans="1:28" ht="12.75" customHeight="1" x14ac:dyDescent="0.3">
      <c r="A4919" s="161">
        <v>919</v>
      </c>
      <c r="B4919" s="159" t="s">
        <v>3691</v>
      </c>
      <c r="C4919" s="160" t="s">
        <v>3692</v>
      </c>
      <c r="D4919" s="160" t="s">
        <v>619</v>
      </c>
      <c r="E4919" s="545">
        <v>7.21</v>
      </c>
      <c r="F4919" s="161">
        <v>60.1</v>
      </c>
      <c r="G4919" s="191"/>
      <c r="H4919" s="191">
        <v>21733.3333279</v>
      </c>
      <c r="I4919" s="191">
        <v>1000000</v>
      </c>
      <c r="J4919" s="191"/>
      <c r="K4919" s="191">
        <v>6.4565422903465536E-2</v>
      </c>
      <c r="L4919" s="191"/>
      <c r="M4919" s="191"/>
      <c r="N4919" s="191"/>
      <c r="O4919" s="191"/>
      <c r="P4919" s="191"/>
      <c r="Q4919" s="191">
        <v>1.8972E-6</v>
      </c>
      <c r="R4919" s="191">
        <v>5.3483578746909358E-7</v>
      </c>
      <c r="S4919" s="191">
        <v>5.9426198607677063E-8</v>
      </c>
      <c r="T4919" s="191">
        <v>2.6741789373454679E-7</v>
      </c>
      <c r="U4919" s="439"/>
      <c r="V4919" s="439"/>
      <c r="W4919" s="178">
        <v>30000</v>
      </c>
      <c r="X4919" s="172">
        <f t="shared" si="17"/>
        <v>0.33333333333333331</v>
      </c>
      <c r="Y4919" s="172">
        <f t="shared" si="17"/>
        <v>0.33333333333333331</v>
      </c>
      <c r="Z4919" s="172">
        <f t="shared" si="17"/>
        <v>0.33333333333333331</v>
      </c>
      <c r="AA4919" s="195"/>
      <c r="AB4919" s="159"/>
    </row>
    <row r="4920" spans="1:28" ht="12.75" customHeight="1" x14ac:dyDescent="0.3">
      <c r="A4920" s="161">
        <v>920</v>
      </c>
      <c r="B4920" s="159" t="s">
        <v>3693</v>
      </c>
      <c r="C4920" s="160" t="s">
        <v>3694</v>
      </c>
      <c r="D4920" s="160" t="s">
        <v>619</v>
      </c>
      <c r="E4920" s="545">
        <v>7.21</v>
      </c>
      <c r="F4920" s="161">
        <v>237.34</v>
      </c>
      <c r="G4920" s="191"/>
      <c r="H4920" s="191">
        <v>1.26666666635E-6</v>
      </c>
      <c r="I4920" s="191">
        <v>200000</v>
      </c>
      <c r="J4920" s="191"/>
      <c r="K4920" s="191">
        <v>0.11220184543019632</v>
      </c>
      <c r="L4920" s="191"/>
      <c r="M4920" s="191"/>
      <c r="N4920" s="191"/>
      <c r="O4920" s="191"/>
      <c r="P4920" s="191"/>
      <c r="Q4920" s="191">
        <v>9.6784252500000008E-5</v>
      </c>
      <c r="R4920" s="191">
        <v>2.1393431498763744E-7</v>
      </c>
      <c r="S4920" s="191">
        <v>2.3770479443070826E-8</v>
      </c>
      <c r="T4920" s="191">
        <v>1.0696715749381872E-7</v>
      </c>
      <c r="U4920" s="439"/>
      <c r="V4920" s="439"/>
      <c r="W4920" s="178">
        <v>30000</v>
      </c>
      <c r="X4920" s="172">
        <f t="shared" si="17"/>
        <v>0.33333333333333331</v>
      </c>
      <c r="Y4920" s="172">
        <f t="shared" si="17"/>
        <v>0.33333333333333331</v>
      </c>
      <c r="Z4920" s="172">
        <f t="shared" si="17"/>
        <v>0.33333333333333331</v>
      </c>
      <c r="AA4920" s="195"/>
      <c r="AB4920" s="159"/>
    </row>
    <row r="4921" spans="1:28" ht="12.75" customHeight="1" x14ac:dyDescent="0.3">
      <c r="A4921" s="161">
        <v>921</v>
      </c>
      <c r="B4921" s="159" t="s">
        <v>3689</v>
      </c>
      <c r="C4921" s="160" t="s">
        <v>3690</v>
      </c>
      <c r="D4921" s="160" t="s">
        <v>619</v>
      </c>
      <c r="E4921" s="545">
        <v>7.21</v>
      </c>
      <c r="F4921" s="161">
        <v>237.34</v>
      </c>
      <c r="G4921" s="191"/>
      <c r="H4921" s="191">
        <v>1.26666666635E-6</v>
      </c>
      <c r="I4921" s="191">
        <v>200000</v>
      </c>
      <c r="J4921" s="191"/>
      <c r="K4921" s="191">
        <v>0.11220184543019632</v>
      </c>
      <c r="L4921" s="191"/>
      <c r="M4921" s="191"/>
      <c r="N4921" s="191"/>
      <c r="O4921" s="191"/>
      <c r="P4921" s="191"/>
      <c r="Q4921" s="191">
        <v>9.6784252500000008E-5</v>
      </c>
      <c r="R4921" s="191">
        <v>2.1393431498763744E-7</v>
      </c>
      <c r="S4921" s="191">
        <v>2.3770479443070826E-8</v>
      </c>
      <c r="T4921" s="191">
        <v>2.6741789373454678E-6</v>
      </c>
      <c r="U4921" s="439"/>
      <c r="V4921" s="439"/>
      <c r="W4921" s="178">
        <v>30000</v>
      </c>
      <c r="X4921" s="172">
        <f t="shared" si="17"/>
        <v>0.33333333333333331</v>
      </c>
      <c r="Y4921" s="172">
        <f t="shared" si="17"/>
        <v>0.33333333333333331</v>
      </c>
      <c r="Z4921" s="172">
        <f t="shared" si="17"/>
        <v>0.33333333333333331</v>
      </c>
      <c r="AA4921" s="195"/>
      <c r="AB4921" s="159"/>
    </row>
    <row r="4922" spans="1:28" ht="12.75" customHeight="1" x14ac:dyDescent="0.3">
      <c r="A4922" s="161">
        <v>922</v>
      </c>
      <c r="B4922" s="159" t="s">
        <v>3695</v>
      </c>
      <c r="C4922" s="160" t="s">
        <v>3696</v>
      </c>
      <c r="D4922" s="160" t="s">
        <v>619</v>
      </c>
      <c r="E4922" s="545">
        <v>7.3</v>
      </c>
      <c r="F4922" s="161">
        <v>232.24</v>
      </c>
      <c r="G4922" s="191"/>
      <c r="H4922" s="191">
        <v>1.8133333328799998E-9</v>
      </c>
      <c r="I4922" s="191">
        <v>1110</v>
      </c>
      <c r="J4922" s="191"/>
      <c r="K4922" s="191">
        <v>29.512092266663863</v>
      </c>
      <c r="L4922" s="191"/>
      <c r="M4922" s="191"/>
      <c r="N4922" s="191"/>
      <c r="O4922" s="191"/>
      <c r="P4922" s="191"/>
      <c r="Q4922" s="191">
        <v>7.5792299999999998E-6</v>
      </c>
      <c r="R4922" s="191">
        <v>2.1393431498763744E-7</v>
      </c>
      <c r="S4922" s="191">
        <v>2.3770479443070826E-8</v>
      </c>
      <c r="T4922" s="191">
        <v>1.0696715749381872E-7</v>
      </c>
      <c r="U4922" s="439"/>
      <c r="V4922" s="439"/>
      <c r="W4922" s="178">
        <v>30000</v>
      </c>
      <c r="X4922" s="172">
        <f t="shared" si="17"/>
        <v>0.33333333333333331</v>
      </c>
      <c r="Y4922" s="172">
        <f t="shared" si="17"/>
        <v>0.33333333333333331</v>
      </c>
      <c r="Z4922" s="172">
        <f t="shared" si="17"/>
        <v>0.33333333333333331</v>
      </c>
      <c r="AA4922" s="195"/>
      <c r="AB4922" s="159"/>
    </row>
    <row r="4923" spans="1:28" ht="12.75" customHeight="1" x14ac:dyDescent="0.3">
      <c r="A4923" s="161">
        <v>923</v>
      </c>
      <c r="B4923" s="159" t="s">
        <v>3697</v>
      </c>
      <c r="C4923" s="160" t="s">
        <v>3698</v>
      </c>
      <c r="D4923" s="160" t="s">
        <v>619</v>
      </c>
      <c r="E4923" s="545">
        <v>7.3</v>
      </c>
      <c r="F4923" s="161">
        <v>216.22</v>
      </c>
      <c r="G4923" s="191"/>
      <c r="H4923" s="191">
        <v>1.7466666662299998E-5</v>
      </c>
      <c r="I4923" s="191">
        <v>300</v>
      </c>
      <c r="J4923" s="191"/>
      <c r="K4923" s="191">
        <v>16.982436524617448</v>
      </c>
      <c r="L4923" s="191"/>
      <c r="M4923" s="191"/>
      <c r="N4923" s="191"/>
      <c r="O4923" s="191"/>
      <c r="P4923" s="191"/>
      <c r="Q4923" s="191">
        <v>3.8978174999999997E-6</v>
      </c>
      <c r="R4923" s="191">
        <v>2.1393431498763744E-7</v>
      </c>
      <c r="S4923" s="191">
        <v>2.3770479443070826E-8</v>
      </c>
      <c r="T4923" s="191">
        <v>1.0696715749381872E-7</v>
      </c>
      <c r="U4923" s="439"/>
      <c r="V4923" s="439"/>
      <c r="W4923" s="178">
        <v>30000</v>
      </c>
      <c r="X4923" s="172">
        <f t="shared" si="17"/>
        <v>0.33333333333333331</v>
      </c>
      <c r="Y4923" s="172">
        <f t="shared" si="17"/>
        <v>0.33333333333333331</v>
      </c>
      <c r="Z4923" s="172">
        <f t="shared" si="17"/>
        <v>0.33333333333333331</v>
      </c>
      <c r="AA4923" s="195"/>
      <c r="AB4923" s="159"/>
    </row>
    <row r="4924" spans="1:28" ht="12.75" customHeight="1" x14ac:dyDescent="0.3">
      <c r="A4924" s="161">
        <v>924</v>
      </c>
      <c r="B4924" s="159" t="s">
        <v>3699</v>
      </c>
      <c r="C4924" s="160" t="s">
        <v>3700</v>
      </c>
      <c r="D4924" s="160" t="s">
        <v>619</v>
      </c>
      <c r="E4924" s="545">
        <v>7.34</v>
      </c>
      <c r="F4924" s="161">
        <v>248.72</v>
      </c>
      <c r="G4924" s="191"/>
      <c r="H4924" s="191">
        <v>1.7599999995599999E-6</v>
      </c>
      <c r="I4924" s="191">
        <v>121.3</v>
      </c>
      <c r="J4924" s="191"/>
      <c r="K4924" s="191">
        <v>489.77881936844625</v>
      </c>
      <c r="L4924" s="191"/>
      <c r="M4924" s="191"/>
      <c r="N4924" s="191"/>
      <c r="O4924" s="191"/>
      <c r="P4924" s="191"/>
      <c r="Q4924" s="191">
        <v>1.5082595250000001E-4</v>
      </c>
      <c r="R4924" s="191">
        <v>1.3370894686727339E-7</v>
      </c>
      <c r="S4924" s="191">
        <v>1.4856549651919266E-8</v>
      </c>
      <c r="T4924" s="191">
        <v>6.6854473433636697E-8</v>
      </c>
      <c r="U4924" s="439"/>
      <c r="V4924" s="439"/>
      <c r="W4924" s="178">
        <v>30000</v>
      </c>
      <c r="X4924" s="172">
        <f t="shared" si="17"/>
        <v>0.33333333333333331</v>
      </c>
      <c r="Y4924" s="172">
        <f t="shared" si="17"/>
        <v>0.33333333333333331</v>
      </c>
      <c r="Z4924" s="172">
        <f t="shared" si="17"/>
        <v>0.33333333333333331</v>
      </c>
      <c r="AA4924" s="195"/>
      <c r="AB4924" s="159"/>
    </row>
    <row r="4925" spans="1:28" ht="12.75" customHeight="1" x14ac:dyDescent="0.3">
      <c r="A4925" s="161">
        <v>925</v>
      </c>
      <c r="B4925" s="159" t="s">
        <v>3701</v>
      </c>
      <c r="C4925" s="160" t="s">
        <v>3702</v>
      </c>
      <c r="D4925" s="160" t="s">
        <v>619</v>
      </c>
      <c r="E4925" s="545">
        <v>7.45</v>
      </c>
      <c r="F4925" s="161">
        <v>303.49</v>
      </c>
      <c r="G4925" s="191"/>
      <c r="H4925" s="191">
        <v>3.5066666657899998E-3</v>
      </c>
      <c r="I4925" s="191">
        <v>4.3</v>
      </c>
      <c r="J4925" s="191"/>
      <c r="K4925" s="191">
        <v>85113.803820237721</v>
      </c>
      <c r="L4925" s="191"/>
      <c r="M4925" s="191"/>
      <c r="N4925" s="191"/>
      <c r="O4925" s="191"/>
      <c r="P4925" s="191"/>
      <c r="Q4925" s="191">
        <v>1.0354778249999999E-4</v>
      </c>
      <c r="R4925" s="191">
        <v>1.3370894686727339E-7</v>
      </c>
      <c r="S4925" s="191">
        <v>1.4856549651919266E-8</v>
      </c>
      <c r="T4925" s="191">
        <v>3.1460928674652565E-7</v>
      </c>
      <c r="U4925" s="439"/>
      <c r="V4925" s="439"/>
      <c r="W4925" s="178">
        <v>30000</v>
      </c>
      <c r="X4925" s="172">
        <f t="shared" si="17"/>
        <v>0.33333333333333331</v>
      </c>
      <c r="Y4925" s="172">
        <f t="shared" si="17"/>
        <v>0.33333333333333331</v>
      </c>
      <c r="Z4925" s="172">
        <f t="shared" si="17"/>
        <v>0.33333333333333331</v>
      </c>
      <c r="AA4925" s="195"/>
      <c r="AB4925" s="159"/>
    </row>
    <row r="4926" spans="1:28" ht="12.75" customHeight="1" x14ac:dyDescent="0.3">
      <c r="A4926" s="161">
        <v>926</v>
      </c>
      <c r="B4926" s="159" t="s">
        <v>3703</v>
      </c>
      <c r="C4926" s="160" t="s">
        <v>3704</v>
      </c>
      <c r="D4926" s="160" t="s">
        <v>619</v>
      </c>
      <c r="E4926" s="545">
        <v>7.64</v>
      </c>
      <c r="F4926" s="161">
        <v>144.26</v>
      </c>
      <c r="G4926" s="191"/>
      <c r="H4926" s="191">
        <v>52.533333320200001</v>
      </c>
      <c r="I4926" s="191">
        <v>2554</v>
      </c>
      <c r="J4926" s="191"/>
      <c r="K4926" s="191">
        <v>56.234132519034915</v>
      </c>
      <c r="L4926" s="191"/>
      <c r="M4926" s="191"/>
      <c r="N4926" s="191"/>
      <c r="O4926" s="191"/>
      <c r="P4926" s="191"/>
      <c r="Q4926" s="191">
        <v>2.0119762500000001E-5</v>
      </c>
      <c r="R4926" s="191">
        <v>9.2532143160742838E-7</v>
      </c>
      <c r="S4926" s="191">
        <v>1.0281349240082538E-7</v>
      </c>
      <c r="T4926" s="191">
        <v>4.6266071580371419E-7</v>
      </c>
      <c r="U4926" s="439"/>
      <c r="V4926" s="439"/>
      <c r="W4926" s="178">
        <v>30000</v>
      </c>
      <c r="X4926" s="172">
        <f t="shared" si="17"/>
        <v>0.33333333333333331</v>
      </c>
      <c r="Y4926" s="172">
        <f t="shared" si="17"/>
        <v>0.33333333333333331</v>
      </c>
      <c r="Z4926" s="172">
        <f t="shared" si="17"/>
        <v>0.33333333333333331</v>
      </c>
      <c r="AA4926" s="195"/>
      <c r="AB4926" s="159"/>
    </row>
    <row r="4927" spans="1:28" ht="12.75" customHeight="1" x14ac:dyDescent="0.3">
      <c r="A4927" s="161">
        <v>927</v>
      </c>
      <c r="B4927" s="159" t="s">
        <v>3705</v>
      </c>
      <c r="C4927" s="160" t="s">
        <v>3706</v>
      </c>
      <c r="D4927" s="160" t="s">
        <v>619</v>
      </c>
      <c r="E4927" s="545">
        <v>7.65</v>
      </c>
      <c r="F4927" s="161">
        <v>278.33</v>
      </c>
      <c r="G4927" s="191"/>
      <c r="H4927" s="191">
        <v>9.0933333310599995E-7</v>
      </c>
      <c r="I4927" s="191">
        <v>1500</v>
      </c>
      <c r="J4927" s="191"/>
      <c r="K4927" s="191">
        <v>1.5488166189124815</v>
      </c>
      <c r="L4927" s="191"/>
      <c r="M4927" s="191"/>
      <c r="N4927" s="191"/>
      <c r="O4927" s="191"/>
      <c r="P4927" s="191"/>
      <c r="Q4927" s="191">
        <v>4.3184707499999997E-5</v>
      </c>
      <c r="R4927" s="191">
        <v>2.1393431498763744E-7</v>
      </c>
      <c r="S4927" s="191">
        <v>2.3770479443070826E-8</v>
      </c>
      <c r="T4927" s="191">
        <v>4.3131918344281736E-7</v>
      </c>
      <c r="U4927" s="439"/>
      <c r="V4927" s="439"/>
      <c r="W4927" s="178">
        <v>30000</v>
      </c>
      <c r="X4927" s="172">
        <f t="shared" si="17"/>
        <v>0.33333333333333331</v>
      </c>
      <c r="Y4927" s="172">
        <f t="shared" si="17"/>
        <v>0.33333333333333331</v>
      </c>
      <c r="Z4927" s="172">
        <f t="shared" si="17"/>
        <v>0.33333333333333331</v>
      </c>
      <c r="AA4927" s="195"/>
      <c r="AB4927" s="159"/>
    </row>
    <row r="4928" spans="1:28" ht="12.75" customHeight="1" x14ac:dyDescent="0.3">
      <c r="A4928" s="161">
        <v>928</v>
      </c>
      <c r="B4928" s="159" t="s">
        <v>3707</v>
      </c>
      <c r="C4928" s="160" t="s">
        <v>3708</v>
      </c>
      <c r="D4928" s="160" t="s">
        <v>619</v>
      </c>
      <c r="E4928" s="545">
        <v>7.74</v>
      </c>
      <c r="F4928" s="161">
        <v>76.099999999999994</v>
      </c>
      <c r="G4928" s="191"/>
      <c r="H4928" s="191">
        <v>3.0799999992299996</v>
      </c>
      <c r="I4928" s="191">
        <v>1000000</v>
      </c>
      <c r="J4928" s="191"/>
      <c r="K4928" s="191">
        <v>1.0471285480508989E-2</v>
      </c>
      <c r="L4928" s="191"/>
      <c r="M4928" s="191"/>
      <c r="N4928" s="191"/>
      <c r="O4928" s="191"/>
      <c r="P4928" s="191"/>
      <c r="Q4928" s="191">
        <v>5.8383667500000003E-5</v>
      </c>
      <c r="R4928" s="191">
        <v>5.3483578746909358E-7</v>
      </c>
      <c r="S4928" s="191">
        <v>5.9426198607677063E-8</v>
      </c>
      <c r="T4928" s="191">
        <v>2.6741789373454679E-7</v>
      </c>
      <c r="U4928" s="439"/>
      <c r="V4928" s="439"/>
      <c r="W4928" s="178">
        <v>30000</v>
      </c>
      <c r="X4928" s="172">
        <f t="shared" si="17"/>
        <v>0.33333333333333331</v>
      </c>
      <c r="Y4928" s="172">
        <f t="shared" si="17"/>
        <v>0.33333333333333331</v>
      </c>
      <c r="Z4928" s="172">
        <f t="shared" si="17"/>
        <v>0.33333333333333331</v>
      </c>
      <c r="AA4928" s="195"/>
      <c r="AB4928" s="159"/>
    </row>
    <row r="4929" spans="1:28" ht="12.75" customHeight="1" x14ac:dyDescent="0.3">
      <c r="A4929" s="161">
        <v>929</v>
      </c>
      <c r="B4929" s="159" t="s">
        <v>3709</v>
      </c>
      <c r="C4929" s="160" t="s">
        <v>1663</v>
      </c>
      <c r="D4929" s="160" t="s">
        <v>619</v>
      </c>
      <c r="E4929" s="545">
        <v>7.82</v>
      </c>
      <c r="F4929" s="161">
        <v>102.18</v>
      </c>
      <c r="G4929" s="191"/>
      <c r="H4929" s="191">
        <v>1333.333333</v>
      </c>
      <c r="I4929" s="191">
        <v>1000000</v>
      </c>
      <c r="J4929" s="191"/>
      <c r="K4929" s="191">
        <v>0.35481338923357542</v>
      </c>
      <c r="L4929" s="191"/>
      <c r="M4929" s="191"/>
      <c r="N4929" s="191"/>
      <c r="O4929" s="191"/>
      <c r="P4929" s="191"/>
      <c r="Q4929" s="191">
        <v>8.4233025E-5</v>
      </c>
      <c r="R4929" s="191">
        <v>2.1393431498763744E-7</v>
      </c>
      <c r="S4929" s="191">
        <v>2.3770479443070826E-8</v>
      </c>
      <c r="T4929" s="191">
        <v>1.0696715749381872E-7</v>
      </c>
      <c r="U4929" s="439"/>
      <c r="V4929" s="439"/>
      <c r="W4929" s="178">
        <v>30000</v>
      </c>
      <c r="X4929" s="172">
        <f t="shared" si="17"/>
        <v>0.33333333333333331</v>
      </c>
      <c r="Y4929" s="172">
        <f t="shared" si="17"/>
        <v>0.33333333333333331</v>
      </c>
      <c r="Z4929" s="172">
        <f t="shared" si="17"/>
        <v>0.33333333333333331</v>
      </c>
      <c r="AA4929" s="195"/>
      <c r="AB4929" s="159"/>
    </row>
    <row r="4930" spans="1:28" ht="12.75" customHeight="1" x14ac:dyDescent="0.3">
      <c r="A4930" s="161">
        <v>930</v>
      </c>
      <c r="B4930" s="159" t="s">
        <v>3710</v>
      </c>
      <c r="C4930" s="160" t="s">
        <v>3711</v>
      </c>
      <c r="D4930" s="160" t="s">
        <v>619</v>
      </c>
      <c r="E4930" s="545">
        <v>7.85</v>
      </c>
      <c r="F4930" s="161">
        <v>82.11</v>
      </c>
      <c r="G4930" s="191"/>
      <c r="H4930" s="191">
        <v>9.1866666643699996E-2</v>
      </c>
      <c r="I4930" s="191">
        <v>80850</v>
      </c>
      <c r="J4930" s="191"/>
      <c r="K4930" s="191">
        <v>1.7378008287493756</v>
      </c>
      <c r="L4930" s="191"/>
      <c r="M4930" s="191"/>
      <c r="N4930" s="191"/>
      <c r="O4930" s="191"/>
      <c r="P4930" s="191"/>
      <c r="Q4930" s="191">
        <v>7.0588139999999992E-5</v>
      </c>
      <c r="R4930" s="191">
        <v>5.3483578746909358E-7</v>
      </c>
      <c r="S4930" s="191">
        <v>5.9426198607677063E-8</v>
      </c>
      <c r="T4930" s="191">
        <v>2.6741789373454679E-7</v>
      </c>
      <c r="U4930" s="439"/>
      <c r="V4930" s="439"/>
      <c r="W4930" s="178">
        <v>30000</v>
      </c>
      <c r="X4930" s="172">
        <f t="shared" ref="X4930:Z4961" si="18">1/3</f>
        <v>0.33333333333333331</v>
      </c>
      <c r="Y4930" s="172">
        <f t="shared" si="18"/>
        <v>0.33333333333333331</v>
      </c>
      <c r="Z4930" s="172">
        <f t="shared" si="18"/>
        <v>0.33333333333333331</v>
      </c>
      <c r="AA4930" s="195"/>
      <c r="AB4930" s="159"/>
    </row>
    <row r="4931" spans="1:28" ht="12.75" customHeight="1" x14ac:dyDescent="0.3">
      <c r="A4931" s="161">
        <v>931</v>
      </c>
      <c r="B4931" s="159" t="s">
        <v>3712</v>
      </c>
      <c r="C4931" s="160" t="s">
        <v>3713</v>
      </c>
      <c r="D4931" s="160" t="s">
        <v>619</v>
      </c>
      <c r="E4931" s="545">
        <v>7.89</v>
      </c>
      <c r="F4931" s="161">
        <v>133.15</v>
      </c>
      <c r="G4931" s="191"/>
      <c r="H4931" s="191">
        <v>2.6799999993300001E-5</v>
      </c>
      <c r="I4931" s="191">
        <v>14920</v>
      </c>
      <c r="J4931" s="191"/>
      <c r="K4931" s="191">
        <v>8.1283051616409931</v>
      </c>
      <c r="L4931" s="191"/>
      <c r="M4931" s="191"/>
      <c r="N4931" s="191"/>
      <c r="O4931" s="191"/>
      <c r="P4931" s="191"/>
      <c r="Q4931" s="191">
        <v>1.5000000000000001E-4</v>
      </c>
      <c r="R4931" s="191">
        <v>5.3483578746909358E-7</v>
      </c>
      <c r="S4931" s="191">
        <v>5.9426198607677063E-8</v>
      </c>
      <c r="T4931" s="191">
        <v>2.6741789373454679E-7</v>
      </c>
      <c r="U4931" s="439"/>
      <c r="V4931" s="439"/>
      <c r="W4931" s="178">
        <v>30000</v>
      </c>
      <c r="X4931" s="172">
        <f t="shared" si="18"/>
        <v>0.33333333333333331</v>
      </c>
      <c r="Y4931" s="172">
        <f t="shared" si="18"/>
        <v>0.33333333333333331</v>
      </c>
      <c r="Z4931" s="172">
        <f t="shared" si="18"/>
        <v>0.33333333333333331</v>
      </c>
      <c r="AA4931" s="195"/>
      <c r="AB4931" s="159"/>
    </row>
    <row r="4932" spans="1:28" ht="12.75" customHeight="1" x14ac:dyDescent="0.3">
      <c r="A4932" s="161">
        <v>932</v>
      </c>
      <c r="B4932" s="159" t="s">
        <v>3714</v>
      </c>
      <c r="C4932" s="160" t="s">
        <v>3715</v>
      </c>
      <c r="D4932" s="160" t="s">
        <v>619</v>
      </c>
      <c r="E4932" s="545">
        <v>8.16</v>
      </c>
      <c r="F4932" s="161">
        <v>155.19999999999999</v>
      </c>
      <c r="G4932" s="191"/>
      <c r="H4932" s="191">
        <v>10.546666664029999</v>
      </c>
      <c r="I4932" s="191">
        <v>1000000</v>
      </c>
      <c r="J4932" s="191"/>
      <c r="K4932" s="191">
        <v>2.2387211385683394</v>
      </c>
      <c r="L4932" s="191"/>
      <c r="M4932" s="191"/>
      <c r="N4932" s="191"/>
      <c r="O4932" s="191"/>
      <c r="P4932" s="191"/>
      <c r="Q4932" s="191">
        <v>8.8812329999999999E-5</v>
      </c>
      <c r="R4932" s="191">
        <v>2.1393431498763744E-7</v>
      </c>
      <c r="S4932" s="191">
        <v>2.3770479443070826E-8</v>
      </c>
      <c r="T4932" s="191">
        <v>1.0696715749381872E-7</v>
      </c>
      <c r="U4932" s="439"/>
      <c r="V4932" s="439"/>
      <c r="W4932" s="178">
        <v>30000</v>
      </c>
      <c r="X4932" s="172">
        <f t="shared" si="18"/>
        <v>0.33333333333333331</v>
      </c>
      <c r="Y4932" s="172">
        <f t="shared" si="18"/>
        <v>0.33333333333333331</v>
      </c>
      <c r="Z4932" s="172">
        <f t="shared" si="18"/>
        <v>0.33333333333333331</v>
      </c>
      <c r="AA4932" s="195"/>
      <c r="AB4932" s="159"/>
    </row>
    <row r="4933" spans="1:28" ht="12.75" customHeight="1" x14ac:dyDescent="0.3">
      <c r="A4933" s="161">
        <v>933</v>
      </c>
      <c r="B4933" s="159" t="s">
        <v>3716</v>
      </c>
      <c r="C4933" s="160" t="s">
        <v>3717</v>
      </c>
      <c r="D4933" s="160" t="s">
        <v>619</v>
      </c>
      <c r="E4933" s="545">
        <v>8.19</v>
      </c>
      <c r="F4933" s="161">
        <v>240.42</v>
      </c>
      <c r="G4933" s="191"/>
      <c r="H4933" s="191">
        <v>2.3066666660899997E-3</v>
      </c>
      <c r="I4933" s="191">
        <v>30</v>
      </c>
      <c r="J4933" s="191"/>
      <c r="K4933" s="191">
        <v>53.703179637025293</v>
      </c>
      <c r="L4933" s="191"/>
      <c r="M4933" s="191"/>
      <c r="N4933" s="191"/>
      <c r="O4933" s="191"/>
      <c r="P4933" s="191"/>
      <c r="Q4933" s="191">
        <v>2.715444E-4</v>
      </c>
      <c r="R4933" s="191">
        <v>2.1393431498763744E-7</v>
      </c>
      <c r="S4933" s="191">
        <v>2.3770479443070826E-8</v>
      </c>
      <c r="T4933" s="191">
        <v>5.3483578746909358E-7</v>
      </c>
      <c r="U4933" s="439"/>
      <c r="V4933" s="439"/>
      <c r="W4933" s="178">
        <v>30000</v>
      </c>
      <c r="X4933" s="172">
        <f t="shared" si="18"/>
        <v>0.33333333333333331</v>
      </c>
      <c r="Y4933" s="172">
        <f t="shared" si="18"/>
        <v>0.33333333333333331</v>
      </c>
      <c r="Z4933" s="172">
        <f t="shared" si="18"/>
        <v>0.33333333333333331</v>
      </c>
      <c r="AA4933" s="195"/>
      <c r="AB4933" s="159"/>
    </row>
    <row r="4934" spans="1:28" ht="12.75" customHeight="1" x14ac:dyDescent="0.3">
      <c r="A4934" s="161">
        <v>934</v>
      </c>
      <c r="B4934" s="159" t="s">
        <v>3718</v>
      </c>
      <c r="C4934" s="160" t="s">
        <v>3719</v>
      </c>
      <c r="D4934" s="160" t="s">
        <v>619</v>
      </c>
      <c r="E4934" s="545">
        <v>8.2100000000000009</v>
      </c>
      <c r="F4934" s="161">
        <v>88.15</v>
      </c>
      <c r="G4934" s="191"/>
      <c r="H4934" s="191">
        <v>1226.6666663599999</v>
      </c>
      <c r="I4934" s="191">
        <v>49740</v>
      </c>
      <c r="J4934" s="191"/>
      <c r="K4934" s="191">
        <v>2.9512092266663856</v>
      </c>
      <c r="L4934" s="191"/>
      <c r="M4934" s="191"/>
      <c r="N4934" s="191"/>
      <c r="O4934" s="191"/>
      <c r="P4934" s="191"/>
      <c r="Q4934" s="191">
        <v>5.7309884999999997E-5</v>
      </c>
      <c r="R4934" s="191">
        <v>9.2532143160742838E-7</v>
      </c>
      <c r="S4934" s="191">
        <v>1.0281349240082538E-7</v>
      </c>
      <c r="T4934" s="191">
        <v>4.6266071580371419E-7</v>
      </c>
      <c r="U4934" s="439"/>
      <c r="V4934" s="439"/>
      <c r="W4934" s="178">
        <v>30000</v>
      </c>
      <c r="X4934" s="172">
        <f t="shared" si="18"/>
        <v>0.33333333333333331</v>
      </c>
      <c r="Y4934" s="172">
        <f t="shared" si="18"/>
        <v>0.33333333333333331</v>
      </c>
      <c r="Z4934" s="172">
        <f t="shared" si="18"/>
        <v>0.33333333333333331</v>
      </c>
      <c r="AA4934" s="195"/>
      <c r="AB4934" s="159"/>
    </row>
    <row r="4935" spans="1:28" ht="12.75" customHeight="1" x14ac:dyDescent="0.3">
      <c r="A4935" s="161">
        <v>935</v>
      </c>
      <c r="B4935" s="159" t="s">
        <v>3720</v>
      </c>
      <c r="C4935" s="160" t="s">
        <v>3721</v>
      </c>
      <c r="D4935" s="160" t="s">
        <v>619</v>
      </c>
      <c r="E4935" s="545">
        <v>8.2100000000000009</v>
      </c>
      <c r="F4935" s="161">
        <v>102.18</v>
      </c>
      <c r="G4935" s="191"/>
      <c r="H4935" s="191">
        <v>438.66666655699999</v>
      </c>
      <c r="I4935" s="191">
        <v>17350</v>
      </c>
      <c r="J4935" s="191"/>
      <c r="K4935" s="191">
        <v>9.1201083935590983</v>
      </c>
      <c r="L4935" s="191"/>
      <c r="M4935" s="191"/>
      <c r="N4935" s="191"/>
      <c r="O4935" s="191"/>
      <c r="P4935" s="191"/>
      <c r="Q4935" s="191">
        <v>5.8369672499999999E-5</v>
      </c>
      <c r="R4935" s="191">
        <v>9.2532143160742838E-7</v>
      </c>
      <c r="S4935" s="191">
        <v>1.0281349240082538E-7</v>
      </c>
      <c r="T4935" s="191">
        <v>4.6266071580371419E-7</v>
      </c>
      <c r="U4935" s="439"/>
      <c r="V4935" s="439"/>
      <c r="W4935" s="178">
        <v>30000</v>
      </c>
      <c r="X4935" s="172">
        <f t="shared" si="18"/>
        <v>0.33333333333333331</v>
      </c>
      <c r="Y4935" s="172">
        <f t="shared" si="18"/>
        <v>0.33333333333333331</v>
      </c>
      <c r="Z4935" s="172">
        <f t="shared" si="18"/>
        <v>0.33333333333333331</v>
      </c>
      <c r="AA4935" s="195"/>
      <c r="AB4935" s="159"/>
    </row>
    <row r="4936" spans="1:28" ht="12.75" customHeight="1" x14ac:dyDescent="0.3">
      <c r="A4936" s="161">
        <v>936</v>
      </c>
      <c r="B4936" s="159" t="s">
        <v>3722</v>
      </c>
      <c r="C4936" s="160" t="s">
        <v>3723</v>
      </c>
      <c r="D4936" s="160" t="s">
        <v>619</v>
      </c>
      <c r="E4936" s="545">
        <v>8.27</v>
      </c>
      <c r="F4936" s="161">
        <v>115.18</v>
      </c>
      <c r="G4936" s="191"/>
      <c r="H4936" s="191">
        <v>625.33333317699999</v>
      </c>
      <c r="I4936" s="191">
        <v>618500</v>
      </c>
      <c r="J4936" s="191"/>
      <c r="K4936" s="191">
        <v>1.9054607179632475</v>
      </c>
      <c r="L4936" s="191"/>
      <c r="M4936" s="191"/>
      <c r="N4936" s="191"/>
      <c r="O4936" s="191"/>
      <c r="P4936" s="191"/>
      <c r="Q4936" s="191">
        <v>8.53606875E-5</v>
      </c>
      <c r="R4936" s="191">
        <v>5.3483578746909358E-7</v>
      </c>
      <c r="S4936" s="191">
        <v>5.9426198607677063E-8</v>
      </c>
      <c r="T4936" s="191">
        <v>2.6741789373454679E-7</v>
      </c>
      <c r="U4936" s="439"/>
      <c r="V4936" s="439"/>
      <c r="W4936" s="178">
        <v>30000</v>
      </c>
      <c r="X4936" s="172">
        <f t="shared" si="18"/>
        <v>0.33333333333333331</v>
      </c>
      <c r="Y4936" s="172">
        <f t="shared" si="18"/>
        <v>0.33333333333333331</v>
      </c>
      <c r="Z4936" s="172">
        <f t="shared" si="18"/>
        <v>0.33333333333333331</v>
      </c>
      <c r="AA4936" s="195"/>
      <c r="AB4936" s="159"/>
    </row>
    <row r="4937" spans="1:28" ht="12.75" customHeight="1" x14ac:dyDescent="0.3">
      <c r="A4937" s="161">
        <v>937</v>
      </c>
      <c r="B4937" s="159" t="s">
        <v>3724</v>
      </c>
      <c r="C4937" s="160" t="s">
        <v>3725</v>
      </c>
      <c r="D4937" s="160" t="s">
        <v>619</v>
      </c>
      <c r="E4937" s="545">
        <v>8.27</v>
      </c>
      <c r="F4937" s="161">
        <v>115.18</v>
      </c>
      <c r="G4937" s="191"/>
      <c r="H4937" s="191">
        <v>625.33333317699999</v>
      </c>
      <c r="I4937" s="191">
        <v>618500</v>
      </c>
      <c r="J4937" s="191"/>
      <c r="K4937" s="191">
        <v>1.9054607179632475</v>
      </c>
      <c r="L4937" s="191"/>
      <c r="M4937" s="191"/>
      <c r="N4937" s="191"/>
      <c r="O4937" s="191"/>
      <c r="P4937" s="191"/>
      <c r="Q4937" s="191">
        <v>8.53606875E-5</v>
      </c>
      <c r="R4937" s="191">
        <v>5.3483578746909358E-7</v>
      </c>
      <c r="S4937" s="191">
        <v>5.9426198607677063E-8</v>
      </c>
      <c r="T4937" s="191">
        <v>2.6741789373454679E-7</v>
      </c>
      <c r="U4937" s="439"/>
      <c r="V4937" s="439"/>
      <c r="W4937" s="178">
        <v>30000</v>
      </c>
      <c r="X4937" s="172">
        <f t="shared" si="18"/>
        <v>0.33333333333333331</v>
      </c>
      <c r="Y4937" s="172">
        <f t="shared" si="18"/>
        <v>0.33333333333333331</v>
      </c>
      <c r="Z4937" s="172">
        <f t="shared" si="18"/>
        <v>0.33333333333333331</v>
      </c>
      <c r="AA4937" s="195"/>
      <c r="AB4937" s="159"/>
    </row>
    <row r="4938" spans="1:28" ht="12.75" customHeight="1" x14ac:dyDescent="0.3">
      <c r="A4938" s="161">
        <v>938</v>
      </c>
      <c r="B4938" s="159" t="s">
        <v>3726</v>
      </c>
      <c r="C4938" s="160" t="s">
        <v>3727</v>
      </c>
      <c r="D4938" s="160" t="s">
        <v>619</v>
      </c>
      <c r="E4938" s="545">
        <v>8.2799999999999994</v>
      </c>
      <c r="F4938" s="161">
        <v>394.47</v>
      </c>
      <c r="G4938" s="191"/>
      <c r="H4938" s="191">
        <v>4.1733333322900002E-8</v>
      </c>
      <c r="I4938" s="191">
        <v>3200</v>
      </c>
      <c r="J4938" s="191"/>
      <c r="K4938" s="191">
        <v>9.5499258602143584</v>
      </c>
      <c r="L4938" s="191"/>
      <c r="M4938" s="191"/>
      <c r="N4938" s="191"/>
      <c r="O4938" s="191"/>
      <c r="P4938" s="191"/>
      <c r="Q4938" s="191">
        <v>2.6215887749999998E-4</v>
      </c>
      <c r="R4938" s="191">
        <v>4.45696489557578E-8</v>
      </c>
      <c r="S4938" s="191">
        <v>4.9521832173064224E-9</v>
      </c>
      <c r="T4938" s="191">
        <v>2.22848244778789E-8</v>
      </c>
      <c r="U4938" s="439"/>
      <c r="V4938" s="439"/>
      <c r="W4938" s="178">
        <v>30000</v>
      </c>
      <c r="X4938" s="172">
        <f t="shared" si="18"/>
        <v>0.33333333333333331</v>
      </c>
      <c r="Y4938" s="172">
        <f t="shared" si="18"/>
        <v>0.33333333333333331</v>
      </c>
      <c r="Z4938" s="172">
        <f t="shared" si="18"/>
        <v>0.33333333333333331</v>
      </c>
      <c r="AA4938" s="195"/>
      <c r="AB4938" s="159"/>
    </row>
    <row r="4939" spans="1:28" ht="12.75" customHeight="1" x14ac:dyDescent="0.3">
      <c r="A4939" s="161">
        <v>939</v>
      </c>
      <c r="B4939" s="159" t="s">
        <v>3728</v>
      </c>
      <c r="C4939" s="160" t="s">
        <v>3729</v>
      </c>
      <c r="D4939" s="160" t="s">
        <v>619</v>
      </c>
      <c r="E4939" s="545">
        <v>8.3699999999999992</v>
      </c>
      <c r="F4939" s="161">
        <v>137.13999999999999</v>
      </c>
      <c r="G4939" s="191"/>
      <c r="H4939" s="191">
        <v>3.9999999989999995</v>
      </c>
      <c r="I4939" s="191">
        <v>2060</v>
      </c>
      <c r="J4939" s="191"/>
      <c r="K4939" s="191">
        <v>19.054607179632477</v>
      </c>
      <c r="L4939" s="191"/>
      <c r="M4939" s="191"/>
      <c r="N4939" s="191"/>
      <c r="O4939" s="191"/>
      <c r="P4939" s="191"/>
      <c r="Q4939" s="191">
        <v>2.4390645E-5</v>
      </c>
      <c r="R4939" s="191">
        <v>5.3483578746909358E-7</v>
      </c>
      <c r="S4939" s="191">
        <v>5.9426198607677063E-8</v>
      </c>
      <c r="T4939" s="191">
        <v>2.6741789373454679E-7</v>
      </c>
      <c r="U4939" s="439"/>
      <c r="V4939" s="439"/>
      <c r="W4939" s="178">
        <v>30000</v>
      </c>
      <c r="X4939" s="172">
        <f t="shared" si="18"/>
        <v>0.33333333333333331</v>
      </c>
      <c r="Y4939" s="172">
        <f t="shared" si="18"/>
        <v>0.33333333333333331</v>
      </c>
      <c r="Z4939" s="172">
        <f t="shared" si="18"/>
        <v>0.33333333333333331</v>
      </c>
      <c r="AA4939" s="195"/>
      <c r="AB4939" s="159"/>
    </row>
    <row r="4940" spans="1:28" ht="12.75" customHeight="1" x14ac:dyDescent="0.3">
      <c r="A4940" s="161">
        <v>940</v>
      </c>
      <c r="B4940" s="159" t="s">
        <v>3730</v>
      </c>
      <c r="C4940" s="160" t="s">
        <v>1708</v>
      </c>
      <c r="D4940" s="160" t="s">
        <v>619</v>
      </c>
      <c r="E4940" s="545">
        <v>8.41</v>
      </c>
      <c r="F4940" s="161">
        <v>143.19</v>
      </c>
      <c r="G4940" s="191"/>
      <c r="H4940" s="191">
        <v>230.66666660899998</v>
      </c>
      <c r="I4940" s="191">
        <v>358600</v>
      </c>
      <c r="J4940" s="191"/>
      <c r="K4940" s="191">
        <v>2.6302679918953822</v>
      </c>
      <c r="L4940" s="191"/>
      <c r="M4940" s="191"/>
      <c r="N4940" s="191"/>
      <c r="O4940" s="191"/>
      <c r="P4940" s="191"/>
      <c r="Q4940" s="191">
        <v>6.7692554999999993E-5</v>
      </c>
      <c r="R4940" s="191">
        <v>5.3483578746909358E-7</v>
      </c>
      <c r="S4940" s="191">
        <v>5.9426198607677063E-8</v>
      </c>
      <c r="T4940" s="191">
        <v>2.6741789373454679E-7</v>
      </c>
      <c r="U4940" s="439"/>
      <c r="V4940" s="439"/>
      <c r="W4940" s="178">
        <v>30000</v>
      </c>
      <c r="X4940" s="172">
        <f t="shared" si="18"/>
        <v>0.33333333333333331</v>
      </c>
      <c r="Y4940" s="172">
        <f t="shared" si="18"/>
        <v>0.33333333333333331</v>
      </c>
      <c r="Z4940" s="172">
        <f t="shared" si="18"/>
        <v>0.33333333333333331</v>
      </c>
      <c r="AA4940" s="195"/>
      <c r="AB4940" s="159"/>
    </row>
    <row r="4941" spans="1:28" ht="12.75" customHeight="1" x14ac:dyDescent="0.3">
      <c r="A4941" s="161">
        <v>941</v>
      </c>
      <c r="B4941" s="159" t="s">
        <v>3731</v>
      </c>
      <c r="C4941" s="160" t="s">
        <v>3732</v>
      </c>
      <c r="D4941" s="160" t="s">
        <v>619</v>
      </c>
      <c r="E4941" s="545">
        <v>8.49</v>
      </c>
      <c r="F4941" s="161">
        <v>87.12</v>
      </c>
      <c r="G4941" s="191"/>
      <c r="H4941" s="191">
        <v>1346.6666663299998</v>
      </c>
      <c r="I4941" s="191">
        <v>1000000</v>
      </c>
      <c r="J4941" s="191"/>
      <c r="K4941" s="191">
        <v>0.13803842646028844</v>
      </c>
      <c r="L4941" s="191"/>
      <c r="M4941" s="191"/>
      <c r="N4941" s="191"/>
      <c r="O4941" s="191"/>
      <c r="P4941" s="191"/>
      <c r="Q4941" s="191">
        <v>1.0336425000000001E-4</v>
      </c>
      <c r="R4941" s="191">
        <v>5.3483578746909358E-7</v>
      </c>
      <c r="S4941" s="191">
        <v>5.9426198607677063E-8</v>
      </c>
      <c r="T4941" s="191">
        <v>2.6741789373454679E-7</v>
      </c>
      <c r="U4941" s="439"/>
      <c r="V4941" s="439"/>
      <c r="W4941" s="178">
        <v>30000</v>
      </c>
      <c r="X4941" s="172">
        <f t="shared" si="18"/>
        <v>0.33333333333333331</v>
      </c>
      <c r="Y4941" s="172">
        <f t="shared" si="18"/>
        <v>0.33333333333333331</v>
      </c>
      <c r="Z4941" s="172">
        <f t="shared" si="18"/>
        <v>0.33333333333333331</v>
      </c>
      <c r="AA4941" s="195"/>
      <c r="AB4941" s="159"/>
    </row>
    <row r="4942" spans="1:28" ht="12.75" customHeight="1" x14ac:dyDescent="0.3">
      <c r="A4942" s="161">
        <v>942</v>
      </c>
      <c r="B4942" s="159" t="s">
        <v>3735</v>
      </c>
      <c r="C4942" s="160" t="s">
        <v>3736</v>
      </c>
      <c r="D4942" s="160" t="s">
        <v>619</v>
      </c>
      <c r="E4942" s="545">
        <v>8.52</v>
      </c>
      <c r="F4942" s="161">
        <v>119.17</v>
      </c>
      <c r="G4942" s="191"/>
      <c r="H4942" s="191">
        <v>2.6666666660000001E-2</v>
      </c>
      <c r="I4942" s="191">
        <v>1000000</v>
      </c>
      <c r="J4942" s="191"/>
      <c r="K4942" s="191">
        <v>3.1622776601683784E-2</v>
      </c>
      <c r="L4942" s="191"/>
      <c r="M4942" s="191"/>
      <c r="N4942" s="191"/>
      <c r="O4942" s="191"/>
      <c r="P4942" s="191"/>
      <c r="Q4942" s="191">
        <v>7.2715942499999999E-5</v>
      </c>
      <c r="R4942" s="191">
        <v>5.3483578746909358E-7</v>
      </c>
      <c r="S4942" s="191">
        <v>5.9426198607677063E-8</v>
      </c>
      <c r="T4942" s="191">
        <v>2.6741789373454679E-7</v>
      </c>
      <c r="U4942" s="439"/>
      <c r="V4942" s="439"/>
      <c r="W4942" s="178">
        <v>30000</v>
      </c>
      <c r="X4942" s="172">
        <f t="shared" si="18"/>
        <v>0.33333333333333331</v>
      </c>
      <c r="Y4942" s="172">
        <f t="shared" si="18"/>
        <v>0.33333333333333331</v>
      </c>
      <c r="Z4942" s="172">
        <f t="shared" si="18"/>
        <v>0.33333333333333331</v>
      </c>
      <c r="AA4942" s="195"/>
      <c r="AB4942" s="159"/>
    </row>
    <row r="4943" spans="1:28" ht="12.75" customHeight="1" x14ac:dyDescent="0.3">
      <c r="A4943" s="161">
        <v>943</v>
      </c>
      <c r="B4943" s="159" t="s">
        <v>3733</v>
      </c>
      <c r="C4943" s="160" t="s">
        <v>3734</v>
      </c>
      <c r="D4943" s="160" t="s">
        <v>619</v>
      </c>
      <c r="E4943" s="545">
        <v>8.52</v>
      </c>
      <c r="F4943" s="161">
        <v>375.21</v>
      </c>
      <c r="G4943" s="191"/>
      <c r="H4943" s="191">
        <v>9.7999999975500006E-6</v>
      </c>
      <c r="I4943" s="191">
        <v>3.0830000000000002</v>
      </c>
      <c r="J4943" s="191"/>
      <c r="K4943" s="191">
        <v>4897.7881936844633</v>
      </c>
      <c r="L4943" s="191"/>
      <c r="M4943" s="191"/>
      <c r="N4943" s="191"/>
      <c r="O4943" s="191"/>
      <c r="P4943" s="191"/>
      <c r="Q4943" s="191">
        <v>1.749582825E-4</v>
      </c>
      <c r="R4943" s="191">
        <v>1.3370894686727339E-7</v>
      </c>
      <c r="S4943" s="191">
        <v>1.4856549651919266E-8</v>
      </c>
      <c r="T4943" s="191">
        <v>6.6854473433636697E-8</v>
      </c>
      <c r="U4943" s="439"/>
      <c r="V4943" s="439"/>
      <c r="W4943" s="178">
        <v>30000</v>
      </c>
      <c r="X4943" s="172">
        <f t="shared" si="18"/>
        <v>0.33333333333333331</v>
      </c>
      <c r="Y4943" s="172">
        <f t="shared" si="18"/>
        <v>0.33333333333333331</v>
      </c>
      <c r="Z4943" s="172">
        <f t="shared" si="18"/>
        <v>0.33333333333333331</v>
      </c>
      <c r="AA4943" s="195"/>
      <c r="AB4943" s="159"/>
    </row>
    <row r="4944" spans="1:28" ht="12.75" customHeight="1" x14ac:dyDescent="0.3">
      <c r="A4944" s="161">
        <v>944</v>
      </c>
      <c r="B4944" s="159" t="s">
        <v>3737</v>
      </c>
      <c r="C4944" s="160" t="s">
        <v>3738</v>
      </c>
      <c r="D4944" s="160" t="s">
        <v>619</v>
      </c>
      <c r="E4944" s="545">
        <v>8.65</v>
      </c>
      <c r="F4944" s="161">
        <v>332.49</v>
      </c>
      <c r="G4944" s="191"/>
      <c r="H4944" s="191">
        <v>6.7999999982999996E-9</v>
      </c>
      <c r="I4944" s="191">
        <v>21.31</v>
      </c>
      <c r="J4944" s="191"/>
      <c r="K4944" s="191">
        <v>4073.8027780411317</v>
      </c>
      <c r="L4944" s="191"/>
      <c r="M4944" s="191"/>
      <c r="N4944" s="191"/>
      <c r="O4944" s="191"/>
      <c r="P4944" s="191"/>
      <c r="Q4944" s="191">
        <v>8.3759617499999995E-5</v>
      </c>
      <c r="R4944" s="191">
        <v>1.3370894686727339E-7</v>
      </c>
      <c r="S4944" s="191">
        <v>1.4856549651919266E-8</v>
      </c>
      <c r="T4944" s="191">
        <v>6.6854473433636697E-8</v>
      </c>
      <c r="U4944" s="439"/>
      <c r="V4944" s="439"/>
      <c r="W4944" s="178">
        <v>30000</v>
      </c>
      <c r="X4944" s="172">
        <f t="shared" si="18"/>
        <v>0.33333333333333331</v>
      </c>
      <c r="Y4944" s="172">
        <f t="shared" si="18"/>
        <v>0.33333333333333331</v>
      </c>
      <c r="Z4944" s="172">
        <f t="shared" si="18"/>
        <v>0.33333333333333331</v>
      </c>
      <c r="AA4944" s="195"/>
      <c r="AB4944" s="159"/>
    </row>
    <row r="4945" spans="1:28" ht="12.75" customHeight="1" x14ac:dyDescent="0.3">
      <c r="A4945" s="161">
        <v>945</v>
      </c>
      <c r="B4945" s="159" t="s">
        <v>3739</v>
      </c>
      <c r="C4945" s="160" t="s">
        <v>3740</v>
      </c>
      <c r="D4945" s="160" t="s">
        <v>619</v>
      </c>
      <c r="E4945" s="545">
        <v>8.73</v>
      </c>
      <c r="F4945" s="161">
        <v>225.29</v>
      </c>
      <c r="G4945" s="191"/>
      <c r="H4945" s="191">
        <v>1.3333333329999999E-5</v>
      </c>
      <c r="I4945" s="191">
        <v>212800</v>
      </c>
      <c r="J4945" s="191"/>
      <c r="K4945" s="191">
        <v>7.9432823472428176</v>
      </c>
      <c r="L4945" s="191"/>
      <c r="M4945" s="191"/>
      <c r="N4945" s="191"/>
      <c r="O4945" s="191"/>
      <c r="P4945" s="191"/>
      <c r="Q4945" s="191">
        <v>2.1221818499999999E-4</v>
      </c>
      <c r="R4945" s="191">
        <v>5.3483578746909358E-7</v>
      </c>
      <c r="S4945" s="191">
        <v>5.9426198607677063E-8</v>
      </c>
      <c r="T4945" s="191">
        <v>2.6741789373454679E-7</v>
      </c>
      <c r="U4945" s="439"/>
      <c r="V4945" s="439"/>
      <c r="W4945" s="178">
        <v>30000</v>
      </c>
      <c r="X4945" s="172">
        <f t="shared" si="18"/>
        <v>0.33333333333333331</v>
      </c>
      <c r="Y4945" s="172">
        <f t="shared" si="18"/>
        <v>0.33333333333333331</v>
      </c>
      <c r="Z4945" s="172">
        <f t="shared" si="18"/>
        <v>0.33333333333333331</v>
      </c>
      <c r="AA4945" s="195"/>
      <c r="AB4945" s="159"/>
    </row>
    <row r="4946" spans="1:28" ht="12.75" customHeight="1" x14ac:dyDescent="0.3">
      <c r="A4946" s="161">
        <v>946</v>
      </c>
      <c r="B4946" s="159" t="s">
        <v>3741</v>
      </c>
      <c r="C4946" s="160" t="s">
        <v>3742</v>
      </c>
      <c r="D4946" s="160" t="s">
        <v>619</v>
      </c>
      <c r="E4946" s="545">
        <v>8.81</v>
      </c>
      <c r="F4946" s="161">
        <v>180.17</v>
      </c>
      <c r="G4946" s="191"/>
      <c r="H4946" s="191">
        <v>7.4266666648099999E-8</v>
      </c>
      <c r="I4946" s="191">
        <v>7360</v>
      </c>
      <c r="J4946" s="191"/>
      <c r="K4946" s="191">
        <v>0.95499258602143589</v>
      </c>
      <c r="L4946" s="191"/>
      <c r="M4946" s="191"/>
      <c r="N4946" s="191"/>
      <c r="O4946" s="191"/>
      <c r="P4946" s="191"/>
      <c r="Q4946" s="191">
        <v>1.4461890000000001E-5</v>
      </c>
      <c r="R4946" s="191">
        <v>5.3483578746909358E-7</v>
      </c>
      <c r="S4946" s="191">
        <v>5.9426198607677063E-8</v>
      </c>
      <c r="T4946" s="191">
        <v>2.6741789373454679E-7</v>
      </c>
      <c r="U4946" s="439"/>
      <c r="V4946" s="439"/>
      <c r="W4946" s="178">
        <v>30000</v>
      </c>
      <c r="X4946" s="172">
        <f t="shared" si="18"/>
        <v>0.33333333333333331</v>
      </c>
      <c r="Y4946" s="172">
        <f t="shared" si="18"/>
        <v>0.33333333333333331</v>
      </c>
      <c r="Z4946" s="172">
        <f t="shared" si="18"/>
        <v>0.33333333333333331</v>
      </c>
      <c r="AA4946" s="195"/>
      <c r="AB4946" s="159"/>
    </row>
    <row r="4947" spans="1:28" ht="12.75" customHeight="1" x14ac:dyDescent="0.3">
      <c r="A4947" s="161">
        <v>947</v>
      </c>
      <c r="B4947" s="159" t="s">
        <v>3743</v>
      </c>
      <c r="C4947" s="160" t="s">
        <v>3744</v>
      </c>
      <c r="D4947" s="160" t="s">
        <v>619</v>
      </c>
      <c r="E4947" s="545">
        <v>8.82</v>
      </c>
      <c r="F4947" s="161">
        <v>112.18</v>
      </c>
      <c r="G4947" s="191"/>
      <c r="H4947" s="191">
        <v>98.933333308599998</v>
      </c>
      <c r="I4947" s="191">
        <v>450000</v>
      </c>
      <c r="J4947" s="191"/>
      <c r="K4947" s="191">
        <v>0.32359365692962827</v>
      </c>
      <c r="L4947" s="191"/>
      <c r="M4947" s="191"/>
      <c r="N4947" s="191"/>
      <c r="O4947" s="191"/>
      <c r="P4947" s="191"/>
      <c r="Q4947" s="191">
        <v>1.6500000000000001E-5</v>
      </c>
      <c r="R4947" s="191">
        <v>2.1393431498763744E-7</v>
      </c>
      <c r="S4947" s="191">
        <v>2.3770479443070826E-8</v>
      </c>
      <c r="T4947" s="191">
        <v>1.0696715749381872E-7</v>
      </c>
      <c r="U4947" s="439"/>
      <c r="V4947" s="439"/>
      <c r="W4947" s="178">
        <v>30000</v>
      </c>
      <c r="X4947" s="172">
        <f t="shared" si="18"/>
        <v>0.33333333333333331</v>
      </c>
      <c r="Y4947" s="172">
        <f t="shared" si="18"/>
        <v>0.33333333333333331</v>
      </c>
      <c r="Z4947" s="172">
        <f t="shared" si="18"/>
        <v>0.33333333333333331</v>
      </c>
      <c r="AA4947" s="195"/>
      <c r="AB4947" s="159"/>
    </row>
    <row r="4948" spans="1:28" ht="12.75" customHeight="1" x14ac:dyDescent="0.3">
      <c r="A4948" s="161">
        <v>948</v>
      </c>
      <c r="B4948" s="159" t="s">
        <v>3745</v>
      </c>
      <c r="C4948" s="160" t="s">
        <v>3746</v>
      </c>
      <c r="D4948" s="160" t="s">
        <v>619</v>
      </c>
      <c r="E4948" s="545">
        <v>8.91</v>
      </c>
      <c r="F4948" s="161">
        <v>323.83</v>
      </c>
      <c r="G4948" s="191"/>
      <c r="H4948" s="191">
        <v>3.6933333324100001E-12</v>
      </c>
      <c r="I4948" s="191">
        <v>3000</v>
      </c>
      <c r="J4948" s="191"/>
      <c r="K4948" s="191">
        <v>0.61659500186148219</v>
      </c>
      <c r="L4948" s="191"/>
      <c r="M4948" s="191"/>
      <c r="N4948" s="191"/>
      <c r="O4948" s="191"/>
      <c r="P4948" s="191"/>
      <c r="Q4948" s="191">
        <v>3.2684250750000002E-4</v>
      </c>
      <c r="R4948" s="191">
        <v>1.3370894686727339E-7</v>
      </c>
      <c r="S4948" s="191">
        <v>1.4856549651919266E-8</v>
      </c>
      <c r="T4948" s="191">
        <v>6.6854473433636697E-8</v>
      </c>
      <c r="U4948" s="439"/>
      <c r="V4948" s="439"/>
      <c r="W4948" s="178">
        <v>30000</v>
      </c>
      <c r="X4948" s="172">
        <f t="shared" si="18"/>
        <v>0.33333333333333331</v>
      </c>
      <c r="Y4948" s="172">
        <f t="shared" si="18"/>
        <v>0.33333333333333331</v>
      </c>
      <c r="Z4948" s="172">
        <f t="shared" si="18"/>
        <v>0.33333333333333331</v>
      </c>
      <c r="AA4948" s="195"/>
      <c r="AB4948" s="159"/>
    </row>
    <row r="4949" spans="1:28" ht="12.75" customHeight="1" x14ac:dyDescent="0.3">
      <c r="A4949" s="161">
        <v>949</v>
      </c>
      <c r="B4949" s="159" t="s">
        <v>3747</v>
      </c>
      <c r="C4949" s="160" t="s">
        <v>1671</v>
      </c>
      <c r="D4949" s="160" t="s">
        <v>619</v>
      </c>
      <c r="E4949" s="545">
        <v>8.9600000000000009</v>
      </c>
      <c r="F4949" s="161">
        <v>105.14</v>
      </c>
      <c r="G4949" s="191"/>
      <c r="H4949" s="191">
        <v>3.7333333323999997E-2</v>
      </c>
      <c r="I4949" s="191">
        <v>1000000</v>
      </c>
      <c r="J4949" s="191"/>
      <c r="K4949" s="191">
        <v>3.7153522909717254E-2</v>
      </c>
      <c r="L4949" s="191"/>
      <c r="M4949" s="191"/>
      <c r="N4949" s="191"/>
      <c r="O4949" s="191"/>
      <c r="P4949" s="191"/>
      <c r="Q4949" s="191">
        <v>6.9517342500000006E-5</v>
      </c>
      <c r="R4949" s="191">
        <v>9.2532143160742838E-7</v>
      </c>
      <c r="S4949" s="191">
        <v>1.0281349240082538E-7</v>
      </c>
      <c r="T4949" s="191">
        <v>4.6266071580371419E-7</v>
      </c>
      <c r="U4949" s="439"/>
      <c r="V4949" s="439"/>
      <c r="W4949" s="178">
        <v>30000</v>
      </c>
      <c r="X4949" s="172">
        <f t="shared" si="18"/>
        <v>0.33333333333333331</v>
      </c>
      <c r="Y4949" s="172">
        <f t="shared" si="18"/>
        <v>0.33333333333333331</v>
      </c>
      <c r="Z4949" s="172">
        <f t="shared" si="18"/>
        <v>0.33333333333333331</v>
      </c>
      <c r="AA4949" s="195"/>
      <c r="AB4949" s="159"/>
    </row>
    <row r="4950" spans="1:28" ht="12.75" customHeight="1" x14ac:dyDescent="0.3">
      <c r="A4950" s="161">
        <v>950</v>
      </c>
      <c r="B4950" s="159" t="s">
        <v>3748</v>
      </c>
      <c r="C4950" s="160" t="s">
        <v>3749</v>
      </c>
      <c r="D4950" s="160" t="s">
        <v>619</v>
      </c>
      <c r="E4950" s="545">
        <v>8.99</v>
      </c>
      <c r="F4950" s="161">
        <v>214.27</v>
      </c>
      <c r="G4950" s="191"/>
      <c r="H4950" s="191">
        <v>2.71999999932E-5</v>
      </c>
      <c r="I4950" s="191">
        <v>4.0510000000000002</v>
      </c>
      <c r="J4950" s="191"/>
      <c r="K4950" s="191">
        <v>43651.583224016598</v>
      </c>
      <c r="L4950" s="191"/>
      <c r="M4950" s="191"/>
      <c r="N4950" s="191"/>
      <c r="O4950" s="191"/>
      <c r="P4950" s="191"/>
      <c r="Q4950" s="191">
        <v>1.524708975E-4</v>
      </c>
      <c r="R4950" s="191">
        <v>2.1393431498763744E-7</v>
      </c>
      <c r="S4950" s="191">
        <v>2.3770479443070826E-8</v>
      </c>
      <c r="T4950" s="191">
        <v>1.0696715749381872E-7</v>
      </c>
      <c r="U4950" s="439"/>
      <c r="V4950" s="439"/>
      <c r="W4950" s="178">
        <v>30000</v>
      </c>
      <c r="X4950" s="172">
        <f t="shared" si="18"/>
        <v>0.33333333333333331</v>
      </c>
      <c r="Y4950" s="172">
        <f t="shared" si="18"/>
        <v>0.33333333333333331</v>
      </c>
      <c r="Z4950" s="172">
        <f t="shared" si="18"/>
        <v>0.33333333333333331</v>
      </c>
      <c r="AA4950" s="195"/>
      <c r="AB4950" s="159"/>
    </row>
    <row r="4951" spans="1:28" ht="12.75" customHeight="1" x14ac:dyDescent="0.3">
      <c r="A4951" s="161">
        <v>951</v>
      </c>
      <c r="B4951" s="159" t="s">
        <v>3750</v>
      </c>
      <c r="C4951" s="160" t="s">
        <v>3751</v>
      </c>
      <c r="D4951" s="160" t="s">
        <v>619</v>
      </c>
      <c r="E4951" s="545">
        <v>9</v>
      </c>
      <c r="F4951" s="161">
        <v>287.45</v>
      </c>
      <c r="G4951" s="191"/>
      <c r="H4951" s="191">
        <v>1.9999999994999997E-5</v>
      </c>
      <c r="I4951" s="191">
        <v>630</v>
      </c>
      <c r="J4951" s="191"/>
      <c r="K4951" s="191">
        <v>14.125375446227544</v>
      </c>
      <c r="L4951" s="191"/>
      <c r="M4951" s="191"/>
      <c r="N4951" s="191"/>
      <c r="O4951" s="191"/>
      <c r="P4951" s="191"/>
      <c r="Q4951" s="191">
        <v>8.1569797499999989E-5</v>
      </c>
      <c r="R4951" s="191">
        <v>5.3483578746909358E-7</v>
      </c>
      <c r="S4951" s="191">
        <v>5.9426198607677063E-8</v>
      </c>
      <c r="T4951" s="191">
        <v>6.0547447638010595E-7</v>
      </c>
      <c r="U4951" s="439"/>
      <c r="V4951" s="439"/>
      <c r="W4951" s="178">
        <v>30000</v>
      </c>
      <c r="X4951" s="172">
        <f t="shared" si="18"/>
        <v>0.33333333333333331</v>
      </c>
      <c r="Y4951" s="172">
        <f t="shared" si="18"/>
        <v>0.33333333333333331</v>
      </c>
      <c r="Z4951" s="172">
        <f t="shared" si="18"/>
        <v>0.33333333333333331</v>
      </c>
      <c r="AA4951" s="195"/>
      <c r="AB4951" s="159"/>
    </row>
    <row r="4952" spans="1:28" ht="12.75" customHeight="1" x14ac:dyDescent="0.3">
      <c r="A4952" s="161">
        <v>952</v>
      </c>
      <c r="B4952" s="159" t="s">
        <v>3857</v>
      </c>
      <c r="C4952" s="160" t="s">
        <v>3751</v>
      </c>
      <c r="D4952" s="160" t="s">
        <v>619</v>
      </c>
      <c r="E4952" s="545">
        <v>9</v>
      </c>
      <c r="F4952" s="161">
        <v>287.45</v>
      </c>
      <c r="G4952" s="191"/>
      <c r="H4952" s="191">
        <v>1.9999999994999997E-5</v>
      </c>
      <c r="I4952" s="191">
        <v>630</v>
      </c>
      <c r="J4952" s="191"/>
      <c r="K4952" s="191">
        <v>14.125375446227544</v>
      </c>
      <c r="L4952" s="191"/>
      <c r="M4952" s="191"/>
      <c r="N4952" s="191"/>
      <c r="O4952" s="191"/>
      <c r="P4952" s="191"/>
      <c r="Q4952" s="191">
        <v>8.1569797499999989E-5</v>
      </c>
      <c r="R4952" s="191">
        <v>5.3483578746909358E-7</v>
      </c>
      <c r="S4952" s="191">
        <v>5.9426198607677063E-8</v>
      </c>
      <c r="T4952" s="191">
        <v>6.0547447638010595E-7</v>
      </c>
      <c r="U4952" s="439"/>
      <c r="V4952" s="439"/>
      <c r="W4952" s="178">
        <v>30000</v>
      </c>
      <c r="X4952" s="172">
        <f t="shared" si="18"/>
        <v>0.33333333333333331</v>
      </c>
      <c r="Y4952" s="172">
        <f t="shared" si="18"/>
        <v>0.33333333333333331</v>
      </c>
      <c r="Z4952" s="172">
        <f t="shared" si="18"/>
        <v>0.33333333333333331</v>
      </c>
      <c r="AA4952" s="195"/>
      <c r="AB4952" s="159"/>
    </row>
    <row r="4953" spans="1:28" ht="12.75" customHeight="1" x14ac:dyDescent="0.3">
      <c r="A4953" s="161">
        <v>953</v>
      </c>
      <c r="B4953" s="159" t="s">
        <v>3752</v>
      </c>
      <c r="C4953" s="160" t="s">
        <v>3753</v>
      </c>
      <c r="D4953" s="160" t="s">
        <v>619</v>
      </c>
      <c r="E4953" s="545">
        <v>9.14</v>
      </c>
      <c r="F4953" s="161">
        <v>211.27</v>
      </c>
      <c r="G4953" s="191"/>
      <c r="H4953" s="191">
        <v>1.9466666661799999E-5</v>
      </c>
      <c r="I4953" s="191">
        <v>61.72</v>
      </c>
      <c r="J4953" s="191"/>
      <c r="K4953" s="191">
        <v>93.325430079699174</v>
      </c>
      <c r="L4953" s="191"/>
      <c r="M4953" s="191"/>
      <c r="N4953" s="191"/>
      <c r="O4953" s="191"/>
      <c r="P4953" s="191"/>
      <c r="Q4953" s="191">
        <v>1.50204E-4</v>
      </c>
      <c r="R4953" s="191">
        <v>2.1393431498763744E-7</v>
      </c>
      <c r="S4953" s="191">
        <v>2.3770479443070826E-8</v>
      </c>
      <c r="T4953" s="191">
        <v>1.0696715749381872E-7</v>
      </c>
      <c r="U4953" s="439"/>
      <c r="V4953" s="439"/>
      <c r="W4953" s="178">
        <v>30000</v>
      </c>
      <c r="X4953" s="172">
        <f t="shared" si="18"/>
        <v>0.33333333333333331</v>
      </c>
      <c r="Y4953" s="172">
        <f t="shared" si="18"/>
        <v>0.33333333333333331</v>
      </c>
      <c r="Z4953" s="172">
        <f t="shared" si="18"/>
        <v>0.33333333333333331</v>
      </c>
      <c r="AA4953" s="195"/>
      <c r="AB4953" s="159"/>
    </row>
    <row r="4954" spans="1:28" ht="12.75" customHeight="1" x14ac:dyDescent="0.3">
      <c r="A4954" s="161">
        <v>954</v>
      </c>
      <c r="B4954" s="159" t="s">
        <v>3754</v>
      </c>
      <c r="C4954" s="160" t="s">
        <v>3755</v>
      </c>
      <c r="D4954" s="160" t="s">
        <v>619</v>
      </c>
      <c r="E4954" s="545">
        <v>9.17</v>
      </c>
      <c r="F4954" s="161">
        <v>94.12</v>
      </c>
      <c r="G4954" s="191"/>
      <c r="H4954" s="191">
        <v>4.6266666655099993E-2</v>
      </c>
      <c r="I4954" s="191">
        <v>83300</v>
      </c>
      <c r="J4954" s="191"/>
      <c r="K4954" s="191">
        <v>2.0892961308540396</v>
      </c>
      <c r="L4954" s="191"/>
      <c r="M4954" s="191"/>
      <c r="N4954" s="191"/>
      <c r="O4954" s="191"/>
      <c r="P4954" s="191"/>
      <c r="Q4954" s="191">
        <v>1.5320085000000002E-5</v>
      </c>
      <c r="R4954" s="191">
        <v>2.1393431498763744E-7</v>
      </c>
      <c r="S4954" s="191">
        <v>2.3770479443070826E-8</v>
      </c>
      <c r="T4954" s="191">
        <v>1.6045073624072808E-8</v>
      </c>
      <c r="U4954" s="439"/>
      <c r="V4954" s="439"/>
      <c r="W4954" s="178">
        <v>30000</v>
      </c>
      <c r="X4954" s="172">
        <f t="shared" si="18"/>
        <v>0.33333333333333331</v>
      </c>
      <c r="Y4954" s="172">
        <f t="shared" si="18"/>
        <v>0.33333333333333331</v>
      </c>
      <c r="Z4954" s="172">
        <f t="shared" si="18"/>
        <v>0.33333333333333331</v>
      </c>
      <c r="AA4954" s="195"/>
      <c r="AB4954" s="159"/>
    </row>
    <row r="4955" spans="1:28" ht="12.75" customHeight="1" x14ac:dyDescent="0.3">
      <c r="A4955" s="161">
        <v>955</v>
      </c>
      <c r="B4955" s="159" t="s">
        <v>3756</v>
      </c>
      <c r="C4955" s="160" t="s">
        <v>3757</v>
      </c>
      <c r="D4955" s="160" t="s">
        <v>619</v>
      </c>
      <c r="E4955" s="545">
        <v>9.19</v>
      </c>
      <c r="F4955" s="161">
        <v>128.13</v>
      </c>
      <c r="G4955" s="191"/>
      <c r="H4955" s="191">
        <v>1.8133333328799997E-4</v>
      </c>
      <c r="I4955" s="191">
        <v>100000</v>
      </c>
      <c r="J4955" s="191"/>
      <c r="K4955" s="191">
        <v>0.33113112148259105</v>
      </c>
      <c r="L4955" s="191"/>
      <c r="M4955" s="191"/>
      <c r="N4955" s="191"/>
      <c r="O4955" s="191"/>
      <c r="P4955" s="191"/>
      <c r="Q4955" s="191">
        <v>2.2956000000000001E-6</v>
      </c>
      <c r="R4955" s="191">
        <v>2.1393431498763744E-7</v>
      </c>
      <c r="S4955" s="191">
        <v>2.3770479443070826E-8</v>
      </c>
      <c r="T4955" s="191">
        <v>1.0696715749381872E-7</v>
      </c>
      <c r="U4955" s="439"/>
      <c r="V4955" s="439"/>
      <c r="W4955" s="178">
        <v>30000</v>
      </c>
      <c r="X4955" s="172">
        <f t="shared" si="18"/>
        <v>0.33333333333333331</v>
      </c>
      <c r="Y4955" s="172">
        <f t="shared" si="18"/>
        <v>0.33333333333333331</v>
      </c>
      <c r="Z4955" s="172">
        <f t="shared" si="18"/>
        <v>0.33333333333333331</v>
      </c>
      <c r="AA4955" s="195"/>
      <c r="AB4955" s="159"/>
    </row>
    <row r="4956" spans="1:28" ht="12.75" customHeight="1" x14ac:dyDescent="0.3">
      <c r="A4956" s="161">
        <v>956</v>
      </c>
      <c r="B4956" s="159" t="s">
        <v>3758</v>
      </c>
      <c r="C4956" s="160" t="s">
        <v>3759</v>
      </c>
      <c r="D4956" s="160" t="s">
        <v>619</v>
      </c>
      <c r="E4956" s="545">
        <v>9.2100000000000009</v>
      </c>
      <c r="F4956" s="161">
        <v>196.68</v>
      </c>
      <c r="G4956" s="191"/>
      <c r="H4956" s="191">
        <v>0.12306666663589999</v>
      </c>
      <c r="I4956" s="191">
        <v>270</v>
      </c>
      <c r="J4956" s="191"/>
      <c r="K4956" s="191">
        <v>776.24711662869231</v>
      </c>
      <c r="L4956" s="191"/>
      <c r="M4956" s="191"/>
      <c r="N4956" s="191"/>
      <c r="O4956" s="191"/>
      <c r="P4956" s="191"/>
      <c r="Q4956" s="191">
        <v>6.797676E-5</v>
      </c>
      <c r="R4956" s="191">
        <v>2.1393431498763744E-7</v>
      </c>
      <c r="S4956" s="191">
        <v>2.3770479443070826E-8</v>
      </c>
      <c r="T4956" s="191">
        <v>2.6741789373454679E-7</v>
      </c>
      <c r="U4956" s="439"/>
      <c r="V4956" s="439"/>
      <c r="W4956" s="178">
        <v>30000</v>
      </c>
      <c r="X4956" s="172">
        <f t="shared" si="18"/>
        <v>0.33333333333333331</v>
      </c>
      <c r="Y4956" s="172">
        <f t="shared" si="18"/>
        <v>0.33333333333333331</v>
      </c>
      <c r="Z4956" s="172">
        <f t="shared" si="18"/>
        <v>0.33333333333333331</v>
      </c>
      <c r="AA4956" s="195"/>
      <c r="AB4956" s="159"/>
    </row>
    <row r="4957" spans="1:28" ht="12.75" customHeight="1" x14ac:dyDescent="0.3">
      <c r="A4957" s="161">
        <v>957</v>
      </c>
      <c r="B4957" s="159" t="s">
        <v>3760</v>
      </c>
      <c r="C4957" s="160" t="s">
        <v>3761</v>
      </c>
      <c r="D4957" s="160" t="s">
        <v>619</v>
      </c>
      <c r="E4957" s="545">
        <v>9.3000000000000007</v>
      </c>
      <c r="F4957" s="161">
        <v>261.12</v>
      </c>
      <c r="G4957" s="191"/>
      <c r="H4957" s="191">
        <v>4.0933333323099993E-5</v>
      </c>
      <c r="I4957" s="191">
        <v>815</v>
      </c>
      <c r="J4957" s="191"/>
      <c r="K4957" s="191">
        <v>128.82495516931343</v>
      </c>
      <c r="L4957" s="191"/>
      <c r="M4957" s="191"/>
      <c r="N4957" s="191"/>
      <c r="O4957" s="191"/>
      <c r="P4957" s="191"/>
      <c r="Q4957" s="191">
        <v>1.4556599999999999E-5</v>
      </c>
      <c r="R4957" s="191">
        <v>2.1393431498763744E-7</v>
      </c>
      <c r="S4957" s="191">
        <v>2.3770479443070826E-8</v>
      </c>
      <c r="T4957" s="191">
        <v>1.3370894686727339E-7</v>
      </c>
      <c r="U4957" s="439"/>
      <c r="V4957" s="439"/>
      <c r="W4957" s="178">
        <v>30000</v>
      </c>
      <c r="X4957" s="172">
        <f t="shared" si="18"/>
        <v>0.33333333333333331</v>
      </c>
      <c r="Y4957" s="172">
        <f t="shared" si="18"/>
        <v>0.33333333333333331</v>
      </c>
      <c r="Z4957" s="172">
        <f t="shared" si="18"/>
        <v>0.33333333333333331</v>
      </c>
      <c r="AA4957" s="195"/>
      <c r="AB4957" s="159"/>
    </row>
    <row r="4958" spans="1:28" ht="12.75" customHeight="1" x14ac:dyDescent="0.3">
      <c r="A4958" s="161">
        <v>958</v>
      </c>
      <c r="B4958" s="159" t="s">
        <v>3762</v>
      </c>
      <c r="C4958" s="160" t="s">
        <v>3763</v>
      </c>
      <c r="D4958" s="160" t="s">
        <v>619</v>
      </c>
      <c r="E4958" s="545">
        <v>9.33</v>
      </c>
      <c r="F4958" s="161">
        <v>172.32</v>
      </c>
      <c r="G4958" s="191"/>
      <c r="H4958" s="191">
        <v>29.8666666592</v>
      </c>
      <c r="I4958" s="191">
        <v>21570</v>
      </c>
      <c r="J4958" s="191"/>
      <c r="K4958" s="191">
        <v>50.118723362727238</v>
      </c>
      <c r="L4958" s="191"/>
      <c r="M4958" s="191"/>
      <c r="N4958" s="191"/>
      <c r="O4958" s="191"/>
      <c r="P4958" s="191"/>
      <c r="Q4958" s="191">
        <v>1.230595875E-4</v>
      </c>
      <c r="R4958" s="191">
        <v>2.1393431498763744E-7</v>
      </c>
      <c r="S4958" s="191">
        <v>2.3770479443070826E-8</v>
      </c>
      <c r="T4958" s="191">
        <v>1.0696715749381872E-7</v>
      </c>
      <c r="U4958" s="439"/>
      <c r="V4958" s="439"/>
      <c r="W4958" s="178">
        <v>30000</v>
      </c>
      <c r="X4958" s="172">
        <f t="shared" si="18"/>
        <v>0.33333333333333331</v>
      </c>
      <c r="Y4958" s="172">
        <f t="shared" si="18"/>
        <v>0.33333333333333331</v>
      </c>
      <c r="Z4958" s="172">
        <f t="shared" si="18"/>
        <v>0.33333333333333331</v>
      </c>
      <c r="AA4958" s="195"/>
      <c r="AB4958" s="159"/>
    </row>
    <row r="4959" spans="1:28" ht="12.75" customHeight="1" x14ac:dyDescent="0.3">
      <c r="A4959" s="161">
        <v>959</v>
      </c>
      <c r="B4959" s="159" t="s">
        <v>3764</v>
      </c>
      <c r="C4959" s="160" t="s">
        <v>3765</v>
      </c>
      <c r="D4959" s="160" t="s">
        <v>619</v>
      </c>
      <c r="E4959" s="545">
        <v>9.41</v>
      </c>
      <c r="F4959" s="161">
        <v>255.49</v>
      </c>
      <c r="G4959" s="191"/>
      <c r="H4959" s="191">
        <v>0.17999999995499999</v>
      </c>
      <c r="I4959" s="191">
        <v>0.27979999999999999</v>
      </c>
      <c r="J4959" s="191"/>
      <c r="K4959" s="191">
        <v>8128305.1616410045</v>
      </c>
      <c r="L4959" s="191"/>
      <c r="M4959" s="191"/>
      <c r="N4959" s="191"/>
      <c r="O4959" s="191"/>
      <c r="P4959" s="191"/>
      <c r="Q4959" s="191">
        <v>7.9046655E-5</v>
      </c>
      <c r="R4959" s="191">
        <v>5.3483578746909358E-7</v>
      </c>
      <c r="S4959" s="191">
        <v>5.9426198607677063E-8</v>
      </c>
      <c r="T4959" s="191">
        <v>2.6741789373454679E-7</v>
      </c>
      <c r="U4959" s="439"/>
      <c r="V4959" s="439"/>
      <c r="W4959" s="178">
        <v>30000</v>
      </c>
      <c r="X4959" s="172">
        <f t="shared" si="18"/>
        <v>0.33333333333333331</v>
      </c>
      <c r="Y4959" s="172">
        <f t="shared" si="18"/>
        <v>0.33333333333333331</v>
      </c>
      <c r="Z4959" s="172">
        <f t="shared" si="18"/>
        <v>0.33333333333333331</v>
      </c>
      <c r="AA4959" s="195"/>
      <c r="AB4959" s="159"/>
    </row>
    <row r="4960" spans="1:28" ht="12.75" customHeight="1" x14ac:dyDescent="0.3">
      <c r="A4960" s="161">
        <v>960</v>
      </c>
      <c r="B4960" s="159" t="s">
        <v>3766</v>
      </c>
      <c r="C4960" s="160" t="s">
        <v>3767</v>
      </c>
      <c r="D4960" s="160" t="s">
        <v>619</v>
      </c>
      <c r="E4960" s="545">
        <v>9.4499999999999993</v>
      </c>
      <c r="F4960" s="161">
        <v>112.09</v>
      </c>
      <c r="G4960" s="191"/>
      <c r="H4960" s="191">
        <v>6.2266666651099988E-3</v>
      </c>
      <c r="I4960" s="191">
        <v>3600</v>
      </c>
      <c r="J4960" s="191"/>
      <c r="K4960" s="191">
        <v>8.5113803820237616E-2</v>
      </c>
      <c r="L4960" s="191"/>
      <c r="M4960" s="191"/>
      <c r="N4960" s="191"/>
      <c r="O4960" s="191"/>
      <c r="P4960" s="191"/>
      <c r="Q4960" s="191">
        <v>6.5760000000000002E-6</v>
      </c>
      <c r="R4960" s="191">
        <v>5.3483578746909358E-7</v>
      </c>
      <c r="S4960" s="191">
        <v>5.9426198607677063E-8</v>
      </c>
      <c r="T4960" s="191">
        <v>2.6741789373454679E-7</v>
      </c>
      <c r="U4960" s="439"/>
      <c r="V4960" s="439"/>
      <c r="W4960" s="178">
        <v>30000</v>
      </c>
      <c r="X4960" s="172">
        <f t="shared" si="18"/>
        <v>0.33333333333333331</v>
      </c>
      <c r="Y4960" s="172">
        <f t="shared" si="18"/>
        <v>0.33333333333333331</v>
      </c>
      <c r="Z4960" s="172">
        <f t="shared" si="18"/>
        <v>0.33333333333333331</v>
      </c>
      <c r="AA4960" s="195"/>
      <c r="AB4960" s="159"/>
    </row>
    <row r="4961" spans="1:28" ht="12.75" customHeight="1" x14ac:dyDescent="0.3">
      <c r="A4961" s="161">
        <v>961</v>
      </c>
      <c r="B4961" s="159" t="s">
        <v>3768</v>
      </c>
      <c r="C4961" s="160" t="s">
        <v>1702</v>
      </c>
      <c r="D4961" s="160" t="s">
        <v>619</v>
      </c>
      <c r="E4961" s="545">
        <v>9.5</v>
      </c>
      <c r="F4961" s="161">
        <v>61.08</v>
      </c>
      <c r="G4961" s="191"/>
      <c r="H4961" s="191">
        <v>53.866666653199999</v>
      </c>
      <c r="I4961" s="191">
        <v>1000000</v>
      </c>
      <c r="J4961" s="191"/>
      <c r="K4961" s="191">
        <v>4.8977881936844603E-2</v>
      </c>
      <c r="L4961" s="191"/>
      <c r="M4961" s="191"/>
      <c r="N4961" s="191"/>
      <c r="O4961" s="191"/>
      <c r="P4961" s="191"/>
      <c r="Q4961" s="191">
        <v>2.6883667499999999E-5</v>
      </c>
      <c r="R4961" s="191">
        <v>5.3483578746909358E-7</v>
      </c>
      <c r="S4961" s="191">
        <v>5.9426198607677063E-8</v>
      </c>
      <c r="T4961" s="191">
        <v>2.6741789373454679E-7</v>
      </c>
      <c r="U4961" s="439"/>
      <c r="V4961" s="439"/>
      <c r="W4961" s="178">
        <v>30000</v>
      </c>
      <c r="X4961" s="172">
        <f t="shared" si="18"/>
        <v>0.33333333333333331</v>
      </c>
      <c r="Y4961" s="172">
        <f t="shared" si="18"/>
        <v>0.33333333333333331</v>
      </c>
      <c r="Z4961" s="172">
        <f t="shared" si="18"/>
        <v>0.33333333333333331</v>
      </c>
      <c r="AA4961" s="195"/>
      <c r="AB4961" s="159"/>
    </row>
    <row r="4962" spans="1:28" ht="12.75" customHeight="1" x14ac:dyDescent="0.3">
      <c r="A4962" s="161">
        <v>962</v>
      </c>
      <c r="B4962" s="159" t="s">
        <v>3769</v>
      </c>
      <c r="C4962" s="160" t="s">
        <v>3770</v>
      </c>
      <c r="D4962" s="160" t="s">
        <v>619</v>
      </c>
      <c r="E4962" s="545">
        <v>9.56</v>
      </c>
      <c r="F4962" s="161">
        <v>239.32</v>
      </c>
      <c r="G4962" s="191"/>
      <c r="H4962" s="191">
        <v>1.1853333330370001E-6</v>
      </c>
      <c r="I4962" s="191">
        <v>14100</v>
      </c>
      <c r="J4962" s="191"/>
      <c r="K4962" s="191">
        <v>4.3651583224016601</v>
      </c>
      <c r="L4962" s="191"/>
      <c r="M4962" s="191"/>
      <c r="N4962" s="191"/>
      <c r="O4962" s="191"/>
      <c r="P4962" s="191"/>
      <c r="Q4962" s="191">
        <v>1.0131548250000001E-4</v>
      </c>
      <c r="R4962" s="191">
        <v>5.3483578746909358E-7</v>
      </c>
      <c r="S4962" s="191">
        <v>5.9426198607677063E-8</v>
      </c>
      <c r="T4962" s="191">
        <v>2.6741789373454679E-7</v>
      </c>
      <c r="U4962" s="439"/>
      <c r="V4962" s="439"/>
      <c r="W4962" s="178">
        <v>30000</v>
      </c>
      <c r="X4962" s="172">
        <f t="shared" ref="X4962:Z4993" si="19">1/3</f>
        <v>0.33333333333333331</v>
      </c>
      <c r="Y4962" s="172">
        <f t="shared" si="19"/>
        <v>0.33333333333333331</v>
      </c>
      <c r="Z4962" s="172">
        <f t="shared" si="19"/>
        <v>0.33333333333333331</v>
      </c>
      <c r="AA4962" s="195"/>
      <c r="AB4962" s="159"/>
    </row>
    <row r="4963" spans="1:28" ht="12.75" customHeight="1" x14ac:dyDescent="0.3">
      <c r="A4963" s="161">
        <v>963</v>
      </c>
      <c r="B4963" s="159" t="s">
        <v>3771</v>
      </c>
      <c r="C4963" s="160" t="s">
        <v>3772</v>
      </c>
      <c r="D4963" s="160" t="s">
        <v>619</v>
      </c>
      <c r="E4963" s="545">
        <v>9.6199999999999992</v>
      </c>
      <c r="F4963" s="161">
        <v>105.14</v>
      </c>
      <c r="G4963" s="191"/>
      <c r="H4963" s="191">
        <v>0.20533333328199999</v>
      </c>
      <c r="I4963" s="191">
        <v>1000000</v>
      </c>
      <c r="J4963" s="191"/>
      <c r="K4963" s="191">
        <v>1.2882495516931332E-2</v>
      </c>
      <c r="L4963" s="191"/>
      <c r="M4963" s="191"/>
      <c r="N4963" s="191"/>
      <c r="O4963" s="191"/>
      <c r="P4963" s="191"/>
      <c r="Q4963" s="191">
        <v>5.2183627499999998E-5</v>
      </c>
      <c r="R4963" s="191">
        <v>5.3483578746909358E-7</v>
      </c>
      <c r="S4963" s="191">
        <v>5.9426198607677063E-8</v>
      </c>
      <c r="T4963" s="191">
        <v>2.6741789373454679E-7</v>
      </c>
      <c r="U4963" s="439"/>
      <c r="V4963" s="439"/>
      <c r="W4963" s="178">
        <v>30000</v>
      </c>
      <c r="X4963" s="172">
        <f t="shared" si="19"/>
        <v>0.33333333333333331</v>
      </c>
      <c r="Y4963" s="172">
        <f t="shared" si="19"/>
        <v>0.33333333333333331</v>
      </c>
      <c r="Z4963" s="172">
        <f t="shared" si="19"/>
        <v>0.33333333333333331</v>
      </c>
      <c r="AA4963" s="195"/>
      <c r="AB4963" s="159"/>
    </row>
    <row r="4964" spans="1:28" ht="12.75" customHeight="1" x14ac:dyDescent="0.3">
      <c r="A4964" s="161">
        <v>964</v>
      </c>
      <c r="B4964" s="159" t="s">
        <v>3773</v>
      </c>
      <c r="C4964" s="160" t="s">
        <v>3774</v>
      </c>
      <c r="D4964" s="160" t="s">
        <v>619</v>
      </c>
      <c r="E4964" s="545">
        <v>9.6999999999999993</v>
      </c>
      <c r="F4964" s="161">
        <v>198.18</v>
      </c>
      <c r="G4964" s="191"/>
      <c r="H4964" s="191">
        <v>1.5066666662899998E-4</v>
      </c>
      <c r="I4964" s="191">
        <v>890</v>
      </c>
      <c r="J4964" s="191"/>
      <c r="K4964" s="191">
        <v>17378.008287493791</v>
      </c>
      <c r="L4964" s="191"/>
      <c r="M4964" s="191"/>
      <c r="N4964" s="191"/>
      <c r="O4964" s="191"/>
      <c r="P4964" s="191"/>
      <c r="Q4964" s="191">
        <v>4.5158699999999998E-6</v>
      </c>
      <c r="R4964" s="191">
        <v>2.1393431498763744E-7</v>
      </c>
      <c r="S4964" s="191">
        <v>2.3770479443070826E-8</v>
      </c>
      <c r="T4964" s="191">
        <v>2.2921533748675437E-6</v>
      </c>
      <c r="U4964" s="439"/>
      <c r="V4964" s="439"/>
      <c r="W4964" s="178">
        <v>30000</v>
      </c>
      <c r="X4964" s="172">
        <f t="shared" si="19"/>
        <v>0.33333333333333331</v>
      </c>
      <c r="Y4964" s="172">
        <f t="shared" si="19"/>
        <v>0.33333333333333331</v>
      </c>
      <c r="Z4964" s="172">
        <f t="shared" si="19"/>
        <v>0.33333333333333331</v>
      </c>
      <c r="AA4964" s="195"/>
      <c r="AB4964" s="159"/>
    </row>
    <row r="4965" spans="1:28" ht="12.75" customHeight="1" x14ac:dyDescent="0.3">
      <c r="A4965" s="161">
        <v>965</v>
      </c>
      <c r="B4965" s="159" t="s">
        <v>3775</v>
      </c>
      <c r="C4965" s="160" t="s">
        <v>1636</v>
      </c>
      <c r="D4965" s="160" t="s">
        <v>619</v>
      </c>
      <c r="E4965" s="545">
        <v>9.73</v>
      </c>
      <c r="F4965" s="161">
        <v>86.14</v>
      </c>
      <c r="G4965" s="191"/>
      <c r="H4965" s="191">
        <v>21.333333327999998</v>
      </c>
      <c r="I4965" s="191">
        <v>1000000</v>
      </c>
      <c r="J4965" s="191"/>
      <c r="K4965" s="191">
        <v>3.1622776601683784E-2</v>
      </c>
      <c r="L4965" s="191"/>
      <c r="M4965" s="191"/>
      <c r="N4965" s="191"/>
      <c r="O4965" s="191"/>
      <c r="P4965" s="191"/>
      <c r="Q4965" s="191">
        <v>1.2655208249999999E-4</v>
      </c>
      <c r="R4965" s="191">
        <v>5.3483578746909358E-7</v>
      </c>
      <c r="S4965" s="191">
        <v>5.9426198607677063E-8</v>
      </c>
      <c r="T4965" s="191">
        <v>2.6741789373454679E-7</v>
      </c>
      <c r="U4965" s="439"/>
      <c r="V4965" s="439"/>
      <c r="W4965" s="178">
        <v>30000</v>
      </c>
      <c r="X4965" s="172">
        <f t="shared" si="19"/>
        <v>0.33333333333333331</v>
      </c>
      <c r="Y4965" s="172">
        <f t="shared" si="19"/>
        <v>0.33333333333333331</v>
      </c>
      <c r="Z4965" s="172">
        <f t="shared" si="19"/>
        <v>0.33333333333333331</v>
      </c>
      <c r="AA4965" s="195"/>
      <c r="AB4965" s="159"/>
    </row>
    <row r="4966" spans="1:28" ht="12.75" customHeight="1" x14ac:dyDescent="0.3">
      <c r="A4966" s="161">
        <v>966</v>
      </c>
      <c r="B4966" s="159" t="s">
        <v>3776</v>
      </c>
      <c r="C4966" s="160" t="s">
        <v>3777</v>
      </c>
      <c r="D4966" s="160" t="s">
        <v>619</v>
      </c>
      <c r="E4966" s="545">
        <v>9.7799999999999994</v>
      </c>
      <c r="F4966" s="161">
        <v>149.24</v>
      </c>
      <c r="G4966" s="191"/>
      <c r="H4966" s="191">
        <v>48.133333321299993</v>
      </c>
      <c r="I4966" s="191">
        <v>21310</v>
      </c>
      <c r="J4966" s="191"/>
      <c r="K4966" s="191">
        <v>67.60829753919819</v>
      </c>
      <c r="L4966" s="191"/>
      <c r="M4966" s="191"/>
      <c r="N4966" s="191"/>
      <c r="O4966" s="191"/>
      <c r="P4966" s="191"/>
      <c r="Q4966" s="191">
        <v>7.1180872500000003E-5</v>
      </c>
      <c r="R4966" s="191">
        <v>5.3483578746909358E-7</v>
      </c>
      <c r="S4966" s="191">
        <v>5.9426198607677063E-8</v>
      </c>
      <c r="T4966" s="191">
        <v>2.6741789373454679E-7</v>
      </c>
      <c r="U4966" s="439"/>
      <c r="V4966" s="439"/>
      <c r="W4966" s="178">
        <v>30000</v>
      </c>
      <c r="X4966" s="172">
        <f t="shared" si="19"/>
        <v>0.33333333333333331</v>
      </c>
      <c r="Y4966" s="172">
        <f t="shared" si="19"/>
        <v>0.33333333333333331</v>
      </c>
      <c r="Z4966" s="172">
        <f t="shared" si="19"/>
        <v>0.33333333333333331</v>
      </c>
      <c r="AA4966" s="195"/>
      <c r="AB4966" s="159"/>
    </row>
    <row r="4967" spans="1:28" ht="12.75" customHeight="1" x14ac:dyDescent="0.3">
      <c r="A4967" s="161">
        <v>967</v>
      </c>
      <c r="B4967" s="159" t="s">
        <v>3778</v>
      </c>
      <c r="C4967" s="160" t="s">
        <v>3779</v>
      </c>
      <c r="D4967" s="160" t="s">
        <v>619</v>
      </c>
      <c r="E4967" s="545">
        <v>9.92</v>
      </c>
      <c r="F4967" s="161">
        <v>60.1</v>
      </c>
      <c r="G4967" s="191"/>
      <c r="H4967" s="191">
        <v>1599.9999995999999</v>
      </c>
      <c r="I4967" s="191">
        <v>1000000</v>
      </c>
      <c r="J4967" s="191"/>
      <c r="K4967" s="191">
        <v>9.1201083935590881E-3</v>
      </c>
      <c r="L4967" s="191"/>
      <c r="M4967" s="191"/>
      <c r="N4967" s="191"/>
      <c r="O4967" s="191"/>
      <c r="P4967" s="191"/>
      <c r="Q4967" s="191">
        <v>4.7526037499999998E-5</v>
      </c>
      <c r="R4967" s="191">
        <v>5.3483578746909358E-7</v>
      </c>
      <c r="S4967" s="191">
        <v>5.9426198607677063E-8</v>
      </c>
      <c r="T4967" s="191">
        <v>2.6741789373454679E-7</v>
      </c>
      <c r="U4967" s="439"/>
      <c r="V4967" s="439"/>
      <c r="W4967" s="178">
        <v>30000</v>
      </c>
      <c r="X4967" s="172">
        <f t="shared" si="19"/>
        <v>0.33333333333333331</v>
      </c>
      <c r="Y4967" s="172">
        <f t="shared" si="19"/>
        <v>0.33333333333333331</v>
      </c>
      <c r="Z4967" s="172">
        <f t="shared" si="19"/>
        <v>0.33333333333333331</v>
      </c>
      <c r="AA4967" s="195"/>
      <c r="AB4967" s="159"/>
    </row>
    <row r="4968" spans="1:28" ht="12.75" customHeight="1" x14ac:dyDescent="0.3">
      <c r="A4968" s="161">
        <v>968</v>
      </c>
      <c r="B4968" s="159" t="s">
        <v>3780</v>
      </c>
      <c r="C4968" s="160" t="s">
        <v>3781</v>
      </c>
      <c r="D4968" s="160" t="s">
        <v>619</v>
      </c>
      <c r="E4968" s="545">
        <v>9.94</v>
      </c>
      <c r="F4968" s="161">
        <v>250.31</v>
      </c>
      <c r="G4968" s="191"/>
      <c r="H4968" s="191">
        <v>3.5466666657799995E-7</v>
      </c>
      <c r="I4968" s="191">
        <v>29860</v>
      </c>
      <c r="J4968" s="191"/>
      <c r="K4968" s="191">
        <v>0.75857757502918366</v>
      </c>
      <c r="L4968" s="191"/>
      <c r="M4968" s="191"/>
      <c r="N4968" s="191"/>
      <c r="O4968" s="191"/>
      <c r="P4968" s="191"/>
      <c r="Q4968" s="191">
        <v>1.147651875E-4</v>
      </c>
      <c r="R4968" s="191">
        <v>2.1393431498763744E-7</v>
      </c>
      <c r="S4968" s="191">
        <v>2.3770479443070826E-8</v>
      </c>
      <c r="T4968" s="191">
        <v>1.0696715749381872E-7</v>
      </c>
      <c r="U4968" s="439"/>
      <c r="V4968" s="439"/>
      <c r="W4968" s="178">
        <v>30000</v>
      </c>
      <c r="X4968" s="172">
        <f t="shared" si="19"/>
        <v>0.33333333333333331</v>
      </c>
      <c r="Y4968" s="172">
        <f t="shared" si="19"/>
        <v>0.33333333333333331</v>
      </c>
      <c r="Z4968" s="172">
        <f t="shared" si="19"/>
        <v>0.33333333333333331</v>
      </c>
      <c r="AA4968" s="195"/>
      <c r="AB4968" s="159"/>
    </row>
    <row r="4969" spans="1:28" ht="12.75" customHeight="1" x14ac:dyDescent="0.3">
      <c r="A4969" s="161">
        <v>969</v>
      </c>
      <c r="B4969" s="159" t="s">
        <v>3782</v>
      </c>
      <c r="C4969" s="160" t="s">
        <v>3783</v>
      </c>
      <c r="D4969" s="160" t="s">
        <v>619</v>
      </c>
      <c r="E4969" s="545">
        <v>9.94</v>
      </c>
      <c r="F4969" s="161">
        <v>75.11</v>
      </c>
      <c r="G4969" s="191"/>
      <c r="H4969" s="191">
        <v>62.666666650999993</v>
      </c>
      <c r="I4969" s="191">
        <v>1000000</v>
      </c>
      <c r="J4969" s="191"/>
      <c r="K4969" s="191">
        <v>0.10964781961431849</v>
      </c>
      <c r="L4969" s="191"/>
      <c r="M4969" s="191"/>
      <c r="N4969" s="191"/>
      <c r="O4969" s="191"/>
      <c r="P4969" s="191"/>
      <c r="Q4969" s="191">
        <v>3.02572575E-5</v>
      </c>
      <c r="R4969" s="191">
        <v>5.3483578746909358E-7</v>
      </c>
      <c r="S4969" s="191">
        <v>5.9426198607677063E-8</v>
      </c>
      <c r="T4969" s="191">
        <v>2.6741789373454679E-7</v>
      </c>
      <c r="U4969" s="439"/>
      <c r="V4969" s="439"/>
      <c r="W4969" s="178">
        <v>30000</v>
      </c>
      <c r="X4969" s="172">
        <f t="shared" si="19"/>
        <v>0.33333333333333331</v>
      </c>
      <c r="Y4969" s="172">
        <f t="shared" si="19"/>
        <v>0.33333333333333331</v>
      </c>
      <c r="Z4969" s="172">
        <f t="shared" si="19"/>
        <v>0.33333333333333331</v>
      </c>
      <c r="AA4969" s="195"/>
      <c r="AB4969" s="159"/>
    </row>
    <row r="4970" spans="1:28" ht="12.75" customHeight="1" x14ac:dyDescent="0.3">
      <c r="A4970" s="161">
        <v>970</v>
      </c>
      <c r="B4970" s="159" t="s">
        <v>3784</v>
      </c>
      <c r="C4970" s="160" t="s">
        <v>3785</v>
      </c>
      <c r="D4970" s="160" t="s">
        <v>619</v>
      </c>
      <c r="E4970" s="545">
        <v>9.9499999999999993</v>
      </c>
      <c r="F4970" s="161">
        <v>75.11</v>
      </c>
      <c r="G4970" s="191"/>
      <c r="H4970" s="191">
        <v>143.99999996400001</v>
      </c>
      <c r="I4970" s="191">
        <v>1000000</v>
      </c>
      <c r="J4970" s="191"/>
      <c r="K4970" s="191">
        <v>0.11481536214968829</v>
      </c>
      <c r="L4970" s="191"/>
      <c r="M4970" s="191"/>
      <c r="N4970" s="191"/>
      <c r="O4970" s="191"/>
      <c r="P4970" s="191"/>
      <c r="Q4970" s="191">
        <v>5.9332274999999993E-5</v>
      </c>
      <c r="R4970" s="191">
        <v>5.3483578746909358E-7</v>
      </c>
      <c r="S4970" s="191">
        <v>5.9426198607677063E-8</v>
      </c>
      <c r="T4970" s="191">
        <v>2.6741789373454679E-7</v>
      </c>
      <c r="U4970" s="439"/>
      <c r="V4970" s="439"/>
      <c r="W4970" s="178">
        <v>30000</v>
      </c>
      <c r="X4970" s="172">
        <f t="shared" si="19"/>
        <v>0.33333333333333331</v>
      </c>
      <c r="Y4970" s="172">
        <f t="shared" si="19"/>
        <v>0.33333333333333331</v>
      </c>
      <c r="Z4970" s="172">
        <f t="shared" si="19"/>
        <v>0.33333333333333331</v>
      </c>
      <c r="AA4970" s="195"/>
      <c r="AB4970" s="159"/>
    </row>
    <row r="4971" spans="1:28" ht="12.75" customHeight="1" x14ac:dyDescent="0.3">
      <c r="A4971" s="161">
        <v>971</v>
      </c>
      <c r="B4971" s="159" t="s">
        <v>3786</v>
      </c>
      <c r="C4971" s="160" t="s">
        <v>3787</v>
      </c>
      <c r="D4971" s="160" t="s">
        <v>619</v>
      </c>
      <c r="E4971" s="545">
        <v>9.9700000000000006</v>
      </c>
      <c r="F4971" s="161">
        <v>74.13</v>
      </c>
      <c r="G4971" s="191"/>
      <c r="H4971" s="191">
        <v>1413.3333329799998</v>
      </c>
      <c r="I4971" s="191">
        <v>1000000</v>
      </c>
      <c r="J4971" s="191"/>
      <c r="K4971" s="191">
        <v>6.3095734448019317E-2</v>
      </c>
      <c r="L4971" s="191"/>
      <c r="M4971" s="191"/>
      <c r="N4971" s="191"/>
      <c r="O4971" s="191"/>
      <c r="P4971" s="191"/>
      <c r="Q4971" s="191">
        <v>5.62822275E-5</v>
      </c>
      <c r="R4971" s="191">
        <v>5.3483578746909358E-7</v>
      </c>
      <c r="S4971" s="191">
        <v>5.9426198607677063E-8</v>
      </c>
      <c r="T4971" s="191">
        <v>2.6741789373454679E-7</v>
      </c>
      <c r="U4971" s="439"/>
      <c r="V4971" s="439"/>
      <c r="W4971" s="178">
        <v>30000</v>
      </c>
      <c r="X4971" s="172">
        <f t="shared" si="19"/>
        <v>0.33333333333333331</v>
      </c>
      <c r="Y4971" s="172">
        <f t="shared" si="19"/>
        <v>0.33333333333333331</v>
      </c>
      <c r="Z4971" s="172">
        <f t="shared" si="19"/>
        <v>0.33333333333333331</v>
      </c>
      <c r="AA4971" s="195"/>
      <c r="AB4971" s="159"/>
    </row>
    <row r="4972" spans="1:28" ht="12.75" customHeight="1" x14ac:dyDescent="0.3">
      <c r="A4972" s="161">
        <v>972</v>
      </c>
      <c r="B4972" s="159" t="s">
        <v>3788</v>
      </c>
      <c r="C4972" s="160" t="s">
        <v>3789</v>
      </c>
      <c r="D4972" s="160" t="s">
        <v>619</v>
      </c>
      <c r="E4972" s="545">
        <v>9.98</v>
      </c>
      <c r="F4972" s="161">
        <v>238.42</v>
      </c>
      <c r="G4972" s="191"/>
      <c r="H4972" s="191">
        <v>926.66666643500002</v>
      </c>
      <c r="I4972" s="191">
        <v>87.93</v>
      </c>
      <c r="J4972" s="191"/>
      <c r="K4972" s="191">
        <v>12589.254117941671</v>
      </c>
      <c r="L4972" s="191"/>
      <c r="M4972" s="191"/>
      <c r="N4972" s="191"/>
      <c r="O4972" s="191"/>
      <c r="P4972" s="191"/>
      <c r="Q4972" s="191">
        <v>8.9930699999999996E-5</v>
      </c>
      <c r="R4972" s="191">
        <v>2.1393431498763744E-7</v>
      </c>
      <c r="S4972" s="191">
        <v>2.3770479443070826E-8</v>
      </c>
      <c r="T4972" s="191">
        <v>1.0696715749381872E-7</v>
      </c>
      <c r="U4972" s="439"/>
      <c r="V4972" s="439"/>
      <c r="W4972" s="178">
        <v>30000</v>
      </c>
      <c r="X4972" s="172">
        <f t="shared" si="19"/>
        <v>0.33333333333333331</v>
      </c>
      <c r="Y4972" s="172">
        <f t="shared" si="19"/>
        <v>0.33333333333333331</v>
      </c>
      <c r="Z4972" s="172">
        <f t="shared" si="19"/>
        <v>0.33333333333333331</v>
      </c>
      <c r="AA4972" s="195"/>
      <c r="AB4972" s="159"/>
    </row>
    <row r="4973" spans="1:28" ht="12.75" customHeight="1" x14ac:dyDescent="0.3">
      <c r="A4973" s="161">
        <v>973</v>
      </c>
      <c r="B4973" s="159" t="s">
        <v>3790</v>
      </c>
      <c r="C4973" s="160" t="s">
        <v>3791</v>
      </c>
      <c r="D4973" s="160" t="s">
        <v>619</v>
      </c>
      <c r="E4973" s="545">
        <v>10</v>
      </c>
      <c r="F4973" s="161">
        <v>198.14</v>
      </c>
      <c r="G4973" s="191"/>
      <c r="H4973" s="191">
        <v>4.5999999988499996E-5</v>
      </c>
      <c r="I4973" s="191">
        <v>210</v>
      </c>
      <c r="J4973" s="191"/>
      <c r="K4973" s="191">
        <v>1.6982436524617444</v>
      </c>
      <c r="L4973" s="191"/>
      <c r="M4973" s="191"/>
      <c r="N4973" s="191"/>
      <c r="O4973" s="191"/>
      <c r="P4973" s="191"/>
      <c r="Q4973" s="191">
        <v>1.1961502499999999E-5</v>
      </c>
      <c r="R4973" s="191">
        <v>2.1393431498763744E-7</v>
      </c>
      <c r="S4973" s="191">
        <v>2.3770479443070826E-8</v>
      </c>
      <c r="T4973" s="191">
        <v>1.0696715749381872E-7</v>
      </c>
      <c r="U4973" s="439"/>
      <c r="V4973" s="439"/>
      <c r="W4973" s="178">
        <v>30000</v>
      </c>
      <c r="X4973" s="172">
        <f t="shared" si="19"/>
        <v>0.33333333333333331</v>
      </c>
      <c r="Y4973" s="172">
        <f t="shared" si="19"/>
        <v>0.33333333333333331</v>
      </c>
      <c r="Z4973" s="172">
        <f t="shared" si="19"/>
        <v>0.33333333333333331</v>
      </c>
      <c r="AA4973" s="195"/>
      <c r="AB4973" s="159"/>
    </row>
    <row r="4974" spans="1:28" ht="12.75" customHeight="1" x14ac:dyDescent="0.3">
      <c r="A4974" s="161">
        <v>974</v>
      </c>
      <c r="B4974" s="159" t="s">
        <v>3792</v>
      </c>
      <c r="C4974" s="160" t="s">
        <v>3793</v>
      </c>
      <c r="D4974" s="160" t="s">
        <v>619</v>
      </c>
      <c r="E4974" s="545">
        <v>10.050000000000001</v>
      </c>
      <c r="F4974" s="161">
        <v>157.30000000000001</v>
      </c>
      <c r="G4974" s="191"/>
      <c r="H4974" s="191">
        <v>75.199999981199994</v>
      </c>
      <c r="I4974" s="191">
        <v>770.6</v>
      </c>
      <c r="J4974" s="191"/>
      <c r="K4974" s="191">
        <v>3019.9517204020176</v>
      </c>
      <c r="L4974" s="191"/>
      <c r="M4974" s="191"/>
      <c r="N4974" s="191"/>
      <c r="O4974" s="191"/>
      <c r="P4974" s="191"/>
      <c r="Q4974" s="191">
        <v>6.5696227500000002E-5</v>
      </c>
      <c r="R4974" s="191">
        <v>5.3483578746909358E-7</v>
      </c>
      <c r="S4974" s="191">
        <v>5.9426198607677063E-8</v>
      </c>
      <c r="T4974" s="191">
        <v>2.6741789373454679E-7</v>
      </c>
      <c r="U4974" s="439"/>
      <c r="V4974" s="439"/>
      <c r="W4974" s="178">
        <v>30000</v>
      </c>
      <c r="X4974" s="172">
        <f t="shared" si="19"/>
        <v>0.33333333333333331</v>
      </c>
      <c r="Y4974" s="172">
        <f t="shared" si="19"/>
        <v>0.33333333333333331</v>
      </c>
      <c r="Z4974" s="172">
        <f t="shared" si="19"/>
        <v>0.33333333333333331</v>
      </c>
      <c r="AA4974" s="195"/>
      <c r="AB4974" s="159"/>
    </row>
    <row r="4975" spans="1:28" ht="12.75" customHeight="1" x14ac:dyDescent="0.3">
      <c r="A4975" s="161">
        <v>975</v>
      </c>
      <c r="B4975" s="159" t="s">
        <v>3794</v>
      </c>
      <c r="C4975" s="160" t="s">
        <v>3795</v>
      </c>
      <c r="D4975" s="160" t="s">
        <v>619</v>
      </c>
      <c r="E4975" s="545">
        <v>10.08</v>
      </c>
      <c r="F4975" s="161">
        <v>145.25</v>
      </c>
      <c r="G4975" s="191"/>
      <c r="H4975" s="191">
        <v>10.666666663999999</v>
      </c>
      <c r="I4975" s="191">
        <v>12000</v>
      </c>
      <c r="J4975" s="191"/>
      <c r="K4975" s="191">
        <v>7.5857757502918375</v>
      </c>
      <c r="L4975" s="191"/>
      <c r="M4975" s="191"/>
      <c r="N4975" s="191"/>
      <c r="O4975" s="191"/>
      <c r="P4975" s="191"/>
      <c r="Q4975" s="191">
        <v>8.819850749999999E-5</v>
      </c>
      <c r="R4975" s="191">
        <v>5.3483578746909358E-7</v>
      </c>
      <c r="S4975" s="191">
        <v>5.9426198607677063E-8</v>
      </c>
      <c r="T4975" s="191">
        <v>2.6741789373454679E-7</v>
      </c>
      <c r="U4975" s="439"/>
      <c r="V4975" s="439"/>
      <c r="W4975" s="178">
        <v>30000</v>
      </c>
      <c r="X4975" s="172">
        <f t="shared" si="19"/>
        <v>0.33333333333333331</v>
      </c>
      <c r="Y4975" s="172">
        <f t="shared" si="19"/>
        <v>0.33333333333333331</v>
      </c>
      <c r="Z4975" s="172">
        <f t="shared" si="19"/>
        <v>0.33333333333333331</v>
      </c>
      <c r="AA4975" s="195"/>
      <c r="AB4975" s="159"/>
    </row>
    <row r="4976" spans="1:28" ht="12.75" customHeight="1" x14ac:dyDescent="0.3">
      <c r="A4976" s="161">
        <v>976</v>
      </c>
      <c r="B4976" s="159" t="s">
        <v>3796</v>
      </c>
      <c r="C4976" s="160" t="s">
        <v>3797</v>
      </c>
      <c r="D4976" s="160" t="s">
        <v>619</v>
      </c>
      <c r="E4976" s="545">
        <v>10.119999999999999</v>
      </c>
      <c r="F4976" s="161">
        <v>211.27</v>
      </c>
      <c r="G4976" s="191"/>
      <c r="H4976" s="191">
        <v>5.2933333320099999E-4</v>
      </c>
      <c r="I4976" s="191">
        <v>1000</v>
      </c>
      <c r="J4976" s="191"/>
      <c r="K4976" s="191">
        <v>776.24711662869231</v>
      </c>
      <c r="L4976" s="191"/>
      <c r="M4976" s="191"/>
      <c r="N4976" s="191"/>
      <c r="O4976" s="191"/>
      <c r="P4976" s="191"/>
      <c r="Q4976" s="191">
        <v>6.3986924999999997E-5</v>
      </c>
      <c r="R4976" s="191">
        <v>2.1393431498763744E-7</v>
      </c>
      <c r="S4976" s="191">
        <v>2.3770479443070826E-8</v>
      </c>
      <c r="T4976" s="191">
        <v>1.0696715749381872E-7</v>
      </c>
      <c r="U4976" s="439"/>
      <c r="V4976" s="439"/>
      <c r="W4976" s="178">
        <v>30000</v>
      </c>
      <c r="X4976" s="172">
        <f t="shared" si="19"/>
        <v>0.33333333333333331</v>
      </c>
      <c r="Y4976" s="172">
        <f t="shared" si="19"/>
        <v>0.33333333333333331</v>
      </c>
      <c r="Z4976" s="172">
        <f t="shared" si="19"/>
        <v>0.33333333333333331</v>
      </c>
      <c r="AA4976" s="195"/>
      <c r="AB4976" s="159"/>
    </row>
    <row r="4977" spans="1:28" ht="12.75" customHeight="1" x14ac:dyDescent="0.3">
      <c r="A4977" s="161">
        <v>977</v>
      </c>
      <c r="B4977" s="159" t="s">
        <v>3800</v>
      </c>
      <c r="C4977" s="160" t="s">
        <v>3801</v>
      </c>
      <c r="D4977" s="160" t="s">
        <v>619</v>
      </c>
      <c r="E4977" s="545">
        <v>10.14</v>
      </c>
      <c r="F4977" s="161">
        <v>122.17</v>
      </c>
      <c r="G4977" s="191"/>
      <c r="H4977" s="191">
        <v>16.933333329099998</v>
      </c>
      <c r="I4977" s="191">
        <v>76000</v>
      </c>
      <c r="J4977" s="191"/>
      <c r="K4977" s="191">
        <v>21.877616239495538</v>
      </c>
      <c r="L4977" s="191"/>
      <c r="M4977" s="191"/>
      <c r="N4977" s="191"/>
      <c r="O4977" s="191"/>
      <c r="P4977" s="191"/>
      <c r="Q4977" s="191">
        <v>5.4530587499999998E-5</v>
      </c>
      <c r="R4977" s="191">
        <v>2.1393431498763744E-7</v>
      </c>
      <c r="S4977" s="191">
        <v>2.3770479443070826E-8</v>
      </c>
      <c r="T4977" s="191">
        <v>1.0696715749381872E-7</v>
      </c>
      <c r="U4977" s="439"/>
      <c r="V4977" s="439"/>
      <c r="W4977" s="178">
        <v>30000</v>
      </c>
      <c r="X4977" s="172">
        <f t="shared" si="19"/>
        <v>0.33333333333333331</v>
      </c>
      <c r="Y4977" s="172">
        <f t="shared" si="19"/>
        <v>0.33333333333333331</v>
      </c>
      <c r="Z4977" s="172">
        <f t="shared" si="19"/>
        <v>0.33333333333333331</v>
      </c>
      <c r="AA4977" s="195"/>
      <c r="AB4977" s="159"/>
    </row>
    <row r="4978" spans="1:28" ht="12.75" customHeight="1" x14ac:dyDescent="0.3">
      <c r="A4978" s="161">
        <v>978</v>
      </c>
      <c r="B4978" s="159" t="s">
        <v>3798</v>
      </c>
      <c r="C4978" s="160" t="s">
        <v>3799</v>
      </c>
      <c r="D4978" s="160" t="s">
        <v>619</v>
      </c>
      <c r="E4978" s="545">
        <v>10.14</v>
      </c>
      <c r="F4978" s="161">
        <v>155.29</v>
      </c>
      <c r="G4978" s="191"/>
      <c r="H4978" s="191">
        <v>68.133333316299996</v>
      </c>
      <c r="I4978" s="191">
        <v>1134</v>
      </c>
      <c r="J4978" s="191"/>
      <c r="K4978" s="191">
        <v>1949.8445997580463</v>
      </c>
      <c r="L4978" s="191"/>
      <c r="M4978" s="191"/>
      <c r="N4978" s="191"/>
      <c r="O4978" s="191"/>
      <c r="P4978" s="191"/>
      <c r="Q4978" s="191">
        <v>8.8550955000000003E-5</v>
      </c>
      <c r="R4978" s="191">
        <v>2.1393431498763744E-7</v>
      </c>
      <c r="S4978" s="191">
        <v>2.3770479443070826E-8</v>
      </c>
      <c r="T4978" s="191">
        <v>1.0696715749381872E-7</v>
      </c>
      <c r="U4978" s="439"/>
      <c r="V4978" s="439"/>
      <c r="W4978" s="178">
        <v>30000</v>
      </c>
      <c r="X4978" s="172">
        <f t="shared" si="19"/>
        <v>0.33333333333333331</v>
      </c>
      <c r="Y4978" s="172">
        <f t="shared" si="19"/>
        <v>0.33333333333333331</v>
      </c>
      <c r="Z4978" s="172">
        <f t="shared" si="19"/>
        <v>0.33333333333333331</v>
      </c>
      <c r="AA4978" s="195"/>
      <c r="AB4978" s="159"/>
    </row>
    <row r="4979" spans="1:28" ht="12.75" customHeight="1" x14ac:dyDescent="0.3">
      <c r="A4979" s="161">
        <v>979</v>
      </c>
      <c r="B4979" s="159" t="s">
        <v>3802</v>
      </c>
      <c r="C4979" s="160" t="s">
        <v>3803</v>
      </c>
      <c r="D4979" s="160" t="s">
        <v>619</v>
      </c>
      <c r="E4979" s="545">
        <v>10.16</v>
      </c>
      <c r="F4979" s="161">
        <v>73.14</v>
      </c>
      <c r="G4979" s="191"/>
      <c r="H4979" s="191">
        <v>65733.333316899996</v>
      </c>
      <c r="I4979" s="191">
        <v>345100</v>
      </c>
      <c r="J4979" s="191"/>
      <c r="K4979" s="191">
        <v>5.0118723362727229</v>
      </c>
      <c r="L4979" s="191"/>
      <c r="M4979" s="191"/>
      <c r="N4979" s="191"/>
      <c r="O4979" s="191"/>
      <c r="P4979" s="191"/>
      <c r="Q4979" s="191">
        <v>5.8037310000000002E-5</v>
      </c>
      <c r="R4979" s="191">
        <v>5.3483578746909358E-7</v>
      </c>
      <c r="S4979" s="191">
        <v>5.9426198607677063E-8</v>
      </c>
      <c r="T4979" s="191">
        <v>2.6741789373454679E-7</v>
      </c>
      <c r="U4979" s="439"/>
      <c r="V4979" s="439"/>
      <c r="W4979" s="178">
        <v>30000</v>
      </c>
      <c r="X4979" s="172">
        <f t="shared" si="19"/>
        <v>0.33333333333333331</v>
      </c>
      <c r="Y4979" s="172">
        <f t="shared" si="19"/>
        <v>0.33333333333333331</v>
      </c>
      <c r="Z4979" s="172">
        <f t="shared" si="19"/>
        <v>0.33333333333333331</v>
      </c>
      <c r="AA4979" s="195"/>
      <c r="AB4979" s="159"/>
    </row>
    <row r="4980" spans="1:28" ht="12.75" customHeight="1" x14ac:dyDescent="0.3">
      <c r="A4980" s="161">
        <v>980</v>
      </c>
      <c r="B4980" s="159" t="s">
        <v>3804</v>
      </c>
      <c r="C4980" s="160" t="s">
        <v>3805</v>
      </c>
      <c r="D4980" s="160" t="s">
        <v>619</v>
      </c>
      <c r="E4980" s="545">
        <v>10.19</v>
      </c>
      <c r="F4980" s="161">
        <v>89.14</v>
      </c>
      <c r="G4980" s="191"/>
      <c r="H4980" s="191">
        <v>133.33333329999999</v>
      </c>
      <c r="I4980" s="191">
        <v>1000000</v>
      </c>
      <c r="J4980" s="191"/>
      <c r="K4980" s="191">
        <v>0.18197008586099833</v>
      </c>
      <c r="L4980" s="191"/>
      <c r="M4980" s="191"/>
      <c r="N4980" s="191"/>
      <c r="O4980" s="191"/>
      <c r="P4980" s="191"/>
      <c r="Q4980" s="191">
        <v>2.0999999999999999E-5</v>
      </c>
      <c r="R4980" s="191">
        <v>5.3483578746909358E-7</v>
      </c>
      <c r="S4980" s="191">
        <v>5.9426198607677063E-8</v>
      </c>
      <c r="T4980" s="191">
        <v>2.6741789373454679E-7</v>
      </c>
      <c r="U4980" s="439"/>
      <c r="V4980" s="439"/>
      <c r="W4980" s="178">
        <v>30000</v>
      </c>
      <c r="X4980" s="172">
        <f t="shared" si="19"/>
        <v>0.33333333333333331</v>
      </c>
      <c r="Y4980" s="172">
        <f t="shared" si="19"/>
        <v>0.33333333333333331</v>
      </c>
      <c r="Z4980" s="172">
        <f t="shared" si="19"/>
        <v>0.33333333333333331</v>
      </c>
      <c r="AA4980" s="195"/>
      <c r="AB4980" s="159"/>
    </row>
    <row r="4981" spans="1:28" ht="12.75" customHeight="1" x14ac:dyDescent="0.3">
      <c r="A4981" s="161">
        <v>981</v>
      </c>
      <c r="B4981" s="159" t="s">
        <v>3806</v>
      </c>
      <c r="C4981" s="160" t="s">
        <v>3807</v>
      </c>
      <c r="D4981" s="160" t="s">
        <v>619</v>
      </c>
      <c r="E4981" s="545">
        <v>10.3</v>
      </c>
      <c r="F4981" s="161">
        <v>234.3</v>
      </c>
      <c r="G4981" s="191"/>
      <c r="H4981" s="191">
        <v>1.9999999994999998E-7</v>
      </c>
      <c r="I4981" s="191">
        <v>6</v>
      </c>
      <c r="J4981" s="191"/>
      <c r="K4981" s="191">
        <v>1230.2687708123824</v>
      </c>
      <c r="L4981" s="191"/>
      <c r="M4981" s="191"/>
      <c r="N4981" s="191"/>
      <c r="O4981" s="191"/>
      <c r="P4981" s="191"/>
      <c r="Q4981" s="191">
        <v>3.4930267500000001E-5</v>
      </c>
      <c r="R4981" s="191">
        <v>2.1393431498763744E-7</v>
      </c>
      <c r="S4981" s="191">
        <v>2.3770479443070826E-8</v>
      </c>
      <c r="T4981" s="191">
        <v>2.0157127668433178E-7</v>
      </c>
      <c r="U4981" s="439"/>
      <c r="V4981" s="439"/>
      <c r="W4981" s="178">
        <v>30000</v>
      </c>
      <c r="X4981" s="172">
        <f t="shared" si="19"/>
        <v>0.33333333333333331</v>
      </c>
      <c r="Y4981" s="172">
        <f t="shared" si="19"/>
        <v>0.33333333333333331</v>
      </c>
      <c r="Z4981" s="172">
        <f t="shared" si="19"/>
        <v>0.33333333333333331</v>
      </c>
      <c r="AA4981" s="195"/>
      <c r="AB4981" s="159"/>
    </row>
    <row r="4982" spans="1:28" ht="12.75" customHeight="1" x14ac:dyDescent="0.3">
      <c r="A4982" s="161">
        <v>982</v>
      </c>
      <c r="B4982" s="159" t="s">
        <v>3808</v>
      </c>
      <c r="C4982" s="160" t="s">
        <v>3809</v>
      </c>
      <c r="D4982" s="160" t="s">
        <v>619</v>
      </c>
      <c r="E4982" s="545">
        <v>10.32</v>
      </c>
      <c r="F4982" s="161">
        <v>85.15</v>
      </c>
      <c r="G4982" s="191"/>
      <c r="H4982" s="191">
        <v>13333.333329999999</v>
      </c>
      <c r="I4982" s="191">
        <v>213100</v>
      </c>
      <c r="J4982" s="191"/>
      <c r="K4982" s="191">
        <v>8.3176377110267108</v>
      </c>
      <c r="L4982" s="191"/>
      <c r="M4982" s="191"/>
      <c r="N4982" s="191"/>
      <c r="O4982" s="191"/>
      <c r="P4982" s="191"/>
      <c r="Q4982" s="191">
        <v>6.2061787499999998E-5</v>
      </c>
      <c r="R4982" s="191">
        <v>5.3483578746909358E-7</v>
      </c>
      <c r="S4982" s="191">
        <v>5.9426198607677063E-8</v>
      </c>
      <c r="T4982" s="191">
        <v>2.6741789373454679E-7</v>
      </c>
      <c r="U4982" s="439"/>
      <c r="V4982" s="439"/>
      <c r="W4982" s="178">
        <v>30000</v>
      </c>
      <c r="X4982" s="172">
        <f t="shared" si="19"/>
        <v>0.33333333333333331</v>
      </c>
      <c r="Y4982" s="172">
        <f t="shared" si="19"/>
        <v>0.33333333333333331</v>
      </c>
      <c r="Z4982" s="172">
        <f t="shared" si="19"/>
        <v>0.33333333333333331</v>
      </c>
      <c r="AA4982" s="195"/>
      <c r="AB4982" s="159"/>
    </row>
    <row r="4983" spans="1:28" ht="12.75" customHeight="1" x14ac:dyDescent="0.3">
      <c r="A4983" s="161">
        <v>983</v>
      </c>
      <c r="B4983" s="159" t="s">
        <v>3810</v>
      </c>
      <c r="C4983" s="160" t="s">
        <v>3811</v>
      </c>
      <c r="D4983" s="160" t="s">
        <v>619</v>
      </c>
      <c r="E4983" s="545">
        <v>10.36</v>
      </c>
      <c r="F4983" s="161">
        <v>129.25</v>
      </c>
      <c r="G4983" s="191"/>
      <c r="H4983" s="191">
        <v>971.99999975699996</v>
      </c>
      <c r="I4983" s="191">
        <v>5939</v>
      </c>
      <c r="J4983" s="191"/>
      <c r="K4983" s="191">
        <v>380.18939632056163</v>
      </c>
      <c r="L4983" s="191"/>
      <c r="M4983" s="191"/>
      <c r="N4983" s="191"/>
      <c r="O4983" s="191"/>
      <c r="P4983" s="191"/>
      <c r="Q4983" s="191">
        <v>1.7437087499999999E-5</v>
      </c>
      <c r="R4983" s="191">
        <v>2.1393431498763744E-7</v>
      </c>
      <c r="S4983" s="191">
        <v>2.3770479443070826E-8</v>
      </c>
      <c r="T4983" s="191">
        <v>1.0696715749381872E-7</v>
      </c>
      <c r="U4983" s="439"/>
      <c r="V4983" s="439"/>
      <c r="W4983" s="178">
        <v>30000</v>
      </c>
      <c r="X4983" s="172">
        <f t="shared" si="19"/>
        <v>0.33333333333333331</v>
      </c>
      <c r="Y4983" s="172">
        <f t="shared" si="19"/>
        <v>0.33333333333333331</v>
      </c>
      <c r="Z4983" s="172">
        <f t="shared" si="19"/>
        <v>0.33333333333333331</v>
      </c>
      <c r="AA4983" s="195"/>
      <c r="AB4983" s="159"/>
    </row>
    <row r="4984" spans="1:28" ht="12.75" customHeight="1" x14ac:dyDescent="0.3">
      <c r="A4984" s="161">
        <v>984</v>
      </c>
      <c r="B4984" s="159" t="s">
        <v>3812</v>
      </c>
      <c r="C4984" s="160" t="s">
        <v>3813</v>
      </c>
      <c r="D4984" s="160" t="s">
        <v>619</v>
      </c>
      <c r="E4984" s="545">
        <v>10.36</v>
      </c>
      <c r="F4984" s="161">
        <v>87.17</v>
      </c>
      <c r="G4984" s="191"/>
      <c r="H4984" s="191">
        <v>9239.9999976899999</v>
      </c>
      <c r="I4984" s="191">
        <v>126800</v>
      </c>
      <c r="J4984" s="191"/>
      <c r="K4984" s="191">
        <v>15.135612484362087</v>
      </c>
      <c r="L4984" s="191"/>
      <c r="M4984" s="191"/>
      <c r="N4984" s="191"/>
      <c r="O4984" s="191"/>
      <c r="P4984" s="191"/>
      <c r="Q4984" s="191">
        <v>3.4559774999999999E-5</v>
      </c>
      <c r="R4984" s="191">
        <v>5.3483578746909358E-7</v>
      </c>
      <c r="S4984" s="191">
        <v>5.9426198607677063E-8</v>
      </c>
      <c r="T4984" s="191">
        <v>2.6741789373454679E-7</v>
      </c>
      <c r="U4984" s="439"/>
      <c r="V4984" s="439"/>
      <c r="W4984" s="178">
        <v>30000</v>
      </c>
      <c r="X4984" s="172">
        <f t="shared" si="19"/>
        <v>0.33333333333333331</v>
      </c>
      <c r="Y4984" s="172">
        <f t="shared" si="19"/>
        <v>0.33333333333333331</v>
      </c>
      <c r="Z4984" s="172">
        <f t="shared" si="19"/>
        <v>0.33333333333333331</v>
      </c>
      <c r="AA4984" s="195"/>
      <c r="AB4984" s="159"/>
    </row>
    <row r="4985" spans="1:28" ht="12.75" customHeight="1" x14ac:dyDescent="0.3">
      <c r="A4985" s="161">
        <v>985</v>
      </c>
      <c r="B4985" s="159" t="s">
        <v>3814</v>
      </c>
      <c r="C4985" s="160" t="s">
        <v>3815</v>
      </c>
      <c r="D4985" s="160" t="s">
        <v>619</v>
      </c>
      <c r="E4985" s="545">
        <v>10.4</v>
      </c>
      <c r="F4985" s="161">
        <v>267.5</v>
      </c>
      <c r="G4985" s="191"/>
      <c r="H4985" s="191">
        <v>8.9733333310899988E-5</v>
      </c>
      <c r="I4985" s="191">
        <v>7.639E-2</v>
      </c>
      <c r="J4985" s="191"/>
      <c r="K4985" s="191">
        <v>31622776.601683889</v>
      </c>
      <c r="L4985" s="191"/>
      <c r="M4985" s="191"/>
      <c r="N4985" s="191"/>
      <c r="O4985" s="191"/>
      <c r="P4985" s="191"/>
      <c r="Q4985" s="191">
        <v>8.0430974999999994E-5</v>
      </c>
      <c r="R4985" s="191">
        <v>5.3483578746909358E-7</v>
      </c>
      <c r="S4985" s="191">
        <v>5.9426198607677063E-8</v>
      </c>
      <c r="T4985" s="191">
        <v>2.6741789373454679E-7</v>
      </c>
      <c r="U4985" s="439"/>
      <c r="V4985" s="439"/>
      <c r="W4985" s="178">
        <v>30000</v>
      </c>
      <c r="X4985" s="172">
        <f t="shared" si="19"/>
        <v>0.33333333333333331</v>
      </c>
      <c r="Y4985" s="172">
        <f t="shared" si="19"/>
        <v>0.33333333333333331</v>
      </c>
      <c r="Z4985" s="172">
        <f t="shared" si="19"/>
        <v>0.33333333333333331</v>
      </c>
      <c r="AA4985" s="195"/>
      <c r="AB4985" s="159"/>
    </row>
    <row r="4986" spans="1:28" ht="12.75" customHeight="1" x14ac:dyDescent="0.3">
      <c r="A4986" s="161">
        <v>986</v>
      </c>
      <c r="B4986" s="159" t="s">
        <v>3820</v>
      </c>
      <c r="C4986" s="160" t="s">
        <v>3821</v>
      </c>
      <c r="D4986" s="160" t="s">
        <v>619</v>
      </c>
      <c r="E4986" s="545">
        <v>10.41</v>
      </c>
      <c r="F4986" s="161">
        <v>255.49</v>
      </c>
      <c r="G4986" s="191"/>
      <c r="H4986" s="191">
        <v>2.2666666661E-2</v>
      </c>
      <c r="I4986" s="191">
        <v>0.15359999999999999</v>
      </c>
      <c r="J4986" s="191"/>
      <c r="K4986" s="191">
        <v>16595869.074375641</v>
      </c>
      <c r="L4986" s="191"/>
      <c r="M4986" s="191"/>
      <c r="N4986" s="191"/>
      <c r="O4986" s="191"/>
      <c r="P4986" s="191"/>
      <c r="Q4986" s="191">
        <v>3.9587099999999999E-5</v>
      </c>
      <c r="R4986" s="191">
        <v>5.3483578746909358E-7</v>
      </c>
      <c r="S4986" s="191">
        <v>5.9426198607677063E-8</v>
      </c>
      <c r="T4986" s="191">
        <v>2.6741789373454679E-7</v>
      </c>
      <c r="U4986" s="439"/>
      <c r="V4986" s="439"/>
      <c r="W4986" s="178">
        <v>30000</v>
      </c>
      <c r="X4986" s="172">
        <f t="shared" si="19"/>
        <v>0.33333333333333331</v>
      </c>
      <c r="Y4986" s="172">
        <f t="shared" si="19"/>
        <v>0.33333333333333331</v>
      </c>
      <c r="Z4986" s="172">
        <f t="shared" si="19"/>
        <v>0.33333333333333331</v>
      </c>
      <c r="AA4986" s="195"/>
      <c r="AB4986" s="159"/>
    </row>
    <row r="4987" spans="1:28" ht="12.75" customHeight="1" x14ac:dyDescent="0.3">
      <c r="A4987" s="161">
        <v>987</v>
      </c>
      <c r="B4987" s="159" t="s">
        <v>3816</v>
      </c>
      <c r="C4987" s="160" t="s">
        <v>3817</v>
      </c>
      <c r="D4987" s="160" t="s">
        <v>619</v>
      </c>
      <c r="E4987" s="545">
        <v>10.41</v>
      </c>
      <c r="F4987" s="161">
        <v>227.44</v>
      </c>
      <c r="G4987" s="191"/>
      <c r="H4987" s="191">
        <v>0.134666666633</v>
      </c>
      <c r="I4987" s="191">
        <v>1.5089999999999999</v>
      </c>
      <c r="J4987" s="191"/>
      <c r="K4987" s="191">
        <v>1737800.8287493798</v>
      </c>
      <c r="L4987" s="191"/>
      <c r="M4987" s="191"/>
      <c r="N4987" s="191"/>
      <c r="O4987" s="191"/>
      <c r="P4987" s="191"/>
      <c r="Q4987" s="191">
        <v>3.7467525000000002E-5</v>
      </c>
      <c r="R4987" s="191">
        <v>5.3483578746909358E-7</v>
      </c>
      <c r="S4987" s="191">
        <v>5.9426198607677063E-8</v>
      </c>
      <c r="T4987" s="191">
        <v>2.6741789373454679E-7</v>
      </c>
      <c r="U4987" s="439"/>
      <c r="V4987" s="439"/>
      <c r="W4987" s="178">
        <v>30000</v>
      </c>
      <c r="X4987" s="172">
        <f t="shared" si="19"/>
        <v>0.33333333333333331</v>
      </c>
      <c r="Y4987" s="172">
        <f t="shared" si="19"/>
        <v>0.33333333333333331</v>
      </c>
      <c r="Z4987" s="172">
        <f t="shared" si="19"/>
        <v>0.33333333333333331</v>
      </c>
      <c r="AA4987" s="195"/>
      <c r="AB4987" s="159"/>
    </row>
    <row r="4988" spans="1:28" ht="12.75" customHeight="1" x14ac:dyDescent="0.3">
      <c r="A4988" s="161">
        <v>988</v>
      </c>
      <c r="B4988" s="159" t="s">
        <v>3826</v>
      </c>
      <c r="C4988" s="160" t="s">
        <v>3827</v>
      </c>
      <c r="D4988" s="160" t="s">
        <v>619</v>
      </c>
      <c r="E4988" s="545">
        <v>10.41</v>
      </c>
      <c r="F4988" s="161">
        <v>129.25</v>
      </c>
      <c r="G4988" s="191"/>
      <c r="H4988" s="191">
        <v>186.66666661999997</v>
      </c>
      <c r="I4988" s="191">
        <v>2500</v>
      </c>
      <c r="J4988" s="191"/>
      <c r="K4988" s="191">
        <v>660.69344800759643</v>
      </c>
      <c r="L4988" s="191"/>
      <c r="M4988" s="191"/>
      <c r="N4988" s="191"/>
      <c r="O4988" s="191"/>
      <c r="P4988" s="191"/>
      <c r="Q4988" s="191">
        <v>3.0564307499999999E-5</v>
      </c>
      <c r="R4988" s="191">
        <v>5.3483578746909358E-7</v>
      </c>
      <c r="S4988" s="191">
        <v>5.9426198607677063E-8</v>
      </c>
      <c r="T4988" s="191">
        <v>2.6741789373454679E-7</v>
      </c>
      <c r="U4988" s="439"/>
      <c r="V4988" s="439"/>
      <c r="W4988" s="178">
        <v>30000</v>
      </c>
      <c r="X4988" s="172">
        <f t="shared" si="19"/>
        <v>0.33333333333333331</v>
      </c>
      <c r="Y4988" s="172">
        <f t="shared" si="19"/>
        <v>0.33333333333333331</v>
      </c>
      <c r="Z4988" s="172">
        <f t="shared" si="19"/>
        <v>0.33333333333333331</v>
      </c>
      <c r="AA4988" s="195"/>
      <c r="AB4988" s="159"/>
    </row>
    <row r="4989" spans="1:28" ht="12.75" customHeight="1" x14ac:dyDescent="0.3">
      <c r="A4989" s="161">
        <v>989</v>
      </c>
      <c r="B4989" s="159" t="s">
        <v>3818</v>
      </c>
      <c r="C4989" s="160" t="s">
        <v>3819</v>
      </c>
      <c r="D4989" s="160" t="s">
        <v>619</v>
      </c>
      <c r="E4989" s="545">
        <v>10.41</v>
      </c>
      <c r="F4989" s="161">
        <v>113.2</v>
      </c>
      <c r="G4989" s="191"/>
      <c r="H4989" s="191">
        <v>334.66666658299994</v>
      </c>
      <c r="I4989" s="191">
        <v>16650</v>
      </c>
      <c r="J4989" s="191"/>
      <c r="K4989" s="191">
        <v>131.82567385564084</v>
      </c>
      <c r="L4989" s="191"/>
      <c r="M4989" s="191"/>
      <c r="N4989" s="191"/>
      <c r="O4989" s="191"/>
      <c r="P4989" s="191"/>
      <c r="Q4989" s="191">
        <v>3.1769512499999999E-5</v>
      </c>
      <c r="R4989" s="191">
        <v>5.3483578746909358E-7</v>
      </c>
      <c r="S4989" s="191">
        <v>5.9426198607677063E-8</v>
      </c>
      <c r="T4989" s="191">
        <v>2.6741789373454679E-7</v>
      </c>
      <c r="U4989" s="439"/>
      <c r="V4989" s="439"/>
      <c r="W4989" s="178">
        <v>30000</v>
      </c>
      <c r="X4989" s="172">
        <f t="shared" si="19"/>
        <v>0.33333333333333331</v>
      </c>
      <c r="Y4989" s="172">
        <f t="shared" si="19"/>
        <v>0.33333333333333331</v>
      </c>
      <c r="Z4989" s="172">
        <f t="shared" si="19"/>
        <v>0.33333333333333331</v>
      </c>
      <c r="AA4989" s="195"/>
      <c r="AB4989" s="159"/>
    </row>
    <row r="4990" spans="1:28" ht="12.75" customHeight="1" x14ac:dyDescent="0.3">
      <c r="A4990" s="161">
        <v>990</v>
      </c>
      <c r="B4990" s="159" t="s">
        <v>3824</v>
      </c>
      <c r="C4990" s="160" t="s">
        <v>3825</v>
      </c>
      <c r="D4990" s="160" t="s">
        <v>619</v>
      </c>
      <c r="E4990" s="545">
        <v>10.41</v>
      </c>
      <c r="F4990" s="161">
        <v>151.25</v>
      </c>
      <c r="G4990" s="191"/>
      <c r="H4990" s="191">
        <v>0.53066666653399996</v>
      </c>
      <c r="I4990" s="191">
        <v>6292</v>
      </c>
      <c r="J4990" s="191"/>
      <c r="K4990" s="191">
        <v>275.42287033381683</v>
      </c>
      <c r="L4990" s="191"/>
      <c r="M4990" s="191"/>
      <c r="N4990" s="191"/>
      <c r="O4990" s="191"/>
      <c r="P4990" s="191"/>
      <c r="Q4990" s="191">
        <v>3.0231405E-5</v>
      </c>
      <c r="R4990" s="191">
        <v>2.1393431498763744E-7</v>
      </c>
      <c r="S4990" s="191">
        <v>2.3770479443070826E-8</v>
      </c>
      <c r="T4990" s="191">
        <v>1.0696715749381872E-7</v>
      </c>
      <c r="U4990" s="439"/>
      <c r="V4990" s="439"/>
      <c r="W4990" s="178">
        <v>30000</v>
      </c>
      <c r="X4990" s="172">
        <f t="shared" si="19"/>
        <v>0.33333333333333331</v>
      </c>
      <c r="Y4990" s="172">
        <f t="shared" si="19"/>
        <v>0.33333333333333331</v>
      </c>
      <c r="Z4990" s="172">
        <f t="shared" si="19"/>
        <v>0.33333333333333331</v>
      </c>
      <c r="AA4990" s="195"/>
      <c r="AB4990" s="159"/>
    </row>
    <row r="4991" spans="1:28" ht="12.75" customHeight="1" x14ac:dyDescent="0.3">
      <c r="A4991" s="161">
        <v>991</v>
      </c>
      <c r="B4991" s="159" t="s">
        <v>3822</v>
      </c>
      <c r="C4991" s="160" t="s">
        <v>3823</v>
      </c>
      <c r="D4991" s="160" t="s">
        <v>619</v>
      </c>
      <c r="E4991" s="545">
        <v>10.41</v>
      </c>
      <c r="F4991" s="161">
        <v>87.17</v>
      </c>
      <c r="G4991" s="191"/>
      <c r="H4991" s="191">
        <v>10693.33333066</v>
      </c>
      <c r="I4991" s="191">
        <v>118100</v>
      </c>
      <c r="J4991" s="191"/>
      <c r="K4991" s="191">
        <v>16.218100973589298</v>
      </c>
      <c r="L4991" s="191"/>
      <c r="M4991" s="191"/>
      <c r="N4991" s="191"/>
      <c r="O4991" s="191"/>
      <c r="P4991" s="191"/>
      <c r="Q4991" s="191">
        <v>2.4139402500000002E-5</v>
      </c>
      <c r="R4991" s="191">
        <v>5.3483578746909358E-7</v>
      </c>
      <c r="S4991" s="191">
        <v>5.9426198607677063E-8</v>
      </c>
      <c r="T4991" s="191">
        <v>2.6741789373454679E-7</v>
      </c>
      <c r="U4991" s="439"/>
      <c r="V4991" s="439"/>
      <c r="W4991" s="178">
        <v>30000</v>
      </c>
      <c r="X4991" s="172">
        <f t="shared" si="19"/>
        <v>0.33333333333333331</v>
      </c>
      <c r="Y4991" s="172">
        <f t="shared" si="19"/>
        <v>0.33333333333333331</v>
      </c>
      <c r="Z4991" s="172">
        <f t="shared" si="19"/>
        <v>0.33333333333333331</v>
      </c>
      <c r="AA4991" s="195"/>
      <c r="AB4991" s="159"/>
    </row>
    <row r="4992" spans="1:28" ht="12.75" customHeight="1" x14ac:dyDescent="0.3">
      <c r="A4992" s="161">
        <v>992</v>
      </c>
      <c r="B4992" s="159" t="s">
        <v>3828</v>
      </c>
      <c r="C4992" s="160" t="s">
        <v>3829</v>
      </c>
      <c r="D4992" s="160" t="s">
        <v>619</v>
      </c>
      <c r="E4992" s="545">
        <v>10.6</v>
      </c>
      <c r="F4992" s="161">
        <v>434.97</v>
      </c>
      <c r="G4992" s="191"/>
      <c r="H4992" s="191">
        <v>2.6666666659999999E-5</v>
      </c>
      <c r="I4992" s="191">
        <v>30</v>
      </c>
      <c r="J4992" s="191"/>
      <c r="K4992" s="191">
        <v>158.48931924611153</v>
      </c>
      <c r="L4992" s="191"/>
      <c r="M4992" s="191"/>
      <c r="N4992" s="191"/>
      <c r="O4992" s="191"/>
      <c r="P4992" s="191"/>
      <c r="Q4992" s="191">
        <v>4.9418407500000005E-5</v>
      </c>
      <c r="R4992" s="191">
        <v>4.45696489557578E-8</v>
      </c>
      <c r="S4992" s="191">
        <v>4.9521832173064224E-9</v>
      </c>
      <c r="T4992" s="191">
        <v>3.8202556247792398E-7</v>
      </c>
      <c r="U4992" s="439"/>
      <c r="V4992" s="439"/>
      <c r="W4992" s="178">
        <v>30000</v>
      </c>
      <c r="X4992" s="172">
        <f t="shared" si="19"/>
        <v>0.33333333333333331</v>
      </c>
      <c r="Y4992" s="172">
        <f t="shared" si="19"/>
        <v>0.33333333333333331</v>
      </c>
      <c r="Z4992" s="172">
        <f t="shared" si="19"/>
        <v>0.33333333333333331</v>
      </c>
      <c r="AA4992" s="195"/>
      <c r="AB4992" s="159"/>
    </row>
    <row r="4993" spans="1:28" ht="12.75" customHeight="1" x14ac:dyDescent="0.3">
      <c r="A4993" s="161">
        <v>993</v>
      </c>
      <c r="B4993" s="159" t="s">
        <v>3830</v>
      </c>
      <c r="C4993" s="160" t="s">
        <v>3831</v>
      </c>
      <c r="D4993" s="160" t="s">
        <v>619</v>
      </c>
      <c r="E4993" s="545">
        <v>10.62</v>
      </c>
      <c r="F4993" s="161">
        <v>74.13</v>
      </c>
      <c r="G4993" s="191"/>
      <c r="H4993" s="191">
        <v>854.66666645299995</v>
      </c>
      <c r="I4993" s="191">
        <v>1000000</v>
      </c>
      <c r="J4993" s="191"/>
      <c r="K4993" s="191">
        <v>3.7153522909717254E-2</v>
      </c>
      <c r="L4993" s="191"/>
      <c r="M4993" s="191"/>
      <c r="N4993" s="191"/>
      <c r="O4993" s="191"/>
      <c r="P4993" s="191"/>
      <c r="Q4993" s="191">
        <v>4.8585825E-5</v>
      </c>
      <c r="R4993" s="191">
        <v>5.3483578746909358E-7</v>
      </c>
      <c r="S4993" s="191">
        <v>5.9426198607677063E-8</v>
      </c>
      <c r="T4993" s="191">
        <v>2.6741789373454679E-7</v>
      </c>
      <c r="U4993" s="439"/>
      <c r="V4993" s="439"/>
      <c r="W4993" s="178">
        <v>30000</v>
      </c>
      <c r="X4993" s="172">
        <f t="shared" si="19"/>
        <v>0.33333333333333331</v>
      </c>
      <c r="Y4993" s="172">
        <f t="shared" si="19"/>
        <v>0.33333333333333331</v>
      </c>
      <c r="Z4993" s="172">
        <f t="shared" si="19"/>
        <v>0.33333333333333331</v>
      </c>
      <c r="AA4993" s="195"/>
      <c r="AB4993" s="159"/>
    </row>
    <row r="4994" spans="1:28" ht="12.75" customHeight="1" x14ac:dyDescent="0.3">
      <c r="A4994" s="161">
        <v>994</v>
      </c>
      <c r="B4994" s="159" t="s">
        <v>3832</v>
      </c>
      <c r="C4994" s="160" t="s">
        <v>1624</v>
      </c>
      <c r="D4994" s="160" t="s">
        <v>619</v>
      </c>
      <c r="E4994" s="545">
        <v>10.63</v>
      </c>
      <c r="F4994" s="161">
        <v>99.18</v>
      </c>
      <c r="G4994" s="191"/>
      <c r="H4994" s="191">
        <v>1346.6666663299998</v>
      </c>
      <c r="I4994" s="191">
        <v>1000000</v>
      </c>
      <c r="J4994" s="191"/>
      <c r="K4994" s="191">
        <v>30.902954325135919</v>
      </c>
      <c r="L4994" s="191"/>
      <c r="M4994" s="191"/>
      <c r="N4994" s="191"/>
      <c r="O4994" s="191"/>
      <c r="P4994" s="191"/>
      <c r="Q4994" s="191">
        <v>4.1520734999999999E-5</v>
      </c>
      <c r="R4994" s="191">
        <v>5.3483578746909358E-7</v>
      </c>
      <c r="S4994" s="191">
        <v>5.9426198607677063E-8</v>
      </c>
      <c r="T4994" s="191">
        <v>2.6741789373454679E-7</v>
      </c>
      <c r="U4994" s="439"/>
      <c r="V4994" s="439"/>
      <c r="W4994" s="178">
        <v>30000</v>
      </c>
      <c r="X4994" s="172">
        <f t="shared" ref="X4994:Z5033" si="20">1/3</f>
        <v>0.33333333333333331</v>
      </c>
      <c r="Y4994" s="172">
        <f t="shared" si="20"/>
        <v>0.33333333333333331</v>
      </c>
      <c r="Z4994" s="172">
        <f t="shared" si="20"/>
        <v>0.33333333333333331</v>
      </c>
      <c r="AA4994" s="195"/>
      <c r="AB4994" s="159"/>
    </row>
    <row r="4995" spans="1:28" ht="12.75" customHeight="1" x14ac:dyDescent="0.3">
      <c r="A4995" s="161">
        <v>995</v>
      </c>
      <c r="B4995" s="159" t="s">
        <v>3835</v>
      </c>
      <c r="C4995" s="160" t="s">
        <v>3836</v>
      </c>
      <c r="D4995" s="160" t="s">
        <v>619</v>
      </c>
      <c r="E4995" s="545">
        <v>10.63</v>
      </c>
      <c r="F4995" s="161">
        <v>185.36</v>
      </c>
      <c r="G4995" s="191"/>
      <c r="H4995" s="191">
        <v>1.0733333330649999</v>
      </c>
      <c r="I4995" s="191">
        <v>78</v>
      </c>
      <c r="J4995" s="191"/>
      <c r="K4995" s="191">
        <v>57543.993733715732</v>
      </c>
      <c r="L4995" s="191"/>
      <c r="M4995" s="191"/>
      <c r="N4995" s="191"/>
      <c r="O4995" s="191"/>
      <c r="P4995" s="191"/>
      <c r="Q4995" s="191">
        <v>3.4288169999999999E-5</v>
      </c>
      <c r="R4995" s="191">
        <v>5.3483578746909358E-7</v>
      </c>
      <c r="S4995" s="191">
        <v>5.9426198607677063E-8</v>
      </c>
      <c r="T4995" s="191">
        <v>2.6741789373454679E-7</v>
      </c>
      <c r="U4995" s="439"/>
      <c r="V4995" s="439"/>
      <c r="W4995" s="178">
        <v>30000</v>
      </c>
      <c r="X4995" s="172">
        <f t="shared" si="20"/>
        <v>0.33333333333333331</v>
      </c>
      <c r="Y4995" s="172">
        <f t="shared" si="20"/>
        <v>0.33333333333333331</v>
      </c>
      <c r="Z4995" s="172">
        <f t="shared" si="20"/>
        <v>0.33333333333333331</v>
      </c>
      <c r="AA4995" s="195"/>
      <c r="AB4995" s="159"/>
    </row>
    <row r="4996" spans="1:28" ht="12.75" customHeight="1" x14ac:dyDescent="0.3">
      <c r="A4996" s="161">
        <v>996</v>
      </c>
      <c r="B4996" s="159" t="s">
        <v>3833</v>
      </c>
      <c r="C4996" s="160" t="s">
        <v>3834</v>
      </c>
      <c r="D4996" s="160" t="s">
        <v>619</v>
      </c>
      <c r="E4996" s="545">
        <v>10.63</v>
      </c>
      <c r="F4996" s="161">
        <v>87.17</v>
      </c>
      <c r="G4996" s="191"/>
      <c r="H4996" s="191">
        <v>3999.9999989999997</v>
      </c>
      <c r="I4996" s="191">
        <v>1000000</v>
      </c>
      <c r="J4996" s="191"/>
      <c r="K4996" s="191">
        <v>30.902954325135919</v>
      </c>
      <c r="L4996" s="191"/>
      <c r="M4996" s="191"/>
      <c r="N4996" s="191"/>
      <c r="O4996" s="191"/>
      <c r="P4996" s="191"/>
      <c r="Q4996" s="191">
        <v>2.6869672500000003E-5</v>
      </c>
      <c r="R4996" s="191">
        <v>9.2532143160742838E-7</v>
      </c>
      <c r="S4996" s="191">
        <v>1.0281349240082538E-7</v>
      </c>
      <c r="T4996" s="191">
        <v>4.6266071580371419E-7</v>
      </c>
      <c r="U4996" s="439"/>
      <c r="V4996" s="439"/>
      <c r="W4996" s="178">
        <v>30000</v>
      </c>
      <c r="X4996" s="172">
        <f t="shared" si="20"/>
        <v>0.33333333333333331</v>
      </c>
      <c r="Y4996" s="172">
        <f t="shared" si="20"/>
        <v>0.33333333333333331</v>
      </c>
      <c r="Z4996" s="172">
        <f t="shared" si="20"/>
        <v>0.33333333333333331</v>
      </c>
      <c r="AA4996" s="195"/>
      <c r="AB4996" s="159"/>
    </row>
    <row r="4997" spans="1:28" ht="12.75" customHeight="1" x14ac:dyDescent="0.3">
      <c r="A4997" s="161">
        <v>997</v>
      </c>
      <c r="B4997" s="159" t="s">
        <v>3837</v>
      </c>
      <c r="C4997" s="160" t="s">
        <v>3838</v>
      </c>
      <c r="D4997" s="160" t="s">
        <v>619</v>
      </c>
      <c r="E4997" s="545">
        <v>10.64</v>
      </c>
      <c r="F4997" s="161">
        <v>157.30000000000001</v>
      </c>
      <c r="G4997" s="191"/>
      <c r="H4997" s="191">
        <v>13.33333333</v>
      </c>
      <c r="I4997" s="191">
        <v>550</v>
      </c>
      <c r="J4997" s="191"/>
      <c r="K4997" s="191">
        <v>6025.595860743585</v>
      </c>
      <c r="L4997" s="191"/>
      <c r="M4997" s="191"/>
      <c r="N4997" s="191"/>
      <c r="O4997" s="191"/>
      <c r="P4997" s="191"/>
      <c r="Q4997" s="191">
        <v>3.2168595000000002E-5</v>
      </c>
      <c r="R4997" s="191">
        <v>5.3483578746909358E-7</v>
      </c>
      <c r="S4997" s="191">
        <v>5.9426198607677063E-8</v>
      </c>
      <c r="T4997" s="191">
        <v>2.6741789373454679E-7</v>
      </c>
      <c r="U4997" s="439"/>
      <c r="V4997" s="439"/>
      <c r="W4997" s="178">
        <v>30000</v>
      </c>
      <c r="X4997" s="172">
        <f t="shared" si="20"/>
        <v>0.33333333333333331</v>
      </c>
      <c r="Y4997" s="172">
        <f t="shared" si="20"/>
        <v>0.33333333333333331</v>
      </c>
      <c r="Z4997" s="172">
        <f t="shared" si="20"/>
        <v>0.33333333333333331</v>
      </c>
      <c r="AA4997" s="195"/>
      <c r="AB4997" s="159"/>
    </row>
    <row r="4998" spans="1:28" ht="12.75" customHeight="1" x14ac:dyDescent="0.3">
      <c r="A4998" s="161">
        <v>998</v>
      </c>
      <c r="B4998" s="159" t="s">
        <v>3839</v>
      </c>
      <c r="C4998" s="160" t="s">
        <v>3840</v>
      </c>
      <c r="D4998" s="160" t="s">
        <v>619</v>
      </c>
      <c r="E4998" s="545">
        <v>10.65</v>
      </c>
      <c r="F4998" s="161">
        <v>129.25</v>
      </c>
      <c r="G4998" s="191"/>
      <c r="H4998" s="191">
        <v>129.19999996769999</v>
      </c>
      <c r="I4998" s="191">
        <v>200</v>
      </c>
      <c r="J4998" s="191"/>
      <c r="K4998" s="191">
        <v>794.32823472428208</v>
      </c>
      <c r="L4998" s="191"/>
      <c r="M4998" s="191"/>
      <c r="N4998" s="191"/>
      <c r="O4998" s="191"/>
      <c r="P4998" s="191"/>
      <c r="Q4998" s="191">
        <v>3.0049027499999998E-5</v>
      </c>
      <c r="R4998" s="191">
        <v>5.3483578746909358E-7</v>
      </c>
      <c r="S4998" s="191">
        <v>5.9426198607677063E-8</v>
      </c>
      <c r="T4998" s="191">
        <v>2.6741789373454679E-7</v>
      </c>
      <c r="U4998" s="439"/>
      <c r="V4998" s="439"/>
      <c r="W4998" s="178">
        <v>30000</v>
      </c>
      <c r="X4998" s="172">
        <f t="shared" si="20"/>
        <v>0.33333333333333331</v>
      </c>
      <c r="Y4998" s="172">
        <f t="shared" si="20"/>
        <v>0.33333333333333331</v>
      </c>
      <c r="Z4998" s="172">
        <f t="shared" si="20"/>
        <v>0.33333333333333331</v>
      </c>
      <c r="AA4998" s="195"/>
      <c r="AB4998" s="159"/>
    </row>
    <row r="4999" spans="1:28" ht="12.75" customHeight="1" x14ac:dyDescent="0.3">
      <c r="A4999" s="161">
        <v>999</v>
      </c>
      <c r="B4999" s="159" t="s">
        <v>3841</v>
      </c>
      <c r="C4999" s="160" t="s">
        <v>3842</v>
      </c>
      <c r="D4999" s="160" t="s">
        <v>619</v>
      </c>
      <c r="E4999" s="545">
        <v>10.75</v>
      </c>
      <c r="F4999" s="161">
        <v>142.19999999999999</v>
      </c>
      <c r="G4999" s="191"/>
      <c r="H4999" s="191">
        <v>1.1426666663809999</v>
      </c>
      <c r="I4999" s="191">
        <v>5114</v>
      </c>
      <c r="J4999" s="191"/>
      <c r="K4999" s="191">
        <v>25.703957827688647</v>
      </c>
      <c r="L4999" s="191"/>
      <c r="M4999" s="191"/>
      <c r="N4999" s="191"/>
      <c r="O4999" s="191"/>
      <c r="P4999" s="191"/>
      <c r="Q4999" s="191">
        <v>1.5305250000000001E-5</v>
      </c>
      <c r="R4999" s="191">
        <v>5.3483578746909358E-7</v>
      </c>
      <c r="S4999" s="191">
        <v>5.9426198607677063E-8</v>
      </c>
      <c r="T4999" s="191">
        <v>2.6741789373454679E-7</v>
      </c>
      <c r="U4999" s="439"/>
      <c r="V4999" s="439"/>
      <c r="W4999" s="178">
        <v>30000</v>
      </c>
      <c r="X4999" s="172">
        <f t="shared" si="20"/>
        <v>0.33333333333333331</v>
      </c>
      <c r="Y4999" s="172">
        <f t="shared" si="20"/>
        <v>0.33333333333333331</v>
      </c>
      <c r="Z4999" s="172">
        <f t="shared" si="20"/>
        <v>0.33333333333333331</v>
      </c>
      <c r="AA4999" s="195"/>
      <c r="AB4999" s="159"/>
    </row>
    <row r="5000" spans="1:28" ht="12.75" customHeight="1" x14ac:dyDescent="0.3">
      <c r="A5000" s="161">
        <v>1000</v>
      </c>
      <c r="B5000" s="159" t="s">
        <v>3845</v>
      </c>
      <c r="C5000" s="160" t="s">
        <v>3846</v>
      </c>
      <c r="D5000" s="160" t="s">
        <v>619</v>
      </c>
      <c r="E5000" s="545">
        <v>10.78</v>
      </c>
      <c r="F5000" s="161">
        <v>73.14</v>
      </c>
      <c r="G5000" s="191"/>
      <c r="H5000" s="191">
        <v>12386.66666357</v>
      </c>
      <c r="I5000" s="191">
        <v>1000000</v>
      </c>
      <c r="J5000" s="191"/>
      <c r="K5000" s="191">
        <v>9.3325430079699103</v>
      </c>
      <c r="L5000" s="191"/>
      <c r="M5000" s="191"/>
      <c r="N5000" s="191"/>
      <c r="O5000" s="191"/>
      <c r="P5000" s="191"/>
      <c r="Q5000" s="191">
        <v>2.5809885000000001E-5</v>
      </c>
      <c r="R5000" s="191">
        <v>9.2532143160742838E-7</v>
      </c>
      <c r="S5000" s="191">
        <v>1.0281349240082538E-7</v>
      </c>
      <c r="T5000" s="191">
        <v>4.6266071580371419E-7</v>
      </c>
      <c r="U5000" s="439"/>
      <c r="V5000" s="439"/>
      <c r="W5000" s="178">
        <v>30000</v>
      </c>
      <c r="X5000" s="172">
        <f t="shared" si="20"/>
        <v>0.33333333333333331</v>
      </c>
      <c r="Y5000" s="172">
        <f t="shared" si="20"/>
        <v>0.33333333333333331</v>
      </c>
      <c r="Z5000" s="172">
        <f t="shared" si="20"/>
        <v>0.33333333333333331</v>
      </c>
      <c r="AA5000" s="195"/>
      <c r="AB5000" s="159"/>
    </row>
    <row r="5001" spans="1:28" ht="12.75" customHeight="1" x14ac:dyDescent="0.3">
      <c r="A5001" s="161">
        <v>1001</v>
      </c>
      <c r="B5001" s="159" t="s">
        <v>3843</v>
      </c>
      <c r="C5001" s="160" t="s">
        <v>3844</v>
      </c>
      <c r="D5001" s="160" t="s">
        <v>619</v>
      </c>
      <c r="E5001" s="545">
        <v>10.78</v>
      </c>
      <c r="F5001" s="161">
        <v>87.12</v>
      </c>
      <c r="G5001" s="191"/>
      <c r="H5001" s="191">
        <v>266.66666659999999</v>
      </c>
      <c r="I5001" s="191">
        <v>1000000</v>
      </c>
      <c r="J5001" s="191"/>
      <c r="K5001" s="191">
        <v>0.16982436524617442</v>
      </c>
      <c r="L5001" s="191"/>
      <c r="M5001" s="191"/>
      <c r="N5001" s="191"/>
      <c r="O5001" s="191"/>
      <c r="P5001" s="191"/>
      <c r="Q5001" s="191">
        <v>1.0200000000000001E-5</v>
      </c>
      <c r="R5001" s="191">
        <v>5.3483578746909358E-7</v>
      </c>
      <c r="S5001" s="191">
        <v>5.9426198607677063E-8</v>
      </c>
      <c r="T5001" s="191">
        <v>2.6741789373454679E-7</v>
      </c>
      <c r="U5001" s="439"/>
      <c r="V5001" s="439"/>
      <c r="W5001" s="178">
        <v>30000</v>
      </c>
      <c r="X5001" s="172">
        <f t="shared" si="20"/>
        <v>0.33333333333333331</v>
      </c>
      <c r="Y5001" s="172">
        <f t="shared" si="20"/>
        <v>0.33333333333333331</v>
      </c>
      <c r="Z5001" s="172">
        <f t="shared" si="20"/>
        <v>0.33333333333333331</v>
      </c>
      <c r="AA5001" s="195"/>
      <c r="AB5001" s="159"/>
    </row>
    <row r="5002" spans="1:28" ht="12.75" customHeight="1" x14ac:dyDescent="0.3">
      <c r="A5002" s="161">
        <v>1002</v>
      </c>
      <c r="B5002" s="159" t="s">
        <v>3847</v>
      </c>
      <c r="C5002" s="160" t="s">
        <v>3848</v>
      </c>
      <c r="D5002" s="160" t="s">
        <v>619</v>
      </c>
      <c r="E5002" s="545">
        <v>10.8</v>
      </c>
      <c r="F5002" s="161">
        <v>185.36</v>
      </c>
      <c r="G5002" s="191"/>
      <c r="H5002" s="191">
        <v>7.6133333314299989</v>
      </c>
      <c r="I5002" s="191">
        <v>129</v>
      </c>
      <c r="J5002" s="191"/>
      <c r="K5002" s="191">
        <v>54954.087385762505</v>
      </c>
      <c r="L5002" s="191"/>
      <c r="M5002" s="191"/>
      <c r="N5002" s="191"/>
      <c r="O5002" s="191"/>
      <c r="P5002" s="191"/>
      <c r="Q5002" s="191">
        <v>7.1608912500000009E-5</v>
      </c>
      <c r="R5002" s="191">
        <v>9.2532143160742838E-7</v>
      </c>
      <c r="S5002" s="191">
        <v>1.0281349240082538E-7</v>
      </c>
      <c r="T5002" s="191">
        <v>4.6266071580371419E-7</v>
      </c>
      <c r="U5002" s="439"/>
      <c r="V5002" s="439"/>
      <c r="W5002" s="178">
        <v>30000</v>
      </c>
      <c r="X5002" s="172">
        <f t="shared" si="20"/>
        <v>0.33333333333333331</v>
      </c>
      <c r="Y5002" s="172">
        <f t="shared" si="20"/>
        <v>0.33333333333333331</v>
      </c>
      <c r="Z5002" s="172">
        <f t="shared" si="20"/>
        <v>0.33333333333333331</v>
      </c>
      <c r="AA5002" s="195"/>
      <c r="AB5002" s="159"/>
    </row>
    <row r="5003" spans="1:28" ht="12.75" customHeight="1" x14ac:dyDescent="0.3">
      <c r="A5003" s="161">
        <v>1003</v>
      </c>
      <c r="B5003" s="159" t="s">
        <v>3849</v>
      </c>
      <c r="C5003" s="160" t="s">
        <v>3850</v>
      </c>
      <c r="D5003" s="160" t="s">
        <v>619</v>
      </c>
      <c r="E5003" s="545">
        <v>10.87</v>
      </c>
      <c r="F5003" s="161">
        <v>113.2</v>
      </c>
      <c r="G5003" s="191"/>
      <c r="H5003" s="191">
        <v>131.59999996709999</v>
      </c>
      <c r="I5003" s="191">
        <v>15140</v>
      </c>
      <c r="J5003" s="191"/>
      <c r="K5003" s="191">
        <v>147.91083881682084</v>
      </c>
      <c r="L5003" s="191"/>
      <c r="M5003" s="191"/>
      <c r="N5003" s="191"/>
      <c r="O5003" s="191"/>
      <c r="P5003" s="191"/>
      <c r="Q5003" s="191">
        <v>6.8574975000000005E-5</v>
      </c>
      <c r="R5003" s="191">
        <v>5.3483578746909358E-7</v>
      </c>
      <c r="S5003" s="191">
        <v>5.9426198607677063E-8</v>
      </c>
      <c r="T5003" s="191">
        <v>2.6741789373454679E-7</v>
      </c>
      <c r="U5003" s="439"/>
      <c r="V5003" s="439"/>
      <c r="W5003" s="178">
        <v>30000</v>
      </c>
      <c r="X5003" s="172">
        <f t="shared" si="20"/>
        <v>0.33333333333333331</v>
      </c>
      <c r="Y5003" s="172">
        <f t="shared" si="20"/>
        <v>0.33333333333333331</v>
      </c>
      <c r="Z5003" s="172">
        <f t="shared" si="20"/>
        <v>0.33333333333333331</v>
      </c>
      <c r="AA5003" s="195"/>
      <c r="AB5003" s="159"/>
    </row>
    <row r="5004" spans="1:28" ht="12.75" customHeight="1" x14ac:dyDescent="0.3">
      <c r="A5004" s="161">
        <v>1004</v>
      </c>
      <c r="B5004" s="159" t="s">
        <v>3851</v>
      </c>
      <c r="C5004" s="160" t="s">
        <v>3852</v>
      </c>
      <c r="D5004" s="160" t="s">
        <v>619</v>
      </c>
      <c r="E5004" s="545">
        <v>10.87</v>
      </c>
      <c r="F5004" s="161">
        <v>45.08</v>
      </c>
      <c r="G5004" s="191"/>
      <c r="H5004" s="191">
        <v>139999.999965</v>
      </c>
      <c r="I5004" s="191">
        <v>1000000</v>
      </c>
      <c r="J5004" s="191"/>
      <c r="K5004" s="191">
        <v>0.74131024130091738</v>
      </c>
      <c r="L5004" s="191"/>
      <c r="M5004" s="191"/>
      <c r="N5004" s="191"/>
      <c r="O5004" s="191"/>
      <c r="P5004" s="191"/>
      <c r="Q5004" s="191">
        <v>2.0775E-5</v>
      </c>
      <c r="R5004" s="191">
        <v>5.3483578746909358E-7</v>
      </c>
      <c r="S5004" s="191">
        <v>5.9426198607677063E-8</v>
      </c>
      <c r="T5004" s="191">
        <v>2.6741789373454679E-7</v>
      </c>
      <c r="U5004" s="439"/>
      <c r="V5004" s="439"/>
      <c r="W5004" s="178">
        <v>30000</v>
      </c>
      <c r="X5004" s="172">
        <f t="shared" si="20"/>
        <v>0.33333333333333331</v>
      </c>
      <c r="Y5004" s="172">
        <f t="shared" si="20"/>
        <v>0.33333333333333331</v>
      </c>
      <c r="Z5004" s="172">
        <f t="shared" si="20"/>
        <v>0.33333333333333331</v>
      </c>
      <c r="AA5004" s="195"/>
      <c r="AB5004" s="159"/>
    </row>
    <row r="5005" spans="1:28" ht="12.75" customHeight="1" x14ac:dyDescent="0.3">
      <c r="A5005" s="161">
        <v>1005</v>
      </c>
      <c r="B5005" s="159" t="s">
        <v>3853</v>
      </c>
      <c r="C5005" s="160" t="s">
        <v>3854</v>
      </c>
      <c r="D5005" s="160" t="s">
        <v>619</v>
      </c>
      <c r="E5005" s="545">
        <v>10.9</v>
      </c>
      <c r="F5005" s="161">
        <v>120.19</v>
      </c>
      <c r="G5005" s="191"/>
      <c r="H5005" s="191">
        <v>2.1866666661199998E-4</v>
      </c>
      <c r="I5005" s="191">
        <v>369</v>
      </c>
      <c r="J5005" s="191"/>
      <c r="K5005" s="191">
        <v>1.0471285480508988E-3</v>
      </c>
      <c r="L5005" s="191"/>
      <c r="M5005" s="191"/>
      <c r="N5005" s="191"/>
      <c r="O5005" s="191"/>
      <c r="P5005" s="191"/>
      <c r="Q5005" s="191">
        <v>3.15E-5</v>
      </c>
      <c r="R5005" s="191">
        <v>5.3483578746909358E-7</v>
      </c>
      <c r="S5005" s="191">
        <v>5.9426198607677063E-8</v>
      </c>
      <c r="T5005" s="191">
        <v>2.6741789373454679E-7</v>
      </c>
      <c r="U5005" s="439"/>
      <c r="V5005" s="439"/>
      <c r="W5005" s="178">
        <v>30000</v>
      </c>
      <c r="X5005" s="172">
        <f t="shared" si="20"/>
        <v>0.33333333333333331</v>
      </c>
      <c r="Y5005" s="172">
        <f t="shared" si="20"/>
        <v>0.33333333333333331</v>
      </c>
      <c r="Z5005" s="172">
        <f t="shared" si="20"/>
        <v>0.33333333333333331</v>
      </c>
      <c r="AA5005" s="195"/>
      <c r="AB5005" s="159"/>
    </row>
    <row r="5006" spans="1:28" ht="12.75" customHeight="1" x14ac:dyDescent="0.3">
      <c r="A5006" s="234">
        <v>1006</v>
      </c>
      <c r="B5006" s="598" t="s">
        <v>3855</v>
      </c>
      <c r="C5006" s="235" t="s">
        <v>3856</v>
      </c>
      <c r="D5006" s="235" t="s">
        <v>619</v>
      </c>
      <c r="E5006" s="594">
        <v>10.91</v>
      </c>
      <c r="F5006" s="234">
        <v>129.25</v>
      </c>
      <c r="G5006" s="238"/>
      <c r="H5006" s="238">
        <v>969.33333309099987</v>
      </c>
      <c r="I5006" s="238">
        <v>2200</v>
      </c>
      <c r="J5006" s="238"/>
      <c r="K5006" s="238">
        <v>426.57951880159294</v>
      </c>
      <c r="L5006" s="238"/>
      <c r="M5006" s="238"/>
      <c r="N5006" s="238"/>
      <c r="O5006" s="238"/>
      <c r="P5006" s="238"/>
      <c r="Q5006" s="238">
        <v>6.7357177499999994E-5</v>
      </c>
      <c r="R5006" s="238">
        <v>5.3483578746909358E-7</v>
      </c>
      <c r="S5006" s="238">
        <v>5.9426198607677063E-8</v>
      </c>
      <c r="T5006" s="238">
        <v>2.6741789373454679E-7</v>
      </c>
      <c r="U5006" s="537"/>
      <c r="V5006" s="537"/>
      <c r="W5006" s="596">
        <v>30000</v>
      </c>
      <c r="X5006" s="597">
        <f t="shared" si="20"/>
        <v>0.33333333333333331</v>
      </c>
      <c r="Y5006" s="597">
        <f t="shared" si="20"/>
        <v>0.33333333333333331</v>
      </c>
      <c r="Z5006" s="597">
        <f t="shared" si="20"/>
        <v>0.33333333333333331</v>
      </c>
      <c r="AA5006" s="195"/>
      <c r="AB5006" s="159"/>
    </row>
    <row r="5007" spans="1:28" ht="12.75" customHeight="1" x14ac:dyDescent="0.3">
      <c r="A5007" s="161">
        <v>1007</v>
      </c>
      <c r="B5007" s="159" t="s">
        <v>3858</v>
      </c>
      <c r="C5007" s="160" t="s">
        <v>3859</v>
      </c>
      <c r="D5007" s="160" t="s">
        <v>1746</v>
      </c>
      <c r="E5007" s="545"/>
      <c r="F5007" s="161">
        <v>107.87</v>
      </c>
      <c r="G5007" s="191"/>
      <c r="H5007" s="191">
        <v>2.4084152589004067E-36</v>
      </c>
      <c r="I5007" s="191"/>
      <c r="J5007" s="191">
        <v>9.9999999999999995E-21</v>
      </c>
      <c r="K5007" s="191"/>
      <c r="L5007" s="191">
        <v>47500</v>
      </c>
      <c r="M5007" s="191"/>
      <c r="N5007" s="191"/>
      <c r="O5007" s="191"/>
      <c r="P5007" s="191"/>
      <c r="Q5007" s="191">
        <v>9.9999999999999995E-21</v>
      </c>
      <c r="R5007" s="191">
        <v>9.9999999999999995E-21</v>
      </c>
      <c r="S5007" s="191">
        <v>9.9999999999999995E-21</v>
      </c>
      <c r="T5007" s="191">
        <v>9.9999999999999995E-21</v>
      </c>
      <c r="U5007" s="439"/>
      <c r="V5007" s="439"/>
      <c r="W5007" s="178">
        <v>30000</v>
      </c>
      <c r="X5007" s="172">
        <f t="shared" si="20"/>
        <v>0.33333333333333331</v>
      </c>
      <c r="Y5007" s="172">
        <f t="shared" si="20"/>
        <v>0.33333333333333331</v>
      </c>
      <c r="Z5007" s="172">
        <f t="shared" si="20"/>
        <v>0.33333333333333331</v>
      </c>
      <c r="AA5007" s="195"/>
      <c r="AB5007" s="159"/>
    </row>
    <row r="5008" spans="1:28" ht="12.75" customHeight="1" x14ac:dyDescent="0.3">
      <c r="A5008" s="161">
        <v>1008</v>
      </c>
      <c r="B5008" s="159" t="s">
        <v>3860</v>
      </c>
      <c r="C5008" s="160" t="s">
        <v>3861</v>
      </c>
      <c r="D5008" s="160" t="s">
        <v>1746</v>
      </c>
      <c r="E5008" s="545"/>
      <c r="F5008" s="161">
        <v>26.98</v>
      </c>
      <c r="G5008" s="191"/>
      <c r="H5008" s="191">
        <v>3.5055501931685987E-44</v>
      </c>
      <c r="I5008" s="191"/>
      <c r="J5008" s="191">
        <v>9.9999999999999995E-21</v>
      </c>
      <c r="K5008" s="191"/>
      <c r="L5008" s="191">
        <v>13328.649403946676</v>
      </c>
      <c r="M5008" s="191"/>
      <c r="N5008" s="191"/>
      <c r="O5008" s="191"/>
      <c r="P5008" s="191"/>
      <c r="Q5008" s="191">
        <v>9.9999999999999995E-21</v>
      </c>
      <c r="R5008" s="191">
        <v>9.9999999999999995E-21</v>
      </c>
      <c r="S5008" s="191">
        <v>9.9999999999999995E-21</v>
      </c>
      <c r="T5008" s="191">
        <v>9.9999999999999995E-21</v>
      </c>
      <c r="U5008" s="439"/>
      <c r="V5008" s="439"/>
      <c r="W5008" s="178">
        <v>30000</v>
      </c>
      <c r="X5008" s="172">
        <f t="shared" si="20"/>
        <v>0.33333333333333331</v>
      </c>
      <c r="Y5008" s="172">
        <f t="shared" si="20"/>
        <v>0.33333333333333331</v>
      </c>
      <c r="Z5008" s="172">
        <f t="shared" si="20"/>
        <v>0.33333333333333331</v>
      </c>
      <c r="AA5008" s="195"/>
      <c r="AB5008" s="159"/>
    </row>
    <row r="5009" spans="1:28" ht="12.75" customHeight="1" x14ac:dyDescent="0.3">
      <c r="A5009" s="161">
        <v>1009</v>
      </c>
      <c r="B5009" s="159" t="s">
        <v>3862</v>
      </c>
      <c r="C5009" s="160" t="s">
        <v>3863</v>
      </c>
      <c r="D5009" s="160" t="s">
        <v>1746</v>
      </c>
      <c r="E5009" s="545"/>
      <c r="F5009" s="161">
        <v>74.921599999999998</v>
      </c>
      <c r="G5009" s="191"/>
      <c r="H5009" s="191"/>
      <c r="I5009" s="191"/>
      <c r="J5009" s="191">
        <v>9.9999999999999995E-21</v>
      </c>
      <c r="K5009" s="191"/>
      <c r="L5009" s="191">
        <v>3971.6411736214077</v>
      </c>
      <c r="M5009" s="191"/>
      <c r="N5009" s="191"/>
      <c r="O5009" s="191"/>
      <c r="P5009" s="191"/>
      <c r="Q5009" s="191">
        <v>9.9999999999999995E-21</v>
      </c>
      <c r="R5009" s="191">
        <v>9.9999999999999995E-21</v>
      </c>
      <c r="S5009" s="191">
        <v>9.9999999999999995E-21</v>
      </c>
      <c r="T5009" s="191">
        <v>9.9999999999999995E-21</v>
      </c>
      <c r="U5009" s="439"/>
      <c r="V5009" s="439"/>
      <c r="W5009" s="178">
        <v>30000</v>
      </c>
      <c r="X5009" s="172">
        <f t="shared" si="20"/>
        <v>0.33333333333333331</v>
      </c>
      <c r="Y5009" s="172">
        <f t="shared" si="20"/>
        <v>0.33333333333333331</v>
      </c>
      <c r="Z5009" s="172">
        <f t="shared" si="20"/>
        <v>0.33333333333333331</v>
      </c>
      <c r="AA5009" s="195"/>
      <c r="AB5009" s="159"/>
    </row>
    <row r="5010" spans="1:28" ht="12.75" customHeight="1" x14ac:dyDescent="0.3">
      <c r="A5010" s="161">
        <v>1010</v>
      </c>
      <c r="B5010" s="159" t="s">
        <v>3864</v>
      </c>
      <c r="C5010" s="160" t="s">
        <v>3863</v>
      </c>
      <c r="D5010" s="160" t="s">
        <v>1746</v>
      </c>
      <c r="E5010" s="545"/>
      <c r="F5010" s="161">
        <v>74.921599999999998</v>
      </c>
      <c r="G5010" s="191"/>
      <c r="H5010" s="191"/>
      <c r="I5010" s="191"/>
      <c r="J5010" s="191">
        <v>9.9999999999999995E-21</v>
      </c>
      <c r="K5010" s="191"/>
      <c r="L5010" s="191">
        <v>3971.6411736214077</v>
      </c>
      <c r="M5010" s="191"/>
      <c r="N5010" s="191"/>
      <c r="O5010" s="191"/>
      <c r="P5010" s="191"/>
      <c r="Q5010" s="191">
        <v>9.9999999999999995E-21</v>
      </c>
      <c r="R5010" s="191">
        <v>9.9999999999999995E-21</v>
      </c>
      <c r="S5010" s="191">
        <v>9.9999999999999995E-21</v>
      </c>
      <c r="T5010" s="191">
        <v>9.9999999999999995E-21</v>
      </c>
      <c r="U5010" s="439"/>
      <c r="V5010" s="439"/>
      <c r="W5010" s="178">
        <v>30000</v>
      </c>
      <c r="X5010" s="172">
        <f t="shared" si="20"/>
        <v>0.33333333333333331</v>
      </c>
      <c r="Y5010" s="172">
        <f t="shared" si="20"/>
        <v>0.33333333333333331</v>
      </c>
      <c r="Z5010" s="172">
        <f t="shared" si="20"/>
        <v>0.33333333333333331</v>
      </c>
      <c r="AA5010" s="195"/>
      <c r="AB5010" s="159"/>
    </row>
    <row r="5011" spans="1:28" ht="12.75" customHeight="1" x14ac:dyDescent="0.3">
      <c r="A5011" s="161">
        <v>1011</v>
      </c>
      <c r="B5011" s="159" t="s">
        <v>3865</v>
      </c>
      <c r="C5011" s="160" t="s">
        <v>3866</v>
      </c>
      <c r="D5011" s="160" t="s">
        <v>1746</v>
      </c>
      <c r="E5011" s="545"/>
      <c r="F5011" s="161">
        <v>137.33000000000001</v>
      </c>
      <c r="G5011" s="191"/>
      <c r="H5011" s="191">
        <v>4.3040812006100106E-19</v>
      </c>
      <c r="I5011" s="191"/>
      <c r="J5011" s="191">
        <v>9.9999999999999995E-21</v>
      </c>
      <c r="K5011" s="191"/>
      <c r="L5011" s="191">
        <v>45.15781779593015</v>
      </c>
      <c r="M5011" s="191"/>
      <c r="N5011" s="191"/>
      <c r="O5011" s="191"/>
      <c r="P5011" s="191"/>
      <c r="Q5011" s="191">
        <v>9.9999999999999995E-21</v>
      </c>
      <c r="R5011" s="191">
        <v>9.9999999999999995E-21</v>
      </c>
      <c r="S5011" s="191">
        <v>9.9999999999999995E-21</v>
      </c>
      <c r="T5011" s="191">
        <v>9.9999999999999995E-21</v>
      </c>
      <c r="U5011" s="439"/>
      <c r="V5011" s="439"/>
      <c r="W5011" s="178">
        <v>30000</v>
      </c>
      <c r="X5011" s="172">
        <f t="shared" si="20"/>
        <v>0.33333333333333331</v>
      </c>
      <c r="Y5011" s="172">
        <f t="shared" si="20"/>
        <v>0.33333333333333331</v>
      </c>
      <c r="Z5011" s="172">
        <f t="shared" si="20"/>
        <v>0.33333333333333331</v>
      </c>
      <c r="AA5011" s="195"/>
      <c r="AB5011" s="159"/>
    </row>
    <row r="5012" spans="1:28" ht="12.75" customHeight="1" x14ac:dyDescent="0.3">
      <c r="A5012" s="161">
        <v>1012</v>
      </c>
      <c r="B5012" s="159" t="s">
        <v>3867</v>
      </c>
      <c r="C5012" s="160" t="s">
        <v>3868</v>
      </c>
      <c r="D5012" s="160" t="s">
        <v>1746</v>
      </c>
      <c r="E5012" s="545"/>
      <c r="F5012" s="161">
        <v>9.0121800000000007</v>
      </c>
      <c r="G5012" s="191"/>
      <c r="H5012" s="191">
        <v>1.070740126697043E-42</v>
      </c>
      <c r="I5012" s="191"/>
      <c r="J5012" s="191">
        <v>9.9999999999999995E-21</v>
      </c>
      <c r="K5012" s="191"/>
      <c r="L5012" s="191">
        <v>621494.61991248687</v>
      </c>
      <c r="M5012" s="191"/>
      <c r="N5012" s="191"/>
      <c r="O5012" s="191"/>
      <c r="P5012" s="191"/>
      <c r="Q5012" s="191">
        <v>9.9999999999999995E-21</v>
      </c>
      <c r="R5012" s="191">
        <v>9.9999999999999995E-21</v>
      </c>
      <c r="S5012" s="191">
        <v>9.9999999999999995E-21</v>
      </c>
      <c r="T5012" s="191">
        <v>9.9999999999999995E-21</v>
      </c>
      <c r="U5012" s="439"/>
      <c r="V5012" s="439"/>
      <c r="W5012" s="178">
        <v>30000</v>
      </c>
      <c r="X5012" s="172">
        <f t="shared" si="20"/>
        <v>0.33333333333333331</v>
      </c>
      <c r="Y5012" s="172">
        <f t="shared" si="20"/>
        <v>0.33333333333333331</v>
      </c>
      <c r="Z5012" s="172">
        <f t="shared" si="20"/>
        <v>0.33333333333333331</v>
      </c>
      <c r="AA5012" s="195"/>
      <c r="AB5012" s="159"/>
    </row>
    <row r="5013" spans="1:28" ht="12.75" customHeight="1" x14ac:dyDescent="0.3">
      <c r="A5013" s="161">
        <v>1013</v>
      </c>
      <c r="B5013" s="159" t="s">
        <v>3869</v>
      </c>
      <c r="C5013" s="160" t="s">
        <v>3870</v>
      </c>
      <c r="D5013" s="160" t="s">
        <v>1746</v>
      </c>
      <c r="E5013" s="545"/>
      <c r="F5013" s="161">
        <v>112.41</v>
      </c>
      <c r="G5013" s="191"/>
      <c r="H5013" s="191">
        <v>1.454989960287752E-8</v>
      </c>
      <c r="I5013" s="191"/>
      <c r="J5013" s="191">
        <v>9.9999999999999995E-21</v>
      </c>
      <c r="K5013" s="191"/>
      <c r="L5013" s="191">
        <v>1541.7385257268772</v>
      </c>
      <c r="M5013" s="191"/>
      <c r="N5013" s="191"/>
      <c r="O5013" s="191"/>
      <c r="P5013" s="191"/>
      <c r="Q5013" s="191">
        <v>9.9999999999999995E-21</v>
      </c>
      <c r="R5013" s="191">
        <v>9.9999999999999995E-21</v>
      </c>
      <c r="S5013" s="191">
        <v>9.9999999999999995E-21</v>
      </c>
      <c r="T5013" s="191">
        <v>9.9999999999999995E-21</v>
      </c>
      <c r="U5013" s="439"/>
      <c r="V5013" s="439"/>
      <c r="W5013" s="178">
        <v>30000</v>
      </c>
      <c r="X5013" s="172">
        <f t="shared" si="20"/>
        <v>0.33333333333333331</v>
      </c>
      <c r="Y5013" s="172">
        <f t="shared" si="20"/>
        <v>0.33333333333333331</v>
      </c>
      <c r="Z5013" s="172">
        <f t="shared" si="20"/>
        <v>0.33333333333333331</v>
      </c>
      <c r="AA5013" s="195"/>
      <c r="AB5013" s="159"/>
    </row>
    <row r="5014" spans="1:28" ht="12.75" customHeight="1" x14ac:dyDescent="0.3">
      <c r="A5014" s="161">
        <v>1014</v>
      </c>
      <c r="B5014" s="159" t="s">
        <v>3871</v>
      </c>
      <c r="C5014" s="160" t="s">
        <v>3872</v>
      </c>
      <c r="D5014" s="160" t="s">
        <v>1746</v>
      </c>
      <c r="E5014" s="545"/>
      <c r="F5014" s="161">
        <v>58.933199999999999</v>
      </c>
      <c r="G5014" s="191"/>
      <c r="H5014" s="191">
        <v>2.9837773958947626E-58</v>
      </c>
      <c r="I5014" s="191"/>
      <c r="J5014" s="191">
        <v>9.9999999999999995E-21</v>
      </c>
      <c r="K5014" s="191"/>
      <c r="L5014" s="191">
        <v>1833.3474017044932</v>
      </c>
      <c r="M5014" s="191"/>
      <c r="N5014" s="191"/>
      <c r="O5014" s="191"/>
      <c r="P5014" s="191"/>
      <c r="Q5014" s="191">
        <v>9.9999999999999995E-21</v>
      </c>
      <c r="R5014" s="191">
        <v>9.9999999999999995E-21</v>
      </c>
      <c r="S5014" s="191">
        <v>9.9999999999999995E-21</v>
      </c>
      <c r="T5014" s="191">
        <v>9.9999999999999995E-21</v>
      </c>
      <c r="U5014" s="439"/>
      <c r="V5014" s="439"/>
      <c r="W5014" s="178">
        <v>30000</v>
      </c>
      <c r="X5014" s="172">
        <f t="shared" si="20"/>
        <v>0.33333333333333331</v>
      </c>
      <c r="Y5014" s="172">
        <f t="shared" si="20"/>
        <v>0.33333333333333331</v>
      </c>
      <c r="Z5014" s="172">
        <f t="shared" si="20"/>
        <v>0.33333333333333331</v>
      </c>
      <c r="AA5014" s="195"/>
      <c r="AB5014" s="159"/>
    </row>
    <row r="5015" spans="1:28" ht="12.75" customHeight="1" x14ac:dyDescent="0.3">
      <c r="A5015" s="161">
        <v>1015</v>
      </c>
      <c r="B5015" s="159" t="s">
        <v>3873</v>
      </c>
      <c r="C5015" s="160" t="s">
        <v>3874</v>
      </c>
      <c r="D5015" s="160" t="s">
        <v>1746</v>
      </c>
      <c r="E5015" s="545"/>
      <c r="F5015" s="161">
        <v>51.996000000000002</v>
      </c>
      <c r="G5015" s="191"/>
      <c r="H5015" s="191"/>
      <c r="I5015" s="191"/>
      <c r="J5015" s="191">
        <v>9.9999999999999995E-21</v>
      </c>
      <c r="K5015" s="191"/>
      <c r="L5015" s="191">
        <v>44741805.854611523</v>
      </c>
      <c r="M5015" s="191"/>
      <c r="N5015" s="191"/>
      <c r="O5015" s="191"/>
      <c r="P5015" s="191"/>
      <c r="Q5015" s="191">
        <v>9.9999999999999995E-21</v>
      </c>
      <c r="R5015" s="191">
        <v>9.9999999999999995E-21</v>
      </c>
      <c r="S5015" s="191">
        <v>9.9999999999999995E-21</v>
      </c>
      <c r="T5015" s="191">
        <v>9.9999999999999995E-21</v>
      </c>
      <c r="U5015" s="439"/>
      <c r="V5015" s="439"/>
      <c r="W5015" s="178">
        <v>30000</v>
      </c>
      <c r="X5015" s="172">
        <f t="shared" si="20"/>
        <v>0.33333333333333331</v>
      </c>
      <c r="Y5015" s="172">
        <f t="shared" si="20"/>
        <v>0.33333333333333331</v>
      </c>
      <c r="Z5015" s="172">
        <f t="shared" si="20"/>
        <v>0.33333333333333331</v>
      </c>
      <c r="AA5015" s="195"/>
      <c r="AB5015" s="159"/>
    </row>
    <row r="5016" spans="1:28" ht="12.75" customHeight="1" x14ac:dyDescent="0.3">
      <c r="A5016" s="161">
        <v>1016</v>
      </c>
      <c r="B5016" s="159" t="s">
        <v>3875</v>
      </c>
      <c r="C5016" s="160" t="s">
        <v>3876</v>
      </c>
      <c r="D5016" s="160" t="s">
        <v>1746</v>
      </c>
      <c r="E5016" s="545"/>
      <c r="F5016" s="161">
        <v>51.996000000000002</v>
      </c>
      <c r="G5016" s="191"/>
      <c r="H5016" s="191"/>
      <c r="I5016" s="191"/>
      <c r="J5016" s="191">
        <v>9.9999999999999995E-21</v>
      </c>
      <c r="K5016" s="191"/>
      <c r="L5016" s="191">
        <v>7924.4659623055732</v>
      </c>
      <c r="M5016" s="191"/>
      <c r="N5016" s="191"/>
      <c r="O5016" s="191"/>
      <c r="P5016" s="191"/>
      <c r="Q5016" s="191">
        <v>9.9999999999999995E-21</v>
      </c>
      <c r="R5016" s="191">
        <v>9.9999999999999995E-21</v>
      </c>
      <c r="S5016" s="191">
        <v>9.9999999999999995E-21</v>
      </c>
      <c r="T5016" s="191">
        <v>9.9999999999999995E-21</v>
      </c>
      <c r="U5016" s="439"/>
      <c r="V5016" s="439"/>
      <c r="W5016" s="178">
        <v>30000</v>
      </c>
      <c r="X5016" s="172">
        <f t="shared" si="20"/>
        <v>0.33333333333333331</v>
      </c>
      <c r="Y5016" s="172">
        <f t="shared" si="20"/>
        <v>0.33333333333333331</v>
      </c>
      <c r="Z5016" s="172">
        <f t="shared" si="20"/>
        <v>0.33333333333333331</v>
      </c>
      <c r="AA5016" s="195"/>
      <c r="AB5016" s="159"/>
    </row>
    <row r="5017" spans="1:28" ht="12.75" customHeight="1" x14ac:dyDescent="0.3">
      <c r="A5017" s="161">
        <v>1017</v>
      </c>
      <c r="B5017" s="159" t="s">
        <v>3877</v>
      </c>
      <c r="C5017" s="160" t="s">
        <v>3878</v>
      </c>
      <c r="D5017" s="160" t="s">
        <v>1746</v>
      </c>
      <c r="E5017" s="545"/>
      <c r="F5017" s="161">
        <v>132.91</v>
      </c>
      <c r="G5017" s="191"/>
      <c r="H5017" s="191">
        <v>2.1126797400753872E-4</v>
      </c>
      <c r="I5017" s="191"/>
      <c r="J5017" s="191">
        <v>9.9999999999999995E-21</v>
      </c>
      <c r="K5017" s="191"/>
      <c r="L5017" s="191">
        <v>9.001981404479741</v>
      </c>
      <c r="M5017" s="191"/>
      <c r="N5017" s="191"/>
      <c r="O5017" s="191"/>
      <c r="P5017" s="191"/>
      <c r="Q5017" s="191">
        <v>9.9999999999999995E-21</v>
      </c>
      <c r="R5017" s="191">
        <v>9.9999999999999995E-21</v>
      </c>
      <c r="S5017" s="191">
        <v>9.9999999999999995E-21</v>
      </c>
      <c r="T5017" s="191">
        <v>9.9999999999999995E-21</v>
      </c>
      <c r="U5017" s="439"/>
      <c r="V5017" s="439"/>
      <c r="W5017" s="178">
        <v>30000</v>
      </c>
      <c r="X5017" s="172">
        <f t="shared" si="20"/>
        <v>0.33333333333333331</v>
      </c>
      <c r="Y5017" s="172">
        <f t="shared" si="20"/>
        <v>0.33333333333333331</v>
      </c>
      <c r="Z5017" s="172">
        <f t="shared" si="20"/>
        <v>0.33333333333333331</v>
      </c>
      <c r="AA5017" s="195"/>
      <c r="AB5017" s="159"/>
    </row>
    <row r="5018" spans="1:28" ht="12.75" customHeight="1" x14ac:dyDescent="0.3">
      <c r="A5018" s="161">
        <v>1018</v>
      </c>
      <c r="B5018" s="159" t="s">
        <v>3879</v>
      </c>
      <c r="C5018" s="160" t="s">
        <v>3880</v>
      </c>
      <c r="D5018" s="160" t="s">
        <v>1746</v>
      </c>
      <c r="E5018" s="545"/>
      <c r="F5018" s="161">
        <v>63.545999999999999</v>
      </c>
      <c r="G5018" s="191"/>
      <c r="H5018" s="191">
        <v>6.2883519005482815E-45</v>
      </c>
      <c r="I5018" s="191"/>
      <c r="J5018" s="191">
        <v>9.9999999999999995E-21</v>
      </c>
      <c r="K5018" s="191"/>
      <c r="L5018" s="191">
        <v>1317669.2061579451</v>
      </c>
      <c r="M5018" s="191"/>
      <c r="N5018" s="191"/>
      <c r="O5018" s="191"/>
      <c r="P5018" s="191"/>
      <c r="Q5018" s="191">
        <v>9.9999999999999995E-21</v>
      </c>
      <c r="R5018" s="191">
        <v>9.9999999999999995E-21</v>
      </c>
      <c r="S5018" s="191">
        <v>9.9999999999999995E-21</v>
      </c>
      <c r="T5018" s="191">
        <v>9.9999999999999995E-21</v>
      </c>
      <c r="U5018" s="439"/>
      <c r="V5018" s="439"/>
      <c r="W5018" s="178">
        <v>30000</v>
      </c>
      <c r="X5018" s="172">
        <f t="shared" si="20"/>
        <v>0.33333333333333331</v>
      </c>
      <c r="Y5018" s="172">
        <f t="shared" si="20"/>
        <v>0.33333333333333331</v>
      </c>
      <c r="Z5018" s="172">
        <f t="shared" si="20"/>
        <v>0.33333333333333331</v>
      </c>
      <c r="AA5018" s="195"/>
      <c r="AB5018" s="159"/>
    </row>
    <row r="5019" spans="1:28" ht="12.75" customHeight="1" x14ac:dyDescent="0.3">
      <c r="A5019" s="161">
        <v>1019</v>
      </c>
      <c r="B5019" s="159" t="s">
        <v>3881</v>
      </c>
      <c r="C5019" s="160" t="s">
        <v>3882</v>
      </c>
      <c r="D5019" s="160" t="s">
        <v>1746</v>
      </c>
      <c r="E5019" s="545"/>
      <c r="F5019" s="161">
        <v>55.85</v>
      </c>
      <c r="G5019" s="191"/>
      <c r="H5019" s="191">
        <v>5.025727302876554E-55</v>
      </c>
      <c r="I5019" s="191"/>
      <c r="J5019" s="191">
        <v>9.9999999999999995E-21</v>
      </c>
      <c r="K5019" s="191"/>
      <c r="L5019" s="191">
        <v>423.53402768410797</v>
      </c>
      <c r="M5019" s="191"/>
      <c r="N5019" s="191"/>
      <c r="O5019" s="191"/>
      <c r="P5019" s="191"/>
      <c r="Q5019" s="191">
        <v>9.9999999999999995E-21</v>
      </c>
      <c r="R5019" s="191">
        <v>9.9999999999999995E-21</v>
      </c>
      <c r="S5019" s="191">
        <v>9.9999999999999995E-21</v>
      </c>
      <c r="T5019" s="191">
        <v>9.9999999999999995E-21</v>
      </c>
      <c r="U5019" s="439"/>
      <c r="V5019" s="439"/>
      <c r="W5019" s="178">
        <v>30000</v>
      </c>
      <c r="X5019" s="172">
        <f t="shared" si="20"/>
        <v>0.33333333333333331</v>
      </c>
      <c r="Y5019" s="172">
        <f t="shared" si="20"/>
        <v>0.33333333333333331</v>
      </c>
      <c r="Z5019" s="172">
        <f t="shared" si="20"/>
        <v>0.33333333333333331</v>
      </c>
      <c r="AA5019" s="195"/>
      <c r="AB5019" s="159"/>
    </row>
    <row r="5020" spans="1:28" ht="12.75" customHeight="1" x14ac:dyDescent="0.3">
      <c r="A5020" s="161">
        <v>1020</v>
      </c>
      <c r="B5020" s="159" t="s">
        <v>3883</v>
      </c>
      <c r="C5020" s="160" t="s">
        <v>3882</v>
      </c>
      <c r="D5020" s="160" t="s">
        <v>1746</v>
      </c>
      <c r="E5020" s="545"/>
      <c r="F5020" s="161">
        <v>55.85</v>
      </c>
      <c r="G5020" s="191"/>
      <c r="H5020" s="191">
        <v>5.025727302876554E-55</v>
      </c>
      <c r="I5020" s="191"/>
      <c r="J5020" s="191">
        <v>9.9999999999999995E-21</v>
      </c>
      <c r="K5020" s="191"/>
      <c r="L5020" s="191">
        <v>1613634.9487338495</v>
      </c>
      <c r="M5020" s="191"/>
      <c r="N5020" s="191"/>
      <c r="O5020" s="191"/>
      <c r="P5020" s="191"/>
      <c r="Q5020" s="191">
        <v>9.9999999999999995E-21</v>
      </c>
      <c r="R5020" s="191">
        <v>9.9999999999999995E-21</v>
      </c>
      <c r="S5020" s="191">
        <v>9.9999999999999995E-21</v>
      </c>
      <c r="T5020" s="191">
        <v>9.9999999999999995E-21</v>
      </c>
      <c r="U5020" s="439"/>
      <c r="V5020" s="439"/>
      <c r="W5020" s="178">
        <v>30000</v>
      </c>
      <c r="X5020" s="172">
        <f t="shared" si="20"/>
        <v>0.33333333333333331</v>
      </c>
      <c r="Y5020" s="172">
        <f t="shared" si="20"/>
        <v>0.33333333333333331</v>
      </c>
      <c r="Z5020" s="172">
        <f t="shared" si="20"/>
        <v>0.33333333333333331</v>
      </c>
      <c r="AA5020" s="195"/>
      <c r="AB5020" s="159"/>
    </row>
    <row r="5021" spans="1:28" ht="12.75" customHeight="1" x14ac:dyDescent="0.3">
      <c r="A5021" s="161">
        <v>1021</v>
      </c>
      <c r="B5021" s="159" t="s">
        <v>3884</v>
      </c>
      <c r="C5021" s="160" t="s">
        <v>3885</v>
      </c>
      <c r="D5021" s="160" t="s">
        <v>1746</v>
      </c>
      <c r="E5021" s="545"/>
      <c r="F5021" s="161">
        <v>200.59</v>
      </c>
      <c r="G5021" s="191"/>
      <c r="H5021" s="191">
        <v>0.26448691183005452</v>
      </c>
      <c r="I5021" s="191"/>
      <c r="J5021" s="191">
        <v>9.9999999999999995E-21</v>
      </c>
      <c r="K5021" s="191"/>
      <c r="L5021" s="191">
        <v>99763.115748444063</v>
      </c>
      <c r="M5021" s="191"/>
      <c r="N5021" s="191"/>
      <c r="O5021" s="191"/>
      <c r="P5021" s="191"/>
      <c r="Q5021" s="191">
        <v>9.9999999999999995E-21</v>
      </c>
      <c r="R5021" s="191">
        <v>9.9999999999999995E-21</v>
      </c>
      <c r="S5021" s="191">
        <v>9.9999999999999995E-21</v>
      </c>
      <c r="T5021" s="191">
        <v>9.9999999999999995E-21</v>
      </c>
      <c r="U5021" s="439"/>
      <c r="V5021" s="439"/>
      <c r="W5021" s="178">
        <v>30000</v>
      </c>
      <c r="X5021" s="172">
        <f t="shared" si="20"/>
        <v>0.33333333333333331</v>
      </c>
      <c r="Y5021" s="172">
        <f t="shared" si="20"/>
        <v>0.33333333333333331</v>
      </c>
      <c r="Z5021" s="172">
        <f t="shared" si="20"/>
        <v>0.33333333333333331</v>
      </c>
      <c r="AA5021" s="195"/>
      <c r="AB5021" s="159"/>
    </row>
    <row r="5022" spans="1:28" ht="12.75" customHeight="1" x14ac:dyDescent="0.3">
      <c r="A5022" s="161">
        <v>1022</v>
      </c>
      <c r="B5022" s="159" t="s">
        <v>3886</v>
      </c>
      <c r="C5022" s="160" t="s">
        <v>3887</v>
      </c>
      <c r="D5022" s="160" t="s">
        <v>1746</v>
      </c>
      <c r="E5022" s="545"/>
      <c r="F5022" s="161">
        <v>54.94</v>
      </c>
      <c r="G5022" s="191"/>
      <c r="H5022" s="191"/>
      <c r="I5022" s="191"/>
      <c r="J5022" s="191">
        <v>9.9999999999999995E-21</v>
      </c>
      <c r="K5022" s="191"/>
      <c r="L5022" s="191">
        <v>2890.7153900116759</v>
      </c>
      <c r="M5022" s="191"/>
      <c r="N5022" s="191"/>
      <c r="O5022" s="191"/>
      <c r="P5022" s="191"/>
      <c r="Q5022" s="191">
        <v>9.9999999999999995E-21</v>
      </c>
      <c r="R5022" s="191">
        <v>9.9999999999999995E-21</v>
      </c>
      <c r="S5022" s="191">
        <v>9.9999999999999995E-21</v>
      </c>
      <c r="T5022" s="191">
        <v>9.9999999999999995E-21</v>
      </c>
      <c r="U5022" s="439"/>
      <c r="V5022" s="439"/>
      <c r="W5022" s="178">
        <v>30000</v>
      </c>
      <c r="X5022" s="172">
        <f t="shared" si="20"/>
        <v>0.33333333333333331</v>
      </c>
      <c r="Y5022" s="172">
        <f t="shared" si="20"/>
        <v>0.33333333333333331</v>
      </c>
      <c r="Z5022" s="172">
        <f t="shared" si="20"/>
        <v>0.33333333333333331</v>
      </c>
      <c r="AA5022" s="195"/>
      <c r="AB5022" s="159"/>
    </row>
    <row r="5023" spans="1:28" ht="12.75" customHeight="1" x14ac:dyDescent="0.3">
      <c r="A5023" s="161">
        <v>1023</v>
      </c>
      <c r="B5023" s="159" t="s">
        <v>3888</v>
      </c>
      <c r="C5023" s="160" t="s">
        <v>3889</v>
      </c>
      <c r="D5023" s="160" t="s">
        <v>1746</v>
      </c>
      <c r="E5023" s="545"/>
      <c r="F5023" s="161">
        <v>95.94</v>
      </c>
      <c r="G5023" s="191"/>
      <c r="H5023" s="191"/>
      <c r="I5023" s="191"/>
      <c r="J5023" s="191">
        <v>9.9999999999999995E-21</v>
      </c>
      <c r="K5023" s="191"/>
      <c r="L5023" s="191">
        <v>12559.43215754793</v>
      </c>
      <c r="M5023" s="191"/>
      <c r="N5023" s="191"/>
      <c r="O5023" s="191"/>
      <c r="P5023" s="191"/>
      <c r="Q5023" s="191">
        <v>9.9999999999999995E-21</v>
      </c>
      <c r="R5023" s="191">
        <v>9.9999999999999995E-21</v>
      </c>
      <c r="S5023" s="191">
        <v>9.9999999999999995E-21</v>
      </c>
      <c r="T5023" s="191">
        <v>9.9999999999999995E-21</v>
      </c>
      <c r="U5023" s="439"/>
      <c r="V5023" s="439"/>
      <c r="W5023" s="178">
        <v>30000</v>
      </c>
      <c r="X5023" s="172">
        <f t="shared" si="20"/>
        <v>0.33333333333333331</v>
      </c>
      <c r="Y5023" s="172">
        <f t="shared" si="20"/>
        <v>0.33333333333333331</v>
      </c>
      <c r="Z5023" s="172">
        <f t="shared" si="20"/>
        <v>0.33333333333333331</v>
      </c>
      <c r="AA5023" s="195"/>
      <c r="AB5023" s="159"/>
    </row>
    <row r="5024" spans="1:28" ht="12.75" customHeight="1" x14ac:dyDescent="0.3">
      <c r="A5024" s="161">
        <v>1024</v>
      </c>
      <c r="B5024" s="159" t="s">
        <v>3890</v>
      </c>
      <c r="C5024" s="160" t="s">
        <v>3891</v>
      </c>
      <c r="D5024" s="160" t="s">
        <v>1746</v>
      </c>
      <c r="E5024" s="545"/>
      <c r="F5024" s="161">
        <v>58.693399999999997</v>
      </c>
      <c r="G5024" s="191"/>
      <c r="H5024" s="191">
        <v>1.0606335149628644E-58</v>
      </c>
      <c r="I5024" s="191"/>
      <c r="J5024" s="191">
        <v>9.9999999999999995E-21</v>
      </c>
      <c r="K5024" s="191"/>
      <c r="L5024" s="191">
        <v>1210.0279673713412</v>
      </c>
      <c r="M5024" s="191"/>
      <c r="N5024" s="191"/>
      <c r="O5024" s="191"/>
      <c r="P5024" s="191"/>
      <c r="Q5024" s="191">
        <v>9.9999999999999995E-21</v>
      </c>
      <c r="R5024" s="191">
        <v>9.9999999999999995E-21</v>
      </c>
      <c r="S5024" s="191">
        <v>9.9999999999999995E-21</v>
      </c>
      <c r="T5024" s="191">
        <v>9.9999999999999995E-21</v>
      </c>
      <c r="U5024" s="439"/>
      <c r="V5024" s="439"/>
      <c r="W5024" s="178">
        <v>30000</v>
      </c>
      <c r="X5024" s="172">
        <f t="shared" si="20"/>
        <v>0.33333333333333331</v>
      </c>
      <c r="Y5024" s="172">
        <f t="shared" si="20"/>
        <v>0.33333333333333331</v>
      </c>
      <c r="Z5024" s="172">
        <f t="shared" si="20"/>
        <v>0.33333333333333331</v>
      </c>
      <c r="AA5024" s="195"/>
      <c r="AB5024" s="159"/>
    </row>
    <row r="5025" spans="1:28" ht="12.75" customHeight="1" x14ac:dyDescent="0.3">
      <c r="A5025" s="161">
        <v>1025</v>
      </c>
      <c r="B5025" s="159" t="s">
        <v>3892</v>
      </c>
      <c r="C5025" s="160" t="s">
        <v>3893</v>
      </c>
      <c r="D5025" s="160" t="s">
        <v>1746</v>
      </c>
      <c r="E5025" s="545"/>
      <c r="F5025" s="161">
        <v>207.2</v>
      </c>
      <c r="G5025" s="191"/>
      <c r="H5025" s="191">
        <v>2.3955386353897258E-23</v>
      </c>
      <c r="I5025" s="191"/>
      <c r="J5025" s="191">
        <v>9.9999999999999995E-21</v>
      </c>
      <c r="K5025" s="191"/>
      <c r="L5025" s="191">
        <v>3741364.2432536432</v>
      </c>
      <c r="M5025" s="191"/>
      <c r="N5025" s="191"/>
      <c r="O5025" s="191"/>
      <c r="P5025" s="191"/>
      <c r="Q5025" s="191">
        <v>9.9999999999999995E-21</v>
      </c>
      <c r="R5025" s="191">
        <v>9.9999999999999995E-21</v>
      </c>
      <c r="S5025" s="191">
        <v>9.9999999999999995E-21</v>
      </c>
      <c r="T5025" s="191">
        <v>9.9999999999999995E-21</v>
      </c>
      <c r="U5025" s="439"/>
      <c r="V5025" s="439"/>
      <c r="W5025" s="178">
        <v>30000</v>
      </c>
      <c r="X5025" s="172">
        <f t="shared" si="20"/>
        <v>0.33333333333333331</v>
      </c>
      <c r="Y5025" s="172">
        <f t="shared" si="20"/>
        <v>0.33333333333333331</v>
      </c>
      <c r="Z5025" s="172">
        <f t="shared" si="20"/>
        <v>0.33333333333333331</v>
      </c>
      <c r="AA5025" s="195"/>
      <c r="AB5025" s="159"/>
    </row>
    <row r="5026" spans="1:28" ht="12.75" customHeight="1" x14ac:dyDescent="0.3">
      <c r="A5026" s="161">
        <v>1026</v>
      </c>
      <c r="B5026" s="159" t="s">
        <v>3894</v>
      </c>
      <c r="C5026" s="160" t="s">
        <v>3895</v>
      </c>
      <c r="D5026" s="160" t="s">
        <v>1746</v>
      </c>
      <c r="E5026" s="545"/>
      <c r="F5026" s="161">
        <v>121.76</v>
      </c>
      <c r="G5026" s="191"/>
      <c r="H5026" s="191"/>
      <c r="I5026" s="191"/>
      <c r="J5026" s="191">
        <v>9.9999999999999995E-21</v>
      </c>
      <c r="K5026" s="191"/>
      <c r="L5026" s="191">
        <v>2500</v>
      </c>
      <c r="M5026" s="191"/>
      <c r="N5026" s="191"/>
      <c r="O5026" s="191"/>
      <c r="P5026" s="191"/>
      <c r="Q5026" s="191">
        <v>9.9999999999999995E-21</v>
      </c>
      <c r="R5026" s="191">
        <v>9.9999999999999995E-21</v>
      </c>
      <c r="S5026" s="191">
        <v>9.9999999999999995E-21</v>
      </c>
      <c r="T5026" s="191">
        <v>9.9999999999999995E-21</v>
      </c>
      <c r="U5026" s="439"/>
      <c r="V5026" s="439"/>
      <c r="W5026" s="178">
        <v>30000</v>
      </c>
      <c r="X5026" s="172">
        <f t="shared" si="20"/>
        <v>0.33333333333333331</v>
      </c>
      <c r="Y5026" s="172">
        <f t="shared" si="20"/>
        <v>0.33333333333333331</v>
      </c>
      <c r="Z5026" s="172">
        <f t="shared" si="20"/>
        <v>0.33333333333333331</v>
      </c>
      <c r="AA5026" s="195"/>
      <c r="AB5026" s="159"/>
    </row>
    <row r="5027" spans="1:28" ht="12.75" customHeight="1" x14ac:dyDescent="0.3">
      <c r="A5027" s="161">
        <v>1027</v>
      </c>
      <c r="B5027" s="159" t="s">
        <v>3896</v>
      </c>
      <c r="C5027" s="160" t="s">
        <v>3895</v>
      </c>
      <c r="D5027" s="160" t="s">
        <v>1746</v>
      </c>
      <c r="E5027" s="545"/>
      <c r="F5027" s="161">
        <v>121.76</v>
      </c>
      <c r="G5027" s="191"/>
      <c r="H5027" s="191"/>
      <c r="I5027" s="191"/>
      <c r="J5027" s="191">
        <v>9.9999999999999995E-21</v>
      </c>
      <c r="K5027" s="191"/>
      <c r="L5027" s="191">
        <v>2500</v>
      </c>
      <c r="M5027" s="191"/>
      <c r="N5027" s="191"/>
      <c r="O5027" s="191"/>
      <c r="P5027" s="191"/>
      <c r="Q5027" s="191">
        <v>9.9999999999999995E-21</v>
      </c>
      <c r="R5027" s="191">
        <v>9.9999999999999995E-21</v>
      </c>
      <c r="S5027" s="191">
        <v>9.9999999999999995E-21</v>
      </c>
      <c r="T5027" s="191">
        <v>9.9999999999999995E-21</v>
      </c>
      <c r="U5027" s="439"/>
      <c r="V5027" s="439"/>
      <c r="W5027" s="178">
        <v>30000</v>
      </c>
      <c r="X5027" s="172">
        <f t="shared" si="20"/>
        <v>0.33333333333333331</v>
      </c>
      <c r="Y5027" s="172">
        <f t="shared" si="20"/>
        <v>0.33333333333333331</v>
      </c>
      <c r="Z5027" s="172">
        <f t="shared" si="20"/>
        <v>0.33333333333333331</v>
      </c>
      <c r="AA5027" s="195"/>
      <c r="AB5027" s="159"/>
    </row>
    <row r="5028" spans="1:28" ht="12.75" customHeight="1" x14ac:dyDescent="0.3">
      <c r="A5028" s="161">
        <v>1028</v>
      </c>
      <c r="B5028" s="159" t="s">
        <v>3897</v>
      </c>
      <c r="C5028" s="160" t="s">
        <v>3898</v>
      </c>
      <c r="D5028" s="160" t="s">
        <v>1746</v>
      </c>
      <c r="E5028" s="545"/>
      <c r="F5028" s="161">
        <v>78.959999999999994</v>
      </c>
      <c r="G5028" s="191"/>
      <c r="H5028" s="191"/>
      <c r="I5028" s="191"/>
      <c r="J5028" s="191">
        <v>9.9999999999999995E-21</v>
      </c>
      <c r="K5028" s="191"/>
      <c r="L5028" s="191">
        <v>12559.43215754793</v>
      </c>
      <c r="M5028" s="191"/>
      <c r="N5028" s="191"/>
      <c r="O5028" s="191"/>
      <c r="P5028" s="191"/>
      <c r="Q5028" s="191">
        <v>9.9999999999999995E-21</v>
      </c>
      <c r="R5028" s="191">
        <v>9.9999999999999995E-21</v>
      </c>
      <c r="S5028" s="191">
        <v>9.9999999999999995E-21</v>
      </c>
      <c r="T5028" s="191">
        <v>9.9999999999999995E-21</v>
      </c>
      <c r="U5028" s="439"/>
      <c r="V5028" s="439"/>
      <c r="W5028" s="178">
        <v>30000</v>
      </c>
      <c r="X5028" s="172">
        <f t="shared" si="20"/>
        <v>0.33333333333333331</v>
      </c>
      <c r="Y5028" s="172">
        <f t="shared" si="20"/>
        <v>0.33333333333333331</v>
      </c>
      <c r="Z5028" s="172">
        <f t="shared" si="20"/>
        <v>0.33333333333333331</v>
      </c>
      <c r="AA5028" s="195"/>
      <c r="AB5028" s="159"/>
    </row>
    <row r="5029" spans="1:28" ht="12.75" customHeight="1" x14ac:dyDescent="0.3">
      <c r="A5029" s="161">
        <v>1029</v>
      </c>
      <c r="B5029" s="159" t="s">
        <v>3899</v>
      </c>
      <c r="C5029" s="160" t="s">
        <v>3900</v>
      </c>
      <c r="D5029" s="160" t="s">
        <v>1746</v>
      </c>
      <c r="E5029" s="545"/>
      <c r="F5029" s="161">
        <v>118.69</v>
      </c>
      <c r="G5029" s="191"/>
      <c r="H5029" s="191">
        <v>6.9813053852734295E-42</v>
      </c>
      <c r="I5029" s="191"/>
      <c r="J5029" s="191">
        <v>9.9999999999999995E-21</v>
      </c>
      <c r="K5029" s="191"/>
      <c r="L5029" s="191">
        <v>39716.411736214119</v>
      </c>
      <c r="M5029" s="191"/>
      <c r="N5029" s="191"/>
      <c r="O5029" s="191"/>
      <c r="P5029" s="191"/>
      <c r="Q5029" s="191">
        <v>9.9999999999999995E-21</v>
      </c>
      <c r="R5029" s="191">
        <v>9.9999999999999995E-21</v>
      </c>
      <c r="S5029" s="191">
        <v>9.9999999999999995E-21</v>
      </c>
      <c r="T5029" s="191">
        <v>9.9999999999999995E-21</v>
      </c>
      <c r="U5029" s="439"/>
      <c r="V5029" s="439"/>
      <c r="W5029" s="178">
        <v>30000</v>
      </c>
      <c r="X5029" s="172">
        <f t="shared" si="20"/>
        <v>0.33333333333333331</v>
      </c>
      <c r="Y5029" s="172">
        <f t="shared" si="20"/>
        <v>0.33333333333333331</v>
      </c>
      <c r="Z5029" s="172">
        <f t="shared" si="20"/>
        <v>0.33333333333333331</v>
      </c>
      <c r="AA5029" s="195"/>
      <c r="AB5029" s="159"/>
    </row>
    <row r="5030" spans="1:28" ht="12.75" customHeight="1" x14ac:dyDescent="0.3">
      <c r="A5030" s="161">
        <v>1030</v>
      </c>
      <c r="B5030" s="159" t="s">
        <v>3901</v>
      </c>
      <c r="C5030" s="160" t="s">
        <v>3902</v>
      </c>
      <c r="D5030" s="160" t="s">
        <v>1746</v>
      </c>
      <c r="E5030" s="545"/>
      <c r="F5030" s="161">
        <v>87.62</v>
      </c>
      <c r="G5030" s="191"/>
      <c r="H5030" s="191"/>
      <c r="I5030" s="191"/>
      <c r="J5030" s="191">
        <v>9.9999999999999995E-21</v>
      </c>
      <c r="K5030" s="191"/>
      <c r="L5030" s="191">
        <v>751.59373449939994</v>
      </c>
      <c r="M5030" s="191"/>
      <c r="N5030" s="191"/>
      <c r="O5030" s="191"/>
      <c r="P5030" s="191"/>
      <c r="Q5030" s="191">
        <v>9.9999999999999995E-21</v>
      </c>
      <c r="R5030" s="191">
        <v>9.9999999999999995E-21</v>
      </c>
      <c r="S5030" s="191">
        <v>9.9999999999999995E-21</v>
      </c>
      <c r="T5030" s="191">
        <v>9.9999999999999995E-21</v>
      </c>
      <c r="U5030" s="439"/>
      <c r="V5030" s="439"/>
      <c r="W5030" s="178">
        <v>30000</v>
      </c>
      <c r="X5030" s="172">
        <f t="shared" si="20"/>
        <v>0.33333333333333331</v>
      </c>
      <c r="Y5030" s="172">
        <f t="shared" si="20"/>
        <v>0.33333333333333331</v>
      </c>
      <c r="Z5030" s="172">
        <f t="shared" si="20"/>
        <v>0.33333333333333331</v>
      </c>
      <c r="AA5030" s="195"/>
      <c r="AB5030" s="159"/>
    </row>
    <row r="5031" spans="1:28" ht="12.75" customHeight="1" x14ac:dyDescent="0.3">
      <c r="A5031" s="161">
        <v>1031</v>
      </c>
      <c r="B5031" s="159" t="s">
        <v>3903</v>
      </c>
      <c r="C5031" s="160" t="s">
        <v>3904</v>
      </c>
      <c r="D5031" s="160" t="s">
        <v>1746</v>
      </c>
      <c r="E5031" s="545"/>
      <c r="F5031" s="161">
        <v>204.38300000000001</v>
      </c>
      <c r="G5031" s="191"/>
      <c r="H5031" s="191">
        <v>9.0047174941122605E-21</v>
      </c>
      <c r="I5031" s="191"/>
      <c r="J5031" s="191">
        <v>9.9999999999999995E-21</v>
      </c>
      <c r="K5031" s="191"/>
      <c r="L5031" s="191">
        <v>6294.6270589708356</v>
      </c>
      <c r="M5031" s="191"/>
      <c r="N5031" s="191"/>
      <c r="O5031" s="191"/>
      <c r="P5031" s="191"/>
      <c r="Q5031" s="191">
        <v>9.9999999999999995E-21</v>
      </c>
      <c r="R5031" s="191">
        <v>9.9999999999999995E-21</v>
      </c>
      <c r="S5031" s="191">
        <v>9.9999999999999995E-21</v>
      </c>
      <c r="T5031" s="191">
        <v>9.9999999999999995E-21</v>
      </c>
      <c r="U5031" s="439"/>
      <c r="V5031" s="439"/>
      <c r="W5031" s="178">
        <v>30000</v>
      </c>
      <c r="X5031" s="172">
        <f t="shared" si="20"/>
        <v>0.33333333333333331</v>
      </c>
      <c r="Y5031" s="172">
        <f t="shared" si="20"/>
        <v>0.33333333333333331</v>
      </c>
      <c r="Z5031" s="172">
        <f t="shared" si="20"/>
        <v>0.33333333333333331</v>
      </c>
      <c r="AA5031" s="195"/>
      <c r="AB5031" s="159"/>
    </row>
    <row r="5032" spans="1:28" ht="12.75" customHeight="1" x14ac:dyDescent="0.3">
      <c r="A5032" s="161">
        <v>1032</v>
      </c>
      <c r="B5032" s="159" t="s">
        <v>3905</v>
      </c>
      <c r="C5032" s="160" t="s">
        <v>3906</v>
      </c>
      <c r="D5032" s="160" t="s">
        <v>1746</v>
      </c>
      <c r="E5032" s="545"/>
      <c r="F5032" s="161">
        <v>50.941000000000003</v>
      </c>
      <c r="G5032" s="191"/>
      <c r="H5032" s="191">
        <v>1.1153510093102885E-72</v>
      </c>
      <c r="I5032" s="191"/>
      <c r="J5032" s="191">
        <v>9.9999999999999995E-21</v>
      </c>
      <c r="K5032" s="191"/>
      <c r="L5032" s="191">
        <v>2505.9361681363662</v>
      </c>
      <c r="M5032" s="191"/>
      <c r="N5032" s="191"/>
      <c r="O5032" s="191"/>
      <c r="P5032" s="191"/>
      <c r="Q5032" s="191">
        <v>9.9999999999999995E-21</v>
      </c>
      <c r="R5032" s="191">
        <v>9.9999999999999995E-21</v>
      </c>
      <c r="S5032" s="191">
        <v>9.9999999999999995E-21</v>
      </c>
      <c r="T5032" s="191">
        <v>9.9999999999999995E-21</v>
      </c>
      <c r="U5032" s="439"/>
      <c r="V5032" s="439"/>
      <c r="W5032" s="178">
        <v>30000</v>
      </c>
      <c r="X5032" s="172">
        <f t="shared" si="20"/>
        <v>0.33333333333333331</v>
      </c>
      <c r="Y5032" s="172">
        <f t="shared" si="20"/>
        <v>0.33333333333333331</v>
      </c>
      <c r="Z5032" s="172">
        <f t="shared" si="20"/>
        <v>0.33333333333333331</v>
      </c>
      <c r="AA5032" s="195"/>
      <c r="AB5032" s="159"/>
    </row>
    <row r="5033" spans="1:28" ht="12.75" customHeight="1" thickBot="1" x14ac:dyDescent="0.35">
      <c r="A5033" s="532">
        <v>1033</v>
      </c>
      <c r="B5033" s="599" t="s">
        <v>3907</v>
      </c>
      <c r="C5033" s="531" t="s">
        <v>2101</v>
      </c>
      <c r="D5033" s="531" t="s">
        <v>1746</v>
      </c>
      <c r="E5033" s="546"/>
      <c r="F5033" s="532">
        <v>65.38</v>
      </c>
      <c r="G5033" s="533"/>
      <c r="H5033" s="533">
        <v>1.9969597156785102E-11</v>
      </c>
      <c r="I5033" s="533"/>
      <c r="J5033" s="533">
        <v>9.9999999999999995E-21</v>
      </c>
      <c r="K5033" s="533"/>
      <c r="L5033" s="533">
        <v>2807.9188845538101</v>
      </c>
      <c r="M5033" s="533"/>
      <c r="N5033" s="533"/>
      <c r="O5033" s="533"/>
      <c r="P5033" s="533"/>
      <c r="Q5033" s="533">
        <v>9.9999999999999995E-21</v>
      </c>
      <c r="R5033" s="533">
        <v>9.9999999999999995E-21</v>
      </c>
      <c r="S5033" s="533">
        <v>9.9999999999999995E-21</v>
      </c>
      <c r="T5033" s="533">
        <v>9.9999999999999995E-21</v>
      </c>
      <c r="U5033" s="534"/>
      <c r="V5033" s="534"/>
      <c r="W5033" s="547">
        <v>30000</v>
      </c>
      <c r="X5033" s="548">
        <f t="shared" si="20"/>
        <v>0.33333333333333331</v>
      </c>
      <c r="Y5033" s="548">
        <f t="shared" si="20"/>
        <v>0.33333333333333331</v>
      </c>
      <c r="Z5033" s="548">
        <f t="shared" si="20"/>
        <v>0.33333333333333331</v>
      </c>
      <c r="AA5033" s="195"/>
      <c r="AB5033" s="159"/>
    </row>
    <row r="5034" spans="1:28" ht="12.75" customHeight="1" x14ac:dyDescent="0.3">
      <c r="A5034" s="161"/>
      <c r="B5034" s="159"/>
      <c r="C5034" s="160"/>
      <c r="D5034" s="160"/>
      <c r="E5034" s="545"/>
      <c r="F5034" s="161"/>
      <c r="G5034" s="191"/>
      <c r="H5034" s="191"/>
      <c r="I5034" s="191"/>
      <c r="J5034" s="191"/>
      <c r="K5034" s="191"/>
      <c r="L5034" s="191"/>
      <c r="M5034" s="191"/>
      <c r="N5034" s="191"/>
      <c r="O5034" s="191"/>
      <c r="P5034" s="191"/>
      <c r="Q5034" s="191"/>
      <c r="R5034" s="191"/>
      <c r="S5034" s="191"/>
      <c r="T5034" s="191"/>
      <c r="U5034" s="439"/>
      <c r="V5034" s="439"/>
      <c r="W5034" s="191"/>
      <c r="X5034" s="185"/>
      <c r="Y5034" s="185"/>
      <c r="Z5034" s="185"/>
      <c r="AA5034" s="195"/>
      <c r="AB5034" s="159"/>
    </row>
  </sheetData>
  <sortState xmlns:xlrd2="http://schemas.microsoft.com/office/spreadsheetml/2017/richdata2" ref="A4279:BP6834">
    <sortCondition ref="D4279:D6834"/>
    <sortCondition ref="E4279:E6834"/>
  </sortState>
  <phoneticPr fontId="5" type="noConversion"/>
  <conditionalFormatting sqref="E1913 G1913:AB1913 E1914:AB1048576 E95:AB1912">
    <cfRule type="cellIs" dxfId="111" priority="4" operator="equal">
      <formula>0</formula>
    </cfRule>
  </conditionalFormatting>
  <conditionalFormatting sqref="E1:AB5 AB6">
    <cfRule type="cellIs" dxfId="110" priority="8" operator="equal">
      <formula>0</formula>
    </cfRule>
  </conditionalFormatting>
  <conditionalFormatting sqref="E7:AB63 E64:E94 G64:AB94 F65:F94">
    <cfRule type="cellIs" dxfId="109" priority="5" operator="equal">
      <formula>0</formula>
    </cfRule>
  </conditionalFormatting>
  <hyperlinks>
    <hyperlink ref="AC15" r:id="rId1" xr:uid="{60EB4F4F-712A-4CE2-BD8A-EC9F8ACB82C2}"/>
    <hyperlink ref="AC16" r:id="rId2" xr:uid="{057ACF12-D545-4169-86CD-0B702E83A19E}"/>
    <hyperlink ref="AC17" r:id="rId3" xr:uid="{9815AFB0-A1B5-4F4C-BF15-CE325852EF73}"/>
    <hyperlink ref="AC18" r:id="rId4" xr:uid="{757D072B-79E5-499D-9D42-DCE0FBE6D58E}"/>
    <hyperlink ref="AC20" r:id="rId5" xr:uid="{A47D8476-42CD-4F19-BC07-C6E4BAD77D13}"/>
    <hyperlink ref="AC21" r:id="rId6" xr:uid="{1DA452FF-965C-4F7B-8C42-C571B674C5D1}"/>
    <hyperlink ref="AC22" r:id="rId7" xr:uid="{C049C300-DD8C-435F-ACC7-E0C4EE87902D}"/>
    <hyperlink ref="AC24" r:id="rId8" xr:uid="{010DF020-DB54-4898-9C87-C7393797D502}"/>
    <hyperlink ref="AC23" r:id="rId9" xr:uid="{572A705A-F515-4F39-B33A-7A445CC2A4AA}"/>
    <hyperlink ref="AC26" r:id="rId10" xr:uid="{8760C446-D808-4A00-98BA-B758B4D8945D}"/>
    <hyperlink ref="AC27" r:id="rId11" xr:uid="{8B0E1479-57D6-4453-BC5A-07A1FBE6FA3B}"/>
    <hyperlink ref="AC28" r:id="rId12" xr:uid="{D1F15C68-6344-492E-9CD1-EF8004D9BB51}"/>
    <hyperlink ref="AC29" r:id="rId13" xr:uid="{AB09130A-B779-4502-A3EE-B50B46CFBB18}"/>
    <hyperlink ref="AC30" r:id="rId14" xr:uid="{C7155FB8-F116-4F41-8502-5F90D0226525}"/>
    <hyperlink ref="AC31" r:id="rId15" xr:uid="{422F06C2-D3C0-464E-A622-9FEFB6308E35}"/>
    <hyperlink ref="AC32" r:id="rId16" xr:uid="{3BFF83E9-902D-4FEB-BAB9-E6CF33AF6EE6}"/>
    <hyperlink ref="AC33" r:id="rId17" xr:uid="{6C546A51-18F2-436D-9CAE-338C1F874D49}"/>
    <hyperlink ref="AC34" r:id="rId18" xr:uid="{7A24867E-1D94-4FDD-B618-05D1499F7408}"/>
    <hyperlink ref="AC35" r:id="rId19" xr:uid="{1ABCF94B-87CC-4355-931D-76F7E6A3DC19}"/>
    <hyperlink ref="AC36" r:id="rId20" xr:uid="{B27362FD-0A88-4156-9C41-0EDC6AC7DFFB}"/>
    <hyperlink ref="AC37" r:id="rId21" xr:uid="{4E0AF760-E1B2-4FC6-8370-58E6AA429400}"/>
    <hyperlink ref="AC38" r:id="rId22" xr:uid="{31425551-7349-4089-B958-49CE2979B1C3}"/>
    <hyperlink ref="AC39" r:id="rId23" xr:uid="{C3219164-C8F3-4AF0-9C49-5EE7BDA864AA}"/>
    <hyperlink ref="AC40" r:id="rId24" xr:uid="{A2B87B04-288C-4C35-B8B9-4E5AD5F2C157}"/>
    <hyperlink ref="AC41" r:id="rId25" xr:uid="{3FE8E4D6-08D9-4FEA-B861-BEA9F30CA491}"/>
    <hyperlink ref="AC42" r:id="rId26" xr:uid="{9E718C7A-4E05-4761-944D-ECB39F3CBF0B}"/>
    <hyperlink ref="AC43" r:id="rId27" xr:uid="{F93B0564-81D5-4344-B116-F5CB74F0C07B}"/>
    <hyperlink ref="AC44" r:id="rId28" xr:uid="{839D3F90-B1C1-4715-9A44-C345C961DAD5}"/>
    <hyperlink ref="AC45" r:id="rId29" xr:uid="{D951C823-1A07-4F60-947C-4E6D23264FEC}"/>
    <hyperlink ref="AC46" r:id="rId30" xr:uid="{35574A06-B405-481B-A7ED-E4B6523AA0B6}"/>
    <hyperlink ref="AC47" r:id="rId31" xr:uid="{C7DA291E-00DF-4093-9E6F-4E52707A0BA1}"/>
    <hyperlink ref="AC48" r:id="rId32" xr:uid="{3A5B1053-15A1-4B23-8472-E86F4962770C}"/>
    <hyperlink ref="AC49" r:id="rId33" xr:uid="{B00AFA21-89E7-45EB-BA0A-F7CE91DD6DD9}"/>
    <hyperlink ref="AC50" r:id="rId34" xr:uid="{6CFCCFFD-C057-4B84-BD6E-B4F94286C571}"/>
    <hyperlink ref="AC51" r:id="rId35" xr:uid="{E6624A5D-AECA-48A2-AA25-13CE0713B615}"/>
    <hyperlink ref="AC52" r:id="rId36" xr:uid="{9CEFB04F-8981-489C-9580-306C32BDD8D6}"/>
    <hyperlink ref="AC53" r:id="rId37" xr:uid="{298ADDF6-82C1-4AA7-A999-46CCE8A43893}"/>
    <hyperlink ref="AC54" r:id="rId38" xr:uid="{F597D8C8-92E1-4158-9B73-D73B83261547}"/>
    <hyperlink ref="AC55" r:id="rId39" xr:uid="{6E01D99B-3366-4440-88CB-558543659653}"/>
    <hyperlink ref="AC56" r:id="rId40" xr:uid="{8F073753-065B-435E-B1FD-0576A3A7D81D}"/>
    <hyperlink ref="AC57" r:id="rId41" xr:uid="{5C7D3F5B-53CD-465A-B119-F7227EA163CA}"/>
    <hyperlink ref="AC58" r:id="rId42" xr:uid="{B30A744B-190E-42ED-8F56-4DB4AC1E1411}"/>
    <hyperlink ref="AC59" r:id="rId43" xr:uid="{041577BE-0FA9-47AA-8364-33E8DF17D522}"/>
    <hyperlink ref="AC60" r:id="rId44" xr:uid="{43AA569C-55D0-421E-8FE3-3616C22A1B3C}"/>
    <hyperlink ref="AC61" r:id="rId45" xr:uid="{3CDA4CAE-A9AD-4F68-8405-98623137438D}"/>
    <hyperlink ref="AC62" r:id="rId46" xr:uid="{97C569CC-7E28-414D-881D-A20816A5B993}"/>
    <hyperlink ref="AC19" r:id="rId47" xr:uid="{A68AE6ED-F7A0-4ED4-B666-A7F049337607}"/>
    <hyperlink ref="AC25" r:id="rId48" xr:uid="{6123B092-D0F9-410A-B196-649B011358A7}"/>
    <hyperlink ref="AC96" r:id="rId49" xr:uid="{EF27E40B-09DE-4F22-B283-D612BA352919}"/>
    <hyperlink ref="AC95" r:id="rId50" xr:uid="{5D37C598-25EE-494E-88FD-DFCA7AA10FB6}"/>
    <hyperlink ref="AC97" r:id="rId51" xr:uid="{F99DDD97-31EA-48AF-89BB-C99E6B19A24C}"/>
  </hyperlinks>
  <pageMargins left="0.75" right="0.75" top="1" bottom="1" header="0.5" footer="0.5"/>
  <pageSetup paperSize="9" orientation="portrait" horizontalDpi="360" r:id="rId5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1:AG72"/>
  <sheetViews>
    <sheetView topLeftCell="A53" zoomScaleNormal="100" workbookViewId="0">
      <selection activeCell="K73" sqref="K73"/>
    </sheetView>
  </sheetViews>
  <sheetFormatPr defaultColWidth="9.109375" defaultRowHeight="13.8" x14ac:dyDescent="0.3"/>
  <cols>
    <col min="1" max="5" width="1.6640625" customWidth="1"/>
    <col min="6" max="6" width="45.109375" customWidth="1"/>
    <col min="7" max="7" width="22.6640625" style="79" customWidth="1"/>
    <col min="8" max="8" width="10.6640625" style="79" customWidth="1"/>
    <col min="9" max="30" width="9.109375" style="179"/>
    <col min="31" max="32" width="9.109375" style="144"/>
    <col min="33" max="33" width="3" customWidth="1"/>
    <col min="34" max="16384" width="9.109375" style="19"/>
  </cols>
  <sheetData>
    <row r="1" spans="1:33" ht="12.75" customHeight="1" x14ac:dyDescent="0.3">
      <c r="A1" s="417" t="s">
        <v>906</v>
      </c>
      <c r="B1" s="29"/>
      <c r="C1" s="29"/>
      <c r="D1" s="29"/>
      <c r="E1" s="29"/>
      <c r="F1" s="29"/>
      <c r="G1" s="29"/>
      <c r="H1" s="36"/>
      <c r="I1" s="325"/>
      <c r="J1" s="177"/>
      <c r="K1" s="177"/>
      <c r="L1" s="177"/>
      <c r="M1" s="360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58"/>
      <c r="AF1" s="158"/>
      <c r="AG1" s="158"/>
    </row>
    <row r="2" spans="1:33" ht="12.75" customHeight="1" thickBot="1" x14ac:dyDescent="0.35">
      <c r="A2" s="36"/>
      <c r="B2" s="29"/>
      <c r="C2" s="29"/>
      <c r="D2" s="29"/>
      <c r="E2" s="29"/>
      <c r="F2" s="29"/>
      <c r="G2" s="36"/>
      <c r="H2" s="36"/>
      <c r="I2" s="325"/>
      <c r="J2" s="360"/>
      <c r="K2" s="360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58"/>
      <c r="AF2" s="158"/>
      <c r="AG2" s="158"/>
    </row>
    <row r="3" spans="1:33" s="24" customFormat="1" ht="26.4" customHeight="1" x14ac:dyDescent="0.3">
      <c r="A3" s="132" t="s">
        <v>809</v>
      </c>
      <c r="B3" s="132"/>
      <c r="C3" s="132"/>
      <c r="D3" s="132"/>
      <c r="E3" s="132"/>
      <c r="F3" s="132"/>
      <c r="G3" s="156"/>
      <c r="H3" s="157"/>
      <c r="I3" s="405" t="s">
        <v>2190</v>
      </c>
      <c r="J3" s="361" t="s">
        <v>2059</v>
      </c>
      <c r="K3" s="361" t="s">
        <v>2199</v>
      </c>
      <c r="L3" s="361" t="s">
        <v>2127</v>
      </c>
      <c r="M3" s="361" t="s">
        <v>2128</v>
      </c>
      <c r="N3" s="361" t="s">
        <v>2129</v>
      </c>
      <c r="O3" s="361" t="s">
        <v>2130</v>
      </c>
      <c r="P3" s="361" t="s">
        <v>2131</v>
      </c>
      <c r="Q3" s="361" t="s">
        <v>2132</v>
      </c>
      <c r="R3" s="361" t="s">
        <v>2133</v>
      </c>
      <c r="S3" s="361" t="s">
        <v>2134</v>
      </c>
      <c r="T3" s="361" t="s">
        <v>2135</v>
      </c>
      <c r="U3" s="361" t="s">
        <v>2136</v>
      </c>
      <c r="V3" s="361" t="s">
        <v>2137</v>
      </c>
      <c r="W3" s="361" t="s">
        <v>2138</v>
      </c>
      <c r="X3" s="361" t="s">
        <v>2139</v>
      </c>
      <c r="Y3" s="361" t="s">
        <v>2140</v>
      </c>
      <c r="Z3" s="361" t="s">
        <v>2141</v>
      </c>
      <c r="AA3" s="361" t="s">
        <v>2142</v>
      </c>
      <c r="AB3" s="361" t="s">
        <v>2143</v>
      </c>
      <c r="AC3" s="361"/>
      <c r="AD3" s="361"/>
      <c r="AE3" s="193"/>
      <c r="AF3" s="193"/>
      <c r="AG3" s="158"/>
    </row>
    <row r="4" spans="1:33" ht="12.75" customHeight="1" x14ac:dyDescent="0.3">
      <c r="A4" s="36"/>
      <c r="B4" s="29"/>
      <c r="C4" s="29"/>
      <c r="D4" s="29"/>
      <c r="E4" s="29"/>
      <c r="F4" s="29"/>
      <c r="G4" s="36"/>
      <c r="H4" s="36"/>
      <c r="I4" s="325"/>
      <c r="J4" s="360"/>
      <c r="K4" s="360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177"/>
      <c r="AE4" s="158"/>
      <c r="AF4" s="158"/>
      <c r="AG4" s="158"/>
    </row>
    <row r="5" spans="1:33" x14ac:dyDescent="0.3">
      <c r="A5" s="5" t="s">
        <v>1097</v>
      </c>
      <c r="B5" s="29"/>
      <c r="C5" s="29"/>
      <c r="D5" s="29"/>
      <c r="E5" s="29"/>
      <c r="F5" s="29"/>
      <c r="G5" s="162"/>
      <c r="H5" s="36"/>
      <c r="I5" s="325"/>
      <c r="J5" s="360"/>
      <c r="K5" s="360"/>
      <c r="L5" s="360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58"/>
      <c r="AF5" s="158"/>
      <c r="AG5" s="158"/>
    </row>
    <row r="6" spans="1:33" x14ac:dyDescent="0.3">
      <c r="A6" s="45" t="s">
        <v>1377</v>
      </c>
      <c r="B6" s="29"/>
      <c r="C6" s="29"/>
      <c r="D6" s="29"/>
      <c r="E6" s="29"/>
      <c r="F6" s="29"/>
      <c r="G6" s="36"/>
      <c r="H6" s="36"/>
      <c r="I6" s="325"/>
      <c r="J6" s="360"/>
      <c r="K6" s="360"/>
      <c r="L6" s="360"/>
      <c r="M6" s="177"/>
      <c r="N6" s="177"/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58"/>
      <c r="AF6" s="158"/>
      <c r="AG6" s="158"/>
    </row>
    <row r="7" spans="1:33" x14ac:dyDescent="0.3">
      <c r="A7" s="36"/>
      <c r="B7" s="36" t="s">
        <v>1007</v>
      </c>
      <c r="C7" s="29"/>
      <c r="D7" s="29"/>
      <c r="E7" s="29"/>
      <c r="F7" s="29"/>
      <c r="G7" s="37" t="s">
        <v>700</v>
      </c>
      <c r="H7" s="36" t="s">
        <v>815</v>
      </c>
      <c r="I7" s="443">
        <f>E.aR/1000*(Molweight*3600*24*365)</f>
        <v>10000</v>
      </c>
      <c r="J7" s="360">
        <v>10000</v>
      </c>
      <c r="K7" s="360">
        <v>1</v>
      </c>
      <c r="L7" s="360">
        <v>1</v>
      </c>
      <c r="M7" s="360">
        <v>1</v>
      </c>
      <c r="N7" s="360">
        <v>1</v>
      </c>
      <c r="O7" s="360">
        <v>1</v>
      </c>
      <c r="P7" s="360">
        <v>1</v>
      </c>
      <c r="Q7" s="360">
        <v>1</v>
      </c>
      <c r="R7" s="360">
        <v>1</v>
      </c>
      <c r="S7" s="360">
        <v>1</v>
      </c>
      <c r="T7" s="360">
        <v>1</v>
      </c>
      <c r="U7" s="360">
        <v>1</v>
      </c>
      <c r="V7" s="360">
        <v>1</v>
      </c>
      <c r="W7" s="360">
        <v>1</v>
      </c>
      <c r="X7" s="360">
        <v>1</v>
      </c>
      <c r="Y7" s="360">
        <v>1</v>
      </c>
      <c r="Z7" s="360">
        <v>1</v>
      </c>
      <c r="AA7" s="360">
        <v>1</v>
      </c>
      <c r="AB7" s="360">
        <v>1</v>
      </c>
      <c r="AC7" s="360"/>
      <c r="AD7" s="360"/>
      <c r="AE7" s="158"/>
      <c r="AF7" s="158"/>
      <c r="AG7" s="158"/>
    </row>
    <row r="8" spans="1:33" x14ac:dyDescent="0.3">
      <c r="A8" s="36"/>
      <c r="B8" s="36" t="s">
        <v>2102</v>
      </c>
      <c r="C8" s="29"/>
      <c r="D8" s="29"/>
      <c r="E8" s="29"/>
      <c r="F8" s="29"/>
      <c r="G8" s="37" t="s">
        <v>2103</v>
      </c>
      <c r="H8" s="36" t="s">
        <v>815</v>
      </c>
      <c r="I8" s="443">
        <f>E.w0R/1000*(Molweight*3600*24*365)</f>
        <v>0</v>
      </c>
      <c r="J8" s="360">
        <v>0</v>
      </c>
      <c r="K8" s="360">
        <v>0</v>
      </c>
      <c r="L8" s="360">
        <v>0</v>
      </c>
      <c r="M8" s="360">
        <v>0</v>
      </c>
      <c r="N8" s="360">
        <v>0</v>
      </c>
      <c r="O8" s="360">
        <v>0</v>
      </c>
      <c r="P8" s="360">
        <v>0</v>
      </c>
      <c r="Q8" s="360">
        <v>0</v>
      </c>
      <c r="R8" s="360">
        <v>0</v>
      </c>
      <c r="S8" s="360">
        <v>0</v>
      </c>
      <c r="T8" s="360">
        <v>0</v>
      </c>
      <c r="U8" s="360">
        <v>0</v>
      </c>
      <c r="V8" s="360">
        <v>0</v>
      </c>
      <c r="W8" s="360">
        <v>0</v>
      </c>
      <c r="X8" s="360">
        <v>0</v>
      </c>
      <c r="Y8" s="360">
        <v>0</v>
      </c>
      <c r="Z8" s="360">
        <v>0</v>
      </c>
      <c r="AA8" s="360">
        <v>0</v>
      </c>
      <c r="AB8" s="360">
        <v>0</v>
      </c>
      <c r="AC8" s="360"/>
      <c r="AD8" s="360"/>
      <c r="AE8" s="158"/>
      <c r="AF8" s="158"/>
      <c r="AG8" s="158"/>
    </row>
    <row r="9" spans="1:33" x14ac:dyDescent="0.3">
      <c r="A9" s="36"/>
      <c r="B9" s="36" t="s">
        <v>46</v>
      </c>
      <c r="C9" s="29"/>
      <c r="D9" s="29"/>
      <c r="E9" s="29"/>
      <c r="F9" s="29"/>
      <c r="G9" s="37" t="s">
        <v>699</v>
      </c>
      <c r="H9" s="36" t="s">
        <v>815</v>
      </c>
      <c r="I9" s="443">
        <f>E.w1R/1000*(Molweight*3600*24*365)</f>
        <v>10000</v>
      </c>
      <c r="J9" s="360">
        <v>10000</v>
      </c>
      <c r="K9" s="360">
        <v>0</v>
      </c>
      <c r="L9" s="360">
        <v>0</v>
      </c>
      <c r="M9" s="360">
        <v>0</v>
      </c>
      <c r="N9" s="360">
        <v>0</v>
      </c>
      <c r="O9" s="360">
        <v>0</v>
      </c>
      <c r="P9" s="360">
        <v>0</v>
      </c>
      <c r="Q9" s="360">
        <v>0</v>
      </c>
      <c r="R9" s="360">
        <v>0</v>
      </c>
      <c r="S9" s="360">
        <v>0</v>
      </c>
      <c r="T9" s="360">
        <v>0</v>
      </c>
      <c r="U9" s="360">
        <v>0</v>
      </c>
      <c r="V9" s="360">
        <v>0</v>
      </c>
      <c r="W9" s="360">
        <v>0</v>
      </c>
      <c r="X9" s="360">
        <v>0</v>
      </c>
      <c r="Y9" s="360">
        <v>0</v>
      </c>
      <c r="Z9" s="360">
        <v>0</v>
      </c>
      <c r="AA9" s="360">
        <v>0</v>
      </c>
      <c r="AB9" s="360">
        <v>0</v>
      </c>
      <c r="AC9" s="360"/>
      <c r="AD9" s="360"/>
      <c r="AE9" s="158"/>
      <c r="AF9" s="158"/>
      <c r="AG9" s="158"/>
    </row>
    <row r="10" spans="1:33" x14ac:dyDescent="0.3">
      <c r="A10" s="36"/>
      <c r="B10" s="36" t="s">
        <v>47</v>
      </c>
      <c r="C10" s="29"/>
      <c r="D10" s="29"/>
      <c r="E10" s="29"/>
      <c r="F10" s="29"/>
      <c r="G10" s="37" t="s">
        <v>701</v>
      </c>
      <c r="H10" s="36" t="s">
        <v>815</v>
      </c>
      <c r="I10" s="443">
        <f>E.w2R/1000*(Molweight*3600*24*365)</f>
        <v>0</v>
      </c>
      <c r="J10" s="360">
        <v>0</v>
      </c>
      <c r="K10" s="360">
        <v>0</v>
      </c>
      <c r="L10" s="360">
        <v>0</v>
      </c>
      <c r="M10" s="360">
        <v>0</v>
      </c>
      <c r="N10" s="360">
        <v>0</v>
      </c>
      <c r="O10" s="360">
        <v>0</v>
      </c>
      <c r="P10" s="360">
        <v>0</v>
      </c>
      <c r="Q10" s="360">
        <v>0</v>
      </c>
      <c r="R10" s="360">
        <v>0</v>
      </c>
      <c r="S10" s="360">
        <v>0</v>
      </c>
      <c r="T10" s="360">
        <v>0</v>
      </c>
      <c r="U10" s="360">
        <v>0</v>
      </c>
      <c r="V10" s="360">
        <v>0</v>
      </c>
      <c r="W10" s="360">
        <v>0</v>
      </c>
      <c r="X10" s="360">
        <v>0</v>
      </c>
      <c r="Y10" s="360">
        <v>0</v>
      </c>
      <c r="Z10" s="360">
        <v>0</v>
      </c>
      <c r="AA10" s="360">
        <v>0</v>
      </c>
      <c r="AB10" s="360">
        <v>0</v>
      </c>
      <c r="AC10" s="360"/>
      <c r="AD10" s="360"/>
      <c r="AE10" s="158"/>
      <c r="AF10" s="158"/>
      <c r="AG10" s="158"/>
    </row>
    <row r="11" spans="1:33" x14ac:dyDescent="0.3">
      <c r="A11" s="36"/>
      <c r="B11" s="36" t="s">
        <v>1201</v>
      </c>
      <c r="C11" s="29"/>
      <c r="D11" s="29"/>
      <c r="E11" s="29"/>
      <c r="F11" s="29"/>
      <c r="G11" s="37" t="s">
        <v>702</v>
      </c>
      <c r="H11" s="36" t="s">
        <v>815</v>
      </c>
      <c r="I11" s="443">
        <f>E.s1R/1000*(Molweight*3600*24*365)</f>
        <v>0</v>
      </c>
      <c r="J11" s="177">
        <v>0</v>
      </c>
      <c r="K11" s="177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Y11" s="177">
        <v>0</v>
      </c>
      <c r="Z11" s="177">
        <v>0</v>
      </c>
      <c r="AA11" s="177">
        <v>0</v>
      </c>
      <c r="AB11" s="177">
        <v>0</v>
      </c>
      <c r="AC11" s="177"/>
      <c r="AD11" s="177"/>
      <c r="AE11" s="158"/>
      <c r="AF11" s="158"/>
      <c r="AG11" s="158"/>
    </row>
    <row r="12" spans="1:33" x14ac:dyDescent="0.3">
      <c r="A12" s="36"/>
      <c r="B12" s="36" t="s">
        <v>1005</v>
      </c>
      <c r="C12" s="29"/>
      <c r="D12" s="29"/>
      <c r="E12" s="29"/>
      <c r="F12" s="29"/>
      <c r="G12" s="37" t="s">
        <v>1175</v>
      </c>
      <c r="H12" s="36" t="s">
        <v>815</v>
      </c>
      <c r="I12" s="443">
        <f>E.s2R/1000*(Molweight*3600*24*365)</f>
        <v>10000</v>
      </c>
      <c r="J12" s="360">
        <v>10000</v>
      </c>
      <c r="K12" s="360">
        <v>0</v>
      </c>
      <c r="L12" s="360">
        <v>0</v>
      </c>
      <c r="M12" s="360">
        <v>0</v>
      </c>
      <c r="N12" s="360">
        <v>0</v>
      </c>
      <c r="O12" s="360">
        <v>0</v>
      </c>
      <c r="P12" s="360">
        <v>0</v>
      </c>
      <c r="Q12" s="360">
        <v>0</v>
      </c>
      <c r="R12" s="360">
        <v>0</v>
      </c>
      <c r="S12" s="360">
        <v>0</v>
      </c>
      <c r="T12" s="360">
        <v>0</v>
      </c>
      <c r="U12" s="360">
        <v>0</v>
      </c>
      <c r="V12" s="360">
        <v>0</v>
      </c>
      <c r="W12" s="360">
        <v>0</v>
      </c>
      <c r="X12" s="360">
        <v>0</v>
      </c>
      <c r="Y12" s="360">
        <v>0</v>
      </c>
      <c r="Z12" s="360">
        <v>0</v>
      </c>
      <c r="AA12" s="360">
        <v>0</v>
      </c>
      <c r="AB12" s="360">
        <v>0</v>
      </c>
      <c r="AC12" s="360"/>
      <c r="AD12" s="360"/>
      <c r="AE12" s="158"/>
      <c r="AF12" s="158"/>
      <c r="AG12" s="158"/>
    </row>
    <row r="13" spans="1:33" x14ac:dyDescent="0.3">
      <c r="A13" s="36"/>
      <c r="B13" s="36" t="s">
        <v>1006</v>
      </c>
      <c r="C13" s="29"/>
      <c r="D13" s="29"/>
      <c r="E13" s="29"/>
      <c r="F13" s="29"/>
      <c r="G13" s="37" t="s">
        <v>1176</v>
      </c>
      <c r="H13" s="36" t="s">
        <v>815</v>
      </c>
      <c r="I13" s="443">
        <f>E.s3R/1000*(Molweight*3600*24*365)</f>
        <v>0</v>
      </c>
      <c r="J13" s="360">
        <v>0</v>
      </c>
      <c r="K13" s="360">
        <v>0</v>
      </c>
      <c r="L13" s="360">
        <v>0</v>
      </c>
      <c r="M13" s="360">
        <v>0</v>
      </c>
      <c r="N13" s="360">
        <v>0</v>
      </c>
      <c r="O13" s="360">
        <v>0</v>
      </c>
      <c r="P13" s="360">
        <v>0</v>
      </c>
      <c r="Q13" s="360">
        <v>0</v>
      </c>
      <c r="R13" s="360">
        <v>0</v>
      </c>
      <c r="S13" s="360">
        <v>0</v>
      </c>
      <c r="T13" s="360">
        <v>0</v>
      </c>
      <c r="U13" s="360">
        <v>0</v>
      </c>
      <c r="V13" s="360">
        <v>0</v>
      </c>
      <c r="W13" s="360">
        <v>0</v>
      </c>
      <c r="X13" s="360">
        <v>0</v>
      </c>
      <c r="Y13" s="360">
        <v>0</v>
      </c>
      <c r="Z13" s="360">
        <v>0</v>
      </c>
      <c r="AA13" s="360">
        <v>0</v>
      </c>
      <c r="AB13" s="360">
        <v>0</v>
      </c>
      <c r="AC13" s="360"/>
      <c r="AD13" s="360"/>
      <c r="AE13" s="158"/>
      <c r="AF13" s="158"/>
      <c r="AG13" s="158"/>
    </row>
    <row r="14" spans="1:33" x14ac:dyDescent="0.3">
      <c r="A14" s="45" t="s">
        <v>1327</v>
      </c>
      <c r="B14" s="29"/>
      <c r="C14" s="29"/>
      <c r="D14" s="29"/>
      <c r="E14" s="29"/>
      <c r="F14" s="29"/>
      <c r="G14" s="99"/>
      <c r="H14" s="36"/>
      <c r="I14" s="360"/>
      <c r="J14" s="360"/>
      <c r="K14" s="360"/>
      <c r="L14" s="360"/>
      <c r="M14" s="360"/>
      <c r="N14" s="360"/>
      <c r="O14" s="360"/>
      <c r="P14" s="360"/>
      <c r="Q14" s="360"/>
      <c r="R14" s="360"/>
      <c r="S14" s="360"/>
      <c r="T14" s="360"/>
      <c r="U14" s="360"/>
      <c r="V14" s="360"/>
      <c r="W14" s="360"/>
      <c r="X14" s="360"/>
      <c r="Y14" s="360"/>
      <c r="Z14" s="360"/>
      <c r="AA14" s="360"/>
      <c r="AB14" s="360"/>
      <c r="AC14" s="360"/>
      <c r="AD14" s="360"/>
      <c r="AE14" s="158"/>
      <c r="AF14" s="158"/>
      <c r="AG14" s="158"/>
    </row>
    <row r="15" spans="1:33" x14ac:dyDescent="0.3">
      <c r="A15" s="36"/>
      <c r="B15" s="36" t="s">
        <v>1007</v>
      </c>
      <c r="C15" s="29"/>
      <c r="D15" s="29"/>
      <c r="E15" s="29"/>
      <c r="F15" s="29"/>
      <c r="G15" s="37" t="s">
        <v>1182</v>
      </c>
      <c r="H15" s="36" t="s">
        <v>815</v>
      </c>
      <c r="I15" s="443">
        <f>E.aC/1000*(Molweight*3600*24*365)</f>
        <v>0</v>
      </c>
      <c r="J15" s="360">
        <v>0</v>
      </c>
      <c r="K15" s="360">
        <v>0</v>
      </c>
      <c r="L15" s="360">
        <v>0</v>
      </c>
      <c r="M15" s="360">
        <v>0</v>
      </c>
      <c r="N15" s="360">
        <v>0</v>
      </c>
      <c r="O15" s="360">
        <v>0</v>
      </c>
      <c r="P15" s="360">
        <v>0</v>
      </c>
      <c r="Q15" s="360">
        <v>0</v>
      </c>
      <c r="R15" s="360">
        <v>0</v>
      </c>
      <c r="S15" s="360">
        <v>0</v>
      </c>
      <c r="T15" s="360">
        <v>0</v>
      </c>
      <c r="U15" s="360">
        <v>0</v>
      </c>
      <c r="V15" s="360">
        <v>0</v>
      </c>
      <c r="W15" s="360">
        <v>0</v>
      </c>
      <c r="X15" s="360">
        <v>0</v>
      </c>
      <c r="Y15" s="360">
        <v>0</v>
      </c>
      <c r="Z15" s="360">
        <v>0</v>
      </c>
      <c r="AA15" s="360">
        <v>0</v>
      </c>
      <c r="AB15" s="360">
        <v>0</v>
      </c>
      <c r="AC15" s="360"/>
      <c r="AD15" s="360"/>
      <c r="AE15" s="158"/>
      <c r="AF15" s="158"/>
      <c r="AG15" s="158"/>
    </row>
    <row r="16" spans="1:33" x14ac:dyDescent="0.3">
      <c r="A16" s="36"/>
      <c r="B16" s="36" t="s">
        <v>2102</v>
      </c>
      <c r="C16" s="29"/>
      <c r="D16" s="29"/>
      <c r="E16" s="29"/>
      <c r="F16" s="29"/>
      <c r="G16" s="37" t="s">
        <v>2105</v>
      </c>
      <c r="H16" s="36" t="s">
        <v>815</v>
      </c>
      <c r="I16" s="443">
        <f>E.aC/1000*(Molweight*3600*24*365)</f>
        <v>0</v>
      </c>
      <c r="J16" s="360">
        <v>0</v>
      </c>
      <c r="K16" s="360">
        <v>0</v>
      </c>
      <c r="L16" s="360">
        <v>0</v>
      </c>
      <c r="M16" s="360">
        <v>0</v>
      </c>
      <c r="N16" s="360">
        <v>0</v>
      </c>
      <c r="O16" s="360">
        <v>0</v>
      </c>
      <c r="P16" s="360">
        <v>0</v>
      </c>
      <c r="Q16" s="360">
        <v>0</v>
      </c>
      <c r="R16" s="360">
        <v>0</v>
      </c>
      <c r="S16" s="360">
        <v>0</v>
      </c>
      <c r="T16" s="360">
        <v>0</v>
      </c>
      <c r="U16" s="360">
        <v>0</v>
      </c>
      <c r="V16" s="360">
        <v>0</v>
      </c>
      <c r="W16" s="360">
        <v>0</v>
      </c>
      <c r="X16" s="360">
        <v>0</v>
      </c>
      <c r="Y16" s="360">
        <v>0</v>
      </c>
      <c r="Z16" s="360">
        <v>0</v>
      </c>
      <c r="AA16" s="360">
        <v>0</v>
      </c>
      <c r="AB16" s="360">
        <v>0</v>
      </c>
      <c r="AC16" s="360"/>
      <c r="AD16" s="360"/>
      <c r="AE16" s="158"/>
      <c r="AF16" s="158"/>
      <c r="AG16" s="158"/>
    </row>
    <row r="17" spans="1:33" x14ac:dyDescent="0.3">
      <c r="A17" s="36"/>
      <c r="B17" s="36" t="s">
        <v>46</v>
      </c>
      <c r="C17" s="29"/>
      <c r="D17" s="29"/>
      <c r="E17" s="29"/>
      <c r="F17" s="29"/>
      <c r="G17" s="37" t="s">
        <v>1177</v>
      </c>
      <c r="H17" s="36" t="s">
        <v>815</v>
      </c>
      <c r="I17" s="443">
        <f>E.w1C/1000*(Molweight*3600*24*365)</f>
        <v>0</v>
      </c>
      <c r="J17" s="360">
        <v>0</v>
      </c>
      <c r="K17" s="360">
        <v>0</v>
      </c>
      <c r="L17" s="360">
        <v>0</v>
      </c>
      <c r="M17" s="360">
        <v>0</v>
      </c>
      <c r="N17" s="360">
        <v>0</v>
      </c>
      <c r="O17" s="360">
        <v>0</v>
      </c>
      <c r="P17" s="360">
        <v>0</v>
      </c>
      <c r="Q17" s="360">
        <v>0</v>
      </c>
      <c r="R17" s="360">
        <v>0</v>
      </c>
      <c r="S17" s="360">
        <v>0</v>
      </c>
      <c r="T17" s="360">
        <v>0</v>
      </c>
      <c r="U17" s="360">
        <v>0</v>
      </c>
      <c r="V17" s="360">
        <v>0</v>
      </c>
      <c r="W17" s="360">
        <v>0</v>
      </c>
      <c r="X17" s="360">
        <v>0</v>
      </c>
      <c r="Y17" s="360">
        <v>0</v>
      </c>
      <c r="Z17" s="360">
        <v>0</v>
      </c>
      <c r="AA17" s="360">
        <v>0</v>
      </c>
      <c r="AB17" s="360">
        <v>0</v>
      </c>
      <c r="AC17" s="360"/>
      <c r="AD17" s="360"/>
      <c r="AE17" s="158"/>
      <c r="AF17" s="158"/>
      <c r="AG17" s="158"/>
    </row>
    <row r="18" spans="1:33" x14ac:dyDescent="0.3">
      <c r="A18" s="36"/>
      <c r="B18" s="36" t="s">
        <v>47</v>
      </c>
      <c r="C18" s="29"/>
      <c r="D18" s="29"/>
      <c r="E18" s="29"/>
      <c r="F18" s="29"/>
      <c r="G18" s="37" t="s">
        <v>1178</v>
      </c>
      <c r="H18" s="36" t="s">
        <v>815</v>
      </c>
      <c r="I18" s="443">
        <f>E.w2C/1000*(Molweight*3600*24*365)</f>
        <v>0</v>
      </c>
      <c r="J18" s="360">
        <v>0</v>
      </c>
      <c r="K18" s="360">
        <v>0</v>
      </c>
      <c r="L18" s="360">
        <v>0</v>
      </c>
      <c r="M18" s="360">
        <v>0</v>
      </c>
      <c r="N18" s="360">
        <v>0</v>
      </c>
      <c r="O18" s="360">
        <v>0</v>
      </c>
      <c r="P18" s="360">
        <v>0</v>
      </c>
      <c r="Q18" s="360">
        <v>0</v>
      </c>
      <c r="R18" s="360">
        <v>0</v>
      </c>
      <c r="S18" s="360">
        <v>0</v>
      </c>
      <c r="T18" s="360">
        <v>0</v>
      </c>
      <c r="U18" s="360">
        <v>0</v>
      </c>
      <c r="V18" s="360">
        <v>0</v>
      </c>
      <c r="W18" s="360">
        <v>0</v>
      </c>
      <c r="X18" s="360">
        <v>0</v>
      </c>
      <c r="Y18" s="360">
        <v>0</v>
      </c>
      <c r="Z18" s="360">
        <v>0</v>
      </c>
      <c r="AA18" s="360">
        <v>0</v>
      </c>
      <c r="AB18" s="360">
        <v>0</v>
      </c>
      <c r="AC18" s="360"/>
      <c r="AD18" s="360"/>
      <c r="AE18" s="158"/>
      <c r="AF18" s="158"/>
      <c r="AG18" s="158"/>
    </row>
    <row r="19" spans="1:33" x14ac:dyDescent="0.3">
      <c r="A19" s="36"/>
      <c r="B19" s="36" t="s">
        <v>1201</v>
      </c>
      <c r="C19" s="29"/>
      <c r="D19" s="29"/>
      <c r="E19" s="29"/>
      <c r="F19" s="29"/>
      <c r="G19" s="37" t="s">
        <v>1179</v>
      </c>
      <c r="H19" s="36" t="s">
        <v>815</v>
      </c>
      <c r="I19" s="443">
        <f>E.s1C/1000*(Molweight*3600*24*365)</f>
        <v>0</v>
      </c>
      <c r="J19" s="177">
        <v>0</v>
      </c>
      <c r="K19" s="177">
        <v>0</v>
      </c>
      <c r="L19" s="177">
        <v>0</v>
      </c>
      <c r="M19" s="177">
        <v>0</v>
      </c>
      <c r="N19" s="177">
        <v>0</v>
      </c>
      <c r="O19" s="177">
        <v>0</v>
      </c>
      <c r="P19" s="177">
        <v>0</v>
      </c>
      <c r="Q19" s="177">
        <v>0</v>
      </c>
      <c r="R19" s="177">
        <v>0</v>
      </c>
      <c r="S19" s="177">
        <v>0</v>
      </c>
      <c r="T19" s="177">
        <v>0</v>
      </c>
      <c r="U19" s="177">
        <v>0</v>
      </c>
      <c r="V19" s="177">
        <v>0</v>
      </c>
      <c r="W19" s="177">
        <v>0</v>
      </c>
      <c r="X19" s="177">
        <v>0</v>
      </c>
      <c r="Y19" s="177">
        <v>0</v>
      </c>
      <c r="Z19" s="177">
        <v>0</v>
      </c>
      <c r="AA19" s="177">
        <v>0</v>
      </c>
      <c r="AB19" s="177">
        <v>0</v>
      </c>
      <c r="AC19" s="177"/>
      <c r="AD19" s="177"/>
      <c r="AE19" s="158"/>
      <c r="AF19" s="158"/>
      <c r="AG19" s="158"/>
    </row>
    <row r="20" spans="1:33" x14ac:dyDescent="0.3">
      <c r="A20" s="36"/>
      <c r="B20" s="36" t="s">
        <v>1005</v>
      </c>
      <c r="C20" s="29"/>
      <c r="D20" s="29"/>
      <c r="E20" s="29"/>
      <c r="F20" s="29"/>
      <c r="G20" s="37" t="s">
        <v>1180</v>
      </c>
      <c r="H20" s="36" t="s">
        <v>815</v>
      </c>
      <c r="I20" s="443">
        <f>E.s2C/1000*(Molweight*3600*24*365)</f>
        <v>0</v>
      </c>
      <c r="J20" s="360">
        <v>0</v>
      </c>
      <c r="K20" s="360">
        <v>0</v>
      </c>
      <c r="L20" s="360">
        <v>0</v>
      </c>
      <c r="M20" s="360">
        <v>0</v>
      </c>
      <c r="N20" s="360">
        <v>0</v>
      </c>
      <c r="O20" s="360">
        <v>0</v>
      </c>
      <c r="P20" s="360">
        <v>0</v>
      </c>
      <c r="Q20" s="360">
        <v>0</v>
      </c>
      <c r="R20" s="360">
        <v>0</v>
      </c>
      <c r="S20" s="360">
        <v>0</v>
      </c>
      <c r="T20" s="360">
        <v>0</v>
      </c>
      <c r="U20" s="360">
        <v>0</v>
      </c>
      <c r="V20" s="360">
        <v>0</v>
      </c>
      <c r="W20" s="360">
        <v>0</v>
      </c>
      <c r="X20" s="360">
        <v>0</v>
      </c>
      <c r="Y20" s="360">
        <v>0</v>
      </c>
      <c r="Z20" s="360">
        <v>0</v>
      </c>
      <c r="AA20" s="360">
        <v>0</v>
      </c>
      <c r="AB20" s="360">
        <v>0</v>
      </c>
      <c r="AC20" s="360"/>
      <c r="AD20" s="360"/>
      <c r="AE20" s="158"/>
      <c r="AF20" s="158"/>
      <c r="AG20" s="158"/>
    </row>
    <row r="21" spans="1:33" x14ac:dyDescent="0.3">
      <c r="A21" s="36"/>
      <c r="B21" s="36" t="s">
        <v>1006</v>
      </c>
      <c r="C21" s="29"/>
      <c r="D21" s="29"/>
      <c r="E21" s="29"/>
      <c r="F21" s="29"/>
      <c r="G21" s="37" t="s">
        <v>1181</v>
      </c>
      <c r="H21" s="36" t="s">
        <v>815</v>
      </c>
      <c r="I21" s="443">
        <f>E.s3C/1000*(Molweight*3600*24*365)</f>
        <v>0</v>
      </c>
      <c r="J21" s="360">
        <v>0</v>
      </c>
      <c r="K21" s="360">
        <v>0</v>
      </c>
      <c r="L21" s="360">
        <v>0</v>
      </c>
      <c r="M21" s="360">
        <v>0</v>
      </c>
      <c r="N21" s="360">
        <v>0</v>
      </c>
      <c r="O21" s="360">
        <v>0</v>
      </c>
      <c r="P21" s="360">
        <v>0</v>
      </c>
      <c r="Q21" s="360">
        <v>0</v>
      </c>
      <c r="R21" s="360">
        <v>0</v>
      </c>
      <c r="S21" s="360">
        <v>0</v>
      </c>
      <c r="T21" s="360">
        <v>0</v>
      </c>
      <c r="U21" s="360">
        <v>0</v>
      </c>
      <c r="V21" s="360">
        <v>0</v>
      </c>
      <c r="W21" s="360">
        <v>0</v>
      </c>
      <c r="X21" s="360">
        <v>0</v>
      </c>
      <c r="Y21" s="360">
        <v>0</v>
      </c>
      <c r="Z21" s="360">
        <v>0</v>
      </c>
      <c r="AA21" s="360">
        <v>0</v>
      </c>
      <c r="AB21" s="360">
        <v>0</v>
      </c>
      <c r="AC21" s="360"/>
      <c r="AD21" s="360"/>
      <c r="AE21" s="158"/>
      <c r="AF21" s="158"/>
      <c r="AG21" s="158"/>
    </row>
    <row r="22" spans="1:33" x14ac:dyDescent="0.3">
      <c r="A22" s="45" t="s">
        <v>566</v>
      </c>
      <c r="B22" s="29"/>
      <c r="C22" s="29"/>
      <c r="D22" s="29"/>
      <c r="E22" s="29"/>
      <c r="F22" s="29"/>
      <c r="G22" s="99"/>
      <c r="H22" s="36"/>
      <c r="I22" s="360"/>
      <c r="J22" s="360"/>
      <c r="K22" s="360"/>
      <c r="L22" s="360"/>
      <c r="M22" s="360"/>
      <c r="N22" s="360"/>
      <c r="O22" s="360"/>
      <c r="P22" s="360"/>
      <c r="Q22" s="360"/>
      <c r="R22" s="360"/>
      <c r="S22" s="360"/>
      <c r="T22" s="360"/>
      <c r="U22" s="360"/>
      <c r="V22" s="360"/>
      <c r="W22" s="360"/>
      <c r="X22" s="360"/>
      <c r="Y22" s="360"/>
      <c r="Z22" s="360"/>
      <c r="AA22" s="360"/>
      <c r="AB22" s="360"/>
      <c r="AC22" s="360"/>
      <c r="AD22" s="360"/>
      <c r="AE22" s="158"/>
      <c r="AF22" s="158"/>
      <c r="AG22" s="158"/>
    </row>
    <row r="23" spans="1:33" x14ac:dyDescent="0.3">
      <c r="A23" s="36"/>
      <c r="B23" s="36" t="s">
        <v>1007</v>
      </c>
      <c r="C23" s="29"/>
      <c r="D23" s="29"/>
      <c r="E23" s="29"/>
      <c r="F23" s="29"/>
      <c r="G23" s="37" t="s">
        <v>1183</v>
      </c>
      <c r="H23" s="36" t="s">
        <v>815</v>
      </c>
      <c r="I23" s="443">
        <f>E.aM/1000*(Molweight*3600*24*365)</f>
        <v>0</v>
      </c>
      <c r="J23" s="360">
        <v>0</v>
      </c>
      <c r="K23" s="360">
        <v>0</v>
      </c>
      <c r="L23" s="360">
        <v>0</v>
      </c>
      <c r="M23" s="360">
        <v>0</v>
      </c>
      <c r="N23" s="360">
        <v>0</v>
      </c>
      <c r="O23" s="360">
        <v>0</v>
      </c>
      <c r="P23" s="360">
        <v>0</v>
      </c>
      <c r="Q23" s="360">
        <v>0</v>
      </c>
      <c r="R23" s="360">
        <v>0</v>
      </c>
      <c r="S23" s="360">
        <v>0</v>
      </c>
      <c r="T23" s="360">
        <v>0</v>
      </c>
      <c r="U23" s="360">
        <v>0</v>
      </c>
      <c r="V23" s="360">
        <v>0</v>
      </c>
      <c r="W23" s="360">
        <v>0</v>
      </c>
      <c r="X23" s="360">
        <v>0</v>
      </c>
      <c r="Y23" s="360">
        <v>0</v>
      </c>
      <c r="Z23" s="360">
        <v>0</v>
      </c>
      <c r="AA23" s="360">
        <v>0</v>
      </c>
      <c r="AB23" s="360">
        <v>0</v>
      </c>
      <c r="AC23" s="360"/>
      <c r="AD23" s="360"/>
      <c r="AE23" s="158"/>
      <c r="AF23" s="158"/>
      <c r="AG23" s="158"/>
    </row>
    <row r="24" spans="1:33" x14ac:dyDescent="0.3">
      <c r="A24" s="36"/>
      <c r="B24" s="36" t="s">
        <v>1246</v>
      </c>
      <c r="C24" s="29"/>
      <c r="D24" s="29"/>
      <c r="E24" s="29"/>
      <c r="F24" s="29"/>
      <c r="G24" s="37" t="s">
        <v>690</v>
      </c>
      <c r="H24" s="36" t="s">
        <v>815</v>
      </c>
      <c r="I24" s="443">
        <f>E.w2M/1000*(Molweight*3600*24*365)</f>
        <v>0</v>
      </c>
      <c r="J24" s="360">
        <v>0</v>
      </c>
      <c r="K24" s="360">
        <v>0</v>
      </c>
      <c r="L24" s="360">
        <v>0</v>
      </c>
      <c r="M24" s="360">
        <v>0</v>
      </c>
      <c r="N24" s="360">
        <v>0</v>
      </c>
      <c r="O24" s="360">
        <v>0</v>
      </c>
      <c r="P24" s="360">
        <v>0</v>
      </c>
      <c r="Q24" s="360">
        <v>0</v>
      </c>
      <c r="R24" s="360">
        <v>0</v>
      </c>
      <c r="S24" s="360">
        <v>0</v>
      </c>
      <c r="T24" s="360">
        <v>0</v>
      </c>
      <c r="U24" s="360">
        <v>0</v>
      </c>
      <c r="V24" s="360">
        <v>0</v>
      </c>
      <c r="W24" s="360">
        <v>0</v>
      </c>
      <c r="X24" s="360">
        <v>0</v>
      </c>
      <c r="Y24" s="360">
        <v>0</v>
      </c>
      <c r="Z24" s="360">
        <v>0</v>
      </c>
      <c r="AA24" s="360">
        <v>0</v>
      </c>
      <c r="AB24" s="360">
        <v>0</v>
      </c>
      <c r="AC24" s="360"/>
      <c r="AD24" s="360"/>
      <c r="AE24" s="158"/>
      <c r="AF24" s="158"/>
      <c r="AG24" s="158"/>
    </row>
    <row r="25" spans="1:33" x14ac:dyDescent="0.3">
      <c r="A25" s="36"/>
      <c r="B25" s="36" t="s">
        <v>1094</v>
      </c>
      <c r="C25" s="29"/>
      <c r="D25" s="29"/>
      <c r="E25" s="29"/>
      <c r="F25" s="29"/>
      <c r="G25" s="37" t="s">
        <v>1387</v>
      </c>
      <c r="H25" s="36" t="s">
        <v>815</v>
      </c>
      <c r="I25" s="443">
        <f>E.sM/1000*(Molweight*3600*24*365)</f>
        <v>0</v>
      </c>
      <c r="J25" s="360">
        <v>0</v>
      </c>
      <c r="K25" s="360">
        <v>0</v>
      </c>
      <c r="L25" s="360">
        <v>0</v>
      </c>
      <c r="M25" s="360">
        <v>0</v>
      </c>
      <c r="N25" s="360">
        <v>0</v>
      </c>
      <c r="O25" s="360">
        <v>0</v>
      </c>
      <c r="P25" s="360">
        <v>0</v>
      </c>
      <c r="Q25" s="360">
        <v>0</v>
      </c>
      <c r="R25" s="360">
        <v>0</v>
      </c>
      <c r="S25" s="360">
        <v>0</v>
      </c>
      <c r="T25" s="360">
        <v>0</v>
      </c>
      <c r="U25" s="360">
        <v>0</v>
      </c>
      <c r="V25" s="360">
        <v>0</v>
      </c>
      <c r="W25" s="360">
        <v>0</v>
      </c>
      <c r="X25" s="360">
        <v>0</v>
      </c>
      <c r="Y25" s="360">
        <v>0</v>
      </c>
      <c r="Z25" s="360">
        <v>0</v>
      </c>
      <c r="AA25" s="360">
        <v>0</v>
      </c>
      <c r="AB25" s="360">
        <v>0</v>
      </c>
      <c r="AC25" s="360"/>
      <c r="AD25" s="360"/>
      <c r="AE25" s="158"/>
      <c r="AF25" s="158"/>
      <c r="AG25" s="158"/>
    </row>
    <row r="26" spans="1:33" x14ac:dyDescent="0.3">
      <c r="A26" s="4" t="s">
        <v>55</v>
      </c>
      <c r="B26" s="36"/>
      <c r="C26" s="29"/>
      <c r="D26" s="29"/>
      <c r="E26" s="29"/>
      <c r="F26" s="29"/>
      <c r="G26" s="99"/>
      <c r="H26" s="36"/>
      <c r="I26" s="360"/>
      <c r="J26" s="360"/>
      <c r="K26" s="360"/>
      <c r="L26" s="360"/>
      <c r="M26" s="360"/>
      <c r="N26" s="360"/>
      <c r="O26" s="360"/>
      <c r="P26" s="360"/>
      <c r="Q26" s="360"/>
      <c r="R26" s="360"/>
      <c r="S26" s="360"/>
      <c r="T26" s="360"/>
      <c r="U26" s="360"/>
      <c r="V26" s="360"/>
      <c r="W26" s="360"/>
      <c r="X26" s="360"/>
      <c r="Y26" s="360"/>
      <c r="Z26" s="360"/>
      <c r="AA26" s="360"/>
      <c r="AB26" s="360"/>
      <c r="AC26" s="360"/>
      <c r="AD26" s="360"/>
      <c r="AE26" s="158"/>
      <c r="AF26" s="158"/>
      <c r="AG26" s="158"/>
    </row>
    <row r="27" spans="1:33" x14ac:dyDescent="0.3">
      <c r="A27" s="36"/>
      <c r="B27" s="36" t="s">
        <v>1007</v>
      </c>
      <c r="C27" s="29"/>
      <c r="D27" s="29"/>
      <c r="E27" s="29"/>
      <c r="F27" s="29"/>
      <c r="G27" s="37" t="s">
        <v>1184</v>
      </c>
      <c r="H27" s="36" t="s">
        <v>815</v>
      </c>
      <c r="I27" s="443">
        <f>E.aA/1000*(Molweight*3600*24*365)</f>
        <v>0</v>
      </c>
      <c r="J27" s="360">
        <v>0</v>
      </c>
      <c r="K27" s="360">
        <v>0</v>
      </c>
      <c r="L27" s="360">
        <v>0</v>
      </c>
      <c r="M27" s="360">
        <v>0</v>
      </c>
      <c r="N27" s="360">
        <v>0</v>
      </c>
      <c r="O27" s="360">
        <v>0</v>
      </c>
      <c r="P27" s="360">
        <v>0</v>
      </c>
      <c r="Q27" s="360">
        <v>0</v>
      </c>
      <c r="R27" s="360">
        <v>0</v>
      </c>
      <c r="S27" s="360">
        <v>0</v>
      </c>
      <c r="T27" s="360">
        <v>0</v>
      </c>
      <c r="U27" s="360">
        <v>0</v>
      </c>
      <c r="V27" s="360">
        <v>0</v>
      </c>
      <c r="W27" s="360">
        <v>0</v>
      </c>
      <c r="X27" s="360">
        <v>0</v>
      </c>
      <c r="Y27" s="360">
        <v>0</v>
      </c>
      <c r="Z27" s="360">
        <v>0</v>
      </c>
      <c r="AA27" s="360">
        <v>0</v>
      </c>
      <c r="AB27" s="360">
        <v>0</v>
      </c>
      <c r="AC27" s="360"/>
      <c r="AD27" s="360"/>
      <c r="AE27" s="158"/>
      <c r="AF27" s="158"/>
      <c r="AG27" s="158"/>
    </row>
    <row r="28" spans="1:33" x14ac:dyDescent="0.3">
      <c r="A28" s="36"/>
      <c r="B28" s="36" t="s">
        <v>1246</v>
      </c>
      <c r="C28" s="29"/>
      <c r="D28" s="29"/>
      <c r="E28" s="29"/>
      <c r="F28" s="29"/>
      <c r="G28" s="37" t="s">
        <v>691</v>
      </c>
      <c r="H28" s="36" t="s">
        <v>815</v>
      </c>
      <c r="I28" s="443">
        <f>E.w2A/1000*(Molweight*3600*24*365)</f>
        <v>0</v>
      </c>
      <c r="J28" s="360">
        <v>0</v>
      </c>
      <c r="K28" s="360">
        <v>0</v>
      </c>
      <c r="L28" s="360">
        <v>0</v>
      </c>
      <c r="M28" s="360">
        <v>0</v>
      </c>
      <c r="N28" s="360">
        <v>0</v>
      </c>
      <c r="O28" s="360">
        <v>0</v>
      </c>
      <c r="P28" s="360">
        <v>0</v>
      </c>
      <c r="Q28" s="360">
        <v>0</v>
      </c>
      <c r="R28" s="360">
        <v>0</v>
      </c>
      <c r="S28" s="360">
        <v>0</v>
      </c>
      <c r="T28" s="360">
        <v>0</v>
      </c>
      <c r="U28" s="360">
        <v>0</v>
      </c>
      <c r="V28" s="360">
        <v>0</v>
      </c>
      <c r="W28" s="360">
        <v>0</v>
      </c>
      <c r="X28" s="360">
        <v>0</v>
      </c>
      <c r="Y28" s="360">
        <v>0</v>
      </c>
      <c r="Z28" s="360">
        <v>0</v>
      </c>
      <c r="AA28" s="360">
        <v>0</v>
      </c>
      <c r="AB28" s="360">
        <v>0</v>
      </c>
      <c r="AC28" s="360"/>
      <c r="AD28" s="360"/>
      <c r="AE28" s="158"/>
      <c r="AF28" s="158"/>
      <c r="AG28" s="158"/>
    </row>
    <row r="29" spans="1:33" x14ac:dyDescent="0.3">
      <c r="A29" s="36"/>
      <c r="B29" s="36" t="s">
        <v>1094</v>
      </c>
      <c r="C29" s="29"/>
      <c r="D29" s="29"/>
      <c r="E29" s="29"/>
      <c r="F29" s="29"/>
      <c r="G29" s="37" t="s">
        <v>1386</v>
      </c>
      <c r="H29" s="36" t="s">
        <v>815</v>
      </c>
      <c r="I29" s="443">
        <f>E.sA/1000*(Molweight*3600*24*365)</f>
        <v>0</v>
      </c>
      <c r="J29" s="360">
        <v>0</v>
      </c>
      <c r="K29" s="360">
        <v>0</v>
      </c>
      <c r="L29" s="360">
        <v>0</v>
      </c>
      <c r="M29" s="360">
        <v>0</v>
      </c>
      <c r="N29" s="360">
        <v>0</v>
      </c>
      <c r="O29" s="360">
        <v>0</v>
      </c>
      <c r="P29" s="360">
        <v>0</v>
      </c>
      <c r="Q29" s="360">
        <v>0</v>
      </c>
      <c r="R29" s="360">
        <v>0</v>
      </c>
      <c r="S29" s="360">
        <v>0</v>
      </c>
      <c r="T29" s="360">
        <v>0</v>
      </c>
      <c r="U29" s="360">
        <v>0</v>
      </c>
      <c r="V29" s="360">
        <v>0</v>
      </c>
      <c r="W29" s="360">
        <v>0</v>
      </c>
      <c r="X29" s="360">
        <v>0</v>
      </c>
      <c r="Y29" s="360">
        <v>0</v>
      </c>
      <c r="Z29" s="360">
        <v>0</v>
      </c>
      <c r="AA29" s="360">
        <v>0</v>
      </c>
      <c r="AB29" s="360">
        <v>0</v>
      </c>
      <c r="AC29" s="360"/>
      <c r="AD29" s="360"/>
      <c r="AE29" s="158"/>
      <c r="AF29" s="158"/>
      <c r="AG29" s="158"/>
    </row>
    <row r="30" spans="1:33" x14ac:dyDescent="0.3">
      <c r="A30" s="45" t="s">
        <v>56</v>
      </c>
      <c r="B30" s="29"/>
      <c r="C30" s="29"/>
      <c r="D30" s="29"/>
      <c r="E30" s="29"/>
      <c r="F30" s="29"/>
      <c r="G30" s="99"/>
      <c r="H30" s="36"/>
      <c r="I30" s="360"/>
      <c r="J30" s="360"/>
      <c r="K30" s="360"/>
      <c r="L30" s="360"/>
      <c r="M30" s="360"/>
      <c r="N30" s="360"/>
      <c r="O30" s="360"/>
      <c r="P30" s="360"/>
      <c r="Q30" s="360"/>
      <c r="R30" s="360"/>
      <c r="S30" s="360"/>
      <c r="T30" s="360"/>
      <c r="U30" s="360"/>
      <c r="V30" s="360"/>
      <c r="W30" s="360"/>
      <c r="X30" s="360"/>
      <c r="Y30" s="360"/>
      <c r="Z30" s="360"/>
      <c r="AA30" s="360"/>
      <c r="AB30" s="360"/>
      <c r="AC30" s="360"/>
      <c r="AD30" s="360"/>
      <c r="AE30" s="158"/>
      <c r="AF30" s="158"/>
      <c r="AG30" s="158"/>
    </row>
    <row r="31" spans="1:33" x14ac:dyDescent="0.3">
      <c r="A31" s="36"/>
      <c r="B31" s="36" t="s">
        <v>1007</v>
      </c>
      <c r="C31" s="29"/>
      <c r="D31" s="29"/>
      <c r="E31" s="29"/>
      <c r="F31" s="29"/>
      <c r="G31" s="37" t="s">
        <v>1388</v>
      </c>
      <c r="H31" s="36" t="s">
        <v>815</v>
      </c>
      <c r="I31" s="443">
        <f>E.aT/1000*(Molweight*3600*24*365)</f>
        <v>0</v>
      </c>
      <c r="J31" s="378">
        <v>0</v>
      </c>
      <c r="K31" s="378">
        <v>0</v>
      </c>
      <c r="L31" s="378">
        <v>0</v>
      </c>
      <c r="M31" s="378">
        <v>0</v>
      </c>
      <c r="N31" s="378">
        <v>0</v>
      </c>
      <c r="O31" s="378">
        <v>0</v>
      </c>
      <c r="P31" s="378">
        <v>0</v>
      </c>
      <c r="Q31" s="378">
        <v>0</v>
      </c>
      <c r="R31" s="378">
        <v>0</v>
      </c>
      <c r="S31" s="378">
        <v>0</v>
      </c>
      <c r="T31" s="378">
        <v>0</v>
      </c>
      <c r="U31" s="378">
        <v>0</v>
      </c>
      <c r="V31" s="378">
        <v>0</v>
      </c>
      <c r="W31" s="378">
        <v>0</v>
      </c>
      <c r="X31" s="378">
        <v>0</v>
      </c>
      <c r="Y31" s="378">
        <v>0</v>
      </c>
      <c r="Z31" s="378">
        <v>0</v>
      </c>
      <c r="AA31" s="378">
        <v>0</v>
      </c>
      <c r="AB31" s="378">
        <v>0</v>
      </c>
      <c r="AC31" s="378"/>
      <c r="AD31" s="378"/>
      <c r="AE31" s="444"/>
      <c r="AF31" s="444"/>
      <c r="AG31" s="158"/>
    </row>
    <row r="32" spans="1:33" x14ac:dyDescent="0.3">
      <c r="A32" s="36"/>
      <c r="B32" s="36" t="s">
        <v>1246</v>
      </c>
      <c r="C32" s="29"/>
      <c r="D32" s="29"/>
      <c r="E32" s="29"/>
      <c r="F32" s="29"/>
      <c r="G32" s="37" t="s">
        <v>692</v>
      </c>
      <c r="H32" s="36" t="s">
        <v>815</v>
      </c>
      <c r="I32" s="443">
        <f>E.w2T/1000*(Molweight*3600*24*365)</f>
        <v>0</v>
      </c>
      <c r="J32" s="177">
        <v>0</v>
      </c>
      <c r="K32" s="177">
        <v>0</v>
      </c>
      <c r="L32" s="177">
        <v>0</v>
      </c>
      <c r="M32" s="177">
        <v>0</v>
      </c>
      <c r="N32" s="177">
        <v>0</v>
      </c>
      <c r="O32" s="177">
        <v>0</v>
      </c>
      <c r="P32" s="177">
        <v>0</v>
      </c>
      <c r="Q32" s="177">
        <v>0</v>
      </c>
      <c r="R32" s="177">
        <v>0</v>
      </c>
      <c r="S32" s="177">
        <v>0</v>
      </c>
      <c r="T32" s="177">
        <v>0</v>
      </c>
      <c r="U32" s="177">
        <v>0</v>
      </c>
      <c r="V32" s="177">
        <v>0</v>
      </c>
      <c r="W32" s="177">
        <v>0</v>
      </c>
      <c r="X32" s="177">
        <v>0</v>
      </c>
      <c r="Y32" s="177">
        <v>0</v>
      </c>
      <c r="Z32" s="177">
        <v>0</v>
      </c>
      <c r="AA32" s="177">
        <v>0</v>
      </c>
      <c r="AB32" s="177">
        <v>0</v>
      </c>
      <c r="AC32" s="177"/>
      <c r="AD32" s="177"/>
      <c r="AE32" s="158"/>
      <c r="AF32" s="158"/>
      <c r="AG32" s="158"/>
    </row>
    <row r="33" spans="1:33" x14ac:dyDescent="0.3">
      <c r="A33" s="36"/>
      <c r="B33" s="36" t="s">
        <v>1094</v>
      </c>
      <c r="C33" s="29"/>
      <c r="D33" s="29"/>
      <c r="E33" s="29"/>
      <c r="F33" s="29"/>
      <c r="G33" s="37" t="s">
        <v>1389</v>
      </c>
      <c r="H33" s="36" t="s">
        <v>815</v>
      </c>
      <c r="I33" s="443">
        <f>E.sT/1000*(Molweight*3600*24*365)</f>
        <v>0</v>
      </c>
      <c r="J33" s="177">
        <v>0</v>
      </c>
      <c r="K33" s="177">
        <v>0</v>
      </c>
      <c r="L33" s="177">
        <v>0</v>
      </c>
      <c r="M33" s="177">
        <v>0</v>
      </c>
      <c r="N33" s="177">
        <v>0</v>
      </c>
      <c r="O33" s="177">
        <v>0</v>
      </c>
      <c r="P33" s="177">
        <v>0</v>
      </c>
      <c r="Q33" s="177">
        <v>0</v>
      </c>
      <c r="R33" s="177">
        <v>0</v>
      </c>
      <c r="S33" s="177">
        <v>0</v>
      </c>
      <c r="T33" s="177">
        <v>0</v>
      </c>
      <c r="U33" s="177">
        <v>0</v>
      </c>
      <c r="V33" s="177">
        <v>0</v>
      </c>
      <c r="W33" s="177">
        <v>0</v>
      </c>
      <c r="X33" s="177">
        <v>0</v>
      </c>
      <c r="Y33" s="177">
        <v>0</v>
      </c>
      <c r="Z33" s="177">
        <v>0</v>
      </c>
      <c r="AA33" s="177">
        <v>0</v>
      </c>
      <c r="AB33" s="177">
        <v>0</v>
      </c>
      <c r="AC33" s="177"/>
      <c r="AD33" s="177"/>
      <c r="AE33" s="158"/>
      <c r="AF33" s="158"/>
      <c r="AG33" s="158"/>
    </row>
    <row r="34" spans="1:33" ht="12.75" customHeight="1" x14ac:dyDescent="0.3">
      <c r="A34" s="36"/>
      <c r="B34" s="29"/>
      <c r="C34" s="29"/>
      <c r="D34" s="29"/>
      <c r="E34" s="29"/>
      <c r="F34" s="29"/>
      <c r="G34" s="36"/>
      <c r="H34" s="36"/>
      <c r="I34" s="325"/>
      <c r="J34" s="360"/>
      <c r="K34" s="360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58"/>
      <c r="AF34" s="158"/>
      <c r="AG34" s="158"/>
    </row>
    <row r="35" spans="1:33" ht="12.75" customHeight="1" x14ac:dyDescent="0.3">
      <c r="A35" s="5" t="s">
        <v>186</v>
      </c>
      <c r="B35" s="29"/>
      <c r="C35" s="29"/>
      <c r="D35" s="29"/>
      <c r="E35" s="29"/>
      <c r="F35" s="29"/>
      <c r="G35" s="37"/>
      <c r="H35" s="100"/>
      <c r="I35" s="318"/>
      <c r="J35" s="177"/>
      <c r="K35" s="360"/>
      <c r="L35" s="360"/>
      <c r="M35" s="177"/>
      <c r="N35" s="360"/>
      <c r="O35" s="360"/>
      <c r="P35" s="360"/>
      <c r="Q35" s="360"/>
      <c r="R35" s="360"/>
      <c r="S35" s="360"/>
      <c r="T35" s="360"/>
      <c r="U35" s="360"/>
      <c r="V35" s="360"/>
      <c r="W35" s="360"/>
      <c r="X35" s="360"/>
      <c r="Y35" s="360"/>
      <c r="Z35" s="360"/>
      <c r="AA35" s="360"/>
      <c r="AB35" s="360"/>
      <c r="AC35" s="360"/>
      <c r="AD35" s="360"/>
      <c r="AE35" s="158"/>
      <c r="AF35" s="158"/>
      <c r="AG35" s="158"/>
    </row>
    <row r="36" spans="1:33" ht="12.75" customHeight="1" x14ac:dyDescent="0.3">
      <c r="A36" s="4" t="s">
        <v>1377</v>
      </c>
      <c r="B36" s="29"/>
      <c r="C36" s="29"/>
      <c r="D36" s="29"/>
      <c r="E36" s="29"/>
      <c r="F36" s="29"/>
      <c r="G36" s="29"/>
      <c r="H36" s="29"/>
      <c r="I36" s="282"/>
      <c r="J36" s="177"/>
      <c r="K36" s="360"/>
      <c r="L36" s="360"/>
      <c r="M36" s="177"/>
      <c r="N36" s="360"/>
      <c r="O36" s="360"/>
      <c r="P36" s="360"/>
      <c r="Q36" s="360"/>
      <c r="R36" s="360"/>
      <c r="S36" s="360"/>
      <c r="T36" s="360"/>
      <c r="U36" s="360"/>
      <c r="V36" s="360"/>
      <c r="W36" s="360"/>
      <c r="X36" s="360"/>
      <c r="Y36" s="360"/>
      <c r="Z36" s="360"/>
      <c r="AA36" s="360"/>
      <c r="AB36" s="360"/>
      <c r="AC36" s="360"/>
      <c r="AD36" s="360"/>
      <c r="AE36" s="158"/>
      <c r="AF36" s="158"/>
      <c r="AG36" s="158"/>
    </row>
    <row r="37" spans="1:33" ht="12.75" customHeight="1" x14ac:dyDescent="0.3">
      <c r="A37" s="29" t="s">
        <v>675</v>
      </c>
      <c r="B37" s="29"/>
      <c r="C37" s="29"/>
      <c r="D37" s="29"/>
      <c r="E37" s="29"/>
      <c r="F37" s="29"/>
      <c r="G37" s="29" t="s">
        <v>1398</v>
      </c>
      <c r="H37" s="95" t="s">
        <v>812</v>
      </c>
      <c r="I37" s="443">
        <f>AREAland.R*0.000001</f>
        <v>228570</v>
      </c>
      <c r="J37" s="177">
        <v>228570</v>
      </c>
      <c r="K37" s="360">
        <v>40000</v>
      </c>
      <c r="L37" s="360">
        <v>280401</v>
      </c>
      <c r="M37" s="177">
        <v>183816</v>
      </c>
      <c r="N37" s="177">
        <v>780546</v>
      </c>
      <c r="O37" s="177">
        <v>1347817</v>
      </c>
      <c r="P37" s="177">
        <v>735603</v>
      </c>
      <c r="Q37" s="177">
        <v>474176</v>
      </c>
      <c r="R37" s="177">
        <v>1139633</v>
      </c>
      <c r="S37" s="177">
        <v>2236756</v>
      </c>
      <c r="T37" s="177">
        <v>845990</v>
      </c>
      <c r="U37" s="177">
        <v>405212</v>
      </c>
      <c r="V37" s="177">
        <v>133852</v>
      </c>
      <c r="W37" s="177">
        <v>1542056</v>
      </c>
      <c r="X37" s="177">
        <v>1076395</v>
      </c>
      <c r="Y37" s="177">
        <v>647797</v>
      </c>
      <c r="Z37" s="177">
        <v>651036</v>
      </c>
      <c r="AA37" s="177">
        <v>661848</v>
      </c>
      <c r="AB37" s="177">
        <v>944735</v>
      </c>
      <c r="AC37" s="177"/>
      <c r="AD37" s="177"/>
      <c r="AE37" s="158"/>
      <c r="AF37" s="158"/>
      <c r="AG37" s="158"/>
    </row>
    <row r="38" spans="1:33" ht="12.75" customHeight="1" x14ac:dyDescent="0.3">
      <c r="A38" s="29" t="s">
        <v>676</v>
      </c>
      <c r="B38" s="29"/>
      <c r="C38" s="29"/>
      <c r="D38" s="29"/>
      <c r="E38" s="29"/>
      <c r="F38" s="29"/>
      <c r="G38" s="29" t="s">
        <v>1399</v>
      </c>
      <c r="H38" s="95" t="s">
        <v>812</v>
      </c>
      <c r="I38" s="443">
        <f>AREAsea.R*0.000001</f>
        <v>1000</v>
      </c>
      <c r="J38" s="177">
        <v>1000</v>
      </c>
      <c r="K38" s="360">
        <v>400</v>
      </c>
      <c r="L38" s="360">
        <v>1528.22818010318</v>
      </c>
      <c r="M38" s="177">
        <v>1027.867343304843</v>
      </c>
      <c r="N38" s="360">
        <v>9.9999999999999995E-21</v>
      </c>
      <c r="O38" s="360">
        <v>9.9999999999999995E-21</v>
      </c>
      <c r="P38" s="177">
        <v>4374.2355624855627</v>
      </c>
      <c r="Q38" s="177">
        <v>147.27650727650723</v>
      </c>
      <c r="R38" s="177">
        <v>12482.598298235805</v>
      </c>
      <c r="S38" s="360">
        <v>9.9999999999999995E-21</v>
      </c>
      <c r="T38" s="177">
        <v>4941.1541300916297</v>
      </c>
      <c r="U38" s="177">
        <v>3871.8359717213675</v>
      </c>
      <c r="V38" s="177">
        <v>1344.8821206612297</v>
      </c>
      <c r="W38" s="177">
        <v>14874.209665216042</v>
      </c>
      <c r="X38" s="177">
        <v>3161.9058682726481</v>
      </c>
      <c r="Y38" s="177">
        <v>2685.5525674602077</v>
      </c>
      <c r="Z38" s="360">
        <v>9.9999999999999995E-21</v>
      </c>
      <c r="AA38" s="360">
        <v>9.9999999999999995E-21</v>
      </c>
      <c r="AB38" s="177">
        <v>5413.826223902367</v>
      </c>
      <c r="AC38" s="177"/>
      <c r="AD38" s="177"/>
      <c r="AE38" s="158"/>
      <c r="AF38" s="158"/>
      <c r="AG38" s="158"/>
    </row>
    <row r="39" spans="1:33" ht="12.75" customHeight="1" x14ac:dyDescent="0.3">
      <c r="A39" s="29" t="s">
        <v>308</v>
      </c>
      <c r="B39" s="29"/>
      <c r="C39" s="29"/>
      <c r="D39" s="29"/>
      <c r="E39" s="29"/>
      <c r="F39" s="29"/>
      <c r="G39" s="29" t="s">
        <v>309</v>
      </c>
      <c r="H39" s="29" t="s">
        <v>486</v>
      </c>
      <c r="I39" s="443">
        <f>FRAClake.R</f>
        <v>2.5000000000000001E-3</v>
      </c>
      <c r="J39" s="177">
        <v>2.5000000000000001E-3</v>
      </c>
      <c r="K39" s="360">
        <v>1E-10</v>
      </c>
      <c r="L39" s="360">
        <v>9.9999999999999995E-21</v>
      </c>
      <c r="M39" s="360">
        <v>9.9999999999999995E-21</v>
      </c>
      <c r="N39" s="360">
        <v>9.9999999999999995E-21</v>
      </c>
      <c r="O39" s="360">
        <v>9.9999999999999995E-21</v>
      </c>
      <c r="P39" s="360">
        <v>9.9999999999999995E-21</v>
      </c>
      <c r="Q39" s="360">
        <v>9.9999999999999995E-21</v>
      </c>
      <c r="R39" s="360">
        <v>9.9999999999999995E-21</v>
      </c>
      <c r="S39" s="360">
        <v>9.9999999999999995E-21</v>
      </c>
      <c r="T39" s="360">
        <v>9.9999999999999995E-21</v>
      </c>
      <c r="U39" s="360">
        <v>9.9999999999999995E-21</v>
      </c>
      <c r="V39" s="360">
        <v>9.9999999999999995E-21</v>
      </c>
      <c r="W39" s="360">
        <v>9.9999999999999995E-21</v>
      </c>
      <c r="X39" s="360">
        <v>9.9999999999999995E-21</v>
      </c>
      <c r="Y39" s="360">
        <v>9.9999999999999995E-21</v>
      </c>
      <c r="Z39" s="360">
        <v>9.9999999999999995E-21</v>
      </c>
      <c r="AA39" s="360">
        <v>9.9999999999999995E-21</v>
      </c>
      <c r="AB39" s="360">
        <v>9.9999999999999995E-21</v>
      </c>
      <c r="AC39" s="177"/>
      <c r="AD39" s="177"/>
      <c r="AE39" s="158"/>
      <c r="AF39" s="158"/>
      <c r="AG39" s="158"/>
    </row>
    <row r="40" spans="1:33" ht="12.75" customHeight="1" x14ac:dyDescent="0.3">
      <c r="A40" s="29" t="s">
        <v>677</v>
      </c>
      <c r="B40" s="29"/>
      <c r="C40" s="29"/>
      <c r="D40" s="29"/>
      <c r="E40" s="29"/>
      <c r="F40" s="29"/>
      <c r="G40" s="29" t="s">
        <v>681</v>
      </c>
      <c r="H40" s="29" t="s">
        <v>486</v>
      </c>
      <c r="I40" s="443">
        <f>FRACfresh.R</f>
        <v>2.75E-2</v>
      </c>
      <c r="J40" s="177">
        <f>0.03-J39</f>
        <v>2.75E-2</v>
      </c>
      <c r="K40" s="360">
        <v>0.03</v>
      </c>
      <c r="L40" s="360">
        <v>8.1287156607858027E-2</v>
      </c>
      <c r="M40" s="177">
        <v>8.5679845603865989E-2</v>
      </c>
      <c r="N40" s="177">
        <v>0.19325974948350247</v>
      </c>
      <c r="O40" s="177">
        <v>2.3852644683959322E-2</v>
      </c>
      <c r="P40" s="177">
        <v>6.3097665062926411E-2</v>
      </c>
      <c r="Q40" s="177">
        <v>2.4383351329464165E-2</v>
      </c>
      <c r="R40" s="177">
        <v>3.1314467025788127E-2</v>
      </c>
      <c r="S40" s="177">
        <v>8.6746162746405963E-3</v>
      </c>
      <c r="T40" s="177">
        <v>2.4736699015354791E-2</v>
      </c>
      <c r="U40" s="177">
        <v>7.7342230733541947E-2</v>
      </c>
      <c r="V40" s="177">
        <v>2.5431073125541642E-2</v>
      </c>
      <c r="W40" s="177">
        <v>0.11473513283564281</v>
      </c>
      <c r="X40" s="177">
        <v>0.14739384705428768</v>
      </c>
      <c r="Y40" s="177">
        <v>0.1454792164829414</v>
      </c>
      <c r="Z40" s="177">
        <v>9.1186969691384193E-2</v>
      </c>
      <c r="AA40" s="177">
        <v>2.9509796811352455E-2</v>
      </c>
      <c r="AB40" s="177">
        <v>2.0692575166581104E-2</v>
      </c>
      <c r="AC40" s="177"/>
      <c r="AD40" s="177"/>
      <c r="AE40" s="158"/>
      <c r="AF40" s="158"/>
      <c r="AG40" s="158"/>
    </row>
    <row r="41" spans="1:33" ht="12.75" customHeight="1" x14ac:dyDescent="0.3">
      <c r="A41" s="29" t="s">
        <v>678</v>
      </c>
      <c r="B41" s="29"/>
      <c r="C41" s="29"/>
      <c r="D41" s="29"/>
      <c r="E41" s="29"/>
      <c r="F41" s="29"/>
      <c r="G41" s="29" t="s">
        <v>682</v>
      </c>
      <c r="H41" s="29" t="s">
        <v>486</v>
      </c>
      <c r="I41" s="443">
        <f>FRACnatsoil.R</f>
        <v>0.27</v>
      </c>
      <c r="J41" s="177">
        <v>0.27</v>
      </c>
      <c r="K41" s="360">
        <v>0.27</v>
      </c>
      <c r="L41" s="360">
        <v>0.5843037389452963</v>
      </c>
      <c r="M41" s="177">
        <v>0.7444324519845934</v>
      </c>
      <c r="N41" s="177">
        <v>0.33423119465220502</v>
      </c>
      <c r="O41" s="177">
        <v>0.15195191614366049</v>
      </c>
      <c r="P41" s="177">
        <v>0.59666542071334672</v>
      </c>
      <c r="Q41" s="177">
        <v>0.55708800597879282</v>
      </c>
      <c r="R41" s="177">
        <v>0.28470275990867239</v>
      </c>
      <c r="S41" s="177">
        <v>0.57649809712190336</v>
      </c>
      <c r="T41" s="177">
        <v>0.66110335138713217</v>
      </c>
      <c r="U41" s="177">
        <v>0.91985429849066658</v>
      </c>
      <c r="V41" s="177">
        <v>0.88245226070585425</v>
      </c>
      <c r="W41" s="177">
        <v>0.85824379918757809</v>
      </c>
      <c r="X41" s="177">
        <v>0.79472126867924875</v>
      </c>
      <c r="Y41" s="177">
        <v>0.73579994967559281</v>
      </c>
      <c r="Z41" s="177">
        <v>0.50409040360287294</v>
      </c>
      <c r="AA41" s="177">
        <v>0.64715010092951852</v>
      </c>
      <c r="AB41" s="177">
        <v>0.94737042662757276</v>
      </c>
      <c r="AC41" s="177"/>
      <c r="AD41" s="177"/>
      <c r="AE41" s="158"/>
      <c r="AF41" s="158"/>
      <c r="AG41" s="158"/>
    </row>
    <row r="42" spans="1:33" ht="12.75" customHeight="1" x14ac:dyDescent="0.3">
      <c r="A42" s="29" t="s">
        <v>679</v>
      </c>
      <c r="B42" s="29"/>
      <c r="C42" s="29"/>
      <c r="D42" s="29"/>
      <c r="E42" s="29"/>
      <c r="F42" s="29"/>
      <c r="G42" s="29" t="s">
        <v>1416</v>
      </c>
      <c r="H42" s="29" t="s">
        <v>486</v>
      </c>
      <c r="I42" s="443">
        <f>FRACagsoil.R</f>
        <v>0.6</v>
      </c>
      <c r="J42" s="177">
        <v>0.6</v>
      </c>
      <c r="K42" s="360">
        <v>0.6</v>
      </c>
      <c r="L42" s="360">
        <v>0.2314964744062967</v>
      </c>
      <c r="M42" s="177">
        <v>8.8283722472472487E-2</v>
      </c>
      <c r="N42" s="177">
        <v>0.42566136179033653</v>
      </c>
      <c r="O42" s="177">
        <v>0.79627332167497511</v>
      </c>
      <c r="P42" s="177">
        <v>0.26902023197295288</v>
      </c>
      <c r="Q42" s="177">
        <v>0.3844809282840127</v>
      </c>
      <c r="R42" s="177">
        <v>0.65942660145853971</v>
      </c>
      <c r="S42" s="177">
        <v>0.40816903980586167</v>
      </c>
      <c r="T42" s="177">
        <v>0.28031863000744695</v>
      </c>
      <c r="U42" s="177">
        <v>1.0019446610663061E-3</v>
      </c>
      <c r="V42" s="177">
        <v>7.8937931446672438E-2</v>
      </c>
      <c r="W42" s="177">
        <v>2.2158728347089859E-2</v>
      </c>
      <c r="X42" s="177">
        <v>5.0783402003911203E-2</v>
      </c>
      <c r="Y42" s="177">
        <v>0.11734849034496918</v>
      </c>
      <c r="Z42" s="177">
        <v>0.40344619959572126</v>
      </c>
      <c r="AA42" s="177">
        <v>0.31831477922423274</v>
      </c>
      <c r="AB42" s="177">
        <v>2.7384398799663399E-2</v>
      </c>
      <c r="AC42" s="177"/>
      <c r="AD42" s="177"/>
      <c r="AE42" s="158"/>
      <c r="AF42" s="158"/>
      <c r="AG42" s="158"/>
    </row>
    <row r="43" spans="1:33" ht="12.75" customHeight="1" x14ac:dyDescent="0.3">
      <c r="A43" s="29" t="s">
        <v>680</v>
      </c>
      <c r="B43" s="29"/>
      <c r="C43" s="29"/>
      <c r="D43" s="29"/>
      <c r="E43" s="29"/>
      <c r="F43" s="29"/>
      <c r="G43" s="29" t="s">
        <v>1417</v>
      </c>
      <c r="H43" s="29" t="s">
        <v>486</v>
      </c>
      <c r="I43" s="443">
        <f>FRACothersoil.R</f>
        <v>0.1</v>
      </c>
      <c r="J43" s="177">
        <v>0.1</v>
      </c>
      <c r="K43" s="360">
        <v>0.1</v>
      </c>
      <c r="L43" s="360">
        <v>0.10291263004054907</v>
      </c>
      <c r="M43" s="177">
        <v>8.495693343343344E-2</v>
      </c>
      <c r="N43" s="177">
        <v>4.8214845299316113E-2</v>
      </c>
      <c r="O43" s="177">
        <v>2.7922117497405058E-2</v>
      </c>
      <c r="P43" s="177">
        <v>7.1225969479461068E-2</v>
      </c>
      <c r="Q43" s="177">
        <v>3.4047714407730453E-2</v>
      </c>
      <c r="R43" s="177">
        <v>2.4626369644438165E-2</v>
      </c>
      <c r="S43" s="177">
        <v>6.658246797594373E-3</v>
      </c>
      <c r="T43" s="177">
        <v>3.3841319590066081E-2</v>
      </c>
      <c r="U43" s="177">
        <v>1.8015261147251314E-3</v>
      </c>
      <c r="V43" s="177">
        <v>1.3178734721931686E-2</v>
      </c>
      <c r="W43" s="177">
        <v>4.8623396296891943E-3</v>
      </c>
      <c r="X43" s="177">
        <v>7.1014822625523159E-3</v>
      </c>
      <c r="Y43" s="177">
        <v>1.3723434964965876E-3</v>
      </c>
      <c r="Z43" s="177">
        <v>1.2764271100215655E-3</v>
      </c>
      <c r="AA43" s="177">
        <v>5.0253230348962299E-3</v>
      </c>
      <c r="AB43" s="177">
        <v>4.5525994061826865E-3</v>
      </c>
      <c r="AC43" s="177"/>
      <c r="AD43" s="177"/>
      <c r="AE43" s="158"/>
      <c r="AF43" s="158"/>
      <c r="AG43" s="158"/>
    </row>
    <row r="44" spans="1:33" ht="12.75" customHeight="1" x14ac:dyDescent="0.3">
      <c r="A44" s="29" t="s">
        <v>988</v>
      </c>
      <c r="B44" s="29"/>
      <c r="C44" s="29"/>
      <c r="D44" s="29"/>
      <c r="E44" s="29"/>
      <c r="F44" s="29"/>
      <c r="G44" s="29" t="s">
        <v>110</v>
      </c>
      <c r="H44" s="29" t="s">
        <v>813</v>
      </c>
      <c r="I44" s="443">
        <f>TEMP.R-273</f>
        <v>12</v>
      </c>
      <c r="J44" s="177">
        <v>12</v>
      </c>
      <c r="K44" s="360">
        <v>12</v>
      </c>
      <c r="L44" s="360">
        <v>11.422808763164198</v>
      </c>
      <c r="M44" s="177">
        <v>6.4826402489446195</v>
      </c>
      <c r="N44" s="177">
        <v>8.5061790080276865</v>
      </c>
      <c r="O44" s="177">
        <v>9.1864852572715563</v>
      </c>
      <c r="P44" s="177">
        <v>16.827219301715729</v>
      </c>
      <c r="Q44" s="177">
        <v>15.941989894047765</v>
      </c>
      <c r="R44" s="177">
        <v>18.273647744493189</v>
      </c>
      <c r="S44" s="177">
        <v>10.863019032920874</v>
      </c>
      <c r="T44" s="177">
        <v>13.215630208394884</v>
      </c>
      <c r="U44" s="177">
        <v>-0.31359347105330271</v>
      </c>
      <c r="V44" s="177">
        <v>5.5</v>
      </c>
      <c r="W44" s="177">
        <v>-1.1484865825743922</v>
      </c>
      <c r="X44" s="177">
        <v>0.51163579947638904</v>
      </c>
      <c r="Y44" s="177">
        <v>-2.1509263973095138</v>
      </c>
      <c r="Z44" s="177">
        <v>0.20677966101694914</v>
      </c>
      <c r="AA44" s="177">
        <v>2.3945457331086257</v>
      </c>
      <c r="AB44" s="177">
        <v>4.7365410875525304</v>
      </c>
      <c r="AC44" s="177"/>
      <c r="AD44" s="177"/>
      <c r="AE44" s="158"/>
      <c r="AF44" s="158"/>
      <c r="AG44" s="158"/>
    </row>
    <row r="45" spans="1:33" ht="12.75" customHeight="1" x14ac:dyDescent="0.3">
      <c r="A45" s="29" t="s">
        <v>989</v>
      </c>
      <c r="B45" s="29"/>
      <c r="C45" s="29"/>
      <c r="D45" s="29"/>
      <c r="E45" s="29"/>
      <c r="F45" s="29"/>
      <c r="G45" s="29" t="s">
        <v>109</v>
      </c>
      <c r="H45" s="29" t="s">
        <v>277</v>
      </c>
      <c r="I45" s="443">
        <f>WINDspeed.R</f>
        <v>3</v>
      </c>
      <c r="J45" s="177">
        <v>3</v>
      </c>
      <c r="K45" s="360">
        <v>3</v>
      </c>
      <c r="L45" s="360">
        <v>3.2031848263023321</v>
      </c>
      <c r="M45" s="177">
        <v>3.9158281081081081</v>
      </c>
      <c r="N45" s="177">
        <v>3.3028696355627987</v>
      </c>
      <c r="O45" s="177">
        <v>3.4710797445053743</v>
      </c>
      <c r="P45" s="177">
        <v>2.6731022663039714</v>
      </c>
      <c r="Q45" s="177">
        <v>2.4483716432716962</v>
      </c>
      <c r="R45" s="177">
        <v>3.3647209294922131</v>
      </c>
      <c r="S45" s="177">
        <v>3.2308838056542606</v>
      </c>
      <c r="T45" s="177">
        <v>2.4551684081372129</v>
      </c>
      <c r="U45" s="177">
        <v>4.6407308226359492</v>
      </c>
      <c r="V45" s="177">
        <v>4.4722222222222223</v>
      </c>
      <c r="W45" s="177">
        <v>4.1667968771138062</v>
      </c>
      <c r="X45" s="177">
        <v>3.7364222071387783</v>
      </c>
      <c r="Y45" s="177">
        <v>4.1464773075940755</v>
      </c>
      <c r="Z45" s="177">
        <v>3.9515836329395655</v>
      </c>
      <c r="AA45" s="177">
        <v>3.651779786527757</v>
      </c>
      <c r="AB45" s="177">
        <v>3.4511432909796387</v>
      </c>
      <c r="AC45" s="177"/>
      <c r="AD45" s="177"/>
      <c r="AE45" s="158"/>
      <c r="AF45" s="158"/>
      <c r="AG45" s="158"/>
    </row>
    <row r="46" spans="1:33" ht="12.75" customHeight="1" x14ac:dyDescent="0.3">
      <c r="A46" s="29" t="s">
        <v>992</v>
      </c>
      <c r="B46" s="29"/>
      <c r="C46" s="29"/>
      <c r="D46" s="29"/>
      <c r="E46" s="29"/>
      <c r="F46" s="29"/>
      <c r="G46" s="29" t="s">
        <v>122</v>
      </c>
      <c r="H46" s="29" t="s">
        <v>814</v>
      </c>
      <c r="I46" s="443">
        <f>RAINrate.R*1000*(3600*24*365)</f>
        <v>700</v>
      </c>
      <c r="J46" s="177">
        <v>700</v>
      </c>
      <c r="K46" s="360">
        <v>700</v>
      </c>
      <c r="L46" s="360">
        <v>1022</v>
      </c>
      <c r="M46" s="177">
        <v>1131.5</v>
      </c>
      <c r="N46" s="177">
        <v>1168</v>
      </c>
      <c r="O46" s="177">
        <v>1131.5</v>
      </c>
      <c r="P46" s="177">
        <v>1131.5</v>
      </c>
      <c r="Q46" s="177">
        <v>1350.5</v>
      </c>
      <c r="R46" s="177">
        <v>876</v>
      </c>
      <c r="S46" s="177">
        <v>306.60000000000002</v>
      </c>
      <c r="T46" s="177">
        <v>693.5</v>
      </c>
      <c r="U46" s="177">
        <v>1030.8158530986993</v>
      </c>
      <c r="V46" s="177">
        <v>1235.1600000000001</v>
      </c>
      <c r="W46" s="177">
        <v>876.51046315686949</v>
      </c>
      <c r="X46" s="177">
        <v>741.05709686803061</v>
      </c>
      <c r="Y46" s="177">
        <v>491.49828666635807</v>
      </c>
      <c r="Z46" s="177">
        <v>424.38623112480741</v>
      </c>
      <c r="AA46" s="177">
        <v>447.97730044430824</v>
      </c>
      <c r="AB46" s="177">
        <v>748.23923572812248</v>
      </c>
      <c r="AC46" s="177"/>
      <c r="AD46" s="177"/>
      <c r="AE46" s="158"/>
      <c r="AF46" s="158"/>
      <c r="AG46" s="158"/>
    </row>
    <row r="47" spans="1:33" ht="12.75" customHeight="1" x14ac:dyDescent="0.3">
      <c r="A47" s="29" t="s">
        <v>311</v>
      </c>
      <c r="B47" s="29"/>
      <c r="C47" s="29"/>
      <c r="D47" s="29"/>
      <c r="E47" s="29"/>
      <c r="F47" s="29"/>
      <c r="G47" s="29" t="s">
        <v>312</v>
      </c>
      <c r="H47" s="29" t="s">
        <v>720</v>
      </c>
      <c r="I47" s="443">
        <f>DEPTHlake.R</f>
        <v>100</v>
      </c>
      <c r="J47" s="177">
        <v>100</v>
      </c>
      <c r="K47" s="360">
        <v>1E-10</v>
      </c>
      <c r="L47" s="360">
        <v>9.9999999999999995E-21</v>
      </c>
      <c r="M47" s="360">
        <v>9.9999999999999995E-21</v>
      </c>
      <c r="N47" s="360">
        <v>9.9999999999999995E-21</v>
      </c>
      <c r="O47" s="360">
        <v>9.9999999999999995E-21</v>
      </c>
      <c r="P47" s="360">
        <v>9.9999999999999995E-21</v>
      </c>
      <c r="Q47" s="360">
        <v>9.9999999999999995E-21</v>
      </c>
      <c r="R47" s="360">
        <v>9.9999999999999995E-21</v>
      </c>
      <c r="S47" s="360">
        <v>9.9999999999999995E-21</v>
      </c>
      <c r="T47" s="360">
        <v>9.9999999999999995E-21</v>
      </c>
      <c r="U47" s="360">
        <v>9.9999999999999995E-21</v>
      </c>
      <c r="V47" s="360">
        <v>9.9999999999999995E-21</v>
      </c>
      <c r="W47" s="360">
        <v>9.9999999999999995E-21</v>
      </c>
      <c r="X47" s="360">
        <v>9.9999999999999995E-21</v>
      </c>
      <c r="Y47" s="360">
        <v>9.9999999999999995E-21</v>
      </c>
      <c r="Z47" s="360">
        <v>9.9999999999999995E-21</v>
      </c>
      <c r="AA47" s="360">
        <v>9.9999999999999995E-21</v>
      </c>
      <c r="AB47" s="360">
        <v>9.9999999999999995E-21</v>
      </c>
      <c r="AC47" s="177"/>
      <c r="AD47" s="177"/>
      <c r="AE47" s="158"/>
      <c r="AF47" s="158"/>
      <c r="AG47" s="158"/>
    </row>
    <row r="48" spans="1:33" ht="12.75" customHeight="1" x14ac:dyDescent="0.3">
      <c r="A48" s="29" t="s">
        <v>993</v>
      </c>
      <c r="B48" s="29"/>
      <c r="C48" s="29"/>
      <c r="D48" s="29"/>
      <c r="E48" s="29"/>
      <c r="F48" s="29"/>
      <c r="G48" s="29" t="s">
        <v>1418</v>
      </c>
      <c r="H48" s="29" t="s">
        <v>720</v>
      </c>
      <c r="I48" s="443">
        <f>DEPTHfreshwater.R</f>
        <v>3</v>
      </c>
      <c r="J48" s="177">
        <v>3</v>
      </c>
      <c r="K48" s="360">
        <v>3</v>
      </c>
      <c r="L48" s="360">
        <v>9.9999999999999995E-21</v>
      </c>
      <c r="M48" s="360">
        <v>9.9999999999999995E-21</v>
      </c>
      <c r="N48" s="360">
        <v>9.9999999999999995E-21</v>
      </c>
      <c r="O48" s="360">
        <v>9.9999999999999995E-21</v>
      </c>
      <c r="P48" s="360">
        <v>9.9999999999999995E-21</v>
      </c>
      <c r="Q48" s="360">
        <v>9.9999999999999995E-21</v>
      </c>
      <c r="R48" s="360">
        <v>9.9999999999999995E-21</v>
      </c>
      <c r="S48" s="360">
        <v>9.9999999999999995E-21</v>
      </c>
      <c r="T48" s="360">
        <v>9.9999999999999995E-21</v>
      </c>
      <c r="U48" s="360">
        <v>9.9999999999999995E-21</v>
      </c>
      <c r="V48" s="360">
        <v>9.9999999999999995E-21</v>
      </c>
      <c r="W48" s="360">
        <v>9.9999999999999995E-21</v>
      </c>
      <c r="X48" s="360">
        <v>9.9999999999999995E-21</v>
      </c>
      <c r="Y48" s="360">
        <v>9.9999999999999995E-21</v>
      </c>
      <c r="Z48" s="360">
        <v>9.9999999999999995E-21</v>
      </c>
      <c r="AA48" s="360">
        <v>9.9999999999999995E-21</v>
      </c>
      <c r="AB48" s="360">
        <v>9.9999999999999995E-21</v>
      </c>
      <c r="AC48" s="177"/>
      <c r="AD48" s="177"/>
      <c r="AE48" s="158"/>
      <c r="AF48" s="158"/>
      <c r="AG48" s="158"/>
    </row>
    <row r="49" spans="1:33" ht="12.75" customHeight="1" x14ac:dyDescent="0.3">
      <c r="A49" s="29" t="s">
        <v>4</v>
      </c>
      <c r="B49" s="29"/>
      <c r="C49" s="29"/>
      <c r="D49" s="29"/>
      <c r="E49" s="29"/>
      <c r="F49" s="29"/>
      <c r="G49" s="29" t="s">
        <v>5</v>
      </c>
      <c r="H49" s="29" t="s">
        <v>486</v>
      </c>
      <c r="I49" s="443">
        <f>FRAC.w1R.w1C</f>
        <v>0</v>
      </c>
      <c r="J49" s="177">
        <v>0</v>
      </c>
      <c r="K49" s="360">
        <v>0</v>
      </c>
      <c r="L49" s="360">
        <v>0.4624588267553017</v>
      </c>
      <c r="M49" s="177">
        <v>0</v>
      </c>
      <c r="N49" s="177">
        <v>1</v>
      </c>
      <c r="O49" s="177">
        <v>1</v>
      </c>
      <c r="P49" s="177">
        <v>0</v>
      </c>
      <c r="Q49" s="177">
        <v>0.97993020168682365</v>
      </c>
      <c r="R49" s="177">
        <v>0</v>
      </c>
      <c r="S49" s="177">
        <v>1</v>
      </c>
      <c r="T49" s="177">
        <v>0</v>
      </c>
      <c r="U49" s="177">
        <v>0</v>
      </c>
      <c r="V49" s="177">
        <v>0</v>
      </c>
      <c r="W49" s="177">
        <v>0</v>
      </c>
      <c r="X49" s="177">
        <v>0.38678002745658252</v>
      </c>
      <c r="Y49" s="177">
        <v>1.8544979672486669E-3</v>
      </c>
      <c r="Z49" s="177">
        <v>1</v>
      </c>
      <c r="AA49" s="177">
        <v>1</v>
      </c>
      <c r="AB49" s="177">
        <v>0.30716113220259167</v>
      </c>
      <c r="AC49" s="177"/>
      <c r="AD49" s="177"/>
      <c r="AE49" s="158"/>
      <c r="AF49" s="158"/>
      <c r="AG49" s="158"/>
    </row>
    <row r="50" spans="1:33" ht="12.75" customHeight="1" x14ac:dyDescent="0.3">
      <c r="A50" s="29" t="s">
        <v>991</v>
      </c>
      <c r="B50" s="29"/>
      <c r="C50" s="29"/>
      <c r="D50" s="29"/>
      <c r="E50" s="29"/>
      <c r="F50" s="29"/>
      <c r="G50" s="29" t="s">
        <v>1420</v>
      </c>
      <c r="H50" s="29" t="s">
        <v>486</v>
      </c>
      <c r="I50" s="443">
        <f>FRACrun.R</f>
        <v>0.25</v>
      </c>
      <c r="J50" s="177">
        <v>0.25</v>
      </c>
      <c r="K50" s="360">
        <v>0.25</v>
      </c>
      <c r="L50" s="360">
        <v>0.35714285714285715</v>
      </c>
      <c r="M50" s="177">
        <v>0.32258064516129031</v>
      </c>
      <c r="N50" s="177">
        <v>0.34375</v>
      </c>
      <c r="O50" s="177">
        <v>6.7741935483870974E-2</v>
      </c>
      <c r="P50" s="177">
        <v>0.35483870967741937</v>
      </c>
      <c r="Q50" s="177">
        <v>0.37837837837837834</v>
      </c>
      <c r="R50" s="177">
        <v>0.2</v>
      </c>
      <c r="S50" s="177">
        <v>0.23809523809523811</v>
      </c>
      <c r="T50" s="177">
        <v>0.5</v>
      </c>
      <c r="U50" s="177">
        <v>0.67907376268589059</v>
      </c>
      <c r="V50" s="177">
        <v>0.60720878266783251</v>
      </c>
      <c r="W50" s="177">
        <v>0.62748823102362239</v>
      </c>
      <c r="X50" s="177">
        <v>0.40482710612705297</v>
      </c>
      <c r="Y50" s="177">
        <v>0.30518926325744028</v>
      </c>
      <c r="Z50" s="177">
        <v>0.23563441192462034</v>
      </c>
      <c r="AA50" s="177">
        <v>0.22322559625413838</v>
      </c>
      <c r="AB50" s="177">
        <v>0.83529434191165264</v>
      </c>
      <c r="AC50" s="177"/>
      <c r="AD50" s="177"/>
      <c r="AE50" s="158"/>
      <c r="AF50" s="158"/>
      <c r="AG50" s="158"/>
    </row>
    <row r="51" spans="1:33" ht="12.75" customHeight="1" x14ac:dyDescent="0.3">
      <c r="A51" s="29" t="s">
        <v>990</v>
      </c>
      <c r="B51" s="29"/>
      <c r="C51" s="29"/>
      <c r="D51" s="29"/>
      <c r="E51" s="29"/>
      <c r="F51" s="29"/>
      <c r="G51" s="29" t="s">
        <v>1419</v>
      </c>
      <c r="H51" s="29" t="s">
        <v>486</v>
      </c>
      <c r="I51" s="443">
        <f>FRACinf.R</f>
        <v>0.25</v>
      </c>
      <c r="J51" s="177">
        <v>0.25</v>
      </c>
      <c r="K51" s="360">
        <v>0.25</v>
      </c>
      <c r="L51" s="360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58"/>
      <c r="AF51" s="158"/>
      <c r="AG51" s="158"/>
    </row>
    <row r="52" spans="1:33" ht="12.75" customHeight="1" x14ac:dyDescent="0.3">
      <c r="A52" s="29" t="s">
        <v>994</v>
      </c>
      <c r="B52" s="29"/>
      <c r="C52" s="29"/>
      <c r="D52" s="29"/>
      <c r="E52" s="29"/>
      <c r="F52" s="29"/>
      <c r="G52" s="29" t="s">
        <v>1421</v>
      </c>
      <c r="H52" s="29" t="s">
        <v>814</v>
      </c>
      <c r="I52" s="443">
        <f>EROSION.R*1000*(3600*24*365)</f>
        <v>0.03</v>
      </c>
      <c r="J52" s="177">
        <v>0.03</v>
      </c>
      <c r="K52" s="360">
        <v>0.03</v>
      </c>
      <c r="L52" s="360">
        <v>4.2340000000000003E-2</v>
      </c>
      <c r="M52" s="177">
        <v>4.2340000000000003E-2</v>
      </c>
      <c r="N52" s="177">
        <v>8.0299999999999996E-2</v>
      </c>
      <c r="O52" s="177">
        <v>6.7159999999999997E-2</v>
      </c>
      <c r="P52" s="177">
        <v>3.2120000000000003E-2</v>
      </c>
      <c r="Q52" s="177">
        <v>4.6720000000000005E-2</v>
      </c>
      <c r="R52" s="177">
        <v>4.0879999999999993E-2</v>
      </c>
      <c r="S52" s="177">
        <v>5.1100000000000007E-2</v>
      </c>
      <c r="T52" s="177">
        <v>2.3360000000000002E-2</v>
      </c>
      <c r="U52" s="177">
        <v>1.1666666666666667E-2</v>
      </c>
      <c r="V52" s="177">
        <v>0.05</v>
      </c>
      <c r="W52" s="177">
        <v>9.1666666666666667E-3</v>
      </c>
      <c r="X52" s="177">
        <v>0.02</v>
      </c>
      <c r="Y52" s="177">
        <v>5.0000000000000001E-3</v>
      </c>
      <c r="Z52" s="177">
        <v>6.6666666666666671E-3</v>
      </c>
      <c r="AA52" s="177">
        <v>3.3333333333333333E-2</v>
      </c>
      <c r="AB52" s="177">
        <v>0.125</v>
      </c>
      <c r="AC52" s="177"/>
      <c r="AD52" s="177"/>
      <c r="AE52" s="158"/>
      <c r="AF52" s="158"/>
      <c r="AG52" s="158"/>
    </row>
    <row r="53" spans="1:33" ht="12.75" customHeight="1" x14ac:dyDescent="0.3">
      <c r="A53" s="29"/>
      <c r="B53" s="29"/>
      <c r="C53" s="29"/>
      <c r="D53" s="29"/>
      <c r="E53" s="29"/>
      <c r="F53" s="29"/>
      <c r="G53" s="29"/>
      <c r="H53" s="29"/>
      <c r="I53" s="282"/>
      <c r="J53" s="360"/>
      <c r="K53" s="360"/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Y53" s="360"/>
      <c r="Z53" s="360"/>
      <c r="AA53" s="360"/>
      <c r="AB53" s="360"/>
      <c r="AC53" s="360"/>
      <c r="AD53" s="360"/>
      <c r="AE53" s="158"/>
      <c r="AF53" s="158"/>
      <c r="AG53" s="158"/>
    </row>
    <row r="54" spans="1:33" ht="12.75" customHeight="1" x14ac:dyDescent="0.3">
      <c r="A54" s="4" t="s">
        <v>1327</v>
      </c>
      <c r="B54" s="29"/>
      <c r="C54" s="29"/>
      <c r="D54" s="29"/>
      <c r="E54" s="29"/>
      <c r="F54" s="29"/>
      <c r="G54" s="29"/>
      <c r="H54" s="29"/>
      <c r="I54" s="282"/>
      <c r="J54" s="360"/>
      <c r="K54" s="360"/>
      <c r="L54" s="360"/>
      <c r="M54" s="360"/>
      <c r="N54" s="360"/>
      <c r="O54" s="360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158"/>
      <c r="AF54" s="158"/>
      <c r="AG54" s="158"/>
    </row>
    <row r="55" spans="1:33" ht="12.75" customHeight="1" x14ac:dyDescent="0.3">
      <c r="A55" s="29" t="s">
        <v>675</v>
      </c>
      <c r="B55" s="29"/>
      <c r="C55" s="29"/>
      <c r="D55" s="29"/>
      <c r="E55" s="29"/>
      <c r="F55" s="29"/>
      <c r="G55" s="29" t="s">
        <v>1445</v>
      </c>
      <c r="H55" s="95" t="s">
        <v>812</v>
      </c>
      <c r="I55" s="443">
        <f>AREAland.C*0.000001</f>
        <v>3714410</v>
      </c>
      <c r="J55" s="177">
        <v>3714410</v>
      </c>
      <c r="K55" s="360">
        <v>3520000</v>
      </c>
      <c r="L55" s="360">
        <v>14626328.135358533</v>
      </c>
      <c r="M55" s="177">
        <v>14626328.135358533</v>
      </c>
      <c r="N55" s="177">
        <v>14626328.135358533</v>
      </c>
      <c r="O55" s="177">
        <v>14626328.135358533</v>
      </c>
      <c r="P55" s="177">
        <v>14626328.135358533</v>
      </c>
      <c r="Q55" s="177">
        <v>14626328.135358533</v>
      </c>
      <c r="R55" s="177">
        <v>14626328.135358533</v>
      </c>
      <c r="S55" s="177">
        <v>14626328.135358533</v>
      </c>
      <c r="T55" s="177">
        <v>14626328.135358533</v>
      </c>
      <c r="U55" s="177">
        <v>14626328.135358533</v>
      </c>
      <c r="V55" s="177">
        <v>14626328.135358533</v>
      </c>
      <c r="W55" s="177">
        <v>14626328.135358533</v>
      </c>
      <c r="X55" s="177">
        <v>14626328.135358533</v>
      </c>
      <c r="Y55" s="177">
        <v>14626328.135358533</v>
      </c>
      <c r="Z55" s="177">
        <v>14626328.135358533</v>
      </c>
      <c r="AA55" s="177">
        <v>14626328.135358533</v>
      </c>
      <c r="AB55" s="177">
        <v>14626328.135358533</v>
      </c>
      <c r="AC55" s="177"/>
      <c r="AD55" s="177"/>
      <c r="AE55" s="158"/>
      <c r="AF55" s="158"/>
      <c r="AG55" s="158"/>
    </row>
    <row r="56" spans="1:33" ht="12.75" customHeight="1" x14ac:dyDescent="0.3">
      <c r="A56" s="29" t="s">
        <v>676</v>
      </c>
      <c r="B56" s="29"/>
      <c r="C56" s="29"/>
      <c r="D56" s="29"/>
      <c r="E56" s="29"/>
      <c r="F56" s="29"/>
      <c r="G56" s="29" t="s">
        <v>1446</v>
      </c>
      <c r="H56" s="95" t="s">
        <v>812</v>
      </c>
      <c r="I56" s="443">
        <f>AREAsea.C*0.000001</f>
        <v>3714410</v>
      </c>
      <c r="J56" s="177">
        <v>3714410</v>
      </c>
      <c r="K56" s="360">
        <v>3520200</v>
      </c>
      <c r="L56" s="360">
        <v>538659.13535853324</v>
      </c>
      <c r="M56" s="177">
        <v>538659.13535853324</v>
      </c>
      <c r="N56" s="177">
        <v>538659.13535853324</v>
      </c>
      <c r="O56" s="177">
        <v>538659.13535853324</v>
      </c>
      <c r="P56" s="177">
        <v>538659.13535853324</v>
      </c>
      <c r="Q56" s="177">
        <v>538659.13535853324</v>
      </c>
      <c r="R56" s="177">
        <v>538659.13535853324</v>
      </c>
      <c r="S56" s="177">
        <v>538659.13535853324</v>
      </c>
      <c r="T56" s="177">
        <v>538659.13535853324</v>
      </c>
      <c r="U56" s="177">
        <v>538659.13535853324</v>
      </c>
      <c r="V56" s="177">
        <v>538659.13535853324</v>
      </c>
      <c r="W56" s="177">
        <v>538659.13535853324</v>
      </c>
      <c r="X56" s="177">
        <v>538659.13535853324</v>
      </c>
      <c r="Y56" s="177">
        <v>538659.13535853324</v>
      </c>
      <c r="Z56" s="177">
        <v>538659.13535853324</v>
      </c>
      <c r="AA56" s="177">
        <v>538659.13535853324</v>
      </c>
      <c r="AB56" s="177">
        <v>538659.13535853324</v>
      </c>
      <c r="AC56" s="177"/>
      <c r="AD56" s="177"/>
      <c r="AE56" s="158"/>
      <c r="AF56" s="158"/>
      <c r="AG56" s="158"/>
    </row>
    <row r="57" spans="1:33" ht="12.75" customHeight="1" x14ac:dyDescent="0.3">
      <c r="A57" s="29" t="s">
        <v>308</v>
      </c>
      <c r="B57" s="29"/>
      <c r="C57" s="29"/>
      <c r="D57" s="29"/>
      <c r="E57" s="29"/>
      <c r="F57" s="29"/>
      <c r="G57" s="29" t="s">
        <v>310</v>
      </c>
      <c r="H57" s="29" t="s">
        <v>486</v>
      </c>
      <c r="I57" s="443">
        <f>FRAClake.C</f>
        <v>2.5000000000000001E-3</v>
      </c>
      <c r="J57" s="177">
        <v>2.5000000000000001E-3</v>
      </c>
      <c r="K57" s="360">
        <v>1E-10</v>
      </c>
      <c r="L57" s="360">
        <v>9.9999999999999995E-21</v>
      </c>
      <c r="M57" s="360">
        <v>9.9999999999999995E-21</v>
      </c>
      <c r="N57" s="360">
        <v>9.9999999999999995E-21</v>
      </c>
      <c r="O57" s="360">
        <v>9.9999999999999995E-21</v>
      </c>
      <c r="P57" s="360">
        <v>9.9999999999999995E-21</v>
      </c>
      <c r="Q57" s="360">
        <v>9.9999999999999995E-21</v>
      </c>
      <c r="R57" s="360">
        <v>9.9999999999999995E-21</v>
      </c>
      <c r="S57" s="360">
        <v>9.9999999999999995E-21</v>
      </c>
      <c r="T57" s="360">
        <v>9.9999999999999995E-21</v>
      </c>
      <c r="U57" s="360">
        <v>9.9999999999999995E-21</v>
      </c>
      <c r="V57" s="360">
        <v>9.9999999999999995E-21</v>
      </c>
      <c r="W57" s="360">
        <v>9.9999999999999995E-21</v>
      </c>
      <c r="X57" s="360">
        <v>9.9999999999999995E-21</v>
      </c>
      <c r="Y57" s="360">
        <v>9.9999999999999995E-21</v>
      </c>
      <c r="Z57" s="360">
        <v>9.9999999999999995E-21</v>
      </c>
      <c r="AA57" s="360">
        <v>9.9999999999999995E-21</v>
      </c>
      <c r="AB57" s="360">
        <v>9.9999999999999995E-21</v>
      </c>
      <c r="AC57" s="177"/>
      <c r="AD57" s="177"/>
      <c r="AE57" s="158"/>
      <c r="AF57" s="158"/>
      <c r="AG57" s="158"/>
    </row>
    <row r="58" spans="1:33" ht="12.75" customHeight="1" x14ac:dyDescent="0.3">
      <c r="A58" s="29" t="s">
        <v>677</v>
      </c>
      <c r="B58" s="29"/>
      <c r="C58" s="29"/>
      <c r="D58" s="29"/>
      <c r="E58" s="29"/>
      <c r="F58" s="29"/>
      <c r="G58" s="29" t="s">
        <v>1422</v>
      </c>
      <c r="H58" s="29" t="s">
        <v>486</v>
      </c>
      <c r="I58" s="443">
        <f>FRACfresh.C</f>
        <v>2.75E-2</v>
      </c>
      <c r="J58" s="177">
        <f>0.03-J57</f>
        <v>2.75E-2</v>
      </c>
      <c r="K58" s="360">
        <v>0.03</v>
      </c>
      <c r="L58" s="360">
        <v>6.4747276579262464E-2</v>
      </c>
      <c r="M58" s="177">
        <v>6.4848427266887818E-2</v>
      </c>
      <c r="N58" s="177">
        <v>5.7637928198304024E-2</v>
      </c>
      <c r="O58" s="177">
        <v>6.9437776828176659E-2</v>
      </c>
      <c r="P58" s="177">
        <v>6.5186016905548552E-2</v>
      </c>
      <c r="Q58" s="177">
        <v>6.6493882209363905E-2</v>
      </c>
      <c r="R58" s="177">
        <v>6.805425934867651E-2</v>
      </c>
      <c r="S58" s="177">
        <v>7.5721845228295906E-2</v>
      </c>
      <c r="T58" s="177">
        <v>6.7653731826605973E-2</v>
      </c>
      <c r="U58" s="177">
        <v>6.4713230964292448E-2</v>
      </c>
      <c r="V58" s="177">
        <v>6.5456785050284086E-2</v>
      </c>
      <c r="W58" s="177">
        <v>5.8972646454182827E-2</v>
      </c>
      <c r="X58" s="177">
        <v>5.82665463812383E-2</v>
      </c>
      <c r="Y58" s="177">
        <v>6.1201103700987629E-2</v>
      </c>
      <c r="Z58" s="177">
        <v>6.3811372983097775E-2</v>
      </c>
      <c r="AA58" s="177">
        <v>6.6829805045069496E-2</v>
      </c>
      <c r="AB58" s="177">
        <v>6.8266872526332401E-2</v>
      </c>
      <c r="AC58" s="177"/>
      <c r="AD58" s="177"/>
      <c r="AE58" s="158"/>
      <c r="AF58" s="158"/>
      <c r="AG58" s="158"/>
    </row>
    <row r="59" spans="1:33" ht="12.75" customHeight="1" x14ac:dyDescent="0.3">
      <c r="A59" s="29" t="s">
        <v>678</v>
      </c>
      <c r="B59" s="29"/>
      <c r="C59" s="29"/>
      <c r="D59" s="29"/>
      <c r="E59" s="29"/>
      <c r="F59" s="29"/>
      <c r="G59" s="29" t="s">
        <v>1423</v>
      </c>
      <c r="H59" s="29" t="s">
        <v>486</v>
      </c>
      <c r="I59" s="443">
        <f>FRACnatsoil.C</f>
        <v>0.27</v>
      </c>
      <c r="J59" s="177">
        <v>0.27</v>
      </c>
      <c r="K59" s="360">
        <v>0.27</v>
      </c>
      <c r="L59" s="360">
        <v>0.59944715287347206</v>
      </c>
      <c r="M59" s="177">
        <v>0.59722497416155074</v>
      </c>
      <c r="N59" s="177">
        <v>0.61468463335042434</v>
      </c>
      <c r="O59" s="177">
        <v>0.64645676170366806</v>
      </c>
      <c r="P59" s="177">
        <v>0.59928238602115946</v>
      </c>
      <c r="Q59" s="177">
        <v>0.60061066487065429</v>
      </c>
      <c r="R59" s="177">
        <v>0.62682171905314432</v>
      </c>
      <c r="S59" s="177">
        <v>0.60342028217901855</v>
      </c>
      <c r="T59" s="177">
        <v>0.59518736408162431</v>
      </c>
      <c r="U59" s="177">
        <v>0.58964781283544321</v>
      </c>
      <c r="V59" s="177">
        <v>0.59642812029604508</v>
      </c>
      <c r="W59" s="177">
        <v>0.56729845279501279</v>
      </c>
      <c r="X59" s="177">
        <v>0.58296619103286884</v>
      </c>
      <c r="Y59" s="177">
        <v>0.59255905445118817</v>
      </c>
      <c r="Z59" s="177">
        <v>0.60375138952332763</v>
      </c>
      <c r="AA59" s="177">
        <v>0.59677928405756331</v>
      </c>
      <c r="AB59" s="177">
        <v>0.57411479387060749</v>
      </c>
      <c r="AC59" s="177"/>
      <c r="AD59" s="177"/>
      <c r="AE59" s="158"/>
      <c r="AF59" s="158"/>
      <c r="AG59" s="158"/>
    </row>
    <row r="60" spans="1:33" ht="12.75" customHeight="1" x14ac:dyDescent="0.3">
      <c r="A60" s="29" t="s">
        <v>679</v>
      </c>
      <c r="B60" s="29"/>
      <c r="C60" s="29"/>
      <c r="D60" s="29"/>
      <c r="E60" s="29"/>
      <c r="F60" s="29"/>
      <c r="G60" s="29" t="s">
        <v>1340</v>
      </c>
      <c r="H60" s="29" t="s">
        <v>486</v>
      </c>
      <c r="I60" s="443">
        <f>FRACagsoil.C</f>
        <v>0.6</v>
      </c>
      <c r="J60" s="177">
        <v>0.6</v>
      </c>
      <c r="K60" s="360">
        <v>0.6</v>
      </c>
      <c r="L60" s="360">
        <v>0.31712025106487396</v>
      </c>
      <c r="M60" s="177">
        <v>0.31841879922565347</v>
      </c>
      <c r="N60" s="177">
        <v>0.30894941485849348</v>
      </c>
      <c r="O60" s="177">
        <v>0.26454352986204238</v>
      </c>
      <c r="P60" s="177">
        <v>0.31797206873453138</v>
      </c>
      <c r="Q60" s="177">
        <v>0.31301037205880955</v>
      </c>
      <c r="R60" s="177">
        <v>0.28513759318401649</v>
      </c>
      <c r="S60" s="177">
        <v>0.29790967065575452</v>
      </c>
      <c r="T60" s="177">
        <v>0.31765831053599775</v>
      </c>
      <c r="U60" s="177">
        <v>0.32472750600275957</v>
      </c>
      <c r="V60" s="177">
        <v>0.31768441119730895</v>
      </c>
      <c r="W60" s="177">
        <v>0.35146199214020074</v>
      </c>
      <c r="X60" s="177">
        <v>0.337308486286585</v>
      </c>
      <c r="Y60" s="177">
        <v>0.32496277774074039</v>
      </c>
      <c r="Z60" s="177">
        <v>0.31115072783486758</v>
      </c>
      <c r="AA60" s="177">
        <v>0.31527309485207644</v>
      </c>
      <c r="AB60" s="177">
        <v>0.33612016446251652</v>
      </c>
      <c r="AC60" s="177"/>
      <c r="AD60" s="177"/>
      <c r="AE60" s="158"/>
      <c r="AF60" s="158"/>
      <c r="AG60" s="158"/>
    </row>
    <row r="61" spans="1:33" ht="12.75" customHeight="1" x14ac:dyDescent="0.3">
      <c r="A61" s="29" t="s">
        <v>680</v>
      </c>
      <c r="B61" s="29"/>
      <c r="C61" s="29"/>
      <c r="D61" s="29"/>
      <c r="E61" s="29"/>
      <c r="F61" s="29"/>
      <c r="G61" s="29" t="s">
        <v>1341</v>
      </c>
      <c r="H61" s="29" t="s">
        <v>486</v>
      </c>
      <c r="I61" s="443">
        <f>FRACothersoil.C</f>
        <v>0.1</v>
      </c>
      <c r="J61" s="177">
        <v>0.1</v>
      </c>
      <c r="K61" s="360">
        <v>0.1</v>
      </c>
      <c r="L61" s="360">
        <v>1.7101501318436053E-2</v>
      </c>
      <c r="M61" s="177">
        <v>1.7934983389568341E-2</v>
      </c>
      <c r="N61" s="177">
        <v>1.70846780061325E-2</v>
      </c>
      <c r="O61" s="177">
        <v>1.9561931606112842E-2</v>
      </c>
      <c r="P61" s="177">
        <v>1.5921714246694103E-2</v>
      </c>
      <c r="Q61" s="177">
        <v>1.8278718566572146E-2</v>
      </c>
      <c r="R61" s="177">
        <v>1.8297508036353924E-2</v>
      </c>
      <c r="S61" s="177">
        <v>2.1102926230915704E-2</v>
      </c>
      <c r="T61" s="177">
        <v>1.7849126105684933E-2</v>
      </c>
      <c r="U61" s="177">
        <v>1.9313184487406022E-2</v>
      </c>
      <c r="V61" s="177">
        <v>1.8863499233363883E-2</v>
      </c>
      <c r="W61" s="177">
        <v>2.0523813087650635E-2</v>
      </c>
      <c r="X61" s="177">
        <v>1.9778064490994497E-2</v>
      </c>
      <c r="Y61" s="177">
        <v>1.9649950258603648E-2</v>
      </c>
      <c r="Z61" s="177">
        <v>1.9659003582370667E-2</v>
      </c>
      <c r="AA61" s="177">
        <v>1.9488999315721543E-2</v>
      </c>
      <c r="AB61" s="177">
        <v>1.9834293946998434E-2</v>
      </c>
      <c r="AC61" s="177"/>
      <c r="AD61" s="177"/>
      <c r="AE61" s="158"/>
      <c r="AF61" s="158"/>
      <c r="AG61" s="158"/>
    </row>
    <row r="62" spans="1:33" ht="12.75" customHeight="1" x14ac:dyDescent="0.3">
      <c r="A62" s="29" t="s">
        <v>988</v>
      </c>
      <c r="B62" s="29"/>
      <c r="C62" s="29"/>
      <c r="D62" s="29"/>
      <c r="E62" s="29"/>
      <c r="F62" s="29"/>
      <c r="G62" s="29" t="s">
        <v>1108</v>
      </c>
      <c r="H62" s="29" t="s">
        <v>813</v>
      </c>
      <c r="I62" s="443">
        <f>TEMP.C-273</f>
        <v>12</v>
      </c>
      <c r="J62" s="177">
        <v>12</v>
      </c>
      <c r="K62" s="360">
        <v>12</v>
      </c>
      <c r="L62" s="360">
        <v>7.2891589080413182</v>
      </c>
      <c r="M62" s="177">
        <v>7.3831854046438661</v>
      </c>
      <c r="N62" s="177">
        <v>7.3048752565008863</v>
      </c>
      <c r="O62" s="177">
        <v>7.1794112316150818</v>
      </c>
      <c r="P62" s="177">
        <v>6.8504892454781023</v>
      </c>
      <c r="Q62" s="177">
        <v>7.0729113048292476</v>
      </c>
      <c r="R62" s="177">
        <v>6.4118670613762445</v>
      </c>
      <c r="S62" s="177">
        <v>6.7124292059112962</v>
      </c>
      <c r="T62" s="177">
        <v>6.9980586704989483</v>
      </c>
      <c r="U62" s="177">
        <v>7.5990305962961386</v>
      </c>
      <c r="V62" s="177">
        <v>7.389386827841717</v>
      </c>
      <c r="W62" s="177">
        <v>8.4186693917222044</v>
      </c>
      <c r="X62" s="177">
        <v>7.9389316773696743</v>
      </c>
      <c r="Y62" s="177">
        <v>7.8304094864379472</v>
      </c>
      <c r="Z62" s="177">
        <v>7.718579240388868</v>
      </c>
      <c r="AA62" s="177">
        <v>7.6167790583195876</v>
      </c>
      <c r="AB62" s="177">
        <v>7.5608354567986797</v>
      </c>
      <c r="AC62" s="177"/>
      <c r="AD62" s="177"/>
      <c r="AE62" s="158"/>
      <c r="AF62" s="158"/>
      <c r="AG62" s="158"/>
    </row>
    <row r="63" spans="1:33" ht="12.75" customHeight="1" x14ac:dyDescent="0.3">
      <c r="A63" s="29" t="s">
        <v>989</v>
      </c>
      <c r="B63" s="29"/>
      <c r="C63" s="29"/>
      <c r="D63" s="29"/>
      <c r="E63" s="29"/>
      <c r="F63" s="29"/>
      <c r="G63" s="29" t="s">
        <v>787</v>
      </c>
      <c r="H63" s="29" t="s">
        <v>277</v>
      </c>
      <c r="I63" s="443">
        <f>WINDspeed.C</f>
        <v>3</v>
      </c>
      <c r="J63" s="177">
        <v>3</v>
      </c>
      <c r="K63" s="360">
        <v>3</v>
      </c>
      <c r="L63" s="360">
        <v>3.4839797703975917</v>
      </c>
      <c r="M63" s="177">
        <v>3.4726076840296005</v>
      </c>
      <c r="N63" s="177">
        <v>3.4886862428774439</v>
      </c>
      <c r="O63" s="177">
        <v>3.4791643055930335</v>
      </c>
      <c r="P63" s="177">
        <v>3.522756446720531</v>
      </c>
      <c r="Q63" s="177">
        <v>3.5142677601272516</v>
      </c>
      <c r="R63" s="177">
        <v>3.4883955850831754</v>
      </c>
      <c r="S63" s="177">
        <v>3.5251056089381483</v>
      </c>
      <c r="T63" s="177">
        <v>3.5437628946705337</v>
      </c>
      <c r="U63" s="177">
        <v>3.4439676153804877</v>
      </c>
      <c r="V63" s="177">
        <v>3.4688574987079974</v>
      </c>
      <c r="W63" s="177">
        <v>3.3937747402062706</v>
      </c>
      <c r="X63" s="177">
        <v>3.4570444403280476</v>
      </c>
      <c r="Y63" s="177">
        <v>3.4461892988646396</v>
      </c>
      <c r="Z63" s="177">
        <v>3.4554635393318831</v>
      </c>
      <c r="AA63" s="177">
        <v>3.4698433322464375</v>
      </c>
      <c r="AB63" s="177">
        <v>3.4803494233429437</v>
      </c>
      <c r="AC63" s="177"/>
      <c r="AD63" s="177"/>
      <c r="AE63" s="158"/>
      <c r="AF63" s="158"/>
      <c r="AG63" s="158"/>
    </row>
    <row r="64" spans="1:33" ht="12.75" customHeight="1" x14ac:dyDescent="0.3">
      <c r="A64" s="29" t="s">
        <v>992</v>
      </c>
      <c r="B64" s="29"/>
      <c r="C64" s="29"/>
      <c r="D64" s="29"/>
      <c r="E64" s="29"/>
      <c r="F64" s="29"/>
      <c r="G64" s="29" t="s">
        <v>1063</v>
      </c>
      <c r="H64" s="29" t="s">
        <v>814</v>
      </c>
      <c r="I64" s="443">
        <f>RAINrate.C*1000*(3600*24*365)</f>
        <v>700</v>
      </c>
      <c r="J64" s="177">
        <v>700</v>
      </c>
      <c r="K64" s="360">
        <v>700</v>
      </c>
      <c r="L64" s="360">
        <v>776.30276892048266</v>
      </c>
      <c r="M64" s="177">
        <v>776.56189242127164</v>
      </c>
      <c r="N64" s="177">
        <v>758.50448467540082</v>
      </c>
      <c r="O64" s="177">
        <v>744.13229181368627</v>
      </c>
      <c r="P64" s="177">
        <v>761.8937329344518</v>
      </c>
      <c r="Q64" s="177">
        <v>761.36341449084182</v>
      </c>
      <c r="R64" s="177">
        <v>772.84861531333206</v>
      </c>
      <c r="S64" s="177">
        <v>870.76842197957023</v>
      </c>
      <c r="T64" s="177">
        <v>786.79570291857806</v>
      </c>
      <c r="U64" s="177">
        <v>773.80044009356982</v>
      </c>
      <c r="V64" s="177">
        <v>776.83844967346033</v>
      </c>
      <c r="W64" s="177">
        <v>769.47710588979146</v>
      </c>
      <c r="X64" s="177">
        <v>784.51349559189282</v>
      </c>
      <c r="Y64" s="177">
        <v>795.15631443659345</v>
      </c>
      <c r="Z64" s="177">
        <v>798.48124803740677</v>
      </c>
      <c r="AA64" s="177">
        <v>797.61955125743964</v>
      </c>
      <c r="AB64" s="177">
        <v>783.56190537528119</v>
      </c>
      <c r="AC64" s="177"/>
      <c r="AD64" s="177"/>
      <c r="AE64" s="158"/>
      <c r="AF64" s="158"/>
      <c r="AG64" s="158"/>
    </row>
    <row r="65" spans="1:33" ht="12.75" customHeight="1" x14ac:dyDescent="0.3">
      <c r="A65" s="29" t="s">
        <v>311</v>
      </c>
      <c r="B65" s="29"/>
      <c r="C65" s="29"/>
      <c r="D65" s="29"/>
      <c r="E65" s="29"/>
      <c r="F65" s="29"/>
      <c r="G65" s="29" t="s">
        <v>313</v>
      </c>
      <c r="H65" s="29" t="s">
        <v>720</v>
      </c>
      <c r="I65" s="443">
        <f>DEPTHlake.C</f>
        <v>100</v>
      </c>
      <c r="J65" s="177">
        <v>100</v>
      </c>
      <c r="K65" s="360">
        <v>1E-10</v>
      </c>
      <c r="L65" s="360">
        <v>9.9999999999999995E-21</v>
      </c>
      <c r="M65" s="360">
        <v>9.9999999999999995E-21</v>
      </c>
      <c r="N65" s="360">
        <v>9.9999999999999995E-21</v>
      </c>
      <c r="O65" s="360">
        <v>9.9999999999999995E-21</v>
      </c>
      <c r="P65" s="360">
        <v>9.9999999999999995E-21</v>
      </c>
      <c r="Q65" s="360">
        <v>9.9999999999999995E-21</v>
      </c>
      <c r="R65" s="360">
        <v>9.9999999999999995E-21</v>
      </c>
      <c r="S65" s="360">
        <v>9.9999999999999995E-21</v>
      </c>
      <c r="T65" s="360">
        <v>9.9999999999999995E-21</v>
      </c>
      <c r="U65" s="360">
        <v>9.9999999999999995E-21</v>
      </c>
      <c r="V65" s="360">
        <v>9.9999999999999995E-21</v>
      </c>
      <c r="W65" s="360">
        <v>9.9999999999999995E-21</v>
      </c>
      <c r="X65" s="360">
        <v>9.9999999999999995E-21</v>
      </c>
      <c r="Y65" s="360">
        <v>9.9999999999999995E-21</v>
      </c>
      <c r="Z65" s="360">
        <v>9.9999999999999995E-21</v>
      </c>
      <c r="AA65" s="360">
        <v>9.9999999999999995E-21</v>
      </c>
      <c r="AB65" s="360">
        <v>9.9999999999999995E-21</v>
      </c>
      <c r="AC65" s="177"/>
      <c r="AD65" s="177"/>
      <c r="AE65" s="158"/>
      <c r="AF65" s="158"/>
      <c r="AG65" s="158"/>
    </row>
    <row r="66" spans="1:33" ht="12.75" customHeight="1" x14ac:dyDescent="0.3">
      <c r="A66" s="29" t="s">
        <v>993</v>
      </c>
      <c r="B66" s="29"/>
      <c r="C66" s="29"/>
      <c r="D66" s="29"/>
      <c r="E66" s="29"/>
      <c r="F66" s="29"/>
      <c r="G66" s="29" t="s">
        <v>1342</v>
      </c>
      <c r="H66" s="29" t="s">
        <v>720</v>
      </c>
      <c r="I66" s="443">
        <f>DEPTHfreshwater.C</f>
        <v>3</v>
      </c>
      <c r="J66" s="177">
        <v>3</v>
      </c>
      <c r="K66" s="360">
        <v>3</v>
      </c>
      <c r="L66" s="360">
        <v>9.9999999999999995E-21</v>
      </c>
      <c r="M66" s="360">
        <v>9.9999999999999995E-21</v>
      </c>
      <c r="N66" s="360">
        <v>9.9999999999999995E-21</v>
      </c>
      <c r="O66" s="360">
        <v>9.9999999999999995E-21</v>
      </c>
      <c r="P66" s="360">
        <v>9.9999999999999995E-21</v>
      </c>
      <c r="Q66" s="360">
        <v>9.9999999999999995E-21</v>
      </c>
      <c r="R66" s="360">
        <v>9.9999999999999995E-21</v>
      </c>
      <c r="S66" s="360">
        <v>9.9999999999999995E-21</v>
      </c>
      <c r="T66" s="360">
        <v>9.9999999999999995E-21</v>
      </c>
      <c r="U66" s="360">
        <v>9.9999999999999995E-21</v>
      </c>
      <c r="V66" s="360">
        <v>9.9999999999999995E-21</v>
      </c>
      <c r="W66" s="360">
        <v>9.9999999999999995E-21</v>
      </c>
      <c r="X66" s="360">
        <v>9.9999999999999995E-21</v>
      </c>
      <c r="Y66" s="360">
        <v>9.9999999999999995E-21</v>
      </c>
      <c r="Z66" s="360">
        <v>9.9999999999999995E-21</v>
      </c>
      <c r="AA66" s="360">
        <v>9.9999999999999995E-21</v>
      </c>
      <c r="AB66" s="360">
        <v>9.9999999999999995E-21</v>
      </c>
      <c r="AC66" s="177"/>
      <c r="AD66" s="177"/>
      <c r="AE66" s="158"/>
      <c r="AF66" s="158"/>
      <c r="AG66" s="158"/>
    </row>
    <row r="67" spans="1:33" ht="12.75" customHeight="1" x14ac:dyDescent="0.3">
      <c r="A67" s="29" t="s">
        <v>3</v>
      </c>
      <c r="B67" s="29"/>
      <c r="C67" s="29"/>
      <c r="D67" s="29"/>
      <c r="E67" s="29"/>
      <c r="F67" s="29"/>
      <c r="G67" s="29" t="s">
        <v>1234</v>
      </c>
      <c r="H67" s="29" t="s">
        <v>486</v>
      </c>
      <c r="I67" s="443">
        <f>FRAC.w1C.w1R</f>
        <v>0</v>
      </c>
      <c r="J67" s="177">
        <v>0</v>
      </c>
      <c r="K67" s="360">
        <v>3.4000000000000002E-2</v>
      </c>
      <c r="L67" s="360">
        <v>2.1814301056646525E-2</v>
      </c>
      <c r="M67" s="177">
        <v>0</v>
      </c>
      <c r="N67" s="177">
        <v>0</v>
      </c>
      <c r="O67" s="177">
        <v>4.83747337064948E-3</v>
      </c>
      <c r="P67" s="177">
        <v>1.3184391555402485E-3</v>
      </c>
      <c r="Q67" s="177">
        <v>6.6691816193702985E-2</v>
      </c>
      <c r="R67" s="177">
        <v>0.15830879856937888</v>
      </c>
      <c r="S67" s="177">
        <v>0</v>
      </c>
      <c r="T67" s="177">
        <v>4.5319563249860563E-2</v>
      </c>
      <c r="U67" s="177">
        <v>0</v>
      </c>
      <c r="V67" s="177">
        <v>0</v>
      </c>
      <c r="W67" s="177">
        <v>4.8958627341624546E-2</v>
      </c>
      <c r="X67" s="177">
        <v>0</v>
      </c>
      <c r="Y67" s="177">
        <v>1.6546758246488581E-2</v>
      </c>
      <c r="Z67" s="177">
        <v>3.240137475339975E-3</v>
      </c>
      <c r="AA67" s="177">
        <v>1.0795228729033286E-2</v>
      </c>
      <c r="AB67" s="177">
        <v>0</v>
      </c>
      <c r="AC67" s="177"/>
      <c r="AD67" s="177"/>
      <c r="AE67" s="158"/>
      <c r="AF67" s="158"/>
      <c r="AG67" s="158"/>
    </row>
    <row r="68" spans="1:33" ht="12.75" customHeight="1" x14ac:dyDescent="0.3">
      <c r="A68" s="29" t="s">
        <v>991</v>
      </c>
      <c r="B68" s="29"/>
      <c r="C68" s="29"/>
      <c r="D68" s="29"/>
      <c r="E68" s="29"/>
      <c r="F68" s="29"/>
      <c r="G68" s="29" t="s">
        <v>1344</v>
      </c>
      <c r="H68" s="29" t="s">
        <v>486</v>
      </c>
      <c r="I68" s="443">
        <f>FRACrun.C</f>
        <v>0.25</v>
      </c>
      <c r="J68" s="360">
        <v>0.25</v>
      </c>
      <c r="K68" s="360">
        <v>0.25</v>
      </c>
      <c r="L68" s="360">
        <v>0.36869234536481382</v>
      </c>
      <c r="M68" s="177">
        <v>0.36906904527941203</v>
      </c>
      <c r="N68" s="177">
        <v>0.36991200493046139</v>
      </c>
      <c r="O68" s="177">
        <v>0.4002772955312347</v>
      </c>
      <c r="P68" s="177">
        <v>0.36921303541574901</v>
      </c>
      <c r="Q68" s="177">
        <v>0.36811707989568226</v>
      </c>
      <c r="R68" s="177">
        <v>0.38328983919153892</v>
      </c>
      <c r="S68" s="177">
        <v>0.39306813609257818</v>
      </c>
      <c r="T68" s="177">
        <v>0.36005873849428432</v>
      </c>
      <c r="U68" s="177">
        <v>0.35926357369592182</v>
      </c>
      <c r="V68" s="177">
        <v>0.36617229008439778</v>
      </c>
      <c r="W68" s="177">
        <v>0.33662406489877322</v>
      </c>
      <c r="X68" s="177">
        <v>0.36545409491696412</v>
      </c>
      <c r="Y68" s="177">
        <v>0.37151220987193007</v>
      </c>
      <c r="Z68" s="177">
        <v>0.37489829120766338</v>
      </c>
      <c r="AA68" s="177">
        <v>0.37562215538674676</v>
      </c>
      <c r="AB68" s="177">
        <v>0.33490584645562027</v>
      </c>
      <c r="AC68" s="177"/>
      <c r="AD68" s="177"/>
      <c r="AE68" s="158"/>
      <c r="AF68" s="158"/>
      <c r="AG68" s="158"/>
    </row>
    <row r="69" spans="1:33" ht="12.75" customHeight="1" x14ac:dyDescent="0.3">
      <c r="A69" s="29" t="s">
        <v>990</v>
      </c>
      <c r="B69" s="29"/>
      <c r="C69" s="29"/>
      <c r="D69" s="29"/>
      <c r="E69" s="29"/>
      <c r="F69" s="29"/>
      <c r="G69" s="29" t="s">
        <v>1343</v>
      </c>
      <c r="H69" s="29" t="s">
        <v>486</v>
      </c>
      <c r="I69" s="443">
        <f>FRACinf.C</f>
        <v>0.25</v>
      </c>
      <c r="J69" s="360">
        <v>0.25</v>
      </c>
      <c r="K69" s="360">
        <v>0.25</v>
      </c>
      <c r="L69" s="360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58"/>
      <c r="AF69" s="158"/>
      <c r="AG69" s="158"/>
    </row>
    <row r="70" spans="1:33" ht="12.75" customHeight="1" x14ac:dyDescent="0.3">
      <c r="A70" s="29" t="s">
        <v>994</v>
      </c>
      <c r="B70" s="29"/>
      <c r="C70" s="29"/>
      <c r="D70" s="29"/>
      <c r="E70" s="29"/>
      <c r="F70" s="29"/>
      <c r="G70" s="29" t="s">
        <v>1345</v>
      </c>
      <c r="H70" s="29" t="s">
        <v>814</v>
      </c>
      <c r="I70" s="443">
        <f>EROSION.C*1000*(3600*24*365)</f>
        <v>0.03</v>
      </c>
      <c r="J70" s="177">
        <v>0.03</v>
      </c>
      <c r="K70" s="360">
        <v>0.03</v>
      </c>
      <c r="L70" s="360">
        <v>4.2168082472699639E-2</v>
      </c>
      <c r="M70" s="177">
        <v>4.2169276721112245E-2</v>
      </c>
      <c r="N70" s="177">
        <v>3.9935029554221943E-2</v>
      </c>
      <c r="O70" s="177">
        <v>3.9527837871795257E-2</v>
      </c>
      <c r="P70" s="177">
        <v>4.2725270061327328E-2</v>
      </c>
      <c r="Q70" s="177">
        <v>4.201307418798883E-2</v>
      </c>
      <c r="R70" s="177">
        <v>4.2285177230482411E-2</v>
      </c>
      <c r="S70" s="177">
        <v>4.0486328984666968E-2</v>
      </c>
      <c r="T70" s="177">
        <v>4.3373341680210384E-2</v>
      </c>
      <c r="U70" s="177">
        <v>4.3074918543747898E-2</v>
      </c>
      <c r="V70" s="177">
        <v>4.2096409468940763E-2</v>
      </c>
      <c r="W70" s="177">
        <v>4.62283254515609E-2</v>
      </c>
      <c r="X70" s="177">
        <v>4.4005705673915291E-2</v>
      </c>
      <c r="Y70" s="177">
        <v>4.396315746806715E-2</v>
      </c>
      <c r="Z70" s="177">
        <v>4.3891795964559471E-2</v>
      </c>
      <c r="AA70" s="177">
        <v>4.2607196542145662E-2</v>
      </c>
      <c r="AB70" s="177">
        <v>3.6217660309841512E-2</v>
      </c>
      <c r="AC70" s="177"/>
      <c r="AD70" s="177"/>
      <c r="AE70" s="158"/>
      <c r="AF70" s="158"/>
      <c r="AG70" s="158"/>
    </row>
    <row r="71" spans="1:33" ht="14.4" thickBot="1" x14ac:dyDescent="0.35">
      <c r="A71" s="38"/>
      <c r="B71" s="39"/>
      <c r="C71" s="39"/>
      <c r="D71" s="39"/>
      <c r="E71" s="39"/>
      <c r="F71" s="39"/>
      <c r="G71" s="38"/>
      <c r="H71" s="38"/>
      <c r="I71" s="362"/>
      <c r="J71" s="362"/>
      <c r="K71" s="362"/>
      <c r="L71" s="445"/>
      <c r="M71" s="362"/>
      <c r="N71" s="362"/>
      <c r="O71" s="362"/>
      <c r="P71" s="362"/>
      <c r="Q71" s="362"/>
      <c r="R71" s="362"/>
      <c r="S71" s="362"/>
      <c r="T71" s="362"/>
      <c r="U71" s="362"/>
      <c r="V71" s="362"/>
      <c r="W71" s="362"/>
      <c r="X71" s="362"/>
      <c r="Y71" s="362"/>
      <c r="Z71" s="362"/>
      <c r="AA71" s="362"/>
      <c r="AB71" s="362"/>
      <c r="AC71" s="362"/>
      <c r="AD71" s="362"/>
      <c r="AE71" s="446"/>
      <c r="AF71" s="446"/>
      <c r="AG71" s="158"/>
    </row>
    <row r="72" spans="1:33" x14ac:dyDescent="0.3">
      <c r="A72" s="29"/>
      <c r="B72" s="29"/>
      <c r="C72" s="29"/>
      <c r="D72" s="29"/>
      <c r="E72" s="29"/>
      <c r="F72" s="29"/>
      <c r="G72" s="36"/>
      <c r="H72" s="36"/>
      <c r="I72" s="325"/>
      <c r="J72" s="360"/>
      <c r="K72" s="360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58"/>
      <c r="AF72" s="158"/>
      <c r="AG72" s="158"/>
    </row>
  </sheetData>
  <phoneticPr fontId="5" type="noConversion"/>
  <conditionalFormatting sqref="I7:AF71">
    <cfRule type="cellIs" dxfId="108" priority="1" operator="equal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/>
  <dimension ref="A1:Y1018"/>
  <sheetViews>
    <sheetView zoomScaleNormal="100" workbookViewId="0">
      <pane xSplit="7" ySplit="3" topLeftCell="H1009" activePane="bottomRight" state="frozen"/>
      <selection pane="topRight" activeCell="H1" sqref="H1"/>
      <selection pane="bottomLeft" activeCell="A4" sqref="A4"/>
      <selection pane="bottomRight" activeCell="I148" sqref="I148"/>
    </sheetView>
  </sheetViews>
  <sheetFormatPr defaultColWidth="9.109375" defaultRowHeight="12.75" customHeight="1" x14ac:dyDescent="0.3"/>
  <cols>
    <col min="1" max="5" width="1.6640625" customWidth="1"/>
    <col min="6" max="6" width="60.6640625" customWidth="1"/>
    <col min="7" max="7" width="22.6640625" style="79" customWidth="1"/>
    <col min="8" max="8" width="10.6640625" style="79" customWidth="1"/>
    <col min="9" max="9" width="9.109375" style="527" customWidth="1"/>
    <col min="10" max="12" width="9.109375" style="429" customWidth="1"/>
    <col min="13" max="17" width="9.109375" style="179" customWidth="1"/>
    <col min="18" max="18" width="3.109375" customWidth="1"/>
    <col min="19" max="16384" width="9.109375" style="18"/>
  </cols>
  <sheetData>
    <row r="1" spans="1:18" ht="12.75" customHeight="1" x14ac:dyDescent="0.3">
      <c r="A1" s="474" t="s">
        <v>1215</v>
      </c>
      <c r="B1" s="29"/>
      <c r="C1" s="29"/>
      <c r="D1" s="29"/>
      <c r="E1" s="29"/>
      <c r="F1" s="29"/>
      <c r="G1" s="29"/>
      <c r="H1" s="36"/>
      <c r="I1" s="519"/>
      <c r="J1" s="342"/>
      <c r="K1" s="342"/>
      <c r="L1" s="342"/>
      <c r="M1" s="360"/>
      <c r="N1" s="360"/>
      <c r="O1" s="360"/>
      <c r="P1" s="360"/>
      <c r="Q1" s="360"/>
      <c r="R1" s="158"/>
    </row>
    <row r="2" spans="1:18" ht="12.75" customHeight="1" thickBot="1" x14ac:dyDescent="0.35">
      <c r="A2" s="20"/>
      <c r="B2" s="29"/>
      <c r="C2" s="29"/>
      <c r="D2" s="29"/>
      <c r="E2" s="29"/>
      <c r="F2" s="29"/>
      <c r="G2" s="29"/>
      <c r="H2" s="36"/>
      <c r="I2" s="519"/>
      <c r="J2" s="426"/>
      <c r="K2" s="426"/>
      <c r="L2" s="426"/>
      <c r="M2" s="420"/>
      <c r="N2" s="420"/>
      <c r="O2" s="420"/>
      <c r="P2" s="420"/>
      <c r="Q2" s="420"/>
      <c r="R2" s="158"/>
    </row>
    <row r="3" spans="1:18" ht="26.4" customHeight="1" x14ac:dyDescent="0.3">
      <c r="A3" s="132"/>
      <c r="B3" s="132"/>
      <c r="C3" s="132"/>
      <c r="D3" s="132"/>
      <c r="E3" s="132"/>
      <c r="F3" s="132"/>
      <c r="G3" s="626" t="s">
        <v>1008</v>
      </c>
      <c r="H3" s="132" t="s">
        <v>968</v>
      </c>
      <c r="I3" s="520" t="s">
        <v>2190</v>
      </c>
      <c r="J3" s="427" t="s">
        <v>2198</v>
      </c>
      <c r="K3" s="427" t="s">
        <v>3921</v>
      </c>
      <c r="L3" s="427" t="s">
        <v>2200</v>
      </c>
      <c r="M3" s="422" t="s">
        <v>2202</v>
      </c>
      <c r="N3" s="422" t="s">
        <v>2205</v>
      </c>
      <c r="O3" s="422" t="s">
        <v>2203</v>
      </c>
      <c r="P3" s="422" t="s">
        <v>2204</v>
      </c>
      <c r="Q3" s="422" t="s">
        <v>2206</v>
      </c>
      <c r="R3" s="158"/>
    </row>
    <row r="4" spans="1:18" ht="12.75" customHeight="1" x14ac:dyDescent="0.3">
      <c r="A4" s="92"/>
      <c r="B4" s="92"/>
      <c r="C4" s="92"/>
      <c r="D4" s="92"/>
      <c r="E4" s="92"/>
      <c r="F4" s="92"/>
      <c r="G4" s="93"/>
      <c r="H4" s="133"/>
      <c r="I4" s="519"/>
      <c r="J4" s="428"/>
      <c r="K4" s="428"/>
      <c r="L4" s="432"/>
      <c r="M4" s="421"/>
      <c r="N4" s="421"/>
      <c r="O4" s="421"/>
      <c r="P4" s="421"/>
      <c r="Q4" s="421"/>
      <c r="R4" s="158"/>
    </row>
    <row r="5" spans="1:18" ht="26.4" customHeight="1" x14ac:dyDescent="0.3">
      <c r="A5" s="92" t="s">
        <v>1360</v>
      </c>
      <c r="B5" s="92"/>
      <c r="C5" s="92"/>
      <c r="D5" s="92"/>
      <c r="E5" s="92"/>
      <c r="F5" s="92"/>
      <c r="G5" s="93" t="s">
        <v>694</v>
      </c>
      <c r="H5" s="133"/>
      <c r="I5" s="521"/>
      <c r="J5" s="448"/>
      <c r="K5" s="448"/>
      <c r="L5" s="448"/>
      <c r="M5" s="449"/>
      <c r="N5" s="449"/>
      <c r="O5" s="449"/>
      <c r="P5" s="449"/>
      <c r="Q5" s="449"/>
      <c r="R5" s="158"/>
    </row>
    <row r="6" spans="1:18" ht="12.75" customHeight="1" x14ac:dyDescent="0.3">
      <c r="A6" s="36"/>
      <c r="B6" s="36"/>
      <c r="C6" s="174"/>
      <c r="D6" s="174"/>
      <c r="E6" s="174"/>
      <c r="F6" s="174"/>
      <c r="G6" s="36" t="s">
        <v>2013</v>
      </c>
      <c r="H6" s="399"/>
      <c r="I6" s="521"/>
      <c r="J6" s="450"/>
      <c r="K6" s="450"/>
      <c r="L6" s="450"/>
      <c r="M6" s="451"/>
      <c r="N6" s="451"/>
      <c r="O6" s="451"/>
      <c r="P6" s="451"/>
      <c r="Q6" s="451"/>
      <c r="R6" s="158"/>
    </row>
    <row r="7" spans="1:18" ht="12.75" customHeight="1" x14ac:dyDescent="0.3">
      <c r="A7" s="36"/>
      <c r="B7" s="29"/>
      <c r="C7" s="29"/>
      <c r="D7" s="29"/>
      <c r="E7" s="29"/>
      <c r="F7" s="29"/>
      <c r="G7" s="93"/>
      <c r="H7" s="133"/>
      <c r="I7" s="521"/>
      <c r="J7" s="448"/>
      <c r="K7" s="448"/>
      <c r="L7" s="450"/>
      <c r="M7" s="451"/>
      <c r="N7" s="451"/>
      <c r="O7" s="451"/>
      <c r="P7" s="451"/>
      <c r="Q7" s="451"/>
      <c r="R7" s="158"/>
    </row>
    <row r="8" spans="1:18" ht="26.4" customHeight="1" x14ac:dyDescent="0.3">
      <c r="A8" s="92" t="s">
        <v>809</v>
      </c>
      <c r="B8" s="92"/>
      <c r="C8" s="92"/>
      <c r="D8" s="92"/>
      <c r="E8" s="92"/>
      <c r="F8" s="92"/>
      <c r="G8" s="93" t="s">
        <v>1100</v>
      </c>
      <c r="H8" s="133"/>
      <c r="I8" s="521"/>
      <c r="J8" s="448"/>
      <c r="K8" s="448"/>
      <c r="L8" s="448"/>
      <c r="M8" s="449"/>
      <c r="N8" s="449"/>
      <c r="O8" s="449"/>
      <c r="P8" s="449"/>
      <c r="Q8" s="449"/>
      <c r="R8" s="158"/>
    </row>
    <row r="9" spans="1:18" ht="12.75" customHeight="1" x14ac:dyDescent="0.3">
      <c r="A9" s="92"/>
      <c r="B9" s="92"/>
      <c r="C9" s="92"/>
      <c r="D9" s="92"/>
      <c r="E9" s="92"/>
      <c r="F9" s="92"/>
      <c r="G9" s="93"/>
      <c r="H9" s="133"/>
      <c r="I9" s="521"/>
      <c r="J9" s="448"/>
      <c r="K9" s="448"/>
      <c r="L9" s="452"/>
      <c r="M9" s="453"/>
      <c r="N9" s="453"/>
      <c r="O9" s="453"/>
      <c r="P9" s="453"/>
      <c r="Q9" s="453"/>
      <c r="R9" s="158"/>
    </row>
    <row r="10" spans="1:18" ht="26.4" customHeight="1" x14ac:dyDescent="0.3">
      <c r="A10" s="92" t="s">
        <v>1213</v>
      </c>
      <c r="B10" s="92"/>
      <c r="C10" s="92"/>
      <c r="D10" s="92"/>
      <c r="E10" s="92"/>
      <c r="F10" s="92"/>
      <c r="G10" s="93" t="s">
        <v>1214</v>
      </c>
      <c r="H10" s="133"/>
      <c r="I10" s="521"/>
      <c r="J10" s="448"/>
      <c r="K10" s="448"/>
      <c r="L10" s="448"/>
      <c r="M10" s="449"/>
      <c r="N10" s="449"/>
      <c r="O10" s="449"/>
      <c r="P10" s="449"/>
      <c r="Q10" s="449"/>
      <c r="R10" s="158"/>
    </row>
    <row r="11" spans="1:18" ht="13.5" customHeight="1" x14ac:dyDescent="0.3">
      <c r="A11" s="29"/>
      <c r="B11" s="29"/>
      <c r="C11" s="29"/>
      <c r="D11" s="29"/>
      <c r="E11" s="29"/>
      <c r="F11" s="29"/>
      <c r="G11" s="36"/>
      <c r="H11" s="36"/>
      <c r="I11" s="456"/>
      <c r="J11" s="454"/>
      <c r="K11" s="454"/>
      <c r="L11" s="454"/>
      <c r="M11" s="455"/>
      <c r="N11" s="455"/>
      <c r="O11" s="455"/>
      <c r="P11" s="455"/>
      <c r="Q11" s="455"/>
      <c r="R11" s="158"/>
    </row>
    <row r="12" spans="1:18" ht="12.75" customHeight="1" x14ac:dyDescent="0.3">
      <c r="A12" s="98" t="s">
        <v>2145</v>
      </c>
      <c r="B12" s="97"/>
      <c r="C12" s="97"/>
      <c r="D12" s="97"/>
      <c r="E12" s="97"/>
      <c r="F12" s="97"/>
      <c r="G12" s="98" t="s">
        <v>1008</v>
      </c>
      <c r="H12" s="98" t="s">
        <v>968</v>
      </c>
      <c r="I12" s="340" t="s">
        <v>754</v>
      </c>
      <c r="J12" s="456"/>
      <c r="K12" s="456"/>
      <c r="L12" s="456"/>
      <c r="M12" s="457"/>
      <c r="N12" s="457"/>
      <c r="O12" s="457"/>
      <c r="P12" s="457"/>
      <c r="Q12" s="457"/>
      <c r="R12" s="158"/>
    </row>
    <row r="13" spans="1:18" ht="12.75" customHeight="1" x14ac:dyDescent="0.3">
      <c r="A13" s="36"/>
      <c r="B13" s="29"/>
      <c r="C13" s="29"/>
      <c r="D13" s="29"/>
      <c r="E13" s="29"/>
      <c r="F13" s="29"/>
      <c r="G13" s="36"/>
      <c r="H13" s="36"/>
      <c r="I13" s="342"/>
      <c r="J13" s="342"/>
      <c r="K13" s="342"/>
      <c r="L13" s="342"/>
      <c r="M13" s="360"/>
      <c r="N13" s="360"/>
      <c r="O13" s="360"/>
      <c r="P13" s="360"/>
      <c r="Q13" s="360"/>
      <c r="R13" s="158"/>
    </row>
    <row r="14" spans="1:18" ht="12.75" customHeight="1" x14ac:dyDescent="0.3">
      <c r="A14" s="36"/>
      <c r="B14" s="91" t="s">
        <v>594</v>
      </c>
      <c r="C14" s="92"/>
      <c r="D14" s="92"/>
      <c r="E14" s="92"/>
      <c r="F14" s="92"/>
      <c r="G14" s="93" t="s">
        <v>404</v>
      </c>
      <c r="H14" s="91"/>
      <c r="I14" s="521">
        <f>input!I14</f>
        <v>0</v>
      </c>
      <c r="J14" s="450"/>
      <c r="K14" s="450"/>
      <c r="L14" s="450"/>
      <c r="M14" s="451"/>
      <c r="N14" s="451"/>
      <c r="O14" s="451"/>
      <c r="P14" s="451"/>
      <c r="Q14" s="451"/>
      <c r="R14" s="158"/>
    </row>
    <row r="15" spans="1:18" ht="12.75" customHeight="1" x14ac:dyDescent="0.3">
      <c r="A15" s="29"/>
      <c r="B15" s="36" t="s">
        <v>1099</v>
      </c>
      <c r="C15" s="29"/>
      <c r="D15" s="29"/>
      <c r="E15" s="29"/>
      <c r="F15" s="29"/>
      <c r="G15" s="37" t="s">
        <v>695</v>
      </c>
      <c r="H15" s="36" t="s">
        <v>2303</v>
      </c>
      <c r="I15" s="521">
        <f>input!I15</f>
        <v>0</v>
      </c>
      <c r="J15" s="450"/>
      <c r="K15" s="450"/>
      <c r="L15" s="450"/>
      <c r="M15" s="451"/>
      <c r="N15" s="451"/>
      <c r="O15" s="451"/>
      <c r="P15" s="451"/>
      <c r="Q15" s="451"/>
      <c r="R15" s="158"/>
    </row>
    <row r="16" spans="1:18" ht="12.75" customHeight="1" x14ac:dyDescent="0.3">
      <c r="A16" s="29"/>
      <c r="B16" s="36"/>
      <c r="C16" s="29"/>
      <c r="D16" s="29"/>
      <c r="E16" s="29"/>
      <c r="F16" s="29"/>
      <c r="G16" s="36"/>
      <c r="H16" s="36"/>
      <c r="I16" s="522"/>
      <c r="J16" s="458"/>
      <c r="K16" s="458"/>
      <c r="L16" s="458"/>
      <c r="M16" s="459"/>
      <c r="N16" s="459"/>
      <c r="O16" s="459"/>
      <c r="P16" s="459"/>
      <c r="Q16" s="459"/>
      <c r="R16" s="158"/>
    </row>
    <row r="17" spans="1:18" ht="12.75" customHeight="1" x14ac:dyDescent="0.3">
      <c r="A17" s="36"/>
      <c r="B17" s="36" t="s">
        <v>595</v>
      </c>
      <c r="C17" s="29"/>
      <c r="D17" s="29"/>
      <c r="E17" s="29"/>
      <c r="F17" s="29"/>
      <c r="G17" s="94" t="s">
        <v>3949</v>
      </c>
      <c r="H17" s="36" t="s">
        <v>36</v>
      </c>
      <c r="I17" s="521">
        <f>input!I17</f>
        <v>0</v>
      </c>
      <c r="J17" s="450"/>
      <c r="K17" s="450"/>
      <c r="L17" s="450"/>
      <c r="M17" s="451"/>
      <c r="N17" s="451"/>
      <c r="O17" s="451"/>
      <c r="P17" s="451"/>
      <c r="Q17" s="451"/>
      <c r="R17" s="158"/>
    </row>
    <row r="18" spans="1:18" ht="12.75" customHeight="1" x14ac:dyDescent="0.3">
      <c r="A18" s="36"/>
      <c r="B18" s="36" t="s">
        <v>596</v>
      </c>
      <c r="C18" s="29"/>
      <c r="D18" s="29"/>
      <c r="E18" s="29"/>
      <c r="F18" s="29"/>
      <c r="G18" s="94" t="s">
        <v>597</v>
      </c>
      <c r="H18" s="36" t="s">
        <v>36</v>
      </c>
      <c r="I18" s="521">
        <f>input!I18</f>
        <v>0</v>
      </c>
      <c r="J18" s="450"/>
      <c r="K18" s="450"/>
      <c r="L18" s="450"/>
      <c r="M18" s="451"/>
      <c r="N18" s="451"/>
      <c r="O18" s="451"/>
      <c r="P18" s="451"/>
      <c r="Q18" s="451"/>
      <c r="R18" s="158"/>
    </row>
    <row r="19" spans="1:18" ht="12.75" customHeight="1" x14ac:dyDescent="0.3">
      <c r="A19" s="36"/>
      <c r="B19" s="36" t="s">
        <v>3950</v>
      </c>
      <c r="C19" s="95"/>
      <c r="D19" s="29"/>
      <c r="E19" s="29"/>
      <c r="F19" s="29"/>
      <c r="G19" s="94" t="s">
        <v>3951</v>
      </c>
      <c r="H19" s="36" t="s">
        <v>36</v>
      </c>
      <c r="I19" s="521">
        <f>input!I19</f>
        <v>0</v>
      </c>
      <c r="J19" s="450"/>
      <c r="K19" s="450"/>
      <c r="L19" s="450"/>
      <c r="M19" s="451"/>
      <c r="N19" s="451"/>
      <c r="O19" s="451"/>
      <c r="P19" s="451"/>
      <c r="Q19" s="451"/>
      <c r="R19" s="158"/>
    </row>
    <row r="20" spans="1:18" ht="12.75" customHeight="1" x14ac:dyDescent="0.3">
      <c r="A20" s="29"/>
      <c r="B20" s="29"/>
      <c r="C20" s="36" t="s">
        <v>3952</v>
      </c>
      <c r="D20" s="29"/>
      <c r="E20" s="29"/>
      <c r="F20" s="29"/>
      <c r="G20" s="37" t="s">
        <v>485</v>
      </c>
      <c r="H20" s="36" t="s">
        <v>36</v>
      </c>
      <c r="I20" s="521">
        <f>input!I20</f>
        <v>0</v>
      </c>
      <c r="J20" s="450"/>
      <c r="K20" s="450"/>
      <c r="L20" s="450"/>
      <c r="M20" s="451"/>
      <c r="N20" s="451"/>
      <c r="O20" s="451"/>
      <c r="P20" s="451"/>
      <c r="Q20" s="451"/>
      <c r="R20" s="158"/>
    </row>
    <row r="21" spans="1:18" ht="12.75" customHeight="1" x14ac:dyDescent="0.3">
      <c r="A21" s="29"/>
      <c r="B21" s="29"/>
      <c r="C21" s="36" t="s">
        <v>3953</v>
      </c>
      <c r="D21" s="29"/>
      <c r="E21" s="29"/>
      <c r="F21" s="29"/>
      <c r="G21" s="37" t="s">
        <v>3954</v>
      </c>
      <c r="H21" s="36" t="s">
        <v>36</v>
      </c>
      <c r="I21" s="521">
        <f>input!I21</f>
        <v>0</v>
      </c>
      <c r="J21" s="450"/>
      <c r="K21" s="450"/>
      <c r="L21" s="450"/>
      <c r="M21" s="451"/>
      <c r="N21" s="451"/>
      <c r="O21" s="451"/>
      <c r="P21" s="451"/>
      <c r="Q21" s="451"/>
      <c r="R21" s="158"/>
    </row>
    <row r="22" spans="1:18" ht="12.75" customHeight="1" x14ac:dyDescent="0.3">
      <c r="A22" s="29"/>
      <c r="B22" s="29"/>
      <c r="C22" s="36" t="s">
        <v>608</v>
      </c>
      <c r="D22" s="29"/>
      <c r="E22" s="29"/>
      <c r="F22" s="29"/>
      <c r="G22" s="36" t="s">
        <v>1339</v>
      </c>
      <c r="H22" s="36"/>
      <c r="I22" s="521">
        <f>input!I22</f>
        <v>0</v>
      </c>
      <c r="J22" s="450"/>
      <c r="K22" s="450"/>
      <c r="L22" s="450"/>
      <c r="M22" s="451"/>
      <c r="N22" s="451"/>
      <c r="O22" s="451"/>
      <c r="P22" s="451"/>
      <c r="Q22" s="451"/>
      <c r="R22" s="158"/>
    </row>
    <row r="23" spans="1:18" ht="12.75" customHeight="1" x14ac:dyDescent="0.3">
      <c r="A23" s="29"/>
      <c r="B23" s="29"/>
      <c r="C23" s="36" t="s">
        <v>3955</v>
      </c>
      <c r="D23" s="29"/>
      <c r="E23" s="29"/>
      <c r="F23" s="29"/>
      <c r="G23" s="37" t="s">
        <v>607</v>
      </c>
      <c r="H23" s="36" t="s">
        <v>36</v>
      </c>
      <c r="I23" s="521">
        <f>input!I23</f>
        <v>0</v>
      </c>
      <c r="J23" s="450"/>
      <c r="K23" s="450"/>
      <c r="L23" s="450"/>
      <c r="M23" s="451"/>
      <c r="N23" s="451"/>
      <c r="O23" s="451"/>
      <c r="P23" s="451"/>
      <c r="Q23" s="451"/>
      <c r="R23" s="158"/>
    </row>
    <row r="24" spans="1:18" ht="12.75" customHeight="1" x14ac:dyDescent="0.3">
      <c r="A24" s="4"/>
      <c r="B24" s="29"/>
      <c r="C24" s="29" t="s">
        <v>648</v>
      </c>
      <c r="D24" s="29"/>
      <c r="E24" s="29"/>
      <c r="F24" s="29"/>
      <c r="G24" s="36" t="s">
        <v>622</v>
      </c>
      <c r="H24" s="36" t="s">
        <v>36</v>
      </c>
      <c r="I24" s="521">
        <f>input!I24</f>
        <v>0</v>
      </c>
      <c r="J24" s="450"/>
      <c r="K24" s="450"/>
      <c r="L24" s="450">
        <v>1</v>
      </c>
      <c r="M24" s="451">
        <v>1</v>
      </c>
      <c r="N24" s="451">
        <v>1</v>
      </c>
      <c r="O24" s="451">
        <v>1</v>
      </c>
      <c r="P24" s="451">
        <v>1</v>
      </c>
      <c r="Q24" s="451"/>
      <c r="R24" s="158"/>
    </row>
    <row r="25" spans="1:18" ht="12.75" customHeight="1" x14ac:dyDescent="0.3">
      <c r="A25" s="4"/>
      <c r="B25" s="29"/>
      <c r="C25" s="29" t="s">
        <v>602</v>
      </c>
      <c r="D25" s="29"/>
      <c r="E25" s="29"/>
      <c r="F25" s="29"/>
      <c r="G25" s="36" t="s">
        <v>598</v>
      </c>
      <c r="H25" s="36" t="s">
        <v>36</v>
      </c>
      <c r="I25" s="521">
        <f>input!I25</f>
        <v>0</v>
      </c>
      <c r="J25" s="450"/>
      <c r="K25" s="450"/>
      <c r="L25" s="450">
        <v>1</v>
      </c>
      <c r="M25" s="451">
        <v>1</v>
      </c>
      <c r="N25" s="451">
        <v>1</v>
      </c>
      <c r="O25" s="451">
        <v>1</v>
      </c>
      <c r="P25" s="451">
        <v>1</v>
      </c>
      <c r="Q25" s="451"/>
      <c r="R25" s="158"/>
    </row>
    <row r="26" spans="1:18" ht="12.75" customHeight="1" x14ac:dyDescent="0.3">
      <c r="A26" s="4"/>
      <c r="B26" s="29"/>
      <c r="C26" s="29" t="s">
        <v>649</v>
      </c>
      <c r="D26" s="29"/>
      <c r="E26" s="29"/>
      <c r="F26" s="29"/>
      <c r="G26" s="36" t="s">
        <v>600</v>
      </c>
      <c r="H26" s="36" t="s">
        <v>36</v>
      </c>
      <c r="I26" s="521">
        <f>input!I26</f>
        <v>0</v>
      </c>
      <c r="J26" s="450"/>
      <c r="K26" s="450"/>
      <c r="L26" s="450">
        <v>1</v>
      </c>
      <c r="M26" s="451">
        <v>1</v>
      </c>
      <c r="N26" s="451">
        <v>1</v>
      </c>
      <c r="O26" s="451">
        <v>1</v>
      </c>
      <c r="P26" s="451">
        <v>1</v>
      </c>
      <c r="Q26" s="451"/>
      <c r="R26" s="158"/>
    </row>
    <row r="27" spans="1:18" ht="12.75" customHeight="1" x14ac:dyDescent="0.3">
      <c r="A27" s="4"/>
      <c r="B27" s="29"/>
      <c r="C27" s="29" t="s">
        <v>603</v>
      </c>
      <c r="D27" s="29"/>
      <c r="E27" s="29"/>
      <c r="F27" s="29"/>
      <c r="G27" s="36" t="s">
        <v>599</v>
      </c>
      <c r="H27" s="36" t="s">
        <v>36</v>
      </c>
      <c r="I27" s="521">
        <f>input!I27</f>
        <v>0</v>
      </c>
      <c r="J27" s="450"/>
      <c r="K27" s="450"/>
      <c r="L27" s="450">
        <v>1</v>
      </c>
      <c r="M27" s="451">
        <v>1</v>
      </c>
      <c r="N27" s="451">
        <v>1</v>
      </c>
      <c r="O27" s="451">
        <v>1</v>
      </c>
      <c r="P27" s="451">
        <v>1</v>
      </c>
      <c r="Q27" s="451"/>
      <c r="R27" s="158"/>
    </row>
    <row r="28" spans="1:18" ht="12.75" customHeight="1" x14ac:dyDescent="0.3">
      <c r="A28" s="4"/>
      <c r="B28" s="29"/>
      <c r="C28" s="29" t="s">
        <v>650</v>
      </c>
      <c r="D28" s="29"/>
      <c r="E28" s="29"/>
      <c r="F28" s="29"/>
      <c r="G28" s="36" t="s">
        <v>601</v>
      </c>
      <c r="H28" s="36"/>
      <c r="I28" s="521">
        <f>input!I28</f>
        <v>0</v>
      </c>
      <c r="J28" s="450"/>
      <c r="K28" s="450"/>
      <c r="L28" s="450">
        <v>1</v>
      </c>
      <c r="M28" s="451">
        <v>1</v>
      </c>
      <c r="N28" s="451">
        <v>1</v>
      </c>
      <c r="O28" s="451">
        <v>1</v>
      </c>
      <c r="P28" s="451">
        <v>1</v>
      </c>
      <c r="Q28" s="451"/>
      <c r="R28" s="158"/>
    </row>
    <row r="29" spans="1:18" ht="12.75" customHeight="1" x14ac:dyDescent="0.3">
      <c r="A29" s="4"/>
      <c r="B29" s="29"/>
      <c r="C29" s="29" t="s">
        <v>651</v>
      </c>
      <c r="D29" s="29"/>
      <c r="E29" s="29"/>
      <c r="F29" s="29"/>
      <c r="G29" s="36" t="s">
        <v>604</v>
      </c>
      <c r="H29" s="36" t="s">
        <v>36</v>
      </c>
      <c r="I29" s="521">
        <f>input!I29</f>
        <v>0</v>
      </c>
      <c r="J29" s="450"/>
      <c r="K29" s="450"/>
      <c r="L29" s="450">
        <v>1</v>
      </c>
      <c r="M29" s="451">
        <v>1</v>
      </c>
      <c r="N29" s="451">
        <v>1</v>
      </c>
      <c r="O29" s="451">
        <v>1</v>
      </c>
      <c r="P29" s="451">
        <v>1</v>
      </c>
      <c r="Q29" s="451"/>
      <c r="R29" s="158"/>
    </row>
    <row r="30" spans="1:18" ht="12.75" customHeight="1" x14ac:dyDescent="0.3">
      <c r="A30" s="4"/>
      <c r="B30" s="29"/>
      <c r="C30" s="29" t="s">
        <v>652</v>
      </c>
      <c r="D30" s="29"/>
      <c r="E30" s="29"/>
      <c r="F30" s="29"/>
      <c r="G30" s="36" t="s">
        <v>645</v>
      </c>
      <c r="H30" s="36" t="s">
        <v>36</v>
      </c>
      <c r="I30" s="521">
        <f>input!I30</f>
        <v>0</v>
      </c>
      <c r="J30" s="450"/>
      <c r="K30" s="450"/>
      <c r="L30" s="450">
        <v>1</v>
      </c>
      <c r="M30" s="451">
        <v>1</v>
      </c>
      <c r="N30" s="451">
        <v>1</v>
      </c>
      <c r="O30" s="451">
        <v>1</v>
      </c>
      <c r="P30" s="451">
        <v>1</v>
      </c>
      <c r="Q30" s="451"/>
      <c r="R30" s="158"/>
    </row>
    <row r="31" spans="1:18" ht="12.75" customHeight="1" x14ac:dyDescent="0.3">
      <c r="A31" s="4"/>
      <c r="B31" s="29"/>
      <c r="C31" s="29" t="s">
        <v>653</v>
      </c>
      <c r="D31" s="29"/>
      <c r="E31" s="29"/>
      <c r="F31" s="29"/>
      <c r="G31" s="36" t="s">
        <v>605</v>
      </c>
      <c r="H31" s="36" t="s">
        <v>36</v>
      </c>
      <c r="I31" s="521">
        <f>input!I31</f>
        <v>0</v>
      </c>
      <c r="J31" s="450"/>
      <c r="K31" s="450"/>
      <c r="L31" s="450">
        <v>1</v>
      </c>
      <c r="M31" s="451">
        <v>1</v>
      </c>
      <c r="N31" s="451">
        <v>1</v>
      </c>
      <c r="O31" s="451">
        <v>1</v>
      </c>
      <c r="P31" s="451">
        <v>1</v>
      </c>
      <c r="Q31" s="451"/>
      <c r="R31" s="158"/>
    </row>
    <row r="32" spans="1:18" ht="12.75" customHeight="1" x14ac:dyDescent="0.3">
      <c r="A32" s="4"/>
      <c r="B32" s="29"/>
      <c r="C32" s="29" t="s">
        <v>654</v>
      </c>
      <c r="D32" s="29"/>
      <c r="E32" s="29"/>
      <c r="F32" s="29"/>
      <c r="G32" s="36" t="s">
        <v>646</v>
      </c>
      <c r="H32" s="36" t="s">
        <v>36</v>
      </c>
      <c r="I32" s="521">
        <f>input!I32</f>
        <v>0</v>
      </c>
      <c r="J32" s="450"/>
      <c r="K32" s="450"/>
      <c r="L32" s="450">
        <v>1</v>
      </c>
      <c r="M32" s="451">
        <v>1</v>
      </c>
      <c r="N32" s="451">
        <v>1</v>
      </c>
      <c r="O32" s="451">
        <v>1</v>
      </c>
      <c r="P32" s="451">
        <v>1</v>
      </c>
      <c r="Q32" s="451"/>
      <c r="R32" s="158"/>
    </row>
    <row r="33" spans="1:18" ht="12.75" customHeight="1" x14ac:dyDescent="0.3">
      <c r="A33" s="4"/>
      <c r="B33" s="29"/>
      <c r="C33" s="29" t="s">
        <v>655</v>
      </c>
      <c r="D33" s="29"/>
      <c r="E33" s="29"/>
      <c r="F33" s="29"/>
      <c r="G33" s="36" t="s">
        <v>606</v>
      </c>
      <c r="H33" s="36" t="s">
        <v>36</v>
      </c>
      <c r="I33" s="521">
        <f>input!I33</f>
        <v>0</v>
      </c>
      <c r="J33" s="450"/>
      <c r="K33" s="450"/>
      <c r="L33" s="450">
        <v>1</v>
      </c>
      <c r="M33" s="451">
        <v>1</v>
      </c>
      <c r="N33" s="451">
        <v>1</v>
      </c>
      <c r="O33" s="451">
        <v>1</v>
      </c>
      <c r="P33" s="451">
        <v>1</v>
      </c>
      <c r="Q33" s="451"/>
      <c r="R33" s="158"/>
    </row>
    <row r="34" spans="1:18" ht="12.75" customHeight="1" x14ac:dyDescent="0.3">
      <c r="A34" s="4"/>
      <c r="B34" s="29"/>
      <c r="C34" s="29" t="s">
        <v>656</v>
      </c>
      <c r="D34" s="29"/>
      <c r="E34" s="29"/>
      <c r="F34" s="29"/>
      <c r="G34" s="36" t="s">
        <v>647</v>
      </c>
      <c r="H34" s="36" t="s">
        <v>36</v>
      </c>
      <c r="I34" s="521">
        <f>input!I34</f>
        <v>0</v>
      </c>
      <c r="J34" s="450"/>
      <c r="K34" s="450"/>
      <c r="L34" s="450">
        <v>1</v>
      </c>
      <c r="M34" s="451">
        <v>1</v>
      </c>
      <c r="N34" s="451">
        <v>1</v>
      </c>
      <c r="O34" s="451">
        <v>1</v>
      </c>
      <c r="P34" s="451">
        <v>1</v>
      </c>
      <c r="Q34" s="451"/>
      <c r="R34" s="158"/>
    </row>
    <row r="35" spans="1:18" ht="12.75" customHeight="1" x14ac:dyDescent="0.3">
      <c r="A35" s="29"/>
      <c r="B35" s="29"/>
      <c r="C35" s="29" t="s">
        <v>3956</v>
      </c>
      <c r="D35" s="29"/>
      <c r="E35" s="29"/>
      <c r="F35" s="29"/>
      <c r="G35" s="96" t="s">
        <v>696</v>
      </c>
      <c r="H35" s="29" t="s">
        <v>487</v>
      </c>
      <c r="I35" s="521">
        <f>input!I35</f>
        <v>0</v>
      </c>
      <c r="J35" s="450"/>
      <c r="K35" s="450"/>
      <c r="L35" s="450"/>
      <c r="M35" s="451"/>
      <c r="N35" s="451"/>
      <c r="O35" s="451"/>
      <c r="P35" s="451"/>
      <c r="Q35" s="451"/>
      <c r="R35" s="158"/>
    </row>
    <row r="36" spans="1:18" ht="12.75" customHeight="1" x14ac:dyDescent="0.3">
      <c r="A36" s="29"/>
      <c r="B36" s="36"/>
      <c r="C36" s="36" t="s">
        <v>1103</v>
      </c>
      <c r="D36" s="29"/>
      <c r="E36" s="29"/>
      <c r="F36" s="29"/>
      <c r="G36" s="37" t="s">
        <v>697</v>
      </c>
      <c r="H36" s="36" t="s">
        <v>2304</v>
      </c>
      <c r="I36" s="521">
        <f>input!I36</f>
        <v>0</v>
      </c>
      <c r="J36" s="450"/>
      <c r="K36" s="450"/>
      <c r="L36" s="450">
        <v>50</v>
      </c>
      <c r="M36" s="451">
        <v>50</v>
      </c>
      <c r="N36" s="451">
        <v>50</v>
      </c>
      <c r="O36" s="451"/>
      <c r="P36" s="451">
        <v>50</v>
      </c>
      <c r="Q36" s="451">
        <v>50</v>
      </c>
      <c r="R36" s="158"/>
    </row>
    <row r="37" spans="1:18" ht="12.75" customHeight="1" x14ac:dyDescent="0.3">
      <c r="A37" s="29"/>
      <c r="B37" s="36"/>
      <c r="C37" s="36" t="s">
        <v>3957</v>
      </c>
      <c r="D37" s="29"/>
      <c r="E37" s="29"/>
      <c r="F37" s="29"/>
      <c r="G37" s="37" t="s">
        <v>698</v>
      </c>
      <c r="H37" s="36" t="s">
        <v>2305</v>
      </c>
      <c r="I37" s="521">
        <f>input!I37</f>
        <v>0</v>
      </c>
      <c r="J37" s="450"/>
      <c r="K37" s="450"/>
      <c r="L37" s="450"/>
      <c r="M37" s="451"/>
      <c r="N37" s="451"/>
      <c r="O37" s="451"/>
      <c r="P37" s="451"/>
      <c r="Q37" s="451"/>
      <c r="R37" s="158"/>
    </row>
    <row r="38" spans="1:18" ht="12.75" customHeight="1" x14ac:dyDescent="0.3">
      <c r="A38" s="29"/>
      <c r="B38" s="36"/>
      <c r="C38" s="36" t="s">
        <v>1104</v>
      </c>
      <c r="D38" s="29"/>
      <c r="E38" s="29"/>
      <c r="F38" s="29"/>
      <c r="G38" s="37" t="s">
        <v>970</v>
      </c>
      <c r="H38" s="36" t="s">
        <v>2304</v>
      </c>
      <c r="I38" s="521">
        <f>input!I38</f>
        <v>0</v>
      </c>
      <c r="J38" s="450"/>
      <c r="K38" s="450"/>
      <c r="L38" s="450"/>
      <c r="M38" s="451"/>
      <c r="N38" s="451"/>
      <c r="O38" s="451"/>
      <c r="P38" s="451"/>
      <c r="Q38" s="451"/>
      <c r="R38" s="158"/>
    </row>
    <row r="39" spans="1:18" ht="12.75" customHeight="1" x14ac:dyDescent="0.3">
      <c r="A39" s="29"/>
      <c r="B39" s="29"/>
      <c r="C39" s="29" t="s">
        <v>1362</v>
      </c>
      <c r="D39" s="29"/>
      <c r="E39" s="29"/>
      <c r="F39" s="29"/>
      <c r="G39" s="96" t="s">
        <v>1361</v>
      </c>
      <c r="H39" s="29" t="s">
        <v>2306</v>
      </c>
      <c r="I39" s="521">
        <f>input!I39</f>
        <v>0</v>
      </c>
      <c r="J39" s="450"/>
      <c r="K39" s="450"/>
      <c r="L39" s="450"/>
      <c r="M39" s="451"/>
      <c r="N39" s="451"/>
      <c r="O39" s="451"/>
      <c r="P39" s="451"/>
      <c r="Q39" s="451"/>
      <c r="R39" s="158"/>
    </row>
    <row r="40" spans="1:18" ht="12.75" customHeight="1" x14ac:dyDescent="0.3">
      <c r="A40" s="29"/>
      <c r="B40" s="29"/>
      <c r="C40" s="29"/>
      <c r="D40" s="29"/>
      <c r="E40" s="29"/>
      <c r="F40" s="29"/>
      <c r="G40" s="96"/>
      <c r="H40" s="29"/>
      <c r="I40" s="523"/>
      <c r="J40" s="342"/>
      <c r="K40" s="342"/>
      <c r="L40" s="342"/>
      <c r="M40" s="360"/>
      <c r="N40" s="360"/>
      <c r="O40" s="360"/>
      <c r="P40" s="360"/>
      <c r="Q40" s="360"/>
      <c r="R40" s="158"/>
    </row>
    <row r="41" spans="1:18" ht="12.75" customHeight="1" x14ac:dyDescent="0.3">
      <c r="A41" s="29"/>
      <c r="B41" s="434" t="s">
        <v>2147</v>
      </c>
      <c r="C41" s="627"/>
      <c r="D41" s="627"/>
      <c r="E41" s="627"/>
      <c r="F41" s="627"/>
      <c r="G41" s="628"/>
      <c r="H41" s="435"/>
      <c r="I41" s="523"/>
      <c r="J41" s="458"/>
      <c r="K41" s="458"/>
      <c r="L41" s="458"/>
      <c r="M41" s="459"/>
      <c r="N41" s="459"/>
      <c r="O41" s="459"/>
      <c r="P41" s="459"/>
      <c r="Q41" s="459"/>
      <c r="R41" s="158"/>
    </row>
    <row r="42" spans="1:18" ht="12.75" customHeight="1" x14ac:dyDescent="0.3">
      <c r="A42" s="29"/>
      <c r="B42" s="36"/>
      <c r="C42" s="36" t="s">
        <v>620</v>
      </c>
      <c r="D42" s="36"/>
      <c r="E42" s="36"/>
      <c r="F42" s="36"/>
      <c r="G42" s="36"/>
      <c r="H42" s="36"/>
      <c r="I42" s="523"/>
      <c r="J42" s="458"/>
      <c r="K42" s="458"/>
      <c r="L42" s="458"/>
      <c r="M42" s="459"/>
      <c r="N42" s="459"/>
      <c r="O42" s="459"/>
      <c r="P42" s="459"/>
      <c r="Q42" s="459"/>
      <c r="R42" s="158"/>
    </row>
    <row r="43" spans="1:18" ht="12.75" customHeight="1" x14ac:dyDescent="0.3">
      <c r="A43" s="29"/>
      <c r="B43" s="36"/>
      <c r="C43" s="36" t="s">
        <v>618</v>
      </c>
      <c r="D43" s="36"/>
      <c r="E43" s="36"/>
      <c r="F43" s="36"/>
      <c r="G43" s="36"/>
      <c r="H43" s="36"/>
      <c r="I43" s="523"/>
      <c r="J43" s="458"/>
      <c r="K43" s="458"/>
      <c r="L43" s="458"/>
      <c r="M43" s="459"/>
      <c r="N43" s="459"/>
      <c r="O43" s="459"/>
      <c r="P43" s="459"/>
      <c r="Q43" s="459"/>
      <c r="R43" s="158"/>
    </row>
    <row r="44" spans="1:18" ht="12.75" customHeight="1" x14ac:dyDescent="0.3">
      <c r="A44" s="29"/>
      <c r="B44" s="36"/>
      <c r="C44" s="36" t="s">
        <v>619</v>
      </c>
      <c r="D44" s="36"/>
      <c r="E44" s="36"/>
      <c r="F44" s="36"/>
      <c r="G44" s="36"/>
      <c r="H44" s="36"/>
      <c r="I44" s="523"/>
      <c r="J44" s="458"/>
      <c r="K44" s="458"/>
      <c r="L44" s="458"/>
      <c r="M44" s="459"/>
      <c r="N44" s="459"/>
      <c r="O44" s="459"/>
      <c r="P44" s="459"/>
      <c r="Q44" s="459"/>
      <c r="R44" s="158"/>
    </row>
    <row r="45" spans="1:18" ht="12.75" customHeight="1" x14ac:dyDescent="0.3">
      <c r="A45" s="29"/>
      <c r="B45" s="36"/>
      <c r="C45" s="36" t="s">
        <v>1746</v>
      </c>
      <c r="D45" s="36"/>
      <c r="E45" s="36"/>
      <c r="F45" s="36"/>
      <c r="G45" s="36"/>
      <c r="H45" s="36"/>
      <c r="I45" s="523"/>
      <c r="J45" s="458"/>
      <c r="K45" s="458"/>
      <c r="L45" s="458"/>
      <c r="M45" s="459"/>
      <c r="N45" s="459"/>
      <c r="O45" s="459"/>
      <c r="P45" s="459"/>
      <c r="Q45" s="459"/>
      <c r="R45" s="158"/>
    </row>
    <row r="46" spans="1:18" ht="12.75" customHeight="1" x14ac:dyDescent="0.3">
      <c r="A46" s="29"/>
      <c r="B46" s="36"/>
      <c r="C46" s="36" t="s">
        <v>657</v>
      </c>
      <c r="D46" s="36"/>
      <c r="E46" s="36"/>
      <c r="F46" s="36"/>
      <c r="G46" s="36"/>
      <c r="H46" s="36"/>
      <c r="I46" s="523"/>
      <c r="J46" s="458"/>
      <c r="K46" s="458"/>
      <c r="L46" s="458"/>
      <c r="M46" s="459"/>
      <c r="N46" s="459"/>
      <c r="O46" s="459"/>
      <c r="P46" s="459"/>
      <c r="Q46" s="459"/>
      <c r="R46" s="158"/>
    </row>
    <row r="47" spans="1:18" ht="12.75" customHeight="1" x14ac:dyDescent="0.3">
      <c r="A47" s="29"/>
      <c r="B47" s="36"/>
      <c r="C47" s="36" t="s">
        <v>386</v>
      </c>
      <c r="D47" s="36"/>
      <c r="E47" s="36"/>
      <c r="F47" s="36"/>
      <c r="G47" s="36"/>
      <c r="H47" s="36"/>
      <c r="I47" s="523"/>
      <c r="J47" s="458"/>
      <c r="K47" s="458"/>
      <c r="L47" s="458"/>
      <c r="M47" s="459"/>
      <c r="N47" s="459"/>
      <c r="O47" s="459"/>
      <c r="P47" s="459"/>
      <c r="Q47" s="459"/>
      <c r="R47" s="158"/>
    </row>
    <row r="48" spans="1:18" ht="12.75" customHeight="1" x14ac:dyDescent="0.3">
      <c r="A48" s="29"/>
      <c r="B48" s="36"/>
      <c r="C48" s="36" t="s">
        <v>387</v>
      </c>
      <c r="D48" s="36"/>
      <c r="E48" s="36"/>
      <c r="F48" s="36"/>
      <c r="G48" s="36"/>
      <c r="H48" s="36"/>
      <c r="I48" s="523"/>
      <c r="J48" s="458"/>
      <c r="K48" s="458"/>
      <c r="L48" s="458"/>
      <c r="M48" s="459"/>
      <c r="N48" s="459"/>
      <c r="O48" s="459"/>
      <c r="P48" s="459"/>
      <c r="Q48" s="459"/>
      <c r="R48" s="158"/>
    </row>
    <row r="49" spans="1:18" ht="12.75" customHeight="1" x14ac:dyDescent="0.3">
      <c r="A49" s="29"/>
      <c r="B49" s="36"/>
      <c r="C49" s="36" t="s">
        <v>388</v>
      </c>
      <c r="D49" s="36"/>
      <c r="E49" s="36"/>
      <c r="F49" s="36"/>
      <c r="G49" s="36"/>
      <c r="H49" s="36"/>
      <c r="I49" s="523"/>
      <c r="J49" s="458"/>
      <c r="K49" s="458"/>
      <c r="L49" s="458"/>
      <c r="M49" s="459"/>
      <c r="N49" s="459"/>
      <c r="O49" s="459"/>
      <c r="P49" s="459"/>
      <c r="Q49" s="459"/>
      <c r="R49" s="158"/>
    </row>
    <row r="50" spans="1:18" ht="12.75" customHeight="1" x14ac:dyDescent="0.3">
      <c r="A50" s="29"/>
      <c r="B50" s="36"/>
      <c r="C50" s="36" t="s">
        <v>389</v>
      </c>
      <c r="D50" s="36"/>
      <c r="E50" s="36"/>
      <c r="F50" s="36"/>
      <c r="G50" s="36"/>
      <c r="H50" s="36"/>
      <c r="I50" s="523"/>
      <c r="J50" s="458"/>
      <c r="K50" s="458"/>
      <c r="L50" s="458"/>
      <c r="M50" s="459"/>
      <c r="N50" s="459"/>
      <c r="O50" s="459"/>
      <c r="P50" s="459"/>
      <c r="Q50" s="459"/>
      <c r="R50" s="158"/>
    </row>
    <row r="51" spans="1:18" ht="12.75" customHeight="1" x14ac:dyDescent="0.3">
      <c r="A51" s="29"/>
      <c r="B51" s="36"/>
      <c r="C51" s="36" t="s">
        <v>390</v>
      </c>
      <c r="D51" s="36"/>
      <c r="E51" s="36"/>
      <c r="F51" s="36"/>
      <c r="G51" s="36"/>
      <c r="H51" s="36"/>
      <c r="I51" s="523"/>
      <c r="J51" s="458"/>
      <c r="K51" s="458"/>
      <c r="L51" s="458"/>
      <c r="M51" s="459"/>
      <c r="N51" s="459"/>
      <c r="O51" s="459"/>
      <c r="P51" s="459"/>
      <c r="Q51" s="459"/>
      <c r="R51" s="158"/>
    </row>
    <row r="52" spans="1:18" ht="12.75" customHeight="1" x14ac:dyDescent="0.3">
      <c r="A52" s="29"/>
      <c r="B52" s="36"/>
      <c r="C52" s="36" t="s">
        <v>391</v>
      </c>
      <c r="D52" s="36"/>
      <c r="E52" s="36"/>
      <c r="F52" s="36"/>
      <c r="G52" s="36"/>
      <c r="H52" s="36"/>
      <c r="I52" s="523"/>
      <c r="J52" s="458"/>
      <c r="K52" s="458"/>
      <c r="L52" s="458"/>
      <c r="M52" s="459"/>
      <c r="N52" s="459"/>
      <c r="O52" s="459"/>
      <c r="P52" s="459"/>
      <c r="Q52" s="459"/>
      <c r="R52" s="158"/>
    </row>
    <row r="53" spans="1:18" ht="12.75" customHeight="1" x14ac:dyDescent="0.3">
      <c r="A53" s="29"/>
      <c r="B53" s="36"/>
      <c r="C53" s="36" t="s">
        <v>392</v>
      </c>
      <c r="D53" s="36"/>
      <c r="E53" s="36"/>
      <c r="F53" s="36"/>
      <c r="G53" s="36"/>
      <c r="H53" s="36"/>
      <c r="I53" s="523"/>
      <c r="J53" s="458"/>
      <c r="K53" s="458"/>
      <c r="L53" s="458"/>
      <c r="M53" s="459"/>
      <c r="N53" s="459"/>
      <c r="O53" s="459"/>
      <c r="P53" s="459"/>
      <c r="Q53" s="459"/>
      <c r="R53" s="158"/>
    </row>
    <row r="54" spans="1:18" ht="12.75" customHeight="1" x14ac:dyDescent="0.3">
      <c r="A54" s="29"/>
      <c r="B54" s="36"/>
      <c r="C54" s="36" t="s">
        <v>393</v>
      </c>
      <c r="D54" s="36"/>
      <c r="E54" s="36"/>
      <c r="F54" s="36"/>
      <c r="G54" s="36"/>
      <c r="H54" s="36"/>
      <c r="I54" s="523"/>
      <c r="J54" s="458"/>
      <c r="K54" s="458"/>
      <c r="L54" s="458"/>
      <c r="M54" s="459"/>
      <c r="N54" s="459"/>
      <c r="O54" s="459"/>
      <c r="P54" s="459"/>
      <c r="Q54" s="459"/>
      <c r="R54" s="158"/>
    </row>
    <row r="55" spans="1:18" ht="12.75" customHeight="1" x14ac:dyDescent="0.3">
      <c r="A55" s="29"/>
      <c r="B55" s="36"/>
      <c r="C55" s="36" t="s">
        <v>394</v>
      </c>
      <c r="D55" s="36"/>
      <c r="E55" s="36"/>
      <c r="F55" s="36"/>
      <c r="G55" s="36"/>
      <c r="H55" s="36"/>
      <c r="I55" s="523"/>
      <c r="J55" s="458"/>
      <c r="K55" s="458"/>
      <c r="L55" s="458"/>
      <c r="M55" s="459"/>
      <c r="N55" s="459"/>
      <c r="O55" s="459"/>
      <c r="P55" s="459"/>
      <c r="Q55" s="459"/>
      <c r="R55" s="158"/>
    </row>
    <row r="56" spans="1:18" ht="12.75" customHeight="1" x14ac:dyDescent="0.3">
      <c r="A56" s="29"/>
      <c r="B56" s="36"/>
      <c r="C56" s="36" t="s">
        <v>395</v>
      </c>
      <c r="D56" s="36"/>
      <c r="E56" s="36"/>
      <c r="F56" s="36"/>
      <c r="G56" s="36"/>
      <c r="H56" s="36"/>
      <c r="I56" s="523"/>
      <c r="J56" s="458"/>
      <c r="K56" s="458"/>
      <c r="L56" s="458"/>
      <c r="M56" s="459"/>
      <c r="N56" s="459"/>
      <c r="O56" s="459"/>
      <c r="P56" s="459"/>
      <c r="Q56" s="459"/>
      <c r="R56" s="158"/>
    </row>
    <row r="57" spans="1:18" ht="12.75" customHeight="1" x14ac:dyDescent="0.3">
      <c r="A57" s="29"/>
      <c r="B57" s="36"/>
      <c r="C57" s="36" t="s">
        <v>396</v>
      </c>
      <c r="D57" s="36"/>
      <c r="E57" s="36"/>
      <c r="F57" s="36"/>
      <c r="G57" s="36"/>
      <c r="H57" s="36"/>
      <c r="I57" s="523"/>
      <c r="J57" s="458"/>
      <c r="K57" s="458"/>
      <c r="L57" s="458"/>
      <c r="M57" s="459"/>
      <c r="N57" s="459"/>
      <c r="O57" s="459"/>
      <c r="P57" s="459"/>
      <c r="Q57" s="459"/>
      <c r="R57" s="158"/>
    </row>
    <row r="58" spans="1:18" ht="12.75" customHeight="1" x14ac:dyDescent="0.3">
      <c r="A58" s="29"/>
      <c r="B58" s="36"/>
      <c r="C58" s="36" t="s">
        <v>397</v>
      </c>
      <c r="D58" s="36"/>
      <c r="E58" s="36"/>
      <c r="F58" s="36"/>
      <c r="G58" s="36"/>
      <c r="H58" s="36"/>
      <c r="I58" s="523"/>
      <c r="J58" s="458"/>
      <c r="K58" s="458"/>
      <c r="L58" s="458"/>
      <c r="M58" s="459"/>
      <c r="N58" s="459"/>
      <c r="O58" s="459"/>
      <c r="P58" s="459"/>
      <c r="Q58" s="459"/>
      <c r="R58" s="158"/>
    </row>
    <row r="59" spans="1:18" ht="12.75" customHeight="1" x14ac:dyDescent="0.3">
      <c r="A59" s="29"/>
      <c r="B59" s="36"/>
      <c r="C59" s="36" t="s">
        <v>398</v>
      </c>
      <c r="D59" s="36"/>
      <c r="E59" s="36"/>
      <c r="F59" s="36"/>
      <c r="G59" s="36"/>
      <c r="H59" s="36"/>
      <c r="I59" s="523"/>
      <c r="J59" s="458"/>
      <c r="K59" s="458"/>
      <c r="L59" s="458"/>
      <c r="M59" s="459"/>
      <c r="N59" s="459"/>
      <c r="O59" s="459"/>
      <c r="P59" s="459"/>
      <c r="Q59" s="459"/>
      <c r="R59" s="158"/>
    </row>
    <row r="60" spans="1:18" ht="12.75" customHeight="1" x14ac:dyDescent="0.3">
      <c r="A60" s="29"/>
      <c r="B60" s="36"/>
      <c r="C60" s="36" t="s">
        <v>399</v>
      </c>
      <c r="D60" s="36"/>
      <c r="E60" s="36"/>
      <c r="F60" s="36"/>
      <c r="G60" s="36"/>
      <c r="H60" s="36"/>
      <c r="I60" s="523"/>
      <c r="J60" s="458"/>
      <c r="K60" s="458"/>
      <c r="L60" s="458"/>
      <c r="M60" s="459"/>
      <c r="N60" s="459"/>
      <c r="O60" s="459"/>
      <c r="P60" s="459"/>
      <c r="Q60" s="459"/>
      <c r="R60" s="158"/>
    </row>
    <row r="61" spans="1:18" ht="12.75" customHeight="1" x14ac:dyDescent="0.3">
      <c r="A61" s="29"/>
      <c r="B61" s="36"/>
      <c r="C61" s="36" t="s">
        <v>400</v>
      </c>
      <c r="D61" s="36"/>
      <c r="E61" s="36"/>
      <c r="F61" s="36"/>
      <c r="G61" s="36"/>
      <c r="H61" s="36"/>
      <c r="I61" s="523"/>
      <c r="J61" s="458"/>
      <c r="K61" s="458"/>
      <c r="L61" s="458"/>
      <c r="M61" s="459"/>
      <c r="N61" s="459"/>
      <c r="O61" s="459"/>
      <c r="P61" s="459"/>
      <c r="Q61" s="459"/>
      <c r="R61" s="158"/>
    </row>
    <row r="62" spans="1:18" ht="12.75" customHeight="1" x14ac:dyDescent="0.3">
      <c r="A62" s="29"/>
      <c r="B62" s="36"/>
      <c r="C62" s="36" t="s">
        <v>401</v>
      </c>
      <c r="D62" s="36"/>
      <c r="E62" s="36"/>
      <c r="F62" s="36"/>
      <c r="G62" s="36"/>
      <c r="H62" s="36"/>
      <c r="I62" s="523"/>
      <c r="J62" s="458"/>
      <c r="K62" s="458"/>
      <c r="L62" s="458"/>
      <c r="M62" s="459"/>
      <c r="N62" s="459"/>
      <c r="O62" s="459"/>
      <c r="P62" s="459"/>
      <c r="Q62" s="459"/>
      <c r="R62" s="158"/>
    </row>
    <row r="63" spans="1:18" ht="12.75" customHeight="1" x14ac:dyDescent="0.3">
      <c r="A63" s="29"/>
      <c r="B63" s="36"/>
      <c r="C63" s="36" t="s">
        <v>402</v>
      </c>
      <c r="D63" s="36"/>
      <c r="E63" s="36"/>
      <c r="F63" s="36"/>
      <c r="G63" s="36"/>
      <c r="H63" s="36"/>
      <c r="I63" s="523"/>
      <c r="J63" s="458"/>
      <c r="K63" s="458"/>
      <c r="L63" s="458"/>
      <c r="M63" s="459"/>
      <c r="N63" s="459"/>
      <c r="O63" s="459"/>
      <c r="P63" s="459"/>
      <c r="Q63" s="459"/>
      <c r="R63" s="158"/>
    </row>
    <row r="64" spans="1:18" ht="12.75" customHeight="1" x14ac:dyDescent="0.3">
      <c r="A64" s="29"/>
      <c r="B64" s="435"/>
      <c r="C64" s="435" t="s">
        <v>403</v>
      </c>
      <c r="D64" s="435"/>
      <c r="E64" s="435"/>
      <c r="F64" s="435"/>
      <c r="G64" s="435"/>
      <c r="H64" s="435"/>
      <c r="I64" s="523"/>
      <c r="J64" s="458"/>
      <c r="K64" s="458"/>
      <c r="L64" s="458"/>
      <c r="M64" s="459"/>
      <c r="N64" s="459"/>
      <c r="O64" s="459"/>
      <c r="P64" s="459"/>
      <c r="Q64" s="459"/>
      <c r="R64" s="158"/>
    </row>
    <row r="65" spans="1:25" ht="12.75" customHeight="1" x14ac:dyDescent="0.3">
      <c r="A65" s="29"/>
      <c r="B65" s="36"/>
      <c r="C65" s="29"/>
      <c r="D65" s="29"/>
      <c r="E65" s="29"/>
      <c r="F65" s="29"/>
      <c r="G65" s="36"/>
      <c r="H65" s="36"/>
      <c r="I65" s="523"/>
      <c r="J65" s="458"/>
      <c r="K65" s="458"/>
      <c r="L65" s="458"/>
      <c r="M65" s="459"/>
      <c r="N65" s="459"/>
      <c r="O65" s="459"/>
      <c r="P65" s="459"/>
      <c r="Q65" s="459"/>
      <c r="R65" s="158"/>
    </row>
    <row r="66" spans="1:25" ht="12.75" customHeight="1" x14ac:dyDescent="0.3">
      <c r="A66" s="29"/>
      <c r="B66" s="36" t="s">
        <v>3958</v>
      </c>
      <c r="C66" s="29"/>
      <c r="D66" s="95"/>
      <c r="E66" s="29"/>
      <c r="F66" s="29"/>
      <c r="G66" s="94" t="s">
        <v>965</v>
      </c>
      <c r="H66" s="36" t="s">
        <v>2307</v>
      </c>
      <c r="I66" s="521">
        <f>input!I66</f>
        <v>0</v>
      </c>
      <c r="J66" s="450"/>
      <c r="K66" s="450"/>
      <c r="L66" s="450"/>
      <c r="M66" s="451"/>
      <c r="N66" s="451"/>
      <c r="O66" s="451"/>
      <c r="P66" s="451"/>
      <c r="Q66" s="451"/>
      <c r="R66" s="158"/>
    </row>
    <row r="67" spans="1:25" ht="12.75" customHeight="1" x14ac:dyDescent="0.3">
      <c r="A67" s="36"/>
      <c r="B67" s="29"/>
      <c r="C67" s="36" t="s">
        <v>1105</v>
      </c>
      <c r="D67" s="29"/>
      <c r="E67" s="29"/>
      <c r="F67" s="29"/>
      <c r="G67" s="37" t="s">
        <v>1309</v>
      </c>
      <c r="H67" s="36" t="s">
        <v>2308</v>
      </c>
      <c r="I67" s="521">
        <f>input!I67</f>
        <v>0</v>
      </c>
      <c r="J67" s="450"/>
      <c r="K67" s="450"/>
      <c r="L67" s="450"/>
      <c r="M67" s="451"/>
      <c r="N67" s="451"/>
      <c r="O67" s="451"/>
      <c r="P67" s="451"/>
      <c r="Q67" s="451"/>
      <c r="R67" s="158"/>
    </row>
    <row r="68" spans="1:25" ht="12.75" customHeight="1" x14ac:dyDescent="0.3">
      <c r="A68" s="36"/>
      <c r="B68" s="29"/>
      <c r="C68" s="36" t="s">
        <v>1106</v>
      </c>
      <c r="D68" s="29"/>
      <c r="E68" s="29"/>
      <c r="F68" s="29"/>
      <c r="G68" s="37" t="s">
        <v>971</v>
      </c>
      <c r="H68" s="36" t="s">
        <v>2309</v>
      </c>
      <c r="I68" s="521">
        <f>input!I68</f>
        <v>0</v>
      </c>
      <c r="J68" s="450"/>
      <c r="K68" s="450"/>
      <c r="L68" s="450"/>
      <c r="M68" s="451"/>
      <c r="N68" s="451"/>
      <c r="O68" s="451"/>
      <c r="P68" s="451"/>
      <c r="Q68" s="451"/>
      <c r="R68" s="158"/>
    </row>
    <row r="69" spans="1:25" ht="12.75" customHeight="1" x14ac:dyDescent="0.3">
      <c r="A69" s="36"/>
      <c r="B69" s="29"/>
      <c r="C69" s="36" t="s">
        <v>45</v>
      </c>
      <c r="D69" s="29"/>
      <c r="E69" s="29"/>
      <c r="F69" s="29"/>
      <c r="G69" s="37" t="s">
        <v>969</v>
      </c>
      <c r="H69" s="36" t="s">
        <v>1394</v>
      </c>
      <c r="I69" s="521">
        <f>input!I69</f>
        <v>0</v>
      </c>
      <c r="J69" s="450"/>
      <c r="K69" s="450"/>
      <c r="L69" s="450"/>
      <c r="M69" s="451"/>
      <c r="N69" s="451"/>
      <c r="O69" s="451"/>
      <c r="P69" s="451"/>
      <c r="Q69" s="451"/>
      <c r="R69" s="158"/>
    </row>
    <row r="70" spans="1:25" ht="12.75" customHeight="1" x14ac:dyDescent="0.3">
      <c r="A70" s="29"/>
      <c r="B70" s="36" t="s">
        <v>3959</v>
      </c>
      <c r="C70" s="29"/>
      <c r="D70" s="95"/>
      <c r="E70" s="29"/>
      <c r="F70" s="29"/>
      <c r="G70" s="94" t="s">
        <v>196</v>
      </c>
      <c r="H70" s="36" t="s">
        <v>2307</v>
      </c>
      <c r="I70" s="521">
        <f>input!I70</f>
        <v>0</v>
      </c>
      <c r="J70" s="450"/>
      <c r="K70" s="450"/>
      <c r="L70" s="450"/>
      <c r="M70" s="451"/>
      <c r="N70" s="451"/>
      <c r="O70" s="451"/>
      <c r="P70" s="451"/>
      <c r="Q70" s="451"/>
      <c r="R70" s="158"/>
    </row>
    <row r="71" spans="1:25" ht="12.75" customHeight="1" x14ac:dyDescent="0.3">
      <c r="A71" s="29"/>
      <c r="B71" s="29"/>
      <c r="C71" s="36" t="s">
        <v>1112</v>
      </c>
      <c r="D71" s="29"/>
      <c r="E71" s="29"/>
      <c r="F71" s="29"/>
      <c r="G71" s="37" t="s">
        <v>765</v>
      </c>
      <c r="H71" s="36" t="s">
        <v>1295</v>
      </c>
      <c r="I71" s="521">
        <f>input!I71</f>
        <v>0</v>
      </c>
      <c r="J71" s="450"/>
      <c r="K71" s="450"/>
      <c r="L71" s="450"/>
      <c r="M71" s="451"/>
      <c r="N71" s="451"/>
      <c r="O71" s="451"/>
      <c r="P71" s="451"/>
      <c r="Q71" s="451"/>
      <c r="R71" s="158"/>
    </row>
    <row r="72" spans="1:25" ht="12.75" customHeight="1" x14ac:dyDescent="0.3">
      <c r="A72" s="29"/>
      <c r="B72" s="29"/>
      <c r="C72" s="36" t="s">
        <v>764</v>
      </c>
      <c r="D72" s="95"/>
      <c r="E72" s="29"/>
      <c r="F72" s="29"/>
      <c r="G72" s="36" t="s">
        <v>16</v>
      </c>
      <c r="H72" s="36" t="s">
        <v>2310</v>
      </c>
      <c r="I72" s="521">
        <f>input!I72</f>
        <v>0</v>
      </c>
      <c r="J72" s="450"/>
      <c r="K72" s="450"/>
      <c r="L72" s="450"/>
      <c r="M72" s="451"/>
      <c r="N72" s="451"/>
      <c r="O72" s="451"/>
      <c r="P72" s="451"/>
      <c r="Q72" s="451"/>
      <c r="R72" s="158"/>
    </row>
    <row r="73" spans="1:25" ht="12.75" customHeight="1" x14ac:dyDescent="0.3">
      <c r="A73" s="29"/>
      <c r="B73" s="29"/>
      <c r="C73" s="29" t="s">
        <v>3960</v>
      </c>
      <c r="D73" s="29"/>
      <c r="E73" s="29"/>
      <c r="F73" s="29"/>
      <c r="G73" s="36" t="s">
        <v>267</v>
      </c>
      <c r="H73" s="36" t="s">
        <v>36</v>
      </c>
      <c r="I73" s="521">
        <f>input!I73</f>
        <v>0</v>
      </c>
      <c r="J73" s="450"/>
      <c r="K73" s="450"/>
      <c r="L73" s="450"/>
      <c r="M73" s="451"/>
      <c r="N73" s="451"/>
      <c r="O73" s="451"/>
      <c r="P73" s="451"/>
      <c r="Q73" s="451"/>
      <c r="R73" s="158"/>
    </row>
    <row r="74" spans="1:25" ht="12.75" customHeight="1" x14ac:dyDescent="0.3">
      <c r="A74" s="29"/>
      <c r="B74" s="36" t="s">
        <v>3961</v>
      </c>
      <c r="C74" s="95"/>
      <c r="D74" s="95"/>
      <c r="E74" s="29"/>
      <c r="F74" s="29"/>
      <c r="G74" s="94" t="s">
        <v>966</v>
      </c>
      <c r="H74" s="36" t="s">
        <v>2307</v>
      </c>
      <c r="I74" s="521">
        <f>input!I74</f>
        <v>0</v>
      </c>
      <c r="J74" s="450"/>
      <c r="K74" s="450"/>
      <c r="L74" s="450"/>
      <c r="M74" s="451"/>
      <c r="N74" s="451"/>
      <c r="O74" s="451"/>
      <c r="P74" s="451"/>
      <c r="Q74" s="451"/>
      <c r="R74" s="158"/>
    </row>
    <row r="75" spans="1:25" ht="12.75" customHeight="1" x14ac:dyDescent="0.3">
      <c r="A75" s="29"/>
      <c r="B75" s="36" t="s">
        <v>3962</v>
      </c>
      <c r="C75" s="95"/>
      <c r="D75" s="95"/>
      <c r="E75" s="29"/>
      <c r="F75" s="29"/>
      <c r="G75" s="94" t="s">
        <v>967</v>
      </c>
      <c r="H75" s="36" t="s">
        <v>2307</v>
      </c>
      <c r="I75" s="521">
        <f>input!I75</f>
        <v>0</v>
      </c>
      <c r="J75" s="450"/>
      <c r="K75" s="450"/>
      <c r="L75" s="450"/>
      <c r="M75" s="451"/>
      <c r="N75" s="451"/>
      <c r="O75" s="451"/>
      <c r="P75" s="451"/>
      <c r="Q75" s="451"/>
      <c r="R75" s="158"/>
    </row>
    <row r="76" spans="1:25" ht="12.75" customHeight="1" x14ac:dyDescent="0.3">
      <c r="A76" s="29"/>
      <c r="B76" s="29"/>
      <c r="C76" s="29"/>
      <c r="D76" s="29"/>
      <c r="E76" s="29"/>
      <c r="F76" s="29"/>
      <c r="G76" s="36"/>
      <c r="H76" s="36"/>
      <c r="I76" s="456"/>
      <c r="J76" s="342"/>
      <c r="K76" s="342"/>
      <c r="L76" s="342"/>
      <c r="M76" s="360"/>
      <c r="N76" s="360"/>
      <c r="O76" s="360"/>
      <c r="P76" s="360"/>
      <c r="Q76" s="360"/>
      <c r="R76" s="158"/>
    </row>
    <row r="77" spans="1:25" ht="12.75" customHeight="1" x14ac:dyDescent="0.3">
      <c r="A77" s="97" t="s">
        <v>1097</v>
      </c>
      <c r="B77" s="97"/>
      <c r="C77" s="97"/>
      <c r="D77" s="97"/>
      <c r="E77" s="97"/>
      <c r="F77" s="97"/>
      <c r="G77" s="98" t="s">
        <v>1008</v>
      </c>
      <c r="H77" s="98" t="s">
        <v>968</v>
      </c>
      <c r="I77" s="612" t="s">
        <v>754</v>
      </c>
      <c r="J77" s="613"/>
      <c r="K77" s="613"/>
      <c r="L77" s="613"/>
      <c r="M77" s="613"/>
      <c r="N77" s="613"/>
      <c r="O77" s="613"/>
      <c r="P77" s="613"/>
      <c r="Q77" s="613"/>
      <c r="R77" s="614"/>
      <c r="S77" s="539"/>
      <c r="T77" s="539"/>
      <c r="U77" s="539"/>
      <c r="V77" s="539"/>
      <c r="W77" s="539"/>
      <c r="X77" s="539"/>
      <c r="Y77" s="539"/>
    </row>
    <row r="78" spans="1:25" ht="12.75" customHeight="1" x14ac:dyDescent="0.3">
      <c r="A78" s="29"/>
      <c r="B78" s="29"/>
      <c r="C78" s="29"/>
      <c r="D78" s="29"/>
      <c r="E78" s="29"/>
      <c r="F78" s="29"/>
      <c r="G78" s="36"/>
      <c r="H78" s="36"/>
      <c r="I78" s="342"/>
      <c r="J78" s="320"/>
      <c r="K78" s="320"/>
      <c r="L78" s="320"/>
      <c r="M78" s="325"/>
      <c r="N78" s="325"/>
      <c r="O78" s="325"/>
      <c r="P78" s="325"/>
      <c r="Q78" s="325"/>
      <c r="R78" s="158"/>
    </row>
    <row r="79" spans="1:25" ht="12.75" customHeight="1" x14ac:dyDescent="0.3">
      <c r="A79" s="45" t="s">
        <v>1377</v>
      </c>
      <c r="B79" s="29"/>
      <c r="C79" s="29"/>
      <c r="D79" s="29"/>
      <c r="E79" s="29"/>
      <c r="F79" s="29"/>
      <c r="G79" s="36"/>
      <c r="H79" s="36"/>
      <c r="I79" s="342"/>
      <c r="J79" s="320"/>
      <c r="K79" s="320"/>
      <c r="L79" s="320"/>
      <c r="M79" s="325"/>
      <c r="N79" s="325"/>
      <c r="O79" s="325"/>
      <c r="P79" s="325"/>
      <c r="Q79" s="325"/>
      <c r="R79" s="158"/>
    </row>
    <row r="80" spans="1:25" ht="12.75" customHeight="1" x14ac:dyDescent="0.3">
      <c r="A80" s="36"/>
      <c r="B80" s="36" t="s">
        <v>1007</v>
      </c>
      <c r="C80" s="29"/>
      <c r="D80" s="29"/>
      <c r="E80" s="29"/>
      <c r="F80" s="29"/>
      <c r="G80" s="37" t="s">
        <v>700</v>
      </c>
      <c r="H80" s="36" t="s">
        <v>2311</v>
      </c>
      <c r="I80" s="521">
        <f>input!I80</f>
        <v>0</v>
      </c>
      <c r="J80" s="450"/>
      <c r="K80" s="450">
        <v>0</v>
      </c>
      <c r="L80" s="450"/>
      <c r="M80" s="451"/>
      <c r="N80" s="451"/>
      <c r="O80" s="451"/>
      <c r="P80" s="451"/>
      <c r="Q80" s="451"/>
      <c r="R80" s="158"/>
    </row>
    <row r="81" spans="1:18" ht="12.75" customHeight="1" x14ac:dyDescent="0.3">
      <c r="A81" s="36"/>
      <c r="B81" s="36" t="s">
        <v>2102</v>
      </c>
      <c r="C81" s="29"/>
      <c r="D81" s="29"/>
      <c r="E81" s="29"/>
      <c r="F81" s="29"/>
      <c r="G81" s="37" t="s">
        <v>2103</v>
      </c>
      <c r="H81" s="36" t="s">
        <v>2311</v>
      </c>
      <c r="I81" s="521">
        <f>input!I81</f>
        <v>0</v>
      </c>
      <c r="J81" s="450"/>
      <c r="K81" s="450"/>
      <c r="L81" s="450"/>
      <c r="M81" s="451"/>
      <c r="N81" s="451"/>
      <c r="O81" s="451"/>
      <c r="P81" s="451"/>
      <c r="Q81" s="451"/>
      <c r="R81" s="158"/>
    </row>
    <row r="82" spans="1:18" ht="12.75" customHeight="1" x14ac:dyDescent="0.3">
      <c r="A82" s="36"/>
      <c r="B82" s="36" t="s">
        <v>46</v>
      </c>
      <c r="C82" s="29"/>
      <c r="D82" s="29"/>
      <c r="E82" s="29"/>
      <c r="F82" s="29"/>
      <c r="G82" s="37" t="s">
        <v>699</v>
      </c>
      <c r="H82" s="36" t="s">
        <v>2311</v>
      </c>
      <c r="I82" s="521">
        <f>input!I82</f>
        <v>0</v>
      </c>
      <c r="J82" s="450"/>
      <c r="K82" s="450">
        <v>0</v>
      </c>
      <c r="L82" s="450"/>
      <c r="M82" s="451"/>
      <c r="N82" s="451"/>
      <c r="O82" s="451"/>
      <c r="P82" s="451"/>
      <c r="Q82" s="451"/>
      <c r="R82" s="158"/>
    </row>
    <row r="83" spans="1:18" ht="12.75" customHeight="1" x14ac:dyDescent="0.3">
      <c r="A83" s="36"/>
      <c r="B83" s="36" t="s">
        <v>47</v>
      </c>
      <c r="C83" s="29"/>
      <c r="D83" s="29"/>
      <c r="E83" s="29"/>
      <c r="F83" s="29"/>
      <c r="G83" s="37" t="s">
        <v>701</v>
      </c>
      <c r="H83" s="36" t="s">
        <v>2311</v>
      </c>
      <c r="I83" s="521">
        <f>input!I83</f>
        <v>0</v>
      </c>
      <c r="J83" s="450"/>
      <c r="K83" s="450"/>
      <c r="L83" s="450"/>
      <c r="M83" s="451"/>
      <c r="N83" s="451"/>
      <c r="O83" s="451"/>
      <c r="P83" s="451"/>
      <c r="Q83" s="451"/>
      <c r="R83" s="158"/>
    </row>
    <row r="84" spans="1:18" ht="12.75" customHeight="1" x14ac:dyDescent="0.3">
      <c r="A84" s="36"/>
      <c r="B84" s="36" t="s">
        <v>1201</v>
      </c>
      <c r="C84" s="29"/>
      <c r="D84" s="29"/>
      <c r="E84" s="29"/>
      <c r="F84" s="29"/>
      <c r="G84" s="37" t="s">
        <v>702</v>
      </c>
      <c r="H84" s="36" t="s">
        <v>2311</v>
      </c>
      <c r="I84" s="521">
        <f>input!I84</f>
        <v>0</v>
      </c>
      <c r="J84" s="450"/>
      <c r="K84" s="450"/>
      <c r="L84" s="450"/>
      <c r="M84" s="451"/>
      <c r="N84" s="451"/>
      <c r="O84" s="451"/>
      <c r="P84" s="451"/>
      <c r="Q84" s="451"/>
      <c r="R84" s="158"/>
    </row>
    <row r="85" spans="1:18" ht="12.75" customHeight="1" x14ac:dyDescent="0.3">
      <c r="A85" s="36"/>
      <c r="B85" s="36" t="s">
        <v>1005</v>
      </c>
      <c r="C85" s="29"/>
      <c r="D85" s="29"/>
      <c r="E85" s="29"/>
      <c r="F85" s="29"/>
      <c r="G85" s="37" t="s">
        <v>1175</v>
      </c>
      <c r="H85" s="36" t="s">
        <v>2311</v>
      </c>
      <c r="I85" s="521">
        <f>input!I85</f>
        <v>0</v>
      </c>
      <c r="J85" s="450"/>
      <c r="K85" s="450">
        <v>0</v>
      </c>
      <c r="L85" s="450"/>
      <c r="M85" s="451"/>
      <c r="N85" s="451"/>
      <c r="O85" s="451"/>
      <c r="P85" s="451"/>
      <c r="Q85" s="451"/>
      <c r="R85" s="158"/>
    </row>
    <row r="86" spans="1:18" ht="12.75" customHeight="1" x14ac:dyDescent="0.3">
      <c r="A86" s="36"/>
      <c r="B86" s="36" t="s">
        <v>1006</v>
      </c>
      <c r="C86" s="29"/>
      <c r="D86" s="29"/>
      <c r="E86" s="29"/>
      <c r="F86" s="29"/>
      <c r="G86" s="37" t="s">
        <v>1176</v>
      </c>
      <c r="H86" s="36" t="s">
        <v>2311</v>
      </c>
      <c r="I86" s="521">
        <f>input!I86</f>
        <v>0</v>
      </c>
      <c r="J86" s="450"/>
      <c r="K86" s="450"/>
      <c r="L86" s="450"/>
      <c r="M86" s="451"/>
      <c r="N86" s="451"/>
      <c r="O86" s="451"/>
      <c r="P86" s="451"/>
      <c r="Q86" s="451"/>
      <c r="R86" s="158"/>
    </row>
    <row r="87" spans="1:18" ht="12.75" customHeight="1" x14ac:dyDescent="0.3">
      <c r="A87" s="45" t="s">
        <v>1327</v>
      </c>
      <c r="B87" s="29"/>
      <c r="C87" s="29"/>
      <c r="D87" s="29"/>
      <c r="E87" s="29"/>
      <c r="F87" s="29"/>
      <c r="G87" s="99"/>
      <c r="H87" s="99"/>
      <c r="I87" s="522"/>
      <c r="J87" s="353"/>
      <c r="K87" s="353"/>
      <c r="L87" s="353"/>
      <c r="M87" s="318"/>
      <c r="N87" s="318"/>
      <c r="O87" s="318"/>
      <c r="P87" s="318"/>
      <c r="Q87" s="318"/>
      <c r="R87" s="158"/>
    </row>
    <row r="88" spans="1:18" ht="12.75" customHeight="1" x14ac:dyDescent="0.3">
      <c r="A88" s="36"/>
      <c r="B88" s="36" t="s">
        <v>1007</v>
      </c>
      <c r="C88" s="29"/>
      <c r="D88" s="29"/>
      <c r="E88" s="29"/>
      <c r="F88" s="29"/>
      <c r="G88" s="37" t="s">
        <v>1182</v>
      </c>
      <c r="H88" s="36" t="s">
        <v>2311</v>
      </c>
      <c r="I88" s="521">
        <f>input!I88</f>
        <v>0</v>
      </c>
      <c r="J88" s="450"/>
      <c r="K88" s="450"/>
      <c r="L88" s="450"/>
      <c r="M88" s="451"/>
      <c r="N88" s="451"/>
      <c r="O88" s="451"/>
      <c r="P88" s="451"/>
      <c r="Q88" s="451"/>
      <c r="R88" s="158"/>
    </row>
    <row r="89" spans="1:18" ht="12.75" customHeight="1" x14ac:dyDescent="0.3">
      <c r="A89" s="36"/>
      <c r="B89" s="36" t="s">
        <v>2102</v>
      </c>
      <c r="C89" s="29"/>
      <c r="D89" s="29"/>
      <c r="E89" s="29"/>
      <c r="F89" s="29"/>
      <c r="G89" s="37" t="s">
        <v>2105</v>
      </c>
      <c r="H89" s="36" t="s">
        <v>2311</v>
      </c>
      <c r="I89" s="521">
        <f>input!I89</f>
        <v>0</v>
      </c>
      <c r="J89" s="450"/>
      <c r="K89" s="450"/>
      <c r="L89" s="450"/>
      <c r="M89" s="451"/>
      <c r="N89" s="451"/>
      <c r="O89" s="451"/>
      <c r="P89" s="451"/>
      <c r="Q89" s="451"/>
      <c r="R89" s="158"/>
    </row>
    <row r="90" spans="1:18" ht="12.75" customHeight="1" x14ac:dyDescent="0.3">
      <c r="A90" s="36"/>
      <c r="B90" s="36" t="s">
        <v>46</v>
      </c>
      <c r="C90" s="29"/>
      <c r="D90" s="29"/>
      <c r="E90" s="29"/>
      <c r="F90" s="29"/>
      <c r="G90" s="37" t="s">
        <v>1177</v>
      </c>
      <c r="H90" s="36" t="s">
        <v>2311</v>
      </c>
      <c r="I90" s="521">
        <f>input!I90</f>
        <v>0</v>
      </c>
      <c r="J90" s="450"/>
      <c r="K90" s="450">
        <v>100</v>
      </c>
      <c r="L90" s="450"/>
      <c r="M90" s="451"/>
      <c r="N90" s="451"/>
      <c r="O90" s="451"/>
      <c r="P90" s="451"/>
      <c r="Q90" s="451"/>
      <c r="R90" s="158"/>
    </row>
    <row r="91" spans="1:18" ht="12.75" customHeight="1" x14ac:dyDescent="0.3">
      <c r="A91" s="36"/>
      <c r="B91" s="36" t="s">
        <v>47</v>
      </c>
      <c r="C91" s="29"/>
      <c r="D91" s="29"/>
      <c r="E91" s="29"/>
      <c r="F91" s="29"/>
      <c r="G91" s="37" t="s">
        <v>1178</v>
      </c>
      <c r="H91" s="36" t="s">
        <v>2311</v>
      </c>
      <c r="I91" s="521">
        <f>input!I91</f>
        <v>0</v>
      </c>
      <c r="J91" s="450"/>
      <c r="K91" s="450"/>
      <c r="L91" s="450"/>
      <c r="M91" s="451"/>
      <c r="N91" s="451"/>
      <c r="O91" s="451"/>
      <c r="P91" s="451"/>
      <c r="Q91" s="451"/>
      <c r="R91" s="158"/>
    </row>
    <row r="92" spans="1:18" ht="12.75" customHeight="1" x14ac:dyDescent="0.3">
      <c r="A92" s="36"/>
      <c r="B92" s="36" t="s">
        <v>1201</v>
      </c>
      <c r="C92" s="29"/>
      <c r="D92" s="29"/>
      <c r="E92" s="29"/>
      <c r="F92" s="29"/>
      <c r="G92" s="37" t="s">
        <v>1179</v>
      </c>
      <c r="H92" s="36" t="s">
        <v>2311</v>
      </c>
      <c r="I92" s="521">
        <f>input!I92</f>
        <v>0</v>
      </c>
      <c r="J92" s="450"/>
      <c r="K92" s="450"/>
      <c r="L92" s="450"/>
      <c r="M92" s="451"/>
      <c r="N92" s="451"/>
      <c r="O92" s="451"/>
      <c r="P92" s="451"/>
      <c r="Q92" s="451"/>
      <c r="R92" s="158"/>
    </row>
    <row r="93" spans="1:18" ht="12.75" customHeight="1" x14ac:dyDescent="0.3">
      <c r="A93" s="36"/>
      <c r="B93" s="36" t="s">
        <v>1005</v>
      </c>
      <c r="C93" s="29"/>
      <c r="D93" s="29"/>
      <c r="E93" s="29"/>
      <c r="F93" s="29"/>
      <c r="G93" s="37" t="s">
        <v>1180</v>
      </c>
      <c r="H93" s="36" t="s">
        <v>2311</v>
      </c>
      <c r="I93" s="521">
        <f>input!I93</f>
        <v>0</v>
      </c>
      <c r="J93" s="450"/>
      <c r="K93" s="450"/>
      <c r="L93" s="450"/>
      <c r="M93" s="451"/>
      <c r="N93" s="451"/>
      <c r="O93" s="451"/>
      <c r="P93" s="451"/>
      <c r="Q93" s="451"/>
      <c r="R93" s="158"/>
    </row>
    <row r="94" spans="1:18" ht="12.75" customHeight="1" x14ac:dyDescent="0.3">
      <c r="A94" s="36"/>
      <c r="B94" s="36" t="s">
        <v>1006</v>
      </c>
      <c r="C94" s="29"/>
      <c r="D94" s="29"/>
      <c r="E94" s="29"/>
      <c r="F94" s="29"/>
      <c r="G94" s="37" t="s">
        <v>1181</v>
      </c>
      <c r="H94" s="36" t="s">
        <v>2311</v>
      </c>
      <c r="I94" s="521">
        <f>input!I94</f>
        <v>0</v>
      </c>
      <c r="J94" s="450"/>
      <c r="K94" s="450"/>
      <c r="L94" s="450"/>
      <c r="M94" s="451"/>
      <c r="N94" s="451"/>
      <c r="O94" s="451"/>
      <c r="P94" s="451"/>
      <c r="Q94" s="451"/>
      <c r="R94" s="158"/>
    </row>
    <row r="95" spans="1:18" ht="12.75" customHeight="1" x14ac:dyDescent="0.3">
      <c r="A95" s="45" t="s">
        <v>566</v>
      </c>
      <c r="B95" s="29"/>
      <c r="C95" s="29"/>
      <c r="D95" s="29"/>
      <c r="E95" s="29"/>
      <c r="F95" s="29"/>
      <c r="G95" s="99"/>
      <c r="H95" s="36"/>
      <c r="I95" s="522"/>
      <c r="J95" s="320"/>
      <c r="K95" s="320"/>
      <c r="L95" s="320"/>
      <c r="M95" s="325"/>
      <c r="N95" s="325"/>
      <c r="O95" s="325"/>
      <c r="P95" s="325"/>
      <c r="Q95" s="325"/>
      <c r="R95" s="158"/>
    </row>
    <row r="96" spans="1:18" ht="12.75" customHeight="1" x14ac:dyDescent="0.3">
      <c r="A96" s="36"/>
      <c r="B96" s="36" t="s">
        <v>1007</v>
      </c>
      <c r="C96" s="29"/>
      <c r="D96" s="29"/>
      <c r="E96" s="29"/>
      <c r="F96" s="29"/>
      <c r="G96" s="37" t="s">
        <v>1183</v>
      </c>
      <c r="H96" s="36" t="s">
        <v>2311</v>
      </c>
      <c r="I96" s="521">
        <f>input!I96</f>
        <v>0</v>
      </c>
      <c r="J96" s="450"/>
      <c r="K96" s="450"/>
      <c r="L96" s="450"/>
      <c r="M96" s="451"/>
      <c r="N96" s="451"/>
      <c r="O96" s="451"/>
      <c r="P96" s="451"/>
      <c r="Q96" s="451"/>
      <c r="R96" s="158"/>
    </row>
    <row r="97" spans="1:18" ht="12.75" customHeight="1" x14ac:dyDescent="0.3">
      <c r="A97" s="36"/>
      <c r="B97" s="36" t="s">
        <v>1246</v>
      </c>
      <c r="C97" s="29"/>
      <c r="D97" s="29"/>
      <c r="E97" s="29"/>
      <c r="F97" s="29"/>
      <c r="G97" s="37" t="s">
        <v>690</v>
      </c>
      <c r="H97" s="36" t="s">
        <v>2311</v>
      </c>
      <c r="I97" s="521">
        <f>input!I97</f>
        <v>0</v>
      </c>
      <c r="J97" s="450"/>
      <c r="K97" s="450"/>
      <c r="L97" s="450"/>
      <c r="M97" s="451"/>
      <c r="N97" s="451"/>
      <c r="O97" s="451"/>
      <c r="P97" s="451"/>
      <c r="Q97" s="451"/>
      <c r="R97" s="158"/>
    </row>
    <row r="98" spans="1:18" ht="12.75" customHeight="1" x14ac:dyDescent="0.3">
      <c r="A98" s="36"/>
      <c r="B98" s="36" t="s">
        <v>1094</v>
      </c>
      <c r="C98" s="29"/>
      <c r="D98" s="29"/>
      <c r="E98" s="29"/>
      <c r="F98" s="29"/>
      <c r="G98" s="37" t="s">
        <v>1387</v>
      </c>
      <c r="H98" s="36" t="s">
        <v>2311</v>
      </c>
      <c r="I98" s="521">
        <f>input!I98</f>
        <v>0</v>
      </c>
      <c r="J98" s="450"/>
      <c r="K98" s="450"/>
      <c r="L98" s="450"/>
      <c r="M98" s="451"/>
      <c r="N98" s="451"/>
      <c r="O98" s="451"/>
      <c r="P98" s="451"/>
      <c r="Q98" s="451"/>
      <c r="R98" s="158"/>
    </row>
    <row r="99" spans="1:18" ht="12.75" customHeight="1" x14ac:dyDescent="0.3">
      <c r="A99" s="4" t="s">
        <v>55</v>
      </c>
      <c r="B99" s="36"/>
      <c r="C99" s="29"/>
      <c r="D99" s="29"/>
      <c r="E99" s="29"/>
      <c r="F99" s="29"/>
      <c r="G99" s="99"/>
      <c r="H99" s="36"/>
      <c r="I99" s="522"/>
      <c r="J99" s="320"/>
      <c r="K99" s="320"/>
      <c r="L99" s="320"/>
      <c r="M99" s="325"/>
      <c r="N99" s="325"/>
      <c r="O99" s="325"/>
      <c r="P99" s="325"/>
      <c r="Q99" s="325"/>
      <c r="R99" s="158"/>
    </row>
    <row r="100" spans="1:18" ht="12.75" customHeight="1" x14ac:dyDescent="0.3">
      <c r="A100" s="36"/>
      <c r="B100" s="36" t="s">
        <v>1007</v>
      </c>
      <c r="C100" s="29"/>
      <c r="D100" s="29"/>
      <c r="E100" s="29"/>
      <c r="F100" s="29"/>
      <c r="G100" s="37" t="s">
        <v>1184</v>
      </c>
      <c r="H100" s="36" t="s">
        <v>2311</v>
      </c>
      <c r="I100" s="521">
        <f>input!I100</f>
        <v>0</v>
      </c>
      <c r="J100" s="450"/>
      <c r="K100" s="450"/>
      <c r="L100" s="450"/>
      <c r="M100" s="451"/>
      <c r="N100" s="451"/>
      <c r="O100" s="451"/>
      <c r="P100" s="451"/>
      <c r="Q100" s="451"/>
      <c r="R100" s="158"/>
    </row>
    <row r="101" spans="1:18" ht="12.75" customHeight="1" x14ac:dyDescent="0.3">
      <c r="A101" s="36"/>
      <c r="B101" s="36" t="s">
        <v>1246</v>
      </c>
      <c r="C101" s="29"/>
      <c r="D101" s="29"/>
      <c r="E101" s="29"/>
      <c r="F101" s="29"/>
      <c r="G101" s="37" t="s">
        <v>691</v>
      </c>
      <c r="H101" s="36" t="s">
        <v>2311</v>
      </c>
      <c r="I101" s="521">
        <f>input!I101</f>
        <v>0</v>
      </c>
      <c r="J101" s="450"/>
      <c r="K101" s="450"/>
      <c r="L101" s="450"/>
      <c r="M101" s="451"/>
      <c r="N101" s="451"/>
      <c r="O101" s="451"/>
      <c r="P101" s="451"/>
      <c r="Q101" s="451"/>
      <c r="R101" s="158"/>
    </row>
    <row r="102" spans="1:18" ht="12.75" customHeight="1" x14ac:dyDescent="0.3">
      <c r="A102" s="36"/>
      <c r="B102" s="36" t="s">
        <v>1094</v>
      </c>
      <c r="C102" s="29"/>
      <c r="D102" s="29"/>
      <c r="E102" s="29"/>
      <c r="F102" s="29"/>
      <c r="G102" s="37" t="s">
        <v>1386</v>
      </c>
      <c r="H102" s="36" t="s">
        <v>2311</v>
      </c>
      <c r="I102" s="521">
        <f>input!I102</f>
        <v>0</v>
      </c>
      <c r="J102" s="450"/>
      <c r="K102" s="450"/>
      <c r="L102" s="450"/>
      <c r="M102" s="451"/>
      <c r="N102" s="451"/>
      <c r="O102" s="451"/>
      <c r="P102" s="451"/>
      <c r="Q102" s="451"/>
      <c r="R102" s="158"/>
    </row>
    <row r="103" spans="1:18" ht="12.75" customHeight="1" x14ac:dyDescent="0.3">
      <c r="A103" s="45" t="s">
        <v>56</v>
      </c>
      <c r="B103" s="29"/>
      <c r="C103" s="29"/>
      <c r="D103" s="29"/>
      <c r="E103" s="29"/>
      <c r="F103" s="29"/>
      <c r="G103" s="99"/>
      <c r="H103" s="36"/>
      <c r="I103" s="522"/>
      <c r="J103" s="320"/>
      <c r="K103" s="320"/>
      <c r="L103" s="320"/>
      <c r="M103" s="325"/>
      <c r="N103" s="325"/>
      <c r="O103" s="325"/>
      <c r="P103" s="325"/>
      <c r="Q103" s="325"/>
      <c r="R103" s="158"/>
    </row>
    <row r="104" spans="1:18" ht="12.75" customHeight="1" x14ac:dyDescent="0.3">
      <c r="A104" s="36"/>
      <c r="B104" s="36" t="s">
        <v>1007</v>
      </c>
      <c r="C104" s="29"/>
      <c r="D104" s="29"/>
      <c r="E104" s="29"/>
      <c r="F104" s="29"/>
      <c r="G104" s="37" t="s">
        <v>1388</v>
      </c>
      <c r="H104" s="36" t="s">
        <v>2311</v>
      </c>
      <c r="I104" s="521">
        <f>input!I104</f>
        <v>0</v>
      </c>
      <c r="J104" s="450"/>
      <c r="K104" s="450"/>
      <c r="L104" s="450"/>
      <c r="M104" s="451"/>
      <c r="N104" s="451"/>
      <c r="O104" s="451"/>
      <c r="P104" s="451"/>
      <c r="Q104" s="451"/>
      <c r="R104" s="158"/>
    </row>
    <row r="105" spans="1:18" ht="12.75" customHeight="1" x14ac:dyDescent="0.3">
      <c r="A105" s="36"/>
      <c r="B105" s="36" t="s">
        <v>1246</v>
      </c>
      <c r="C105" s="29"/>
      <c r="D105" s="29"/>
      <c r="E105" s="29"/>
      <c r="F105" s="29"/>
      <c r="G105" s="37" t="s">
        <v>692</v>
      </c>
      <c r="H105" s="36" t="s">
        <v>2311</v>
      </c>
      <c r="I105" s="521">
        <f>input!I105</f>
        <v>0</v>
      </c>
      <c r="J105" s="450"/>
      <c r="K105" s="450"/>
      <c r="L105" s="450"/>
      <c r="M105" s="451"/>
      <c r="N105" s="451"/>
      <c r="O105" s="451"/>
      <c r="P105" s="451"/>
      <c r="Q105" s="451"/>
      <c r="R105" s="158"/>
    </row>
    <row r="106" spans="1:18" ht="12.75" customHeight="1" x14ac:dyDescent="0.3">
      <c r="A106" s="36"/>
      <c r="B106" s="36" t="s">
        <v>1094</v>
      </c>
      <c r="C106" s="29"/>
      <c r="D106" s="29"/>
      <c r="E106" s="29"/>
      <c r="F106" s="29"/>
      <c r="G106" s="37" t="s">
        <v>1389</v>
      </c>
      <c r="H106" s="36" t="s">
        <v>2311</v>
      </c>
      <c r="I106" s="521">
        <f>input!I106</f>
        <v>0</v>
      </c>
      <c r="J106" s="450"/>
      <c r="K106" s="450"/>
      <c r="L106" s="450"/>
      <c r="M106" s="451"/>
      <c r="N106" s="451"/>
      <c r="O106" s="451"/>
      <c r="P106" s="451"/>
      <c r="Q106" s="451"/>
      <c r="R106" s="158"/>
    </row>
    <row r="107" spans="1:18" ht="12.75" customHeight="1" x14ac:dyDescent="0.3">
      <c r="A107" s="29"/>
      <c r="B107" s="29"/>
      <c r="C107" s="29"/>
      <c r="D107" s="29"/>
      <c r="E107" s="29"/>
      <c r="F107" s="29"/>
      <c r="G107" s="36"/>
      <c r="H107" s="36"/>
      <c r="I107" s="456"/>
      <c r="J107" s="320"/>
      <c r="K107" s="320"/>
      <c r="L107" s="320"/>
      <c r="M107" s="325"/>
      <c r="N107" s="325"/>
      <c r="O107" s="325"/>
      <c r="P107" s="325"/>
      <c r="Q107" s="325"/>
      <c r="R107" s="158"/>
    </row>
    <row r="108" spans="1:18" ht="12.75" customHeight="1" x14ac:dyDescent="0.3">
      <c r="A108" s="98" t="s">
        <v>2146</v>
      </c>
      <c r="B108" s="97"/>
      <c r="C108" s="97"/>
      <c r="D108" s="97"/>
      <c r="E108" s="97"/>
      <c r="F108" s="97"/>
      <c r="G108" s="97"/>
      <c r="H108" s="97"/>
      <c r="I108" s="340" t="s">
        <v>754</v>
      </c>
      <c r="J108" s="364"/>
      <c r="K108" s="364"/>
      <c r="L108" s="460"/>
      <c r="M108" s="461"/>
      <c r="N108" s="461"/>
      <c r="O108" s="461"/>
      <c r="P108" s="461"/>
      <c r="Q108" s="461"/>
      <c r="R108" s="158"/>
    </row>
    <row r="109" spans="1:18" ht="12.75" customHeight="1" x14ac:dyDescent="0.3">
      <c r="A109" s="36"/>
      <c r="B109" s="29"/>
      <c r="C109" s="29"/>
      <c r="D109" s="29"/>
      <c r="E109" s="29"/>
      <c r="F109" s="29"/>
      <c r="G109" s="36"/>
      <c r="H109" s="36"/>
      <c r="I109" s="342"/>
      <c r="J109" s="320"/>
      <c r="K109" s="320"/>
      <c r="L109" s="320"/>
      <c r="M109" s="325"/>
      <c r="N109" s="325"/>
      <c r="O109" s="325"/>
      <c r="P109" s="325"/>
      <c r="Q109" s="325"/>
      <c r="R109" s="158"/>
    </row>
    <row r="110" spans="1:18" ht="12.75" customHeight="1" x14ac:dyDescent="0.3">
      <c r="A110" s="4" t="s">
        <v>1377</v>
      </c>
      <c r="B110" s="29"/>
      <c r="C110" s="29"/>
      <c r="D110" s="29"/>
      <c r="E110" s="29"/>
      <c r="F110" s="29"/>
      <c r="G110" s="29"/>
      <c r="H110" s="29"/>
      <c r="I110" s="342"/>
      <c r="J110" s="339"/>
      <c r="K110" s="339"/>
      <c r="L110" s="339"/>
      <c r="M110" s="282"/>
      <c r="N110" s="282"/>
      <c r="O110" s="282"/>
      <c r="P110" s="282"/>
      <c r="Q110" s="282"/>
      <c r="R110" s="158"/>
    </row>
    <row r="111" spans="1:18" ht="12.75" customHeight="1" x14ac:dyDescent="0.3">
      <c r="A111" s="29"/>
      <c r="B111" s="29" t="s">
        <v>675</v>
      </c>
      <c r="C111" s="29"/>
      <c r="D111" s="29"/>
      <c r="E111" s="29"/>
      <c r="F111" s="29"/>
      <c r="G111" s="29" t="s">
        <v>1398</v>
      </c>
      <c r="H111" s="95" t="s">
        <v>2312</v>
      </c>
      <c r="I111" s="521">
        <f>input!I111</f>
        <v>0</v>
      </c>
      <c r="J111" s="450"/>
      <c r="K111" s="450">
        <v>0</v>
      </c>
      <c r="L111" s="450"/>
      <c r="M111" s="451"/>
      <c r="N111" s="451"/>
      <c r="O111" s="451"/>
      <c r="P111" s="451"/>
      <c r="Q111" s="451"/>
      <c r="R111" s="158"/>
    </row>
    <row r="112" spans="1:18" ht="12.75" customHeight="1" x14ac:dyDescent="0.3">
      <c r="A112" s="29"/>
      <c r="B112" s="29" t="s">
        <v>676</v>
      </c>
      <c r="C112" s="29"/>
      <c r="D112" s="29"/>
      <c r="E112" s="29"/>
      <c r="F112" s="29"/>
      <c r="G112" s="29" t="s">
        <v>1399</v>
      </c>
      <c r="H112" s="95" t="s">
        <v>2312</v>
      </c>
      <c r="I112" s="521">
        <f>input!I112</f>
        <v>0</v>
      </c>
      <c r="J112" s="450"/>
      <c r="K112" s="450">
        <v>0</v>
      </c>
      <c r="L112" s="450"/>
      <c r="M112" s="451"/>
      <c r="N112" s="451"/>
      <c r="O112" s="451"/>
      <c r="P112" s="451"/>
      <c r="Q112" s="451"/>
      <c r="R112" s="158"/>
    </row>
    <row r="113" spans="1:18" ht="12.75" customHeight="1" x14ac:dyDescent="0.3">
      <c r="A113" s="29"/>
      <c r="B113" s="29" t="s">
        <v>308</v>
      </c>
      <c r="C113" s="29"/>
      <c r="D113" s="29"/>
      <c r="E113" s="29"/>
      <c r="F113" s="29"/>
      <c r="G113" s="29" t="s">
        <v>309</v>
      </c>
      <c r="H113" s="29" t="s">
        <v>486</v>
      </c>
      <c r="I113" s="521">
        <f>input!I113</f>
        <v>0</v>
      </c>
      <c r="J113" s="450"/>
      <c r="K113" s="450"/>
      <c r="L113" s="450">
        <v>9.9999999999999995E-21</v>
      </c>
      <c r="M113" s="451"/>
      <c r="N113" s="451">
        <v>9.9999999999999995E-21</v>
      </c>
      <c r="O113" s="451">
        <v>9.9999999999999995E-21</v>
      </c>
      <c r="P113" s="451">
        <v>9.9999999999999995E-21</v>
      </c>
      <c r="Q113" s="451">
        <v>9.9999999999999995E-21</v>
      </c>
      <c r="R113" s="158"/>
    </row>
    <row r="114" spans="1:18" ht="12.75" customHeight="1" x14ac:dyDescent="0.3">
      <c r="A114" s="29"/>
      <c r="B114" s="29" t="s">
        <v>677</v>
      </c>
      <c r="C114" s="29"/>
      <c r="D114" s="29"/>
      <c r="E114" s="29"/>
      <c r="F114" s="29"/>
      <c r="G114" s="29" t="s">
        <v>681</v>
      </c>
      <c r="H114" s="29" t="s">
        <v>486</v>
      </c>
      <c r="I114" s="521">
        <f>input!I114</f>
        <v>0</v>
      </c>
      <c r="J114" s="450"/>
      <c r="K114" s="450"/>
      <c r="L114" s="450">
        <v>0.03</v>
      </c>
      <c r="M114" s="451"/>
      <c r="N114" s="451">
        <v>0.03</v>
      </c>
      <c r="O114" s="451">
        <v>0.03</v>
      </c>
      <c r="P114" s="451">
        <v>0.03</v>
      </c>
      <c r="Q114" s="451">
        <v>0.03</v>
      </c>
      <c r="R114" s="158"/>
    </row>
    <row r="115" spans="1:18" ht="12.75" customHeight="1" x14ac:dyDescent="0.3">
      <c r="A115" s="29"/>
      <c r="B115" s="29" t="s">
        <v>678</v>
      </c>
      <c r="C115" s="29"/>
      <c r="D115" s="29"/>
      <c r="E115" s="29"/>
      <c r="F115" s="29"/>
      <c r="G115" s="29" t="s">
        <v>682</v>
      </c>
      <c r="H115" s="29" t="s">
        <v>486</v>
      </c>
      <c r="I115" s="521">
        <f>input!I115</f>
        <v>0</v>
      </c>
      <c r="J115" s="450"/>
      <c r="K115" s="450"/>
      <c r="L115" s="450"/>
      <c r="M115" s="451"/>
      <c r="N115" s="451"/>
      <c r="O115" s="451"/>
      <c r="P115" s="451"/>
      <c r="Q115" s="451"/>
      <c r="R115" s="158"/>
    </row>
    <row r="116" spans="1:18" ht="12.75" customHeight="1" x14ac:dyDescent="0.3">
      <c r="A116" s="29"/>
      <c r="B116" s="29" t="s">
        <v>679</v>
      </c>
      <c r="C116" s="29"/>
      <c r="D116" s="29"/>
      <c r="E116" s="29"/>
      <c r="F116" s="29"/>
      <c r="G116" s="29" t="s">
        <v>1416</v>
      </c>
      <c r="H116" s="29" t="s">
        <v>486</v>
      </c>
      <c r="I116" s="521">
        <f>input!I116</f>
        <v>0</v>
      </c>
      <c r="J116" s="450"/>
      <c r="K116" s="450"/>
      <c r="L116" s="450"/>
      <c r="M116" s="451"/>
      <c r="N116" s="451"/>
      <c r="O116" s="451"/>
      <c r="P116" s="451"/>
      <c r="Q116" s="451"/>
      <c r="R116" s="158"/>
    </row>
    <row r="117" spans="1:18" ht="12.75" customHeight="1" x14ac:dyDescent="0.3">
      <c r="A117" s="29"/>
      <c r="B117" s="29" t="s">
        <v>680</v>
      </c>
      <c r="C117" s="29"/>
      <c r="D117" s="29"/>
      <c r="E117" s="29"/>
      <c r="F117" s="29"/>
      <c r="G117" s="29" t="s">
        <v>1417</v>
      </c>
      <c r="H117" s="29" t="s">
        <v>486</v>
      </c>
      <c r="I117" s="521">
        <f>input!I117</f>
        <v>0</v>
      </c>
      <c r="J117" s="450"/>
      <c r="K117" s="450"/>
      <c r="L117" s="450"/>
      <c r="M117" s="451"/>
      <c r="N117" s="451"/>
      <c r="O117" s="451"/>
      <c r="P117" s="451"/>
      <c r="Q117" s="451"/>
      <c r="R117" s="158"/>
    </row>
    <row r="118" spans="1:18" ht="12.75" customHeight="1" x14ac:dyDescent="0.3">
      <c r="A118" s="29"/>
      <c r="B118" s="29" t="s">
        <v>988</v>
      </c>
      <c r="C118" s="29"/>
      <c r="D118" s="29"/>
      <c r="E118" s="29"/>
      <c r="F118" s="29"/>
      <c r="G118" s="29" t="s">
        <v>110</v>
      </c>
      <c r="H118" s="29" t="s">
        <v>2306</v>
      </c>
      <c r="I118" s="521">
        <f>input!I118</f>
        <v>0</v>
      </c>
      <c r="J118" s="450"/>
      <c r="K118" s="450"/>
      <c r="L118" s="450"/>
      <c r="M118" s="451"/>
      <c r="N118" s="451"/>
      <c r="O118" s="451"/>
      <c r="P118" s="451"/>
      <c r="Q118" s="451"/>
      <c r="R118" s="158"/>
    </row>
    <row r="119" spans="1:18" ht="12.75" customHeight="1" x14ac:dyDescent="0.3">
      <c r="A119" s="29"/>
      <c r="B119" s="29" t="s">
        <v>989</v>
      </c>
      <c r="C119" s="29"/>
      <c r="D119" s="29"/>
      <c r="E119" s="29"/>
      <c r="F119" s="29"/>
      <c r="G119" s="29" t="s">
        <v>109</v>
      </c>
      <c r="H119" s="29" t="s">
        <v>1490</v>
      </c>
      <c r="I119" s="521">
        <f>input!I119</f>
        <v>0</v>
      </c>
      <c r="J119" s="450"/>
      <c r="K119" s="450"/>
      <c r="L119" s="450"/>
      <c r="M119" s="451"/>
      <c r="N119" s="451"/>
      <c r="O119" s="451"/>
      <c r="P119" s="451"/>
      <c r="Q119" s="451"/>
      <c r="R119" s="158"/>
    </row>
    <row r="120" spans="1:18" ht="12.75" customHeight="1" x14ac:dyDescent="0.3">
      <c r="A120" s="29"/>
      <c r="B120" s="29" t="s">
        <v>992</v>
      </c>
      <c r="C120" s="29"/>
      <c r="D120" s="29"/>
      <c r="E120" s="29"/>
      <c r="F120" s="29"/>
      <c r="G120" s="29" t="s">
        <v>122</v>
      </c>
      <c r="H120" s="29" t="s">
        <v>1491</v>
      </c>
      <c r="I120" s="521">
        <f>input!I120</f>
        <v>0</v>
      </c>
      <c r="J120" s="450"/>
      <c r="K120" s="450"/>
      <c r="L120" s="450"/>
      <c r="M120" s="451"/>
      <c r="N120" s="451"/>
      <c r="O120" s="451"/>
      <c r="P120" s="451"/>
      <c r="Q120" s="451"/>
      <c r="R120" s="158"/>
    </row>
    <row r="121" spans="1:18" ht="12.75" customHeight="1" x14ac:dyDescent="0.3">
      <c r="A121" s="29"/>
      <c r="B121" s="29" t="s">
        <v>311</v>
      </c>
      <c r="C121" s="29"/>
      <c r="D121" s="29"/>
      <c r="E121" s="29"/>
      <c r="F121" s="29"/>
      <c r="G121" s="29" t="s">
        <v>312</v>
      </c>
      <c r="H121" s="29" t="s">
        <v>720</v>
      </c>
      <c r="I121" s="521">
        <f>input!I121</f>
        <v>0</v>
      </c>
      <c r="J121" s="450"/>
      <c r="K121" s="450"/>
      <c r="L121" s="450"/>
      <c r="M121" s="451"/>
      <c r="N121" s="451"/>
      <c r="O121" s="451"/>
      <c r="P121" s="451"/>
      <c r="Q121" s="451"/>
      <c r="R121" s="158"/>
    </row>
    <row r="122" spans="1:18" ht="12.75" customHeight="1" x14ac:dyDescent="0.3">
      <c r="A122" s="29"/>
      <c r="B122" s="29" t="s">
        <v>993</v>
      </c>
      <c r="C122" s="29"/>
      <c r="D122" s="29"/>
      <c r="E122" s="29"/>
      <c r="F122" s="29"/>
      <c r="G122" s="29" t="s">
        <v>1418</v>
      </c>
      <c r="H122" s="29" t="s">
        <v>720</v>
      </c>
      <c r="I122" s="521">
        <f>input!I122</f>
        <v>0</v>
      </c>
      <c r="J122" s="450"/>
      <c r="K122" s="450"/>
      <c r="L122" s="450"/>
      <c r="M122" s="451"/>
      <c r="N122" s="451"/>
      <c r="O122" s="451"/>
      <c r="P122" s="451"/>
      <c r="Q122" s="451"/>
      <c r="R122" s="158"/>
    </row>
    <row r="123" spans="1:18" ht="12.75" customHeight="1" x14ac:dyDescent="0.3">
      <c r="A123" s="29"/>
      <c r="B123" s="29" t="s">
        <v>4</v>
      </c>
      <c r="C123" s="29"/>
      <c r="D123" s="29"/>
      <c r="E123" s="29"/>
      <c r="F123" s="29"/>
      <c r="G123" s="29" t="s">
        <v>5</v>
      </c>
      <c r="H123" s="29" t="s">
        <v>486</v>
      </c>
      <c r="I123" s="521">
        <f>input!I123</f>
        <v>0</v>
      </c>
      <c r="J123" s="450"/>
      <c r="K123" s="450"/>
      <c r="L123" s="450"/>
      <c r="M123" s="451"/>
      <c r="N123" s="451"/>
      <c r="O123" s="451"/>
      <c r="P123" s="451"/>
      <c r="Q123" s="451"/>
      <c r="R123" s="158"/>
    </row>
    <row r="124" spans="1:18" ht="12.75" customHeight="1" x14ac:dyDescent="0.3">
      <c r="A124" s="29"/>
      <c r="B124" s="29" t="s">
        <v>991</v>
      </c>
      <c r="C124" s="29"/>
      <c r="D124" s="29"/>
      <c r="E124" s="29"/>
      <c r="F124" s="29"/>
      <c r="G124" s="29" t="s">
        <v>1420</v>
      </c>
      <c r="H124" s="29" t="s">
        <v>486</v>
      </c>
      <c r="I124" s="521">
        <f>input!I124</f>
        <v>0</v>
      </c>
      <c r="J124" s="450"/>
      <c r="K124" s="450"/>
      <c r="L124" s="450"/>
      <c r="M124" s="451"/>
      <c r="N124" s="451"/>
      <c r="O124" s="451"/>
      <c r="P124" s="451"/>
      <c r="Q124" s="451"/>
      <c r="R124" s="158"/>
    </row>
    <row r="125" spans="1:18" ht="12.75" customHeight="1" x14ac:dyDescent="0.3">
      <c r="A125" s="29"/>
      <c r="B125" s="29" t="s">
        <v>990</v>
      </c>
      <c r="C125" s="29"/>
      <c r="D125" s="29"/>
      <c r="E125" s="29"/>
      <c r="F125" s="29"/>
      <c r="G125" s="29" t="s">
        <v>1419</v>
      </c>
      <c r="H125" s="29" t="s">
        <v>486</v>
      </c>
      <c r="I125" s="521">
        <f>input!I125</f>
        <v>0</v>
      </c>
      <c r="J125" s="450"/>
      <c r="K125" s="450"/>
      <c r="L125" s="450"/>
      <c r="M125" s="451"/>
      <c r="N125" s="451"/>
      <c r="O125" s="451"/>
      <c r="P125" s="451"/>
      <c r="Q125" s="451"/>
      <c r="R125" s="158"/>
    </row>
    <row r="126" spans="1:18" ht="12.75" customHeight="1" x14ac:dyDescent="0.3">
      <c r="A126" s="29"/>
      <c r="B126" s="29" t="s">
        <v>994</v>
      </c>
      <c r="C126" s="29"/>
      <c r="D126" s="29"/>
      <c r="E126" s="29"/>
      <c r="F126" s="29"/>
      <c r="G126" s="29" t="s">
        <v>1421</v>
      </c>
      <c r="H126" s="29" t="s">
        <v>1491</v>
      </c>
      <c r="I126" s="521">
        <f>input!I126</f>
        <v>0</v>
      </c>
      <c r="J126" s="450"/>
      <c r="K126" s="450"/>
      <c r="L126" s="450"/>
      <c r="M126" s="451"/>
      <c r="N126" s="451"/>
      <c r="O126" s="451"/>
      <c r="P126" s="451"/>
      <c r="Q126" s="451"/>
      <c r="R126" s="158"/>
    </row>
    <row r="127" spans="1:18" ht="12.75" customHeight="1" x14ac:dyDescent="0.3">
      <c r="A127" s="29"/>
      <c r="B127" s="29"/>
      <c r="C127" s="29"/>
      <c r="D127" s="29"/>
      <c r="E127" s="29"/>
      <c r="F127" s="29"/>
      <c r="G127" s="29"/>
      <c r="H127" s="29"/>
      <c r="I127" s="522"/>
      <c r="J127" s="339"/>
      <c r="K127" s="339"/>
      <c r="L127" s="339"/>
      <c r="M127" s="451"/>
      <c r="N127" s="282"/>
      <c r="O127" s="282"/>
      <c r="P127" s="282"/>
      <c r="Q127" s="282"/>
      <c r="R127" s="158"/>
    </row>
    <row r="128" spans="1:18" ht="12.75" customHeight="1" x14ac:dyDescent="0.3">
      <c r="A128" s="4" t="s">
        <v>1327</v>
      </c>
      <c r="B128" s="29"/>
      <c r="C128" s="29"/>
      <c r="D128" s="29"/>
      <c r="E128" s="29"/>
      <c r="F128" s="29"/>
      <c r="G128" s="29"/>
      <c r="H128" s="29"/>
      <c r="I128" s="342"/>
      <c r="J128" s="29"/>
      <c r="K128" s="29"/>
      <c r="L128" s="29"/>
      <c r="M128" s="451"/>
      <c r="N128" s="282"/>
      <c r="O128" s="282"/>
      <c r="P128" s="282"/>
      <c r="Q128" s="282"/>
      <c r="R128" s="158"/>
    </row>
    <row r="129" spans="1:18" ht="12.75" customHeight="1" x14ac:dyDescent="0.3">
      <c r="A129" s="29"/>
      <c r="B129" s="29" t="s">
        <v>675</v>
      </c>
      <c r="C129" s="29"/>
      <c r="D129" s="29"/>
      <c r="E129" s="29"/>
      <c r="F129" s="29"/>
      <c r="G129" s="29" t="s">
        <v>1445</v>
      </c>
      <c r="H129" s="95" t="s">
        <v>2312</v>
      </c>
      <c r="I129" s="521">
        <f>input!I129</f>
        <v>0</v>
      </c>
      <c r="J129" s="450"/>
      <c r="K129" s="450"/>
      <c r="L129" s="450"/>
      <c r="M129" s="451"/>
      <c r="N129" s="451"/>
      <c r="O129" s="451"/>
      <c r="P129" s="451"/>
      <c r="Q129" s="451"/>
      <c r="R129" s="158"/>
    </row>
    <row r="130" spans="1:18" ht="12.75" customHeight="1" x14ac:dyDescent="0.3">
      <c r="A130" s="29"/>
      <c r="B130" s="29" t="s">
        <v>676</v>
      </c>
      <c r="C130" s="29"/>
      <c r="D130" s="29"/>
      <c r="E130" s="29"/>
      <c r="F130" s="29"/>
      <c r="G130" s="29" t="s">
        <v>1446</v>
      </c>
      <c r="H130" s="95" t="s">
        <v>2312</v>
      </c>
      <c r="I130" s="521">
        <f>input!I130</f>
        <v>0</v>
      </c>
      <c r="J130" s="450"/>
      <c r="K130" s="450"/>
      <c r="L130" s="450"/>
      <c r="M130" s="451"/>
      <c r="N130" s="451"/>
      <c r="O130" s="451"/>
      <c r="P130" s="451"/>
      <c r="Q130" s="451"/>
      <c r="R130" s="158"/>
    </row>
    <row r="131" spans="1:18" ht="12.75" customHeight="1" x14ac:dyDescent="0.3">
      <c r="A131" s="29"/>
      <c r="B131" s="29" t="s">
        <v>677</v>
      </c>
      <c r="C131" s="29"/>
      <c r="D131" s="29"/>
      <c r="E131" s="29"/>
      <c r="F131" s="29"/>
      <c r="G131" s="29" t="s">
        <v>310</v>
      </c>
      <c r="H131" s="29" t="s">
        <v>486</v>
      </c>
      <c r="I131" s="521">
        <f>input!I133</f>
        <v>0</v>
      </c>
      <c r="J131" s="450"/>
      <c r="K131" s="450"/>
      <c r="L131" s="450">
        <v>9.9999999999999995E-21</v>
      </c>
      <c r="M131" s="451"/>
      <c r="N131" s="451">
        <v>9.9999999999999995E-21</v>
      </c>
      <c r="O131" s="451">
        <v>9.9999999999999995E-21</v>
      </c>
      <c r="P131" s="451">
        <v>9.9999999999999995E-21</v>
      </c>
      <c r="Q131" s="451">
        <v>9.9999999999999995E-21</v>
      </c>
      <c r="R131" s="158"/>
    </row>
    <row r="132" spans="1:18" ht="12.75" customHeight="1" x14ac:dyDescent="0.3">
      <c r="A132" s="29"/>
      <c r="B132" s="29" t="s">
        <v>677</v>
      </c>
      <c r="C132" s="29"/>
      <c r="D132" s="29"/>
      <c r="E132" s="29"/>
      <c r="F132" s="29"/>
      <c r="G132" s="29" t="s">
        <v>1422</v>
      </c>
      <c r="H132" s="29" t="s">
        <v>486</v>
      </c>
      <c r="I132" s="521">
        <f>input!I134</f>
        <v>0</v>
      </c>
      <c r="J132" s="450"/>
      <c r="K132" s="450"/>
      <c r="L132" s="450">
        <v>0.03</v>
      </c>
      <c r="M132" s="451"/>
      <c r="N132" s="451">
        <v>0.03</v>
      </c>
      <c r="O132" s="451">
        <v>0.03</v>
      </c>
      <c r="P132" s="451">
        <v>0.03</v>
      </c>
      <c r="Q132" s="451">
        <v>0.03</v>
      </c>
      <c r="R132" s="158"/>
    </row>
    <row r="133" spans="1:18" ht="12.75" customHeight="1" x14ac:dyDescent="0.3">
      <c r="A133" s="29"/>
      <c r="B133" s="29" t="s">
        <v>678</v>
      </c>
      <c r="C133" s="29"/>
      <c r="D133" s="29"/>
      <c r="E133" s="29"/>
      <c r="F133" s="29"/>
      <c r="G133" s="29" t="s">
        <v>1423</v>
      </c>
      <c r="H133" s="29" t="s">
        <v>486</v>
      </c>
      <c r="I133" s="521">
        <f>input!I135</f>
        <v>0</v>
      </c>
      <c r="J133" s="450"/>
      <c r="K133" s="450"/>
      <c r="L133" s="450"/>
      <c r="M133" s="451"/>
      <c r="N133" s="451"/>
      <c r="O133" s="451"/>
      <c r="P133" s="451"/>
      <c r="Q133" s="451"/>
      <c r="R133" s="158"/>
    </row>
    <row r="134" spans="1:18" ht="12.75" customHeight="1" x14ac:dyDescent="0.3">
      <c r="A134" s="29"/>
      <c r="B134" s="29" t="s">
        <v>679</v>
      </c>
      <c r="C134" s="29"/>
      <c r="D134" s="29"/>
      <c r="E134" s="29"/>
      <c r="F134" s="29"/>
      <c r="G134" s="29" t="s">
        <v>1340</v>
      </c>
      <c r="H134" s="29" t="s">
        <v>486</v>
      </c>
      <c r="I134" s="521">
        <f>input!I136</f>
        <v>0</v>
      </c>
      <c r="J134" s="450"/>
      <c r="K134" s="450"/>
      <c r="L134" s="450"/>
      <c r="M134" s="451"/>
      <c r="N134" s="451"/>
      <c r="O134" s="451"/>
      <c r="P134" s="451"/>
      <c r="Q134" s="451"/>
      <c r="R134" s="158"/>
    </row>
    <row r="135" spans="1:18" ht="12.75" customHeight="1" x14ac:dyDescent="0.3">
      <c r="A135" s="29"/>
      <c r="B135" s="29" t="s">
        <v>680</v>
      </c>
      <c r="C135" s="29"/>
      <c r="D135" s="29"/>
      <c r="E135" s="29"/>
      <c r="F135" s="29"/>
      <c r="G135" s="29" t="s">
        <v>1341</v>
      </c>
      <c r="H135" s="29" t="s">
        <v>486</v>
      </c>
      <c r="I135" s="521">
        <f>input!I137</f>
        <v>0</v>
      </c>
      <c r="J135" s="450"/>
      <c r="K135" s="450"/>
      <c r="L135" s="450"/>
      <c r="M135" s="451"/>
      <c r="N135" s="451"/>
      <c r="O135" s="451"/>
      <c r="P135" s="451"/>
      <c r="Q135" s="451"/>
      <c r="R135" s="158"/>
    </row>
    <row r="136" spans="1:18" ht="12.75" customHeight="1" x14ac:dyDescent="0.3">
      <c r="A136" s="29"/>
      <c r="B136" s="29" t="s">
        <v>988</v>
      </c>
      <c r="C136" s="29"/>
      <c r="D136" s="29"/>
      <c r="E136" s="29"/>
      <c r="F136" s="29"/>
      <c r="G136" s="29" t="s">
        <v>1108</v>
      </c>
      <c r="H136" s="29" t="s">
        <v>2306</v>
      </c>
      <c r="I136" s="521">
        <f>input!I138</f>
        <v>0</v>
      </c>
      <c r="J136" s="450"/>
      <c r="K136" s="450"/>
      <c r="L136" s="450"/>
      <c r="M136" s="451"/>
      <c r="N136" s="451"/>
      <c r="O136" s="451"/>
      <c r="P136" s="451"/>
      <c r="Q136" s="451"/>
      <c r="R136" s="158"/>
    </row>
    <row r="137" spans="1:18" ht="12.75" customHeight="1" x14ac:dyDescent="0.3">
      <c r="A137" s="29"/>
      <c r="B137" s="29" t="s">
        <v>989</v>
      </c>
      <c r="C137" s="29"/>
      <c r="D137" s="29"/>
      <c r="E137" s="29"/>
      <c r="F137" s="29"/>
      <c r="G137" s="29" t="s">
        <v>787</v>
      </c>
      <c r="H137" s="29" t="s">
        <v>1490</v>
      </c>
      <c r="I137" s="521">
        <f>input!I139</f>
        <v>0</v>
      </c>
      <c r="J137" s="450"/>
      <c r="K137" s="450"/>
      <c r="L137" s="450"/>
      <c r="M137" s="451"/>
      <c r="N137" s="451"/>
      <c r="O137" s="451"/>
      <c r="P137" s="451"/>
      <c r="Q137" s="451"/>
      <c r="R137" s="158"/>
    </row>
    <row r="138" spans="1:18" ht="12.75" customHeight="1" x14ac:dyDescent="0.3">
      <c r="A138" s="29"/>
      <c r="B138" s="29" t="s">
        <v>992</v>
      </c>
      <c r="C138" s="29"/>
      <c r="D138" s="29"/>
      <c r="E138" s="29"/>
      <c r="F138" s="29"/>
      <c r="G138" s="29" t="s">
        <v>1063</v>
      </c>
      <c r="H138" s="29" t="s">
        <v>1491</v>
      </c>
      <c r="I138" s="521">
        <f>input!I140</f>
        <v>0</v>
      </c>
      <c r="J138" s="450"/>
      <c r="K138" s="450"/>
      <c r="L138" s="450"/>
      <c r="M138" s="451"/>
      <c r="N138" s="451"/>
      <c r="O138" s="451"/>
      <c r="P138" s="451"/>
      <c r="Q138" s="451"/>
      <c r="R138" s="158"/>
    </row>
    <row r="139" spans="1:18" ht="12.75" customHeight="1" x14ac:dyDescent="0.3">
      <c r="A139" s="29"/>
      <c r="B139" s="29" t="s">
        <v>993</v>
      </c>
      <c r="C139" s="29"/>
      <c r="D139" s="29"/>
      <c r="E139" s="29"/>
      <c r="F139" s="29"/>
      <c r="G139" s="29" t="s">
        <v>313</v>
      </c>
      <c r="H139" s="29" t="s">
        <v>720</v>
      </c>
      <c r="I139" s="521">
        <f>input!I141</f>
        <v>0</v>
      </c>
      <c r="J139" s="450"/>
      <c r="K139" s="450"/>
      <c r="L139" s="450"/>
      <c r="M139" s="451"/>
      <c r="N139" s="451"/>
      <c r="O139" s="451"/>
      <c r="P139" s="451"/>
      <c r="Q139" s="451"/>
      <c r="R139" s="158"/>
    </row>
    <row r="140" spans="1:18" ht="12.75" customHeight="1" x14ac:dyDescent="0.3">
      <c r="A140" s="29"/>
      <c r="B140" s="29" t="s">
        <v>993</v>
      </c>
      <c r="C140" s="29"/>
      <c r="D140" s="29"/>
      <c r="E140" s="29"/>
      <c r="F140" s="29"/>
      <c r="G140" s="29" t="s">
        <v>1342</v>
      </c>
      <c r="H140" s="29" t="s">
        <v>720</v>
      </c>
      <c r="I140" s="521">
        <f>input!I142</f>
        <v>0</v>
      </c>
      <c r="J140" s="450"/>
      <c r="K140" s="450"/>
      <c r="L140" s="450"/>
      <c r="M140" s="451"/>
      <c r="N140" s="451"/>
      <c r="O140" s="451"/>
      <c r="P140" s="451"/>
      <c r="Q140" s="451"/>
      <c r="R140" s="158"/>
    </row>
    <row r="141" spans="1:18" ht="12.75" customHeight="1" x14ac:dyDescent="0.3">
      <c r="A141" s="29"/>
      <c r="B141" s="29" t="s">
        <v>3</v>
      </c>
      <c r="C141" s="29"/>
      <c r="D141" s="29"/>
      <c r="E141" s="29"/>
      <c r="F141" s="29"/>
      <c r="G141" s="29" t="s">
        <v>1234</v>
      </c>
      <c r="H141" s="29" t="s">
        <v>486</v>
      </c>
      <c r="I141" s="521">
        <f>input!I143</f>
        <v>0</v>
      </c>
      <c r="J141" s="450"/>
      <c r="K141" s="450"/>
      <c r="L141" s="450"/>
      <c r="M141" s="451"/>
      <c r="N141" s="451"/>
      <c r="O141" s="451"/>
      <c r="P141" s="451"/>
      <c r="Q141" s="451"/>
      <c r="R141" s="158"/>
    </row>
    <row r="142" spans="1:18" ht="12.75" customHeight="1" x14ac:dyDescent="0.3">
      <c r="A142" s="29"/>
      <c r="B142" s="29" t="s">
        <v>990</v>
      </c>
      <c r="C142" s="29"/>
      <c r="D142" s="29"/>
      <c r="E142" s="29"/>
      <c r="F142" s="29"/>
      <c r="G142" s="29" t="s">
        <v>1343</v>
      </c>
      <c r="H142" s="29" t="s">
        <v>486</v>
      </c>
      <c r="I142" s="521">
        <f>input!I144</f>
        <v>0</v>
      </c>
      <c r="J142" s="450"/>
      <c r="K142" s="450"/>
      <c r="L142" s="450"/>
      <c r="M142" s="451"/>
      <c r="N142" s="451"/>
      <c r="O142" s="451"/>
      <c r="P142" s="451"/>
      <c r="Q142" s="451"/>
      <c r="R142" s="158"/>
    </row>
    <row r="143" spans="1:18" ht="12.75" customHeight="1" x14ac:dyDescent="0.3">
      <c r="A143" s="29"/>
      <c r="B143" s="29" t="s">
        <v>991</v>
      </c>
      <c r="C143" s="29"/>
      <c r="D143" s="29"/>
      <c r="E143" s="29"/>
      <c r="F143" s="29"/>
      <c r="G143" s="29" t="s">
        <v>1344</v>
      </c>
      <c r="H143" s="29" t="s">
        <v>486</v>
      </c>
      <c r="I143" s="521">
        <f>input!I145</f>
        <v>0</v>
      </c>
      <c r="J143" s="450"/>
      <c r="K143" s="450"/>
      <c r="L143" s="450"/>
      <c r="M143" s="451"/>
      <c r="N143" s="451"/>
      <c r="O143" s="451"/>
      <c r="P143" s="451"/>
      <c r="Q143" s="451"/>
      <c r="R143" s="158"/>
    </row>
    <row r="144" spans="1:18" ht="12.75" customHeight="1" x14ac:dyDescent="0.3">
      <c r="A144" s="29"/>
      <c r="B144" s="29" t="s">
        <v>994</v>
      </c>
      <c r="C144" s="29"/>
      <c r="D144" s="29"/>
      <c r="E144" s="29"/>
      <c r="F144" s="29"/>
      <c r="G144" s="29" t="s">
        <v>1345</v>
      </c>
      <c r="H144" s="29" t="s">
        <v>1491</v>
      </c>
      <c r="I144" s="521">
        <f>input!I146</f>
        <v>0</v>
      </c>
      <c r="J144" s="450"/>
      <c r="K144" s="450"/>
      <c r="L144" s="450"/>
      <c r="M144" s="451"/>
      <c r="N144" s="451"/>
      <c r="O144" s="451"/>
      <c r="P144" s="451"/>
      <c r="Q144" s="451"/>
      <c r="R144" s="158"/>
    </row>
    <row r="145" spans="1:18" ht="12.75" customHeight="1" x14ac:dyDescent="0.3">
      <c r="A145" s="29"/>
      <c r="B145" s="29"/>
      <c r="C145" s="29"/>
      <c r="D145" s="29"/>
      <c r="E145" s="29"/>
      <c r="F145" s="29"/>
      <c r="G145" s="29"/>
      <c r="H145" s="29"/>
      <c r="I145" s="522"/>
      <c r="J145" s="339"/>
      <c r="K145" s="339"/>
      <c r="L145" s="339"/>
      <c r="M145" s="282"/>
      <c r="N145" s="282"/>
      <c r="O145" s="282"/>
      <c r="P145" s="282"/>
      <c r="Q145" s="282"/>
      <c r="R145" s="158"/>
    </row>
    <row r="146" spans="1:18" ht="12.75" customHeight="1" x14ac:dyDescent="0.3">
      <c r="A146" s="4" t="s">
        <v>593</v>
      </c>
      <c r="B146" s="29"/>
      <c r="C146" s="29"/>
      <c r="D146" s="29"/>
      <c r="E146" s="29"/>
      <c r="F146" s="29"/>
      <c r="G146" s="37"/>
      <c r="H146" s="100"/>
      <c r="I146" s="522"/>
      <c r="J146" s="353"/>
      <c r="K146" s="353"/>
      <c r="L146" s="353"/>
      <c r="M146" s="318"/>
      <c r="N146" s="318"/>
      <c r="O146" s="318"/>
      <c r="P146" s="318"/>
      <c r="Q146" s="318"/>
      <c r="R146" s="158"/>
    </row>
    <row r="147" spans="1:18" ht="12.75" customHeight="1" x14ac:dyDescent="0.3">
      <c r="A147" s="29"/>
      <c r="B147" s="29" t="s">
        <v>559</v>
      </c>
      <c r="C147" s="29"/>
      <c r="D147" s="29"/>
      <c r="E147" s="29"/>
      <c r="F147" s="29"/>
      <c r="G147" s="36" t="s">
        <v>644</v>
      </c>
      <c r="H147" s="36" t="s">
        <v>36</v>
      </c>
      <c r="I147" s="521">
        <f>input!I149</f>
        <v>0</v>
      </c>
      <c r="J147" s="450"/>
      <c r="K147" s="450"/>
      <c r="L147" s="450"/>
      <c r="M147" s="451"/>
      <c r="N147" s="451"/>
      <c r="O147" s="451"/>
      <c r="P147" s="451"/>
      <c r="Q147" s="451"/>
      <c r="R147" s="158"/>
    </row>
    <row r="148" spans="1:18" ht="12.75" customHeight="1" x14ac:dyDescent="0.3">
      <c r="A148" s="29"/>
      <c r="B148" s="29" t="s">
        <v>560</v>
      </c>
      <c r="C148" s="29"/>
      <c r="D148" s="29"/>
      <c r="E148" s="29"/>
      <c r="F148" s="29"/>
      <c r="G148" s="36" t="s">
        <v>218</v>
      </c>
      <c r="H148" s="36" t="s">
        <v>36</v>
      </c>
      <c r="I148" s="521">
        <f>input!I150</f>
        <v>0</v>
      </c>
      <c r="J148" s="450"/>
      <c r="K148" s="450"/>
      <c r="L148" s="450"/>
      <c r="M148" s="451"/>
      <c r="N148" s="451"/>
      <c r="O148" s="451"/>
      <c r="P148" s="451"/>
      <c r="Q148" s="451"/>
      <c r="R148" s="158"/>
    </row>
    <row r="149" spans="1:18" ht="12.75" customHeight="1" x14ac:dyDescent="0.3">
      <c r="A149" s="29"/>
      <c r="B149" s="29" t="s">
        <v>564</v>
      </c>
      <c r="C149" s="29"/>
      <c r="D149" s="29"/>
      <c r="E149" s="29"/>
      <c r="F149" s="29"/>
      <c r="G149" s="36" t="s">
        <v>222</v>
      </c>
      <c r="H149" s="36" t="s">
        <v>36</v>
      </c>
      <c r="I149" s="521">
        <f>input!I151</f>
        <v>0</v>
      </c>
      <c r="J149" s="450"/>
      <c r="K149" s="450"/>
      <c r="L149" s="450"/>
      <c r="M149" s="451"/>
      <c r="N149" s="451"/>
      <c r="O149" s="451"/>
      <c r="P149" s="451"/>
      <c r="Q149" s="451"/>
      <c r="R149" s="158"/>
    </row>
    <row r="150" spans="1:18" ht="12.75" customHeight="1" x14ac:dyDescent="0.3">
      <c r="A150" s="29"/>
      <c r="B150" s="29" t="s">
        <v>561</v>
      </c>
      <c r="C150" s="29"/>
      <c r="D150" s="29"/>
      <c r="E150" s="29"/>
      <c r="F150" s="29"/>
      <c r="G150" s="36" t="s">
        <v>219</v>
      </c>
      <c r="H150" s="36" t="s">
        <v>36</v>
      </c>
      <c r="I150" s="521">
        <f>input!I152</f>
        <v>0</v>
      </c>
      <c r="J150" s="450"/>
      <c r="K150" s="450"/>
      <c r="L150" s="450"/>
      <c r="M150" s="451"/>
      <c r="N150" s="451"/>
      <c r="O150" s="451"/>
      <c r="P150" s="451"/>
      <c r="Q150" s="451"/>
      <c r="R150" s="158"/>
    </row>
    <row r="151" spans="1:18" ht="12.75" customHeight="1" x14ac:dyDescent="0.3">
      <c r="A151" s="29"/>
      <c r="B151" s="29" t="s">
        <v>562</v>
      </c>
      <c r="C151" s="29"/>
      <c r="D151" s="29"/>
      <c r="E151" s="29"/>
      <c r="F151" s="29"/>
      <c r="G151" s="36" t="s">
        <v>220</v>
      </c>
      <c r="H151" s="36" t="s">
        <v>36</v>
      </c>
      <c r="I151" s="521">
        <f>input!I153</f>
        <v>0</v>
      </c>
      <c r="J151" s="450"/>
      <c r="K151" s="450"/>
      <c r="L151" s="450"/>
      <c r="M151" s="451"/>
      <c r="N151" s="451"/>
      <c r="O151" s="451"/>
      <c r="P151" s="451"/>
      <c r="Q151" s="451"/>
      <c r="R151" s="158"/>
    </row>
    <row r="152" spans="1:18" ht="12.75" customHeight="1" x14ac:dyDescent="0.3">
      <c r="A152" s="29"/>
      <c r="B152" s="29" t="s">
        <v>563</v>
      </c>
      <c r="C152" s="29"/>
      <c r="D152" s="29"/>
      <c r="E152" s="29"/>
      <c r="F152" s="29"/>
      <c r="G152" s="36" t="s">
        <v>221</v>
      </c>
      <c r="H152" s="36" t="s">
        <v>36</v>
      </c>
      <c r="I152" s="521">
        <f>input!I154</f>
        <v>0</v>
      </c>
      <c r="J152" s="450"/>
      <c r="K152" s="450"/>
      <c r="L152" s="450"/>
      <c r="M152" s="451"/>
      <c r="N152" s="451"/>
      <c r="O152" s="451"/>
      <c r="P152" s="451"/>
      <c r="Q152" s="451"/>
      <c r="R152" s="158"/>
    </row>
    <row r="153" spans="1:18" ht="12.75" customHeight="1" x14ac:dyDescent="0.3">
      <c r="A153" s="29"/>
      <c r="B153" s="29" t="s">
        <v>269</v>
      </c>
      <c r="C153" s="29"/>
      <c r="D153" s="29"/>
      <c r="E153" s="29"/>
      <c r="F153" s="29"/>
      <c r="G153" s="36" t="s">
        <v>1174</v>
      </c>
      <c r="H153" s="95" t="s">
        <v>2313</v>
      </c>
      <c r="I153" s="521">
        <f>input!I155</f>
        <v>0</v>
      </c>
      <c r="J153" s="450"/>
      <c r="K153" s="450"/>
      <c r="L153" s="450"/>
      <c r="M153" s="451"/>
      <c r="N153" s="451"/>
      <c r="O153" s="451"/>
      <c r="P153" s="451"/>
      <c r="Q153" s="451"/>
      <c r="R153" s="158"/>
    </row>
    <row r="154" spans="1:18" ht="12.75" customHeight="1" x14ac:dyDescent="0.3">
      <c r="A154" s="29"/>
      <c r="B154" s="29" t="s">
        <v>270</v>
      </c>
      <c r="C154" s="29"/>
      <c r="D154" s="29"/>
      <c r="E154" s="29"/>
      <c r="F154" s="29"/>
      <c r="G154" s="36" t="s">
        <v>871</v>
      </c>
      <c r="H154" s="95" t="s">
        <v>2313</v>
      </c>
      <c r="I154" s="521">
        <f>input!I156</f>
        <v>0</v>
      </c>
      <c r="J154" s="450"/>
      <c r="K154" s="450"/>
      <c r="L154" s="450"/>
      <c r="M154" s="451"/>
      <c r="N154" s="451"/>
      <c r="O154" s="451"/>
      <c r="P154" s="451"/>
      <c r="Q154" s="451"/>
      <c r="R154" s="158"/>
    </row>
    <row r="155" spans="1:18" ht="12.75" customHeight="1" x14ac:dyDescent="0.3">
      <c r="A155" s="29"/>
      <c r="B155" s="29" t="s">
        <v>203</v>
      </c>
      <c r="C155" s="29"/>
      <c r="D155" s="29"/>
      <c r="E155" s="29"/>
      <c r="F155" s="29"/>
      <c r="G155" s="29" t="s">
        <v>1546</v>
      </c>
      <c r="H155" s="29" t="s">
        <v>36</v>
      </c>
      <c r="I155" s="521">
        <f>input!I157</f>
        <v>0</v>
      </c>
      <c r="J155" s="450"/>
      <c r="K155" s="450"/>
      <c r="L155" s="450"/>
      <c r="M155" s="451"/>
      <c r="N155" s="451"/>
      <c r="O155" s="451"/>
      <c r="P155" s="451"/>
      <c r="Q155" s="451"/>
      <c r="R155" s="158"/>
    </row>
    <row r="156" spans="1:18" ht="12.75" customHeight="1" x14ac:dyDescent="0.3">
      <c r="A156" s="36"/>
      <c r="B156" s="36" t="s">
        <v>1075</v>
      </c>
      <c r="C156" s="29"/>
      <c r="D156" s="29"/>
      <c r="E156" s="94"/>
      <c r="F156" s="94"/>
      <c r="G156" s="94" t="s">
        <v>983</v>
      </c>
      <c r="H156" s="36" t="s">
        <v>36</v>
      </c>
      <c r="I156" s="521">
        <f>input!I158</f>
        <v>0</v>
      </c>
      <c r="J156" s="450"/>
      <c r="K156" s="450"/>
      <c r="L156" s="450"/>
      <c r="M156" s="451"/>
      <c r="N156" s="451"/>
      <c r="O156" s="451"/>
      <c r="P156" s="451"/>
      <c r="Q156" s="451"/>
      <c r="R156" s="158"/>
    </row>
    <row r="157" spans="1:18" ht="12.75" customHeight="1" x14ac:dyDescent="0.3">
      <c r="A157" s="29"/>
      <c r="B157" s="29" t="s">
        <v>204</v>
      </c>
      <c r="C157" s="29"/>
      <c r="D157" s="29"/>
      <c r="E157" s="29"/>
      <c r="F157" s="29"/>
      <c r="G157" s="29" t="s">
        <v>1544</v>
      </c>
      <c r="H157" s="36" t="s">
        <v>2314</v>
      </c>
      <c r="I157" s="521">
        <f>input!I159</f>
        <v>0</v>
      </c>
      <c r="J157" s="450"/>
      <c r="K157" s="450"/>
      <c r="L157" s="450"/>
      <c r="M157" s="451"/>
      <c r="N157" s="451"/>
      <c r="O157" s="451"/>
      <c r="P157" s="451"/>
      <c r="Q157" s="451"/>
      <c r="R157" s="158"/>
    </row>
    <row r="158" spans="1:18" ht="12.75" customHeight="1" x14ac:dyDescent="0.3">
      <c r="A158" s="36"/>
      <c r="B158" s="36" t="s">
        <v>984</v>
      </c>
      <c r="C158" s="95"/>
      <c r="D158" s="95"/>
      <c r="E158" s="29"/>
      <c r="F158" s="29"/>
      <c r="G158" s="94" t="s">
        <v>985</v>
      </c>
      <c r="H158" s="36" t="s">
        <v>2314</v>
      </c>
      <c r="I158" s="521">
        <f>input!I160</f>
        <v>0</v>
      </c>
      <c r="J158" s="450"/>
      <c r="K158" s="450"/>
      <c r="L158" s="450"/>
      <c r="M158" s="451"/>
      <c r="N158" s="451"/>
      <c r="O158" s="451"/>
      <c r="P158" s="451"/>
      <c r="Q158" s="451"/>
      <c r="R158" s="158"/>
    </row>
    <row r="159" spans="1:18" ht="12.75" customHeight="1" x14ac:dyDescent="0.3">
      <c r="A159" s="134"/>
      <c r="B159" s="134"/>
      <c r="C159" s="134"/>
      <c r="D159" s="134"/>
      <c r="E159" s="134"/>
      <c r="F159" s="134"/>
      <c r="G159" s="115"/>
      <c r="H159" s="115"/>
      <c r="I159" s="456"/>
      <c r="J159" s="322"/>
      <c r="K159" s="322"/>
      <c r="L159" s="322"/>
      <c r="M159" s="462"/>
      <c r="N159" s="462"/>
      <c r="O159" s="462"/>
      <c r="P159" s="462"/>
      <c r="Q159" s="462"/>
      <c r="R159" s="158"/>
    </row>
    <row r="160" spans="1:18" ht="12.75" customHeight="1" x14ac:dyDescent="0.3">
      <c r="A160" s="29"/>
      <c r="B160" s="29"/>
      <c r="C160" s="29"/>
      <c r="D160" s="29"/>
      <c r="E160" s="29"/>
      <c r="F160" s="29"/>
      <c r="G160" s="36"/>
      <c r="H160" s="36"/>
      <c r="I160" s="342"/>
      <c r="J160" s="320"/>
      <c r="K160" s="320"/>
      <c r="L160" s="320"/>
      <c r="M160" s="325"/>
      <c r="N160" s="325"/>
      <c r="O160" s="325"/>
      <c r="P160" s="325"/>
      <c r="Q160" s="325"/>
      <c r="R160" s="158"/>
    </row>
    <row r="161" spans="1:18" ht="12.75" customHeight="1" x14ac:dyDescent="0.3">
      <c r="A161" s="44" t="s">
        <v>465</v>
      </c>
      <c r="B161" s="29"/>
      <c r="C161" s="29"/>
      <c r="D161" s="29"/>
      <c r="E161" s="29"/>
      <c r="F161" s="29"/>
      <c r="G161" s="36"/>
      <c r="H161" s="36"/>
      <c r="I161" s="342"/>
      <c r="J161" s="320"/>
      <c r="K161" s="320"/>
      <c r="L161" s="320"/>
      <c r="M161" s="325"/>
      <c r="N161" s="325"/>
      <c r="O161" s="325"/>
      <c r="P161" s="325"/>
      <c r="Q161" s="325"/>
      <c r="R161" s="158"/>
    </row>
    <row r="162" spans="1:18" ht="12.75" customHeight="1" x14ac:dyDescent="0.3">
      <c r="A162" s="29"/>
      <c r="B162" s="29"/>
      <c r="C162" s="29"/>
      <c r="D162" s="29"/>
      <c r="E162" s="29"/>
      <c r="F162" s="29"/>
      <c r="G162" s="36"/>
      <c r="H162" s="36"/>
      <c r="I162" s="342"/>
      <c r="J162" s="320"/>
      <c r="K162" s="320"/>
      <c r="L162" s="320"/>
      <c r="M162" s="325"/>
      <c r="N162" s="325"/>
      <c r="O162" s="325"/>
      <c r="P162" s="325"/>
      <c r="Q162" s="325"/>
      <c r="R162" s="158"/>
    </row>
    <row r="163" spans="1:18" ht="12.75" customHeight="1" x14ac:dyDescent="0.3">
      <c r="A163" s="97" t="s">
        <v>1310</v>
      </c>
      <c r="B163" s="97"/>
      <c r="C163" s="97"/>
      <c r="D163" s="97"/>
      <c r="E163" s="97"/>
      <c r="F163" s="97"/>
      <c r="G163" s="98"/>
      <c r="H163" s="98"/>
      <c r="I163" s="340"/>
      <c r="J163" s="463"/>
      <c r="K163" s="463"/>
      <c r="L163" s="463"/>
      <c r="M163" s="464"/>
      <c r="N163" s="464"/>
      <c r="O163" s="464"/>
      <c r="P163" s="464"/>
      <c r="Q163" s="464"/>
      <c r="R163" s="158"/>
    </row>
    <row r="164" spans="1:18" ht="12.75" customHeight="1" x14ac:dyDescent="0.3">
      <c r="A164" s="92"/>
      <c r="B164" s="92"/>
      <c r="C164" s="92"/>
      <c r="D164" s="92"/>
      <c r="E164" s="92"/>
      <c r="F164" s="92"/>
      <c r="G164" s="93"/>
      <c r="H164" s="93"/>
      <c r="I164" s="523"/>
      <c r="J164" s="465"/>
      <c r="K164" s="465"/>
      <c r="L164" s="465"/>
      <c r="M164" s="466"/>
      <c r="N164" s="466"/>
      <c r="O164" s="466"/>
      <c r="P164" s="466"/>
      <c r="Q164" s="466"/>
      <c r="R164" s="158"/>
    </row>
    <row r="165" spans="1:18" ht="12.75" customHeight="1" x14ac:dyDescent="0.3">
      <c r="A165" s="36" t="s">
        <v>1089</v>
      </c>
      <c r="B165" s="29"/>
      <c r="C165" s="29"/>
      <c r="D165" s="29"/>
      <c r="E165" s="29"/>
      <c r="F165" s="29"/>
      <c r="G165" s="37" t="s">
        <v>529</v>
      </c>
      <c r="H165" s="36" t="s">
        <v>2315</v>
      </c>
      <c r="I165" s="521">
        <f>regional!I5</f>
        <v>0</v>
      </c>
      <c r="J165" s="467"/>
      <c r="K165" s="467"/>
      <c r="L165" s="450"/>
      <c r="M165" s="451"/>
      <c r="N165" s="451"/>
      <c r="O165" s="451"/>
      <c r="P165" s="451"/>
      <c r="Q165" s="451"/>
      <c r="R165" s="158"/>
    </row>
    <row r="166" spans="1:18" ht="12.75" customHeight="1" x14ac:dyDescent="0.3">
      <c r="A166" s="36" t="s">
        <v>282</v>
      </c>
      <c r="B166" s="29"/>
      <c r="C166" s="29"/>
      <c r="D166" s="29"/>
      <c r="E166" s="29"/>
      <c r="F166" s="29"/>
      <c r="G166" s="37" t="s">
        <v>283</v>
      </c>
      <c r="H166" s="36" t="s">
        <v>2315</v>
      </c>
      <c r="I166" s="521">
        <f>regional!I6</f>
        <v>0</v>
      </c>
      <c r="J166" s="467"/>
      <c r="K166" s="467"/>
      <c r="L166" s="450"/>
      <c r="M166" s="451"/>
      <c r="N166" s="451"/>
      <c r="O166" s="451"/>
      <c r="P166" s="451"/>
      <c r="Q166" s="451"/>
      <c r="R166" s="158"/>
    </row>
    <row r="167" spans="1:18" ht="12.75" customHeight="1" x14ac:dyDescent="0.3">
      <c r="A167" s="36" t="s">
        <v>708</v>
      </c>
      <c r="B167" s="29"/>
      <c r="C167" s="29"/>
      <c r="D167" s="29"/>
      <c r="E167" s="29"/>
      <c r="F167" s="29"/>
      <c r="G167" s="37" t="s">
        <v>530</v>
      </c>
      <c r="H167" s="36" t="s">
        <v>2315</v>
      </c>
      <c r="I167" s="521">
        <f>regional!I7</f>
        <v>0</v>
      </c>
      <c r="J167" s="467"/>
      <c r="K167" s="467"/>
      <c r="L167" s="450"/>
      <c r="M167" s="451"/>
      <c r="N167" s="451"/>
      <c r="O167" s="451"/>
      <c r="P167" s="451"/>
      <c r="Q167" s="451"/>
      <c r="R167" s="158"/>
    </row>
    <row r="168" spans="1:18" ht="12.75" customHeight="1" x14ac:dyDescent="0.3">
      <c r="A168" s="36" t="s">
        <v>709</v>
      </c>
      <c r="B168" s="29"/>
      <c r="C168" s="29"/>
      <c r="D168" s="29"/>
      <c r="E168" s="29"/>
      <c r="F168" s="29"/>
      <c r="G168" s="37" t="s">
        <v>1240</v>
      </c>
      <c r="H168" s="36" t="s">
        <v>2315</v>
      </c>
      <c r="I168" s="521">
        <f>regional!I8</f>
        <v>0</v>
      </c>
      <c r="J168" s="467"/>
      <c r="K168" s="467"/>
      <c r="L168" s="450"/>
      <c r="M168" s="451"/>
      <c r="N168" s="451"/>
      <c r="O168" s="451"/>
      <c r="P168" s="451"/>
      <c r="Q168" s="451"/>
      <c r="R168" s="158"/>
    </row>
    <row r="169" spans="1:18" ht="12.75" customHeight="1" x14ac:dyDescent="0.3">
      <c r="A169" s="36" t="s">
        <v>710</v>
      </c>
      <c r="B169" s="29"/>
      <c r="C169" s="29"/>
      <c r="D169" s="29"/>
      <c r="E169" s="29"/>
      <c r="F169" s="29"/>
      <c r="G169" s="37" t="s">
        <v>1241</v>
      </c>
      <c r="H169" s="36" t="s">
        <v>2315</v>
      </c>
      <c r="I169" s="521">
        <f>regional!I9</f>
        <v>0</v>
      </c>
      <c r="J169" s="467"/>
      <c r="K169" s="467"/>
      <c r="L169" s="450"/>
      <c r="M169" s="451"/>
      <c r="N169" s="451"/>
      <c r="O169" s="451"/>
      <c r="P169" s="451"/>
      <c r="Q169" s="451"/>
      <c r="R169" s="158"/>
    </row>
    <row r="170" spans="1:18" ht="12.75" customHeight="1" x14ac:dyDescent="0.3">
      <c r="A170" s="36" t="s">
        <v>711</v>
      </c>
      <c r="B170" s="29"/>
      <c r="C170" s="29"/>
      <c r="D170" s="29"/>
      <c r="E170" s="29"/>
      <c r="F170" s="29"/>
      <c r="G170" s="37" t="s">
        <v>1242</v>
      </c>
      <c r="H170" s="36" t="s">
        <v>2315</v>
      </c>
      <c r="I170" s="521">
        <f>regional!I10</f>
        <v>0</v>
      </c>
      <c r="J170" s="467"/>
      <c r="K170" s="467"/>
      <c r="L170" s="450"/>
      <c r="M170" s="451"/>
      <c r="N170" s="451"/>
      <c r="O170" s="451"/>
      <c r="P170" s="451"/>
      <c r="Q170" s="451"/>
      <c r="R170" s="158"/>
    </row>
    <row r="171" spans="1:18" ht="12.75" customHeight="1" x14ac:dyDescent="0.3">
      <c r="A171" s="36" t="s">
        <v>712</v>
      </c>
      <c r="B171" s="29"/>
      <c r="C171" s="29"/>
      <c r="D171" s="29"/>
      <c r="E171" s="29"/>
      <c r="F171" s="29"/>
      <c r="G171" s="37" t="s">
        <v>1243</v>
      </c>
      <c r="H171" s="36" t="s">
        <v>2315</v>
      </c>
      <c r="I171" s="521">
        <f>regional!I11</f>
        <v>0</v>
      </c>
      <c r="J171" s="467"/>
      <c r="K171" s="467"/>
      <c r="L171" s="450"/>
      <c r="M171" s="451"/>
      <c r="N171" s="451"/>
      <c r="O171" s="451"/>
      <c r="P171" s="451"/>
      <c r="Q171" s="451"/>
      <c r="R171" s="158"/>
    </row>
    <row r="172" spans="1:18" ht="12.75" customHeight="1" x14ac:dyDescent="0.3">
      <c r="A172" s="36" t="s">
        <v>713</v>
      </c>
      <c r="B172" s="29"/>
      <c r="C172" s="29"/>
      <c r="D172" s="29"/>
      <c r="E172" s="29"/>
      <c r="F172" s="29"/>
      <c r="G172" s="37" t="s">
        <v>1244</v>
      </c>
      <c r="H172" s="36" t="s">
        <v>2315</v>
      </c>
      <c r="I172" s="521">
        <f>regional!I12</f>
        <v>0</v>
      </c>
      <c r="J172" s="467"/>
      <c r="K172" s="467"/>
      <c r="L172" s="450"/>
      <c r="M172" s="451"/>
      <c r="N172" s="451"/>
      <c r="O172" s="451"/>
      <c r="P172" s="451"/>
      <c r="Q172" s="451"/>
      <c r="R172" s="158"/>
    </row>
    <row r="173" spans="1:18" ht="12.75" customHeight="1" x14ac:dyDescent="0.3">
      <c r="A173" s="36" t="s">
        <v>210</v>
      </c>
      <c r="B173" s="29"/>
      <c r="C173" s="29"/>
      <c r="D173" s="29"/>
      <c r="E173" s="29"/>
      <c r="F173" s="29"/>
      <c r="G173" s="37" t="s">
        <v>1245</v>
      </c>
      <c r="H173" s="36" t="s">
        <v>2315</v>
      </c>
      <c r="I173" s="521">
        <f>regional!I13</f>
        <v>0</v>
      </c>
      <c r="J173" s="467"/>
      <c r="K173" s="467"/>
      <c r="L173" s="450"/>
      <c r="M173" s="451"/>
      <c r="N173" s="451"/>
      <c r="O173" s="451"/>
      <c r="P173" s="451"/>
      <c r="Q173" s="451"/>
      <c r="R173" s="158"/>
    </row>
    <row r="174" spans="1:18" ht="12.75" customHeight="1" x14ac:dyDescent="0.3">
      <c r="A174" s="36"/>
      <c r="B174" s="36" t="s">
        <v>1090</v>
      </c>
      <c r="C174" s="29"/>
      <c r="D174" s="29"/>
      <c r="E174" s="29"/>
      <c r="F174" s="29"/>
      <c r="G174" s="37" t="s">
        <v>667</v>
      </c>
      <c r="H174" s="36" t="s">
        <v>2312</v>
      </c>
      <c r="I174" s="521">
        <f>regional!I14</f>
        <v>0</v>
      </c>
      <c r="J174" s="467"/>
      <c r="K174" s="467"/>
      <c r="L174" s="450"/>
      <c r="M174" s="451"/>
      <c r="N174" s="451"/>
      <c r="O174" s="451"/>
      <c r="P174" s="451"/>
      <c r="Q174" s="451"/>
      <c r="R174" s="158"/>
    </row>
    <row r="175" spans="1:18" ht="12.75" customHeight="1" x14ac:dyDescent="0.3">
      <c r="A175" s="36"/>
      <c r="B175" s="36" t="s">
        <v>284</v>
      </c>
      <c r="C175" s="29"/>
      <c r="D175" s="29"/>
      <c r="E175" s="29"/>
      <c r="F175" s="29"/>
      <c r="G175" s="94" t="s">
        <v>285</v>
      </c>
      <c r="H175" s="36" t="s">
        <v>36</v>
      </c>
      <c r="I175" s="521">
        <f>regional!I15</f>
        <v>0</v>
      </c>
      <c r="J175" s="467"/>
      <c r="K175" s="467"/>
      <c r="L175" s="450"/>
      <c r="M175" s="451"/>
      <c r="N175" s="451"/>
      <c r="O175" s="451"/>
      <c r="P175" s="451"/>
      <c r="Q175" s="451"/>
      <c r="R175" s="158"/>
    </row>
    <row r="176" spans="1:18" ht="12.75" customHeight="1" x14ac:dyDescent="0.3">
      <c r="A176" s="36"/>
      <c r="B176" s="36" t="s">
        <v>1091</v>
      </c>
      <c r="C176" s="29"/>
      <c r="D176" s="29"/>
      <c r="E176" s="29"/>
      <c r="F176" s="29"/>
      <c r="G176" s="94" t="s">
        <v>1190</v>
      </c>
      <c r="H176" s="36" t="s">
        <v>36</v>
      </c>
      <c r="I176" s="521">
        <f>regional!I16</f>
        <v>0</v>
      </c>
      <c r="J176" s="467"/>
      <c r="K176" s="467"/>
      <c r="L176" s="450"/>
      <c r="M176" s="451"/>
      <c r="N176" s="451"/>
      <c r="O176" s="451"/>
      <c r="P176" s="451"/>
      <c r="Q176" s="451"/>
      <c r="R176" s="158"/>
    </row>
    <row r="177" spans="1:18" ht="12.75" customHeight="1" x14ac:dyDescent="0.3">
      <c r="A177" s="36"/>
      <c r="B177" s="36" t="s">
        <v>1093</v>
      </c>
      <c r="C177" s="29"/>
      <c r="D177" s="29"/>
      <c r="E177" s="29"/>
      <c r="F177" s="29"/>
      <c r="G177" s="94" t="s">
        <v>1192</v>
      </c>
      <c r="H177" s="36" t="s">
        <v>36</v>
      </c>
      <c r="I177" s="521">
        <f>regional!I17</f>
        <v>0</v>
      </c>
      <c r="J177" s="467"/>
      <c r="K177" s="467"/>
      <c r="L177" s="450"/>
      <c r="M177" s="451"/>
      <c r="N177" s="451"/>
      <c r="O177" s="451"/>
      <c r="P177" s="451"/>
      <c r="Q177" s="451"/>
      <c r="R177" s="158"/>
    </row>
    <row r="178" spans="1:18" ht="12.75" customHeight="1" x14ac:dyDescent="0.3">
      <c r="A178" s="36"/>
      <c r="B178" s="36" t="s">
        <v>886</v>
      </c>
      <c r="C178" s="29"/>
      <c r="D178" s="29"/>
      <c r="E178" s="29"/>
      <c r="F178" s="29"/>
      <c r="G178" s="94" t="s">
        <v>1193</v>
      </c>
      <c r="H178" s="36" t="s">
        <v>36</v>
      </c>
      <c r="I178" s="521">
        <f>regional!I18</f>
        <v>0</v>
      </c>
      <c r="J178" s="467"/>
      <c r="K178" s="467"/>
      <c r="L178" s="450"/>
      <c r="M178" s="451"/>
      <c r="N178" s="451"/>
      <c r="O178" s="451"/>
      <c r="P178" s="451"/>
      <c r="Q178" s="451"/>
      <c r="R178" s="158"/>
    </row>
    <row r="179" spans="1:18" ht="12.75" customHeight="1" x14ac:dyDescent="0.3">
      <c r="A179" s="36"/>
      <c r="B179" s="36" t="s">
        <v>887</v>
      </c>
      <c r="C179" s="29"/>
      <c r="D179" s="29"/>
      <c r="E179" s="29"/>
      <c r="F179" s="29"/>
      <c r="G179" s="94" t="s">
        <v>1194</v>
      </c>
      <c r="H179" s="36" t="s">
        <v>36</v>
      </c>
      <c r="I179" s="521">
        <f>regional!I19</f>
        <v>0</v>
      </c>
      <c r="J179" s="467"/>
      <c r="K179" s="467"/>
      <c r="L179" s="450"/>
      <c r="M179" s="451"/>
      <c r="N179" s="451"/>
      <c r="O179" s="451"/>
      <c r="P179" s="451"/>
      <c r="Q179" s="451"/>
      <c r="R179" s="158"/>
    </row>
    <row r="180" spans="1:18" ht="12.75" customHeight="1" x14ac:dyDescent="0.3">
      <c r="A180" s="36"/>
      <c r="B180" s="36" t="s">
        <v>1092</v>
      </c>
      <c r="C180" s="29"/>
      <c r="D180" s="29"/>
      <c r="E180" s="29"/>
      <c r="F180" s="29"/>
      <c r="G180" s="94" t="s">
        <v>1191</v>
      </c>
      <c r="H180" s="36" t="s">
        <v>36</v>
      </c>
      <c r="I180" s="521">
        <f>regional!I20</f>
        <v>0</v>
      </c>
      <c r="J180" s="467"/>
      <c r="K180" s="467"/>
      <c r="L180" s="450"/>
      <c r="M180" s="451"/>
      <c r="N180" s="451"/>
      <c r="O180" s="451"/>
      <c r="P180" s="451"/>
      <c r="Q180" s="451"/>
      <c r="R180" s="158"/>
    </row>
    <row r="181" spans="1:18" ht="12.75" customHeight="1" x14ac:dyDescent="0.3">
      <c r="A181" s="36"/>
      <c r="B181" s="29"/>
      <c r="C181" s="36" t="s">
        <v>767</v>
      </c>
      <c r="D181" s="95"/>
      <c r="E181" s="95"/>
      <c r="F181" s="29"/>
      <c r="G181" s="94" t="s">
        <v>1195</v>
      </c>
      <c r="H181" s="36" t="s">
        <v>719</v>
      </c>
      <c r="I181" s="521">
        <f>regional!I21</f>
        <v>0</v>
      </c>
      <c r="J181" s="467"/>
      <c r="K181" s="467"/>
      <c r="L181" s="450"/>
      <c r="M181" s="451"/>
      <c r="N181" s="451"/>
      <c r="O181" s="451"/>
      <c r="P181" s="451"/>
      <c r="Q181" s="451"/>
      <c r="R181" s="158"/>
    </row>
    <row r="182" spans="1:18" ht="12.75" customHeight="1" x14ac:dyDescent="0.3">
      <c r="A182" s="36"/>
      <c r="B182" s="29"/>
      <c r="C182" s="36" t="s">
        <v>286</v>
      </c>
      <c r="D182" s="95"/>
      <c r="E182" s="95"/>
      <c r="F182" s="29"/>
      <c r="G182" s="94" t="s">
        <v>287</v>
      </c>
      <c r="H182" s="36" t="s">
        <v>719</v>
      </c>
      <c r="I182" s="521">
        <f>regional!I22</f>
        <v>0</v>
      </c>
      <c r="J182" s="467"/>
      <c r="K182" s="467"/>
      <c r="L182" s="450"/>
      <c r="M182" s="451"/>
      <c r="N182" s="451"/>
      <c r="O182" s="451"/>
      <c r="P182" s="451"/>
      <c r="Q182" s="451"/>
      <c r="R182" s="158"/>
    </row>
    <row r="183" spans="1:18" ht="12.75" customHeight="1" x14ac:dyDescent="0.3">
      <c r="A183" s="36"/>
      <c r="B183" s="29"/>
      <c r="C183" s="36" t="s">
        <v>768</v>
      </c>
      <c r="D183" s="95"/>
      <c r="E183" s="95"/>
      <c r="F183" s="29"/>
      <c r="G183" s="94" t="s">
        <v>1196</v>
      </c>
      <c r="H183" s="36" t="s">
        <v>719</v>
      </c>
      <c r="I183" s="521">
        <f>regional!I23</f>
        <v>0</v>
      </c>
      <c r="J183" s="467"/>
      <c r="K183" s="467"/>
      <c r="L183" s="450"/>
      <c r="M183" s="451"/>
      <c r="N183" s="451"/>
      <c r="O183" s="451"/>
      <c r="P183" s="451"/>
      <c r="Q183" s="451"/>
      <c r="R183" s="158"/>
    </row>
    <row r="184" spans="1:18" ht="12.75" customHeight="1" x14ac:dyDescent="0.3">
      <c r="A184" s="36"/>
      <c r="B184" s="29"/>
      <c r="C184" s="36" t="s">
        <v>769</v>
      </c>
      <c r="D184" s="95"/>
      <c r="E184" s="95"/>
      <c r="F184" s="29"/>
      <c r="G184" s="94" t="s">
        <v>1197</v>
      </c>
      <c r="H184" s="36" t="s">
        <v>719</v>
      </c>
      <c r="I184" s="521">
        <f>regional!I24</f>
        <v>0</v>
      </c>
      <c r="J184" s="467"/>
      <c r="K184" s="467"/>
      <c r="L184" s="450"/>
      <c r="M184" s="451"/>
      <c r="N184" s="451"/>
      <c r="O184" s="451"/>
      <c r="P184" s="451"/>
      <c r="Q184" s="451"/>
      <c r="R184" s="158"/>
    </row>
    <row r="185" spans="1:18" ht="12.75" customHeight="1" x14ac:dyDescent="0.3">
      <c r="A185" s="36"/>
      <c r="B185" s="29"/>
      <c r="C185" s="36" t="s">
        <v>770</v>
      </c>
      <c r="D185" s="95"/>
      <c r="E185" s="95"/>
      <c r="F185" s="29"/>
      <c r="G185" s="94" t="s">
        <v>1198</v>
      </c>
      <c r="H185" s="36" t="s">
        <v>721</v>
      </c>
      <c r="I185" s="521">
        <f>regional!I25</f>
        <v>0</v>
      </c>
      <c r="J185" s="467"/>
      <c r="K185" s="467"/>
      <c r="L185" s="450"/>
      <c r="M185" s="451"/>
      <c r="N185" s="451"/>
      <c r="O185" s="451"/>
      <c r="P185" s="451"/>
      <c r="Q185" s="451"/>
      <c r="R185" s="158"/>
    </row>
    <row r="186" spans="1:18" ht="12.75" customHeight="1" x14ac:dyDescent="0.3">
      <c r="A186" s="36"/>
      <c r="B186" s="29"/>
      <c r="C186" s="36" t="s">
        <v>576</v>
      </c>
      <c r="D186" s="95"/>
      <c r="E186" s="95"/>
      <c r="F186" s="29"/>
      <c r="G186" s="94" t="s">
        <v>1199</v>
      </c>
      <c r="H186" s="36" t="s">
        <v>721</v>
      </c>
      <c r="I186" s="521">
        <f>regional!I26</f>
        <v>0</v>
      </c>
      <c r="J186" s="467"/>
      <c r="K186" s="467"/>
      <c r="L186" s="450"/>
      <c r="M186" s="451"/>
      <c r="N186" s="451"/>
      <c r="O186" s="451"/>
      <c r="P186" s="451"/>
      <c r="Q186" s="451"/>
      <c r="R186" s="158"/>
    </row>
    <row r="187" spans="1:18" ht="12.75" customHeight="1" x14ac:dyDescent="0.3">
      <c r="A187" s="36"/>
      <c r="B187" s="29"/>
      <c r="C187" s="36" t="s">
        <v>3963</v>
      </c>
      <c r="D187" s="95"/>
      <c r="E187" s="95"/>
      <c r="F187" s="29"/>
      <c r="G187" s="94" t="s">
        <v>1200</v>
      </c>
      <c r="H187" s="36" t="s">
        <v>719</v>
      </c>
      <c r="I187" s="521">
        <f>regional!I27</f>
        <v>0</v>
      </c>
      <c r="J187" s="467"/>
      <c r="K187" s="467"/>
      <c r="L187" s="450"/>
      <c r="M187" s="451"/>
      <c r="N187" s="451"/>
      <c r="O187" s="451"/>
      <c r="P187" s="451"/>
      <c r="Q187" s="451"/>
      <c r="R187" s="158"/>
    </row>
    <row r="188" spans="1:18" ht="12.75" customHeight="1" x14ac:dyDescent="0.3">
      <c r="A188" s="36"/>
      <c r="B188" s="29"/>
      <c r="C188" s="36" t="s">
        <v>3964</v>
      </c>
      <c r="D188" s="95"/>
      <c r="E188" s="95"/>
      <c r="F188" s="29"/>
      <c r="G188" s="94" t="s">
        <v>57</v>
      </c>
      <c r="H188" s="36" t="s">
        <v>719</v>
      </c>
      <c r="I188" s="521">
        <f>regional!I28</f>
        <v>0</v>
      </c>
      <c r="J188" s="467"/>
      <c r="K188" s="467"/>
      <c r="L188" s="450"/>
      <c r="M188" s="451"/>
      <c r="N188" s="451"/>
      <c r="O188" s="451"/>
      <c r="P188" s="451"/>
      <c r="Q188" s="451"/>
      <c r="R188" s="158"/>
    </row>
    <row r="189" spans="1:18" ht="12.75" customHeight="1" x14ac:dyDescent="0.3">
      <c r="A189" s="36"/>
      <c r="B189" s="29"/>
      <c r="C189" s="36" t="s">
        <v>3965</v>
      </c>
      <c r="D189" s="95"/>
      <c r="E189" s="95"/>
      <c r="F189" s="29"/>
      <c r="G189" s="94" t="s">
        <v>58</v>
      </c>
      <c r="H189" s="36" t="s">
        <v>719</v>
      </c>
      <c r="I189" s="521">
        <f>regional!I29</f>
        <v>0</v>
      </c>
      <c r="J189" s="467"/>
      <c r="K189" s="467"/>
      <c r="L189" s="450"/>
      <c r="M189" s="451"/>
      <c r="N189" s="451"/>
      <c r="O189" s="451"/>
      <c r="P189" s="451"/>
      <c r="Q189" s="451"/>
      <c r="R189" s="158"/>
    </row>
    <row r="190" spans="1:18" ht="12.75" customHeight="1" x14ac:dyDescent="0.3">
      <c r="A190" s="29"/>
      <c r="B190" s="29"/>
      <c r="C190" s="29" t="s">
        <v>216</v>
      </c>
      <c r="D190" s="29"/>
      <c r="E190" s="29"/>
      <c r="F190" s="29"/>
      <c r="G190" s="36" t="s">
        <v>3966</v>
      </c>
      <c r="H190" s="36" t="s">
        <v>722</v>
      </c>
      <c r="I190" s="521">
        <f>regional!I30</f>
        <v>0</v>
      </c>
      <c r="J190" s="467"/>
      <c r="K190" s="467"/>
      <c r="L190" s="450">
        <v>4.9999999999999995E-11</v>
      </c>
      <c r="M190" s="451">
        <v>4.9999999999999995E-11</v>
      </c>
      <c r="N190" s="451">
        <v>4.9999999999999995E-11</v>
      </c>
      <c r="O190" s="451">
        <v>4.9999999999999995E-11</v>
      </c>
      <c r="P190" s="451">
        <v>4.9999999999999995E-11</v>
      </c>
      <c r="Q190" s="451"/>
      <c r="R190" s="158"/>
    </row>
    <row r="191" spans="1:18" ht="12.75" customHeight="1" x14ac:dyDescent="0.3">
      <c r="A191" s="29"/>
      <c r="B191" s="29"/>
      <c r="C191" s="29" t="s">
        <v>217</v>
      </c>
      <c r="D191" s="29"/>
      <c r="E191" s="29"/>
      <c r="F191" s="29"/>
      <c r="G191" s="36" t="s">
        <v>3967</v>
      </c>
      <c r="H191" s="36" t="s">
        <v>722</v>
      </c>
      <c r="I191" s="521">
        <f>regional!I31</f>
        <v>0</v>
      </c>
      <c r="J191" s="467"/>
      <c r="K191" s="467"/>
      <c r="L191" s="450">
        <v>9.9999999999999995E-21</v>
      </c>
      <c r="M191" s="451">
        <v>9.9999999999999995E-21</v>
      </c>
      <c r="N191" s="451">
        <v>9.9999999999999995E-21</v>
      </c>
      <c r="O191" s="451">
        <v>9.9999999999999995E-21</v>
      </c>
      <c r="P191" s="451">
        <v>9.9999999999999995E-21</v>
      </c>
      <c r="Q191" s="451"/>
      <c r="R191" s="158"/>
    </row>
    <row r="192" spans="1:18" ht="12.75" customHeight="1" x14ac:dyDescent="0.3">
      <c r="A192" s="36"/>
      <c r="B192" s="29"/>
      <c r="C192" s="36" t="s">
        <v>536</v>
      </c>
      <c r="D192" s="95"/>
      <c r="E192" s="95"/>
      <c r="F192" s="29"/>
      <c r="G192" s="94" t="s">
        <v>892</v>
      </c>
      <c r="H192" s="36" t="s">
        <v>722</v>
      </c>
      <c r="I192" s="521">
        <f>regional!I32</f>
        <v>0</v>
      </c>
      <c r="J192" s="467"/>
      <c r="K192" s="467"/>
      <c r="L192" s="450"/>
      <c r="M192" s="451"/>
      <c r="N192" s="451"/>
      <c r="O192" s="451"/>
      <c r="P192" s="451"/>
      <c r="Q192" s="451"/>
      <c r="R192" s="158"/>
    </row>
    <row r="193" spans="1:18" ht="12.75" customHeight="1" x14ac:dyDescent="0.3">
      <c r="A193" s="36"/>
      <c r="B193" s="29"/>
      <c r="C193" s="36" t="s">
        <v>418</v>
      </c>
      <c r="D193" s="95"/>
      <c r="E193" s="95"/>
      <c r="F193" s="29"/>
      <c r="G193" s="94" t="s">
        <v>9</v>
      </c>
      <c r="H193" s="36" t="s">
        <v>722</v>
      </c>
      <c r="I193" s="521">
        <f>regional!I33</f>
        <v>0</v>
      </c>
      <c r="J193" s="467"/>
      <c r="K193" s="467"/>
      <c r="L193" s="450"/>
      <c r="M193" s="451"/>
      <c r="N193" s="451"/>
      <c r="O193" s="451"/>
      <c r="P193" s="451"/>
      <c r="Q193" s="451"/>
      <c r="R193" s="158"/>
    </row>
    <row r="194" spans="1:18" ht="12.75" customHeight="1" x14ac:dyDescent="0.3">
      <c r="A194" s="36"/>
      <c r="B194" s="29"/>
      <c r="C194" s="36" t="s">
        <v>794</v>
      </c>
      <c r="D194" s="95"/>
      <c r="E194" s="95"/>
      <c r="F194" s="29"/>
      <c r="G194" s="94" t="s">
        <v>889</v>
      </c>
      <c r="H194" s="36" t="s">
        <v>722</v>
      </c>
      <c r="I194" s="521">
        <f>regional!I34</f>
        <v>0</v>
      </c>
      <c r="J194" s="467"/>
      <c r="K194" s="467"/>
      <c r="L194" s="450"/>
      <c r="M194" s="451"/>
      <c r="N194" s="451"/>
      <c r="O194" s="451"/>
      <c r="P194" s="451"/>
      <c r="Q194" s="451"/>
      <c r="R194" s="158"/>
    </row>
    <row r="195" spans="1:18" ht="12.75" customHeight="1" x14ac:dyDescent="0.3">
      <c r="A195" s="36"/>
      <c r="B195" s="29"/>
      <c r="C195" s="36" t="s">
        <v>795</v>
      </c>
      <c r="D195" s="95"/>
      <c r="E195" s="95"/>
      <c r="F195" s="29"/>
      <c r="G195" s="94" t="s">
        <v>7</v>
      </c>
      <c r="H195" s="36" t="s">
        <v>722</v>
      </c>
      <c r="I195" s="521">
        <f>regional!I35</f>
        <v>0</v>
      </c>
      <c r="J195" s="467"/>
      <c r="K195" s="467"/>
      <c r="L195" s="450"/>
      <c r="M195" s="451"/>
      <c r="N195" s="451"/>
      <c r="O195" s="451"/>
      <c r="P195" s="451"/>
      <c r="Q195" s="451"/>
      <c r="R195" s="158"/>
    </row>
    <row r="196" spans="1:18" ht="12.75" customHeight="1" x14ac:dyDescent="0.3">
      <c r="A196" s="36"/>
      <c r="B196" s="29"/>
      <c r="C196" s="36" t="s">
        <v>534</v>
      </c>
      <c r="D196" s="95"/>
      <c r="E196" s="95"/>
      <c r="F196" s="29"/>
      <c r="G196" s="94" t="s">
        <v>10</v>
      </c>
      <c r="H196" s="36" t="s">
        <v>722</v>
      </c>
      <c r="I196" s="521">
        <f>regional!I36</f>
        <v>0</v>
      </c>
      <c r="J196" s="467"/>
      <c r="K196" s="467"/>
      <c r="L196" s="450"/>
      <c r="M196" s="451"/>
      <c r="N196" s="451"/>
      <c r="O196" s="451"/>
      <c r="P196" s="451"/>
      <c r="Q196" s="451"/>
      <c r="R196" s="158"/>
    </row>
    <row r="197" spans="1:18" ht="12.75" customHeight="1" x14ac:dyDescent="0.3">
      <c r="A197" s="36"/>
      <c r="B197" s="29"/>
      <c r="C197" s="36" t="s">
        <v>535</v>
      </c>
      <c r="D197" s="95"/>
      <c r="E197" s="95"/>
      <c r="F197" s="29"/>
      <c r="G197" s="94" t="s">
        <v>890</v>
      </c>
      <c r="H197" s="36" t="s">
        <v>722</v>
      </c>
      <c r="I197" s="521">
        <f>regional!I37</f>
        <v>0</v>
      </c>
      <c r="J197" s="467"/>
      <c r="K197" s="467"/>
      <c r="L197" s="450"/>
      <c r="M197" s="451"/>
      <c r="N197" s="451"/>
      <c r="O197" s="451"/>
      <c r="P197" s="451"/>
      <c r="Q197" s="451"/>
      <c r="R197" s="158"/>
    </row>
    <row r="198" spans="1:18" ht="12.75" customHeight="1" x14ac:dyDescent="0.3">
      <c r="A198" s="36"/>
      <c r="B198" s="29"/>
      <c r="C198" s="36" t="s">
        <v>1357</v>
      </c>
      <c r="D198" s="95"/>
      <c r="E198" s="95"/>
      <c r="F198" s="29"/>
      <c r="G198" s="94" t="s">
        <v>8</v>
      </c>
      <c r="H198" s="36" t="s">
        <v>722</v>
      </c>
      <c r="I198" s="521">
        <f>regional!I38</f>
        <v>0</v>
      </c>
      <c r="J198" s="467"/>
      <c r="K198" s="467"/>
      <c r="L198" s="450"/>
      <c r="M198" s="451"/>
      <c r="N198" s="451"/>
      <c r="O198" s="451"/>
      <c r="P198" s="451"/>
      <c r="Q198" s="451"/>
      <c r="R198" s="158"/>
    </row>
    <row r="199" spans="1:18" ht="12.75" customHeight="1" x14ac:dyDescent="0.3">
      <c r="A199" s="36"/>
      <c r="B199" s="29"/>
      <c r="C199" s="36" t="s">
        <v>537</v>
      </c>
      <c r="D199" s="95"/>
      <c r="E199" s="95"/>
      <c r="F199" s="29"/>
      <c r="G199" s="94" t="s">
        <v>11</v>
      </c>
      <c r="H199" s="36" t="s">
        <v>722</v>
      </c>
      <c r="I199" s="521">
        <f>regional!I39</f>
        <v>0</v>
      </c>
      <c r="J199" s="467"/>
      <c r="K199" s="467"/>
      <c r="L199" s="450"/>
      <c r="M199" s="451"/>
      <c r="N199" s="451"/>
      <c r="O199" s="451"/>
      <c r="P199" s="451"/>
      <c r="Q199" s="451"/>
      <c r="R199" s="158"/>
    </row>
    <row r="200" spans="1:18" ht="12.75" customHeight="1" x14ac:dyDescent="0.3">
      <c r="A200" s="36"/>
      <c r="B200" s="29"/>
      <c r="C200" s="36" t="s">
        <v>15</v>
      </c>
      <c r="D200" s="95"/>
      <c r="E200" s="95"/>
      <c r="F200" s="29"/>
      <c r="G200" s="94" t="s">
        <v>891</v>
      </c>
      <c r="H200" s="36" t="s">
        <v>722</v>
      </c>
      <c r="I200" s="521">
        <f>regional!I40</f>
        <v>0</v>
      </c>
      <c r="J200" s="467"/>
      <c r="K200" s="467"/>
      <c r="L200" s="450"/>
      <c r="M200" s="451"/>
      <c r="N200" s="451"/>
      <c r="O200" s="451"/>
      <c r="P200" s="451"/>
      <c r="Q200" s="451"/>
      <c r="R200" s="158"/>
    </row>
    <row r="201" spans="1:18" ht="12.75" customHeight="1" x14ac:dyDescent="0.3">
      <c r="A201" s="36"/>
      <c r="B201" s="29"/>
      <c r="C201" s="36" t="s">
        <v>434</v>
      </c>
      <c r="D201" s="95"/>
      <c r="E201" s="95"/>
      <c r="F201" s="29"/>
      <c r="G201" s="94" t="s">
        <v>893</v>
      </c>
      <c r="H201" s="36" t="s">
        <v>722</v>
      </c>
      <c r="I201" s="521">
        <f>regional!I41</f>
        <v>0</v>
      </c>
      <c r="J201" s="467"/>
      <c r="K201" s="467"/>
      <c r="L201" s="450"/>
      <c r="M201" s="451"/>
      <c r="N201" s="451"/>
      <c r="O201" s="451"/>
      <c r="P201" s="451"/>
      <c r="Q201" s="451"/>
      <c r="R201" s="158"/>
    </row>
    <row r="202" spans="1:18" ht="12.75" customHeight="1" x14ac:dyDescent="0.3">
      <c r="A202" s="36"/>
      <c r="B202" s="29"/>
      <c r="C202" s="36" t="s">
        <v>888</v>
      </c>
      <c r="D202" s="95"/>
      <c r="E202" s="95"/>
      <c r="F202" s="29"/>
      <c r="G202" s="94" t="s">
        <v>894</v>
      </c>
      <c r="H202" s="36" t="s">
        <v>722</v>
      </c>
      <c r="I202" s="521">
        <f>regional!I42</f>
        <v>0</v>
      </c>
      <c r="J202" s="467"/>
      <c r="K202" s="467"/>
      <c r="L202" s="450"/>
      <c r="M202" s="451"/>
      <c r="N202" s="451"/>
      <c r="O202" s="451"/>
      <c r="P202" s="451"/>
      <c r="Q202" s="451"/>
      <c r="R202" s="158"/>
    </row>
    <row r="203" spans="1:18" ht="12.75" customHeight="1" x14ac:dyDescent="0.3">
      <c r="A203" s="36"/>
      <c r="B203" s="29"/>
      <c r="C203" s="29"/>
      <c r="D203" s="29"/>
      <c r="E203" s="29"/>
      <c r="F203" s="29"/>
      <c r="G203" s="94"/>
      <c r="H203" s="36"/>
      <c r="I203" s="522"/>
      <c r="J203" s="320"/>
      <c r="K203" s="320"/>
      <c r="L203" s="450"/>
      <c r="M203" s="325"/>
      <c r="N203" s="325"/>
      <c r="O203" s="325"/>
      <c r="P203" s="325"/>
      <c r="Q203" s="325"/>
      <c r="R203" s="158"/>
    </row>
    <row r="204" spans="1:18" ht="12.75" customHeight="1" x14ac:dyDescent="0.3">
      <c r="A204" s="36" t="s">
        <v>63</v>
      </c>
      <c r="B204" s="29"/>
      <c r="C204" s="29"/>
      <c r="D204" s="29"/>
      <c r="E204" s="29"/>
      <c r="F204" s="29"/>
      <c r="G204" s="36" t="s">
        <v>227</v>
      </c>
      <c r="H204" s="36" t="s">
        <v>2307</v>
      </c>
      <c r="I204" s="521">
        <f>regional!I44</f>
        <v>0</v>
      </c>
      <c r="J204" s="467"/>
      <c r="K204" s="467">
        <v>0</v>
      </c>
      <c r="L204" s="450"/>
      <c r="M204" s="451"/>
      <c r="N204" s="451"/>
      <c r="O204" s="451"/>
      <c r="P204" s="451"/>
      <c r="Q204" s="451"/>
      <c r="R204" s="158"/>
    </row>
    <row r="205" spans="1:18" ht="12.75" customHeight="1" x14ac:dyDescent="0.3">
      <c r="A205" s="36"/>
      <c r="B205" s="36"/>
      <c r="C205" s="36" t="s">
        <v>704</v>
      </c>
      <c r="D205" s="95"/>
      <c r="E205" s="29"/>
      <c r="F205" s="29"/>
      <c r="G205" s="37" t="s">
        <v>108</v>
      </c>
      <c r="H205" s="36" t="s">
        <v>723</v>
      </c>
      <c r="I205" s="521">
        <f>regional!I45</f>
        <v>0</v>
      </c>
      <c r="J205" s="467"/>
      <c r="K205" s="467"/>
      <c r="L205" s="450"/>
      <c r="M205" s="451"/>
      <c r="N205" s="451"/>
      <c r="O205" s="451"/>
      <c r="P205" s="451"/>
      <c r="Q205" s="451"/>
      <c r="R205" s="158"/>
    </row>
    <row r="206" spans="1:18" ht="12.75" customHeight="1" x14ac:dyDescent="0.3">
      <c r="A206" s="36"/>
      <c r="B206" s="29"/>
      <c r="C206" s="29"/>
      <c r="D206" s="29"/>
      <c r="E206" s="29"/>
      <c r="F206" s="29"/>
      <c r="G206" s="94"/>
      <c r="H206" s="36"/>
      <c r="I206" s="522"/>
      <c r="J206" s="320"/>
      <c r="K206" s="320"/>
      <c r="L206" s="320"/>
      <c r="M206" s="325"/>
      <c r="N206" s="325"/>
      <c r="O206" s="325"/>
      <c r="P206" s="325"/>
      <c r="Q206" s="325"/>
      <c r="R206" s="158"/>
    </row>
    <row r="207" spans="1:18" ht="12.75" customHeight="1" x14ac:dyDescent="0.3">
      <c r="A207" s="36" t="s">
        <v>319</v>
      </c>
      <c r="B207" s="29"/>
      <c r="C207" s="29"/>
      <c r="D207" s="29"/>
      <c r="E207" s="29"/>
      <c r="F207" s="29"/>
      <c r="G207" s="36" t="s">
        <v>288</v>
      </c>
      <c r="H207" s="36" t="s">
        <v>2307</v>
      </c>
      <c r="I207" s="521">
        <f>regional!I47</f>
        <v>0</v>
      </c>
      <c r="J207" s="467"/>
      <c r="K207" s="467">
        <v>0</v>
      </c>
      <c r="L207" s="450"/>
      <c r="M207" s="468"/>
      <c r="N207" s="468"/>
      <c r="O207" s="468"/>
      <c r="P207" s="468"/>
      <c r="Q207" s="468"/>
      <c r="R207" s="158"/>
    </row>
    <row r="208" spans="1:18" ht="12.75" customHeight="1" x14ac:dyDescent="0.3">
      <c r="A208" s="36" t="s">
        <v>320</v>
      </c>
      <c r="B208" s="29"/>
      <c r="C208" s="29"/>
      <c r="D208" s="29"/>
      <c r="E208" s="29"/>
      <c r="F208" s="29"/>
      <c r="G208" s="36" t="s">
        <v>290</v>
      </c>
      <c r="H208" s="36" t="s">
        <v>2307</v>
      </c>
      <c r="I208" s="521">
        <f>regional!I48</f>
        <v>0</v>
      </c>
      <c r="J208" s="467"/>
      <c r="K208" s="467">
        <v>0</v>
      </c>
      <c r="L208" s="450"/>
      <c r="M208" s="468"/>
      <c r="N208" s="468"/>
      <c r="O208" s="468"/>
      <c r="P208" s="468"/>
      <c r="Q208" s="468"/>
      <c r="R208" s="158"/>
    </row>
    <row r="209" spans="1:18" ht="12.75" customHeight="1" x14ac:dyDescent="0.3">
      <c r="A209" s="36" t="s">
        <v>318</v>
      </c>
      <c r="B209" s="29"/>
      <c r="C209" s="29"/>
      <c r="D209" s="29"/>
      <c r="E209" s="29"/>
      <c r="F209" s="29"/>
      <c r="G209" s="36" t="s">
        <v>289</v>
      </c>
      <c r="H209" s="36" t="s">
        <v>2307</v>
      </c>
      <c r="I209" s="521">
        <f>regional!I49</f>
        <v>0</v>
      </c>
      <c r="J209" s="467"/>
      <c r="K209" s="467">
        <v>0</v>
      </c>
      <c r="L209" s="450"/>
      <c r="M209" s="468"/>
      <c r="N209" s="468"/>
      <c r="O209" s="468"/>
      <c r="P209" s="468"/>
      <c r="Q209" s="468"/>
      <c r="R209" s="158"/>
    </row>
    <row r="210" spans="1:18" ht="12.75" customHeight="1" x14ac:dyDescent="0.3">
      <c r="A210" s="36" t="s">
        <v>64</v>
      </c>
      <c r="B210" s="29"/>
      <c r="C210" s="29"/>
      <c r="D210" s="29"/>
      <c r="E210" s="29"/>
      <c r="F210" s="29"/>
      <c r="G210" s="36" t="s">
        <v>228</v>
      </c>
      <c r="H210" s="36" t="s">
        <v>2307</v>
      </c>
      <c r="I210" s="521">
        <f>regional!I50</f>
        <v>0</v>
      </c>
      <c r="J210" s="467"/>
      <c r="K210" s="467">
        <v>0</v>
      </c>
      <c r="L210" s="450"/>
      <c r="M210" s="468"/>
      <c r="N210" s="468"/>
      <c r="O210" s="468"/>
      <c r="P210" s="468"/>
      <c r="Q210" s="468"/>
      <c r="R210" s="158"/>
    </row>
    <row r="211" spans="1:18" ht="12.75" customHeight="1" x14ac:dyDescent="0.3">
      <c r="A211" s="36" t="s">
        <v>65</v>
      </c>
      <c r="B211" s="29"/>
      <c r="C211" s="29"/>
      <c r="D211" s="29"/>
      <c r="E211" s="29"/>
      <c r="F211" s="29"/>
      <c r="G211" s="36" t="s">
        <v>229</v>
      </c>
      <c r="H211" s="36" t="s">
        <v>2307</v>
      </c>
      <c r="I211" s="521">
        <f>regional!I51</f>
        <v>0</v>
      </c>
      <c r="J211" s="467"/>
      <c r="K211" s="467">
        <v>0</v>
      </c>
      <c r="L211" s="450"/>
      <c r="M211" s="451"/>
      <c r="N211" s="451"/>
      <c r="O211" s="451"/>
      <c r="P211" s="451"/>
      <c r="Q211" s="451"/>
      <c r="R211" s="158"/>
    </row>
    <row r="212" spans="1:18" ht="12.75" customHeight="1" x14ac:dyDescent="0.3">
      <c r="A212" s="36"/>
      <c r="B212" s="36" t="s">
        <v>314</v>
      </c>
      <c r="C212" s="29"/>
      <c r="D212" s="29"/>
      <c r="E212" s="95"/>
      <c r="F212" s="95"/>
      <c r="G212" s="94" t="s">
        <v>316</v>
      </c>
      <c r="H212" s="36" t="s">
        <v>2316</v>
      </c>
      <c r="I212" s="521">
        <f>regional!I52</f>
        <v>0</v>
      </c>
      <c r="J212" s="467"/>
      <c r="K212" s="467"/>
      <c r="L212" s="450"/>
      <c r="M212" s="451"/>
      <c r="N212" s="451"/>
      <c r="O212" s="451"/>
      <c r="P212" s="451"/>
      <c r="Q212" s="451"/>
      <c r="R212" s="158"/>
    </row>
    <row r="213" spans="1:18" ht="12.75" customHeight="1" x14ac:dyDescent="0.3">
      <c r="A213" s="36"/>
      <c r="B213" s="36" t="s">
        <v>317</v>
      </c>
      <c r="C213" s="29"/>
      <c r="D213" s="29"/>
      <c r="E213" s="95"/>
      <c r="F213" s="95"/>
      <c r="G213" s="94" t="s">
        <v>315</v>
      </c>
      <c r="H213" s="36" t="s">
        <v>2316</v>
      </c>
      <c r="I213" s="521">
        <f>regional!I53</f>
        <v>0</v>
      </c>
      <c r="J213" s="467"/>
      <c r="K213" s="467"/>
      <c r="L213" s="450"/>
      <c r="M213" s="451"/>
      <c r="N213" s="451"/>
      <c r="O213" s="451"/>
      <c r="P213" s="451"/>
      <c r="Q213" s="451"/>
      <c r="R213" s="158"/>
    </row>
    <row r="214" spans="1:18" ht="12.75" customHeight="1" x14ac:dyDescent="0.3">
      <c r="A214" s="36"/>
      <c r="B214" s="36" t="s">
        <v>321</v>
      </c>
      <c r="C214" s="29"/>
      <c r="D214" s="29"/>
      <c r="E214" s="95"/>
      <c r="F214" s="95"/>
      <c r="G214" s="94" t="s">
        <v>322</v>
      </c>
      <c r="H214" s="36" t="s">
        <v>2316</v>
      </c>
      <c r="I214" s="521">
        <f>regional!I54</f>
        <v>0</v>
      </c>
      <c r="J214" s="467"/>
      <c r="K214" s="467"/>
      <c r="L214" s="450"/>
      <c r="M214" s="451"/>
      <c r="N214" s="451"/>
      <c r="O214" s="451"/>
      <c r="P214" s="451"/>
      <c r="Q214" s="451"/>
      <c r="R214" s="158"/>
    </row>
    <row r="215" spans="1:18" ht="12.75" customHeight="1" x14ac:dyDescent="0.3">
      <c r="A215" s="36"/>
      <c r="B215" s="36" t="s">
        <v>1166</v>
      </c>
      <c r="C215" s="29"/>
      <c r="D215" s="29"/>
      <c r="E215" s="95"/>
      <c r="F215" s="95"/>
      <c r="G215" s="94" t="s">
        <v>118</v>
      </c>
      <c r="H215" s="36" t="s">
        <v>2316</v>
      </c>
      <c r="I215" s="521">
        <f>regional!I55</f>
        <v>0</v>
      </c>
      <c r="J215" s="467"/>
      <c r="K215" s="467"/>
      <c r="L215" s="450"/>
      <c r="M215" s="451"/>
      <c r="N215" s="451"/>
      <c r="O215" s="451"/>
      <c r="P215" s="451"/>
      <c r="Q215" s="451"/>
      <c r="R215" s="158"/>
    </row>
    <row r="216" spans="1:18" ht="12.75" customHeight="1" x14ac:dyDescent="0.3">
      <c r="A216" s="36"/>
      <c r="B216" s="36" t="s">
        <v>1167</v>
      </c>
      <c r="C216" s="36"/>
      <c r="D216" s="29"/>
      <c r="E216" s="95"/>
      <c r="F216" s="95"/>
      <c r="G216" s="94" t="s">
        <v>119</v>
      </c>
      <c r="H216" s="36" t="s">
        <v>2316</v>
      </c>
      <c r="I216" s="521">
        <f>regional!I56</f>
        <v>0</v>
      </c>
      <c r="J216" s="467"/>
      <c r="K216" s="467">
        <v>0</v>
      </c>
      <c r="L216" s="450"/>
      <c r="M216" s="451"/>
      <c r="N216" s="451"/>
      <c r="O216" s="451"/>
      <c r="P216" s="451"/>
      <c r="Q216" s="451"/>
      <c r="R216" s="158"/>
    </row>
    <row r="217" spans="1:18" ht="12.75" customHeight="1" x14ac:dyDescent="0.3">
      <c r="A217" s="29"/>
      <c r="B217" s="29"/>
      <c r="C217" s="29"/>
      <c r="D217" s="29"/>
      <c r="E217" s="29"/>
      <c r="F217" s="29"/>
      <c r="G217" s="29"/>
      <c r="H217" s="29"/>
      <c r="I217" s="456"/>
      <c r="J217" s="339"/>
      <c r="K217" s="339"/>
      <c r="L217" s="339"/>
      <c r="M217" s="282"/>
      <c r="N217" s="282"/>
      <c r="O217" s="282"/>
      <c r="P217" s="282"/>
      <c r="Q217" s="282"/>
      <c r="R217" s="158"/>
    </row>
    <row r="218" spans="1:18" ht="12.75" customHeight="1" x14ac:dyDescent="0.3">
      <c r="A218" s="98" t="s">
        <v>209</v>
      </c>
      <c r="B218" s="97"/>
      <c r="C218" s="97"/>
      <c r="D218" s="97"/>
      <c r="E218" s="97"/>
      <c r="F218" s="97"/>
      <c r="G218" s="97"/>
      <c r="H218" s="97"/>
      <c r="I218" s="340" t="s">
        <v>754</v>
      </c>
      <c r="J218" s="364"/>
      <c r="K218" s="364"/>
      <c r="L218" s="364"/>
      <c r="M218" s="469"/>
      <c r="N218" s="469"/>
      <c r="O218" s="469"/>
      <c r="P218" s="469"/>
      <c r="Q218" s="469"/>
      <c r="R218" s="158"/>
    </row>
    <row r="219" spans="1:18" ht="12.75" customHeight="1" x14ac:dyDescent="0.3">
      <c r="A219" s="36"/>
      <c r="B219" s="36"/>
      <c r="C219" s="36"/>
      <c r="D219" s="36"/>
      <c r="E219" s="36"/>
      <c r="F219" s="36"/>
      <c r="G219" s="36"/>
      <c r="H219" s="36"/>
      <c r="I219" s="342"/>
      <c r="J219" s="320"/>
      <c r="K219" s="320"/>
      <c r="L219" s="320"/>
      <c r="M219" s="325"/>
      <c r="N219" s="325"/>
      <c r="O219" s="325"/>
      <c r="P219" s="325"/>
      <c r="Q219" s="325"/>
      <c r="R219" s="158"/>
    </row>
    <row r="220" spans="1:18" ht="12.75" customHeight="1" x14ac:dyDescent="0.3">
      <c r="A220" s="29"/>
      <c r="B220" s="29" t="s">
        <v>3968</v>
      </c>
      <c r="C220" s="29"/>
      <c r="D220" s="29"/>
      <c r="E220" s="29"/>
      <c r="F220" s="29"/>
      <c r="G220" s="29" t="s">
        <v>3969</v>
      </c>
      <c r="H220" s="29" t="s">
        <v>36</v>
      </c>
      <c r="I220" s="521">
        <f>regional!I60</f>
        <v>0</v>
      </c>
      <c r="J220" s="467"/>
      <c r="K220" s="467"/>
      <c r="L220" s="450">
        <f t="shared" ref="L220:P220" si="0">1-(0.00015*0.172)/((IF(Tm&gt;298,EXP(-6.79*(1-Tm/298))*Pvap25*EXP((H0vap/8.314)*(1/298-1/TEMP.R)),Pvap25*EXP((H0vap/8.314)*(1/298-1/TEMP.R))))+(0.00015*0.172))</f>
        <v>0.99999985795049728</v>
      </c>
      <c r="M220" s="451">
        <f t="shared" si="0"/>
        <v>0.99999985795049728</v>
      </c>
      <c r="N220" s="451">
        <f t="shared" si="0"/>
        <v>0.99999985795049728</v>
      </c>
      <c r="O220" s="451">
        <f t="shared" si="0"/>
        <v>0.99999985795049728</v>
      </c>
      <c r="P220" s="451">
        <f t="shared" si="0"/>
        <v>0.99999985795049728</v>
      </c>
      <c r="Q220" s="451"/>
      <c r="R220" s="158"/>
    </row>
    <row r="221" spans="1:18" ht="12.75" customHeight="1" x14ac:dyDescent="0.3">
      <c r="A221" s="29"/>
      <c r="B221" s="29" t="s">
        <v>615</v>
      </c>
      <c r="C221" s="29"/>
      <c r="D221" s="29"/>
      <c r="E221" s="29"/>
      <c r="F221" s="29"/>
      <c r="G221" s="29" t="s">
        <v>609</v>
      </c>
      <c r="H221" s="29" t="s">
        <v>36</v>
      </c>
      <c r="I221" s="521">
        <f>regional!I61</f>
        <v>0</v>
      </c>
      <c r="J221" s="467"/>
      <c r="K221" s="467"/>
      <c r="L221" s="450"/>
      <c r="M221" s="451"/>
      <c r="N221" s="451"/>
      <c r="O221" s="451"/>
      <c r="P221" s="451"/>
      <c r="Q221" s="451"/>
      <c r="R221" s="158"/>
    </row>
    <row r="222" spans="1:18" ht="12.75" customHeight="1" x14ac:dyDescent="0.3">
      <c r="A222" s="29"/>
      <c r="B222" s="29" t="s">
        <v>616</v>
      </c>
      <c r="C222" s="29"/>
      <c r="D222" s="29"/>
      <c r="E222" s="29"/>
      <c r="F222" s="29"/>
      <c r="G222" s="29" t="s">
        <v>610</v>
      </c>
      <c r="H222" s="29" t="s">
        <v>36</v>
      </c>
      <c r="I222" s="521">
        <f>regional!I62</f>
        <v>0</v>
      </c>
      <c r="J222" s="467"/>
      <c r="K222" s="467"/>
      <c r="L222" s="450">
        <f>(0.00015*0.172)/((IF(Tm&gt;298,EXP(-6.79*(1-Tm/298))*Pvap25*EXP((H0vap/8.314)*(1/298-1/TEMP.R)),Pvap25*EXP((H0vap/8.314)*(1/298-1/TEMP.R))))+(0.00015*0.172))</f>
        <v>1.4204950266496845E-7</v>
      </c>
      <c r="M222" s="451">
        <f>(0.00015*0.172)/((IF(Tm&gt;298,EXP(-6.79*(1-Tm/298))*Pvap25*EXP((H0vap/8.314)*(1/298-1/TEMP.R)),Pvap25*EXP((H0vap/8.314)*(1/298-1/TEMP.R))))+(0.00015*0.172))</f>
        <v>1.4204950266496845E-7</v>
      </c>
      <c r="N222" s="451">
        <f>(0.00015*0.172)/((IF(Tm&gt;298,EXP(-6.79*(1-Tm/298))*Pvap25*EXP((H0vap/8.314)*(1/298-1/TEMP.R)),Pvap25*EXP((H0vap/8.314)*(1/298-1/TEMP.R))))+(0.00015*0.172))</f>
        <v>1.4204950266496845E-7</v>
      </c>
      <c r="O222" s="451">
        <f>(0.00015*0.172)/((IF(Tm&gt;298,EXP(-6.79*(1-Tm/298))*Pvap25*EXP((H0vap/8.314)*(1/298-1/TEMP.R)),Pvap25*EXP((H0vap/8.314)*(1/298-1/TEMP.R))))+(0.00015*0.172))</f>
        <v>1.4204950266496845E-7</v>
      </c>
      <c r="P222" s="451">
        <f>(0.00015*0.172)/((IF(Tm&gt;298,EXP(-6.79*(1-Tm/298))*Pvap25*EXP((H0vap/8.314)*(1/298-1/TEMP.R)),Pvap25*EXP((H0vap/8.314)*(1/298-1/TEMP.R))))+(0.00015*0.172))</f>
        <v>1.4204950266496845E-7</v>
      </c>
      <c r="Q222" s="451"/>
      <c r="R222" s="158"/>
    </row>
    <row r="223" spans="1:18" ht="12.75" customHeight="1" x14ac:dyDescent="0.35">
      <c r="A223" s="29"/>
      <c r="B223" s="29"/>
      <c r="C223" s="29" t="s">
        <v>3970</v>
      </c>
      <c r="D223" s="29"/>
      <c r="E223" s="29"/>
      <c r="F223" s="29"/>
      <c r="G223" s="29" t="s">
        <v>3971</v>
      </c>
      <c r="H223" s="29" t="s">
        <v>2317</v>
      </c>
      <c r="I223" s="521">
        <f>regional!I63</f>
        <v>0</v>
      </c>
      <c r="J223" s="467"/>
      <c r="K223" s="467"/>
      <c r="L223" s="450"/>
      <c r="M223" s="451"/>
      <c r="N223" s="451"/>
      <c r="O223" s="451"/>
      <c r="P223" s="451"/>
      <c r="Q223" s="451"/>
      <c r="R223" s="158"/>
    </row>
    <row r="224" spans="1:18" ht="12.75" customHeight="1" x14ac:dyDescent="0.35">
      <c r="A224" s="29"/>
      <c r="B224" s="29"/>
      <c r="C224" s="29" t="s">
        <v>612</v>
      </c>
      <c r="D224" s="29"/>
      <c r="E224" s="29"/>
      <c r="F224" s="29"/>
      <c r="G224" s="29" t="s">
        <v>611</v>
      </c>
      <c r="H224" s="29" t="s">
        <v>2318</v>
      </c>
      <c r="I224" s="521">
        <f>regional!I64</f>
        <v>0</v>
      </c>
      <c r="J224" s="467"/>
      <c r="K224" s="467"/>
      <c r="L224" s="450"/>
      <c r="M224" s="451"/>
      <c r="N224" s="451"/>
      <c r="O224" s="451"/>
      <c r="P224" s="451"/>
      <c r="Q224" s="451"/>
      <c r="R224" s="158"/>
    </row>
    <row r="225" spans="1:18" ht="12.75" customHeight="1" x14ac:dyDescent="0.35">
      <c r="A225" s="29"/>
      <c r="B225" s="29"/>
      <c r="C225" s="29" t="s">
        <v>613</v>
      </c>
      <c r="D225" s="29"/>
      <c r="E225" s="29"/>
      <c r="F225" s="29"/>
      <c r="G225" s="29" t="s">
        <v>614</v>
      </c>
      <c r="H225" s="29" t="s">
        <v>2319</v>
      </c>
      <c r="I225" s="521">
        <f>regional!I65</f>
        <v>0</v>
      </c>
      <c r="J225" s="467"/>
      <c r="K225" s="467"/>
      <c r="L225" s="450"/>
      <c r="M225" s="451"/>
      <c r="N225" s="451"/>
      <c r="O225" s="451"/>
      <c r="P225" s="451"/>
      <c r="Q225" s="451"/>
      <c r="R225" s="158"/>
    </row>
    <row r="226" spans="1:18" ht="12.75" customHeight="1" x14ac:dyDescent="0.3">
      <c r="A226" s="36"/>
      <c r="B226" s="36" t="s">
        <v>291</v>
      </c>
      <c r="C226" s="95"/>
      <c r="D226" s="29"/>
      <c r="E226" s="29"/>
      <c r="F226" s="29"/>
      <c r="G226" s="94" t="s">
        <v>292</v>
      </c>
      <c r="H226" s="36" t="s">
        <v>36</v>
      </c>
      <c r="I226" s="521">
        <f>regional!I66</f>
        <v>0</v>
      </c>
      <c r="J226" s="467"/>
      <c r="K226" s="467"/>
      <c r="L226" s="450">
        <f t="shared" ref="L226:P226" si="1">1/(1+Kp.susp0R*SUSP.w0R/1000+0.05*Kow*0.001/1000)</f>
        <v>0.99982405406624308</v>
      </c>
      <c r="M226" s="451">
        <f t="shared" si="1"/>
        <v>0.99982405406624308</v>
      </c>
      <c r="N226" s="451">
        <f t="shared" si="1"/>
        <v>0.99982405406624308</v>
      </c>
      <c r="O226" s="451">
        <f t="shared" si="1"/>
        <v>0.99982405406624308</v>
      </c>
      <c r="P226" s="451">
        <f t="shared" si="1"/>
        <v>0.99982405406624308</v>
      </c>
      <c r="Q226" s="451"/>
      <c r="R226" s="158"/>
    </row>
    <row r="227" spans="1:18" ht="12.75" customHeight="1" x14ac:dyDescent="0.3">
      <c r="A227" s="36"/>
      <c r="B227" s="29"/>
      <c r="C227" s="36" t="s">
        <v>706</v>
      </c>
      <c r="D227" s="29"/>
      <c r="E227" s="29"/>
      <c r="F227" s="29"/>
      <c r="G227" s="94" t="s">
        <v>293</v>
      </c>
      <c r="H227" s="36" t="s">
        <v>2320</v>
      </c>
      <c r="I227" s="521">
        <f>regional!I67</f>
        <v>0</v>
      </c>
      <c r="J227" s="467"/>
      <c r="K227" s="467"/>
      <c r="L227" s="450"/>
      <c r="M227" s="451"/>
      <c r="N227" s="451"/>
      <c r="O227" s="451"/>
      <c r="P227" s="451"/>
      <c r="Q227" s="451"/>
      <c r="R227" s="158"/>
    </row>
    <row r="228" spans="1:18" ht="12.75" customHeight="1" x14ac:dyDescent="0.3">
      <c r="A228" s="36"/>
      <c r="B228" s="29"/>
      <c r="C228" s="36" t="s">
        <v>1098</v>
      </c>
      <c r="D228" s="29"/>
      <c r="E228" s="29"/>
      <c r="F228" s="29"/>
      <c r="G228" s="94" t="s">
        <v>294</v>
      </c>
      <c r="H228" s="36" t="s">
        <v>36</v>
      </c>
      <c r="I228" s="521">
        <f>regional!I68</f>
        <v>0</v>
      </c>
      <c r="J228" s="467"/>
      <c r="K228" s="467"/>
      <c r="L228" s="450"/>
      <c r="M228" s="451"/>
      <c r="N228" s="451"/>
      <c r="O228" s="451"/>
      <c r="P228" s="451"/>
      <c r="Q228" s="451"/>
      <c r="R228" s="158"/>
    </row>
    <row r="229" spans="1:18" ht="12.75" customHeight="1" x14ac:dyDescent="0.3">
      <c r="A229" s="36"/>
      <c r="B229" s="29"/>
      <c r="C229" s="36" t="s">
        <v>707</v>
      </c>
      <c r="D229" s="29"/>
      <c r="E229" s="29"/>
      <c r="F229" s="29"/>
      <c r="G229" s="94" t="s">
        <v>295</v>
      </c>
      <c r="H229" s="36" t="s">
        <v>2305</v>
      </c>
      <c r="I229" s="521">
        <f>regional!I69</f>
        <v>0</v>
      </c>
      <c r="J229" s="467"/>
      <c r="K229" s="467"/>
      <c r="L229" s="450"/>
      <c r="M229" s="451"/>
      <c r="N229" s="451"/>
      <c r="O229" s="451"/>
      <c r="P229" s="451"/>
      <c r="Q229" s="451"/>
      <c r="R229" s="158"/>
    </row>
    <row r="230" spans="1:18" ht="12.75" customHeight="1" x14ac:dyDescent="0.3">
      <c r="A230" s="36"/>
      <c r="B230" s="29"/>
      <c r="C230" s="36" t="s">
        <v>549</v>
      </c>
      <c r="D230" s="29"/>
      <c r="E230" s="29"/>
      <c r="F230" s="29"/>
      <c r="G230" s="94" t="s">
        <v>296</v>
      </c>
      <c r="H230" s="36" t="s">
        <v>1039</v>
      </c>
      <c r="I230" s="521">
        <f>regional!I70</f>
        <v>0</v>
      </c>
      <c r="J230" s="467"/>
      <c r="K230" s="467"/>
      <c r="L230" s="450"/>
      <c r="M230" s="451"/>
      <c r="N230" s="451"/>
      <c r="O230" s="451"/>
      <c r="P230" s="451"/>
      <c r="Q230" s="451"/>
      <c r="R230" s="158"/>
    </row>
    <row r="231" spans="1:18" ht="12.75" customHeight="1" x14ac:dyDescent="0.3">
      <c r="A231" s="36"/>
      <c r="B231" s="29"/>
      <c r="C231" s="36" t="s">
        <v>551</v>
      </c>
      <c r="D231" s="29"/>
      <c r="E231" s="29"/>
      <c r="F231" s="29"/>
      <c r="G231" s="94" t="s">
        <v>297</v>
      </c>
      <c r="H231" s="36" t="s">
        <v>1038</v>
      </c>
      <c r="I231" s="521">
        <f>regional!I71</f>
        <v>0</v>
      </c>
      <c r="J231" s="467"/>
      <c r="K231" s="467"/>
      <c r="L231" s="450"/>
      <c r="M231" s="451"/>
      <c r="N231" s="451"/>
      <c r="O231" s="451"/>
      <c r="P231" s="451"/>
      <c r="Q231" s="451"/>
      <c r="R231" s="158"/>
    </row>
    <row r="232" spans="1:18" ht="12.75" customHeight="1" x14ac:dyDescent="0.3">
      <c r="A232" s="36"/>
      <c r="B232" s="36" t="s">
        <v>3972</v>
      </c>
      <c r="C232" s="95"/>
      <c r="D232" s="29"/>
      <c r="E232" s="29"/>
      <c r="F232" s="29"/>
      <c r="G232" s="94" t="s">
        <v>538</v>
      </c>
      <c r="H232" s="36" t="s">
        <v>36</v>
      </c>
      <c r="I232" s="521">
        <f>regional!I72</f>
        <v>0</v>
      </c>
      <c r="J232" s="467"/>
      <c r="K232" s="467"/>
      <c r="L232" s="450">
        <f t="shared" ref="L232:P232" si="2">1/(1+Kp.susp1R*SUSP.w1R/1000+0.05*Kow*0.001/1000)</f>
        <v>0.99870985972679982</v>
      </c>
      <c r="M232" s="451">
        <f t="shared" si="2"/>
        <v>0.99870985972679982</v>
      </c>
      <c r="N232" s="451">
        <f t="shared" si="2"/>
        <v>0.99870985972679982</v>
      </c>
      <c r="O232" s="451">
        <f t="shared" si="2"/>
        <v>0.99870985972679982</v>
      </c>
      <c r="P232" s="451">
        <f t="shared" si="2"/>
        <v>0.99870985972679982</v>
      </c>
      <c r="Q232" s="451"/>
      <c r="R232" s="158"/>
    </row>
    <row r="233" spans="1:18" ht="12.75" customHeight="1" x14ac:dyDescent="0.3">
      <c r="A233" s="36"/>
      <c r="B233" s="29"/>
      <c r="C233" s="36" t="s">
        <v>706</v>
      </c>
      <c r="D233" s="29"/>
      <c r="E233" s="29"/>
      <c r="F233" s="29"/>
      <c r="G233" s="94" t="s">
        <v>182</v>
      </c>
      <c r="H233" s="36" t="s">
        <v>2320</v>
      </c>
      <c r="I233" s="521">
        <f>regional!I73</f>
        <v>0</v>
      </c>
      <c r="J233" s="467"/>
      <c r="K233" s="467"/>
      <c r="L233" s="450"/>
      <c r="M233" s="451"/>
      <c r="N233" s="451"/>
      <c r="O233" s="451"/>
      <c r="P233" s="451"/>
      <c r="Q233" s="451"/>
      <c r="R233" s="158"/>
    </row>
    <row r="234" spans="1:18" ht="12.75" customHeight="1" x14ac:dyDescent="0.3">
      <c r="A234" s="36"/>
      <c r="B234" s="29"/>
      <c r="C234" s="36" t="s">
        <v>1098</v>
      </c>
      <c r="D234" s="29"/>
      <c r="E234" s="29"/>
      <c r="F234" s="29"/>
      <c r="G234" s="94" t="s">
        <v>1456</v>
      </c>
      <c r="H234" s="36" t="s">
        <v>36</v>
      </c>
      <c r="I234" s="521">
        <f>regional!I74</f>
        <v>0</v>
      </c>
      <c r="J234" s="467"/>
      <c r="K234" s="467"/>
      <c r="L234" s="450"/>
      <c r="M234" s="451"/>
      <c r="N234" s="451"/>
      <c r="O234" s="451"/>
      <c r="P234" s="451"/>
      <c r="Q234" s="451"/>
      <c r="R234" s="158"/>
    </row>
    <row r="235" spans="1:18" ht="12.75" customHeight="1" x14ac:dyDescent="0.3">
      <c r="A235" s="36"/>
      <c r="B235" s="29"/>
      <c r="C235" s="36" t="s">
        <v>707</v>
      </c>
      <c r="D235" s="29"/>
      <c r="E235" s="29"/>
      <c r="F235" s="29"/>
      <c r="G235" s="94" t="s">
        <v>213</v>
      </c>
      <c r="H235" s="36" t="s">
        <v>2305</v>
      </c>
      <c r="I235" s="521">
        <f>regional!I75</f>
        <v>0</v>
      </c>
      <c r="J235" s="467"/>
      <c r="K235" s="467"/>
      <c r="L235" s="450"/>
      <c r="M235" s="451"/>
      <c r="N235" s="451"/>
      <c r="O235" s="451"/>
      <c r="P235" s="451"/>
      <c r="Q235" s="451"/>
      <c r="R235" s="158"/>
    </row>
    <row r="236" spans="1:18" ht="12.75" customHeight="1" x14ac:dyDescent="0.3">
      <c r="A236" s="36"/>
      <c r="B236" s="29"/>
      <c r="C236" s="36" t="s">
        <v>549</v>
      </c>
      <c r="D236" s="29"/>
      <c r="E236" s="29"/>
      <c r="F236" s="29"/>
      <c r="G236" s="94" t="s">
        <v>550</v>
      </c>
      <c r="H236" s="36" t="s">
        <v>1039</v>
      </c>
      <c r="I236" s="521">
        <f>regional!I76</f>
        <v>0</v>
      </c>
      <c r="J236" s="467"/>
      <c r="K236" s="467"/>
      <c r="L236" s="450"/>
      <c r="M236" s="451"/>
      <c r="N236" s="451"/>
      <c r="O236" s="451"/>
      <c r="P236" s="451"/>
      <c r="Q236" s="451"/>
      <c r="R236" s="158"/>
    </row>
    <row r="237" spans="1:18" ht="12.75" customHeight="1" x14ac:dyDescent="0.3">
      <c r="A237" s="36"/>
      <c r="B237" s="29"/>
      <c r="C237" s="36" t="s">
        <v>551</v>
      </c>
      <c r="D237" s="29"/>
      <c r="E237" s="29"/>
      <c r="F237" s="29"/>
      <c r="G237" s="94" t="s">
        <v>552</v>
      </c>
      <c r="H237" s="36" t="s">
        <v>1038</v>
      </c>
      <c r="I237" s="521">
        <f>regional!I77</f>
        <v>0</v>
      </c>
      <c r="J237" s="467"/>
      <c r="K237" s="467"/>
      <c r="L237" s="450"/>
      <c r="M237" s="451"/>
      <c r="N237" s="451"/>
      <c r="O237" s="451"/>
      <c r="P237" s="451"/>
      <c r="Q237" s="451"/>
      <c r="R237" s="158"/>
    </row>
    <row r="238" spans="1:18" ht="12.75" customHeight="1" x14ac:dyDescent="0.3">
      <c r="A238" s="36"/>
      <c r="B238" s="36" t="s">
        <v>3973</v>
      </c>
      <c r="C238" s="95"/>
      <c r="D238" s="29"/>
      <c r="E238" s="29"/>
      <c r="F238" s="29"/>
      <c r="G238" s="94" t="s">
        <v>539</v>
      </c>
      <c r="H238" s="36" t="s">
        <v>36</v>
      </c>
      <c r="I238" s="521">
        <f>regional!I78</f>
        <v>0</v>
      </c>
      <c r="J238" s="467"/>
      <c r="K238" s="467"/>
      <c r="L238" s="450">
        <f t="shared" ref="L238:P238" si="3">1/(1+Kp.susp2R*SUSP.w2R/1000+0.05*Kow*0.001/1000)</f>
        <v>0.99947800366072359</v>
      </c>
      <c r="M238" s="451">
        <f t="shared" si="3"/>
        <v>0.99947800366072359</v>
      </c>
      <c r="N238" s="451">
        <f t="shared" si="3"/>
        <v>0.99947800366072359</v>
      </c>
      <c r="O238" s="451">
        <f t="shared" si="3"/>
        <v>0.99947800366072359</v>
      </c>
      <c r="P238" s="451">
        <f t="shared" si="3"/>
        <v>0.99947800366072359</v>
      </c>
      <c r="Q238" s="451"/>
      <c r="R238" s="158"/>
    </row>
    <row r="239" spans="1:18" ht="12.75" customHeight="1" x14ac:dyDescent="0.3">
      <c r="A239" s="36"/>
      <c r="B239" s="29"/>
      <c r="C239" s="36" t="s">
        <v>706</v>
      </c>
      <c r="D239" s="29"/>
      <c r="E239" s="29"/>
      <c r="F239" s="29"/>
      <c r="G239" s="94" t="s">
        <v>184</v>
      </c>
      <c r="H239" s="36" t="s">
        <v>2320</v>
      </c>
      <c r="I239" s="521">
        <f>regional!I79</f>
        <v>0</v>
      </c>
      <c r="J239" s="467"/>
      <c r="K239" s="467"/>
      <c r="L239" s="450"/>
      <c r="M239" s="451"/>
      <c r="N239" s="451"/>
      <c r="O239" s="451"/>
      <c r="P239" s="451"/>
      <c r="Q239" s="451"/>
      <c r="R239" s="158"/>
    </row>
    <row r="240" spans="1:18" ht="12.75" customHeight="1" x14ac:dyDescent="0.3">
      <c r="A240" s="36"/>
      <c r="B240" s="29"/>
      <c r="C240" s="36" t="s">
        <v>1098</v>
      </c>
      <c r="D240" s="29"/>
      <c r="E240" s="29"/>
      <c r="F240" s="29"/>
      <c r="G240" s="94" t="s">
        <v>1457</v>
      </c>
      <c r="H240" s="36" t="s">
        <v>36</v>
      </c>
      <c r="I240" s="521">
        <f>regional!I80</f>
        <v>0</v>
      </c>
      <c r="J240" s="467"/>
      <c r="K240" s="467"/>
      <c r="L240" s="450"/>
      <c r="M240" s="451"/>
      <c r="N240" s="451"/>
      <c r="O240" s="451"/>
      <c r="P240" s="451"/>
      <c r="Q240" s="451"/>
      <c r="R240" s="158"/>
    </row>
    <row r="241" spans="1:18" ht="12.75" customHeight="1" x14ac:dyDescent="0.3">
      <c r="A241" s="36"/>
      <c r="B241" s="29"/>
      <c r="C241" s="36" t="s">
        <v>1504</v>
      </c>
      <c r="D241" s="29"/>
      <c r="E241" s="29"/>
      <c r="F241" s="29"/>
      <c r="G241" s="94" t="s">
        <v>214</v>
      </c>
      <c r="H241" s="36" t="s">
        <v>2305</v>
      </c>
      <c r="I241" s="521">
        <f>regional!I81</f>
        <v>0</v>
      </c>
      <c r="J241" s="467"/>
      <c r="K241" s="467"/>
      <c r="L241" s="450"/>
      <c r="M241" s="451"/>
      <c r="N241" s="451"/>
      <c r="O241" s="451"/>
      <c r="P241" s="451"/>
      <c r="Q241" s="451"/>
      <c r="R241" s="158"/>
    </row>
    <row r="242" spans="1:18" ht="12.75" customHeight="1" x14ac:dyDescent="0.3">
      <c r="A242" s="36"/>
      <c r="B242" s="29"/>
      <c r="C242" s="36" t="s">
        <v>549</v>
      </c>
      <c r="D242" s="29"/>
      <c r="E242" s="29"/>
      <c r="F242" s="29"/>
      <c r="G242" s="94" t="s">
        <v>553</v>
      </c>
      <c r="H242" s="36" t="s">
        <v>1039</v>
      </c>
      <c r="I242" s="521">
        <f>regional!I82</f>
        <v>0</v>
      </c>
      <c r="J242" s="467"/>
      <c r="K242" s="467"/>
      <c r="L242" s="450"/>
      <c r="M242" s="451"/>
      <c r="N242" s="451"/>
      <c r="O242" s="451"/>
      <c r="P242" s="451"/>
      <c r="Q242" s="451"/>
      <c r="R242" s="158"/>
    </row>
    <row r="243" spans="1:18" ht="12.75" customHeight="1" x14ac:dyDescent="0.3">
      <c r="A243" s="36"/>
      <c r="B243" s="29"/>
      <c r="C243" s="36" t="s">
        <v>551</v>
      </c>
      <c r="D243" s="29"/>
      <c r="E243" s="29"/>
      <c r="F243" s="29"/>
      <c r="G243" s="94" t="s">
        <v>554</v>
      </c>
      <c r="H243" s="36" t="s">
        <v>1038</v>
      </c>
      <c r="I243" s="521">
        <f>regional!I83</f>
        <v>0</v>
      </c>
      <c r="J243" s="467"/>
      <c r="K243" s="467"/>
      <c r="L243" s="450"/>
      <c r="M243" s="451"/>
      <c r="N243" s="451"/>
      <c r="O243" s="451"/>
      <c r="P243" s="451"/>
      <c r="Q243" s="451"/>
      <c r="R243" s="158"/>
    </row>
    <row r="244" spans="1:18" ht="12.75" customHeight="1" x14ac:dyDescent="0.3">
      <c r="A244" s="36"/>
      <c r="B244" s="36" t="s">
        <v>732</v>
      </c>
      <c r="C244" s="95"/>
      <c r="D244" s="29"/>
      <c r="E244" s="29"/>
      <c r="F244" s="29"/>
      <c r="G244" s="94" t="s">
        <v>466</v>
      </c>
      <c r="H244" s="36" t="s">
        <v>36</v>
      </c>
      <c r="I244" s="521">
        <f>regional!I84</f>
        <v>0</v>
      </c>
      <c r="J244" s="467"/>
      <c r="K244" s="467"/>
      <c r="L244" s="450"/>
      <c r="M244" s="451"/>
      <c r="N244" s="451"/>
      <c r="O244" s="451"/>
      <c r="P244" s="451"/>
      <c r="Q244" s="451"/>
      <c r="R244" s="158"/>
    </row>
    <row r="245" spans="1:18" ht="12.75" customHeight="1" x14ac:dyDescent="0.3">
      <c r="A245" s="36"/>
      <c r="B245" s="29"/>
      <c r="C245" s="36" t="s">
        <v>1433</v>
      </c>
      <c r="D245" s="29"/>
      <c r="E245" s="29"/>
      <c r="F245" s="29"/>
      <c r="G245" s="94" t="s">
        <v>173</v>
      </c>
      <c r="H245" s="36" t="s">
        <v>2320</v>
      </c>
      <c r="I245" s="521">
        <f>regional!I85</f>
        <v>0</v>
      </c>
      <c r="J245" s="467"/>
      <c r="K245" s="467"/>
      <c r="L245" s="450"/>
      <c r="M245" s="451"/>
      <c r="N245" s="451"/>
      <c r="O245" s="451"/>
      <c r="P245" s="451"/>
      <c r="Q245" s="451"/>
      <c r="R245" s="158"/>
    </row>
    <row r="246" spans="1:18" ht="12.75" customHeight="1" x14ac:dyDescent="0.3">
      <c r="A246" s="36"/>
      <c r="B246" s="29"/>
      <c r="C246" s="36" t="s">
        <v>1276</v>
      </c>
      <c r="D246" s="29"/>
      <c r="E246" s="29"/>
      <c r="F246" s="29"/>
      <c r="G246" s="94" t="s">
        <v>1066</v>
      </c>
      <c r="H246" s="36" t="s">
        <v>36</v>
      </c>
      <c r="I246" s="521">
        <f>regional!I86</f>
        <v>0</v>
      </c>
      <c r="J246" s="467"/>
      <c r="K246" s="467"/>
      <c r="L246" s="450"/>
      <c r="M246" s="451"/>
      <c r="N246" s="451"/>
      <c r="O246" s="451"/>
      <c r="P246" s="451"/>
      <c r="Q246" s="451"/>
      <c r="R246" s="158"/>
    </row>
    <row r="247" spans="1:18" ht="12.75" customHeight="1" x14ac:dyDescent="0.3">
      <c r="A247" s="36"/>
      <c r="B247" s="36" t="s">
        <v>1434</v>
      </c>
      <c r="C247" s="95"/>
      <c r="D247" s="29"/>
      <c r="E247" s="29"/>
      <c r="F247" s="29"/>
      <c r="G247" s="94" t="s">
        <v>1067</v>
      </c>
      <c r="H247" s="36" t="s">
        <v>36</v>
      </c>
      <c r="I247" s="521">
        <f>regional!I87</f>
        <v>0</v>
      </c>
      <c r="J247" s="467"/>
      <c r="K247" s="467"/>
      <c r="L247" s="450"/>
      <c r="M247" s="451"/>
      <c r="N247" s="451"/>
      <c r="O247" s="451"/>
      <c r="P247" s="451"/>
      <c r="Q247" s="451"/>
      <c r="R247" s="158"/>
    </row>
    <row r="248" spans="1:18" ht="12.75" customHeight="1" x14ac:dyDescent="0.3">
      <c r="A248" s="36"/>
      <c r="B248" s="29"/>
      <c r="C248" s="36" t="s">
        <v>1435</v>
      </c>
      <c r="D248" s="29"/>
      <c r="E248" s="29"/>
      <c r="F248" s="29"/>
      <c r="G248" s="94" t="s">
        <v>175</v>
      </c>
      <c r="H248" s="36" t="s">
        <v>2320</v>
      </c>
      <c r="I248" s="521">
        <f>regional!I88</f>
        <v>0</v>
      </c>
      <c r="J248" s="467"/>
      <c r="K248" s="467"/>
      <c r="L248" s="450"/>
      <c r="M248" s="451"/>
      <c r="N248" s="451"/>
      <c r="O248" s="451"/>
      <c r="P248" s="451"/>
      <c r="Q248" s="451"/>
      <c r="R248" s="158"/>
    </row>
    <row r="249" spans="1:18" ht="12.75" customHeight="1" x14ac:dyDescent="0.3">
      <c r="A249" s="36"/>
      <c r="B249" s="29"/>
      <c r="C249" s="36" t="s">
        <v>1275</v>
      </c>
      <c r="D249" s="29"/>
      <c r="E249" s="29"/>
      <c r="F249" s="29"/>
      <c r="G249" s="94" t="s">
        <v>1068</v>
      </c>
      <c r="H249" s="36" t="s">
        <v>36</v>
      </c>
      <c r="I249" s="521">
        <f>regional!I89</f>
        <v>0</v>
      </c>
      <c r="J249" s="467"/>
      <c r="K249" s="467"/>
      <c r="L249" s="450"/>
      <c r="M249" s="451"/>
      <c r="N249" s="451"/>
      <c r="O249" s="451"/>
      <c r="P249" s="451"/>
      <c r="Q249" s="451"/>
      <c r="R249" s="158"/>
    </row>
    <row r="250" spans="1:18" ht="12.75" customHeight="1" x14ac:dyDescent="0.3">
      <c r="A250" s="36"/>
      <c r="B250" s="36" t="s">
        <v>1436</v>
      </c>
      <c r="C250" s="95"/>
      <c r="D250" s="29"/>
      <c r="E250" s="29"/>
      <c r="F250" s="29"/>
      <c r="G250" s="94" t="s">
        <v>1069</v>
      </c>
      <c r="H250" s="36" t="s">
        <v>36</v>
      </c>
      <c r="I250" s="521">
        <f>regional!I90</f>
        <v>0</v>
      </c>
      <c r="J250" s="467"/>
      <c r="K250" s="467"/>
      <c r="L250" s="450"/>
      <c r="M250" s="451"/>
      <c r="N250" s="451"/>
      <c r="O250" s="451"/>
      <c r="P250" s="451"/>
      <c r="Q250" s="451"/>
      <c r="R250" s="158"/>
    </row>
    <row r="251" spans="1:18" ht="12.75" customHeight="1" x14ac:dyDescent="0.3">
      <c r="A251" s="36"/>
      <c r="B251" s="36" t="s">
        <v>515</v>
      </c>
      <c r="C251" s="95"/>
      <c r="D251" s="29"/>
      <c r="E251" s="29"/>
      <c r="F251" s="29"/>
      <c r="G251" s="94" t="s">
        <v>1025</v>
      </c>
      <c r="H251" s="36" t="s">
        <v>36</v>
      </c>
      <c r="I251" s="521">
        <f>regional!I91</f>
        <v>0</v>
      </c>
      <c r="J251" s="467"/>
      <c r="K251" s="467"/>
      <c r="L251" s="450"/>
      <c r="M251" s="451"/>
      <c r="N251" s="451"/>
      <c r="O251" s="451"/>
      <c r="P251" s="451"/>
      <c r="Q251" s="451"/>
      <c r="R251" s="158"/>
    </row>
    <row r="252" spans="1:18" ht="12.75" customHeight="1" x14ac:dyDescent="0.3">
      <c r="A252" s="36"/>
      <c r="B252" s="36" t="s">
        <v>987</v>
      </c>
      <c r="C252" s="95"/>
      <c r="D252" s="29"/>
      <c r="E252" s="29"/>
      <c r="F252" s="29"/>
      <c r="G252" s="94" t="s">
        <v>1029</v>
      </c>
      <c r="H252" s="36" t="s">
        <v>36</v>
      </c>
      <c r="I252" s="521">
        <f>regional!I92</f>
        <v>0</v>
      </c>
      <c r="J252" s="467"/>
      <c r="K252" s="467"/>
      <c r="L252" s="450"/>
      <c r="M252" s="451"/>
      <c r="N252" s="451"/>
      <c r="O252" s="451"/>
      <c r="P252" s="451"/>
      <c r="Q252" s="451"/>
      <c r="R252" s="158"/>
    </row>
    <row r="253" spans="1:18" ht="12.75" customHeight="1" x14ac:dyDescent="0.3">
      <c r="A253" s="36"/>
      <c r="B253" s="29"/>
      <c r="C253" s="36" t="s">
        <v>1328</v>
      </c>
      <c r="D253" s="29"/>
      <c r="E253" s="29"/>
      <c r="F253" s="29"/>
      <c r="G253" s="94" t="s">
        <v>126</v>
      </c>
      <c r="H253" s="36" t="s">
        <v>2320</v>
      </c>
      <c r="I253" s="521">
        <f>regional!I93</f>
        <v>0</v>
      </c>
      <c r="J253" s="467"/>
      <c r="K253" s="467"/>
      <c r="L253" s="450"/>
      <c r="M253" s="451"/>
      <c r="N253" s="451"/>
      <c r="O253" s="451"/>
      <c r="P253" s="451"/>
      <c r="Q253" s="451"/>
      <c r="R253" s="158"/>
    </row>
    <row r="254" spans="1:18" ht="12.75" customHeight="1" x14ac:dyDescent="0.3">
      <c r="A254" s="36"/>
      <c r="B254" s="29"/>
      <c r="C254" s="36" t="s">
        <v>1274</v>
      </c>
      <c r="D254" s="29"/>
      <c r="E254" s="29"/>
      <c r="F254" s="29"/>
      <c r="G254" s="94" t="s">
        <v>1070</v>
      </c>
      <c r="H254" s="36" t="s">
        <v>36</v>
      </c>
      <c r="I254" s="521">
        <f>regional!I94</f>
        <v>0</v>
      </c>
      <c r="J254" s="467"/>
      <c r="K254" s="467"/>
      <c r="L254" s="450"/>
      <c r="M254" s="451"/>
      <c r="N254" s="451"/>
      <c r="O254" s="451"/>
      <c r="P254" s="451"/>
      <c r="Q254" s="451"/>
      <c r="R254" s="158"/>
    </row>
    <row r="255" spans="1:18" ht="12.75" customHeight="1" x14ac:dyDescent="0.3">
      <c r="A255" s="36"/>
      <c r="B255" s="36" t="s">
        <v>781</v>
      </c>
      <c r="C255" s="95"/>
      <c r="D255" s="29"/>
      <c r="E255" s="29"/>
      <c r="F255" s="29"/>
      <c r="G255" s="94" t="s">
        <v>1071</v>
      </c>
      <c r="H255" s="36" t="s">
        <v>36</v>
      </c>
      <c r="I255" s="521">
        <f>regional!I95</f>
        <v>0</v>
      </c>
      <c r="J255" s="467"/>
      <c r="K255" s="467"/>
      <c r="L255" s="450"/>
      <c r="M255" s="451"/>
      <c r="N255" s="451"/>
      <c r="O255" s="451"/>
      <c r="P255" s="451"/>
      <c r="Q255" s="451"/>
      <c r="R255" s="158"/>
    </row>
    <row r="256" spans="1:18" ht="12.75" customHeight="1" x14ac:dyDescent="0.3">
      <c r="A256" s="36"/>
      <c r="B256" s="36" t="s">
        <v>516</v>
      </c>
      <c r="C256" s="95"/>
      <c r="D256" s="29"/>
      <c r="E256" s="29"/>
      <c r="F256" s="29"/>
      <c r="G256" s="94" t="s">
        <v>1026</v>
      </c>
      <c r="H256" s="36" t="s">
        <v>36</v>
      </c>
      <c r="I256" s="521">
        <f>regional!I96</f>
        <v>0</v>
      </c>
      <c r="J256" s="467"/>
      <c r="K256" s="467"/>
      <c r="L256" s="450"/>
      <c r="M256" s="451"/>
      <c r="N256" s="451"/>
      <c r="O256" s="451"/>
      <c r="P256" s="451"/>
      <c r="Q256" s="451"/>
      <c r="R256" s="158"/>
    </row>
    <row r="257" spans="1:18" ht="12.75" customHeight="1" x14ac:dyDescent="0.3">
      <c r="A257" s="36"/>
      <c r="B257" s="36" t="s">
        <v>1102</v>
      </c>
      <c r="C257" s="95"/>
      <c r="D257" s="29"/>
      <c r="E257" s="29"/>
      <c r="F257" s="29"/>
      <c r="G257" s="94" t="s">
        <v>1030</v>
      </c>
      <c r="H257" s="36" t="s">
        <v>36</v>
      </c>
      <c r="I257" s="521">
        <f>regional!I97</f>
        <v>0</v>
      </c>
      <c r="J257" s="467"/>
      <c r="K257" s="467"/>
      <c r="L257" s="450"/>
      <c r="M257" s="451"/>
      <c r="N257" s="451"/>
      <c r="O257" s="451"/>
      <c r="P257" s="451"/>
      <c r="Q257" s="451"/>
      <c r="R257" s="158"/>
    </row>
    <row r="258" spans="1:18" ht="12.75" customHeight="1" x14ac:dyDescent="0.3">
      <c r="A258" s="36"/>
      <c r="B258" s="29"/>
      <c r="C258" s="36" t="s">
        <v>1233</v>
      </c>
      <c r="D258" s="29"/>
      <c r="E258" s="29"/>
      <c r="F258" s="29"/>
      <c r="G258" s="94" t="s">
        <v>168</v>
      </c>
      <c r="H258" s="36" t="s">
        <v>2320</v>
      </c>
      <c r="I258" s="521">
        <f>regional!I98</f>
        <v>0</v>
      </c>
      <c r="J258" s="467"/>
      <c r="K258" s="467"/>
      <c r="L258" s="450"/>
      <c r="M258" s="451"/>
      <c r="N258" s="451"/>
      <c r="O258" s="451"/>
      <c r="P258" s="451"/>
      <c r="Q258" s="451"/>
      <c r="R258" s="158"/>
    </row>
    <row r="259" spans="1:18" ht="12.75" customHeight="1" x14ac:dyDescent="0.3">
      <c r="A259" s="36"/>
      <c r="B259" s="29"/>
      <c r="C259" s="36" t="s">
        <v>1273</v>
      </c>
      <c r="D259" s="29"/>
      <c r="E259" s="29"/>
      <c r="F259" s="29"/>
      <c r="G259" s="94" t="s">
        <v>1072</v>
      </c>
      <c r="H259" s="36" t="s">
        <v>36</v>
      </c>
      <c r="I259" s="521">
        <f>regional!I99</f>
        <v>0</v>
      </c>
      <c r="J259" s="467"/>
      <c r="K259" s="467"/>
      <c r="L259" s="450"/>
      <c r="M259" s="451"/>
      <c r="N259" s="451"/>
      <c r="O259" s="451"/>
      <c r="P259" s="451"/>
      <c r="Q259" s="451"/>
      <c r="R259" s="158"/>
    </row>
    <row r="260" spans="1:18" ht="12.75" customHeight="1" x14ac:dyDescent="0.3">
      <c r="A260" s="36"/>
      <c r="B260" s="36" t="s">
        <v>785</v>
      </c>
      <c r="C260" s="95"/>
      <c r="D260" s="29"/>
      <c r="E260" s="29"/>
      <c r="F260" s="29"/>
      <c r="G260" s="94" t="s">
        <v>1073</v>
      </c>
      <c r="H260" s="36" t="s">
        <v>36</v>
      </c>
      <c r="I260" s="521">
        <f>regional!I100</f>
        <v>0</v>
      </c>
      <c r="J260" s="467"/>
      <c r="K260" s="467"/>
      <c r="L260" s="450"/>
      <c r="M260" s="451"/>
      <c r="N260" s="451"/>
      <c r="O260" s="451"/>
      <c r="P260" s="451"/>
      <c r="Q260" s="451"/>
      <c r="R260" s="158"/>
    </row>
    <row r="261" spans="1:18" ht="12.75" customHeight="1" x14ac:dyDescent="0.3">
      <c r="A261" s="36"/>
      <c r="B261" s="36" t="s">
        <v>517</v>
      </c>
      <c r="C261" s="95"/>
      <c r="D261" s="29"/>
      <c r="E261" s="29"/>
      <c r="F261" s="29"/>
      <c r="G261" s="94" t="s">
        <v>1027</v>
      </c>
      <c r="H261" s="36" t="s">
        <v>36</v>
      </c>
      <c r="I261" s="521">
        <f>regional!I101</f>
        <v>0</v>
      </c>
      <c r="J261" s="467"/>
      <c r="K261" s="467"/>
      <c r="L261" s="450"/>
      <c r="M261" s="451"/>
      <c r="N261" s="451"/>
      <c r="O261" s="451"/>
      <c r="P261" s="451"/>
      <c r="Q261" s="451"/>
      <c r="R261" s="158"/>
    </row>
    <row r="262" spans="1:18" ht="12.75" customHeight="1" x14ac:dyDescent="0.3">
      <c r="A262" s="36"/>
      <c r="B262" s="36" t="s">
        <v>933</v>
      </c>
      <c r="C262" s="95"/>
      <c r="D262" s="29"/>
      <c r="E262" s="29"/>
      <c r="F262" s="29"/>
      <c r="G262" s="94" t="s">
        <v>1107</v>
      </c>
      <c r="H262" s="36" t="s">
        <v>36</v>
      </c>
      <c r="I262" s="521">
        <f>regional!I102</f>
        <v>0</v>
      </c>
      <c r="J262" s="467"/>
      <c r="K262" s="467"/>
      <c r="L262" s="450"/>
      <c r="M262" s="451"/>
      <c r="N262" s="451"/>
      <c r="O262" s="451"/>
      <c r="P262" s="451"/>
      <c r="Q262" s="451"/>
      <c r="R262" s="158"/>
    </row>
    <row r="263" spans="1:18" ht="12.75" customHeight="1" x14ac:dyDescent="0.3">
      <c r="A263" s="36"/>
      <c r="B263" s="29"/>
      <c r="C263" s="36" t="s">
        <v>1065</v>
      </c>
      <c r="D263" s="29"/>
      <c r="E263" s="29"/>
      <c r="F263" s="29"/>
      <c r="G263" s="94" t="s">
        <v>170</v>
      </c>
      <c r="H263" s="36" t="s">
        <v>2320</v>
      </c>
      <c r="I263" s="521">
        <f>regional!I103</f>
        <v>0</v>
      </c>
      <c r="J263" s="467"/>
      <c r="K263" s="467"/>
      <c r="L263" s="450"/>
      <c r="M263" s="451"/>
      <c r="N263" s="451"/>
      <c r="O263" s="451"/>
      <c r="P263" s="451"/>
      <c r="Q263" s="451"/>
      <c r="R263" s="158"/>
    </row>
    <row r="264" spans="1:18" ht="12.75" customHeight="1" x14ac:dyDescent="0.3">
      <c r="A264" s="36"/>
      <c r="B264" s="29"/>
      <c r="C264" s="36" t="s">
        <v>1405</v>
      </c>
      <c r="D264" s="29"/>
      <c r="E264" s="29"/>
      <c r="F264" s="29"/>
      <c r="G264" s="94" t="s">
        <v>1074</v>
      </c>
      <c r="H264" s="36" t="s">
        <v>36</v>
      </c>
      <c r="I264" s="521">
        <f>regional!I104</f>
        <v>0</v>
      </c>
      <c r="J264" s="467"/>
      <c r="K264" s="467"/>
      <c r="L264" s="450"/>
      <c r="M264" s="451"/>
      <c r="N264" s="451"/>
      <c r="O264" s="451"/>
      <c r="P264" s="451"/>
      <c r="Q264" s="451"/>
      <c r="R264" s="158"/>
    </row>
    <row r="265" spans="1:18" ht="12.75" customHeight="1" x14ac:dyDescent="0.3">
      <c r="A265" s="36"/>
      <c r="B265" s="29"/>
      <c r="C265" s="29"/>
      <c r="D265" s="36"/>
      <c r="E265" s="29"/>
      <c r="F265" s="29"/>
      <c r="G265" s="29"/>
      <c r="H265" s="29"/>
      <c r="I265" s="456"/>
      <c r="J265" s="339"/>
      <c r="K265" s="339"/>
      <c r="L265" s="339"/>
      <c r="M265" s="282"/>
      <c r="N265" s="282"/>
      <c r="O265" s="282"/>
      <c r="P265" s="282"/>
      <c r="Q265" s="282"/>
      <c r="R265" s="158"/>
    </row>
    <row r="266" spans="1:18" ht="12.75" customHeight="1" x14ac:dyDescent="0.3">
      <c r="A266" s="98" t="s">
        <v>1311</v>
      </c>
      <c r="B266" s="97"/>
      <c r="C266" s="97"/>
      <c r="D266" s="97"/>
      <c r="E266" s="97"/>
      <c r="F266" s="97"/>
      <c r="G266" s="97"/>
      <c r="H266" s="97"/>
      <c r="I266" s="340" t="s">
        <v>754</v>
      </c>
      <c r="J266" s="364"/>
      <c r="K266" s="364"/>
      <c r="L266" s="364"/>
      <c r="M266" s="469"/>
      <c r="N266" s="469"/>
      <c r="O266" s="469"/>
      <c r="P266" s="469"/>
      <c r="Q266" s="469"/>
      <c r="R266" s="158"/>
    </row>
    <row r="267" spans="1:18" ht="12.75" customHeight="1" x14ac:dyDescent="0.3">
      <c r="A267" s="29"/>
      <c r="B267" s="29"/>
      <c r="C267" s="29"/>
      <c r="D267" s="29"/>
      <c r="E267" s="29"/>
      <c r="F267" s="29"/>
      <c r="G267" s="29"/>
      <c r="H267" s="29"/>
      <c r="I267" s="342"/>
      <c r="J267" s="339"/>
      <c r="K267" s="339"/>
      <c r="L267" s="339"/>
      <c r="M267" s="282"/>
      <c r="N267" s="282"/>
      <c r="O267" s="282"/>
      <c r="P267" s="282"/>
      <c r="Q267" s="282"/>
      <c r="R267" s="158"/>
    </row>
    <row r="268" spans="1:18" ht="12.75" customHeight="1" x14ac:dyDescent="0.3">
      <c r="A268" s="36" t="s">
        <v>298</v>
      </c>
      <c r="B268" s="29"/>
      <c r="C268" s="29"/>
      <c r="D268" s="29"/>
      <c r="E268" s="29"/>
      <c r="F268" s="29"/>
      <c r="G268" s="36" t="s">
        <v>299</v>
      </c>
      <c r="H268" s="36" t="s">
        <v>2307</v>
      </c>
      <c r="I268" s="521">
        <f>regional!I108</f>
        <v>0</v>
      </c>
      <c r="J268" s="450"/>
      <c r="K268" s="450">
        <v>0</v>
      </c>
      <c r="L268" s="450">
        <f>((DRYDEPaerosol.R+AerosolWashout.R+GasWashout.R+GASABS.aR.wR)/HEIGHT.aR)*AREAFRAC.w0R</f>
        <v>1.5221839723583916E-10</v>
      </c>
      <c r="M268" s="450">
        <f>((DRYDEPaerosol.R+AerosolWashout.R+GasWashout.R+GASABS.aR.wR)/HEIGHT.aR)*AREAFRAC.w0R</f>
        <v>1.5221839723583916E-10</v>
      </c>
      <c r="N268" s="450">
        <f>((DRYDEPaerosol.R+AerosolWashout.R+GasWashout.R+GASABS.aR.wR)/HEIGHT.aR)*AREAFRAC.w0R</f>
        <v>1.5221839723583916E-10</v>
      </c>
      <c r="O268" s="450">
        <f>((DRYDEPaerosol.R+AerosolWashout.R+GasWashout.R+GASABS.aR.wR)/HEIGHT.aR)*AREAFRAC.w0R</f>
        <v>1.5221839723583916E-10</v>
      </c>
      <c r="P268" s="450">
        <f>((DRYDEPaerosol.R+AerosolWashout.R+GasWashout.R+GASABS.aR.wR)/HEIGHT.aR)*AREAFRAC.w0R</f>
        <v>1.5221839723583916E-10</v>
      </c>
      <c r="Q268" s="451"/>
      <c r="R268" s="158"/>
    </row>
    <row r="269" spans="1:18" ht="12.75" customHeight="1" x14ac:dyDescent="0.3">
      <c r="A269" s="36" t="s">
        <v>66</v>
      </c>
      <c r="B269" s="29"/>
      <c r="C269" s="29"/>
      <c r="D269" s="29"/>
      <c r="E269" s="29"/>
      <c r="F269" s="29"/>
      <c r="G269" s="36" t="s">
        <v>230</v>
      </c>
      <c r="H269" s="36" t="s">
        <v>2307</v>
      </c>
      <c r="I269" s="521">
        <f>regional!I109</f>
        <v>0</v>
      </c>
      <c r="J269" s="450"/>
      <c r="K269" s="450">
        <v>0</v>
      </c>
      <c r="L269" s="450">
        <f>((DRYDEPaerosol.R+AerosolWashout.R+GasWashout.R+GASABS.aR.wR)/HEIGHT.aR)*AREAFRAC.w1R</f>
        <v>1.674402369594231E-9</v>
      </c>
      <c r="M269" s="450">
        <f>((DRYDEPaerosol.R+AerosolWashout.R+GasWashout.R+GASABS.aR.wR)/HEIGHT.aR)*AREAFRAC.w1R</f>
        <v>1.674402369594231E-9</v>
      </c>
      <c r="N269" s="450">
        <f>((DRYDEPaerosol.R+AerosolWashout.R+GasWashout.R+GASABS.aR.wR)/HEIGHT.aR)*AREAFRAC.w1R</f>
        <v>1.674402369594231E-9</v>
      </c>
      <c r="O269" s="450">
        <f>((DRYDEPaerosol.R+AerosolWashout.R+GasWashout.R+GASABS.aR.wR)/HEIGHT.aR)*AREAFRAC.w1R</f>
        <v>1.674402369594231E-9</v>
      </c>
      <c r="P269" s="450">
        <f>((DRYDEPaerosol.R+AerosolWashout.R+GasWashout.R+GASABS.aR.wR)/HEIGHT.aR)*AREAFRAC.w1R</f>
        <v>1.674402369594231E-9</v>
      </c>
      <c r="Q269" s="451"/>
      <c r="R269" s="158"/>
    </row>
    <row r="270" spans="1:18" ht="12.75" customHeight="1" x14ac:dyDescent="0.3">
      <c r="A270" s="36" t="s">
        <v>67</v>
      </c>
      <c r="B270" s="29"/>
      <c r="C270" s="29"/>
      <c r="D270" s="29"/>
      <c r="E270" s="29"/>
      <c r="F270" s="29"/>
      <c r="G270" s="36" t="s">
        <v>231</v>
      </c>
      <c r="H270" s="36" t="s">
        <v>2307</v>
      </c>
      <c r="I270" s="521">
        <f>regional!I110</f>
        <v>0</v>
      </c>
      <c r="J270" s="450"/>
      <c r="K270" s="450">
        <v>0</v>
      </c>
      <c r="L270" s="450">
        <f>((DRYDEPaerosol.R+AerosolWashout.R+GasWashout.R+GASABS.aR.wR)/HEIGHT.aR)*AREAFRAC.w2R</f>
        <v>2.6638386006184426E-10</v>
      </c>
      <c r="M270" s="450">
        <f>((DRYDEPaerosol.R+AerosolWashout.R+GasWashout.R+GASABS.aR.wR)/HEIGHT.aR)*AREAFRAC.w2R</f>
        <v>2.6638386006184426E-10</v>
      </c>
      <c r="N270" s="450">
        <f>((DRYDEPaerosol.R+AerosolWashout.R+GasWashout.R+GASABS.aR.wR)/HEIGHT.aR)*AREAFRAC.w2R</f>
        <v>2.6638386006184426E-10</v>
      </c>
      <c r="O270" s="450">
        <f>((DRYDEPaerosol.R+AerosolWashout.R+GasWashout.R+GASABS.aR.wR)/HEIGHT.aR)*AREAFRAC.w2R</f>
        <v>2.6638386006184426E-10</v>
      </c>
      <c r="P270" s="450">
        <f>((DRYDEPaerosol.R+AerosolWashout.R+GasWashout.R+GASABS.aR.wR)/HEIGHT.aR)*AREAFRAC.w2R</f>
        <v>2.6638386006184426E-10</v>
      </c>
      <c r="Q270" s="451"/>
      <c r="R270" s="158"/>
    </row>
    <row r="271" spans="1:18" ht="12.75" customHeight="1" x14ac:dyDescent="0.3">
      <c r="A271" s="36" t="s">
        <v>68</v>
      </c>
      <c r="B271" s="29"/>
      <c r="C271" s="29"/>
      <c r="D271" s="29"/>
      <c r="E271" s="29"/>
      <c r="F271" s="29"/>
      <c r="G271" s="36" t="s">
        <v>232</v>
      </c>
      <c r="H271" s="36" t="s">
        <v>2307</v>
      </c>
      <c r="I271" s="521">
        <f>regional!I111</f>
        <v>0</v>
      </c>
      <c r="J271" s="450"/>
      <c r="K271" s="450">
        <v>0</v>
      </c>
      <c r="L271" s="450">
        <f>((DRYDEPaerosol.R+AerosolWashout.R+GasWashout.R+GASABS.aR.sR)/HEIGHT.aR)*AREAFRAC.s1R</f>
        <v>1.4101503093318607E-9</v>
      </c>
      <c r="M271" s="450">
        <f>((DRYDEPaerosol.R+AerosolWashout.R+GasWashout.R+GASABS.aR.sR)/HEIGHT.aR)*AREAFRAC.s1R</f>
        <v>1.4101503093318607E-9</v>
      </c>
      <c r="N271" s="450">
        <f>((DRYDEPaerosol.R+AerosolWashout.R+GasWashout.R+GASABS.aR.sR)/HEIGHT.aR)*AREAFRAC.s1R</f>
        <v>1.4101503093318607E-9</v>
      </c>
      <c r="O271" s="450">
        <f>((DRYDEPaerosol.R+AerosolWashout.R+GasWashout.R+GASABS.aR.sR)/HEIGHT.aR)*AREAFRAC.s1R</f>
        <v>1.4101503093318607E-9</v>
      </c>
      <c r="P271" s="450">
        <f>((DRYDEPaerosol.R+AerosolWashout.R+GasWashout.R+GASABS.aR.sR)/HEIGHT.aR)*AREAFRAC.s1R</f>
        <v>1.4101503093318607E-9</v>
      </c>
      <c r="Q271" s="451"/>
      <c r="R271" s="158"/>
    </row>
    <row r="272" spans="1:18" ht="12.75" customHeight="1" x14ac:dyDescent="0.3">
      <c r="A272" s="36" t="s">
        <v>69</v>
      </c>
      <c r="B272" s="29"/>
      <c r="C272" s="29"/>
      <c r="D272" s="29"/>
      <c r="E272" s="29"/>
      <c r="F272" s="29"/>
      <c r="G272" s="36" t="s">
        <v>233</v>
      </c>
      <c r="H272" s="36" t="s">
        <v>2307</v>
      </c>
      <c r="I272" s="521">
        <f>regional!I112</f>
        <v>0</v>
      </c>
      <c r="J272" s="450"/>
      <c r="K272" s="450">
        <v>0</v>
      </c>
      <c r="L272" s="450">
        <f>((DRYDEPaerosol.R+AerosolWashout.R+GasWashout.R+GASABS.aR.sR)/HEIGHT.aR)*AREAFRAC.s2R</f>
        <v>3.133667354070801E-9</v>
      </c>
      <c r="M272" s="450">
        <f>((DRYDEPaerosol.R+AerosolWashout.R+GasWashout.R+GASABS.aR.sR)/HEIGHT.aR)*AREAFRAC.s2R</f>
        <v>3.133667354070801E-9</v>
      </c>
      <c r="N272" s="450">
        <f>((DRYDEPaerosol.R+AerosolWashout.R+GasWashout.R+GASABS.aR.sR)/HEIGHT.aR)*AREAFRAC.s2R</f>
        <v>3.133667354070801E-9</v>
      </c>
      <c r="O272" s="450">
        <f>((DRYDEPaerosol.R+AerosolWashout.R+GasWashout.R+GASABS.aR.sR)/HEIGHT.aR)*AREAFRAC.s2R</f>
        <v>3.133667354070801E-9</v>
      </c>
      <c r="P272" s="450">
        <f>((DRYDEPaerosol.R+AerosolWashout.R+GasWashout.R+GASABS.aR.sR)/HEIGHT.aR)*AREAFRAC.s2R</f>
        <v>3.133667354070801E-9</v>
      </c>
      <c r="Q272" s="451"/>
      <c r="R272" s="158"/>
    </row>
    <row r="273" spans="1:18" ht="12.75" customHeight="1" x14ac:dyDescent="0.3">
      <c r="A273" s="36" t="s">
        <v>70</v>
      </c>
      <c r="B273" s="29"/>
      <c r="C273" s="29"/>
      <c r="D273" s="29"/>
      <c r="E273" s="29"/>
      <c r="F273" s="29"/>
      <c r="G273" s="36" t="s">
        <v>234</v>
      </c>
      <c r="H273" s="36" t="s">
        <v>2307</v>
      </c>
      <c r="I273" s="521">
        <f>regional!I113</f>
        <v>0</v>
      </c>
      <c r="J273" s="450"/>
      <c r="K273" s="450">
        <v>0</v>
      </c>
      <c r="L273" s="450">
        <f>((DRYDEPaerosol.R+AerosolWashout.R+GasWashout.R+GASABS.aR.sR)/HEIGHT.aR)*AREAFRAC.s3R</f>
        <v>5.2227789234513354E-10</v>
      </c>
      <c r="M273" s="450">
        <f>((DRYDEPaerosol.R+AerosolWashout.R+GasWashout.R+GASABS.aR.sR)/HEIGHT.aR)*AREAFRAC.s3R</f>
        <v>5.2227789234513354E-10</v>
      </c>
      <c r="N273" s="450">
        <f>((DRYDEPaerosol.R+AerosolWashout.R+GasWashout.R+GASABS.aR.sR)/HEIGHT.aR)*AREAFRAC.s3R</f>
        <v>5.2227789234513354E-10</v>
      </c>
      <c r="O273" s="450">
        <f>((DRYDEPaerosol.R+AerosolWashout.R+GasWashout.R+GASABS.aR.sR)/HEIGHT.aR)*AREAFRAC.s3R</f>
        <v>5.2227789234513354E-10</v>
      </c>
      <c r="P273" s="450">
        <f>((DRYDEPaerosol.R+AerosolWashout.R+GasWashout.R+GASABS.aR.sR)/HEIGHT.aR)*AREAFRAC.s3R</f>
        <v>5.2227789234513354E-10</v>
      </c>
      <c r="Q273" s="451"/>
      <c r="R273" s="158"/>
    </row>
    <row r="274" spans="1:18" ht="12.75" customHeight="1" x14ac:dyDescent="0.3">
      <c r="A274" s="36" t="s">
        <v>71</v>
      </c>
      <c r="B274" s="29"/>
      <c r="C274" s="29"/>
      <c r="D274" s="29"/>
      <c r="E274" s="29"/>
      <c r="F274" s="29"/>
      <c r="G274" s="36" t="s">
        <v>300</v>
      </c>
      <c r="H274" s="36" t="s">
        <v>2307</v>
      </c>
      <c r="I274" s="521">
        <f>regional!I114</f>
        <v>0</v>
      </c>
      <c r="J274" s="450"/>
      <c r="K274" s="450"/>
      <c r="L274" s="450"/>
      <c r="M274" s="451"/>
      <c r="N274" s="451"/>
      <c r="O274" s="451"/>
      <c r="P274" s="451"/>
      <c r="Q274" s="451"/>
      <c r="R274" s="158"/>
    </row>
    <row r="275" spans="1:18" ht="12.75" customHeight="1" x14ac:dyDescent="0.3">
      <c r="A275" s="36" t="s">
        <v>71</v>
      </c>
      <c r="B275" s="29"/>
      <c r="C275" s="29"/>
      <c r="D275" s="29"/>
      <c r="E275" s="29"/>
      <c r="F275" s="29"/>
      <c r="G275" s="36" t="s">
        <v>235</v>
      </c>
      <c r="H275" s="36" t="s">
        <v>2307</v>
      </c>
      <c r="I275" s="521">
        <f>regional!I115</f>
        <v>0</v>
      </c>
      <c r="J275" s="450"/>
      <c r="K275" s="450"/>
      <c r="L275" s="450"/>
      <c r="M275" s="451"/>
      <c r="N275" s="451"/>
      <c r="O275" s="451"/>
      <c r="P275" s="451"/>
      <c r="Q275" s="451"/>
      <c r="R275" s="158"/>
    </row>
    <row r="276" spans="1:18" ht="12.75" customHeight="1" x14ac:dyDescent="0.3">
      <c r="A276" s="36" t="s">
        <v>72</v>
      </c>
      <c r="B276" s="29"/>
      <c r="C276" s="29"/>
      <c r="D276" s="29"/>
      <c r="E276" s="29"/>
      <c r="F276" s="29"/>
      <c r="G276" s="36" t="s">
        <v>236</v>
      </c>
      <c r="H276" s="36" t="s">
        <v>2307</v>
      </c>
      <c r="I276" s="521">
        <f>regional!I116</f>
        <v>0</v>
      </c>
      <c r="J276" s="450"/>
      <c r="K276" s="450"/>
      <c r="L276" s="450"/>
      <c r="M276" s="451"/>
      <c r="N276" s="451"/>
      <c r="O276" s="451"/>
      <c r="P276" s="451"/>
      <c r="Q276" s="451"/>
      <c r="R276" s="158"/>
    </row>
    <row r="277" spans="1:18" ht="12.75" customHeight="1" x14ac:dyDescent="0.3">
      <c r="A277" s="36" t="s">
        <v>73</v>
      </c>
      <c r="B277" s="29"/>
      <c r="C277" s="29"/>
      <c r="D277" s="29"/>
      <c r="E277" s="29"/>
      <c r="F277" s="29"/>
      <c r="G277" s="36" t="s">
        <v>237</v>
      </c>
      <c r="H277" s="36" t="s">
        <v>2307</v>
      </c>
      <c r="I277" s="521">
        <f>regional!I117</f>
        <v>0</v>
      </c>
      <c r="J277" s="450"/>
      <c r="K277" s="450"/>
      <c r="L277" s="450"/>
      <c r="M277" s="451"/>
      <c r="N277" s="451"/>
      <c r="O277" s="451"/>
      <c r="P277" s="451"/>
      <c r="Q277" s="451"/>
      <c r="R277" s="158"/>
    </row>
    <row r="278" spans="1:18" ht="12.75" customHeight="1" x14ac:dyDescent="0.3">
      <c r="A278" s="36" t="s">
        <v>74</v>
      </c>
      <c r="B278" s="29"/>
      <c r="C278" s="29"/>
      <c r="D278" s="29"/>
      <c r="E278" s="29"/>
      <c r="F278" s="29"/>
      <c r="G278" s="36" t="s">
        <v>238</v>
      </c>
      <c r="H278" s="36" t="s">
        <v>2307</v>
      </c>
      <c r="I278" s="521">
        <f>regional!I118</f>
        <v>0</v>
      </c>
      <c r="J278" s="450"/>
      <c r="K278" s="450"/>
      <c r="L278" s="450"/>
      <c r="M278" s="451"/>
      <c r="N278" s="451"/>
      <c r="O278" s="451"/>
      <c r="P278" s="451"/>
      <c r="Q278" s="451"/>
      <c r="R278" s="158"/>
    </row>
    <row r="279" spans="1:18" ht="12.75" customHeight="1" x14ac:dyDescent="0.3">
      <c r="A279" s="36" t="s">
        <v>75</v>
      </c>
      <c r="B279" s="29"/>
      <c r="C279" s="29"/>
      <c r="D279" s="29"/>
      <c r="E279" s="29"/>
      <c r="F279" s="29"/>
      <c r="G279" s="36" t="s">
        <v>239</v>
      </c>
      <c r="H279" s="36" t="s">
        <v>2307</v>
      </c>
      <c r="I279" s="521">
        <f>regional!I119</f>
        <v>0</v>
      </c>
      <c r="J279" s="450"/>
      <c r="K279" s="450"/>
      <c r="L279" s="450"/>
      <c r="M279" s="451"/>
      <c r="N279" s="451"/>
      <c r="O279" s="451"/>
      <c r="P279" s="451"/>
      <c r="Q279" s="451"/>
      <c r="R279" s="158"/>
    </row>
    <row r="280" spans="1:18" ht="12.75" customHeight="1" x14ac:dyDescent="0.3">
      <c r="A280" s="36"/>
      <c r="B280" s="36" t="s">
        <v>3974</v>
      </c>
      <c r="C280" s="29"/>
      <c r="D280" s="29"/>
      <c r="E280" s="29"/>
      <c r="F280" s="29"/>
      <c r="G280" s="37" t="s">
        <v>2262</v>
      </c>
      <c r="H280" s="36" t="s">
        <v>2307</v>
      </c>
      <c r="I280" s="521">
        <f>regional!I120</f>
        <v>0</v>
      </c>
      <c r="J280" s="450"/>
      <c r="K280" s="450"/>
      <c r="L280" s="450"/>
      <c r="M280" s="451"/>
      <c r="N280" s="451"/>
      <c r="O280" s="451"/>
      <c r="P280" s="451"/>
      <c r="Q280" s="451"/>
      <c r="R280" s="158"/>
    </row>
    <row r="281" spans="1:18" ht="12.75" customHeight="1" x14ac:dyDescent="0.3">
      <c r="A281" s="36"/>
      <c r="B281" s="36"/>
      <c r="C281" s="29" t="s">
        <v>3975</v>
      </c>
      <c r="D281" s="29"/>
      <c r="E281" s="29"/>
      <c r="F281" s="29"/>
      <c r="G281" s="37" t="s">
        <v>2261</v>
      </c>
      <c r="H281" s="36" t="s">
        <v>2307</v>
      </c>
      <c r="I281" s="521">
        <f>regional!I121</f>
        <v>0</v>
      </c>
      <c r="J281" s="450"/>
      <c r="K281" s="450"/>
      <c r="L281" s="450"/>
      <c r="M281" s="451"/>
      <c r="N281" s="451"/>
      <c r="O281" s="451"/>
      <c r="P281" s="451"/>
      <c r="Q281" s="451"/>
      <c r="R281" s="158"/>
    </row>
    <row r="282" spans="1:18" ht="12.75" customHeight="1" x14ac:dyDescent="0.3">
      <c r="A282" s="36"/>
      <c r="B282" s="36"/>
      <c r="C282" s="36"/>
      <c r="D282" s="36" t="s">
        <v>3976</v>
      </c>
      <c r="E282" s="29"/>
      <c r="F282" s="29"/>
      <c r="G282" s="37" t="s">
        <v>927</v>
      </c>
      <c r="H282" s="36" t="s">
        <v>2307</v>
      </c>
      <c r="I282" s="521">
        <f>regional!I122</f>
        <v>0</v>
      </c>
      <c r="J282" s="450"/>
      <c r="K282" s="450"/>
      <c r="L282" s="450"/>
      <c r="M282" s="451"/>
      <c r="N282" s="451"/>
      <c r="O282" s="451"/>
      <c r="P282" s="451"/>
      <c r="Q282" s="451"/>
      <c r="R282" s="158"/>
    </row>
    <row r="283" spans="1:18" ht="12.75" customHeight="1" x14ac:dyDescent="0.3">
      <c r="A283" s="36"/>
      <c r="B283" s="36"/>
      <c r="C283" s="36"/>
      <c r="D283" s="36" t="s">
        <v>3977</v>
      </c>
      <c r="E283" s="29"/>
      <c r="F283" s="29"/>
      <c r="G283" s="37" t="s">
        <v>928</v>
      </c>
      <c r="H283" s="36" t="s">
        <v>2307</v>
      </c>
      <c r="I283" s="521">
        <f>regional!I123</f>
        <v>0</v>
      </c>
      <c r="J283" s="450"/>
      <c r="K283" s="450"/>
      <c r="L283" s="450"/>
      <c r="M283" s="451"/>
      <c r="N283" s="451"/>
      <c r="O283" s="451"/>
      <c r="P283" s="451"/>
      <c r="Q283" s="451"/>
      <c r="R283" s="158"/>
    </row>
    <row r="284" spans="1:18" ht="12.75" customHeight="1" x14ac:dyDescent="0.3">
      <c r="A284" s="36"/>
      <c r="B284" s="36"/>
      <c r="C284" s="36"/>
      <c r="D284" s="29" t="s">
        <v>929</v>
      </c>
      <c r="E284" s="29"/>
      <c r="F284" s="29"/>
      <c r="G284" s="29" t="s">
        <v>930</v>
      </c>
      <c r="H284" s="29" t="s">
        <v>2191</v>
      </c>
      <c r="I284" s="521">
        <f>regional!I124</f>
        <v>0</v>
      </c>
      <c r="J284" s="450"/>
      <c r="K284" s="450"/>
      <c r="L284" s="450"/>
      <c r="M284" s="451"/>
      <c r="N284" s="451"/>
      <c r="O284" s="451"/>
      <c r="P284" s="451"/>
      <c r="Q284" s="451"/>
      <c r="R284" s="158"/>
    </row>
    <row r="285" spans="1:18" ht="12.75" customHeight="1" x14ac:dyDescent="0.3">
      <c r="A285" s="36"/>
      <c r="B285" s="36"/>
      <c r="C285" s="36"/>
      <c r="D285" s="29" t="s">
        <v>931</v>
      </c>
      <c r="E285" s="29"/>
      <c r="F285" s="29"/>
      <c r="G285" s="29" t="s">
        <v>932</v>
      </c>
      <c r="H285" s="29" t="s">
        <v>2191</v>
      </c>
      <c r="I285" s="521">
        <f>regional!I125</f>
        <v>0</v>
      </c>
      <c r="J285" s="450"/>
      <c r="K285" s="450"/>
      <c r="L285" s="450"/>
      <c r="M285" s="451"/>
      <c r="N285" s="451"/>
      <c r="O285" s="451"/>
      <c r="P285" s="451"/>
      <c r="Q285" s="451"/>
      <c r="R285" s="158"/>
    </row>
    <row r="286" spans="1:18" ht="12.75" customHeight="1" x14ac:dyDescent="0.3">
      <c r="A286" s="36"/>
      <c r="B286" s="36"/>
      <c r="C286" s="36" t="s">
        <v>493</v>
      </c>
      <c r="D286" s="29"/>
      <c r="E286" s="29"/>
      <c r="F286" s="29"/>
      <c r="G286" s="94" t="s">
        <v>120</v>
      </c>
      <c r="H286" s="95" t="s">
        <v>2321</v>
      </c>
      <c r="I286" s="521">
        <f>regional!I126</f>
        <v>0</v>
      </c>
      <c r="J286" s="450"/>
      <c r="K286" s="450"/>
      <c r="L286" s="450">
        <f>AEROSOLdeprate.R*FRaers.aR</f>
        <v>3.5083098262422928E-11</v>
      </c>
      <c r="M286" s="450">
        <f>AEROSOLdeprate.R*FRaers.aR</f>
        <v>3.5083098262422928E-11</v>
      </c>
      <c r="N286" s="450">
        <f>AEROSOLdeprate.R*FRaers.aR</f>
        <v>3.5083098262422928E-11</v>
      </c>
      <c r="O286" s="450">
        <f>AEROSOLdeprate.R*FRaers.aR</f>
        <v>3.5083098262422928E-11</v>
      </c>
      <c r="P286" s="450">
        <f>AEROSOLdeprate.R*FRaers.aR</f>
        <v>3.5083098262422928E-11</v>
      </c>
      <c r="Q286" s="451"/>
      <c r="R286" s="158"/>
    </row>
    <row r="287" spans="1:18" ht="12.75" customHeight="1" x14ac:dyDescent="0.3">
      <c r="A287" s="36"/>
      <c r="B287" s="36"/>
      <c r="C287" s="36" t="s">
        <v>745</v>
      </c>
      <c r="D287" s="29"/>
      <c r="E287" s="29"/>
      <c r="F287" s="29"/>
      <c r="G287" s="37" t="s">
        <v>586</v>
      </c>
      <c r="H287" s="95" t="s">
        <v>2321</v>
      </c>
      <c r="I287" s="521">
        <f>regional!I127</f>
        <v>0</v>
      </c>
      <c r="J287" s="450"/>
      <c r="K287" s="450"/>
      <c r="L287" s="450">
        <f t="shared" ref="L287:P287" si="4">(1-FRgas.aR)*COLLECTeff.R*RAINrate.R</f>
        <v>1.5673500732245339E-10</v>
      </c>
      <c r="M287" s="451">
        <f t="shared" si="4"/>
        <v>1.5673500732245339E-10</v>
      </c>
      <c r="N287" s="451">
        <f t="shared" si="4"/>
        <v>1.5673500732245339E-10</v>
      </c>
      <c r="O287" s="451">
        <f t="shared" si="4"/>
        <v>1.5673500732245339E-10</v>
      </c>
      <c r="P287" s="451">
        <f t="shared" si="4"/>
        <v>1.5673500732245339E-10</v>
      </c>
      <c r="Q287" s="451"/>
      <c r="R287" s="158"/>
    </row>
    <row r="288" spans="1:18" ht="12.75" customHeight="1" x14ac:dyDescent="0.3">
      <c r="A288" s="36"/>
      <c r="B288" s="36"/>
      <c r="C288" s="36" t="s">
        <v>746</v>
      </c>
      <c r="D288" s="29"/>
      <c r="E288" s="29"/>
      <c r="F288" s="29"/>
      <c r="G288" s="37" t="s">
        <v>587</v>
      </c>
      <c r="H288" s="95" t="s">
        <v>2321</v>
      </c>
      <c r="I288" s="521">
        <f>regional!I128</f>
        <v>0</v>
      </c>
      <c r="J288" s="450"/>
      <c r="K288" s="450"/>
      <c r="L288" s="450">
        <f t="shared" ref="L288:P288" si="5">FRgas.aR*RAINrate.R/Kaw.R</f>
        <v>2.4703055562475118E-7</v>
      </c>
      <c r="M288" s="451">
        <f t="shared" si="5"/>
        <v>2.4703055562475118E-7</v>
      </c>
      <c r="N288" s="451">
        <f t="shared" si="5"/>
        <v>2.4703055562475118E-7</v>
      </c>
      <c r="O288" s="451">
        <f t="shared" si="5"/>
        <v>2.4703055562475118E-7</v>
      </c>
      <c r="P288" s="451">
        <f t="shared" si="5"/>
        <v>2.4703055562475118E-7</v>
      </c>
      <c r="Q288" s="451"/>
      <c r="R288" s="158"/>
    </row>
    <row r="289" spans="1:18" ht="12.75" customHeight="1" x14ac:dyDescent="0.3">
      <c r="A289" s="36"/>
      <c r="B289" s="36"/>
      <c r="C289" s="29"/>
      <c r="D289" s="95" t="s">
        <v>747</v>
      </c>
      <c r="E289" s="95"/>
      <c r="F289" s="95"/>
      <c r="G289" s="94" t="s">
        <v>121</v>
      </c>
      <c r="H289" s="95" t="s">
        <v>2321</v>
      </c>
      <c r="I289" s="521">
        <f>regional!I129</f>
        <v>0</v>
      </c>
      <c r="J289" s="450"/>
      <c r="K289" s="450"/>
      <c r="L289" s="450"/>
      <c r="M289" s="451"/>
      <c r="N289" s="451"/>
      <c r="O289" s="451"/>
      <c r="P289" s="451"/>
      <c r="Q289" s="451"/>
      <c r="R289" s="158"/>
    </row>
    <row r="290" spans="1:18" ht="12.75" customHeight="1" x14ac:dyDescent="0.3">
      <c r="A290" s="36"/>
      <c r="B290" s="36"/>
      <c r="C290" s="29"/>
      <c r="D290" s="36" t="s">
        <v>444</v>
      </c>
      <c r="E290" s="29"/>
      <c r="F290" s="29"/>
      <c r="G290" s="94" t="s">
        <v>123</v>
      </c>
      <c r="H290" s="36" t="s">
        <v>36</v>
      </c>
      <c r="I290" s="521">
        <f>regional!I130</f>
        <v>0</v>
      </c>
      <c r="J290" s="450"/>
      <c r="K290" s="450"/>
      <c r="L290" s="450"/>
      <c r="M290" s="451"/>
      <c r="N290" s="451"/>
      <c r="O290" s="451"/>
      <c r="P290" s="451"/>
      <c r="Q290" s="451"/>
      <c r="R290" s="158"/>
    </row>
    <row r="291" spans="1:18" ht="12.75" customHeight="1" x14ac:dyDescent="0.3">
      <c r="A291" s="36"/>
      <c r="B291" s="36" t="s">
        <v>2217</v>
      </c>
      <c r="C291" s="29"/>
      <c r="D291" s="29"/>
      <c r="E291" s="95"/>
      <c r="F291" s="95"/>
      <c r="G291" s="37" t="s">
        <v>2219</v>
      </c>
      <c r="H291" s="36" t="s">
        <v>2322</v>
      </c>
      <c r="I291" s="521">
        <f>regional!I131</f>
        <v>0</v>
      </c>
      <c r="J291" s="450"/>
      <c r="K291" s="450"/>
      <c r="L291" s="450"/>
      <c r="M291" s="451"/>
      <c r="N291" s="451"/>
      <c r="O291" s="451"/>
      <c r="P291" s="451"/>
      <c r="Q291" s="451"/>
      <c r="R291" s="158"/>
    </row>
    <row r="292" spans="1:18" ht="12.75" customHeight="1" x14ac:dyDescent="0.3">
      <c r="A292" s="36"/>
      <c r="B292" s="36" t="s">
        <v>2218</v>
      </c>
      <c r="C292" s="29"/>
      <c r="D292" s="29"/>
      <c r="E292" s="95"/>
      <c r="F292" s="95"/>
      <c r="G292" s="37" t="s">
        <v>2223</v>
      </c>
      <c r="H292" s="36" t="s">
        <v>2322</v>
      </c>
      <c r="I292" s="521">
        <f>regional!I132</f>
        <v>0</v>
      </c>
      <c r="J292" s="450"/>
      <c r="K292" s="450"/>
      <c r="L292" s="450"/>
      <c r="M292" s="451"/>
      <c r="N292" s="451"/>
      <c r="O292" s="451"/>
      <c r="P292" s="451"/>
      <c r="Q292" s="451"/>
      <c r="R292" s="158"/>
    </row>
    <row r="293" spans="1:18" ht="12.75" customHeight="1" x14ac:dyDescent="0.3">
      <c r="A293" s="36"/>
      <c r="B293" s="36" t="s">
        <v>2211</v>
      </c>
      <c r="C293" s="29"/>
      <c r="D293" s="29"/>
      <c r="E293" s="95"/>
      <c r="F293" s="95"/>
      <c r="G293" s="37" t="s">
        <v>2220</v>
      </c>
      <c r="H293" s="36" t="s">
        <v>2322</v>
      </c>
      <c r="I293" s="521">
        <f>regional!I133</f>
        <v>0</v>
      </c>
      <c r="J293" s="450"/>
      <c r="K293" s="450"/>
      <c r="L293" s="450"/>
      <c r="M293" s="451"/>
      <c r="N293" s="451"/>
      <c r="O293" s="451"/>
      <c r="P293" s="451"/>
      <c r="Q293" s="451"/>
      <c r="R293" s="158"/>
    </row>
    <row r="294" spans="1:18" ht="12.75" customHeight="1" x14ac:dyDescent="0.3">
      <c r="A294" s="36"/>
      <c r="B294" s="36" t="s">
        <v>2212</v>
      </c>
      <c r="C294" s="29"/>
      <c r="D294" s="29"/>
      <c r="E294" s="95"/>
      <c r="F294" s="95"/>
      <c r="G294" s="37" t="s">
        <v>2221</v>
      </c>
      <c r="H294" s="36" t="s">
        <v>2322</v>
      </c>
      <c r="I294" s="521">
        <f>regional!I134</f>
        <v>0</v>
      </c>
      <c r="J294" s="450"/>
      <c r="K294" s="450"/>
      <c r="L294" s="450"/>
      <c r="M294" s="451"/>
      <c r="N294" s="451"/>
      <c r="O294" s="451"/>
      <c r="P294" s="451"/>
      <c r="Q294" s="451"/>
      <c r="R294" s="158"/>
    </row>
    <row r="295" spans="1:18" ht="12.75" customHeight="1" x14ac:dyDescent="0.3">
      <c r="A295" s="36"/>
      <c r="B295" s="36" t="s">
        <v>2213</v>
      </c>
      <c r="C295" s="29"/>
      <c r="D295" s="29"/>
      <c r="E295" s="29"/>
      <c r="F295" s="29"/>
      <c r="G295" s="37" t="s">
        <v>2222</v>
      </c>
      <c r="H295" s="36" t="s">
        <v>2322</v>
      </c>
      <c r="I295" s="521">
        <f>regional!I135</f>
        <v>0</v>
      </c>
      <c r="J295" s="450"/>
      <c r="K295" s="450"/>
      <c r="L295" s="450"/>
      <c r="M295" s="451"/>
      <c r="N295" s="451"/>
      <c r="O295" s="451"/>
      <c r="P295" s="451"/>
      <c r="Q295" s="451"/>
      <c r="R295" s="158"/>
    </row>
    <row r="296" spans="1:18" ht="12.75" customHeight="1" x14ac:dyDescent="0.3">
      <c r="A296" s="36"/>
      <c r="B296" s="36"/>
      <c r="C296" s="29" t="s">
        <v>1077</v>
      </c>
      <c r="D296" s="29"/>
      <c r="E296" s="95"/>
      <c r="F296" s="95"/>
      <c r="G296" s="29" t="s">
        <v>3978</v>
      </c>
      <c r="H296" s="95" t="s">
        <v>2321</v>
      </c>
      <c r="I296" s="521">
        <f>regional!I136</f>
        <v>0</v>
      </c>
      <c r="J296" s="450"/>
      <c r="K296" s="450"/>
      <c r="L296" s="450"/>
      <c r="M296" s="451"/>
      <c r="N296" s="451"/>
      <c r="O296" s="451"/>
      <c r="P296" s="451"/>
      <c r="Q296" s="451"/>
      <c r="R296" s="158"/>
    </row>
    <row r="297" spans="1:18" ht="12.75" customHeight="1" x14ac:dyDescent="0.3">
      <c r="A297" s="36"/>
      <c r="B297" s="36"/>
      <c r="C297" s="29" t="s">
        <v>1048</v>
      </c>
      <c r="D297" s="29"/>
      <c r="E297" s="95"/>
      <c r="F297" s="95"/>
      <c r="G297" s="29" t="s">
        <v>3979</v>
      </c>
      <c r="H297" s="95" t="s">
        <v>2321</v>
      </c>
      <c r="I297" s="521">
        <f>regional!I137</f>
        <v>0</v>
      </c>
      <c r="J297" s="450"/>
      <c r="K297" s="450"/>
      <c r="L297" s="450"/>
      <c r="M297" s="451"/>
      <c r="N297" s="451"/>
      <c r="O297" s="451"/>
      <c r="P297" s="451"/>
      <c r="Q297" s="451"/>
      <c r="R297" s="158"/>
    </row>
    <row r="298" spans="1:18" ht="12.75" customHeight="1" x14ac:dyDescent="0.3">
      <c r="A298" s="36"/>
      <c r="B298" s="36" t="s">
        <v>2214</v>
      </c>
      <c r="C298" s="29"/>
      <c r="D298" s="29"/>
      <c r="E298" s="95"/>
      <c r="F298" s="95"/>
      <c r="G298" s="37" t="s">
        <v>2224</v>
      </c>
      <c r="H298" s="36" t="s">
        <v>2322</v>
      </c>
      <c r="I298" s="521">
        <f>regional!I138</f>
        <v>0</v>
      </c>
      <c r="J298" s="450"/>
      <c r="K298" s="450"/>
      <c r="L298" s="450"/>
      <c r="M298" s="451"/>
      <c r="N298" s="451"/>
      <c r="O298" s="451"/>
      <c r="P298" s="451"/>
      <c r="Q298" s="451"/>
      <c r="R298" s="158"/>
    </row>
    <row r="299" spans="1:18" ht="12.75" customHeight="1" x14ac:dyDescent="0.3">
      <c r="A299" s="36"/>
      <c r="B299" s="36" t="s">
        <v>2215</v>
      </c>
      <c r="C299" s="29"/>
      <c r="D299" s="29"/>
      <c r="E299" s="95"/>
      <c r="F299" s="95"/>
      <c r="G299" s="37" t="s">
        <v>2225</v>
      </c>
      <c r="H299" s="36" t="s">
        <v>2322</v>
      </c>
      <c r="I299" s="521">
        <f>regional!I139</f>
        <v>0</v>
      </c>
      <c r="J299" s="450"/>
      <c r="K299" s="450"/>
      <c r="L299" s="450"/>
      <c r="M299" s="451"/>
      <c r="N299" s="451"/>
      <c r="O299" s="451"/>
      <c r="P299" s="451"/>
      <c r="Q299" s="451"/>
      <c r="R299" s="158"/>
    </row>
    <row r="300" spans="1:18" ht="12.75" customHeight="1" x14ac:dyDescent="0.3">
      <c r="A300" s="36"/>
      <c r="B300" s="36" t="s">
        <v>2216</v>
      </c>
      <c r="C300" s="29"/>
      <c r="D300" s="29"/>
      <c r="E300" s="95"/>
      <c r="F300" s="95"/>
      <c r="G300" s="37" t="s">
        <v>2226</v>
      </c>
      <c r="H300" s="36" t="s">
        <v>2322</v>
      </c>
      <c r="I300" s="521">
        <f>regional!I140</f>
        <v>0</v>
      </c>
      <c r="J300" s="450"/>
      <c r="K300" s="450"/>
      <c r="L300" s="450"/>
      <c r="M300" s="451"/>
      <c r="N300" s="451"/>
      <c r="O300" s="451"/>
      <c r="P300" s="451"/>
      <c r="Q300" s="451"/>
      <c r="R300" s="158"/>
    </row>
    <row r="301" spans="1:18" ht="12.75" customHeight="1" x14ac:dyDescent="0.3">
      <c r="A301" s="36"/>
      <c r="B301" s="36"/>
      <c r="C301" s="29" t="s">
        <v>1049</v>
      </c>
      <c r="D301" s="29"/>
      <c r="E301" s="29"/>
      <c r="F301" s="95"/>
      <c r="G301" s="29" t="s">
        <v>3980</v>
      </c>
      <c r="H301" s="95" t="s">
        <v>2321</v>
      </c>
      <c r="I301" s="521">
        <f>regional!I141</f>
        <v>0</v>
      </c>
      <c r="J301" s="450"/>
      <c r="K301" s="450"/>
      <c r="L301" s="450"/>
      <c r="M301" s="450"/>
      <c r="N301" s="450"/>
      <c r="O301" s="450"/>
      <c r="P301" s="451"/>
      <c r="Q301" s="450"/>
      <c r="R301" s="158"/>
    </row>
    <row r="302" spans="1:18" ht="12.75" customHeight="1" x14ac:dyDescent="0.3">
      <c r="A302" s="36"/>
      <c r="B302" s="36"/>
      <c r="C302" s="29" t="s">
        <v>872</v>
      </c>
      <c r="D302" s="29"/>
      <c r="E302" s="95"/>
      <c r="F302" s="95"/>
      <c r="G302" s="29" t="s">
        <v>3981</v>
      </c>
      <c r="H302" s="95" t="s">
        <v>2321</v>
      </c>
      <c r="I302" s="521">
        <f>regional!I142</f>
        <v>0</v>
      </c>
      <c r="J302" s="450"/>
      <c r="K302" s="450"/>
      <c r="L302" s="611"/>
      <c r="M302" s="611"/>
      <c r="N302" s="611"/>
      <c r="O302" s="611"/>
      <c r="P302" s="451"/>
      <c r="Q302" s="611"/>
      <c r="R302" s="158"/>
    </row>
    <row r="303" spans="1:18" ht="12.75" customHeight="1" x14ac:dyDescent="0.3">
      <c r="A303" s="36"/>
      <c r="B303" s="36"/>
      <c r="C303" s="29" t="s">
        <v>2227</v>
      </c>
      <c r="D303" s="29"/>
      <c r="E303" s="95"/>
      <c r="F303" s="95"/>
      <c r="G303" s="37" t="s">
        <v>1464</v>
      </c>
      <c r="H303" s="29" t="s">
        <v>36</v>
      </c>
      <c r="I303" s="521">
        <f>regional!I143</f>
        <v>0</v>
      </c>
      <c r="J303" s="450"/>
      <c r="K303" s="450"/>
      <c r="L303" s="450">
        <v>1</v>
      </c>
      <c r="M303" s="450">
        <v>1</v>
      </c>
      <c r="N303" s="450">
        <v>1</v>
      </c>
      <c r="O303" s="450">
        <v>1</v>
      </c>
      <c r="P303" s="451"/>
      <c r="Q303" s="450">
        <v>1</v>
      </c>
      <c r="R303" s="158"/>
    </row>
    <row r="304" spans="1:18" ht="12.75" customHeight="1" x14ac:dyDescent="0.3">
      <c r="A304" s="36"/>
      <c r="B304" s="36"/>
      <c r="C304" s="29" t="s">
        <v>2227</v>
      </c>
      <c r="D304" s="29"/>
      <c r="E304" s="95"/>
      <c r="F304" s="95"/>
      <c r="G304" s="37" t="s">
        <v>1465</v>
      </c>
      <c r="H304" s="29" t="s">
        <v>36</v>
      </c>
      <c r="I304" s="521">
        <f>regional!I144</f>
        <v>0</v>
      </c>
      <c r="J304" s="450"/>
      <c r="K304" s="450"/>
      <c r="L304" s="450">
        <v>1</v>
      </c>
      <c r="M304" s="450">
        <v>1</v>
      </c>
      <c r="N304" s="450">
        <v>1</v>
      </c>
      <c r="O304" s="450">
        <v>1</v>
      </c>
      <c r="P304" s="451"/>
      <c r="Q304" s="450">
        <v>1</v>
      </c>
      <c r="R304" s="158"/>
    </row>
    <row r="305" spans="1:18" ht="12.75" customHeight="1" x14ac:dyDescent="0.3">
      <c r="A305" s="36"/>
      <c r="B305" s="36"/>
      <c r="C305" s="29" t="s">
        <v>2227</v>
      </c>
      <c r="D305" s="29"/>
      <c r="E305" s="95"/>
      <c r="F305" s="95"/>
      <c r="G305" s="37" t="s">
        <v>1466</v>
      </c>
      <c r="H305" s="29" t="s">
        <v>36</v>
      </c>
      <c r="I305" s="521">
        <f>regional!I145</f>
        <v>0</v>
      </c>
      <c r="J305" s="450"/>
      <c r="K305" s="450"/>
      <c r="L305" s="450">
        <v>1</v>
      </c>
      <c r="M305" s="450">
        <v>1</v>
      </c>
      <c r="N305" s="450">
        <v>1</v>
      </c>
      <c r="O305" s="450">
        <v>1</v>
      </c>
      <c r="P305" s="451"/>
      <c r="Q305" s="450">
        <v>1</v>
      </c>
      <c r="R305" s="158"/>
    </row>
    <row r="306" spans="1:18" ht="12.75" customHeight="1" x14ac:dyDescent="0.3">
      <c r="A306" s="36"/>
      <c r="B306" s="29"/>
      <c r="C306" s="29"/>
      <c r="D306" s="29"/>
      <c r="E306" s="29"/>
      <c r="F306" s="29"/>
      <c r="G306" s="94"/>
      <c r="H306" s="36"/>
      <c r="I306" s="523"/>
      <c r="J306" s="458"/>
      <c r="K306" s="458"/>
      <c r="L306" s="458"/>
      <c r="M306" s="459"/>
      <c r="N306" s="459"/>
      <c r="O306" s="459"/>
      <c r="P306" s="459"/>
      <c r="Q306" s="459"/>
      <c r="R306" s="158"/>
    </row>
    <row r="307" spans="1:18" ht="12.75" customHeight="1" x14ac:dyDescent="0.3">
      <c r="A307" s="36" t="s">
        <v>76</v>
      </c>
      <c r="B307" s="29"/>
      <c r="C307" s="29"/>
      <c r="D307" s="29"/>
      <c r="E307" s="29"/>
      <c r="F307" s="29"/>
      <c r="G307" s="37" t="s">
        <v>240</v>
      </c>
      <c r="H307" s="36" t="s">
        <v>2307</v>
      </c>
      <c r="I307" s="521">
        <f>regional!I147</f>
        <v>0</v>
      </c>
      <c r="J307" s="450"/>
      <c r="K307" s="450"/>
      <c r="L307" s="450"/>
      <c r="M307" s="451"/>
      <c r="N307" s="451"/>
      <c r="O307" s="451"/>
      <c r="P307" s="451"/>
      <c r="Q307" s="451"/>
      <c r="R307" s="158"/>
    </row>
    <row r="308" spans="1:18" ht="12.75" customHeight="1" x14ac:dyDescent="0.3">
      <c r="A308" s="36" t="s">
        <v>77</v>
      </c>
      <c r="B308" s="29"/>
      <c r="C308" s="29"/>
      <c r="D308" s="29"/>
      <c r="E308" s="29"/>
      <c r="F308" s="29"/>
      <c r="G308" s="37" t="s">
        <v>242</v>
      </c>
      <c r="H308" s="36" t="s">
        <v>2307</v>
      </c>
      <c r="I308" s="521">
        <f>regional!I148</f>
        <v>0</v>
      </c>
      <c r="J308" s="450"/>
      <c r="K308" s="450"/>
      <c r="L308" s="450"/>
      <c r="M308" s="451"/>
      <c r="N308" s="451"/>
      <c r="O308" s="451"/>
      <c r="P308" s="451"/>
      <c r="Q308" s="451"/>
      <c r="R308" s="158"/>
    </row>
    <row r="309" spans="1:18" ht="12.75" customHeight="1" x14ac:dyDescent="0.3">
      <c r="A309" s="36" t="s">
        <v>78</v>
      </c>
      <c r="B309" s="29"/>
      <c r="C309" s="29"/>
      <c r="D309" s="29"/>
      <c r="E309" s="29"/>
      <c r="F309" s="29"/>
      <c r="G309" s="37" t="s">
        <v>241</v>
      </c>
      <c r="H309" s="36" t="s">
        <v>2307</v>
      </c>
      <c r="I309" s="521">
        <f>regional!I149</f>
        <v>0</v>
      </c>
      <c r="J309" s="450"/>
      <c r="K309" s="450"/>
      <c r="L309" s="450"/>
      <c r="M309" s="451"/>
      <c r="N309" s="451"/>
      <c r="O309" s="451"/>
      <c r="P309" s="451"/>
      <c r="Q309" s="451"/>
      <c r="R309" s="158"/>
    </row>
    <row r="310" spans="1:18" ht="12.75" customHeight="1" x14ac:dyDescent="0.3">
      <c r="A310" s="36" t="s">
        <v>79</v>
      </c>
      <c r="B310" s="29"/>
      <c r="C310" s="29"/>
      <c r="D310" s="29"/>
      <c r="E310" s="29"/>
      <c r="F310" s="29"/>
      <c r="G310" s="37" t="s">
        <v>243</v>
      </c>
      <c r="H310" s="36" t="s">
        <v>2307</v>
      </c>
      <c r="I310" s="521">
        <f>regional!I150</f>
        <v>0</v>
      </c>
      <c r="J310" s="450"/>
      <c r="K310" s="450"/>
      <c r="L310" s="450"/>
      <c r="M310" s="451"/>
      <c r="N310" s="451"/>
      <c r="O310" s="451"/>
      <c r="P310" s="451"/>
      <c r="Q310" s="451"/>
      <c r="R310" s="158"/>
    </row>
    <row r="311" spans="1:18" ht="12.75" customHeight="1" x14ac:dyDescent="0.3">
      <c r="A311" s="36"/>
      <c r="B311" s="36" t="s">
        <v>2229</v>
      </c>
      <c r="C311" s="29"/>
      <c r="D311" s="29"/>
      <c r="E311" s="29"/>
      <c r="F311" s="29"/>
      <c r="G311" s="37" t="s">
        <v>2253</v>
      </c>
      <c r="H311" s="36" t="s">
        <v>2322</v>
      </c>
      <c r="I311" s="521">
        <f>regional!I151</f>
        <v>0</v>
      </c>
      <c r="J311" s="450"/>
      <c r="K311" s="450"/>
      <c r="L311" s="450"/>
      <c r="M311" s="451"/>
      <c r="N311" s="451"/>
      <c r="O311" s="451"/>
      <c r="P311" s="451"/>
      <c r="Q311" s="451"/>
      <c r="R311" s="158"/>
    </row>
    <row r="312" spans="1:18" ht="12.75" customHeight="1" x14ac:dyDescent="0.3">
      <c r="A312" s="36"/>
      <c r="B312" s="36" t="s">
        <v>2230</v>
      </c>
      <c r="C312" s="29"/>
      <c r="D312" s="29"/>
      <c r="E312" s="29"/>
      <c r="F312" s="29"/>
      <c r="G312" s="37" t="s">
        <v>2254</v>
      </c>
      <c r="H312" s="36" t="s">
        <v>2322</v>
      </c>
      <c r="I312" s="521">
        <f>regional!I152</f>
        <v>0</v>
      </c>
      <c r="J312" s="450"/>
      <c r="K312" s="450"/>
      <c r="L312" s="450"/>
      <c r="M312" s="451"/>
      <c r="N312" s="451"/>
      <c r="O312" s="451"/>
      <c r="P312" s="451"/>
      <c r="Q312" s="451"/>
      <c r="R312" s="158"/>
    </row>
    <row r="313" spans="1:18" ht="12.75" customHeight="1" x14ac:dyDescent="0.3">
      <c r="A313" s="36"/>
      <c r="B313" s="36" t="s">
        <v>2231</v>
      </c>
      <c r="C313" s="29"/>
      <c r="D313" s="29"/>
      <c r="E313" s="29"/>
      <c r="F313" s="29"/>
      <c r="G313" s="37" t="s">
        <v>2255</v>
      </c>
      <c r="H313" s="36" t="s">
        <v>2322</v>
      </c>
      <c r="I313" s="521">
        <f>regional!I153</f>
        <v>0</v>
      </c>
      <c r="J313" s="450"/>
      <c r="K313" s="450"/>
      <c r="L313" s="450"/>
      <c r="M313" s="451"/>
      <c r="N313" s="451"/>
      <c r="O313" s="451"/>
      <c r="P313" s="451"/>
      <c r="Q313" s="451"/>
      <c r="R313" s="158"/>
    </row>
    <row r="314" spans="1:18" ht="12.75" customHeight="1" x14ac:dyDescent="0.3">
      <c r="A314" s="36"/>
      <c r="B314" s="36" t="s">
        <v>2232</v>
      </c>
      <c r="C314" s="29"/>
      <c r="D314" s="29"/>
      <c r="E314" s="29"/>
      <c r="F314" s="29"/>
      <c r="G314" s="37" t="s">
        <v>2256</v>
      </c>
      <c r="H314" s="36" t="s">
        <v>2322</v>
      </c>
      <c r="I314" s="521">
        <f>regional!I154</f>
        <v>0</v>
      </c>
      <c r="J314" s="450"/>
      <c r="K314" s="450"/>
      <c r="L314" s="450"/>
      <c r="M314" s="451"/>
      <c r="N314" s="451"/>
      <c r="O314" s="451"/>
      <c r="P314" s="451"/>
      <c r="Q314" s="451"/>
      <c r="R314" s="158"/>
    </row>
    <row r="315" spans="1:18" ht="12.75" customHeight="1" x14ac:dyDescent="0.3">
      <c r="A315" s="36"/>
      <c r="B315" s="36"/>
      <c r="C315" s="36" t="s">
        <v>1228</v>
      </c>
      <c r="D315" s="29"/>
      <c r="E315" s="29"/>
      <c r="F315" s="29"/>
      <c r="G315" s="94" t="s">
        <v>507</v>
      </c>
      <c r="H315" s="95" t="s">
        <v>2321</v>
      </c>
      <c r="I315" s="521">
        <f>regional!I155</f>
        <v>0</v>
      </c>
      <c r="J315" s="450"/>
      <c r="K315" s="450"/>
      <c r="L315" s="450"/>
      <c r="M315" s="451"/>
      <c r="N315" s="451"/>
      <c r="O315" s="451"/>
      <c r="P315" s="451"/>
      <c r="Q315" s="451"/>
      <c r="R315" s="158"/>
    </row>
    <row r="316" spans="1:18" ht="12.75" customHeight="1" x14ac:dyDescent="0.3">
      <c r="A316" s="36"/>
      <c r="B316" s="36"/>
      <c r="C316" s="36" t="s">
        <v>1229</v>
      </c>
      <c r="D316" s="29"/>
      <c r="E316" s="95"/>
      <c r="F316" s="95"/>
      <c r="G316" s="94" t="s">
        <v>415</v>
      </c>
      <c r="H316" s="95" t="s">
        <v>2321</v>
      </c>
      <c r="I316" s="521">
        <f>regional!I156</f>
        <v>0</v>
      </c>
      <c r="J316" s="450"/>
      <c r="K316" s="450"/>
      <c r="L316" s="450"/>
      <c r="M316" s="451"/>
      <c r="N316" s="451"/>
      <c r="O316" s="451"/>
      <c r="P316" s="451"/>
      <c r="Q316" s="451"/>
      <c r="R316" s="158"/>
    </row>
    <row r="317" spans="1:18" ht="12.75" customHeight="1" x14ac:dyDescent="0.3">
      <c r="A317" s="36"/>
      <c r="B317" s="36"/>
      <c r="C317" s="29"/>
      <c r="D317" s="36" t="s">
        <v>582</v>
      </c>
      <c r="E317" s="95"/>
      <c r="F317" s="95"/>
      <c r="G317" s="94" t="s">
        <v>417</v>
      </c>
      <c r="H317" s="95" t="s">
        <v>2321</v>
      </c>
      <c r="I317" s="521">
        <f>regional!I157</f>
        <v>0</v>
      </c>
      <c r="J317" s="450"/>
      <c r="K317" s="450"/>
      <c r="L317" s="450"/>
      <c r="M317" s="451"/>
      <c r="N317" s="451"/>
      <c r="O317" s="451"/>
      <c r="P317" s="451"/>
      <c r="Q317" s="451"/>
      <c r="R317" s="158"/>
    </row>
    <row r="318" spans="1:18" ht="12.75" customHeight="1" x14ac:dyDescent="0.3">
      <c r="A318" s="36"/>
      <c r="B318" s="36"/>
      <c r="C318" s="29"/>
      <c r="D318" s="36" t="s">
        <v>1329</v>
      </c>
      <c r="E318" s="95"/>
      <c r="F318" s="36"/>
      <c r="G318" s="94" t="s">
        <v>1083</v>
      </c>
      <c r="H318" s="95" t="s">
        <v>2321</v>
      </c>
      <c r="I318" s="521">
        <f>regional!I158</f>
        <v>0</v>
      </c>
      <c r="J318" s="450"/>
      <c r="K318" s="450"/>
      <c r="L318" s="450"/>
      <c r="M318" s="451"/>
      <c r="N318" s="451"/>
      <c r="O318" s="451"/>
      <c r="P318" s="451"/>
      <c r="Q318" s="451"/>
      <c r="R318" s="158"/>
    </row>
    <row r="319" spans="1:18" ht="12.75" customHeight="1" x14ac:dyDescent="0.3">
      <c r="A319" s="36"/>
      <c r="B319" s="36"/>
      <c r="C319" s="29"/>
      <c r="D319" s="36" t="s">
        <v>436</v>
      </c>
      <c r="E319" s="95"/>
      <c r="F319" s="36"/>
      <c r="G319" s="94" t="s">
        <v>1084</v>
      </c>
      <c r="H319" s="95" t="s">
        <v>2321</v>
      </c>
      <c r="I319" s="521">
        <f>regional!I159</f>
        <v>0</v>
      </c>
      <c r="J319" s="450"/>
      <c r="K319" s="450"/>
      <c r="L319" s="450">
        <v>2.8062993087265316E-11</v>
      </c>
      <c r="M319" s="451">
        <v>2.8062993087265316E-11</v>
      </c>
      <c r="N319" s="451">
        <v>2.8062993087265316E-11</v>
      </c>
      <c r="O319" s="451">
        <v>2.8062993087265316E-11</v>
      </c>
      <c r="P319" s="451">
        <v>2.8062993087265316E-11</v>
      </c>
      <c r="Q319" s="451">
        <v>2.8062993087265316E-11</v>
      </c>
      <c r="R319" s="158"/>
    </row>
    <row r="320" spans="1:18" ht="12.75" customHeight="1" x14ac:dyDescent="0.3">
      <c r="A320" s="36"/>
      <c r="B320" s="36"/>
      <c r="C320" s="29"/>
      <c r="D320" s="29"/>
      <c r="E320" s="36" t="s">
        <v>440</v>
      </c>
      <c r="F320" s="95"/>
      <c r="G320" s="94" t="s">
        <v>1206</v>
      </c>
      <c r="H320" s="36" t="s">
        <v>2323</v>
      </c>
      <c r="I320" s="521">
        <f>regional!I160</f>
        <v>0</v>
      </c>
      <c r="J320" s="450"/>
      <c r="K320" s="450"/>
      <c r="L320" s="450"/>
      <c r="M320" s="451"/>
      <c r="N320" s="451"/>
      <c r="O320" s="451"/>
      <c r="P320" s="451"/>
      <c r="Q320" s="451"/>
      <c r="R320" s="158"/>
    </row>
    <row r="321" spans="1:18" ht="12.75" customHeight="1" x14ac:dyDescent="0.3">
      <c r="A321" s="36"/>
      <c r="B321" s="36"/>
      <c r="C321" s="29"/>
      <c r="D321" s="29"/>
      <c r="E321" s="36" t="s">
        <v>1378</v>
      </c>
      <c r="F321" s="29"/>
      <c r="G321" s="94" t="s">
        <v>1207</v>
      </c>
      <c r="H321" s="36" t="s">
        <v>2323</v>
      </c>
      <c r="I321" s="521">
        <f>regional!I161</f>
        <v>0</v>
      </c>
      <c r="J321" s="450"/>
      <c r="K321" s="450"/>
      <c r="L321" s="450"/>
      <c r="M321" s="451"/>
      <c r="N321" s="451"/>
      <c r="O321" s="451"/>
      <c r="P321" s="451"/>
      <c r="Q321" s="451"/>
      <c r="R321" s="158"/>
    </row>
    <row r="322" spans="1:18" ht="12.75" customHeight="1" x14ac:dyDescent="0.3">
      <c r="A322" s="29"/>
      <c r="B322" s="29" t="s">
        <v>2233</v>
      </c>
      <c r="C322" s="95"/>
      <c r="D322" s="95"/>
      <c r="E322" s="29"/>
      <c r="F322" s="29"/>
      <c r="G322" s="37" t="s">
        <v>2257</v>
      </c>
      <c r="H322" s="36" t="s">
        <v>2322</v>
      </c>
      <c r="I322" s="521">
        <f>regional!I162</f>
        <v>0</v>
      </c>
      <c r="J322" s="450"/>
      <c r="K322" s="450"/>
      <c r="L322" s="450"/>
      <c r="M322" s="451"/>
      <c r="N322" s="451"/>
      <c r="O322" s="451"/>
      <c r="P322" s="451"/>
      <c r="Q322" s="451"/>
      <c r="R322" s="158"/>
    </row>
    <row r="323" spans="1:18" ht="12.75" customHeight="1" x14ac:dyDescent="0.3">
      <c r="A323" s="29"/>
      <c r="B323" s="29" t="s">
        <v>2234</v>
      </c>
      <c r="C323" s="95"/>
      <c r="D323" s="95"/>
      <c r="E323" s="29"/>
      <c r="F323" s="29"/>
      <c r="G323" s="37" t="s">
        <v>2258</v>
      </c>
      <c r="H323" s="36" t="s">
        <v>2322</v>
      </c>
      <c r="I323" s="521">
        <f>regional!I163</f>
        <v>0</v>
      </c>
      <c r="J323" s="450"/>
      <c r="K323" s="450"/>
      <c r="L323" s="450"/>
      <c r="M323" s="451"/>
      <c r="N323" s="451"/>
      <c r="O323" s="451"/>
      <c r="P323" s="451"/>
      <c r="Q323" s="451"/>
      <c r="R323" s="158"/>
    </row>
    <row r="324" spans="1:18" ht="12.75" customHeight="1" x14ac:dyDescent="0.3">
      <c r="A324" s="29"/>
      <c r="B324" s="29" t="s">
        <v>2235</v>
      </c>
      <c r="C324" s="95"/>
      <c r="D324" s="95"/>
      <c r="E324" s="29"/>
      <c r="F324" s="95"/>
      <c r="G324" s="37" t="s">
        <v>2259</v>
      </c>
      <c r="H324" s="36" t="s">
        <v>2322</v>
      </c>
      <c r="I324" s="521">
        <f>regional!I164</f>
        <v>0</v>
      </c>
      <c r="J324" s="450"/>
      <c r="K324" s="450"/>
      <c r="L324" s="450"/>
      <c r="M324" s="451"/>
      <c r="N324" s="451"/>
      <c r="O324" s="451"/>
      <c r="P324" s="451"/>
      <c r="Q324" s="451"/>
      <c r="R324" s="158"/>
    </row>
    <row r="325" spans="1:18" ht="12.75" customHeight="1" x14ac:dyDescent="0.3">
      <c r="A325" s="29"/>
      <c r="B325" s="29" t="s">
        <v>2236</v>
      </c>
      <c r="C325" s="95"/>
      <c r="D325" s="95"/>
      <c r="E325" s="29"/>
      <c r="F325" s="95"/>
      <c r="G325" s="37" t="s">
        <v>2260</v>
      </c>
      <c r="H325" s="36" t="s">
        <v>2322</v>
      </c>
      <c r="I325" s="521">
        <f>regional!I165</f>
        <v>0</v>
      </c>
      <c r="J325" s="450"/>
      <c r="K325" s="450"/>
      <c r="L325" s="450"/>
      <c r="M325" s="451"/>
      <c r="N325" s="451"/>
      <c r="O325" s="451"/>
      <c r="P325" s="451"/>
      <c r="Q325" s="451"/>
      <c r="R325" s="158"/>
    </row>
    <row r="326" spans="1:18" ht="12.75" customHeight="1" x14ac:dyDescent="0.3">
      <c r="A326" s="36"/>
      <c r="B326" s="36"/>
      <c r="C326" s="29" t="s">
        <v>1076</v>
      </c>
      <c r="D326" s="29"/>
      <c r="E326" s="95"/>
      <c r="F326" s="95"/>
      <c r="G326" s="29" t="s">
        <v>975</v>
      </c>
      <c r="H326" s="95" t="s">
        <v>2321</v>
      </c>
      <c r="I326" s="521">
        <f>regional!I166</f>
        <v>0</v>
      </c>
      <c r="J326" s="450"/>
      <c r="K326" s="450"/>
      <c r="L326" s="450"/>
      <c r="M326" s="451"/>
      <c r="N326" s="451"/>
      <c r="O326" s="451"/>
      <c r="P326" s="451"/>
      <c r="Q326" s="451"/>
      <c r="R326" s="158"/>
    </row>
    <row r="327" spans="1:18" ht="12.75" customHeight="1" x14ac:dyDescent="0.3">
      <c r="A327" s="36"/>
      <c r="B327" s="36"/>
      <c r="C327" s="29" t="s">
        <v>1230</v>
      </c>
      <c r="D327" s="29"/>
      <c r="E327" s="95"/>
      <c r="F327" s="29"/>
      <c r="G327" s="29" t="s">
        <v>976</v>
      </c>
      <c r="H327" s="95" t="s">
        <v>2321</v>
      </c>
      <c r="I327" s="521">
        <f>regional!I167</f>
        <v>0</v>
      </c>
      <c r="J327" s="450"/>
      <c r="K327" s="450"/>
      <c r="L327" s="450"/>
      <c r="M327" s="451"/>
      <c r="N327" s="451"/>
      <c r="O327" s="451"/>
      <c r="P327" s="451"/>
      <c r="Q327" s="451"/>
      <c r="R327" s="158"/>
    </row>
    <row r="328" spans="1:18" ht="12.75" customHeight="1" x14ac:dyDescent="0.3">
      <c r="A328" s="36"/>
      <c r="B328" s="29"/>
      <c r="C328" s="29"/>
      <c r="D328" s="29"/>
      <c r="E328" s="29"/>
      <c r="F328" s="29"/>
      <c r="G328" s="94"/>
      <c r="H328" s="36"/>
      <c r="I328" s="523"/>
      <c r="J328" s="458"/>
      <c r="K328" s="458"/>
      <c r="L328" s="458"/>
      <c r="M328" s="459"/>
      <c r="N328" s="459"/>
      <c r="O328" s="459"/>
      <c r="P328" s="459"/>
      <c r="Q328" s="459"/>
      <c r="R328" s="158"/>
    </row>
    <row r="329" spans="1:18" ht="12.75" customHeight="1" x14ac:dyDescent="0.3">
      <c r="A329" s="36" t="s">
        <v>80</v>
      </c>
      <c r="B329" s="29"/>
      <c r="C329" s="29"/>
      <c r="D329" s="29"/>
      <c r="E329" s="29"/>
      <c r="F329" s="29"/>
      <c r="G329" s="37" t="s">
        <v>244</v>
      </c>
      <c r="H329" s="36" t="s">
        <v>2307</v>
      </c>
      <c r="I329" s="521">
        <f>regional!I169</f>
        <v>0</v>
      </c>
      <c r="J329" s="450"/>
      <c r="K329" s="450"/>
      <c r="L329" s="450"/>
      <c r="M329" s="451"/>
      <c r="N329" s="451"/>
      <c r="O329" s="451"/>
      <c r="P329" s="451"/>
      <c r="Q329" s="451"/>
      <c r="R329" s="158"/>
    </row>
    <row r="330" spans="1:18" ht="12.75" customHeight="1" x14ac:dyDescent="0.3">
      <c r="A330" s="36" t="s">
        <v>81</v>
      </c>
      <c r="B330" s="29"/>
      <c r="C330" s="29"/>
      <c r="D330" s="29"/>
      <c r="E330" s="29"/>
      <c r="F330" s="29"/>
      <c r="G330" s="37" t="s">
        <v>245</v>
      </c>
      <c r="H330" s="36" t="s">
        <v>2307</v>
      </c>
      <c r="I330" s="521">
        <f>regional!I170</f>
        <v>0</v>
      </c>
      <c r="J330" s="450"/>
      <c r="K330" s="450"/>
      <c r="L330" s="450"/>
      <c r="M330" s="451"/>
      <c r="N330" s="451"/>
      <c r="O330" s="451"/>
      <c r="P330" s="451"/>
      <c r="Q330" s="451"/>
      <c r="R330" s="158"/>
    </row>
    <row r="331" spans="1:18" ht="12.75" customHeight="1" x14ac:dyDescent="0.3">
      <c r="A331" s="36" t="s">
        <v>82</v>
      </c>
      <c r="B331" s="29"/>
      <c r="C331" s="29"/>
      <c r="D331" s="29"/>
      <c r="E331" s="29"/>
      <c r="F331" s="29"/>
      <c r="G331" s="37" t="s">
        <v>246</v>
      </c>
      <c r="H331" s="36" t="s">
        <v>2307</v>
      </c>
      <c r="I331" s="521">
        <f>regional!I171</f>
        <v>0</v>
      </c>
      <c r="J331" s="450"/>
      <c r="K331" s="450"/>
      <c r="L331" s="450"/>
      <c r="M331" s="451"/>
      <c r="N331" s="451"/>
      <c r="O331" s="451"/>
      <c r="P331" s="451"/>
      <c r="Q331" s="451"/>
      <c r="R331" s="158"/>
    </row>
    <row r="332" spans="1:18" ht="12.75" customHeight="1" x14ac:dyDescent="0.3">
      <c r="A332" s="36" t="s">
        <v>3944</v>
      </c>
      <c r="B332" s="29"/>
      <c r="C332" s="29"/>
      <c r="D332" s="29"/>
      <c r="E332" s="29"/>
      <c r="F332" s="29"/>
      <c r="G332" s="37" t="s">
        <v>3929</v>
      </c>
      <c r="H332" s="535" t="s">
        <v>3931</v>
      </c>
      <c r="I332" s="521">
        <f>regional!I172</f>
        <v>0</v>
      </c>
      <c r="J332" s="450"/>
      <c r="K332" s="450"/>
      <c r="L332" s="450"/>
      <c r="M332" s="451"/>
      <c r="N332" s="451"/>
      <c r="O332" s="451"/>
      <c r="P332" s="451"/>
      <c r="Q332" s="451"/>
      <c r="R332" s="158"/>
    </row>
    <row r="333" spans="1:18" ht="12.75" customHeight="1" x14ac:dyDescent="0.3">
      <c r="A333" s="36" t="s">
        <v>3945</v>
      </c>
      <c r="B333" s="29"/>
      <c r="C333" s="29"/>
      <c r="D333" s="29"/>
      <c r="E333" s="29"/>
      <c r="F333" s="29"/>
      <c r="G333" s="37" t="s">
        <v>3937</v>
      </c>
      <c r="H333" s="535" t="s">
        <v>3931</v>
      </c>
      <c r="I333" s="521">
        <f>regional!I173</f>
        <v>0</v>
      </c>
      <c r="J333" s="450"/>
      <c r="K333" s="450"/>
      <c r="L333" s="450"/>
      <c r="M333" s="451"/>
      <c r="N333" s="451"/>
      <c r="O333" s="451"/>
      <c r="P333" s="451"/>
      <c r="Q333" s="451"/>
      <c r="R333" s="158"/>
    </row>
    <row r="334" spans="1:18" ht="12.75" customHeight="1" x14ac:dyDescent="0.3">
      <c r="A334" s="36" t="s">
        <v>3946</v>
      </c>
      <c r="B334" s="29"/>
      <c r="C334" s="29"/>
      <c r="D334" s="29"/>
      <c r="E334" s="29"/>
      <c r="F334" s="29"/>
      <c r="G334" s="37" t="s">
        <v>3930</v>
      </c>
      <c r="H334" s="535" t="s">
        <v>3931</v>
      </c>
      <c r="I334" s="521">
        <f>regional!I174</f>
        <v>0</v>
      </c>
      <c r="J334" s="450"/>
      <c r="K334" s="450"/>
      <c r="L334" s="450"/>
      <c r="M334" s="451"/>
      <c r="N334" s="451"/>
      <c r="O334" s="451"/>
      <c r="P334" s="451"/>
      <c r="Q334" s="451"/>
      <c r="R334" s="158"/>
    </row>
    <row r="335" spans="1:18" ht="12.75" customHeight="1" x14ac:dyDescent="0.3">
      <c r="A335" s="36"/>
      <c r="B335" s="95" t="s">
        <v>1087</v>
      </c>
      <c r="C335" s="29"/>
      <c r="D335" s="29"/>
      <c r="E335" s="95"/>
      <c r="F335" s="95"/>
      <c r="G335" s="94" t="s">
        <v>979</v>
      </c>
      <c r="H335" s="95" t="s">
        <v>2324</v>
      </c>
      <c r="I335" s="521">
        <f>regional!I175</f>
        <v>0</v>
      </c>
      <c r="J335" s="450"/>
      <c r="K335" s="450"/>
      <c r="L335" s="450"/>
      <c r="M335" s="451"/>
      <c r="N335" s="451"/>
      <c r="O335" s="451"/>
      <c r="P335" s="451"/>
      <c r="Q335" s="451"/>
      <c r="R335" s="158"/>
    </row>
    <row r="336" spans="1:18" ht="12.75" customHeight="1" x14ac:dyDescent="0.3">
      <c r="A336" s="36"/>
      <c r="B336" s="95" t="s">
        <v>1088</v>
      </c>
      <c r="C336" s="29"/>
      <c r="D336" s="29"/>
      <c r="E336" s="95"/>
      <c r="F336" s="95"/>
      <c r="G336" s="94" t="s">
        <v>980</v>
      </c>
      <c r="H336" s="95" t="s">
        <v>2324</v>
      </c>
      <c r="I336" s="521">
        <f>regional!I176</f>
        <v>0</v>
      </c>
      <c r="J336" s="450"/>
      <c r="K336" s="450"/>
      <c r="L336" s="450"/>
      <c r="M336" s="451"/>
      <c r="N336" s="451"/>
      <c r="O336" s="451"/>
      <c r="P336" s="451"/>
      <c r="Q336" s="451"/>
      <c r="R336" s="158"/>
    </row>
    <row r="337" spans="1:18" ht="12.75" customHeight="1" x14ac:dyDescent="0.3">
      <c r="A337" s="36"/>
      <c r="B337" s="95" t="s">
        <v>461</v>
      </c>
      <c r="C337" s="29"/>
      <c r="D337" s="29"/>
      <c r="E337" s="95"/>
      <c r="F337" s="95"/>
      <c r="G337" s="94" t="s">
        <v>981</v>
      </c>
      <c r="H337" s="95" t="s">
        <v>2324</v>
      </c>
      <c r="I337" s="521">
        <f>regional!I177</f>
        <v>0</v>
      </c>
      <c r="J337" s="450"/>
      <c r="K337" s="450"/>
      <c r="L337" s="450"/>
      <c r="M337" s="451"/>
      <c r="N337" s="451"/>
      <c r="O337" s="451"/>
      <c r="P337" s="451"/>
      <c r="Q337" s="451"/>
      <c r="R337" s="158"/>
    </row>
    <row r="338" spans="1:18" ht="12.75" customHeight="1" x14ac:dyDescent="0.3">
      <c r="A338" s="36"/>
      <c r="B338" s="36" t="s">
        <v>17</v>
      </c>
      <c r="C338" s="29"/>
      <c r="D338" s="29"/>
      <c r="E338" s="95"/>
      <c r="F338" s="95"/>
      <c r="G338" s="94" t="s">
        <v>982</v>
      </c>
      <c r="H338" s="36" t="s">
        <v>36</v>
      </c>
      <c r="I338" s="521">
        <f>regional!I178</f>
        <v>0</v>
      </c>
      <c r="J338" s="450"/>
      <c r="K338" s="450"/>
      <c r="L338" s="450"/>
      <c r="M338" s="451"/>
      <c r="N338" s="451"/>
      <c r="O338" s="451"/>
      <c r="P338" s="451"/>
      <c r="Q338" s="451"/>
      <c r="R338" s="158"/>
    </row>
    <row r="339" spans="1:18" ht="12.75" customHeight="1" x14ac:dyDescent="0.3">
      <c r="A339" s="36"/>
      <c r="B339" s="36" t="s">
        <v>733</v>
      </c>
      <c r="C339" s="29"/>
      <c r="D339" s="29"/>
      <c r="E339" s="95"/>
      <c r="F339" s="95"/>
      <c r="G339" s="94" t="s">
        <v>462</v>
      </c>
      <c r="H339" s="36" t="s">
        <v>36</v>
      </c>
      <c r="I339" s="521">
        <f>regional!I179</f>
        <v>0</v>
      </c>
      <c r="J339" s="450"/>
      <c r="K339" s="450"/>
      <c r="L339" s="450"/>
      <c r="M339" s="451"/>
      <c r="N339" s="451"/>
      <c r="O339" s="451"/>
      <c r="P339" s="451"/>
      <c r="Q339" s="451"/>
      <c r="R339" s="158"/>
    </row>
    <row r="340" spans="1:18" ht="12.75" customHeight="1" x14ac:dyDescent="0.3">
      <c r="A340" s="36"/>
      <c r="B340" s="36" t="s">
        <v>870</v>
      </c>
      <c r="C340" s="29"/>
      <c r="D340" s="29"/>
      <c r="E340" s="95"/>
      <c r="F340" s="95"/>
      <c r="G340" s="94" t="s">
        <v>463</v>
      </c>
      <c r="H340" s="36" t="s">
        <v>36</v>
      </c>
      <c r="I340" s="521">
        <f>regional!I180</f>
        <v>0</v>
      </c>
      <c r="J340" s="450"/>
      <c r="K340" s="450"/>
      <c r="L340" s="450"/>
      <c r="M340" s="451"/>
      <c r="N340" s="451"/>
      <c r="O340" s="451"/>
      <c r="P340" s="451"/>
      <c r="Q340" s="451"/>
      <c r="R340" s="158"/>
    </row>
    <row r="341" spans="1:18" ht="12.75" customHeight="1" x14ac:dyDescent="0.3">
      <c r="A341" s="36"/>
      <c r="B341" s="29" t="s">
        <v>2227</v>
      </c>
      <c r="C341" s="29"/>
      <c r="D341" s="29"/>
      <c r="E341" s="95"/>
      <c r="F341" s="95"/>
      <c r="G341" s="37" t="s">
        <v>1467</v>
      </c>
      <c r="H341" s="29" t="s">
        <v>36</v>
      </c>
      <c r="I341" s="521">
        <f>regional!I181</f>
        <v>0</v>
      </c>
      <c r="J341" s="450"/>
      <c r="K341" s="450"/>
      <c r="L341" s="450">
        <v>1</v>
      </c>
      <c r="M341" s="451">
        <v>1</v>
      </c>
      <c r="N341" s="451">
        <v>1</v>
      </c>
      <c r="O341" s="451">
        <v>1</v>
      </c>
      <c r="P341" s="451"/>
      <c r="Q341" s="451">
        <v>1</v>
      </c>
      <c r="R341" s="158"/>
    </row>
    <row r="342" spans="1:18" ht="12.75" customHeight="1" x14ac:dyDescent="0.3">
      <c r="A342" s="36"/>
      <c r="B342" s="29" t="s">
        <v>2227</v>
      </c>
      <c r="C342" s="29"/>
      <c r="D342" s="29"/>
      <c r="E342" s="95"/>
      <c r="F342" s="95"/>
      <c r="G342" s="37" t="s">
        <v>1468</v>
      </c>
      <c r="H342" s="29" t="s">
        <v>36</v>
      </c>
      <c r="I342" s="521">
        <f>regional!I182</f>
        <v>0</v>
      </c>
      <c r="J342" s="450"/>
      <c r="K342" s="450"/>
      <c r="L342" s="450">
        <v>1</v>
      </c>
      <c r="M342" s="451">
        <v>1</v>
      </c>
      <c r="N342" s="451">
        <v>1</v>
      </c>
      <c r="O342" s="451">
        <v>1</v>
      </c>
      <c r="P342" s="451"/>
      <c r="Q342" s="451">
        <v>1</v>
      </c>
      <c r="R342" s="158"/>
    </row>
    <row r="343" spans="1:18" ht="12.75" customHeight="1" x14ac:dyDescent="0.3">
      <c r="A343" s="36"/>
      <c r="B343" s="29" t="s">
        <v>2227</v>
      </c>
      <c r="C343" s="29"/>
      <c r="D343" s="29"/>
      <c r="E343" s="95"/>
      <c r="F343" s="95"/>
      <c r="G343" s="37" t="s">
        <v>1469</v>
      </c>
      <c r="H343" s="29" t="s">
        <v>36</v>
      </c>
      <c r="I343" s="521">
        <f>regional!I183</f>
        <v>0</v>
      </c>
      <c r="J343" s="450"/>
      <c r="K343" s="450"/>
      <c r="L343" s="450">
        <v>1</v>
      </c>
      <c r="M343" s="451">
        <v>1</v>
      </c>
      <c r="N343" s="451">
        <v>1</v>
      </c>
      <c r="O343" s="451">
        <v>1</v>
      </c>
      <c r="P343" s="451"/>
      <c r="Q343" s="451">
        <v>1</v>
      </c>
      <c r="R343" s="158"/>
    </row>
    <row r="344" spans="1:18" ht="12.75" customHeight="1" x14ac:dyDescent="0.3">
      <c r="A344" s="29"/>
      <c r="B344" s="29"/>
      <c r="C344" s="29"/>
      <c r="D344" s="29"/>
      <c r="E344" s="29"/>
      <c r="F344" s="29"/>
      <c r="G344" s="29"/>
      <c r="H344" s="29"/>
      <c r="I344" s="456"/>
      <c r="J344" s="339"/>
      <c r="K344" s="339"/>
      <c r="L344" s="339"/>
      <c r="M344" s="282"/>
      <c r="N344" s="282"/>
      <c r="O344" s="282"/>
      <c r="P344" s="282"/>
      <c r="Q344" s="282"/>
      <c r="R344" s="158"/>
    </row>
    <row r="345" spans="1:18" ht="12.75" customHeight="1" x14ac:dyDescent="0.3">
      <c r="A345" s="98" t="s">
        <v>419</v>
      </c>
      <c r="B345" s="97"/>
      <c r="C345" s="97"/>
      <c r="D345" s="97"/>
      <c r="E345" s="97"/>
      <c r="F345" s="97"/>
      <c r="G345" s="97"/>
      <c r="H345" s="97"/>
      <c r="I345" s="340" t="s">
        <v>754</v>
      </c>
      <c r="J345" s="364"/>
      <c r="K345" s="364"/>
      <c r="L345" s="364"/>
      <c r="M345" s="469"/>
      <c r="N345" s="469"/>
      <c r="O345" s="469"/>
      <c r="P345" s="469"/>
      <c r="Q345" s="469"/>
      <c r="R345" s="158"/>
    </row>
    <row r="346" spans="1:18" ht="12.75" customHeight="1" x14ac:dyDescent="0.3">
      <c r="A346" s="36"/>
      <c r="B346" s="29"/>
      <c r="C346" s="29"/>
      <c r="D346" s="29"/>
      <c r="E346" s="29"/>
      <c r="F346" s="29"/>
      <c r="G346" s="29"/>
      <c r="H346" s="29"/>
      <c r="I346" s="342"/>
      <c r="J346" s="339"/>
      <c r="K346" s="339"/>
      <c r="L346" s="339"/>
      <c r="M346" s="282"/>
      <c r="N346" s="282"/>
      <c r="O346" s="282"/>
      <c r="P346" s="282"/>
      <c r="Q346" s="282"/>
      <c r="R346" s="158"/>
    </row>
    <row r="347" spans="1:18" ht="12.75" customHeight="1" x14ac:dyDescent="0.3">
      <c r="A347" s="36" t="s">
        <v>224</v>
      </c>
      <c r="B347" s="29"/>
      <c r="C347" s="29"/>
      <c r="D347" s="29"/>
      <c r="E347" s="29"/>
      <c r="F347" s="29"/>
      <c r="G347" s="37" t="s">
        <v>247</v>
      </c>
      <c r="H347" s="36" t="s">
        <v>2307</v>
      </c>
      <c r="I347" s="521">
        <f>regional!I187</f>
        <v>0</v>
      </c>
      <c r="J347" s="450"/>
      <c r="K347" s="450"/>
      <c r="L347" s="450"/>
      <c r="M347" s="451"/>
      <c r="N347" s="451"/>
      <c r="O347" s="451"/>
      <c r="P347" s="451"/>
      <c r="Q347" s="451"/>
      <c r="R347" s="158"/>
    </row>
    <row r="348" spans="1:18" ht="12.75" customHeight="1" x14ac:dyDescent="0.3">
      <c r="A348" s="36" t="s">
        <v>304</v>
      </c>
      <c r="B348" s="29"/>
      <c r="C348" s="29"/>
      <c r="D348" s="29"/>
      <c r="E348" s="29"/>
      <c r="F348" s="29"/>
      <c r="G348" s="37" t="s">
        <v>305</v>
      </c>
      <c r="H348" s="36" t="s">
        <v>2307</v>
      </c>
      <c r="I348" s="521">
        <f>regional!I188</f>
        <v>0</v>
      </c>
      <c r="J348" s="450"/>
      <c r="K348" s="450"/>
      <c r="L348" s="450"/>
      <c r="M348" s="451"/>
      <c r="N348" s="451"/>
      <c r="O348" s="451"/>
      <c r="P348" s="451"/>
      <c r="Q348" s="451"/>
      <c r="R348" s="158"/>
    </row>
    <row r="349" spans="1:18" ht="12.75" customHeight="1" x14ac:dyDescent="0.3">
      <c r="A349" s="36" t="s">
        <v>253</v>
      </c>
      <c r="B349" s="29"/>
      <c r="C349" s="29"/>
      <c r="D349" s="29"/>
      <c r="E349" s="29"/>
      <c r="F349" s="29"/>
      <c r="G349" s="37" t="s">
        <v>248</v>
      </c>
      <c r="H349" s="36" t="s">
        <v>2307</v>
      </c>
      <c r="I349" s="521">
        <f>regional!I189</f>
        <v>0</v>
      </c>
      <c r="J349" s="450"/>
      <c r="K349" s="450"/>
      <c r="L349" s="450"/>
      <c r="M349" s="451"/>
      <c r="N349" s="451"/>
      <c r="O349" s="451"/>
      <c r="P349" s="451"/>
      <c r="Q349" s="451"/>
      <c r="R349" s="158"/>
    </row>
    <row r="350" spans="1:18" ht="12.75" customHeight="1" x14ac:dyDescent="0.3">
      <c r="A350" s="36" t="s">
        <v>254</v>
      </c>
      <c r="B350" s="29"/>
      <c r="C350" s="29"/>
      <c r="D350" s="29"/>
      <c r="E350" s="29"/>
      <c r="F350" s="29"/>
      <c r="G350" s="37" t="s">
        <v>255</v>
      </c>
      <c r="H350" s="36" t="s">
        <v>2307</v>
      </c>
      <c r="I350" s="521">
        <f>regional!I190</f>
        <v>0</v>
      </c>
      <c r="J350" s="450"/>
      <c r="K350" s="450"/>
      <c r="L350" s="450"/>
      <c r="M350" s="451"/>
      <c r="N350" s="451"/>
      <c r="O350" s="451"/>
      <c r="P350" s="451"/>
      <c r="Q350" s="451"/>
      <c r="R350" s="158"/>
    </row>
    <row r="351" spans="1:18" ht="12.75" customHeight="1" x14ac:dyDescent="0.3">
      <c r="A351" s="36" t="s">
        <v>256</v>
      </c>
      <c r="B351" s="29"/>
      <c r="C351" s="29"/>
      <c r="D351" s="29"/>
      <c r="E351" s="29"/>
      <c r="F351" s="29"/>
      <c r="G351" s="37" t="s">
        <v>249</v>
      </c>
      <c r="H351" s="36" t="s">
        <v>2307</v>
      </c>
      <c r="I351" s="521">
        <f>regional!I191</f>
        <v>0</v>
      </c>
      <c r="J351" s="450"/>
      <c r="K351" s="450"/>
      <c r="L351" s="450"/>
      <c r="M351" s="451"/>
      <c r="N351" s="451"/>
      <c r="O351" s="451"/>
      <c r="P351" s="451"/>
      <c r="Q351" s="451"/>
      <c r="R351" s="158"/>
    </row>
    <row r="352" spans="1:18" ht="12.75" customHeight="1" x14ac:dyDescent="0.3">
      <c r="A352" s="36" t="s">
        <v>257</v>
      </c>
      <c r="B352" s="29"/>
      <c r="C352" s="29"/>
      <c r="D352" s="29"/>
      <c r="E352" s="29"/>
      <c r="F352" s="29"/>
      <c r="G352" s="37" t="s">
        <v>258</v>
      </c>
      <c r="H352" s="36" t="s">
        <v>2307</v>
      </c>
      <c r="I352" s="521">
        <f>regional!I192</f>
        <v>0</v>
      </c>
      <c r="J352" s="450"/>
      <c r="K352" s="450"/>
      <c r="L352" s="450"/>
      <c r="M352" s="451"/>
      <c r="N352" s="451"/>
      <c r="O352" s="451"/>
      <c r="P352" s="451"/>
      <c r="Q352" s="451"/>
      <c r="R352" s="158"/>
    </row>
    <row r="353" spans="1:18" ht="12.75" customHeight="1" x14ac:dyDescent="0.3">
      <c r="A353" s="36" t="s">
        <v>226</v>
      </c>
      <c r="B353" s="29"/>
      <c r="C353" s="29"/>
      <c r="D353" s="29"/>
      <c r="E353" s="29"/>
      <c r="F353" s="29"/>
      <c r="G353" s="37" t="s">
        <v>250</v>
      </c>
      <c r="H353" s="36" t="s">
        <v>2307</v>
      </c>
      <c r="I353" s="521">
        <f>regional!I193</f>
        <v>0</v>
      </c>
      <c r="J353" s="450"/>
      <c r="K353" s="450"/>
      <c r="L353" s="450"/>
      <c r="M353" s="451"/>
      <c r="N353" s="451"/>
      <c r="O353" s="451"/>
      <c r="P353" s="451"/>
      <c r="Q353" s="451"/>
      <c r="R353" s="158"/>
    </row>
    <row r="354" spans="1:18" ht="12.75" customHeight="1" x14ac:dyDescent="0.3">
      <c r="A354" s="36" t="s">
        <v>363</v>
      </c>
      <c r="B354" s="29"/>
      <c r="C354" s="29"/>
      <c r="D354" s="29"/>
      <c r="E354" s="29"/>
      <c r="F354" s="29"/>
      <c r="G354" s="37" t="s">
        <v>251</v>
      </c>
      <c r="H354" s="36" t="s">
        <v>2307</v>
      </c>
      <c r="I354" s="521">
        <f>regional!I194</f>
        <v>0</v>
      </c>
      <c r="J354" s="450"/>
      <c r="K354" s="450"/>
      <c r="L354" s="450"/>
      <c r="M354" s="451"/>
      <c r="N354" s="451"/>
      <c r="O354" s="451"/>
      <c r="P354" s="451"/>
      <c r="Q354" s="451"/>
      <c r="R354" s="158"/>
    </row>
    <row r="355" spans="1:18" ht="12.75" customHeight="1" x14ac:dyDescent="0.3">
      <c r="A355" s="36" t="s">
        <v>364</v>
      </c>
      <c r="B355" s="29"/>
      <c r="C355" s="29"/>
      <c r="D355" s="29"/>
      <c r="E355" s="29"/>
      <c r="F355" s="29"/>
      <c r="G355" s="37" t="s">
        <v>252</v>
      </c>
      <c r="H355" s="36" t="s">
        <v>2307</v>
      </c>
      <c r="I355" s="521">
        <f>regional!I195</f>
        <v>0</v>
      </c>
      <c r="J355" s="450"/>
      <c r="K355" s="450"/>
      <c r="L355" s="450"/>
      <c r="M355" s="451"/>
      <c r="N355" s="451"/>
      <c r="O355" s="451"/>
      <c r="P355" s="451"/>
      <c r="Q355" s="451"/>
      <c r="R355" s="158"/>
    </row>
    <row r="356" spans="1:18" ht="12.75" customHeight="1" x14ac:dyDescent="0.3">
      <c r="A356" s="36"/>
      <c r="B356" s="36" t="s">
        <v>796</v>
      </c>
      <c r="C356" s="95"/>
      <c r="D356" s="29"/>
      <c r="E356" s="29"/>
      <c r="F356" s="29"/>
      <c r="G356" s="94" t="s">
        <v>195</v>
      </c>
      <c r="H356" s="36" t="s">
        <v>2307</v>
      </c>
      <c r="I356" s="521">
        <f>regional!I196</f>
        <v>0</v>
      </c>
      <c r="J356" s="450"/>
      <c r="K356" s="450"/>
      <c r="L356" s="450"/>
      <c r="M356" s="451"/>
      <c r="N356" s="451"/>
      <c r="O356" s="451"/>
      <c r="P356" s="451"/>
      <c r="Q356" s="451"/>
      <c r="R356" s="158"/>
    </row>
    <row r="357" spans="1:18" ht="12.75" customHeight="1" x14ac:dyDescent="0.3">
      <c r="A357" s="36"/>
      <c r="B357" s="36" t="s">
        <v>797</v>
      </c>
      <c r="C357" s="29"/>
      <c r="D357" s="29"/>
      <c r="E357" s="29"/>
      <c r="F357" s="29"/>
      <c r="G357" s="37" t="s">
        <v>464</v>
      </c>
      <c r="H357" s="36" t="s">
        <v>2307</v>
      </c>
      <c r="I357" s="521">
        <f>regional!I197</f>
        <v>0</v>
      </c>
      <c r="J357" s="450"/>
      <c r="K357" s="450"/>
      <c r="L357" s="450"/>
      <c r="M357" s="451"/>
      <c r="N357" s="451"/>
      <c r="O357" s="451"/>
      <c r="P357" s="451"/>
      <c r="Q357" s="451"/>
      <c r="R357" s="158"/>
    </row>
    <row r="358" spans="1:18" ht="12.75" customHeight="1" x14ac:dyDescent="0.3">
      <c r="A358" s="95"/>
      <c r="B358" s="95"/>
      <c r="C358" s="36" t="s">
        <v>1028</v>
      </c>
      <c r="D358" s="29"/>
      <c r="E358" s="29"/>
      <c r="F358" s="29"/>
      <c r="G358" s="37" t="s">
        <v>972</v>
      </c>
      <c r="H358" s="36" t="s">
        <v>2308</v>
      </c>
      <c r="I358" s="521">
        <f>regional!I198</f>
        <v>0</v>
      </c>
      <c r="J358" s="450"/>
      <c r="K358" s="450"/>
      <c r="L358" s="450"/>
      <c r="M358" s="451"/>
      <c r="N358" s="451"/>
      <c r="O358" s="451"/>
      <c r="P358" s="451"/>
      <c r="Q358" s="451"/>
      <c r="R358" s="158"/>
    </row>
    <row r="359" spans="1:18" ht="12.75" customHeight="1" x14ac:dyDescent="0.3">
      <c r="A359" s="95"/>
      <c r="B359" s="95"/>
      <c r="C359" s="36" t="s">
        <v>34</v>
      </c>
      <c r="D359" s="29"/>
      <c r="E359" s="29"/>
      <c r="F359" s="29"/>
      <c r="G359" s="37" t="s">
        <v>268</v>
      </c>
      <c r="H359" s="36" t="s">
        <v>36</v>
      </c>
      <c r="I359" s="521">
        <f>regional!I199</f>
        <v>0</v>
      </c>
      <c r="J359" s="450"/>
      <c r="K359" s="450"/>
      <c r="L359" s="450"/>
      <c r="M359" s="451"/>
      <c r="N359" s="451"/>
      <c r="O359" s="451"/>
      <c r="P359" s="451"/>
      <c r="Q359" s="451"/>
      <c r="R359" s="158"/>
    </row>
    <row r="360" spans="1:18" ht="12.75" customHeight="1" x14ac:dyDescent="0.3">
      <c r="A360" s="36"/>
      <c r="B360" s="36" t="s">
        <v>325</v>
      </c>
      <c r="C360" s="29"/>
      <c r="D360" s="29"/>
      <c r="E360" s="29"/>
      <c r="F360" s="29"/>
      <c r="G360" s="37" t="s">
        <v>306</v>
      </c>
      <c r="H360" s="36" t="s">
        <v>2307</v>
      </c>
      <c r="I360" s="521">
        <f>regional!I200</f>
        <v>0</v>
      </c>
      <c r="J360" s="450"/>
      <c r="K360" s="450"/>
      <c r="L360" s="450"/>
      <c r="M360" s="451"/>
      <c r="N360" s="451"/>
      <c r="O360" s="451"/>
      <c r="P360" s="451"/>
      <c r="Q360" s="451"/>
      <c r="R360" s="158"/>
    </row>
    <row r="361" spans="1:18" ht="12.75" customHeight="1" x14ac:dyDescent="0.3">
      <c r="A361" s="36"/>
      <c r="B361" s="36" t="s">
        <v>798</v>
      </c>
      <c r="C361" s="29"/>
      <c r="D361" s="29"/>
      <c r="E361" s="29"/>
      <c r="F361" s="29"/>
      <c r="G361" s="37" t="s">
        <v>851</v>
      </c>
      <c r="H361" s="36" t="s">
        <v>2307</v>
      </c>
      <c r="I361" s="521">
        <f>regional!I201</f>
        <v>0</v>
      </c>
      <c r="J361" s="450"/>
      <c r="K361" s="450"/>
      <c r="L361" s="450"/>
      <c r="M361" s="451"/>
      <c r="N361" s="451"/>
      <c r="O361" s="451"/>
      <c r="P361" s="451"/>
      <c r="Q361" s="451"/>
      <c r="R361" s="158"/>
    </row>
    <row r="362" spans="1:18" ht="12.75" customHeight="1" x14ac:dyDescent="0.3">
      <c r="A362" s="36"/>
      <c r="B362" s="36" t="s">
        <v>799</v>
      </c>
      <c r="C362" s="29"/>
      <c r="D362" s="29"/>
      <c r="E362" s="29"/>
      <c r="F362" s="29"/>
      <c r="G362" s="37" t="s">
        <v>852</v>
      </c>
      <c r="H362" s="36" t="s">
        <v>2307</v>
      </c>
      <c r="I362" s="521">
        <f>regional!I202</f>
        <v>0</v>
      </c>
      <c r="J362" s="450"/>
      <c r="K362" s="450"/>
      <c r="L362" s="450"/>
      <c r="M362" s="451"/>
      <c r="N362" s="451"/>
      <c r="O362" s="451"/>
      <c r="P362" s="451"/>
      <c r="Q362" s="451"/>
      <c r="R362" s="158"/>
    </row>
    <row r="363" spans="1:18" ht="12.75" customHeight="1" x14ac:dyDescent="0.3">
      <c r="A363" s="36"/>
      <c r="B363" s="36"/>
      <c r="C363" s="36" t="s">
        <v>326</v>
      </c>
      <c r="D363" s="29"/>
      <c r="E363" s="29"/>
      <c r="F363" s="29"/>
      <c r="G363" s="94" t="s">
        <v>307</v>
      </c>
      <c r="H363" s="36" t="s">
        <v>730</v>
      </c>
      <c r="I363" s="521">
        <f>regional!I203</f>
        <v>0</v>
      </c>
      <c r="J363" s="450"/>
      <c r="K363" s="450"/>
      <c r="L363" s="450"/>
      <c r="M363" s="451"/>
      <c r="N363" s="451"/>
      <c r="O363" s="451"/>
      <c r="P363" s="451"/>
      <c r="Q363" s="451"/>
      <c r="R363" s="158"/>
    </row>
    <row r="364" spans="1:18" ht="12.75" customHeight="1" x14ac:dyDescent="0.3">
      <c r="A364" s="36"/>
      <c r="B364" s="36"/>
      <c r="C364" s="36" t="s">
        <v>585</v>
      </c>
      <c r="D364" s="29"/>
      <c r="E364" s="29"/>
      <c r="F364" s="29"/>
      <c r="G364" s="94" t="s">
        <v>688</v>
      </c>
      <c r="H364" s="36" t="s">
        <v>730</v>
      </c>
      <c r="I364" s="521">
        <f>regional!I204</f>
        <v>0</v>
      </c>
      <c r="J364" s="450"/>
      <c r="K364" s="450"/>
      <c r="L364" s="450"/>
      <c r="M364" s="451"/>
      <c r="N364" s="451"/>
      <c r="O364" s="451"/>
      <c r="P364" s="451"/>
      <c r="Q364" s="451"/>
      <c r="R364" s="158"/>
    </row>
    <row r="365" spans="1:18" ht="12.75" customHeight="1" x14ac:dyDescent="0.3">
      <c r="A365" s="36"/>
      <c r="B365" s="36"/>
      <c r="C365" s="36" t="s">
        <v>1451</v>
      </c>
      <c r="D365" s="29"/>
      <c r="E365" s="29"/>
      <c r="F365" s="29"/>
      <c r="G365" s="94" t="s">
        <v>689</v>
      </c>
      <c r="H365" s="36" t="s">
        <v>730</v>
      </c>
      <c r="I365" s="521">
        <f>regional!I205</f>
        <v>0</v>
      </c>
      <c r="J365" s="450"/>
      <c r="K365" s="450"/>
      <c r="L365" s="450"/>
      <c r="M365" s="451"/>
      <c r="N365" s="451"/>
      <c r="O365" s="451"/>
      <c r="P365" s="451"/>
      <c r="Q365" s="451"/>
      <c r="R365" s="158"/>
    </row>
    <row r="366" spans="1:18" ht="12.75" customHeight="1" x14ac:dyDescent="0.3">
      <c r="A366" s="95"/>
      <c r="B366" s="95"/>
      <c r="C366" s="36" t="s">
        <v>766</v>
      </c>
      <c r="D366" s="29"/>
      <c r="E366" s="29"/>
      <c r="F366" s="29"/>
      <c r="G366" s="37" t="s">
        <v>793</v>
      </c>
      <c r="H366" s="36" t="s">
        <v>36</v>
      </c>
      <c r="I366" s="521">
        <f>regional!I206</f>
        <v>0</v>
      </c>
      <c r="J366" s="450"/>
      <c r="K366" s="450"/>
      <c r="L366" s="450"/>
      <c r="M366" s="451"/>
      <c r="N366" s="451"/>
      <c r="O366" s="451"/>
      <c r="P366" s="451"/>
      <c r="Q366" s="451"/>
      <c r="R366" s="158"/>
    </row>
    <row r="367" spans="1:18" ht="12.75" customHeight="1" x14ac:dyDescent="0.3">
      <c r="A367" s="36"/>
      <c r="B367" s="36" t="s">
        <v>800</v>
      </c>
      <c r="C367" s="29"/>
      <c r="D367" s="29"/>
      <c r="E367" s="29"/>
      <c r="F367" s="29"/>
      <c r="G367" s="37" t="s">
        <v>1333</v>
      </c>
      <c r="H367" s="36" t="s">
        <v>2307</v>
      </c>
      <c r="I367" s="521">
        <f>regional!I207</f>
        <v>0</v>
      </c>
      <c r="J367" s="450"/>
      <c r="K367" s="450"/>
      <c r="L367" s="450"/>
      <c r="M367" s="451"/>
      <c r="N367" s="451"/>
      <c r="O367" s="451"/>
      <c r="P367" s="451"/>
      <c r="Q367" s="451"/>
      <c r="R367" s="158"/>
    </row>
    <row r="368" spans="1:18" ht="12.75" customHeight="1" x14ac:dyDescent="0.3">
      <c r="A368" s="36"/>
      <c r="B368" s="36" t="s">
        <v>801</v>
      </c>
      <c r="C368" s="29"/>
      <c r="D368" s="29"/>
      <c r="E368" s="29"/>
      <c r="F368" s="29"/>
      <c r="G368" s="37" t="s">
        <v>1334</v>
      </c>
      <c r="H368" s="36" t="s">
        <v>2307</v>
      </c>
      <c r="I368" s="521">
        <f>regional!I208</f>
        <v>0</v>
      </c>
      <c r="J368" s="450"/>
      <c r="K368" s="450"/>
      <c r="L368" s="450"/>
      <c r="M368" s="451"/>
      <c r="N368" s="451"/>
      <c r="O368" s="451"/>
      <c r="P368" s="451"/>
      <c r="Q368" s="451"/>
      <c r="R368" s="158"/>
    </row>
    <row r="369" spans="1:18" ht="12.75" customHeight="1" x14ac:dyDescent="0.3">
      <c r="A369" s="36"/>
      <c r="B369" s="36" t="s">
        <v>802</v>
      </c>
      <c r="C369" s="29"/>
      <c r="D369" s="29"/>
      <c r="E369" s="29"/>
      <c r="F369" s="29"/>
      <c r="G369" s="37" t="s">
        <v>1335</v>
      </c>
      <c r="H369" s="36" t="s">
        <v>2307</v>
      </c>
      <c r="I369" s="521">
        <f>regional!I209</f>
        <v>0</v>
      </c>
      <c r="J369" s="450"/>
      <c r="K369" s="450"/>
      <c r="L369" s="450"/>
      <c r="M369" s="451"/>
      <c r="N369" s="451"/>
      <c r="O369" s="451"/>
      <c r="P369" s="451"/>
      <c r="Q369" s="451"/>
      <c r="R369" s="158"/>
    </row>
    <row r="370" spans="1:18" ht="12.75" customHeight="1" x14ac:dyDescent="0.3">
      <c r="A370" s="36"/>
      <c r="B370" s="36" t="s">
        <v>426</v>
      </c>
      <c r="C370" s="29"/>
      <c r="D370" s="29"/>
      <c r="E370" s="29"/>
      <c r="F370" s="29"/>
      <c r="G370" s="37" t="s">
        <v>1336</v>
      </c>
      <c r="H370" s="36" t="s">
        <v>2307</v>
      </c>
      <c r="I370" s="521">
        <f>regional!I210</f>
        <v>0</v>
      </c>
      <c r="J370" s="450"/>
      <c r="K370" s="450"/>
      <c r="L370" s="450"/>
      <c r="M370" s="451"/>
      <c r="N370" s="451"/>
      <c r="O370" s="451"/>
      <c r="P370" s="451"/>
      <c r="Q370" s="451"/>
      <c r="R370" s="158"/>
    </row>
    <row r="371" spans="1:18" ht="12.75" customHeight="1" x14ac:dyDescent="0.3">
      <c r="A371" s="36"/>
      <c r="B371" s="36" t="s">
        <v>433</v>
      </c>
      <c r="C371" s="29"/>
      <c r="D371" s="29"/>
      <c r="E371" s="29"/>
      <c r="F371" s="29"/>
      <c r="G371" s="37" t="s">
        <v>1337</v>
      </c>
      <c r="H371" s="36" t="s">
        <v>2307</v>
      </c>
      <c r="I371" s="521">
        <f>regional!I211</f>
        <v>0</v>
      </c>
      <c r="J371" s="450"/>
      <c r="K371" s="450"/>
      <c r="L371" s="450"/>
      <c r="M371" s="451"/>
      <c r="N371" s="451"/>
      <c r="O371" s="451"/>
      <c r="P371" s="451"/>
      <c r="Q371" s="451"/>
      <c r="R371" s="158"/>
    </row>
    <row r="372" spans="1:18" ht="12.75" customHeight="1" x14ac:dyDescent="0.3">
      <c r="A372" s="36"/>
      <c r="B372" s="36" t="s">
        <v>1057</v>
      </c>
      <c r="C372" s="29"/>
      <c r="D372" s="29"/>
      <c r="E372" s="29"/>
      <c r="F372" s="29"/>
      <c r="G372" s="94" t="s">
        <v>1223</v>
      </c>
      <c r="H372" s="36" t="s">
        <v>36</v>
      </c>
      <c r="I372" s="521">
        <f>regional!I212</f>
        <v>0</v>
      </c>
      <c r="J372" s="450"/>
      <c r="K372" s="450"/>
      <c r="L372" s="450"/>
      <c r="M372" s="451"/>
      <c r="N372" s="451"/>
      <c r="O372" s="451"/>
      <c r="P372" s="451"/>
      <c r="Q372" s="451"/>
      <c r="R372" s="158"/>
    </row>
    <row r="373" spans="1:18" ht="12.75" customHeight="1" x14ac:dyDescent="0.3">
      <c r="A373" s="36"/>
      <c r="B373" s="36" t="s">
        <v>1058</v>
      </c>
      <c r="C373" s="29"/>
      <c r="D373" s="29"/>
      <c r="E373" s="29"/>
      <c r="F373" s="29"/>
      <c r="G373" s="94" t="s">
        <v>1224</v>
      </c>
      <c r="H373" s="36" t="s">
        <v>36</v>
      </c>
      <c r="I373" s="521">
        <f>regional!I213</f>
        <v>0</v>
      </c>
      <c r="J373" s="450"/>
      <c r="K373" s="450"/>
      <c r="L373" s="450"/>
      <c r="M373" s="451"/>
      <c r="N373" s="451"/>
      <c r="O373" s="451"/>
      <c r="P373" s="451"/>
      <c r="Q373" s="451"/>
      <c r="R373" s="158"/>
    </row>
    <row r="374" spans="1:18" ht="12.75" customHeight="1" x14ac:dyDescent="0.3">
      <c r="A374" s="29"/>
      <c r="B374" s="36" t="s">
        <v>584</v>
      </c>
      <c r="C374" s="29"/>
      <c r="D374" s="29"/>
      <c r="E374" s="29"/>
      <c r="F374" s="29"/>
      <c r="G374" s="94" t="s">
        <v>1225</v>
      </c>
      <c r="H374" s="36" t="s">
        <v>36</v>
      </c>
      <c r="I374" s="521">
        <f>regional!I214</f>
        <v>0</v>
      </c>
      <c r="J374" s="450"/>
      <c r="K374" s="450"/>
      <c r="L374" s="450"/>
      <c r="M374" s="451"/>
      <c r="N374" s="451"/>
      <c r="O374" s="451"/>
      <c r="P374" s="451"/>
      <c r="Q374" s="451"/>
      <c r="R374" s="158"/>
    </row>
    <row r="375" spans="1:18" ht="12.75" customHeight="1" x14ac:dyDescent="0.3">
      <c r="A375" s="36"/>
      <c r="B375" s="29" t="s">
        <v>2227</v>
      </c>
      <c r="C375" s="29"/>
      <c r="D375" s="95"/>
      <c r="E375" s="95"/>
      <c r="F375" s="95"/>
      <c r="G375" s="37" t="s">
        <v>1470</v>
      </c>
      <c r="H375" s="29" t="s">
        <v>36</v>
      </c>
      <c r="I375" s="521">
        <f>regional!I215</f>
        <v>0</v>
      </c>
      <c r="J375" s="450"/>
      <c r="K375" s="450"/>
      <c r="L375" s="450">
        <v>1</v>
      </c>
      <c r="M375" s="451">
        <v>1</v>
      </c>
      <c r="N375" s="451">
        <v>1</v>
      </c>
      <c r="O375" s="451">
        <v>1</v>
      </c>
      <c r="P375" s="451"/>
      <c r="Q375" s="451">
        <v>1</v>
      </c>
      <c r="R375" s="158"/>
    </row>
    <row r="376" spans="1:18" ht="12.75" customHeight="1" x14ac:dyDescent="0.3">
      <c r="A376" s="36"/>
      <c r="B376" s="29" t="s">
        <v>2227</v>
      </c>
      <c r="C376" s="29"/>
      <c r="D376" s="95"/>
      <c r="E376" s="95"/>
      <c r="F376" s="95"/>
      <c r="G376" s="37" t="s">
        <v>1471</v>
      </c>
      <c r="H376" s="29" t="s">
        <v>36</v>
      </c>
      <c r="I376" s="521">
        <f>regional!I216</f>
        <v>0</v>
      </c>
      <c r="J376" s="450"/>
      <c r="K376" s="450"/>
      <c r="L376" s="450">
        <v>1</v>
      </c>
      <c r="M376" s="451">
        <v>1</v>
      </c>
      <c r="N376" s="451">
        <v>1</v>
      </c>
      <c r="O376" s="451">
        <v>1</v>
      </c>
      <c r="P376" s="451"/>
      <c r="Q376" s="451">
        <v>1</v>
      </c>
      <c r="R376" s="158"/>
    </row>
    <row r="377" spans="1:18" ht="12.75" customHeight="1" x14ac:dyDescent="0.3">
      <c r="A377" s="36"/>
      <c r="B377" s="29" t="s">
        <v>2227</v>
      </c>
      <c r="C377" s="29"/>
      <c r="D377" s="95"/>
      <c r="E377" s="95"/>
      <c r="F377" s="95"/>
      <c r="G377" s="37" t="s">
        <v>1472</v>
      </c>
      <c r="H377" s="29" t="s">
        <v>36</v>
      </c>
      <c r="I377" s="521">
        <f>regional!I217</f>
        <v>0</v>
      </c>
      <c r="J377" s="450"/>
      <c r="K377" s="450"/>
      <c r="L377" s="450">
        <v>1</v>
      </c>
      <c r="M377" s="451">
        <v>1</v>
      </c>
      <c r="N377" s="451">
        <v>1</v>
      </c>
      <c r="O377" s="451">
        <v>1</v>
      </c>
      <c r="P377" s="451"/>
      <c r="Q377" s="451">
        <v>1</v>
      </c>
      <c r="R377" s="158"/>
    </row>
    <row r="378" spans="1:18" ht="12.75" customHeight="1" x14ac:dyDescent="0.3">
      <c r="A378" s="134"/>
      <c r="B378" s="134"/>
      <c r="C378" s="134"/>
      <c r="D378" s="134"/>
      <c r="E378" s="134"/>
      <c r="F378" s="134"/>
      <c r="G378" s="134"/>
      <c r="H378" s="134"/>
      <c r="I378" s="456"/>
      <c r="J378" s="356"/>
      <c r="K378" s="356"/>
      <c r="L378" s="356"/>
      <c r="M378" s="470"/>
      <c r="N378" s="470"/>
      <c r="O378" s="470"/>
      <c r="P378" s="470"/>
      <c r="Q378" s="470"/>
      <c r="R378" s="158"/>
    </row>
    <row r="379" spans="1:18" ht="12.75" customHeight="1" x14ac:dyDescent="0.3">
      <c r="A379" s="29"/>
      <c r="B379" s="29"/>
      <c r="C379" s="29"/>
      <c r="D379" s="29"/>
      <c r="E379" s="29"/>
      <c r="F379" s="29"/>
      <c r="G379" s="29"/>
      <c r="H379" s="29"/>
      <c r="I379" s="342"/>
      <c r="J379" s="339"/>
      <c r="K379" s="339"/>
      <c r="L379" s="339"/>
      <c r="M379" s="282"/>
      <c r="N379" s="282"/>
      <c r="O379" s="282"/>
      <c r="P379" s="282"/>
      <c r="Q379" s="282"/>
      <c r="R379" s="158"/>
    </row>
    <row r="380" spans="1:18" ht="12.75" customHeight="1" x14ac:dyDescent="0.3">
      <c r="A380" s="44" t="s">
        <v>445</v>
      </c>
      <c r="B380" s="29"/>
      <c r="C380" s="29"/>
      <c r="D380" s="29"/>
      <c r="E380" s="29"/>
      <c r="F380" s="29"/>
      <c r="G380" s="29"/>
      <c r="H380" s="29"/>
      <c r="I380" s="342"/>
      <c r="J380" s="339"/>
      <c r="K380" s="339"/>
      <c r="L380" s="339"/>
      <c r="M380" s="282"/>
      <c r="N380" s="282"/>
      <c r="O380" s="282"/>
      <c r="P380" s="282"/>
      <c r="Q380" s="282"/>
      <c r="R380" s="158"/>
    </row>
    <row r="381" spans="1:18" ht="12.75" customHeight="1" x14ac:dyDescent="0.3">
      <c r="A381" s="96"/>
      <c r="B381" s="29"/>
      <c r="C381" s="29"/>
      <c r="D381" s="29"/>
      <c r="E381" s="29"/>
      <c r="F381" s="29"/>
      <c r="G381" s="29"/>
      <c r="H381" s="29"/>
      <c r="I381" s="456"/>
      <c r="J381" s="339"/>
      <c r="K381" s="339"/>
      <c r="L381" s="339"/>
      <c r="M381" s="282"/>
      <c r="N381" s="282"/>
      <c r="O381" s="282"/>
      <c r="P381" s="282"/>
      <c r="Q381" s="282"/>
      <c r="R381" s="158"/>
    </row>
    <row r="382" spans="1:18" ht="12.75" customHeight="1" x14ac:dyDescent="0.3">
      <c r="A382" s="97" t="s">
        <v>1310</v>
      </c>
      <c r="B382" s="97"/>
      <c r="C382" s="97"/>
      <c r="D382" s="97"/>
      <c r="E382" s="97"/>
      <c r="F382" s="97"/>
      <c r="G382" s="97"/>
      <c r="H382" s="97"/>
      <c r="I382" s="340" t="s">
        <v>754</v>
      </c>
      <c r="J382" s="364"/>
      <c r="K382" s="364"/>
      <c r="L382" s="364"/>
      <c r="M382" s="469"/>
      <c r="N382" s="469"/>
      <c r="O382" s="469"/>
      <c r="P382" s="469"/>
      <c r="Q382" s="469"/>
      <c r="R382" s="158"/>
    </row>
    <row r="383" spans="1:18" ht="12.75" customHeight="1" x14ac:dyDescent="0.3">
      <c r="A383" s="29"/>
      <c r="B383" s="29"/>
      <c r="C383" s="36"/>
      <c r="D383" s="36"/>
      <c r="E383" s="29"/>
      <c r="F383" s="29"/>
      <c r="G383" s="29"/>
      <c r="H383" s="29"/>
      <c r="I383" s="342"/>
      <c r="J383" s="339"/>
      <c r="K383" s="339"/>
      <c r="L383" s="339"/>
      <c r="M383" s="282"/>
      <c r="N383" s="282"/>
      <c r="O383" s="282"/>
      <c r="P383" s="282"/>
      <c r="Q383" s="282"/>
      <c r="R383" s="158"/>
    </row>
    <row r="384" spans="1:18" ht="12.75" customHeight="1" x14ac:dyDescent="0.3">
      <c r="A384" s="36" t="s">
        <v>1089</v>
      </c>
      <c r="B384" s="29"/>
      <c r="C384" s="29"/>
      <c r="D384" s="29"/>
      <c r="E384" s="29"/>
      <c r="F384" s="29"/>
      <c r="G384" s="37" t="s">
        <v>1437</v>
      </c>
      <c r="H384" s="29" t="s">
        <v>2315</v>
      </c>
      <c r="I384" s="521">
        <f>continental!I5</f>
        <v>0</v>
      </c>
      <c r="J384" s="450"/>
      <c r="K384" s="450"/>
      <c r="L384" s="450"/>
      <c r="M384" s="451"/>
      <c r="N384" s="451"/>
      <c r="O384" s="451"/>
      <c r="P384" s="451"/>
      <c r="Q384" s="451"/>
      <c r="R384" s="158"/>
    </row>
    <row r="385" spans="1:18" ht="12.75" customHeight="1" x14ac:dyDescent="0.3">
      <c r="A385" s="36" t="s">
        <v>282</v>
      </c>
      <c r="B385" s="29"/>
      <c r="C385" s="29"/>
      <c r="D385" s="29"/>
      <c r="E385" s="29"/>
      <c r="F385" s="29"/>
      <c r="G385" s="37" t="s">
        <v>327</v>
      </c>
      <c r="H385" s="36" t="s">
        <v>2315</v>
      </c>
      <c r="I385" s="521">
        <f>continental!I6</f>
        <v>0</v>
      </c>
      <c r="J385" s="450"/>
      <c r="K385" s="450"/>
      <c r="L385" s="450"/>
      <c r="M385" s="451"/>
      <c r="N385" s="451"/>
      <c r="O385" s="451"/>
      <c r="P385" s="451"/>
      <c r="Q385" s="451"/>
      <c r="R385" s="158"/>
    </row>
    <row r="386" spans="1:18" ht="12.75" customHeight="1" x14ac:dyDescent="0.3">
      <c r="A386" s="36" t="s">
        <v>708</v>
      </c>
      <c r="B386" s="29"/>
      <c r="C386" s="29"/>
      <c r="D386" s="29"/>
      <c r="E386" s="29"/>
      <c r="F386" s="29"/>
      <c r="G386" s="37" t="s">
        <v>1438</v>
      </c>
      <c r="H386" s="29" t="s">
        <v>2315</v>
      </c>
      <c r="I386" s="521">
        <f>continental!I7</f>
        <v>0</v>
      </c>
      <c r="J386" s="450"/>
      <c r="K386" s="450"/>
      <c r="L386" s="450"/>
      <c r="M386" s="451"/>
      <c r="N386" s="451"/>
      <c r="O386" s="451"/>
      <c r="P386" s="451"/>
      <c r="Q386" s="451"/>
      <c r="R386" s="158"/>
    </row>
    <row r="387" spans="1:18" ht="12.75" customHeight="1" x14ac:dyDescent="0.3">
      <c r="A387" s="36" t="s">
        <v>709</v>
      </c>
      <c r="B387" s="29"/>
      <c r="C387" s="29"/>
      <c r="D387" s="29"/>
      <c r="E387" s="29"/>
      <c r="F387" s="29"/>
      <c r="G387" s="37" t="s">
        <v>1439</v>
      </c>
      <c r="H387" s="29" t="s">
        <v>2315</v>
      </c>
      <c r="I387" s="521">
        <f>continental!I8</f>
        <v>0</v>
      </c>
      <c r="J387" s="450"/>
      <c r="K387" s="450"/>
      <c r="L387" s="450"/>
      <c r="M387" s="451"/>
      <c r="N387" s="451"/>
      <c r="O387" s="451"/>
      <c r="P387" s="451"/>
      <c r="Q387" s="451"/>
      <c r="R387" s="158"/>
    </row>
    <row r="388" spans="1:18" ht="12.75" customHeight="1" x14ac:dyDescent="0.3">
      <c r="A388" s="36" t="s">
        <v>710</v>
      </c>
      <c r="B388" s="29"/>
      <c r="C388" s="29"/>
      <c r="D388" s="29"/>
      <c r="E388" s="29"/>
      <c r="F388" s="29"/>
      <c r="G388" s="37" t="s">
        <v>1440</v>
      </c>
      <c r="H388" s="29" t="s">
        <v>2315</v>
      </c>
      <c r="I388" s="521">
        <f>continental!I9</f>
        <v>0</v>
      </c>
      <c r="J388" s="450"/>
      <c r="K388" s="450"/>
      <c r="L388" s="450"/>
      <c r="M388" s="451"/>
      <c r="N388" s="451"/>
      <c r="O388" s="451"/>
      <c r="P388" s="451"/>
      <c r="Q388" s="451"/>
      <c r="R388" s="158"/>
    </row>
    <row r="389" spans="1:18" ht="12.75" customHeight="1" x14ac:dyDescent="0.3">
      <c r="A389" s="36" t="s">
        <v>711</v>
      </c>
      <c r="B389" s="29"/>
      <c r="C389" s="29"/>
      <c r="D389" s="29"/>
      <c r="E389" s="29"/>
      <c r="F389" s="29"/>
      <c r="G389" s="37" t="s">
        <v>1441</v>
      </c>
      <c r="H389" s="29" t="s">
        <v>2315</v>
      </c>
      <c r="I389" s="521">
        <f>continental!I10</f>
        <v>0</v>
      </c>
      <c r="J389" s="450"/>
      <c r="K389" s="450"/>
      <c r="L389" s="450"/>
      <c r="M389" s="451"/>
      <c r="N389" s="451"/>
      <c r="O389" s="451"/>
      <c r="P389" s="451"/>
      <c r="Q389" s="451"/>
      <c r="R389" s="158"/>
    </row>
    <row r="390" spans="1:18" ht="12.75" customHeight="1" x14ac:dyDescent="0.3">
      <c r="A390" s="36" t="s">
        <v>712</v>
      </c>
      <c r="B390" s="29"/>
      <c r="C390" s="29"/>
      <c r="D390" s="29"/>
      <c r="E390" s="29"/>
      <c r="F390" s="29"/>
      <c r="G390" s="37" t="s">
        <v>1442</v>
      </c>
      <c r="H390" s="29" t="s">
        <v>2315</v>
      </c>
      <c r="I390" s="521">
        <f>continental!I11</f>
        <v>0</v>
      </c>
      <c r="J390" s="450"/>
      <c r="K390" s="450"/>
      <c r="L390" s="450"/>
      <c r="M390" s="451"/>
      <c r="N390" s="451"/>
      <c r="O390" s="451"/>
      <c r="P390" s="451"/>
      <c r="Q390" s="451"/>
      <c r="R390" s="158"/>
    </row>
    <row r="391" spans="1:18" ht="12.75" customHeight="1" x14ac:dyDescent="0.3">
      <c r="A391" s="36" t="s">
        <v>713</v>
      </c>
      <c r="B391" s="29"/>
      <c r="C391" s="29"/>
      <c r="D391" s="29"/>
      <c r="E391" s="29"/>
      <c r="F391" s="29"/>
      <c r="G391" s="37" t="s">
        <v>1443</v>
      </c>
      <c r="H391" s="29" t="s">
        <v>2315</v>
      </c>
      <c r="I391" s="521">
        <f>continental!I12</f>
        <v>0</v>
      </c>
      <c r="J391" s="450"/>
      <c r="K391" s="450"/>
      <c r="L391" s="450"/>
      <c r="M391" s="451"/>
      <c r="N391" s="451"/>
      <c r="O391" s="451"/>
      <c r="P391" s="451"/>
      <c r="Q391" s="451"/>
      <c r="R391" s="158"/>
    </row>
    <row r="392" spans="1:18" ht="12.75" customHeight="1" x14ac:dyDescent="0.3">
      <c r="A392" s="36" t="s">
        <v>210</v>
      </c>
      <c r="B392" s="29"/>
      <c r="C392" s="29"/>
      <c r="D392" s="29"/>
      <c r="E392" s="29"/>
      <c r="F392" s="29"/>
      <c r="G392" s="37" t="s">
        <v>1444</v>
      </c>
      <c r="H392" s="29" t="s">
        <v>2315</v>
      </c>
      <c r="I392" s="521">
        <f>continental!I13</f>
        <v>0</v>
      </c>
      <c r="J392" s="450"/>
      <c r="K392" s="450"/>
      <c r="L392" s="450"/>
      <c r="M392" s="451"/>
      <c r="N392" s="451"/>
      <c r="O392" s="451"/>
      <c r="P392" s="451"/>
      <c r="Q392" s="451"/>
      <c r="R392" s="158"/>
    </row>
    <row r="393" spans="1:18" ht="12.75" customHeight="1" x14ac:dyDescent="0.3">
      <c r="A393" s="36"/>
      <c r="B393" s="95" t="s">
        <v>1356</v>
      </c>
      <c r="C393" s="29"/>
      <c r="D393" s="29"/>
      <c r="E393" s="29"/>
      <c r="F393" s="29"/>
      <c r="G393" s="37" t="s">
        <v>1397</v>
      </c>
      <c r="H393" s="29" t="s">
        <v>2312</v>
      </c>
      <c r="I393" s="521">
        <f>continental!I14</f>
        <v>0</v>
      </c>
      <c r="J393" s="450"/>
      <c r="K393" s="450"/>
      <c r="L393" s="450"/>
      <c r="M393" s="451"/>
      <c r="N393" s="451"/>
      <c r="O393" s="451"/>
      <c r="P393" s="451"/>
      <c r="Q393" s="451"/>
      <c r="R393" s="158"/>
    </row>
    <row r="394" spans="1:18" ht="12.75" customHeight="1" x14ac:dyDescent="0.3">
      <c r="A394" s="36"/>
      <c r="B394" s="36" t="s">
        <v>284</v>
      </c>
      <c r="C394" s="29"/>
      <c r="D394" s="29"/>
      <c r="E394" s="29"/>
      <c r="F394" s="29"/>
      <c r="G394" s="94" t="s">
        <v>328</v>
      </c>
      <c r="H394" s="36" t="s">
        <v>36</v>
      </c>
      <c r="I394" s="521">
        <f>continental!I15</f>
        <v>0</v>
      </c>
      <c r="J394" s="450"/>
      <c r="K394" s="450"/>
      <c r="L394" s="450"/>
      <c r="M394" s="451"/>
      <c r="N394" s="451"/>
      <c r="O394" s="451"/>
      <c r="P394" s="451"/>
      <c r="Q394" s="451"/>
      <c r="R394" s="158"/>
    </row>
    <row r="395" spans="1:18" ht="12.75" customHeight="1" x14ac:dyDescent="0.3">
      <c r="A395" s="36"/>
      <c r="B395" s="36" t="s">
        <v>1091</v>
      </c>
      <c r="C395" s="29"/>
      <c r="D395" s="29"/>
      <c r="E395" s="29"/>
      <c r="F395" s="29"/>
      <c r="G395" s="94" t="s">
        <v>1447</v>
      </c>
      <c r="H395" s="29" t="s">
        <v>36</v>
      </c>
      <c r="I395" s="521">
        <f>continental!I16</f>
        <v>0</v>
      </c>
      <c r="J395" s="450"/>
      <c r="K395" s="450"/>
      <c r="L395" s="450"/>
      <c r="M395" s="451"/>
      <c r="N395" s="451"/>
      <c r="O395" s="451"/>
      <c r="P395" s="451"/>
      <c r="Q395" s="451"/>
      <c r="R395" s="158"/>
    </row>
    <row r="396" spans="1:18" ht="12.75" customHeight="1" x14ac:dyDescent="0.3">
      <c r="A396" s="36"/>
      <c r="B396" s="36" t="s">
        <v>1093</v>
      </c>
      <c r="C396" s="29"/>
      <c r="D396" s="29"/>
      <c r="E396" s="29"/>
      <c r="F396" s="29"/>
      <c r="G396" s="94" t="s">
        <v>1449</v>
      </c>
      <c r="H396" s="29" t="s">
        <v>36</v>
      </c>
      <c r="I396" s="521">
        <f>continental!I17</f>
        <v>0</v>
      </c>
      <c r="J396" s="450"/>
      <c r="K396" s="450"/>
      <c r="L396" s="450"/>
      <c r="M396" s="451"/>
      <c r="N396" s="451"/>
      <c r="O396" s="451"/>
      <c r="P396" s="451"/>
      <c r="Q396" s="451"/>
      <c r="R396" s="158"/>
    </row>
    <row r="397" spans="1:18" ht="12.75" customHeight="1" x14ac:dyDescent="0.3">
      <c r="A397" s="36"/>
      <c r="B397" s="36" t="s">
        <v>886</v>
      </c>
      <c r="C397" s="29"/>
      <c r="D397" s="29"/>
      <c r="E397" s="29"/>
      <c r="F397" s="29"/>
      <c r="G397" s="94" t="s">
        <v>1297</v>
      </c>
      <c r="H397" s="29" t="s">
        <v>36</v>
      </c>
      <c r="I397" s="521">
        <f>continental!I18</f>
        <v>0</v>
      </c>
      <c r="J397" s="450"/>
      <c r="K397" s="450"/>
      <c r="L397" s="450"/>
      <c r="M397" s="451"/>
      <c r="N397" s="451"/>
      <c r="O397" s="451"/>
      <c r="P397" s="451"/>
      <c r="Q397" s="451"/>
      <c r="R397" s="158"/>
    </row>
    <row r="398" spans="1:18" ht="12.75" customHeight="1" x14ac:dyDescent="0.3">
      <c r="A398" s="36"/>
      <c r="B398" s="36" t="s">
        <v>887</v>
      </c>
      <c r="C398" s="29"/>
      <c r="D398" s="29"/>
      <c r="E398" s="29"/>
      <c r="F398" s="29"/>
      <c r="G398" s="94" t="s">
        <v>850</v>
      </c>
      <c r="H398" s="29" t="s">
        <v>36</v>
      </c>
      <c r="I398" s="521">
        <f>continental!I19</f>
        <v>0</v>
      </c>
      <c r="J398" s="450"/>
      <c r="K398" s="450"/>
      <c r="L398" s="450"/>
      <c r="M398" s="451"/>
      <c r="N398" s="451"/>
      <c r="O398" s="451"/>
      <c r="P398" s="451"/>
      <c r="Q398" s="451"/>
      <c r="R398" s="158"/>
    </row>
    <row r="399" spans="1:18" ht="12.75" customHeight="1" x14ac:dyDescent="0.3">
      <c r="A399" s="36"/>
      <c r="B399" s="36" t="s">
        <v>1092</v>
      </c>
      <c r="C399" s="29"/>
      <c r="D399" s="29"/>
      <c r="E399" s="29"/>
      <c r="F399" s="29"/>
      <c r="G399" s="94" t="s">
        <v>1448</v>
      </c>
      <c r="H399" s="29" t="s">
        <v>36</v>
      </c>
      <c r="I399" s="521">
        <f>continental!I20</f>
        <v>0</v>
      </c>
      <c r="J399" s="450"/>
      <c r="K399" s="450"/>
      <c r="L399" s="450"/>
      <c r="M399" s="451"/>
      <c r="N399" s="451"/>
      <c r="O399" s="451"/>
      <c r="P399" s="451"/>
      <c r="Q399" s="451"/>
      <c r="R399" s="158"/>
    </row>
    <row r="400" spans="1:18" ht="12.75" customHeight="1" x14ac:dyDescent="0.3">
      <c r="A400" s="36"/>
      <c r="B400" s="29"/>
      <c r="C400" s="36" t="s">
        <v>767</v>
      </c>
      <c r="D400" s="95"/>
      <c r="E400" s="95"/>
      <c r="F400" s="29"/>
      <c r="G400" s="94" t="s">
        <v>111</v>
      </c>
      <c r="H400" s="29" t="s">
        <v>719</v>
      </c>
      <c r="I400" s="521">
        <f>continental!I21</f>
        <v>0</v>
      </c>
      <c r="J400" s="450"/>
      <c r="K400" s="450"/>
      <c r="L400" s="450"/>
      <c r="M400" s="451"/>
      <c r="N400" s="451"/>
      <c r="O400" s="451"/>
      <c r="P400" s="451"/>
      <c r="Q400" s="451"/>
      <c r="R400" s="158"/>
    </row>
    <row r="401" spans="1:18" ht="12.75" customHeight="1" x14ac:dyDescent="0.3">
      <c r="A401" s="36"/>
      <c r="B401" s="29"/>
      <c r="C401" s="36" t="s">
        <v>286</v>
      </c>
      <c r="D401" s="95"/>
      <c r="E401" s="95"/>
      <c r="F401" s="29"/>
      <c r="G401" s="94" t="s">
        <v>329</v>
      </c>
      <c r="H401" s="36" t="s">
        <v>719</v>
      </c>
      <c r="I401" s="521">
        <f>continental!I22</f>
        <v>0</v>
      </c>
      <c r="J401" s="450"/>
      <c r="K401" s="450"/>
      <c r="L401" s="450"/>
      <c r="M401" s="451"/>
      <c r="N401" s="451"/>
      <c r="O401" s="451"/>
      <c r="P401" s="451"/>
      <c r="Q401" s="451"/>
      <c r="R401" s="158"/>
    </row>
    <row r="402" spans="1:18" ht="12.75" customHeight="1" x14ac:dyDescent="0.3">
      <c r="A402" s="36"/>
      <c r="B402" s="29"/>
      <c r="C402" s="36" t="s">
        <v>768</v>
      </c>
      <c r="D402" s="95"/>
      <c r="E402" s="95"/>
      <c r="F402" s="29"/>
      <c r="G402" s="94" t="s">
        <v>112</v>
      </c>
      <c r="H402" s="29" t="s">
        <v>719</v>
      </c>
      <c r="I402" s="521">
        <f>continental!I23</f>
        <v>0</v>
      </c>
      <c r="J402" s="450"/>
      <c r="K402" s="450"/>
      <c r="L402" s="450"/>
      <c r="M402" s="451"/>
      <c r="N402" s="451"/>
      <c r="O402" s="451"/>
      <c r="P402" s="451"/>
      <c r="Q402" s="451"/>
      <c r="R402" s="158"/>
    </row>
    <row r="403" spans="1:18" ht="12.75" customHeight="1" x14ac:dyDescent="0.3">
      <c r="A403" s="36"/>
      <c r="B403" s="29"/>
      <c r="C403" s="36" t="s">
        <v>769</v>
      </c>
      <c r="D403" s="95"/>
      <c r="E403" s="95"/>
      <c r="F403" s="29"/>
      <c r="G403" s="94" t="s">
        <v>469</v>
      </c>
      <c r="H403" s="29" t="s">
        <v>719</v>
      </c>
      <c r="I403" s="521">
        <f>continental!I24</f>
        <v>0</v>
      </c>
      <c r="J403" s="450"/>
      <c r="K403" s="450"/>
      <c r="L403" s="450"/>
      <c r="M403" s="451"/>
      <c r="N403" s="451"/>
      <c r="O403" s="451"/>
      <c r="P403" s="451"/>
      <c r="Q403" s="451"/>
      <c r="R403" s="158"/>
    </row>
    <row r="404" spans="1:18" ht="12.75" customHeight="1" x14ac:dyDescent="0.3">
      <c r="A404" s="36"/>
      <c r="B404" s="29"/>
      <c r="C404" s="36" t="s">
        <v>770</v>
      </c>
      <c r="D404" s="95"/>
      <c r="E404" s="95"/>
      <c r="F404" s="29"/>
      <c r="G404" s="94" t="s">
        <v>470</v>
      </c>
      <c r="H404" s="29" t="s">
        <v>721</v>
      </c>
      <c r="I404" s="521">
        <f>continental!I25</f>
        <v>0</v>
      </c>
      <c r="J404" s="450"/>
      <c r="K404" s="450"/>
      <c r="L404" s="450"/>
      <c r="M404" s="451"/>
      <c r="N404" s="451"/>
      <c r="O404" s="451"/>
      <c r="P404" s="451"/>
      <c r="Q404" s="451"/>
      <c r="R404" s="158"/>
    </row>
    <row r="405" spans="1:18" ht="12.75" customHeight="1" x14ac:dyDescent="0.3">
      <c r="A405" s="36"/>
      <c r="B405" s="29"/>
      <c r="C405" s="36" t="s">
        <v>576</v>
      </c>
      <c r="D405" s="95"/>
      <c r="E405" s="95"/>
      <c r="F405" s="29"/>
      <c r="G405" s="94" t="s">
        <v>471</v>
      </c>
      <c r="H405" s="29" t="s">
        <v>721</v>
      </c>
      <c r="I405" s="521">
        <f>continental!I26</f>
        <v>0</v>
      </c>
      <c r="J405" s="450"/>
      <c r="K405" s="450"/>
      <c r="L405" s="450"/>
      <c r="M405" s="451"/>
      <c r="N405" s="451"/>
      <c r="O405" s="451"/>
      <c r="P405" s="451"/>
      <c r="Q405" s="451"/>
      <c r="R405" s="158"/>
    </row>
    <row r="406" spans="1:18" ht="12.75" customHeight="1" x14ac:dyDescent="0.3">
      <c r="A406" s="36"/>
      <c r="B406" s="29"/>
      <c r="C406" s="36" t="s">
        <v>3963</v>
      </c>
      <c r="D406" s="95"/>
      <c r="E406" s="95"/>
      <c r="F406" s="29"/>
      <c r="G406" s="94" t="s">
        <v>1355</v>
      </c>
      <c r="H406" s="29" t="s">
        <v>719</v>
      </c>
      <c r="I406" s="521">
        <f>continental!I27</f>
        <v>0</v>
      </c>
      <c r="J406" s="450"/>
      <c r="K406" s="450"/>
      <c r="L406" s="450"/>
      <c r="M406" s="451"/>
      <c r="N406" s="451"/>
      <c r="O406" s="451"/>
      <c r="P406" s="451"/>
      <c r="Q406" s="451"/>
      <c r="R406" s="158"/>
    </row>
    <row r="407" spans="1:18" ht="12.75" customHeight="1" x14ac:dyDescent="0.3">
      <c r="A407" s="36"/>
      <c r="B407" s="29"/>
      <c r="C407" s="36" t="s">
        <v>3982</v>
      </c>
      <c r="D407" s="95"/>
      <c r="E407" s="95"/>
      <c r="F407" s="29"/>
      <c r="G407" s="94" t="s">
        <v>472</v>
      </c>
      <c r="H407" s="29" t="s">
        <v>719</v>
      </c>
      <c r="I407" s="521">
        <f>continental!I28</f>
        <v>0</v>
      </c>
      <c r="J407" s="450"/>
      <c r="K407" s="450"/>
      <c r="L407" s="450"/>
      <c r="M407" s="451"/>
      <c r="N407" s="451"/>
      <c r="O407" s="451"/>
      <c r="P407" s="451"/>
      <c r="Q407" s="451"/>
      <c r="R407" s="158"/>
    </row>
    <row r="408" spans="1:18" ht="12.75" customHeight="1" x14ac:dyDescent="0.3">
      <c r="A408" s="36"/>
      <c r="B408" s="29"/>
      <c r="C408" s="36" t="s">
        <v>3965</v>
      </c>
      <c r="D408" s="95"/>
      <c r="E408" s="95"/>
      <c r="F408" s="29"/>
      <c r="G408" s="94" t="s">
        <v>775</v>
      </c>
      <c r="H408" s="29" t="s">
        <v>719</v>
      </c>
      <c r="I408" s="521">
        <f>continental!I29</f>
        <v>0</v>
      </c>
      <c r="J408" s="450"/>
      <c r="K408" s="450"/>
      <c r="L408" s="450"/>
      <c r="M408" s="451"/>
      <c r="N408" s="451"/>
      <c r="O408" s="451"/>
      <c r="P408" s="451"/>
      <c r="Q408" s="451"/>
      <c r="R408" s="158"/>
    </row>
    <row r="409" spans="1:18" ht="12.75" customHeight="1" x14ac:dyDescent="0.3">
      <c r="A409" s="29"/>
      <c r="B409" s="29"/>
      <c r="C409" s="29" t="s">
        <v>216</v>
      </c>
      <c r="D409" s="29"/>
      <c r="E409" s="29"/>
      <c r="F409" s="29"/>
      <c r="G409" s="36" t="s">
        <v>3983</v>
      </c>
      <c r="H409" s="36" t="s">
        <v>722</v>
      </c>
      <c r="I409" s="521">
        <f>continental!I30</f>
        <v>0</v>
      </c>
      <c r="J409" s="450"/>
      <c r="K409" s="450"/>
      <c r="L409" s="450">
        <v>4.9999999999999995E-11</v>
      </c>
      <c r="M409" s="451">
        <v>4.9999999999999995E-11</v>
      </c>
      <c r="N409" s="451">
        <v>4.9999999999999995E-11</v>
      </c>
      <c r="O409" s="451">
        <v>4.9999999999999995E-11</v>
      </c>
      <c r="P409" s="451">
        <v>4.9999999999999995E-11</v>
      </c>
      <c r="Q409" s="451"/>
      <c r="R409" s="158"/>
    </row>
    <row r="410" spans="1:18" ht="12.75" customHeight="1" x14ac:dyDescent="0.3">
      <c r="A410" s="29"/>
      <c r="B410" s="29"/>
      <c r="C410" s="29" t="s">
        <v>217</v>
      </c>
      <c r="D410" s="29"/>
      <c r="E410" s="29"/>
      <c r="F410" s="29"/>
      <c r="G410" s="36" t="s">
        <v>3984</v>
      </c>
      <c r="H410" s="36" t="s">
        <v>722</v>
      </c>
      <c r="I410" s="521">
        <f>continental!I31</f>
        <v>0</v>
      </c>
      <c r="J410" s="450"/>
      <c r="K410" s="450"/>
      <c r="L410" s="450">
        <v>9.9999999999999995E-21</v>
      </c>
      <c r="M410" s="451">
        <v>9.9999999999999995E-21</v>
      </c>
      <c r="N410" s="451">
        <v>9.9999999999999995E-21</v>
      </c>
      <c r="O410" s="451">
        <v>9.9999999999999995E-21</v>
      </c>
      <c r="P410" s="451">
        <v>9.9999999999999995E-21</v>
      </c>
      <c r="Q410" s="451"/>
      <c r="R410" s="158"/>
    </row>
    <row r="411" spans="1:18" ht="12.75" customHeight="1" x14ac:dyDescent="0.3">
      <c r="A411" s="36"/>
      <c r="B411" s="29"/>
      <c r="C411" s="36" t="s">
        <v>536</v>
      </c>
      <c r="D411" s="95"/>
      <c r="E411" s="95"/>
      <c r="F411" s="29"/>
      <c r="G411" s="94" t="s">
        <v>43</v>
      </c>
      <c r="H411" s="29" t="s">
        <v>722</v>
      </c>
      <c r="I411" s="521">
        <f>continental!I32</f>
        <v>0</v>
      </c>
      <c r="J411" s="450"/>
      <c r="K411" s="450"/>
      <c r="L411" s="450"/>
      <c r="M411" s="451"/>
      <c r="N411" s="451"/>
      <c r="O411" s="451"/>
      <c r="P411" s="451"/>
      <c r="Q411" s="451"/>
      <c r="R411" s="158"/>
    </row>
    <row r="412" spans="1:18" ht="12.75" customHeight="1" x14ac:dyDescent="0.3">
      <c r="A412" s="36"/>
      <c r="B412" s="29"/>
      <c r="C412" s="36" t="s">
        <v>418</v>
      </c>
      <c r="D412" s="95"/>
      <c r="E412" s="95"/>
      <c r="F412" s="29"/>
      <c r="G412" s="94" t="s">
        <v>441</v>
      </c>
      <c r="H412" s="29" t="s">
        <v>722</v>
      </c>
      <c r="I412" s="521">
        <f>continental!I33</f>
        <v>0</v>
      </c>
      <c r="J412" s="450"/>
      <c r="K412" s="450"/>
      <c r="L412" s="450"/>
      <c r="M412" s="451"/>
      <c r="N412" s="451"/>
      <c r="O412" s="451"/>
      <c r="P412" s="451"/>
      <c r="Q412" s="451"/>
      <c r="R412" s="158"/>
    </row>
    <row r="413" spans="1:18" ht="12.75" customHeight="1" x14ac:dyDescent="0.3">
      <c r="A413" s="36"/>
      <c r="B413" s="29"/>
      <c r="C413" s="36" t="s">
        <v>794</v>
      </c>
      <c r="D413" s="95"/>
      <c r="E413" s="95"/>
      <c r="F413" s="29"/>
      <c r="G413" s="94" t="s">
        <v>442</v>
      </c>
      <c r="H413" s="29" t="s">
        <v>722</v>
      </c>
      <c r="I413" s="521">
        <f>continental!I34</f>
        <v>0</v>
      </c>
      <c r="J413" s="450"/>
      <c r="K413" s="450"/>
      <c r="L413" s="450"/>
      <c r="M413" s="451"/>
      <c r="N413" s="451"/>
      <c r="O413" s="451"/>
      <c r="P413" s="451"/>
      <c r="Q413" s="451"/>
      <c r="R413" s="158"/>
    </row>
    <row r="414" spans="1:18" ht="12.75" customHeight="1" x14ac:dyDescent="0.3">
      <c r="A414" s="36"/>
      <c r="B414" s="29"/>
      <c r="C414" s="36" t="s">
        <v>795</v>
      </c>
      <c r="D414" s="95"/>
      <c r="E414" s="95"/>
      <c r="F414" s="29"/>
      <c r="G414" s="94" t="s">
        <v>443</v>
      </c>
      <c r="H414" s="29" t="s">
        <v>722</v>
      </c>
      <c r="I414" s="521">
        <f>continental!I35</f>
        <v>0</v>
      </c>
      <c r="J414" s="450"/>
      <c r="K414" s="450"/>
      <c r="L414" s="450"/>
      <c r="M414" s="451"/>
      <c r="N414" s="451"/>
      <c r="O414" s="451"/>
      <c r="P414" s="451"/>
      <c r="Q414" s="451"/>
      <c r="R414" s="158"/>
    </row>
    <row r="415" spans="1:18" ht="12.75" customHeight="1" x14ac:dyDescent="0.3">
      <c r="A415" s="36"/>
      <c r="B415" s="29"/>
      <c r="C415" s="36" t="s">
        <v>534</v>
      </c>
      <c r="D415" s="95"/>
      <c r="E415" s="95"/>
      <c r="F415" s="29"/>
      <c r="G415" s="94" t="s">
        <v>198</v>
      </c>
      <c r="H415" s="29" t="s">
        <v>722</v>
      </c>
      <c r="I415" s="521">
        <f>continental!I36</f>
        <v>0</v>
      </c>
      <c r="J415" s="450"/>
      <c r="K415" s="450"/>
      <c r="L415" s="450"/>
      <c r="M415" s="451"/>
      <c r="N415" s="451"/>
      <c r="O415" s="451"/>
      <c r="P415" s="451"/>
      <c r="Q415" s="451"/>
      <c r="R415" s="158"/>
    </row>
    <row r="416" spans="1:18" ht="12.75" customHeight="1" x14ac:dyDescent="0.3">
      <c r="A416" s="36"/>
      <c r="B416" s="29"/>
      <c r="C416" s="36" t="s">
        <v>535</v>
      </c>
      <c r="D416" s="95"/>
      <c r="E416" s="95"/>
      <c r="F416" s="29"/>
      <c r="G416" s="94" t="s">
        <v>199</v>
      </c>
      <c r="H416" s="29" t="s">
        <v>722</v>
      </c>
      <c r="I416" s="521">
        <f>continental!I37</f>
        <v>0</v>
      </c>
      <c r="J416" s="450"/>
      <c r="K416" s="450"/>
      <c r="L416" s="450"/>
      <c r="M416" s="451"/>
      <c r="N416" s="451"/>
      <c r="O416" s="451"/>
      <c r="P416" s="451"/>
      <c r="Q416" s="451"/>
      <c r="R416" s="158"/>
    </row>
    <row r="417" spans="1:18" ht="12.75" customHeight="1" x14ac:dyDescent="0.3">
      <c r="A417" s="36"/>
      <c r="B417" s="29"/>
      <c r="C417" s="36" t="s">
        <v>1357</v>
      </c>
      <c r="D417" s="95"/>
      <c r="E417" s="95"/>
      <c r="F417" s="29"/>
      <c r="G417" s="94" t="s">
        <v>38</v>
      </c>
      <c r="H417" s="29" t="s">
        <v>722</v>
      </c>
      <c r="I417" s="521">
        <f>continental!I38</f>
        <v>0</v>
      </c>
      <c r="J417" s="450"/>
      <c r="K417" s="450"/>
      <c r="L417" s="450"/>
      <c r="M417" s="451"/>
      <c r="N417" s="451"/>
      <c r="O417" s="451"/>
      <c r="P417" s="451"/>
      <c r="Q417" s="451"/>
      <c r="R417" s="158"/>
    </row>
    <row r="418" spans="1:18" ht="12.75" customHeight="1" x14ac:dyDescent="0.3">
      <c r="A418" s="36"/>
      <c r="B418" s="29"/>
      <c r="C418" s="36" t="s">
        <v>537</v>
      </c>
      <c r="D418" s="95"/>
      <c r="E418" s="95"/>
      <c r="F418" s="29"/>
      <c r="G418" s="94" t="s">
        <v>39</v>
      </c>
      <c r="H418" s="29" t="s">
        <v>722</v>
      </c>
      <c r="I418" s="521">
        <f>continental!I39</f>
        <v>0</v>
      </c>
      <c r="J418" s="450"/>
      <c r="K418" s="450"/>
      <c r="L418" s="450"/>
      <c r="M418" s="451"/>
      <c r="N418" s="451"/>
      <c r="O418" s="451"/>
      <c r="P418" s="451"/>
      <c r="Q418" s="451"/>
      <c r="R418" s="158"/>
    </row>
    <row r="419" spans="1:18" ht="12.75" customHeight="1" x14ac:dyDescent="0.3">
      <c r="A419" s="36"/>
      <c r="B419" s="29"/>
      <c r="C419" s="36" t="s">
        <v>15</v>
      </c>
      <c r="D419" s="95"/>
      <c r="E419" s="95"/>
      <c r="F419" s="29"/>
      <c r="G419" s="94" t="s">
        <v>40</v>
      </c>
      <c r="H419" s="29" t="s">
        <v>722</v>
      </c>
      <c r="I419" s="521">
        <f>continental!I40</f>
        <v>0</v>
      </c>
      <c r="J419" s="450"/>
      <c r="K419" s="450"/>
      <c r="L419" s="450"/>
      <c r="M419" s="451"/>
      <c r="N419" s="451"/>
      <c r="O419" s="451"/>
      <c r="P419" s="451"/>
      <c r="Q419" s="451"/>
      <c r="R419" s="158"/>
    </row>
    <row r="420" spans="1:18" ht="12.75" customHeight="1" x14ac:dyDescent="0.3">
      <c r="A420" s="36"/>
      <c r="B420" s="29"/>
      <c r="C420" s="36" t="s">
        <v>434</v>
      </c>
      <c r="D420" s="95"/>
      <c r="E420" s="95"/>
      <c r="F420" s="29"/>
      <c r="G420" s="94" t="s">
        <v>41</v>
      </c>
      <c r="H420" s="29" t="s">
        <v>722</v>
      </c>
      <c r="I420" s="521">
        <f>continental!I41</f>
        <v>0</v>
      </c>
      <c r="J420" s="450"/>
      <c r="K420" s="450"/>
      <c r="L420" s="450"/>
      <c r="M420" s="451"/>
      <c r="N420" s="451"/>
      <c r="O420" s="451"/>
      <c r="P420" s="451"/>
      <c r="Q420" s="451"/>
      <c r="R420" s="158"/>
    </row>
    <row r="421" spans="1:18" ht="12.75" customHeight="1" x14ac:dyDescent="0.3">
      <c r="A421" s="36"/>
      <c r="B421" s="29"/>
      <c r="C421" s="36" t="s">
        <v>888</v>
      </c>
      <c r="D421" s="95"/>
      <c r="E421" s="95"/>
      <c r="F421" s="29"/>
      <c r="G421" s="94" t="s">
        <v>42</v>
      </c>
      <c r="H421" s="29" t="s">
        <v>722</v>
      </c>
      <c r="I421" s="521">
        <f>continental!I42</f>
        <v>0</v>
      </c>
      <c r="J421" s="450"/>
      <c r="K421" s="450"/>
      <c r="L421" s="450"/>
      <c r="M421" s="451"/>
      <c r="N421" s="451"/>
      <c r="O421" s="451"/>
      <c r="P421" s="451"/>
      <c r="Q421" s="451"/>
      <c r="R421" s="158"/>
    </row>
    <row r="422" spans="1:18" ht="12.75" customHeight="1" x14ac:dyDescent="0.3">
      <c r="A422" s="92"/>
      <c r="B422" s="92"/>
      <c r="C422" s="92"/>
      <c r="D422" s="92"/>
      <c r="E422" s="92"/>
      <c r="F422" s="92"/>
      <c r="G422" s="93"/>
      <c r="H422" s="133"/>
      <c r="I422" s="523"/>
      <c r="J422" s="458"/>
      <c r="K422" s="458"/>
      <c r="L422" s="458"/>
      <c r="M422" s="459"/>
      <c r="N422" s="459"/>
      <c r="O422" s="459"/>
      <c r="P422" s="459"/>
      <c r="Q422" s="459"/>
      <c r="R422" s="158"/>
    </row>
    <row r="423" spans="1:18" ht="12.75" customHeight="1" x14ac:dyDescent="0.3">
      <c r="A423" s="36" t="s">
        <v>84</v>
      </c>
      <c r="B423" s="29"/>
      <c r="C423" s="29"/>
      <c r="D423" s="29"/>
      <c r="E423" s="29"/>
      <c r="F423" s="29"/>
      <c r="G423" s="36" t="s">
        <v>260</v>
      </c>
      <c r="H423" s="36" t="s">
        <v>2307</v>
      </c>
      <c r="I423" s="521">
        <f>continental!I44</f>
        <v>0</v>
      </c>
      <c r="J423" s="450"/>
      <c r="K423" s="450"/>
      <c r="L423" s="450"/>
      <c r="M423" s="451"/>
      <c r="N423" s="451"/>
      <c r="O423" s="451"/>
      <c r="P423" s="451"/>
      <c r="Q423" s="451"/>
      <c r="R423" s="158"/>
    </row>
    <row r="424" spans="1:18" ht="12.75" customHeight="1" x14ac:dyDescent="0.3">
      <c r="A424" s="36" t="s">
        <v>83</v>
      </c>
      <c r="B424" s="29"/>
      <c r="C424" s="29"/>
      <c r="D424" s="29"/>
      <c r="E424" s="29"/>
      <c r="F424" s="29"/>
      <c r="G424" s="36" t="s">
        <v>259</v>
      </c>
      <c r="H424" s="36" t="s">
        <v>2307</v>
      </c>
      <c r="I424" s="521">
        <f>continental!I45</f>
        <v>0</v>
      </c>
      <c r="J424" s="450"/>
      <c r="K424" s="450"/>
      <c r="L424" s="450"/>
      <c r="M424" s="451"/>
      <c r="N424" s="451"/>
      <c r="O424" s="451"/>
      <c r="P424" s="451"/>
      <c r="Q424" s="451"/>
      <c r="R424" s="158"/>
    </row>
    <row r="425" spans="1:18" ht="12.75" customHeight="1" x14ac:dyDescent="0.3">
      <c r="A425" s="36"/>
      <c r="B425" s="36" t="s">
        <v>1290</v>
      </c>
      <c r="C425" s="29"/>
      <c r="D425" s="29"/>
      <c r="E425" s="29"/>
      <c r="F425" s="29"/>
      <c r="G425" s="37" t="s">
        <v>786</v>
      </c>
      <c r="H425" s="29" t="s">
        <v>723</v>
      </c>
      <c r="I425" s="521">
        <f>continental!I46</f>
        <v>0</v>
      </c>
      <c r="J425" s="450"/>
      <c r="K425" s="450"/>
      <c r="L425" s="450"/>
      <c r="M425" s="451"/>
      <c r="N425" s="451"/>
      <c r="O425" s="451"/>
      <c r="P425" s="451"/>
      <c r="Q425" s="451"/>
      <c r="R425" s="158"/>
    </row>
    <row r="426" spans="1:18" ht="12.75" customHeight="1" x14ac:dyDescent="0.3">
      <c r="A426" s="92"/>
      <c r="B426" s="92"/>
      <c r="C426" s="92"/>
      <c r="D426" s="92"/>
      <c r="E426" s="92"/>
      <c r="F426" s="92"/>
      <c r="G426" s="93"/>
      <c r="H426" s="133"/>
      <c r="I426" s="523"/>
      <c r="J426" s="458"/>
      <c r="K426" s="458"/>
      <c r="L426" s="458"/>
      <c r="M426" s="459"/>
      <c r="N426" s="459"/>
      <c r="O426" s="459"/>
      <c r="P426" s="459"/>
      <c r="Q426" s="459"/>
      <c r="R426" s="158"/>
    </row>
    <row r="427" spans="1:18" ht="12.75" customHeight="1" x14ac:dyDescent="0.3">
      <c r="A427" s="36" t="s">
        <v>339</v>
      </c>
      <c r="B427" s="29"/>
      <c r="C427" s="29"/>
      <c r="D427" s="29"/>
      <c r="E427" s="29"/>
      <c r="F427" s="29"/>
      <c r="G427" s="36" t="s">
        <v>330</v>
      </c>
      <c r="H427" s="36" t="s">
        <v>2307</v>
      </c>
      <c r="I427" s="521">
        <f>continental!I48</f>
        <v>0</v>
      </c>
      <c r="J427" s="450"/>
      <c r="K427" s="450"/>
      <c r="L427" s="450"/>
      <c r="M427" s="451"/>
      <c r="N427" s="451"/>
      <c r="O427" s="451"/>
      <c r="P427" s="451"/>
      <c r="Q427" s="451"/>
      <c r="R427" s="158"/>
    </row>
    <row r="428" spans="1:18" ht="12.75" customHeight="1" x14ac:dyDescent="0.3">
      <c r="A428" s="36" t="s">
        <v>340</v>
      </c>
      <c r="B428" s="29"/>
      <c r="C428" s="29"/>
      <c r="D428" s="29"/>
      <c r="E428" s="29"/>
      <c r="F428" s="29"/>
      <c r="G428" s="36" t="s">
        <v>331</v>
      </c>
      <c r="H428" s="36" t="s">
        <v>2307</v>
      </c>
      <c r="I428" s="521">
        <f>continental!I49</f>
        <v>0</v>
      </c>
      <c r="J428" s="450"/>
      <c r="K428" s="450"/>
      <c r="L428" s="450"/>
      <c r="M428" s="451"/>
      <c r="N428" s="451"/>
      <c r="O428" s="451"/>
      <c r="P428" s="451"/>
      <c r="Q428" s="451"/>
      <c r="R428" s="158"/>
    </row>
    <row r="429" spans="1:18" ht="12.75" customHeight="1" x14ac:dyDescent="0.3">
      <c r="A429" s="36" t="s">
        <v>341</v>
      </c>
      <c r="B429" s="29"/>
      <c r="C429" s="29"/>
      <c r="D429" s="29"/>
      <c r="E429" s="29"/>
      <c r="F429" s="29"/>
      <c r="G429" s="36" t="s">
        <v>332</v>
      </c>
      <c r="H429" s="36" t="s">
        <v>2307</v>
      </c>
      <c r="I429" s="521">
        <f>continental!I50</f>
        <v>0</v>
      </c>
      <c r="J429" s="450"/>
      <c r="K429" s="450"/>
      <c r="L429" s="450"/>
      <c r="M429" s="451"/>
      <c r="N429" s="451"/>
      <c r="O429" s="451"/>
      <c r="P429" s="451"/>
      <c r="Q429" s="451"/>
      <c r="R429" s="158"/>
    </row>
    <row r="430" spans="1:18" ht="12.75" customHeight="1" x14ac:dyDescent="0.3">
      <c r="A430" s="36" t="s">
        <v>85</v>
      </c>
      <c r="B430" s="29"/>
      <c r="C430" s="29"/>
      <c r="D430" s="29"/>
      <c r="E430" s="29"/>
      <c r="F430" s="29"/>
      <c r="G430" s="36" t="s">
        <v>261</v>
      </c>
      <c r="H430" s="36" t="s">
        <v>2307</v>
      </c>
      <c r="I430" s="521">
        <f>continental!I51</f>
        <v>0</v>
      </c>
      <c r="J430" s="450"/>
      <c r="K430" s="450">
        <v>0</v>
      </c>
      <c r="L430" s="450"/>
      <c r="M430" s="451"/>
      <c r="N430" s="451"/>
      <c r="O430" s="451"/>
      <c r="P430" s="451"/>
      <c r="Q430" s="451"/>
      <c r="R430" s="158"/>
    </row>
    <row r="431" spans="1:18" ht="12.75" customHeight="1" x14ac:dyDescent="0.3">
      <c r="A431" s="36" t="s">
        <v>86</v>
      </c>
      <c r="B431" s="29"/>
      <c r="C431" s="29"/>
      <c r="D431" s="29"/>
      <c r="E431" s="29"/>
      <c r="F431" s="29"/>
      <c r="G431" s="36" t="s">
        <v>262</v>
      </c>
      <c r="H431" s="36" t="s">
        <v>2307</v>
      </c>
      <c r="I431" s="521">
        <f>continental!I52</f>
        <v>0</v>
      </c>
      <c r="J431" s="450"/>
      <c r="K431" s="450"/>
      <c r="L431" s="450"/>
      <c r="M431" s="451"/>
      <c r="N431" s="451"/>
      <c r="O431" s="451"/>
      <c r="P431" s="451"/>
      <c r="Q431" s="451"/>
      <c r="R431" s="158"/>
    </row>
    <row r="432" spans="1:18" ht="12.75" customHeight="1" x14ac:dyDescent="0.3">
      <c r="A432" s="36"/>
      <c r="B432" s="36" t="s">
        <v>336</v>
      </c>
      <c r="C432" s="29"/>
      <c r="D432" s="29"/>
      <c r="E432" s="95"/>
      <c r="F432" s="95"/>
      <c r="G432" s="94" t="s">
        <v>333</v>
      </c>
      <c r="H432" s="36" t="s">
        <v>2316</v>
      </c>
      <c r="I432" s="521">
        <f>continental!I53</f>
        <v>0</v>
      </c>
      <c r="J432" s="450"/>
      <c r="K432" s="450"/>
      <c r="L432" s="450"/>
      <c r="M432" s="451"/>
      <c r="N432" s="451"/>
      <c r="O432" s="451"/>
      <c r="P432" s="451"/>
      <c r="Q432" s="451"/>
      <c r="R432" s="158"/>
    </row>
    <row r="433" spans="1:18" ht="12.75" customHeight="1" x14ac:dyDescent="0.3">
      <c r="A433" s="36"/>
      <c r="B433" s="36" t="s">
        <v>337</v>
      </c>
      <c r="C433" s="29"/>
      <c r="D433" s="29"/>
      <c r="E433" s="95"/>
      <c r="F433" s="95"/>
      <c r="G433" s="94" t="s">
        <v>334</v>
      </c>
      <c r="H433" s="36" t="s">
        <v>2316</v>
      </c>
      <c r="I433" s="521">
        <f>continental!I54</f>
        <v>0</v>
      </c>
      <c r="J433" s="450"/>
      <c r="K433" s="450"/>
      <c r="L433" s="450"/>
      <c r="M433" s="451"/>
      <c r="N433" s="451"/>
      <c r="O433" s="451"/>
      <c r="P433" s="451"/>
      <c r="Q433" s="451"/>
      <c r="R433" s="158"/>
    </row>
    <row r="434" spans="1:18" ht="12.75" customHeight="1" x14ac:dyDescent="0.3">
      <c r="A434" s="36"/>
      <c r="B434" s="36" t="s">
        <v>338</v>
      </c>
      <c r="C434" s="29"/>
      <c r="D434" s="29"/>
      <c r="E434" s="95"/>
      <c r="F434" s="95"/>
      <c r="G434" s="94" t="s">
        <v>335</v>
      </c>
      <c r="H434" s="36" t="s">
        <v>2316</v>
      </c>
      <c r="I434" s="521">
        <f>continental!I55</f>
        <v>0</v>
      </c>
      <c r="J434" s="450"/>
      <c r="K434" s="450"/>
      <c r="L434" s="450"/>
      <c r="M434" s="451"/>
      <c r="N434" s="451"/>
      <c r="O434" s="451"/>
      <c r="P434" s="451"/>
      <c r="Q434" s="451"/>
      <c r="R434" s="158"/>
    </row>
    <row r="435" spans="1:18" ht="12.75" customHeight="1" x14ac:dyDescent="0.3">
      <c r="A435" s="36"/>
      <c r="B435" s="36" t="s">
        <v>1425</v>
      </c>
      <c r="C435" s="29"/>
      <c r="D435" s="29"/>
      <c r="E435" s="95"/>
      <c r="F435" s="95"/>
      <c r="G435" s="94" t="s">
        <v>1</v>
      </c>
      <c r="H435" s="29" t="s">
        <v>2316</v>
      </c>
      <c r="I435" s="521">
        <f>continental!I56</f>
        <v>0</v>
      </c>
      <c r="J435" s="450"/>
      <c r="K435" s="450"/>
      <c r="L435" s="450"/>
      <c r="M435" s="451"/>
      <c r="N435" s="451"/>
      <c r="O435" s="451"/>
      <c r="P435" s="451"/>
      <c r="Q435" s="451"/>
      <c r="R435" s="158"/>
    </row>
    <row r="436" spans="1:18" ht="12.75" customHeight="1" x14ac:dyDescent="0.3">
      <c r="A436" s="36"/>
      <c r="B436" s="36" t="s">
        <v>1426</v>
      </c>
      <c r="C436" s="29"/>
      <c r="D436" s="29"/>
      <c r="E436" s="95"/>
      <c r="F436" s="95"/>
      <c r="G436" s="94" t="s">
        <v>788</v>
      </c>
      <c r="H436" s="29" t="s">
        <v>2316</v>
      </c>
      <c r="I436" s="521">
        <f>continental!I57</f>
        <v>0</v>
      </c>
      <c r="J436" s="450"/>
      <c r="K436" s="450"/>
      <c r="L436" s="450"/>
      <c r="M436" s="451"/>
      <c r="N436" s="451"/>
      <c r="O436" s="451"/>
      <c r="P436" s="451"/>
      <c r="Q436" s="451"/>
      <c r="R436" s="158"/>
    </row>
    <row r="437" spans="1:18" ht="12.75" customHeight="1" x14ac:dyDescent="0.3">
      <c r="A437" s="36" t="s">
        <v>87</v>
      </c>
      <c r="B437" s="29"/>
      <c r="C437" s="29"/>
      <c r="D437" s="29"/>
      <c r="E437" s="29"/>
      <c r="F437" s="29"/>
      <c r="G437" s="36" t="s">
        <v>263</v>
      </c>
      <c r="H437" s="36" t="s">
        <v>2307</v>
      </c>
      <c r="I437" s="521">
        <f>continental!I58</f>
        <v>0</v>
      </c>
      <c r="J437" s="450"/>
      <c r="K437" s="450">
        <v>0</v>
      </c>
      <c r="L437" s="450"/>
      <c r="M437" s="451"/>
      <c r="N437" s="451"/>
      <c r="O437" s="451"/>
      <c r="P437" s="451"/>
      <c r="Q437" s="451"/>
      <c r="R437" s="158"/>
    </row>
    <row r="438" spans="1:18" ht="12.75" customHeight="1" x14ac:dyDescent="0.3">
      <c r="A438" s="36" t="s">
        <v>88</v>
      </c>
      <c r="B438" s="29"/>
      <c r="C438" s="29"/>
      <c r="D438" s="29"/>
      <c r="E438" s="29"/>
      <c r="F438" s="29"/>
      <c r="G438" s="36" t="s">
        <v>1256</v>
      </c>
      <c r="H438" s="36" t="s">
        <v>2307</v>
      </c>
      <c r="I438" s="521">
        <f>continental!I59</f>
        <v>0</v>
      </c>
      <c r="J438" s="450"/>
      <c r="K438" s="450"/>
      <c r="L438" s="450"/>
      <c r="M438" s="451"/>
      <c r="N438" s="451"/>
      <c r="O438" s="451"/>
      <c r="P438" s="451"/>
      <c r="Q438" s="451"/>
      <c r="R438" s="158"/>
    </row>
    <row r="439" spans="1:18" ht="12.75" customHeight="1" x14ac:dyDescent="0.3">
      <c r="A439" s="36"/>
      <c r="B439" s="36" t="s">
        <v>1428</v>
      </c>
      <c r="C439" s="29"/>
      <c r="D439" s="29"/>
      <c r="E439" s="29"/>
      <c r="F439" s="29"/>
      <c r="G439" s="94" t="s">
        <v>2</v>
      </c>
      <c r="H439" s="29" t="s">
        <v>2316</v>
      </c>
      <c r="I439" s="521">
        <f>continental!I60</f>
        <v>0</v>
      </c>
      <c r="J439" s="450"/>
      <c r="K439" s="450">
        <v>0</v>
      </c>
      <c r="L439" s="450"/>
      <c r="M439" s="451"/>
      <c r="N439" s="451"/>
      <c r="O439" s="451"/>
      <c r="P439" s="451"/>
      <c r="Q439" s="451"/>
      <c r="R439" s="158"/>
    </row>
    <row r="440" spans="1:18" ht="12.75" customHeight="1" x14ac:dyDescent="0.3">
      <c r="A440" s="36"/>
      <c r="B440" s="36" t="s">
        <v>1429</v>
      </c>
      <c r="C440" s="29"/>
      <c r="D440" s="29"/>
      <c r="E440" s="95"/>
      <c r="F440" s="95"/>
      <c r="G440" s="94" t="s">
        <v>151</v>
      </c>
      <c r="H440" s="29" t="s">
        <v>2316</v>
      </c>
      <c r="I440" s="521">
        <f>continental!I61</f>
        <v>0</v>
      </c>
      <c r="J440" s="450"/>
      <c r="K440" s="450"/>
      <c r="L440" s="450"/>
      <c r="M440" s="451"/>
      <c r="N440" s="451"/>
      <c r="O440" s="451"/>
      <c r="P440" s="451"/>
      <c r="Q440" s="451"/>
      <c r="R440" s="158"/>
    </row>
    <row r="441" spans="1:18" ht="12.75" customHeight="1" x14ac:dyDescent="0.3">
      <c r="A441" s="36"/>
      <c r="B441" s="36"/>
      <c r="C441" s="36" t="s">
        <v>1427</v>
      </c>
      <c r="D441" s="29"/>
      <c r="E441" s="29"/>
      <c r="F441" s="29"/>
      <c r="G441" s="37" t="s">
        <v>6</v>
      </c>
      <c r="H441" s="36" t="s">
        <v>723</v>
      </c>
      <c r="I441" s="521">
        <f>continental!I62</f>
        <v>0</v>
      </c>
      <c r="J441" s="450"/>
      <c r="K441" s="450"/>
      <c r="L441" s="450"/>
      <c r="M441" s="451"/>
      <c r="N441" s="451"/>
      <c r="O441" s="451"/>
      <c r="P441" s="451"/>
      <c r="Q441" s="451"/>
      <c r="R441" s="158"/>
    </row>
    <row r="442" spans="1:18" ht="12.75" customHeight="1" x14ac:dyDescent="0.3">
      <c r="A442" s="29"/>
      <c r="B442" s="29"/>
      <c r="C442" s="29"/>
      <c r="D442" s="29"/>
      <c r="E442" s="29"/>
      <c r="F442" s="29"/>
      <c r="G442" s="29"/>
      <c r="H442" s="29"/>
      <c r="I442" s="456"/>
      <c r="J442" s="339"/>
      <c r="K442" s="339"/>
      <c r="L442" s="339"/>
      <c r="M442" s="282"/>
      <c r="N442" s="282"/>
      <c r="O442" s="282"/>
      <c r="P442" s="282"/>
      <c r="Q442" s="282"/>
      <c r="R442" s="158"/>
    </row>
    <row r="443" spans="1:18" ht="12.75" customHeight="1" x14ac:dyDescent="0.3">
      <c r="A443" s="98" t="s">
        <v>209</v>
      </c>
      <c r="B443" s="97"/>
      <c r="C443" s="97"/>
      <c r="D443" s="97"/>
      <c r="E443" s="97"/>
      <c r="F443" s="97"/>
      <c r="G443" s="97"/>
      <c r="H443" s="97"/>
      <c r="I443" s="340" t="s">
        <v>754</v>
      </c>
      <c r="J443" s="364"/>
      <c r="K443" s="364"/>
      <c r="L443" s="364"/>
      <c r="M443" s="469"/>
      <c r="N443" s="469"/>
      <c r="O443" s="469"/>
      <c r="P443" s="469"/>
      <c r="Q443" s="469"/>
      <c r="R443" s="158"/>
    </row>
    <row r="444" spans="1:18" ht="12.75" customHeight="1" x14ac:dyDescent="0.3">
      <c r="A444" s="135"/>
      <c r="B444" s="629"/>
      <c r="C444" s="630"/>
      <c r="D444" s="630"/>
      <c r="E444" s="135"/>
      <c r="F444" s="135"/>
      <c r="G444" s="135"/>
      <c r="H444" s="135"/>
      <c r="I444" s="342"/>
      <c r="J444" s="321"/>
      <c r="K444" s="321"/>
      <c r="L444" s="321"/>
      <c r="M444" s="323"/>
      <c r="N444" s="323"/>
      <c r="O444" s="323"/>
      <c r="P444" s="323"/>
      <c r="Q444" s="323"/>
      <c r="R444" s="158"/>
    </row>
    <row r="445" spans="1:18" ht="12.75" customHeight="1" x14ac:dyDescent="0.3">
      <c r="A445" s="5"/>
      <c r="B445" s="36" t="s">
        <v>623</v>
      </c>
      <c r="C445" s="36"/>
      <c r="D445" s="36"/>
      <c r="E445" s="36"/>
      <c r="F445" s="36"/>
      <c r="G445" s="36" t="s">
        <v>3985</v>
      </c>
      <c r="H445" s="36" t="s">
        <v>36</v>
      </c>
      <c r="I445" s="521">
        <f>continental!I66</f>
        <v>0</v>
      </c>
      <c r="J445" s="450"/>
      <c r="K445" s="450"/>
      <c r="L445" s="450">
        <f t="shared" ref="L445:P445" si="6">1-(0.0000258)/(IF(Tm&gt;298,EXP(-6.79*(1-Tm/298))*Pvap25*EXP((H0vap/8.314)*(1/298-1/TEMP.C)),Pvap25*EXP((H0vap/8.314)*(1/298-1/TEMP.C)))+(0.0000258))</f>
        <v>0.99999985795049728</v>
      </c>
      <c r="M445" s="451">
        <f t="shared" si="6"/>
        <v>0.99999985795049728</v>
      </c>
      <c r="N445" s="451">
        <f t="shared" si="6"/>
        <v>0.99999985795049728</v>
      </c>
      <c r="O445" s="451">
        <f t="shared" si="6"/>
        <v>0.99999985795049728</v>
      </c>
      <c r="P445" s="451">
        <f t="shared" si="6"/>
        <v>0.99999985795049728</v>
      </c>
      <c r="Q445" s="451"/>
      <c r="R445" s="158"/>
    </row>
    <row r="446" spans="1:18" ht="12.75" customHeight="1" x14ac:dyDescent="0.3">
      <c r="A446" s="29"/>
      <c r="B446" s="29" t="s">
        <v>615</v>
      </c>
      <c r="C446" s="29"/>
      <c r="D446" s="29"/>
      <c r="E446" s="29"/>
      <c r="F446" s="29"/>
      <c r="G446" s="29" t="s">
        <v>624</v>
      </c>
      <c r="H446" s="29" t="s">
        <v>36</v>
      </c>
      <c r="I446" s="521">
        <f>continental!I67</f>
        <v>0</v>
      </c>
      <c r="J446" s="450"/>
      <c r="K446" s="450"/>
      <c r="L446" s="450"/>
      <c r="M446" s="451"/>
      <c r="N446" s="451"/>
      <c r="O446" s="451"/>
      <c r="P446" s="451"/>
      <c r="Q446" s="451"/>
      <c r="R446" s="158"/>
    </row>
    <row r="447" spans="1:18" ht="12.75" customHeight="1" x14ac:dyDescent="0.3">
      <c r="A447" s="29"/>
      <c r="B447" s="29" t="s">
        <v>616</v>
      </c>
      <c r="C447" s="29"/>
      <c r="D447" s="29"/>
      <c r="E447" s="29"/>
      <c r="F447" s="29"/>
      <c r="G447" s="29" t="s">
        <v>625</v>
      </c>
      <c r="H447" s="29" t="s">
        <v>36</v>
      </c>
      <c r="I447" s="521">
        <f>continental!I68</f>
        <v>0</v>
      </c>
      <c r="J447" s="450"/>
      <c r="K447" s="450"/>
      <c r="L447" s="450">
        <f t="shared" ref="L447:P447" si="7">(0.0000258)/(IF(Tm&gt;298,EXP(-6.79*(1-Tm/298))*Pvap25*EXP((H0vap/8.314)*(1/298-1/TEMP.C)),Pvap25*EXP((H0vap/8.314)*(1/298-1/TEMP.C)))+(0.0000258))</f>
        <v>1.4204950266496848E-7</v>
      </c>
      <c r="M447" s="451">
        <f t="shared" si="7"/>
        <v>1.4204950266496848E-7</v>
      </c>
      <c r="N447" s="451">
        <f t="shared" si="7"/>
        <v>1.4204950266496848E-7</v>
      </c>
      <c r="O447" s="451">
        <f t="shared" si="7"/>
        <v>1.4204950266496848E-7</v>
      </c>
      <c r="P447" s="451">
        <f t="shared" si="7"/>
        <v>1.4204950266496848E-7</v>
      </c>
      <c r="Q447" s="451"/>
      <c r="R447" s="158"/>
    </row>
    <row r="448" spans="1:18" ht="12.75" customHeight="1" x14ac:dyDescent="0.3">
      <c r="A448" s="29"/>
      <c r="B448" s="29"/>
      <c r="C448" s="36" t="s">
        <v>1043</v>
      </c>
      <c r="D448" s="36"/>
      <c r="E448" s="36"/>
      <c r="F448" s="36"/>
      <c r="G448" s="36" t="s">
        <v>3986</v>
      </c>
      <c r="H448" s="36" t="s">
        <v>36</v>
      </c>
      <c r="I448" s="521">
        <f>continental!I69</f>
        <v>0</v>
      </c>
      <c r="J448" s="450"/>
      <c r="K448" s="450"/>
      <c r="L448" s="450"/>
      <c r="M448" s="451"/>
      <c r="N448" s="451"/>
      <c r="O448" s="451"/>
      <c r="P448" s="451"/>
      <c r="Q448" s="451"/>
      <c r="R448" s="158"/>
    </row>
    <row r="449" spans="1:18" ht="12.75" customHeight="1" x14ac:dyDescent="0.35">
      <c r="A449" s="29"/>
      <c r="B449" s="29"/>
      <c r="C449" s="29" t="s">
        <v>612</v>
      </c>
      <c r="D449" s="29"/>
      <c r="E449" s="29"/>
      <c r="F449" s="29"/>
      <c r="G449" s="29" t="s">
        <v>627</v>
      </c>
      <c r="H449" s="29" t="s">
        <v>2318</v>
      </c>
      <c r="I449" s="521">
        <f>continental!I70</f>
        <v>0</v>
      </c>
      <c r="J449" s="450"/>
      <c r="K449" s="450"/>
      <c r="L449" s="450"/>
      <c r="M449" s="451"/>
      <c r="N449" s="451"/>
      <c r="O449" s="451"/>
      <c r="P449" s="451"/>
      <c r="Q449" s="451"/>
      <c r="R449" s="158"/>
    </row>
    <row r="450" spans="1:18" ht="12.75" customHeight="1" x14ac:dyDescent="0.35">
      <c r="A450" s="29"/>
      <c r="B450" s="29"/>
      <c r="C450" s="29" t="s">
        <v>613</v>
      </c>
      <c r="D450" s="29"/>
      <c r="E450" s="29"/>
      <c r="F450" s="29"/>
      <c r="G450" s="29" t="s">
        <v>628</v>
      </c>
      <c r="H450" s="29" t="s">
        <v>2319</v>
      </c>
      <c r="I450" s="521">
        <f>continental!I71</f>
        <v>0</v>
      </c>
      <c r="J450" s="450"/>
      <c r="K450" s="450"/>
      <c r="L450" s="450"/>
      <c r="M450" s="451"/>
      <c r="N450" s="451"/>
      <c r="O450" s="451"/>
      <c r="P450" s="451"/>
      <c r="Q450" s="451"/>
      <c r="R450" s="158"/>
    </row>
    <row r="451" spans="1:18" ht="12.75" customHeight="1" x14ac:dyDescent="0.3">
      <c r="A451" s="36"/>
      <c r="B451" s="36" t="s">
        <v>291</v>
      </c>
      <c r="C451" s="95"/>
      <c r="D451" s="29"/>
      <c r="E451" s="29"/>
      <c r="F451" s="29"/>
      <c r="G451" s="94" t="s">
        <v>342</v>
      </c>
      <c r="H451" s="36" t="s">
        <v>36</v>
      </c>
      <c r="I451" s="521">
        <f>continental!I72</f>
        <v>0</v>
      </c>
      <c r="J451" s="450"/>
      <c r="K451" s="450"/>
      <c r="L451" s="450">
        <f t="shared" ref="L451:P451" si="8">1/(1+Kp.susp0C*SUSP.w0C/1000+0.05*Kow*0.001/1000)</f>
        <v>0.99982405406624308</v>
      </c>
      <c r="M451" s="451">
        <f t="shared" si="8"/>
        <v>0.99982405406624308</v>
      </c>
      <c r="N451" s="451">
        <f t="shared" si="8"/>
        <v>0.99982405406624308</v>
      </c>
      <c r="O451" s="451">
        <f t="shared" si="8"/>
        <v>0.99982405406624308</v>
      </c>
      <c r="P451" s="451">
        <f t="shared" si="8"/>
        <v>0.99982405406624308</v>
      </c>
      <c r="Q451" s="451"/>
      <c r="R451" s="158"/>
    </row>
    <row r="452" spans="1:18" ht="12.75" customHeight="1" x14ac:dyDescent="0.3">
      <c r="A452" s="36"/>
      <c r="B452" s="29"/>
      <c r="C452" s="36" t="s">
        <v>706</v>
      </c>
      <c r="D452" s="29"/>
      <c r="E452" s="29"/>
      <c r="F452" s="29"/>
      <c r="G452" s="94" t="s">
        <v>343</v>
      </c>
      <c r="H452" s="36" t="s">
        <v>2320</v>
      </c>
      <c r="I452" s="521">
        <f>continental!I73</f>
        <v>0</v>
      </c>
      <c r="J452" s="450"/>
      <c r="K452" s="450"/>
      <c r="L452" s="450"/>
      <c r="M452" s="451"/>
      <c r="N452" s="451"/>
      <c r="O452" s="451"/>
      <c r="P452" s="451"/>
      <c r="Q452" s="451"/>
      <c r="R452" s="158"/>
    </row>
    <row r="453" spans="1:18" ht="12.75" customHeight="1" x14ac:dyDescent="0.3">
      <c r="A453" s="36"/>
      <c r="B453" s="29"/>
      <c r="C453" s="36" t="s">
        <v>1098</v>
      </c>
      <c r="D453" s="29"/>
      <c r="E453" s="29"/>
      <c r="F453" s="29"/>
      <c r="G453" s="94" t="s">
        <v>344</v>
      </c>
      <c r="H453" s="36" t="s">
        <v>36</v>
      </c>
      <c r="I453" s="521">
        <f>continental!I74</f>
        <v>0</v>
      </c>
      <c r="J453" s="450"/>
      <c r="K453" s="450"/>
      <c r="L453" s="450"/>
      <c r="M453" s="451"/>
      <c r="N453" s="451"/>
      <c r="O453" s="451"/>
      <c r="P453" s="451"/>
      <c r="Q453" s="451"/>
      <c r="R453" s="158"/>
    </row>
    <row r="454" spans="1:18" ht="12.75" customHeight="1" x14ac:dyDescent="0.3">
      <c r="A454" s="36"/>
      <c r="B454" s="29"/>
      <c r="C454" s="36" t="s">
        <v>707</v>
      </c>
      <c r="D454" s="29"/>
      <c r="E454" s="29"/>
      <c r="F454" s="29"/>
      <c r="G454" s="94" t="s">
        <v>345</v>
      </c>
      <c r="H454" s="36" t="s">
        <v>2305</v>
      </c>
      <c r="I454" s="521">
        <f>continental!I75</f>
        <v>0</v>
      </c>
      <c r="J454" s="450"/>
      <c r="K454" s="450"/>
      <c r="L454" s="450"/>
      <c r="M454" s="451"/>
      <c r="N454" s="451"/>
      <c r="O454" s="451"/>
      <c r="P454" s="451"/>
      <c r="Q454" s="451"/>
      <c r="R454" s="158"/>
    </row>
    <row r="455" spans="1:18" ht="12.75" customHeight="1" x14ac:dyDescent="0.3">
      <c r="A455" s="36"/>
      <c r="B455" s="29"/>
      <c r="C455" s="36" t="s">
        <v>549</v>
      </c>
      <c r="D455" s="29"/>
      <c r="E455" s="29"/>
      <c r="F455" s="29"/>
      <c r="G455" s="94" t="s">
        <v>346</v>
      </c>
      <c r="H455" s="36" t="s">
        <v>1039</v>
      </c>
      <c r="I455" s="521">
        <f>continental!I76</f>
        <v>0</v>
      </c>
      <c r="J455" s="450"/>
      <c r="K455" s="450"/>
      <c r="L455" s="450"/>
      <c r="M455" s="451"/>
      <c r="N455" s="451"/>
      <c r="O455" s="451"/>
      <c r="P455" s="451"/>
      <c r="Q455" s="451"/>
      <c r="R455" s="158"/>
    </row>
    <row r="456" spans="1:18" ht="12.75" customHeight="1" x14ac:dyDescent="0.3">
      <c r="A456" s="36"/>
      <c r="B456" s="29"/>
      <c r="C456" s="36" t="s">
        <v>551</v>
      </c>
      <c r="D456" s="29"/>
      <c r="E456" s="29"/>
      <c r="F456" s="29"/>
      <c r="G456" s="94" t="s">
        <v>347</v>
      </c>
      <c r="H456" s="36" t="s">
        <v>1038</v>
      </c>
      <c r="I456" s="521">
        <f>continental!I77</f>
        <v>0</v>
      </c>
      <c r="J456" s="450"/>
      <c r="K456" s="450"/>
      <c r="L456" s="450"/>
      <c r="M456" s="451"/>
      <c r="N456" s="451"/>
      <c r="O456" s="451"/>
      <c r="P456" s="451"/>
      <c r="Q456" s="451"/>
      <c r="R456" s="158"/>
    </row>
    <row r="457" spans="1:18" ht="12.75" customHeight="1" x14ac:dyDescent="0.3">
      <c r="A457" s="36"/>
      <c r="B457" s="36" t="s">
        <v>3972</v>
      </c>
      <c r="C457" s="95"/>
      <c r="D457" s="29"/>
      <c r="E457" s="29"/>
      <c r="F457" s="29"/>
      <c r="G457" s="94" t="s">
        <v>572</v>
      </c>
      <c r="H457" s="36" t="s">
        <v>36</v>
      </c>
      <c r="I457" s="521">
        <f>continental!I78</f>
        <v>0</v>
      </c>
      <c r="J457" s="450"/>
      <c r="K457" s="450"/>
      <c r="L457" s="450">
        <f t="shared" ref="L457:P457" si="9">1/(1+Kp.susp1C*SUSP.w1C/1000+0.05*Kow*0.001/1000)</f>
        <v>0.99870985972679982</v>
      </c>
      <c r="M457" s="451">
        <f t="shared" si="9"/>
        <v>0.99870985972679982</v>
      </c>
      <c r="N457" s="451">
        <f t="shared" si="9"/>
        <v>0.99870985972679982</v>
      </c>
      <c r="O457" s="451">
        <f t="shared" si="9"/>
        <v>0.99870985972679982</v>
      </c>
      <c r="P457" s="451">
        <f t="shared" si="9"/>
        <v>0.99870985972679982</v>
      </c>
      <c r="Q457" s="451"/>
      <c r="R457" s="158"/>
    </row>
    <row r="458" spans="1:18" ht="12.75" customHeight="1" x14ac:dyDescent="0.3">
      <c r="A458" s="36"/>
      <c r="B458" s="29"/>
      <c r="C458" s="36" t="s">
        <v>706</v>
      </c>
      <c r="D458" s="29"/>
      <c r="E458" s="29"/>
      <c r="F458" s="29"/>
      <c r="G458" s="94" t="s">
        <v>181</v>
      </c>
      <c r="H458" s="36" t="s">
        <v>1039</v>
      </c>
      <c r="I458" s="521">
        <f>continental!I79</f>
        <v>0</v>
      </c>
      <c r="J458" s="450"/>
      <c r="K458" s="450"/>
      <c r="L458" s="450"/>
      <c r="M458" s="451"/>
      <c r="N458" s="451"/>
      <c r="O458" s="451"/>
      <c r="P458" s="451"/>
      <c r="Q458" s="451"/>
      <c r="R458" s="158"/>
    </row>
    <row r="459" spans="1:18" ht="12.75" customHeight="1" x14ac:dyDescent="0.3">
      <c r="A459" s="36"/>
      <c r="B459" s="29"/>
      <c r="C459" s="36" t="s">
        <v>1098</v>
      </c>
      <c r="D459" s="29"/>
      <c r="E459" s="29"/>
      <c r="F459" s="29"/>
      <c r="G459" s="94" t="s">
        <v>1454</v>
      </c>
      <c r="H459" s="36" t="s">
        <v>36</v>
      </c>
      <c r="I459" s="521">
        <f>continental!I80</f>
        <v>0</v>
      </c>
      <c r="J459" s="450"/>
      <c r="K459" s="450"/>
      <c r="L459" s="450"/>
      <c r="M459" s="451"/>
      <c r="N459" s="451"/>
      <c r="O459" s="451"/>
      <c r="P459" s="451"/>
      <c r="Q459" s="451"/>
      <c r="R459" s="158"/>
    </row>
    <row r="460" spans="1:18" ht="12.75" customHeight="1" x14ac:dyDescent="0.3">
      <c r="A460" s="36"/>
      <c r="B460" s="29"/>
      <c r="C460" s="36" t="s">
        <v>707</v>
      </c>
      <c r="D460" s="29"/>
      <c r="E460" s="29"/>
      <c r="F460" s="29"/>
      <c r="G460" s="94" t="s">
        <v>1109</v>
      </c>
      <c r="H460" s="36" t="s">
        <v>1038</v>
      </c>
      <c r="I460" s="521">
        <f>continental!I81</f>
        <v>0</v>
      </c>
      <c r="J460" s="450"/>
      <c r="K460" s="450"/>
      <c r="L460" s="450"/>
      <c r="M460" s="451"/>
      <c r="N460" s="451"/>
      <c r="O460" s="451"/>
      <c r="P460" s="451"/>
      <c r="Q460" s="451"/>
      <c r="R460" s="158"/>
    </row>
    <row r="461" spans="1:18" ht="12.75" customHeight="1" x14ac:dyDescent="0.3">
      <c r="A461" s="36"/>
      <c r="B461" s="29"/>
      <c r="C461" s="36" t="s">
        <v>549</v>
      </c>
      <c r="D461" s="29"/>
      <c r="E461" s="29"/>
      <c r="F461" s="29"/>
      <c r="G461" s="94" t="s">
        <v>555</v>
      </c>
      <c r="H461" s="36" t="s">
        <v>1039</v>
      </c>
      <c r="I461" s="521">
        <f>continental!I82</f>
        <v>0</v>
      </c>
      <c r="J461" s="450"/>
      <c r="K461" s="450"/>
      <c r="L461" s="450"/>
      <c r="M461" s="451"/>
      <c r="N461" s="451"/>
      <c r="O461" s="451"/>
      <c r="P461" s="451"/>
      <c r="Q461" s="451"/>
      <c r="R461" s="158"/>
    </row>
    <row r="462" spans="1:18" ht="12.75" customHeight="1" x14ac:dyDescent="0.3">
      <c r="A462" s="36"/>
      <c r="B462" s="29"/>
      <c r="C462" s="36" t="s">
        <v>551</v>
      </c>
      <c r="D462" s="29"/>
      <c r="E462" s="29"/>
      <c r="F462" s="29"/>
      <c r="G462" s="94" t="s">
        <v>556</v>
      </c>
      <c r="H462" s="36" t="s">
        <v>1038</v>
      </c>
      <c r="I462" s="521">
        <f>continental!I83</f>
        <v>0</v>
      </c>
      <c r="J462" s="450"/>
      <c r="K462" s="450"/>
      <c r="L462" s="450"/>
      <c r="M462" s="451"/>
      <c r="N462" s="451"/>
      <c r="O462" s="451"/>
      <c r="P462" s="451"/>
      <c r="Q462" s="451"/>
      <c r="R462" s="158"/>
    </row>
    <row r="463" spans="1:18" ht="12.75" customHeight="1" x14ac:dyDescent="0.3">
      <c r="A463" s="36"/>
      <c r="B463" s="36" t="s">
        <v>3973</v>
      </c>
      <c r="C463" s="95"/>
      <c r="D463" s="29"/>
      <c r="E463" s="29"/>
      <c r="F463" s="29"/>
      <c r="G463" s="94" t="s">
        <v>573</v>
      </c>
      <c r="H463" s="36" t="s">
        <v>36</v>
      </c>
      <c r="I463" s="521">
        <f>continental!I84</f>
        <v>0</v>
      </c>
      <c r="J463" s="450"/>
      <c r="K463" s="450"/>
      <c r="L463" s="450">
        <f t="shared" ref="L463:P463" si="10">1/(1+Kp.susp2C*SUSP.w2C/1000+0.05*Kow*0.001/1000)</f>
        <v>0.99947800366072359</v>
      </c>
      <c r="M463" s="451">
        <f t="shared" si="10"/>
        <v>0.99947800366072359</v>
      </c>
      <c r="N463" s="451">
        <f t="shared" si="10"/>
        <v>0.99947800366072359</v>
      </c>
      <c r="O463" s="451">
        <f t="shared" si="10"/>
        <v>0.99947800366072359</v>
      </c>
      <c r="P463" s="451">
        <f t="shared" si="10"/>
        <v>0.99947800366072359</v>
      </c>
      <c r="Q463" s="451"/>
      <c r="R463" s="158"/>
    </row>
    <row r="464" spans="1:18" ht="12.75" customHeight="1" x14ac:dyDescent="0.3">
      <c r="A464" s="36"/>
      <c r="B464" s="29"/>
      <c r="C464" s="36" t="s">
        <v>706</v>
      </c>
      <c r="D464" s="29"/>
      <c r="E464" s="29"/>
      <c r="F464" s="29"/>
      <c r="G464" s="94" t="s">
        <v>183</v>
      </c>
      <c r="H464" s="36" t="s">
        <v>1039</v>
      </c>
      <c r="I464" s="521">
        <f>continental!I85</f>
        <v>0</v>
      </c>
      <c r="J464" s="450"/>
      <c r="K464" s="450"/>
      <c r="L464" s="450"/>
      <c r="M464" s="451"/>
      <c r="N464" s="451"/>
      <c r="O464" s="451"/>
      <c r="P464" s="451"/>
      <c r="Q464" s="451"/>
      <c r="R464" s="158"/>
    </row>
    <row r="465" spans="1:18" ht="12.75" customHeight="1" x14ac:dyDescent="0.3">
      <c r="A465" s="36"/>
      <c r="B465" s="29"/>
      <c r="C465" s="36" t="s">
        <v>1098</v>
      </c>
      <c r="D465" s="29"/>
      <c r="E465" s="29"/>
      <c r="F465" s="29"/>
      <c r="G465" s="94" t="s">
        <v>1455</v>
      </c>
      <c r="H465" s="36" t="s">
        <v>36</v>
      </c>
      <c r="I465" s="521">
        <f>continental!I86</f>
        <v>0</v>
      </c>
      <c r="J465" s="450"/>
      <c r="K465" s="450"/>
      <c r="L465" s="450"/>
      <c r="M465" s="451"/>
      <c r="N465" s="451"/>
      <c r="O465" s="451"/>
      <c r="P465" s="451"/>
      <c r="Q465" s="451"/>
      <c r="R465" s="158"/>
    </row>
    <row r="466" spans="1:18" ht="12.75" customHeight="1" x14ac:dyDescent="0.3">
      <c r="A466" s="36"/>
      <c r="B466" s="29"/>
      <c r="C466" s="36" t="s">
        <v>1504</v>
      </c>
      <c r="D466" s="29"/>
      <c r="E466" s="29"/>
      <c r="F466" s="29"/>
      <c r="G466" s="94" t="s">
        <v>1110</v>
      </c>
      <c r="H466" s="36" t="s">
        <v>1038</v>
      </c>
      <c r="I466" s="521">
        <f>continental!I87</f>
        <v>0</v>
      </c>
      <c r="J466" s="450"/>
      <c r="K466" s="450"/>
      <c r="L466" s="450"/>
      <c r="M466" s="451"/>
      <c r="N466" s="451"/>
      <c r="O466" s="451"/>
      <c r="P466" s="451"/>
      <c r="Q466" s="451"/>
      <c r="R466" s="158"/>
    </row>
    <row r="467" spans="1:18" ht="12.75" customHeight="1" x14ac:dyDescent="0.3">
      <c r="A467" s="36"/>
      <c r="B467" s="29"/>
      <c r="C467" s="36" t="s">
        <v>549</v>
      </c>
      <c r="D467" s="29"/>
      <c r="E467" s="29"/>
      <c r="F467" s="29"/>
      <c r="G467" s="94" t="s">
        <v>557</v>
      </c>
      <c r="H467" s="36" t="s">
        <v>1039</v>
      </c>
      <c r="I467" s="521">
        <f>continental!I88</f>
        <v>0</v>
      </c>
      <c r="J467" s="450"/>
      <c r="K467" s="450"/>
      <c r="L467" s="450"/>
      <c r="M467" s="451"/>
      <c r="N467" s="451"/>
      <c r="O467" s="451"/>
      <c r="P467" s="451"/>
      <c r="Q467" s="451"/>
      <c r="R467" s="158"/>
    </row>
    <row r="468" spans="1:18" ht="12.75" customHeight="1" x14ac:dyDescent="0.3">
      <c r="A468" s="36"/>
      <c r="B468" s="29"/>
      <c r="C468" s="36" t="s">
        <v>551</v>
      </c>
      <c r="D468" s="29"/>
      <c r="E468" s="29"/>
      <c r="F468" s="29"/>
      <c r="G468" s="94" t="s">
        <v>558</v>
      </c>
      <c r="H468" s="36" t="s">
        <v>1038</v>
      </c>
      <c r="I468" s="521">
        <f>continental!I89</f>
        <v>0</v>
      </c>
      <c r="J468" s="450"/>
      <c r="K468" s="450"/>
      <c r="L468" s="450"/>
      <c r="M468" s="451"/>
      <c r="N468" s="451"/>
      <c r="O468" s="451"/>
      <c r="P468" s="451"/>
      <c r="Q468" s="451"/>
      <c r="R468" s="158"/>
    </row>
    <row r="469" spans="1:18" ht="12.75" customHeight="1" x14ac:dyDescent="0.3">
      <c r="A469" s="36"/>
      <c r="B469" s="36" t="s">
        <v>732</v>
      </c>
      <c r="C469" s="95"/>
      <c r="D469" s="29"/>
      <c r="E469" s="29"/>
      <c r="F469" s="29"/>
      <c r="G469" s="94" t="s">
        <v>1111</v>
      </c>
      <c r="H469" s="36" t="s">
        <v>36</v>
      </c>
      <c r="I469" s="521">
        <f>continental!I90</f>
        <v>0</v>
      </c>
      <c r="J469" s="450"/>
      <c r="K469" s="450"/>
      <c r="L469" s="450"/>
      <c r="M469" s="451"/>
      <c r="N469" s="451"/>
      <c r="O469" s="451"/>
      <c r="P469" s="451"/>
      <c r="Q469" s="451"/>
      <c r="R469" s="158"/>
    </row>
    <row r="470" spans="1:18" ht="12.75" customHeight="1" x14ac:dyDescent="0.3">
      <c r="A470" s="36"/>
      <c r="B470" s="29"/>
      <c r="C470" s="36" t="s">
        <v>1433</v>
      </c>
      <c r="D470" s="29"/>
      <c r="E470" s="29"/>
      <c r="F470" s="29"/>
      <c r="G470" s="94" t="s">
        <v>172</v>
      </c>
      <c r="H470" s="36" t="s">
        <v>1039</v>
      </c>
      <c r="I470" s="521">
        <f>continental!I91</f>
        <v>0</v>
      </c>
      <c r="J470" s="450"/>
      <c r="K470" s="450"/>
      <c r="L470" s="450"/>
      <c r="M470" s="451"/>
      <c r="N470" s="451"/>
      <c r="O470" s="451"/>
      <c r="P470" s="451"/>
      <c r="Q470" s="451"/>
      <c r="R470" s="158"/>
    </row>
    <row r="471" spans="1:18" ht="12.75" customHeight="1" x14ac:dyDescent="0.3">
      <c r="A471" s="36"/>
      <c r="B471" s="29"/>
      <c r="C471" s="36" t="s">
        <v>1276</v>
      </c>
      <c r="D471" s="29"/>
      <c r="E471" s="29"/>
      <c r="F471" s="29"/>
      <c r="G471" s="94" t="s">
        <v>1298</v>
      </c>
      <c r="H471" s="36" t="s">
        <v>36</v>
      </c>
      <c r="I471" s="521">
        <f>continental!I92</f>
        <v>0</v>
      </c>
      <c r="J471" s="450"/>
      <c r="K471" s="450"/>
      <c r="L471" s="450"/>
      <c r="M471" s="451"/>
      <c r="N471" s="451"/>
      <c r="O471" s="451"/>
      <c r="P471" s="451"/>
      <c r="Q471" s="451"/>
      <c r="R471" s="158"/>
    </row>
    <row r="472" spans="1:18" ht="12.75" customHeight="1" x14ac:dyDescent="0.3">
      <c r="A472" s="36"/>
      <c r="B472" s="36" t="s">
        <v>1434</v>
      </c>
      <c r="C472" s="95"/>
      <c r="D472" s="29"/>
      <c r="E472" s="29"/>
      <c r="F472" s="29"/>
      <c r="G472" s="94" t="s">
        <v>1299</v>
      </c>
      <c r="H472" s="36" t="s">
        <v>36</v>
      </c>
      <c r="I472" s="521">
        <f>continental!I93</f>
        <v>0</v>
      </c>
      <c r="J472" s="450"/>
      <c r="K472" s="450"/>
      <c r="L472" s="450"/>
      <c r="M472" s="451"/>
      <c r="N472" s="451"/>
      <c r="O472" s="451"/>
      <c r="P472" s="451"/>
      <c r="Q472" s="451"/>
      <c r="R472" s="158"/>
    </row>
    <row r="473" spans="1:18" ht="12.75" customHeight="1" x14ac:dyDescent="0.3">
      <c r="A473" s="36"/>
      <c r="B473" s="29"/>
      <c r="C473" s="36" t="s">
        <v>1435</v>
      </c>
      <c r="D473" s="29"/>
      <c r="E473" s="29"/>
      <c r="F473" s="29"/>
      <c r="G473" s="94" t="s">
        <v>174</v>
      </c>
      <c r="H473" s="36" t="s">
        <v>1039</v>
      </c>
      <c r="I473" s="521">
        <f>continental!I94</f>
        <v>0</v>
      </c>
      <c r="J473" s="450"/>
      <c r="K473" s="450"/>
      <c r="L473" s="450"/>
      <c r="M473" s="451"/>
      <c r="N473" s="451"/>
      <c r="O473" s="451"/>
      <c r="P473" s="451"/>
      <c r="Q473" s="451"/>
      <c r="R473" s="158"/>
    </row>
    <row r="474" spans="1:18" ht="12.75" customHeight="1" x14ac:dyDescent="0.3">
      <c r="A474" s="36"/>
      <c r="B474" s="29"/>
      <c r="C474" s="36" t="s">
        <v>1275</v>
      </c>
      <c r="D474" s="29"/>
      <c r="E474" s="29"/>
      <c r="F474" s="29"/>
      <c r="G474" s="94" t="s">
        <v>1300</v>
      </c>
      <c r="H474" s="36" t="s">
        <v>36</v>
      </c>
      <c r="I474" s="521">
        <f>continental!I95</f>
        <v>0</v>
      </c>
      <c r="J474" s="450"/>
      <c r="K474" s="450"/>
      <c r="L474" s="450"/>
      <c r="M474" s="451"/>
      <c r="N474" s="451"/>
      <c r="O474" s="451"/>
      <c r="P474" s="451"/>
      <c r="Q474" s="451"/>
      <c r="R474" s="158"/>
    </row>
    <row r="475" spans="1:18" ht="12.75" customHeight="1" x14ac:dyDescent="0.3">
      <c r="A475" s="36"/>
      <c r="B475" s="36" t="s">
        <v>1436</v>
      </c>
      <c r="C475" s="95"/>
      <c r="D475" s="29"/>
      <c r="E475" s="29"/>
      <c r="F475" s="29"/>
      <c r="G475" s="94" t="s">
        <v>479</v>
      </c>
      <c r="H475" s="36" t="s">
        <v>36</v>
      </c>
      <c r="I475" s="521">
        <f>continental!I96</f>
        <v>0</v>
      </c>
      <c r="J475" s="450"/>
      <c r="K475" s="450"/>
      <c r="L475" s="450"/>
      <c r="M475" s="451"/>
      <c r="N475" s="451"/>
      <c r="O475" s="451"/>
      <c r="P475" s="451"/>
      <c r="Q475" s="451"/>
      <c r="R475" s="158"/>
    </row>
    <row r="476" spans="1:18" ht="12.75" customHeight="1" x14ac:dyDescent="0.3">
      <c r="A476" s="36"/>
      <c r="B476" s="36" t="s">
        <v>515</v>
      </c>
      <c r="C476" s="95"/>
      <c r="D476" s="29"/>
      <c r="E476" s="29"/>
      <c r="F476" s="29"/>
      <c r="G476" s="94" t="s">
        <v>577</v>
      </c>
      <c r="H476" s="36" t="s">
        <v>36</v>
      </c>
      <c r="I476" s="521">
        <f>continental!I97</f>
        <v>0</v>
      </c>
      <c r="J476" s="450"/>
      <c r="K476" s="450"/>
      <c r="L476" s="450"/>
      <c r="M476" s="451"/>
      <c r="N476" s="451"/>
      <c r="O476" s="451"/>
      <c r="P476" s="451"/>
      <c r="Q476" s="451"/>
      <c r="R476" s="158"/>
    </row>
    <row r="477" spans="1:18" ht="12.75" customHeight="1" x14ac:dyDescent="0.3">
      <c r="A477" s="36"/>
      <c r="B477" s="36" t="s">
        <v>987</v>
      </c>
      <c r="C477" s="95"/>
      <c r="D477" s="29"/>
      <c r="E477" s="29"/>
      <c r="F477" s="29"/>
      <c r="G477" s="94" t="s">
        <v>1031</v>
      </c>
      <c r="H477" s="36" t="s">
        <v>36</v>
      </c>
      <c r="I477" s="521">
        <f>continental!I98</f>
        <v>0</v>
      </c>
      <c r="J477" s="450"/>
      <c r="K477" s="450"/>
      <c r="L477" s="450"/>
      <c r="M477" s="451"/>
      <c r="N477" s="451"/>
      <c r="O477" s="451"/>
      <c r="P477" s="451"/>
      <c r="Q477" s="451"/>
      <c r="R477" s="158"/>
    </row>
    <row r="478" spans="1:18" ht="12.75" customHeight="1" x14ac:dyDescent="0.3">
      <c r="A478" s="36"/>
      <c r="B478" s="29"/>
      <c r="C478" s="36" t="s">
        <v>1328</v>
      </c>
      <c r="D478" s="29"/>
      <c r="E478" s="29"/>
      <c r="F478" s="29"/>
      <c r="G478" s="94" t="s">
        <v>125</v>
      </c>
      <c r="H478" s="36" t="s">
        <v>1039</v>
      </c>
      <c r="I478" s="521">
        <f>continental!I99</f>
        <v>0</v>
      </c>
      <c r="J478" s="450"/>
      <c r="K478" s="450"/>
      <c r="L478" s="450"/>
      <c r="M478" s="451"/>
      <c r="N478" s="451"/>
      <c r="O478" s="451"/>
      <c r="P478" s="451"/>
      <c r="Q478" s="451"/>
      <c r="R478" s="158"/>
    </row>
    <row r="479" spans="1:18" ht="12.75" customHeight="1" x14ac:dyDescent="0.3">
      <c r="A479" s="36"/>
      <c r="B479" s="29"/>
      <c r="C479" s="36" t="s">
        <v>1274</v>
      </c>
      <c r="D479" s="29"/>
      <c r="E479" s="29"/>
      <c r="F479" s="29"/>
      <c r="G479" s="94" t="s">
        <v>480</v>
      </c>
      <c r="H479" s="36" t="s">
        <v>36</v>
      </c>
      <c r="I479" s="521">
        <f>continental!I100</f>
        <v>0</v>
      </c>
      <c r="J479" s="450"/>
      <c r="K479" s="450"/>
      <c r="L479" s="450"/>
      <c r="M479" s="451"/>
      <c r="N479" s="451"/>
      <c r="O479" s="451"/>
      <c r="P479" s="451"/>
      <c r="Q479" s="451"/>
      <c r="R479" s="158"/>
    </row>
    <row r="480" spans="1:18" ht="12.75" customHeight="1" x14ac:dyDescent="0.3">
      <c r="A480" s="36"/>
      <c r="B480" s="36" t="s">
        <v>781</v>
      </c>
      <c r="C480" s="95"/>
      <c r="D480" s="29"/>
      <c r="E480" s="29"/>
      <c r="F480" s="29"/>
      <c r="G480" s="94" t="s">
        <v>481</v>
      </c>
      <c r="H480" s="36" t="s">
        <v>36</v>
      </c>
      <c r="I480" s="521">
        <f>continental!I101</f>
        <v>0</v>
      </c>
      <c r="J480" s="450"/>
      <c r="K480" s="450"/>
      <c r="L480" s="450"/>
      <c r="M480" s="451"/>
      <c r="N480" s="451"/>
      <c r="O480" s="451"/>
      <c r="P480" s="451"/>
      <c r="Q480" s="451"/>
      <c r="R480" s="158"/>
    </row>
    <row r="481" spans="1:18" ht="12.75" customHeight="1" x14ac:dyDescent="0.3">
      <c r="A481" s="36"/>
      <c r="B481" s="36" t="s">
        <v>516</v>
      </c>
      <c r="C481" s="95"/>
      <c r="D481" s="29"/>
      <c r="E481" s="29"/>
      <c r="F481" s="29"/>
      <c r="G481" s="94" t="s">
        <v>578</v>
      </c>
      <c r="H481" s="36" t="s">
        <v>36</v>
      </c>
      <c r="I481" s="521">
        <f>continental!I102</f>
        <v>0</v>
      </c>
      <c r="J481" s="450"/>
      <c r="K481" s="450"/>
      <c r="L481" s="450"/>
      <c r="M481" s="451"/>
      <c r="N481" s="451"/>
      <c r="O481" s="451"/>
      <c r="P481" s="451"/>
      <c r="Q481" s="451"/>
      <c r="R481" s="158"/>
    </row>
    <row r="482" spans="1:18" ht="12.75" customHeight="1" x14ac:dyDescent="0.3">
      <c r="A482" s="36"/>
      <c r="B482" s="36" t="s">
        <v>1102</v>
      </c>
      <c r="C482" s="95"/>
      <c r="D482" s="29"/>
      <c r="E482" s="29"/>
      <c r="F482" s="29"/>
      <c r="G482" s="94" t="s">
        <v>1032</v>
      </c>
      <c r="H482" s="36" t="s">
        <v>36</v>
      </c>
      <c r="I482" s="521">
        <f>continental!I103</f>
        <v>0</v>
      </c>
      <c r="J482" s="450"/>
      <c r="K482" s="450"/>
      <c r="L482" s="450"/>
      <c r="M482" s="451"/>
      <c r="N482" s="451"/>
      <c r="O482" s="451"/>
      <c r="P482" s="451"/>
      <c r="Q482" s="451"/>
      <c r="R482" s="158"/>
    </row>
    <row r="483" spans="1:18" ht="12.75" customHeight="1" x14ac:dyDescent="0.3">
      <c r="A483" s="36"/>
      <c r="B483" s="29"/>
      <c r="C483" s="36" t="s">
        <v>1233</v>
      </c>
      <c r="D483" s="29"/>
      <c r="E483" s="29"/>
      <c r="F483" s="29"/>
      <c r="G483" s="94" t="s">
        <v>167</v>
      </c>
      <c r="H483" s="36" t="s">
        <v>1039</v>
      </c>
      <c r="I483" s="521">
        <f>continental!I104</f>
        <v>0</v>
      </c>
      <c r="J483" s="450"/>
      <c r="K483" s="450"/>
      <c r="L483" s="450"/>
      <c r="M483" s="451"/>
      <c r="N483" s="451"/>
      <c r="O483" s="451"/>
      <c r="P483" s="451"/>
      <c r="Q483" s="451"/>
      <c r="R483" s="158"/>
    </row>
    <row r="484" spans="1:18" ht="12.75" customHeight="1" x14ac:dyDescent="0.3">
      <c r="A484" s="36"/>
      <c r="B484" s="29"/>
      <c r="C484" s="36" t="s">
        <v>1273</v>
      </c>
      <c r="D484" s="29"/>
      <c r="E484" s="29"/>
      <c r="F484" s="29"/>
      <c r="G484" s="94" t="s">
        <v>482</v>
      </c>
      <c r="H484" s="36" t="s">
        <v>36</v>
      </c>
      <c r="I484" s="521">
        <f>continental!I105</f>
        <v>0</v>
      </c>
      <c r="J484" s="450"/>
      <c r="K484" s="450"/>
      <c r="L484" s="450"/>
      <c r="M484" s="451"/>
      <c r="N484" s="451"/>
      <c r="O484" s="451"/>
      <c r="P484" s="451"/>
      <c r="Q484" s="451"/>
      <c r="R484" s="158"/>
    </row>
    <row r="485" spans="1:18" ht="12.75" customHeight="1" x14ac:dyDescent="0.3">
      <c r="A485" s="36"/>
      <c r="B485" s="36" t="s">
        <v>785</v>
      </c>
      <c r="C485" s="95"/>
      <c r="D485" s="29"/>
      <c r="E485" s="29"/>
      <c r="F485" s="29"/>
      <c r="G485" s="94" t="s">
        <v>483</v>
      </c>
      <c r="H485" s="36" t="s">
        <v>36</v>
      </c>
      <c r="I485" s="521">
        <f>continental!I106</f>
        <v>0</v>
      </c>
      <c r="J485" s="450"/>
      <c r="K485" s="450"/>
      <c r="L485" s="450"/>
      <c r="M485" s="451"/>
      <c r="N485" s="451"/>
      <c r="O485" s="451"/>
      <c r="P485" s="451"/>
      <c r="Q485" s="451"/>
      <c r="R485" s="158"/>
    </row>
    <row r="486" spans="1:18" ht="12.75" customHeight="1" x14ac:dyDescent="0.3">
      <c r="A486" s="36"/>
      <c r="B486" s="36" t="s">
        <v>517</v>
      </c>
      <c r="C486" s="95"/>
      <c r="D486" s="29"/>
      <c r="E486" s="29"/>
      <c r="F486" s="29"/>
      <c r="G486" s="94" t="s">
        <v>579</v>
      </c>
      <c r="H486" s="36" t="s">
        <v>36</v>
      </c>
      <c r="I486" s="521">
        <f>continental!I107</f>
        <v>0</v>
      </c>
      <c r="J486" s="450"/>
      <c r="K486" s="450"/>
      <c r="L486" s="450"/>
      <c r="M486" s="451"/>
      <c r="N486" s="451"/>
      <c r="O486" s="451"/>
      <c r="P486" s="451"/>
      <c r="Q486" s="451"/>
      <c r="R486" s="158"/>
    </row>
    <row r="487" spans="1:18" ht="12.75" customHeight="1" x14ac:dyDescent="0.3">
      <c r="A487" s="36"/>
      <c r="B487" s="36" t="s">
        <v>933</v>
      </c>
      <c r="C487" s="95"/>
      <c r="D487" s="29"/>
      <c r="E487" s="29"/>
      <c r="F487" s="29"/>
      <c r="G487" s="94" t="s">
        <v>1033</v>
      </c>
      <c r="H487" s="36" t="s">
        <v>36</v>
      </c>
      <c r="I487" s="521">
        <f>continental!I108</f>
        <v>0</v>
      </c>
      <c r="J487" s="450"/>
      <c r="K487" s="450"/>
      <c r="L487" s="450"/>
      <c r="M487" s="451"/>
      <c r="N487" s="451"/>
      <c r="O487" s="451"/>
      <c r="P487" s="451"/>
      <c r="Q487" s="451"/>
      <c r="R487" s="158"/>
    </row>
    <row r="488" spans="1:18" ht="12.75" customHeight="1" x14ac:dyDescent="0.3">
      <c r="A488" s="36"/>
      <c r="B488" s="29"/>
      <c r="C488" s="36" t="s">
        <v>1065</v>
      </c>
      <c r="D488" s="29"/>
      <c r="E488" s="29"/>
      <c r="F488" s="29"/>
      <c r="G488" s="94" t="s">
        <v>169</v>
      </c>
      <c r="H488" s="36" t="s">
        <v>1039</v>
      </c>
      <c r="I488" s="521">
        <f>continental!I109</f>
        <v>0</v>
      </c>
      <c r="J488" s="450"/>
      <c r="K488" s="450"/>
      <c r="L488" s="450"/>
      <c r="M488" s="451"/>
      <c r="N488" s="451"/>
      <c r="O488" s="451"/>
      <c r="P488" s="451"/>
      <c r="Q488" s="451"/>
      <c r="R488" s="158"/>
    </row>
    <row r="489" spans="1:18" ht="12.75" customHeight="1" x14ac:dyDescent="0.3">
      <c r="A489" s="36"/>
      <c r="B489" s="29"/>
      <c r="C489" s="36" t="s">
        <v>1405</v>
      </c>
      <c r="D489" s="29"/>
      <c r="E489" s="29"/>
      <c r="F489" s="29"/>
      <c r="G489" s="94" t="s">
        <v>484</v>
      </c>
      <c r="H489" s="36" t="s">
        <v>36</v>
      </c>
      <c r="I489" s="521">
        <f>continental!I110</f>
        <v>0</v>
      </c>
      <c r="J489" s="450"/>
      <c r="K489" s="450"/>
      <c r="L489" s="450"/>
      <c r="M489" s="451"/>
      <c r="N489" s="451"/>
      <c r="O489" s="451"/>
      <c r="P489" s="451"/>
      <c r="Q489" s="451"/>
      <c r="R489" s="158"/>
    </row>
    <row r="490" spans="1:18" ht="12.75" customHeight="1" x14ac:dyDescent="0.3">
      <c r="A490" s="36"/>
      <c r="B490" s="29"/>
      <c r="C490" s="36"/>
      <c r="D490" s="29"/>
      <c r="E490" s="29"/>
      <c r="F490" s="29"/>
      <c r="G490" s="29"/>
      <c r="H490" s="29"/>
      <c r="I490" s="456"/>
      <c r="J490" s="339"/>
      <c r="K490" s="339"/>
      <c r="L490" s="339"/>
      <c r="M490" s="282"/>
      <c r="N490" s="282"/>
      <c r="O490" s="282"/>
      <c r="P490" s="282"/>
      <c r="Q490" s="282"/>
      <c r="R490" s="158"/>
    </row>
    <row r="491" spans="1:18" ht="12.75" customHeight="1" x14ac:dyDescent="0.3">
      <c r="A491" s="98" t="s">
        <v>1311</v>
      </c>
      <c r="B491" s="97"/>
      <c r="C491" s="97"/>
      <c r="D491" s="97"/>
      <c r="E491" s="97"/>
      <c r="F491" s="97"/>
      <c r="G491" s="97"/>
      <c r="H491" s="97"/>
      <c r="I491" s="340" t="s">
        <v>754</v>
      </c>
      <c r="J491" s="364"/>
      <c r="K491" s="364"/>
      <c r="L491" s="364"/>
      <c r="M491" s="469"/>
      <c r="N491" s="469"/>
      <c r="O491" s="469"/>
      <c r="P491" s="469"/>
      <c r="Q491" s="469"/>
      <c r="R491" s="158"/>
    </row>
    <row r="492" spans="1:18" ht="12.75" customHeight="1" x14ac:dyDescent="0.3">
      <c r="A492" s="29"/>
      <c r="B492" s="29"/>
      <c r="C492" s="29"/>
      <c r="D492" s="29"/>
      <c r="E492" s="29"/>
      <c r="F492" s="29"/>
      <c r="G492" s="29"/>
      <c r="H492" s="29"/>
      <c r="I492" s="342"/>
      <c r="J492" s="339"/>
      <c r="K492" s="339"/>
      <c r="L492" s="339"/>
      <c r="M492" s="282"/>
      <c r="N492" s="282"/>
      <c r="O492" s="282"/>
      <c r="P492" s="282"/>
      <c r="Q492" s="282"/>
      <c r="R492" s="158"/>
    </row>
    <row r="493" spans="1:18" ht="12.75" customHeight="1" x14ac:dyDescent="0.3">
      <c r="A493" s="36" t="s">
        <v>298</v>
      </c>
      <c r="B493" s="29"/>
      <c r="C493" s="29"/>
      <c r="D493" s="29"/>
      <c r="E493" s="29"/>
      <c r="F493" s="29"/>
      <c r="G493" s="36" t="s">
        <v>348</v>
      </c>
      <c r="H493" s="36" t="s">
        <v>2307</v>
      </c>
      <c r="I493" s="521">
        <f>continental!I114</f>
        <v>0</v>
      </c>
      <c r="J493" s="450"/>
      <c r="K493" s="450"/>
      <c r="L493" s="450">
        <f>((DRYDEPaerosol.C+AerosolWashout.C+GasWashout.C+GASABS.aC.wC)/HEIGHT.aC)*AREAFRAC.w0C</f>
        <v>7.64421784429969E-11</v>
      </c>
      <c r="M493" s="450">
        <f>((DRYDEPaerosol.C+AerosolWashout.C+GasWashout.C+GASABS.aC.wC)/HEIGHT.aC)*AREAFRAC.w0C</f>
        <v>7.64421784429969E-11</v>
      </c>
      <c r="N493" s="450">
        <f>((DRYDEPaerosol.C+AerosolWashout.C+GasWashout.C+GASABS.aC.wC)/HEIGHT.aC)*AREAFRAC.w0C</f>
        <v>7.64421784429969E-11</v>
      </c>
      <c r="O493" s="450">
        <f>((DRYDEPaerosol.C+AerosolWashout.C+GasWashout.C+GASABS.aC.wC)/HEIGHT.aC)*AREAFRAC.w0C</f>
        <v>7.64421784429969E-11</v>
      </c>
      <c r="P493" s="450">
        <f>((DRYDEPaerosol.C+AerosolWashout.C+GasWashout.C+GASABS.aC.wC)/HEIGHT.aC)*AREAFRAC.w0C</f>
        <v>7.64421784429969E-11</v>
      </c>
      <c r="Q493" s="451"/>
      <c r="R493" s="158"/>
    </row>
    <row r="494" spans="1:18" ht="12.75" customHeight="1" x14ac:dyDescent="0.3">
      <c r="A494" s="36" t="s">
        <v>66</v>
      </c>
      <c r="B494" s="29"/>
      <c r="C494" s="29"/>
      <c r="D494" s="29"/>
      <c r="E494" s="29"/>
      <c r="F494" s="29"/>
      <c r="G494" s="36" t="s">
        <v>264</v>
      </c>
      <c r="H494" s="36" t="s">
        <v>2307</v>
      </c>
      <c r="I494" s="521">
        <f>continental!I115</f>
        <v>0</v>
      </c>
      <c r="J494" s="450"/>
      <c r="K494" s="450"/>
      <c r="L494" s="450">
        <f>((DRYDEPaerosol.C+AerosolWashout.C+GasWashout.C+GASABS.aC.wC)/HEIGHT.aC)*AREAFRAC.w1C</f>
        <v>8.4086396287296587E-10</v>
      </c>
      <c r="M494" s="450">
        <f>((DRYDEPaerosol.C+AerosolWashout.C+GasWashout.C+GASABS.aC.wC)/HEIGHT.aC)*AREAFRAC.w1C</f>
        <v>8.4086396287296587E-10</v>
      </c>
      <c r="N494" s="450">
        <f>((DRYDEPaerosol.C+AerosolWashout.C+GasWashout.C+GASABS.aC.wC)/HEIGHT.aC)*AREAFRAC.w1C</f>
        <v>8.4086396287296587E-10</v>
      </c>
      <c r="O494" s="450">
        <f>((DRYDEPaerosol.C+AerosolWashout.C+GasWashout.C+GASABS.aC.wC)/HEIGHT.aC)*AREAFRAC.w1C</f>
        <v>8.4086396287296587E-10</v>
      </c>
      <c r="P494" s="450">
        <f>((DRYDEPaerosol.C+AerosolWashout.C+GasWashout.C+GASABS.aC.wC)/HEIGHT.aC)*AREAFRAC.w1C</f>
        <v>8.4086396287296587E-10</v>
      </c>
      <c r="Q494" s="451"/>
      <c r="R494" s="158"/>
    </row>
    <row r="495" spans="1:18" ht="12.75" customHeight="1" x14ac:dyDescent="0.3">
      <c r="A495" s="36" t="s">
        <v>67</v>
      </c>
      <c r="B495" s="29"/>
      <c r="C495" s="29"/>
      <c r="D495" s="29"/>
      <c r="E495" s="29"/>
      <c r="F495" s="29"/>
      <c r="G495" s="36" t="s">
        <v>265</v>
      </c>
      <c r="H495" s="36" t="s">
        <v>2307</v>
      </c>
      <c r="I495" s="521">
        <f>continental!I116</f>
        <v>0</v>
      </c>
      <c r="J495" s="450"/>
      <c r="K495" s="450"/>
      <c r="L495" s="450">
        <f>((DRYDEPaerosol.C+AerosolWashout.C+GasWashout.C+GASABS.aC.wC)/HEIGHT.aC)*AREAFRAC.w2C</f>
        <v>3.0576871377198758E-8</v>
      </c>
      <c r="M495" s="450">
        <f>((DRYDEPaerosol.C+AerosolWashout.C+GasWashout.C+GASABS.aC.wC)/HEIGHT.aC)*AREAFRAC.w2C</f>
        <v>3.0576871377198758E-8</v>
      </c>
      <c r="N495" s="450">
        <f>((DRYDEPaerosol.C+AerosolWashout.C+GasWashout.C+GASABS.aC.wC)/HEIGHT.aC)*AREAFRAC.w2C</f>
        <v>3.0576871377198758E-8</v>
      </c>
      <c r="O495" s="450">
        <f>((DRYDEPaerosol.C+AerosolWashout.C+GasWashout.C+GASABS.aC.wC)/HEIGHT.aC)*AREAFRAC.w2C</f>
        <v>3.0576871377198758E-8</v>
      </c>
      <c r="P495" s="450">
        <f>((DRYDEPaerosol.C+AerosolWashout.C+GasWashout.C+GASABS.aC.wC)/HEIGHT.aC)*AREAFRAC.w2C</f>
        <v>3.0576871377198758E-8</v>
      </c>
      <c r="Q495" s="451"/>
      <c r="R495" s="158"/>
    </row>
    <row r="496" spans="1:18" ht="12.75" customHeight="1" x14ac:dyDescent="0.3">
      <c r="A496" s="36" t="s">
        <v>68</v>
      </c>
      <c r="B496" s="29"/>
      <c r="C496" s="29"/>
      <c r="D496" s="29"/>
      <c r="E496" s="29"/>
      <c r="F496" s="29"/>
      <c r="G496" s="36" t="s">
        <v>266</v>
      </c>
      <c r="H496" s="36" t="s">
        <v>2307</v>
      </c>
      <c r="I496" s="521">
        <f>continental!I117</f>
        <v>0</v>
      </c>
      <c r="J496" s="450"/>
      <c r="K496" s="450"/>
      <c r="L496" s="450">
        <f>((DRYDEPaerosol.C+AerosolWashout.C+GasWashout.C+GASABS.aC.sC)/HEIGHT.aC)*AREAFRAC.s1C</f>
        <v>7.0815987774711295E-10</v>
      </c>
      <c r="M496" s="450">
        <f>((DRYDEPaerosol.C+AerosolWashout.C+GasWashout.C+GASABS.aC.sC)/HEIGHT.aC)*AREAFRAC.s1C</f>
        <v>7.0815987774711295E-10</v>
      </c>
      <c r="N496" s="450">
        <f>((DRYDEPaerosol.C+AerosolWashout.C+GasWashout.C+GASABS.aC.sC)/HEIGHT.aC)*AREAFRAC.s1C</f>
        <v>7.0815987774711295E-10</v>
      </c>
      <c r="O496" s="450">
        <f>((DRYDEPaerosol.C+AerosolWashout.C+GasWashout.C+GASABS.aC.sC)/HEIGHT.aC)*AREAFRAC.s1C</f>
        <v>7.0815987774711295E-10</v>
      </c>
      <c r="P496" s="450">
        <f>((DRYDEPaerosol.C+AerosolWashout.C+GasWashout.C+GASABS.aC.sC)/HEIGHT.aC)*AREAFRAC.s1C</f>
        <v>7.0815987774711295E-10</v>
      </c>
      <c r="Q496" s="451"/>
      <c r="R496" s="158"/>
    </row>
    <row r="497" spans="1:18" ht="12.75" customHeight="1" x14ac:dyDescent="0.3">
      <c r="A497" s="36" t="s">
        <v>69</v>
      </c>
      <c r="B497" s="29"/>
      <c r="C497" s="29"/>
      <c r="D497" s="29"/>
      <c r="E497" s="29"/>
      <c r="F497" s="29"/>
      <c r="G497" s="36" t="s">
        <v>816</v>
      </c>
      <c r="H497" s="36" t="s">
        <v>2307</v>
      </c>
      <c r="I497" s="521">
        <f>continental!I118</f>
        <v>0</v>
      </c>
      <c r="J497" s="450"/>
      <c r="K497" s="450"/>
      <c r="L497" s="450">
        <f>((DRYDEPaerosol.C+AerosolWashout.C+GasWashout.C+GASABS.aC.sC)/HEIGHT.aC)*AREAFRAC.s2C</f>
        <v>1.5736886172158065E-9</v>
      </c>
      <c r="M497" s="450">
        <f>((DRYDEPaerosol.C+AerosolWashout.C+GasWashout.C+GASABS.aC.sC)/HEIGHT.aC)*AREAFRAC.s2C</f>
        <v>1.5736886172158065E-9</v>
      </c>
      <c r="N497" s="450">
        <f>((DRYDEPaerosol.C+AerosolWashout.C+GasWashout.C+GASABS.aC.sC)/HEIGHT.aC)*AREAFRAC.s2C</f>
        <v>1.5736886172158065E-9</v>
      </c>
      <c r="O497" s="450">
        <f>((DRYDEPaerosol.C+AerosolWashout.C+GasWashout.C+GASABS.aC.sC)/HEIGHT.aC)*AREAFRAC.s2C</f>
        <v>1.5736886172158065E-9</v>
      </c>
      <c r="P497" s="450">
        <f>((DRYDEPaerosol.C+AerosolWashout.C+GasWashout.C+GASABS.aC.sC)/HEIGHT.aC)*AREAFRAC.s2C</f>
        <v>1.5736886172158065E-9</v>
      </c>
      <c r="Q497" s="451"/>
      <c r="R497" s="158"/>
    </row>
    <row r="498" spans="1:18" ht="12.75" customHeight="1" x14ac:dyDescent="0.3">
      <c r="A498" s="36" t="s">
        <v>70</v>
      </c>
      <c r="B498" s="29"/>
      <c r="C498" s="29"/>
      <c r="D498" s="29"/>
      <c r="E498" s="29"/>
      <c r="F498" s="29"/>
      <c r="G498" s="36" t="s">
        <v>817</v>
      </c>
      <c r="H498" s="36" t="s">
        <v>2307</v>
      </c>
      <c r="I498" s="521">
        <f>continental!I119</f>
        <v>0</v>
      </c>
      <c r="J498" s="450"/>
      <c r="K498" s="450"/>
      <c r="L498" s="450">
        <f>((DRYDEPaerosol.C+AerosolWashout.C+GasWashout.C+GASABS.aC.sC)/HEIGHT.aC)*AREAFRAC.s3C</f>
        <v>2.6228143620263446E-10</v>
      </c>
      <c r="M498" s="450">
        <f>((DRYDEPaerosol.C+AerosolWashout.C+GasWashout.C+GASABS.aC.sC)/HEIGHT.aC)*AREAFRAC.s3C</f>
        <v>2.6228143620263446E-10</v>
      </c>
      <c r="N498" s="450">
        <f>((DRYDEPaerosol.C+AerosolWashout.C+GasWashout.C+GASABS.aC.sC)/HEIGHT.aC)*AREAFRAC.s3C</f>
        <v>2.6228143620263446E-10</v>
      </c>
      <c r="O498" s="450">
        <f>((DRYDEPaerosol.C+AerosolWashout.C+GasWashout.C+GASABS.aC.sC)/HEIGHT.aC)*AREAFRAC.s3C</f>
        <v>2.6228143620263446E-10</v>
      </c>
      <c r="P498" s="450">
        <f>((DRYDEPaerosol.C+AerosolWashout.C+GasWashout.C+GASABS.aC.sC)/HEIGHT.aC)*AREAFRAC.s3C</f>
        <v>2.6228143620263446E-10</v>
      </c>
      <c r="Q498" s="451"/>
      <c r="R498" s="158"/>
    </row>
    <row r="499" spans="1:18" ht="12.75" customHeight="1" x14ac:dyDescent="0.3">
      <c r="A499" s="36" t="s">
        <v>71</v>
      </c>
      <c r="B499" s="29"/>
      <c r="C499" s="29"/>
      <c r="D499" s="29"/>
      <c r="E499" s="29"/>
      <c r="F499" s="29"/>
      <c r="G499" s="36" t="s">
        <v>349</v>
      </c>
      <c r="H499" s="36" t="s">
        <v>2307</v>
      </c>
      <c r="I499" s="521">
        <f>continental!I120</f>
        <v>0</v>
      </c>
      <c r="J499" s="450"/>
      <c r="K499" s="450"/>
      <c r="L499" s="450"/>
      <c r="M499" s="451"/>
      <c r="N499" s="451"/>
      <c r="O499" s="451"/>
      <c r="P499" s="451"/>
      <c r="Q499" s="451"/>
      <c r="R499" s="158"/>
    </row>
    <row r="500" spans="1:18" ht="12.75" customHeight="1" x14ac:dyDescent="0.3">
      <c r="A500" s="36" t="s">
        <v>71</v>
      </c>
      <c r="B500" s="29"/>
      <c r="C500" s="29"/>
      <c r="D500" s="29"/>
      <c r="E500" s="29"/>
      <c r="F500" s="29"/>
      <c r="G500" s="36" t="s">
        <v>818</v>
      </c>
      <c r="H500" s="36" t="s">
        <v>2307</v>
      </c>
      <c r="I500" s="521">
        <f>continental!I121</f>
        <v>0</v>
      </c>
      <c r="J500" s="450"/>
      <c r="K500" s="450"/>
      <c r="L500" s="450"/>
      <c r="M500" s="451"/>
      <c r="N500" s="451"/>
      <c r="O500" s="451"/>
      <c r="P500" s="451"/>
      <c r="Q500" s="451"/>
      <c r="R500" s="158"/>
    </row>
    <row r="501" spans="1:18" ht="12.75" customHeight="1" x14ac:dyDescent="0.3">
      <c r="A501" s="36" t="s">
        <v>72</v>
      </c>
      <c r="B501" s="29"/>
      <c r="C501" s="29"/>
      <c r="D501" s="29"/>
      <c r="E501" s="29"/>
      <c r="F501" s="29"/>
      <c r="G501" s="36" t="s">
        <v>819</v>
      </c>
      <c r="H501" s="36" t="s">
        <v>2307</v>
      </c>
      <c r="I501" s="521">
        <f>continental!I122</f>
        <v>0</v>
      </c>
      <c r="J501" s="450"/>
      <c r="K501" s="450"/>
      <c r="L501" s="450"/>
      <c r="M501" s="451"/>
      <c r="N501" s="451"/>
      <c r="O501" s="451"/>
      <c r="P501" s="451"/>
      <c r="Q501" s="451"/>
      <c r="R501" s="158"/>
    </row>
    <row r="502" spans="1:18" ht="12.75" customHeight="1" x14ac:dyDescent="0.3">
      <c r="A502" s="36" t="s">
        <v>73</v>
      </c>
      <c r="B502" s="29"/>
      <c r="C502" s="29"/>
      <c r="D502" s="29"/>
      <c r="E502" s="29"/>
      <c r="F502" s="29"/>
      <c r="G502" s="36" t="s">
        <v>820</v>
      </c>
      <c r="H502" s="36" t="s">
        <v>2307</v>
      </c>
      <c r="I502" s="521">
        <f>continental!I123</f>
        <v>0</v>
      </c>
      <c r="J502" s="450"/>
      <c r="K502" s="450"/>
      <c r="L502" s="450"/>
      <c r="M502" s="451"/>
      <c r="N502" s="451"/>
      <c r="O502" s="451"/>
      <c r="P502" s="451"/>
      <c r="Q502" s="451"/>
      <c r="R502" s="158"/>
    </row>
    <row r="503" spans="1:18" ht="12.75" customHeight="1" x14ac:dyDescent="0.3">
      <c r="A503" s="36" t="s">
        <v>74</v>
      </c>
      <c r="B503" s="29"/>
      <c r="C503" s="29"/>
      <c r="D503" s="29"/>
      <c r="E503" s="29"/>
      <c r="F503" s="29"/>
      <c r="G503" s="36" t="s">
        <v>821</v>
      </c>
      <c r="H503" s="36" t="s">
        <v>2307</v>
      </c>
      <c r="I503" s="521">
        <f>continental!I124</f>
        <v>0</v>
      </c>
      <c r="J503" s="450"/>
      <c r="K503" s="450"/>
      <c r="L503" s="450"/>
      <c r="M503" s="451"/>
      <c r="N503" s="451"/>
      <c r="O503" s="451"/>
      <c r="P503" s="451"/>
      <c r="Q503" s="451"/>
      <c r="R503" s="158"/>
    </row>
    <row r="504" spans="1:18" ht="12.75" customHeight="1" x14ac:dyDescent="0.3">
      <c r="A504" s="36" t="s">
        <v>75</v>
      </c>
      <c r="B504" s="29"/>
      <c r="C504" s="29"/>
      <c r="D504" s="29"/>
      <c r="E504" s="29"/>
      <c r="F504" s="29"/>
      <c r="G504" s="36" t="s">
        <v>822</v>
      </c>
      <c r="H504" s="36" t="s">
        <v>2307</v>
      </c>
      <c r="I504" s="521">
        <f>continental!I125</f>
        <v>0</v>
      </c>
      <c r="J504" s="450"/>
      <c r="K504" s="450"/>
      <c r="L504" s="450"/>
      <c r="M504" s="451"/>
      <c r="N504" s="451"/>
      <c r="O504" s="451"/>
      <c r="P504" s="451"/>
      <c r="Q504" s="451"/>
      <c r="R504" s="158"/>
    </row>
    <row r="505" spans="1:18" ht="12.75" customHeight="1" x14ac:dyDescent="0.3">
      <c r="A505" s="36"/>
      <c r="B505" s="36" t="s">
        <v>3974</v>
      </c>
      <c r="C505" s="29"/>
      <c r="D505" s="29"/>
      <c r="E505" s="29"/>
      <c r="F505" s="29"/>
      <c r="G505" s="37" t="s">
        <v>2263</v>
      </c>
      <c r="H505" s="36" t="s">
        <v>2307</v>
      </c>
      <c r="I505" s="521">
        <f>continental!I126</f>
        <v>0</v>
      </c>
      <c r="J505" s="450"/>
      <c r="K505" s="450"/>
      <c r="L505" s="450"/>
      <c r="M505" s="451"/>
      <c r="N505" s="451"/>
      <c r="O505" s="451"/>
      <c r="P505" s="451"/>
      <c r="Q505" s="451"/>
      <c r="R505" s="158"/>
    </row>
    <row r="506" spans="1:18" ht="12.75" customHeight="1" x14ac:dyDescent="0.3">
      <c r="A506" s="36"/>
      <c r="B506" s="36"/>
      <c r="C506" s="29" t="s">
        <v>3975</v>
      </c>
      <c r="D506" s="29"/>
      <c r="E506" s="29"/>
      <c r="F506" s="29"/>
      <c r="G506" s="37" t="s">
        <v>2264</v>
      </c>
      <c r="H506" s="36" t="s">
        <v>2307</v>
      </c>
      <c r="I506" s="521">
        <f>continental!I127</f>
        <v>0</v>
      </c>
      <c r="J506" s="450"/>
      <c r="K506" s="450"/>
      <c r="L506" s="450"/>
      <c r="M506" s="451"/>
      <c r="N506" s="451"/>
      <c r="O506" s="451"/>
      <c r="P506" s="451"/>
      <c r="Q506" s="451"/>
      <c r="R506" s="158"/>
    </row>
    <row r="507" spans="1:18" ht="12.75" customHeight="1" x14ac:dyDescent="0.3">
      <c r="A507" s="36"/>
      <c r="B507" s="36"/>
      <c r="C507" s="36"/>
      <c r="D507" s="36" t="s">
        <v>3976</v>
      </c>
      <c r="E507" s="29"/>
      <c r="F507" s="29"/>
      <c r="G507" s="37" t="s">
        <v>998</v>
      </c>
      <c r="H507" s="36" t="s">
        <v>2307</v>
      </c>
      <c r="I507" s="521">
        <f>continental!I128</f>
        <v>0</v>
      </c>
      <c r="J507" s="450"/>
      <c r="K507" s="450"/>
      <c r="L507" s="450"/>
      <c r="M507" s="451"/>
      <c r="N507" s="451"/>
      <c r="O507" s="451"/>
      <c r="P507" s="451"/>
      <c r="Q507" s="451"/>
      <c r="R507" s="158"/>
    </row>
    <row r="508" spans="1:18" ht="12.75" customHeight="1" x14ac:dyDescent="0.3">
      <c r="A508" s="36"/>
      <c r="B508" s="36"/>
      <c r="C508" s="36"/>
      <c r="D508" s="36" t="s">
        <v>3977</v>
      </c>
      <c r="E508" s="29"/>
      <c r="F508" s="29"/>
      <c r="G508" s="37" t="s">
        <v>999</v>
      </c>
      <c r="H508" s="36" t="s">
        <v>2307</v>
      </c>
      <c r="I508" s="521">
        <f>continental!I129</f>
        <v>0</v>
      </c>
      <c r="J508" s="450"/>
      <c r="K508" s="450"/>
      <c r="L508" s="450"/>
      <c r="M508" s="451"/>
      <c r="N508" s="451"/>
      <c r="O508" s="451"/>
      <c r="P508" s="451"/>
      <c r="Q508" s="451"/>
      <c r="R508" s="158"/>
    </row>
    <row r="509" spans="1:18" ht="12.75" customHeight="1" x14ac:dyDescent="0.3">
      <c r="A509" s="36"/>
      <c r="B509" s="29" t="s">
        <v>929</v>
      </c>
      <c r="C509" s="29"/>
      <c r="D509" s="29"/>
      <c r="E509" s="29"/>
      <c r="F509" s="29"/>
      <c r="G509" s="29" t="s">
        <v>1000</v>
      </c>
      <c r="H509" s="29" t="s">
        <v>2191</v>
      </c>
      <c r="I509" s="521">
        <f>continental!I130</f>
        <v>0</v>
      </c>
      <c r="J509" s="450"/>
      <c r="K509" s="450"/>
      <c r="L509" s="450"/>
      <c r="M509" s="451"/>
      <c r="N509" s="451"/>
      <c r="O509" s="451"/>
      <c r="P509" s="451"/>
      <c r="Q509" s="451"/>
      <c r="R509" s="158"/>
    </row>
    <row r="510" spans="1:18" ht="12.75" customHeight="1" x14ac:dyDescent="0.3">
      <c r="A510" s="36"/>
      <c r="B510" s="29" t="s">
        <v>931</v>
      </c>
      <c r="C510" s="29"/>
      <c r="D510" s="29"/>
      <c r="E510" s="29"/>
      <c r="F510" s="29"/>
      <c r="G510" s="29" t="s">
        <v>1001</v>
      </c>
      <c r="H510" s="29" t="s">
        <v>2191</v>
      </c>
      <c r="I510" s="521">
        <f>continental!I131</f>
        <v>0</v>
      </c>
      <c r="J510" s="450"/>
      <c r="K510" s="450"/>
      <c r="L510" s="450"/>
      <c r="M510" s="451"/>
      <c r="N510" s="451"/>
      <c r="O510" s="451"/>
      <c r="P510" s="451"/>
      <c r="Q510" s="451"/>
      <c r="R510" s="158"/>
    </row>
    <row r="511" spans="1:18" ht="12.75" customHeight="1" x14ac:dyDescent="0.3">
      <c r="A511" s="36"/>
      <c r="B511" s="36" t="s">
        <v>493</v>
      </c>
      <c r="C511" s="29"/>
      <c r="D511" s="29"/>
      <c r="E511" s="29"/>
      <c r="F511" s="29"/>
      <c r="G511" s="94" t="s">
        <v>459</v>
      </c>
      <c r="H511" s="95" t="s">
        <v>2321</v>
      </c>
      <c r="I511" s="521">
        <f>continental!I132</f>
        <v>0</v>
      </c>
      <c r="J511" s="450"/>
      <c r="K511" s="450"/>
      <c r="L511" s="450">
        <f>AEROSOLdeprate.C*FRaers.aC</f>
        <v>3.5083098262422928E-11</v>
      </c>
      <c r="M511" s="451">
        <f>AEROSOLdeprate.C*FRaers.aC</f>
        <v>3.5083098262422928E-11</v>
      </c>
      <c r="N511" s="451">
        <f>AEROSOLdeprate.C*FRaers.aC</f>
        <v>3.5083098262422928E-11</v>
      </c>
      <c r="O511" s="451">
        <f>AEROSOLdeprate.C*FRaers.aC</f>
        <v>3.5083098262422928E-11</v>
      </c>
      <c r="P511" s="451">
        <f>AEROSOLdeprate.C*FRaers.aC</f>
        <v>3.5083098262422928E-11</v>
      </c>
      <c r="Q511" s="451"/>
      <c r="R511" s="158"/>
    </row>
    <row r="512" spans="1:18" ht="12.75" customHeight="1" x14ac:dyDescent="0.3">
      <c r="A512" s="36"/>
      <c r="B512" s="36" t="s">
        <v>745</v>
      </c>
      <c r="C512" s="29"/>
      <c r="D512" s="29"/>
      <c r="E512" s="29"/>
      <c r="F512" s="29"/>
      <c r="G512" s="37" t="s">
        <v>1291</v>
      </c>
      <c r="H512" s="95" t="s">
        <v>2321</v>
      </c>
      <c r="I512" s="521">
        <f>continental!I133</f>
        <v>0</v>
      </c>
      <c r="J512" s="450"/>
      <c r="K512" s="450"/>
      <c r="L512" s="450">
        <f t="shared" ref="L512:P512" si="11">(1-FRgas.aC)*COLLECTeff.C*RAINrate.C</f>
        <v>1.5673500732245339E-10</v>
      </c>
      <c r="M512" s="451">
        <f t="shared" si="11"/>
        <v>1.5673500732245339E-10</v>
      </c>
      <c r="N512" s="451">
        <f t="shared" si="11"/>
        <v>1.5673500732245339E-10</v>
      </c>
      <c r="O512" s="451">
        <f t="shared" si="11"/>
        <v>1.5673500732245339E-10</v>
      </c>
      <c r="P512" s="451">
        <f t="shared" si="11"/>
        <v>1.5673500732245339E-10</v>
      </c>
      <c r="Q512" s="451"/>
      <c r="R512" s="158"/>
    </row>
    <row r="513" spans="1:18" ht="12.75" customHeight="1" x14ac:dyDescent="0.3">
      <c r="A513" s="36"/>
      <c r="B513" s="36" t="s">
        <v>746</v>
      </c>
      <c r="C513" s="29"/>
      <c r="D513" s="29"/>
      <c r="E513" s="29"/>
      <c r="F513" s="29"/>
      <c r="G513" s="37" t="s">
        <v>934</v>
      </c>
      <c r="H513" s="95" t="s">
        <v>2321</v>
      </c>
      <c r="I513" s="521">
        <f>continental!I134</f>
        <v>0</v>
      </c>
      <c r="J513" s="450"/>
      <c r="K513" s="450"/>
      <c r="L513" s="450">
        <f t="shared" ref="L513:P513" si="12">FRgas.aC*RAINrate.C/Kaw.C</f>
        <v>2.4703055562475118E-7</v>
      </c>
      <c r="M513" s="451">
        <f t="shared" si="12"/>
        <v>2.4703055562475118E-7</v>
      </c>
      <c r="N513" s="451">
        <f t="shared" si="12"/>
        <v>2.4703055562475118E-7</v>
      </c>
      <c r="O513" s="451">
        <f t="shared" si="12"/>
        <v>2.4703055562475118E-7</v>
      </c>
      <c r="P513" s="451">
        <f t="shared" si="12"/>
        <v>2.4703055562475118E-7</v>
      </c>
      <c r="Q513" s="451"/>
      <c r="R513" s="158"/>
    </row>
    <row r="514" spans="1:18" ht="12.75" customHeight="1" x14ac:dyDescent="0.3">
      <c r="A514" s="36"/>
      <c r="B514" s="29"/>
      <c r="C514" s="95" t="s">
        <v>747</v>
      </c>
      <c r="D514" s="95"/>
      <c r="E514" s="95"/>
      <c r="F514" s="95"/>
      <c r="G514" s="94" t="s">
        <v>460</v>
      </c>
      <c r="H514" s="95" t="s">
        <v>2321</v>
      </c>
      <c r="I514" s="521">
        <f>continental!I135</f>
        <v>0</v>
      </c>
      <c r="J514" s="450"/>
      <c r="K514" s="450"/>
      <c r="L514" s="450"/>
      <c r="M514" s="451"/>
      <c r="N514" s="451"/>
      <c r="O514" s="451"/>
      <c r="P514" s="451"/>
      <c r="Q514" s="451"/>
      <c r="R514" s="158"/>
    </row>
    <row r="515" spans="1:18" ht="12.75" customHeight="1" x14ac:dyDescent="0.3">
      <c r="A515" s="36"/>
      <c r="B515" s="29"/>
      <c r="C515" s="36" t="s">
        <v>444</v>
      </c>
      <c r="D515" s="29"/>
      <c r="E515" s="29"/>
      <c r="F515" s="29"/>
      <c r="G515" s="94" t="s">
        <v>1064</v>
      </c>
      <c r="H515" s="36" t="s">
        <v>36</v>
      </c>
      <c r="I515" s="521">
        <f>continental!I136</f>
        <v>0</v>
      </c>
      <c r="J515" s="450"/>
      <c r="K515" s="450"/>
      <c r="L515" s="450"/>
      <c r="M515" s="451"/>
      <c r="N515" s="451"/>
      <c r="O515" s="451"/>
      <c r="P515" s="451"/>
      <c r="Q515" s="451"/>
      <c r="R515" s="158"/>
    </row>
    <row r="516" spans="1:18" ht="12.75" customHeight="1" x14ac:dyDescent="0.3">
      <c r="A516" s="36"/>
      <c r="B516" s="36" t="s">
        <v>2217</v>
      </c>
      <c r="C516" s="29"/>
      <c r="D516" s="29"/>
      <c r="E516" s="95"/>
      <c r="F516" s="95"/>
      <c r="G516" s="37" t="s">
        <v>2237</v>
      </c>
      <c r="H516" s="36" t="s">
        <v>2322</v>
      </c>
      <c r="I516" s="521">
        <f>continental!I137</f>
        <v>0</v>
      </c>
      <c r="J516" s="450"/>
      <c r="K516" s="450"/>
      <c r="L516" s="450"/>
      <c r="M516" s="451"/>
      <c r="N516" s="451"/>
      <c r="O516" s="451"/>
      <c r="P516" s="451"/>
      <c r="Q516" s="451"/>
      <c r="R516" s="158"/>
    </row>
    <row r="517" spans="1:18" ht="12.75" customHeight="1" x14ac:dyDescent="0.3">
      <c r="A517" s="36"/>
      <c r="B517" s="36" t="s">
        <v>2218</v>
      </c>
      <c r="C517" s="29"/>
      <c r="D517" s="29"/>
      <c r="E517" s="95"/>
      <c r="F517" s="95"/>
      <c r="G517" s="37" t="s">
        <v>2238</v>
      </c>
      <c r="H517" s="36" t="s">
        <v>2322</v>
      </c>
      <c r="I517" s="521">
        <f>continental!I138</f>
        <v>0</v>
      </c>
      <c r="J517" s="450"/>
      <c r="K517" s="450"/>
      <c r="L517" s="450"/>
      <c r="M517" s="451"/>
      <c r="N517" s="451"/>
      <c r="O517" s="451"/>
      <c r="P517" s="451"/>
      <c r="Q517" s="451"/>
      <c r="R517" s="158"/>
    </row>
    <row r="518" spans="1:18" ht="12.75" customHeight="1" x14ac:dyDescent="0.3">
      <c r="A518" s="36"/>
      <c r="B518" s="36" t="s">
        <v>2211</v>
      </c>
      <c r="C518" s="29"/>
      <c r="D518" s="29"/>
      <c r="E518" s="95"/>
      <c r="F518" s="95"/>
      <c r="G518" s="37" t="s">
        <v>2239</v>
      </c>
      <c r="H518" s="36" t="s">
        <v>2322</v>
      </c>
      <c r="I518" s="521">
        <f>continental!I139</f>
        <v>0</v>
      </c>
      <c r="J518" s="450"/>
      <c r="K518" s="450"/>
      <c r="L518" s="450"/>
      <c r="M518" s="451"/>
      <c r="N518" s="451"/>
      <c r="O518" s="451"/>
      <c r="P518" s="451"/>
      <c r="Q518" s="451"/>
      <c r="R518" s="158"/>
    </row>
    <row r="519" spans="1:18" ht="12.75" customHeight="1" x14ac:dyDescent="0.3">
      <c r="A519" s="36"/>
      <c r="B519" s="36" t="s">
        <v>2212</v>
      </c>
      <c r="C519" s="29"/>
      <c r="D519" s="29"/>
      <c r="E519" s="95"/>
      <c r="F519" s="95"/>
      <c r="G519" s="37" t="s">
        <v>2240</v>
      </c>
      <c r="H519" s="36" t="s">
        <v>2322</v>
      </c>
      <c r="I519" s="521">
        <f>continental!I140</f>
        <v>0</v>
      </c>
      <c r="J519" s="450"/>
      <c r="K519" s="450"/>
      <c r="L519" s="450"/>
      <c r="M519" s="451"/>
      <c r="N519" s="451"/>
      <c r="O519" s="451"/>
      <c r="P519" s="451"/>
      <c r="Q519" s="451"/>
      <c r="R519" s="158"/>
    </row>
    <row r="520" spans="1:18" ht="12.75" customHeight="1" x14ac:dyDescent="0.3">
      <c r="A520" s="36"/>
      <c r="B520" s="36" t="s">
        <v>2213</v>
      </c>
      <c r="C520" s="29"/>
      <c r="D520" s="29"/>
      <c r="E520" s="29"/>
      <c r="F520" s="29"/>
      <c r="G520" s="37" t="s">
        <v>2241</v>
      </c>
      <c r="H520" s="36" t="s">
        <v>2322</v>
      </c>
      <c r="I520" s="521">
        <f>continental!I141</f>
        <v>0</v>
      </c>
      <c r="J520" s="450"/>
      <c r="K520" s="450"/>
      <c r="L520" s="450"/>
      <c r="M520" s="451"/>
      <c r="N520" s="451"/>
      <c r="O520" s="451"/>
      <c r="P520" s="451"/>
      <c r="Q520" s="451"/>
      <c r="R520" s="158"/>
    </row>
    <row r="521" spans="1:18" ht="12.75" customHeight="1" x14ac:dyDescent="0.3">
      <c r="A521" s="36"/>
      <c r="B521" s="36"/>
      <c r="C521" s="29" t="s">
        <v>1077</v>
      </c>
      <c r="D521" s="29"/>
      <c r="E521" s="95"/>
      <c r="F521" s="95"/>
      <c r="G521" s="29" t="s">
        <v>3987</v>
      </c>
      <c r="H521" s="95" t="s">
        <v>2321</v>
      </c>
      <c r="I521" s="521">
        <f>continental!I142</f>
        <v>0</v>
      </c>
      <c r="J521" s="450"/>
      <c r="K521" s="450"/>
      <c r="L521" s="450"/>
      <c r="M521" s="451"/>
      <c r="N521" s="451"/>
      <c r="O521" s="451"/>
      <c r="P521" s="451"/>
      <c r="Q521" s="451"/>
      <c r="R521" s="158"/>
    </row>
    <row r="522" spans="1:18" ht="12.75" customHeight="1" x14ac:dyDescent="0.3">
      <c r="A522" s="36"/>
      <c r="B522" s="36"/>
      <c r="C522" s="29" t="s">
        <v>1048</v>
      </c>
      <c r="D522" s="29"/>
      <c r="E522" s="95"/>
      <c r="F522" s="95"/>
      <c r="G522" s="29" t="s">
        <v>3988</v>
      </c>
      <c r="H522" s="95" t="s">
        <v>2321</v>
      </c>
      <c r="I522" s="521">
        <f>continental!I143</f>
        <v>0</v>
      </c>
      <c r="J522" s="450"/>
      <c r="K522" s="450"/>
      <c r="L522" s="450"/>
      <c r="M522" s="451"/>
      <c r="N522" s="451"/>
      <c r="O522" s="451"/>
      <c r="P522" s="451"/>
      <c r="Q522" s="451"/>
      <c r="R522" s="158"/>
    </row>
    <row r="523" spans="1:18" ht="12.75" customHeight="1" x14ac:dyDescent="0.3">
      <c r="A523" s="36"/>
      <c r="B523" s="36" t="s">
        <v>2214</v>
      </c>
      <c r="C523" s="29"/>
      <c r="D523" s="29"/>
      <c r="E523" s="95"/>
      <c r="F523" s="95"/>
      <c r="G523" s="37" t="s">
        <v>2242</v>
      </c>
      <c r="H523" s="36" t="s">
        <v>2322</v>
      </c>
      <c r="I523" s="521">
        <f>continental!I144</f>
        <v>0</v>
      </c>
      <c r="J523" s="450"/>
      <c r="K523" s="450"/>
      <c r="L523" s="450"/>
      <c r="M523" s="451"/>
      <c r="N523" s="451"/>
      <c r="O523" s="451"/>
      <c r="P523" s="451"/>
      <c r="Q523" s="451"/>
      <c r="R523" s="158"/>
    </row>
    <row r="524" spans="1:18" ht="12.75" customHeight="1" x14ac:dyDescent="0.3">
      <c r="A524" s="36"/>
      <c r="B524" s="36" t="s">
        <v>2215</v>
      </c>
      <c r="C524" s="29"/>
      <c r="D524" s="29"/>
      <c r="E524" s="95"/>
      <c r="F524" s="95"/>
      <c r="G524" s="37" t="s">
        <v>2243</v>
      </c>
      <c r="H524" s="36" t="s">
        <v>2322</v>
      </c>
      <c r="I524" s="521">
        <f>continental!I145</f>
        <v>0</v>
      </c>
      <c r="J524" s="450"/>
      <c r="K524" s="450"/>
      <c r="L524" s="450"/>
      <c r="M524" s="451"/>
      <c r="N524" s="451"/>
      <c r="O524" s="451"/>
      <c r="P524" s="451"/>
      <c r="Q524" s="451"/>
      <c r="R524" s="158"/>
    </row>
    <row r="525" spans="1:18" ht="12.75" customHeight="1" x14ac:dyDescent="0.3">
      <c r="A525" s="36"/>
      <c r="B525" s="36" t="s">
        <v>2216</v>
      </c>
      <c r="C525" s="29"/>
      <c r="D525" s="29"/>
      <c r="E525" s="95"/>
      <c r="F525" s="95"/>
      <c r="G525" s="37" t="s">
        <v>2244</v>
      </c>
      <c r="H525" s="36" t="s">
        <v>2322</v>
      </c>
      <c r="I525" s="521">
        <f>continental!I146</f>
        <v>0</v>
      </c>
      <c r="J525" s="450"/>
      <c r="K525" s="450"/>
      <c r="L525" s="450"/>
      <c r="M525" s="451"/>
      <c r="N525" s="451"/>
      <c r="O525" s="451"/>
      <c r="P525" s="451"/>
      <c r="Q525" s="451"/>
      <c r="R525" s="158"/>
    </row>
    <row r="526" spans="1:18" ht="12.75" customHeight="1" x14ac:dyDescent="0.3">
      <c r="A526" s="36"/>
      <c r="B526" s="36"/>
      <c r="C526" s="29" t="s">
        <v>1049</v>
      </c>
      <c r="D526" s="29"/>
      <c r="E526" s="95"/>
      <c r="F526" s="95"/>
      <c r="G526" s="29" t="s">
        <v>3989</v>
      </c>
      <c r="H526" s="95" t="s">
        <v>2321</v>
      </c>
      <c r="I526" s="521">
        <f>continental!I147</f>
        <v>0</v>
      </c>
      <c r="J526" s="450"/>
      <c r="K526" s="450"/>
      <c r="L526" s="450"/>
      <c r="M526" s="451"/>
      <c r="N526" s="451"/>
      <c r="O526" s="451"/>
      <c r="P526" s="451"/>
      <c r="Q526" s="451"/>
      <c r="R526" s="158"/>
    </row>
    <row r="527" spans="1:18" ht="12.75" customHeight="1" x14ac:dyDescent="0.3">
      <c r="A527" s="36"/>
      <c r="B527" s="36"/>
      <c r="C527" s="29" t="s">
        <v>872</v>
      </c>
      <c r="D527" s="29"/>
      <c r="E527" s="29"/>
      <c r="F527" s="95"/>
      <c r="G527" s="29" t="s">
        <v>3990</v>
      </c>
      <c r="H527" s="95" t="s">
        <v>2321</v>
      </c>
      <c r="I527" s="521">
        <f>continental!I148</f>
        <v>0</v>
      </c>
      <c r="J527" s="450"/>
      <c r="K527" s="450"/>
      <c r="L527" s="450">
        <v>1.1468924229780271E-8</v>
      </c>
      <c r="M527" s="451">
        <v>1.1468924229780271E-8</v>
      </c>
      <c r="N527" s="451">
        <v>1.1468924229780271E-8</v>
      </c>
      <c r="O527" s="451">
        <v>1.1468924229780271E-8</v>
      </c>
      <c r="P527" s="451"/>
      <c r="Q527" s="451">
        <v>1.1468924229780271E-8</v>
      </c>
      <c r="R527" s="158"/>
    </row>
    <row r="528" spans="1:18" ht="12.75" customHeight="1" x14ac:dyDescent="0.3">
      <c r="A528" s="36"/>
      <c r="B528" s="36"/>
      <c r="C528" s="29" t="s">
        <v>185</v>
      </c>
      <c r="D528" s="29"/>
      <c r="E528" s="95"/>
      <c r="F528" s="95"/>
      <c r="G528" s="37" t="s">
        <v>1473</v>
      </c>
      <c r="H528" s="29" t="s">
        <v>36</v>
      </c>
      <c r="I528" s="521">
        <f>continental!I149</f>
        <v>0</v>
      </c>
      <c r="J528" s="450"/>
      <c r="K528" s="450"/>
      <c r="L528" s="450">
        <v>1</v>
      </c>
      <c r="M528" s="451">
        <v>1</v>
      </c>
      <c r="N528" s="451">
        <v>1</v>
      </c>
      <c r="O528" s="451">
        <v>1</v>
      </c>
      <c r="P528" s="451"/>
      <c r="Q528" s="451">
        <v>1</v>
      </c>
      <c r="R528" s="158"/>
    </row>
    <row r="529" spans="1:18" ht="12.75" customHeight="1" x14ac:dyDescent="0.3">
      <c r="A529" s="36"/>
      <c r="B529" s="36"/>
      <c r="C529" s="29" t="s">
        <v>185</v>
      </c>
      <c r="D529" s="29"/>
      <c r="E529" s="95"/>
      <c r="F529" s="95"/>
      <c r="G529" s="37" t="s">
        <v>1474</v>
      </c>
      <c r="H529" s="29" t="s">
        <v>36</v>
      </c>
      <c r="I529" s="521">
        <f>continental!I150</f>
        <v>0</v>
      </c>
      <c r="J529" s="450"/>
      <c r="K529" s="450"/>
      <c r="L529" s="450">
        <v>1</v>
      </c>
      <c r="M529" s="451">
        <v>1</v>
      </c>
      <c r="N529" s="451">
        <v>1</v>
      </c>
      <c r="O529" s="451">
        <v>1</v>
      </c>
      <c r="P529" s="451"/>
      <c r="Q529" s="451">
        <v>1</v>
      </c>
      <c r="R529" s="158"/>
    </row>
    <row r="530" spans="1:18" ht="12.75" customHeight="1" x14ac:dyDescent="0.3">
      <c r="A530" s="36"/>
      <c r="B530" s="36"/>
      <c r="C530" s="29" t="s">
        <v>185</v>
      </c>
      <c r="D530" s="29"/>
      <c r="E530" s="95"/>
      <c r="F530" s="95"/>
      <c r="G530" s="37" t="s">
        <v>907</v>
      </c>
      <c r="H530" s="29" t="s">
        <v>36</v>
      </c>
      <c r="I530" s="521">
        <f>continental!I151</f>
        <v>0</v>
      </c>
      <c r="J530" s="450"/>
      <c r="K530" s="450"/>
      <c r="L530" s="450">
        <v>1</v>
      </c>
      <c r="M530" s="451">
        <v>1</v>
      </c>
      <c r="N530" s="451">
        <v>1</v>
      </c>
      <c r="O530" s="451">
        <v>1</v>
      </c>
      <c r="P530" s="451"/>
      <c r="Q530" s="451">
        <v>1</v>
      </c>
      <c r="R530" s="158"/>
    </row>
    <row r="531" spans="1:18" ht="12.75" customHeight="1" x14ac:dyDescent="0.3">
      <c r="A531" s="36"/>
      <c r="B531" s="29"/>
      <c r="C531" s="36"/>
      <c r="D531" s="95"/>
      <c r="E531" s="95"/>
      <c r="F531" s="29"/>
      <c r="G531" s="94"/>
      <c r="H531" s="94"/>
      <c r="I531" s="524"/>
      <c r="J531" s="342"/>
      <c r="K531" s="342"/>
      <c r="L531" s="342"/>
      <c r="M531" s="360"/>
      <c r="N531" s="360"/>
      <c r="O531" s="360"/>
      <c r="P531" s="360"/>
      <c r="Q531" s="471"/>
      <c r="R531" s="158"/>
    </row>
    <row r="532" spans="1:18" ht="12.75" customHeight="1" x14ac:dyDescent="0.3">
      <c r="A532" s="36" t="s">
        <v>76</v>
      </c>
      <c r="B532" s="29"/>
      <c r="C532" s="29"/>
      <c r="D532" s="29"/>
      <c r="E532" s="29"/>
      <c r="F532" s="29"/>
      <c r="G532" s="37" t="s">
        <v>823</v>
      </c>
      <c r="H532" s="36" t="s">
        <v>2307</v>
      </c>
      <c r="I532" s="521">
        <f>continental!I153</f>
        <v>0</v>
      </c>
      <c r="J532" s="450"/>
      <c r="K532" s="450"/>
      <c r="L532" s="450"/>
      <c r="M532" s="451"/>
      <c r="N532" s="451"/>
      <c r="O532" s="451"/>
      <c r="P532" s="451"/>
      <c r="Q532" s="451"/>
      <c r="R532" s="158"/>
    </row>
    <row r="533" spans="1:18" ht="12.75" customHeight="1" x14ac:dyDescent="0.3">
      <c r="A533" s="36" t="s">
        <v>77</v>
      </c>
      <c r="B533" s="29"/>
      <c r="C533" s="29"/>
      <c r="D533" s="29"/>
      <c r="E533" s="29"/>
      <c r="F533" s="29"/>
      <c r="G533" s="37" t="s">
        <v>824</v>
      </c>
      <c r="H533" s="36" t="s">
        <v>2307</v>
      </c>
      <c r="I533" s="521">
        <f>continental!I154</f>
        <v>0</v>
      </c>
      <c r="J533" s="450"/>
      <c r="K533" s="450"/>
      <c r="L533" s="450"/>
      <c r="M533" s="451"/>
      <c r="N533" s="451"/>
      <c r="O533" s="451"/>
      <c r="P533" s="451"/>
      <c r="Q533" s="451"/>
      <c r="R533" s="158"/>
    </row>
    <row r="534" spans="1:18" ht="12.75" customHeight="1" x14ac:dyDescent="0.3">
      <c r="A534" s="36" t="s">
        <v>78</v>
      </c>
      <c r="B534" s="29"/>
      <c r="C534" s="29"/>
      <c r="D534" s="29"/>
      <c r="E534" s="29"/>
      <c r="F534" s="29"/>
      <c r="G534" s="37" t="s">
        <v>825</v>
      </c>
      <c r="H534" s="36" t="s">
        <v>2307</v>
      </c>
      <c r="I534" s="521">
        <f>continental!I155</f>
        <v>0</v>
      </c>
      <c r="J534" s="450"/>
      <c r="K534" s="450"/>
      <c r="L534" s="450"/>
      <c r="M534" s="451"/>
      <c r="N534" s="451"/>
      <c r="O534" s="451"/>
      <c r="P534" s="451"/>
      <c r="Q534" s="451"/>
      <c r="R534" s="158"/>
    </row>
    <row r="535" spans="1:18" ht="12.75" customHeight="1" x14ac:dyDescent="0.3">
      <c r="A535" s="36" t="s">
        <v>79</v>
      </c>
      <c r="B535" s="29"/>
      <c r="C535" s="29"/>
      <c r="D535" s="29"/>
      <c r="E535" s="29"/>
      <c r="F535" s="29"/>
      <c r="G535" s="37" t="s">
        <v>826</v>
      </c>
      <c r="H535" s="36" t="s">
        <v>2307</v>
      </c>
      <c r="I535" s="521">
        <f>continental!I156</f>
        <v>0</v>
      </c>
      <c r="J535" s="450"/>
      <c r="K535" s="450"/>
      <c r="L535" s="450"/>
      <c r="M535" s="451"/>
      <c r="N535" s="451"/>
      <c r="O535" s="451"/>
      <c r="P535" s="451"/>
      <c r="Q535" s="451"/>
      <c r="R535" s="158"/>
    </row>
    <row r="536" spans="1:18" ht="12.75" customHeight="1" x14ac:dyDescent="0.3">
      <c r="A536" s="36"/>
      <c r="B536" s="36" t="s">
        <v>2229</v>
      </c>
      <c r="C536" s="29"/>
      <c r="D536" s="29"/>
      <c r="E536" s="29"/>
      <c r="F536" s="29"/>
      <c r="G536" s="37" t="s">
        <v>2245</v>
      </c>
      <c r="H536" s="36" t="s">
        <v>2322</v>
      </c>
      <c r="I536" s="521">
        <f>continental!I157</f>
        <v>0</v>
      </c>
      <c r="J536" s="450"/>
      <c r="K536" s="450"/>
      <c r="L536" s="450"/>
      <c r="M536" s="451"/>
      <c r="N536" s="451"/>
      <c r="O536" s="451"/>
      <c r="P536" s="451"/>
      <c r="Q536" s="451"/>
      <c r="R536" s="158"/>
    </row>
    <row r="537" spans="1:18" ht="12.75" customHeight="1" x14ac:dyDescent="0.3">
      <c r="A537" s="36"/>
      <c r="B537" s="36" t="s">
        <v>2230</v>
      </c>
      <c r="C537" s="29"/>
      <c r="D537" s="29"/>
      <c r="E537" s="29"/>
      <c r="F537" s="29"/>
      <c r="G537" s="37" t="s">
        <v>2246</v>
      </c>
      <c r="H537" s="36" t="s">
        <v>2322</v>
      </c>
      <c r="I537" s="521">
        <f>continental!I158</f>
        <v>0</v>
      </c>
      <c r="J537" s="450"/>
      <c r="K537" s="450"/>
      <c r="L537" s="450"/>
      <c r="M537" s="451"/>
      <c r="N537" s="451"/>
      <c r="O537" s="451"/>
      <c r="P537" s="451"/>
      <c r="Q537" s="451"/>
      <c r="R537" s="158"/>
    </row>
    <row r="538" spans="1:18" ht="12.75" customHeight="1" x14ac:dyDescent="0.3">
      <c r="A538" s="36"/>
      <c r="B538" s="36" t="s">
        <v>2231</v>
      </c>
      <c r="C538" s="29"/>
      <c r="D538" s="29"/>
      <c r="E538" s="29"/>
      <c r="F538" s="29"/>
      <c r="G538" s="37" t="s">
        <v>2247</v>
      </c>
      <c r="H538" s="36" t="s">
        <v>2322</v>
      </c>
      <c r="I538" s="521">
        <f>continental!I159</f>
        <v>0</v>
      </c>
      <c r="J538" s="450"/>
      <c r="K538" s="450"/>
      <c r="L538" s="450"/>
      <c r="M538" s="451"/>
      <c r="N538" s="451"/>
      <c r="O538" s="451"/>
      <c r="P538" s="451"/>
      <c r="Q538" s="451"/>
      <c r="R538" s="158"/>
    </row>
    <row r="539" spans="1:18" ht="12.75" customHeight="1" x14ac:dyDescent="0.3">
      <c r="A539" s="36"/>
      <c r="B539" s="36" t="s">
        <v>2232</v>
      </c>
      <c r="C539" s="29"/>
      <c r="D539" s="29"/>
      <c r="E539" s="29"/>
      <c r="F539" s="29"/>
      <c r="G539" s="37" t="s">
        <v>2248</v>
      </c>
      <c r="H539" s="36" t="s">
        <v>2322</v>
      </c>
      <c r="I539" s="521">
        <f>continental!I160</f>
        <v>0</v>
      </c>
      <c r="J539" s="450"/>
      <c r="K539" s="450"/>
      <c r="L539" s="450"/>
      <c r="M539" s="451"/>
      <c r="N539" s="451"/>
      <c r="O539" s="451"/>
      <c r="P539" s="451"/>
      <c r="Q539" s="451"/>
      <c r="R539" s="158"/>
    </row>
    <row r="540" spans="1:18" ht="12.75" customHeight="1" x14ac:dyDescent="0.3">
      <c r="A540" s="36"/>
      <c r="B540" s="36"/>
      <c r="C540" s="36" t="s">
        <v>1228</v>
      </c>
      <c r="D540" s="29"/>
      <c r="E540" s="29"/>
      <c r="F540" s="29"/>
      <c r="G540" s="94" t="s">
        <v>1062</v>
      </c>
      <c r="H540" s="95" t="s">
        <v>2321</v>
      </c>
      <c r="I540" s="521">
        <f>continental!I161</f>
        <v>0</v>
      </c>
      <c r="J540" s="450"/>
      <c r="K540" s="450"/>
      <c r="L540" s="450"/>
      <c r="M540" s="451"/>
      <c r="N540" s="451"/>
      <c r="O540" s="451"/>
      <c r="P540" s="451"/>
      <c r="Q540" s="451"/>
      <c r="R540" s="158"/>
    </row>
    <row r="541" spans="1:18" ht="12.75" customHeight="1" x14ac:dyDescent="0.3">
      <c r="A541" s="36"/>
      <c r="B541" s="36"/>
      <c r="C541" s="36" t="s">
        <v>1229</v>
      </c>
      <c r="D541" s="29"/>
      <c r="E541" s="29"/>
      <c r="F541" s="29"/>
      <c r="G541" s="94" t="s">
        <v>498</v>
      </c>
      <c r="H541" s="95" t="s">
        <v>2321</v>
      </c>
      <c r="I541" s="521">
        <f>continental!I162</f>
        <v>0</v>
      </c>
      <c r="J541" s="450"/>
      <c r="K541" s="450"/>
      <c r="L541" s="450"/>
      <c r="M541" s="451"/>
      <c r="N541" s="451"/>
      <c r="O541" s="451"/>
      <c r="P541" s="451"/>
      <c r="Q541" s="451"/>
      <c r="R541" s="158"/>
    </row>
    <row r="542" spans="1:18" ht="12.75" customHeight="1" x14ac:dyDescent="0.3">
      <c r="A542" s="36"/>
      <c r="B542" s="36"/>
      <c r="C542" s="29"/>
      <c r="D542" s="36" t="s">
        <v>582</v>
      </c>
      <c r="E542" s="95"/>
      <c r="F542" s="95"/>
      <c r="G542" s="94" t="s">
        <v>500</v>
      </c>
      <c r="H542" s="95" t="s">
        <v>2321</v>
      </c>
      <c r="I542" s="521">
        <f>continental!I163</f>
        <v>0</v>
      </c>
      <c r="J542" s="450"/>
      <c r="K542" s="450"/>
      <c r="L542" s="450"/>
      <c r="M542" s="451"/>
      <c r="N542" s="451"/>
      <c r="O542" s="451"/>
      <c r="P542" s="451"/>
      <c r="Q542" s="451"/>
      <c r="R542" s="158"/>
    </row>
    <row r="543" spans="1:18" ht="12.75" customHeight="1" x14ac:dyDescent="0.3">
      <c r="A543" s="36"/>
      <c r="B543" s="36"/>
      <c r="C543" s="29"/>
      <c r="D543" s="36" t="s">
        <v>1329</v>
      </c>
      <c r="E543" s="95"/>
      <c r="F543" s="95"/>
      <c r="G543" s="94" t="s">
        <v>503</v>
      </c>
      <c r="H543" s="95" t="s">
        <v>2321</v>
      </c>
      <c r="I543" s="521">
        <f>continental!I164</f>
        <v>0</v>
      </c>
      <c r="J543" s="450"/>
      <c r="K543" s="450"/>
      <c r="L543" s="450"/>
      <c r="M543" s="451"/>
      <c r="N543" s="451"/>
      <c r="O543" s="451"/>
      <c r="P543" s="451"/>
      <c r="Q543" s="451"/>
      <c r="R543" s="158"/>
    </row>
    <row r="544" spans="1:18" ht="12.75" customHeight="1" x14ac:dyDescent="0.3">
      <c r="A544" s="36"/>
      <c r="B544" s="36"/>
      <c r="C544" s="29"/>
      <c r="D544" s="36" t="s">
        <v>436</v>
      </c>
      <c r="E544" s="95"/>
      <c r="F544" s="95"/>
      <c r="G544" s="94" t="s">
        <v>660</v>
      </c>
      <c r="H544" s="95" t="s">
        <v>2321</v>
      </c>
      <c r="I544" s="521">
        <f>continental!I165</f>
        <v>0</v>
      </c>
      <c r="J544" s="450"/>
      <c r="K544" s="450"/>
      <c r="L544" s="450">
        <v>2.24071533297921E-13</v>
      </c>
      <c r="M544" s="451">
        <v>2.24071533297921E-13</v>
      </c>
      <c r="N544" s="451">
        <v>2.24071533297921E-13</v>
      </c>
      <c r="O544" s="451">
        <v>2.24071533297921E-13</v>
      </c>
      <c r="P544" s="451">
        <v>2.24071533297921E-13</v>
      </c>
      <c r="Q544" s="451">
        <v>2.24071533297921E-13</v>
      </c>
      <c r="R544" s="158"/>
    </row>
    <row r="545" spans="1:18" ht="12.75" customHeight="1" x14ac:dyDescent="0.3">
      <c r="A545" s="36"/>
      <c r="B545" s="36"/>
      <c r="C545" s="29"/>
      <c r="D545" s="29"/>
      <c r="E545" s="36" t="s">
        <v>440</v>
      </c>
      <c r="F545" s="36"/>
      <c r="G545" s="94" t="s">
        <v>501</v>
      </c>
      <c r="H545" s="36" t="s">
        <v>2323</v>
      </c>
      <c r="I545" s="521">
        <f>continental!I166</f>
        <v>0</v>
      </c>
      <c r="J545" s="450"/>
      <c r="K545" s="450"/>
      <c r="L545" s="450"/>
      <c r="M545" s="451"/>
      <c r="N545" s="451"/>
      <c r="O545" s="451"/>
      <c r="P545" s="451"/>
      <c r="Q545" s="451"/>
      <c r="R545" s="158"/>
    </row>
    <row r="546" spans="1:18" ht="12.75" customHeight="1" x14ac:dyDescent="0.3">
      <c r="A546" s="36"/>
      <c r="B546" s="36"/>
      <c r="C546" s="29"/>
      <c r="D546" s="29"/>
      <c r="E546" s="36" t="s">
        <v>1378</v>
      </c>
      <c r="F546" s="36"/>
      <c r="G546" s="94" t="s">
        <v>502</v>
      </c>
      <c r="H546" s="36" t="s">
        <v>2323</v>
      </c>
      <c r="I546" s="521">
        <f>continental!I167</f>
        <v>0</v>
      </c>
      <c r="J546" s="450"/>
      <c r="K546" s="450"/>
      <c r="L546" s="450"/>
      <c r="M546" s="451"/>
      <c r="N546" s="451"/>
      <c r="O546" s="451"/>
      <c r="P546" s="451"/>
      <c r="Q546" s="451"/>
      <c r="R546" s="158"/>
    </row>
    <row r="547" spans="1:18" ht="12.75" customHeight="1" x14ac:dyDescent="0.3">
      <c r="A547" s="29"/>
      <c r="B547" s="29" t="s">
        <v>2233</v>
      </c>
      <c r="C547" s="95"/>
      <c r="D547" s="95"/>
      <c r="E547" s="29"/>
      <c r="F547" s="29"/>
      <c r="G547" s="37" t="s">
        <v>2249</v>
      </c>
      <c r="H547" s="36" t="s">
        <v>2322</v>
      </c>
      <c r="I547" s="521">
        <f>continental!I168</f>
        <v>0</v>
      </c>
      <c r="J547" s="450"/>
      <c r="K547" s="450"/>
      <c r="L547" s="450"/>
      <c r="M547" s="451"/>
      <c r="N547" s="451"/>
      <c r="O547" s="451"/>
      <c r="P547" s="451"/>
      <c r="Q547" s="451"/>
      <c r="R547" s="158"/>
    </row>
    <row r="548" spans="1:18" ht="12.75" customHeight="1" x14ac:dyDescent="0.3">
      <c r="A548" s="29"/>
      <c r="B548" s="29" t="s">
        <v>2234</v>
      </c>
      <c r="C548" s="95"/>
      <c r="D548" s="95"/>
      <c r="E548" s="29"/>
      <c r="F548" s="29"/>
      <c r="G548" s="37" t="s">
        <v>2250</v>
      </c>
      <c r="H548" s="36" t="s">
        <v>2322</v>
      </c>
      <c r="I548" s="521">
        <f>continental!I169</f>
        <v>0</v>
      </c>
      <c r="J548" s="450"/>
      <c r="K548" s="450"/>
      <c r="L548" s="450"/>
      <c r="M548" s="451"/>
      <c r="N548" s="451"/>
      <c r="O548" s="451"/>
      <c r="P548" s="451"/>
      <c r="Q548" s="451"/>
      <c r="R548" s="158"/>
    </row>
    <row r="549" spans="1:18" ht="12.75" customHeight="1" x14ac:dyDescent="0.3">
      <c r="A549" s="29"/>
      <c r="B549" s="29" t="s">
        <v>2235</v>
      </c>
      <c r="C549" s="95"/>
      <c r="D549" s="95"/>
      <c r="E549" s="29"/>
      <c r="F549" s="95"/>
      <c r="G549" s="37" t="s">
        <v>2251</v>
      </c>
      <c r="H549" s="36" t="s">
        <v>2322</v>
      </c>
      <c r="I549" s="521">
        <f>continental!I170</f>
        <v>0</v>
      </c>
      <c r="J549" s="450"/>
      <c r="K549" s="450"/>
      <c r="L549" s="450"/>
      <c r="M549" s="451"/>
      <c r="N549" s="451"/>
      <c r="O549" s="451"/>
      <c r="P549" s="451"/>
      <c r="Q549" s="451"/>
      <c r="R549" s="158"/>
    </row>
    <row r="550" spans="1:18" ht="12.75" customHeight="1" x14ac:dyDescent="0.3">
      <c r="A550" s="29"/>
      <c r="B550" s="29" t="s">
        <v>2236</v>
      </c>
      <c r="C550" s="95"/>
      <c r="D550" s="95"/>
      <c r="E550" s="29"/>
      <c r="F550" s="95"/>
      <c r="G550" s="37" t="s">
        <v>2252</v>
      </c>
      <c r="H550" s="36" t="s">
        <v>2322</v>
      </c>
      <c r="I550" s="521">
        <f>continental!I171</f>
        <v>0</v>
      </c>
      <c r="J550" s="450"/>
      <c r="K550" s="450"/>
      <c r="L550" s="450"/>
      <c r="M550" s="451"/>
      <c r="N550" s="451"/>
      <c r="O550" s="451"/>
      <c r="P550" s="451"/>
      <c r="Q550" s="451"/>
      <c r="R550" s="158"/>
    </row>
    <row r="551" spans="1:18" ht="12.75" customHeight="1" x14ac:dyDescent="0.3">
      <c r="A551" s="36"/>
      <c r="B551" s="36"/>
      <c r="C551" s="29" t="s">
        <v>1076</v>
      </c>
      <c r="D551" s="29"/>
      <c r="E551" s="95"/>
      <c r="F551" s="95"/>
      <c r="G551" s="29" t="s">
        <v>665</v>
      </c>
      <c r="H551" s="95" t="s">
        <v>2321</v>
      </c>
      <c r="I551" s="521">
        <f>continental!I172</f>
        <v>0</v>
      </c>
      <c r="J551" s="450"/>
      <c r="K551" s="450"/>
      <c r="L551" s="450"/>
      <c r="M551" s="451"/>
      <c r="N551" s="451"/>
      <c r="O551" s="451"/>
      <c r="P551" s="451"/>
      <c r="Q551" s="451"/>
      <c r="R551" s="158"/>
    </row>
    <row r="552" spans="1:18" ht="12.75" customHeight="1" x14ac:dyDescent="0.3">
      <c r="A552" s="36"/>
      <c r="B552" s="36"/>
      <c r="C552" s="29" t="s">
        <v>1230</v>
      </c>
      <c r="D552" s="29"/>
      <c r="E552" s="95"/>
      <c r="F552" s="95"/>
      <c r="G552" s="29" t="s">
        <v>666</v>
      </c>
      <c r="H552" s="95" t="s">
        <v>2321</v>
      </c>
      <c r="I552" s="521">
        <f>continental!I173</f>
        <v>0</v>
      </c>
      <c r="J552" s="450"/>
      <c r="K552" s="450"/>
      <c r="L552" s="450"/>
      <c r="M552" s="451"/>
      <c r="N552" s="451"/>
      <c r="O552" s="451"/>
      <c r="P552" s="451"/>
      <c r="Q552" s="451"/>
      <c r="R552" s="158"/>
    </row>
    <row r="553" spans="1:18" ht="12.75" customHeight="1" x14ac:dyDescent="0.3">
      <c r="A553" s="36"/>
      <c r="B553" s="29"/>
      <c r="C553" s="36"/>
      <c r="D553" s="95"/>
      <c r="E553" s="95"/>
      <c r="F553" s="29"/>
      <c r="G553" s="94"/>
      <c r="H553" s="94"/>
      <c r="I553" s="524"/>
      <c r="J553" s="342"/>
      <c r="K553" s="342"/>
      <c r="L553" s="342"/>
      <c r="M553" s="360"/>
      <c r="N553" s="360"/>
      <c r="O553" s="360"/>
      <c r="P553" s="360"/>
      <c r="Q553" s="471"/>
      <c r="R553" s="158"/>
    </row>
    <row r="554" spans="1:18" ht="12.75" customHeight="1" x14ac:dyDescent="0.3">
      <c r="A554" s="36" t="s">
        <v>80</v>
      </c>
      <c r="B554" s="29"/>
      <c r="C554" s="29"/>
      <c r="D554" s="29"/>
      <c r="E554" s="29"/>
      <c r="F554" s="29"/>
      <c r="G554" s="37" t="s">
        <v>827</v>
      </c>
      <c r="H554" s="36" t="s">
        <v>2307</v>
      </c>
      <c r="I554" s="521">
        <f>continental!I175</f>
        <v>0</v>
      </c>
      <c r="J554" s="450"/>
      <c r="K554" s="450"/>
      <c r="L554" s="450"/>
      <c r="M554" s="451"/>
      <c r="N554" s="451"/>
      <c r="O554" s="451"/>
      <c r="P554" s="451"/>
      <c r="Q554" s="451"/>
      <c r="R554" s="158"/>
    </row>
    <row r="555" spans="1:18" ht="12.75" customHeight="1" x14ac:dyDescent="0.3">
      <c r="A555" s="36" t="s">
        <v>81</v>
      </c>
      <c r="B555" s="29"/>
      <c r="C555" s="29"/>
      <c r="D555" s="29"/>
      <c r="E555" s="29"/>
      <c r="F555" s="29"/>
      <c r="G555" s="37" t="s">
        <v>828</v>
      </c>
      <c r="H555" s="36" t="s">
        <v>2307</v>
      </c>
      <c r="I555" s="521">
        <f>continental!I176</f>
        <v>0</v>
      </c>
      <c r="J555" s="450"/>
      <c r="K555" s="450"/>
      <c r="L555" s="450"/>
      <c r="M555" s="451"/>
      <c r="N555" s="451"/>
      <c r="O555" s="451"/>
      <c r="P555" s="451"/>
      <c r="Q555" s="451"/>
      <c r="R555" s="158"/>
    </row>
    <row r="556" spans="1:18" ht="12.75" customHeight="1" x14ac:dyDescent="0.3">
      <c r="A556" s="36" t="s">
        <v>82</v>
      </c>
      <c r="B556" s="29"/>
      <c r="C556" s="29"/>
      <c r="D556" s="29"/>
      <c r="E556" s="29"/>
      <c r="F556" s="29"/>
      <c r="G556" s="37" t="s">
        <v>829</v>
      </c>
      <c r="H556" s="36" t="s">
        <v>2307</v>
      </c>
      <c r="I556" s="521">
        <f>continental!I177</f>
        <v>0</v>
      </c>
      <c r="J556" s="450"/>
      <c r="K556" s="450"/>
      <c r="L556" s="450"/>
      <c r="M556" s="451"/>
      <c r="N556" s="451"/>
      <c r="O556" s="451"/>
      <c r="P556" s="451"/>
      <c r="Q556" s="451"/>
      <c r="R556" s="158"/>
    </row>
    <row r="557" spans="1:18" ht="12.75" customHeight="1" x14ac:dyDescent="0.3">
      <c r="A557" s="36" t="s">
        <v>3944</v>
      </c>
      <c r="B557" s="29"/>
      <c r="C557" s="29"/>
      <c r="D557" s="29"/>
      <c r="E557" s="29"/>
      <c r="F557" s="29"/>
      <c r="G557" s="37" t="s">
        <v>3932</v>
      </c>
      <c r="H557" s="535" t="s">
        <v>3931</v>
      </c>
      <c r="I557" s="521">
        <f>continental!I178</f>
        <v>0</v>
      </c>
      <c r="J557" s="450"/>
      <c r="K557" s="450"/>
      <c r="L557" s="450"/>
      <c r="M557" s="451"/>
      <c r="N557" s="451"/>
      <c r="O557" s="451"/>
      <c r="P557" s="451"/>
      <c r="Q557" s="451"/>
      <c r="R557" s="158"/>
    </row>
    <row r="558" spans="1:18" ht="12.75" customHeight="1" x14ac:dyDescent="0.3">
      <c r="A558" s="36" t="s">
        <v>3945</v>
      </c>
      <c r="B558" s="29"/>
      <c r="C558" s="29"/>
      <c r="D558" s="29"/>
      <c r="E558" s="29"/>
      <c r="F558" s="29"/>
      <c r="G558" s="37" t="s">
        <v>3933</v>
      </c>
      <c r="H558" s="535" t="s">
        <v>3931</v>
      </c>
      <c r="I558" s="521">
        <f>continental!I179</f>
        <v>0</v>
      </c>
      <c r="J558" s="450"/>
      <c r="K558" s="450"/>
      <c r="L558" s="450"/>
      <c r="M558" s="451"/>
      <c r="N558" s="451"/>
      <c r="O558" s="451"/>
      <c r="P558" s="451"/>
      <c r="Q558" s="451"/>
      <c r="R558" s="158"/>
    </row>
    <row r="559" spans="1:18" ht="12.75" customHeight="1" x14ac:dyDescent="0.3">
      <c r="A559" s="36" t="s">
        <v>3946</v>
      </c>
      <c r="B559" s="29"/>
      <c r="C559" s="29"/>
      <c r="D559" s="29"/>
      <c r="E559" s="29"/>
      <c r="F559" s="29"/>
      <c r="G559" s="37" t="s">
        <v>3934</v>
      </c>
      <c r="H559" s="535" t="s">
        <v>3931</v>
      </c>
      <c r="I559" s="521">
        <f>continental!I180</f>
        <v>0</v>
      </c>
      <c r="J559" s="450"/>
      <c r="K559" s="450"/>
      <c r="L559" s="450"/>
      <c r="M559" s="451"/>
      <c r="N559" s="451"/>
      <c r="O559" s="451"/>
      <c r="P559" s="451"/>
      <c r="Q559" s="451"/>
      <c r="R559" s="158"/>
    </row>
    <row r="560" spans="1:18" ht="12.75" customHeight="1" x14ac:dyDescent="0.3">
      <c r="A560" s="36"/>
      <c r="B560" s="95" t="s">
        <v>1087</v>
      </c>
      <c r="C560" s="29"/>
      <c r="D560" s="95"/>
      <c r="E560" s="95"/>
      <c r="F560" s="95"/>
      <c r="G560" s="94" t="s">
        <v>570</v>
      </c>
      <c r="H560" s="95" t="s">
        <v>2324</v>
      </c>
      <c r="I560" s="521">
        <f>continental!I181</f>
        <v>0</v>
      </c>
      <c r="J560" s="450"/>
      <c r="K560" s="450"/>
      <c r="L560" s="450"/>
      <c r="M560" s="451"/>
      <c r="N560" s="451"/>
      <c r="O560" s="451"/>
      <c r="P560" s="451"/>
      <c r="Q560" s="451"/>
      <c r="R560" s="158"/>
    </row>
    <row r="561" spans="1:18" ht="12.75" customHeight="1" x14ac:dyDescent="0.3">
      <c r="A561" s="36"/>
      <c r="B561" s="95" t="s">
        <v>1088</v>
      </c>
      <c r="C561" s="29"/>
      <c r="D561" s="95"/>
      <c r="E561" s="95"/>
      <c r="F561" s="95"/>
      <c r="G561" s="94" t="s">
        <v>571</v>
      </c>
      <c r="H561" s="95" t="s">
        <v>2324</v>
      </c>
      <c r="I561" s="521">
        <f>continental!I182</f>
        <v>0</v>
      </c>
      <c r="J561" s="450"/>
      <c r="K561" s="450"/>
      <c r="L561" s="450"/>
      <c r="M561" s="451"/>
      <c r="N561" s="451"/>
      <c r="O561" s="451"/>
      <c r="P561" s="451"/>
      <c r="Q561" s="451"/>
      <c r="R561" s="158"/>
    </row>
    <row r="562" spans="1:18" ht="12.75" customHeight="1" x14ac:dyDescent="0.3">
      <c r="A562" s="36"/>
      <c r="B562" s="95" t="s">
        <v>461</v>
      </c>
      <c r="C562" s="29"/>
      <c r="D562" s="95"/>
      <c r="E562" s="95"/>
      <c r="F562" s="95"/>
      <c r="G562" s="94" t="s">
        <v>1541</v>
      </c>
      <c r="H562" s="95" t="s">
        <v>2324</v>
      </c>
      <c r="I562" s="521">
        <f>continental!I183</f>
        <v>0</v>
      </c>
      <c r="J562" s="450"/>
      <c r="K562" s="450"/>
      <c r="L562" s="450"/>
      <c r="M562" s="451"/>
      <c r="N562" s="451"/>
      <c r="O562" s="451"/>
      <c r="P562" s="451"/>
      <c r="Q562" s="451"/>
      <c r="R562" s="158"/>
    </row>
    <row r="563" spans="1:18" ht="12.75" customHeight="1" x14ac:dyDescent="0.3">
      <c r="A563" s="36"/>
      <c r="B563" s="36" t="s">
        <v>17</v>
      </c>
      <c r="C563" s="29"/>
      <c r="D563" s="95"/>
      <c r="E563" s="95"/>
      <c r="F563" s="95"/>
      <c r="G563" s="94" t="s">
        <v>1009</v>
      </c>
      <c r="H563" s="36" t="s">
        <v>36</v>
      </c>
      <c r="I563" s="521">
        <f>continental!I184</f>
        <v>0</v>
      </c>
      <c r="J563" s="450"/>
      <c r="K563" s="450"/>
      <c r="L563" s="450"/>
      <c r="M563" s="451"/>
      <c r="N563" s="451"/>
      <c r="O563" s="451"/>
      <c r="P563" s="451"/>
      <c r="Q563" s="451"/>
      <c r="R563" s="158"/>
    </row>
    <row r="564" spans="1:18" ht="12.75" customHeight="1" x14ac:dyDescent="0.3">
      <c r="A564" s="36"/>
      <c r="B564" s="36" t="s">
        <v>733</v>
      </c>
      <c r="C564" s="29"/>
      <c r="D564" s="95"/>
      <c r="E564" s="95"/>
      <c r="F564" s="95"/>
      <c r="G564" s="94" t="s">
        <v>1010</v>
      </c>
      <c r="H564" s="36" t="s">
        <v>36</v>
      </c>
      <c r="I564" s="521">
        <f>continental!I185</f>
        <v>0</v>
      </c>
      <c r="J564" s="450"/>
      <c r="K564" s="450"/>
      <c r="L564" s="450"/>
      <c r="M564" s="451"/>
      <c r="N564" s="451"/>
      <c r="O564" s="451"/>
      <c r="P564" s="451"/>
      <c r="Q564" s="451"/>
      <c r="R564" s="158"/>
    </row>
    <row r="565" spans="1:18" ht="12.75" customHeight="1" x14ac:dyDescent="0.3">
      <c r="A565" s="36"/>
      <c r="B565" s="36" t="s">
        <v>870</v>
      </c>
      <c r="C565" s="29"/>
      <c r="D565" s="95"/>
      <c r="E565" s="95"/>
      <c r="F565" s="95"/>
      <c r="G565" s="94" t="s">
        <v>1011</v>
      </c>
      <c r="H565" s="36" t="s">
        <v>36</v>
      </c>
      <c r="I565" s="521">
        <f>continental!I186</f>
        <v>0</v>
      </c>
      <c r="J565" s="450"/>
      <c r="K565" s="450"/>
      <c r="L565" s="450"/>
      <c r="M565" s="451"/>
      <c r="N565" s="451"/>
      <c r="O565" s="451"/>
      <c r="P565" s="451"/>
      <c r="Q565" s="451"/>
      <c r="R565" s="158"/>
    </row>
    <row r="566" spans="1:18" ht="12.75" customHeight="1" x14ac:dyDescent="0.3">
      <c r="A566" s="36"/>
      <c r="B566" s="29" t="s">
        <v>185</v>
      </c>
      <c r="C566" s="29"/>
      <c r="D566" s="95"/>
      <c r="E566" s="95"/>
      <c r="F566" s="95"/>
      <c r="G566" s="37" t="s">
        <v>908</v>
      </c>
      <c r="H566" s="29" t="s">
        <v>36</v>
      </c>
      <c r="I566" s="521">
        <f>continental!I187</f>
        <v>0</v>
      </c>
      <c r="J566" s="450"/>
      <c r="K566" s="450"/>
      <c r="L566" s="450">
        <v>1</v>
      </c>
      <c r="M566" s="451">
        <v>1</v>
      </c>
      <c r="N566" s="451">
        <v>1</v>
      </c>
      <c r="O566" s="451">
        <v>1</v>
      </c>
      <c r="P566" s="451"/>
      <c r="Q566" s="451">
        <v>1</v>
      </c>
      <c r="R566" s="158"/>
    </row>
    <row r="567" spans="1:18" ht="12.75" customHeight="1" x14ac:dyDescent="0.3">
      <c r="A567" s="36"/>
      <c r="B567" s="29" t="s">
        <v>185</v>
      </c>
      <c r="C567" s="29"/>
      <c r="D567" s="95"/>
      <c r="E567" s="95"/>
      <c r="F567" s="95"/>
      <c r="G567" s="37" t="s">
        <v>909</v>
      </c>
      <c r="H567" s="29" t="s">
        <v>36</v>
      </c>
      <c r="I567" s="521">
        <f>continental!I188</f>
        <v>0</v>
      </c>
      <c r="J567" s="450"/>
      <c r="K567" s="450"/>
      <c r="L567" s="450">
        <v>1</v>
      </c>
      <c r="M567" s="451">
        <v>1</v>
      </c>
      <c r="N567" s="451">
        <v>1</v>
      </c>
      <c r="O567" s="451">
        <v>1</v>
      </c>
      <c r="P567" s="451"/>
      <c r="Q567" s="451">
        <v>1</v>
      </c>
      <c r="R567" s="158"/>
    </row>
    <row r="568" spans="1:18" ht="12.75" customHeight="1" x14ac:dyDescent="0.3">
      <c r="A568" s="36"/>
      <c r="B568" s="29" t="s">
        <v>185</v>
      </c>
      <c r="C568" s="29"/>
      <c r="D568" s="95"/>
      <c r="E568" s="95"/>
      <c r="F568" s="95"/>
      <c r="G568" s="37" t="s">
        <v>910</v>
      </c>
      <c r="H568" s="29" t="s">
        <v>36</v>
      </c>
      <c r="I568" s="521">
        <f>continental!I189</f>
        <v>0</v>
      </c>
      <c r="J568" s="450"/>
      <c r="K568" s="450"/>
      <c r="L568" s="450">
        <v>1</v>
      </c>
      <c r="M568" s="451">
        <v>1</v>
      </c>
      <c r="N568" s="451">
        <v>1</v>
      </c>
      <c r="O568" s="451">
        <v>1</v>
      </c>
      <c r="P568" s="451"/>
      <c r="Q568" s="451">
        <v>1</v>
      </c>
      <c r="R568" s="158"/>
    </row>
    <row r="569" spans="1:18" ht="12.75" customHeight="1" x14ac:dyDescent="0.3">
      <c r="A569" s="29"/>
      <c r="B569" s="29"/>
      <c r="C569" s="29"/>
      <c r="D569" s="29"/>
      <c r="E569" s="29"/>
      <c r="F569" s="29"/>
      <c r="G569" s="29"/>
      <c r="H569" s="29"/>
      <c r="I569" s="456"/>
      <c r="J569" s="339"/>
      <c r="K569" s="339"/>
      <c r="L569" s="339"/>
      <c r="M569" s="282"/>
      <c r="N569" s="282"/>
      <c r="O569" s="282"/>
      <c r="P569" s="282"/>
      <c r="Q569" s="282"/>
      <c r="R569" s="158"/>
    </row>
    <row r="570" spans="1:18" ht="12.75" customHeight="1" x14ac:dyDescent="0.3">
      <c r="A570" s="98" t="s">
        <v>419</v>
      </c>
      <c r="B570" s="97"/>
      <c r="C570" s="97"/>
      <c r="D570" s="97"/>
      <c r="E570" s="97"/>
      <c r="F570" s="97"/>
      <c r="G570" s="97"/>
      <c r="H570" s="97"/>
      <c r="I570" s="340" t="s">
        <v>754</v>
      </c>
      <c r="J570" s="364"/>
      <c r="K570" s="364"/>
      <c r="L570" s="364"/>
      <c r="M570" s="469"/>
      <c r="N570" s="469"/>
      <c r="O570" s="469"/>
      <c r="P570" s="469"/>
      <c r="Q570" s="469"/>
      <c r="R570" s="158"/>
    </row>
    <row r="571" spans="1:18" ht="12.75" customHeight="1" x14ac:dyDescent="0.3">
      <c r="A571" s="36"/>
      <c r="B571" s="29"/>
      <c r="C571" s="29"/>
      <c r="D571" s="29"/>
      <c r="E571" s="29"/>
      <c r="F571" s="29"/>
      <c r="G571" s="29"/>
      <c r="H571" s="29"/>
      <c r="I571" s="342"/>
      <c r="J571" s="339"/>
      <c r="K571" s="339"/>
      <c r="L571" s="339"/>
      <c r="M571" s="282"/>
      <c r="N571" s="282"/>
      <c r="O571" s="282"/>
      <c r="P571" s="282"/>
      <c r="Q571" s="282"/>
      <c r="R571" s="158"/>
    </row>
    <row r="572" spans="1:18" ht="12.75" customHeight="1" x14ac:dyDescent="0.3">
      <c r="A572" s="36" t="s">
        <v>224</v>
      </c>
      <c r="B572" s="29"/>
      <c r="C572" s="29"/>
      <c r="D572" s="29"/>
      <c r="E572" s="29"/>
      <c r="F572" s="29"/>
      <c r="G572" s="37" t="s">
        <v>830</v>
      </c>
      <c r="H572" s="36" t="s">
        <v>2307</v>
      </c>
      <c r="I572" s="521">
        <f>continental!I193</f>
        <v>0</v>
      </c>
      <c r="J572" s="450"/>
      <c r="K572" s="450"/>
      <c r="L572" s="450"/>
      <c r="M572" s="451"/>
      <c r="N572" s="451"/>
      <c r="O572" s="451"/>
      <c r="P572" s="451"/>
      <c r="Q572" s="451"/>
      <c r="R572" s="158"/>
    </row>
    <row r="573" spans="1:18" ht="12.75" customHeight="1" x14ac:dyDescent="0.3">
      <c r="A573" s="36" t="s">
        <v>304</v>
      </c>
      <c r="B573" s="29"/>
      <c r="C573" s="29"/>
      <c r="D573" s="29"/>
      <c r="E573" s="29"/>
      <c r="F573" s="29"/>
      <c r="G573" s="37" t="s">
        <v>353</v>
      </c>
      <c r="H573" s="36" t="s">
        <v>2307</v>
      </c>
      <c r="I573" s="521">
        <f>continental!I194</f>
        <v>0</v>
      </c>
      <c r="J573" s="450"/>
      <c r="K573" s="450"/>
      <c r="L573" s="450"/>
      <c r="M573" s="451"/>
      <c r="N573" s="451"/>
      <c r="O573" s="451"/>
      <c r="P573" s="451"/>
      <c r="Q573" s="451"/>
      <c r="R573" s="158"/>
    </row>
    <row r="574" spans="1:18" ht="12.75" customHeight="1" x14ac:dyDescent="0.3">
      <c r="A574" s="36" t="s">
        <v>253</v>
      </c>
      <c r="B574" s="29"/>
      <c r="C574" s="29"/>
      <c r="D574" s="29"/>
      <c r="E574" s="29"/>
      <c r="F574" s="29"/>
      <c r="G574" s="37" t="s">
        <v>831</v>
      </c>
      <c r="H574" s="36" t="s">
        <v>2307</v>
      </c>
      <c r="I574" s="521">
        <f>continental!I195</f>
        <v>0</v>
      </c>
      <c r="J574" s="450"/>
      <c r="K574" s="450"/>
      <c r="L574" s="450"/>
      <c r="M574" s="451"/>
      <c r="N574" s="451"/>
      <c r="O574" s="451"/>
      <c r="P574" s="451"/>
      <c r="Q574" s="451"/>
      <c r="R574" s="158"/>
    </row>
    <row r="575" spans="1:18" ht="12.75" customHeight="1" x14ac:dyDescent="0.3">
      <c r="A575" s="36" t="s">
        <v>254</v>
      </c>
      <c r="B575" s="29"/>
      <c r="C575" s="29"/>
      <c r="D575" s="29"/>
      <c r="E575" s="29"/>
      <c r="F575" s="29"/>
      <c r="G575" s="37" t="s">
        <v>832</v>
      </c>
      <c r="H575" s="36" t="s">
        <v>2307</v>
      </c>
      <c r="I575" s="521">
        <f>continental!I196</f>
        <v>0</v>
      </c>
      <c r="J575" s="450"/>
      <c r="K575" s="450"/>
      <c r="L575" s="450"/>
      <c r="M575" s="451"/>
      <c r="N575" s="451"/>
      <c r="O575" s="451"/>
      <c r="P575" s="451"/>
      <c r="Q575" s="451"/>
      <c r="R575" s="158"/>
    </row>
    <row r="576" spans="1:18" ht="12.75" customHeight="1" x14ac:dyDescent="0.3">
      <c r="A576" s="36" t="s">
        <v>256</v>
      </c>
      <c r="B576" s="29"/>
      <c r="C576" s="29"/>
      <c r="D576" s="29"/>
      <c r="E576" s="29"/>
      <c r="F576" s="29"/>
      <c r="G576" s="37" t="s">
        <v>833</v>
      </c>
      <c r="H576" s="36" t="s">
        <v>2307</v>
      </c>
      <c r="I576" s="521">
        <f>continental!I197</f>
        <v>0</v>
      </c>
      <c r="J576" s="450"/>
      <c r="K576" s="450"/>
      <c r="L576" s="450"/>
      <c r="M576" s="451"/>
      <c r="N576" s="451"/>
      <c r="O576" s="451"/>
      <c r="P576" s="451"/>
      <c r="Q576" s="451"/>
      <c r="R576" s="158"/>
    </row>
    <row r="577" spans="1:18" ht="12.75" customHeight="1" x14ac:dyDescent="0.3">
      <c r="A577" s="36" t="s">
        <v>257</v>
      </c>
      <c r="B577" s="29"/>
      <c r="C577" s="29"/>
      <c r="D577" s="29"/>
      <c r="E577" s="29"/>
      <c r="F577" s="29"/>
      <c r="G577" s="37" t="s">
        <v>834</v>
      </c>
      <c r="H577" s="36" t="s">
        <v>2307</v>
      </c>
      <c r="I577" s="521">
        <f>continental!I198</f>
        <v>0</v>
      </c>
      <c r="J577" s="450"/>
      <c r="K577" s="450"/>
      <c r="L577" s="450"/>
      <c r="M577" s="451"/>
      <c r="N577" s="451"/>
      <c r="O577" s="451"/>
      <c r="P577" s="451"/>
      <c r="Q577" s="451"/>
      <c r="R577" s="158"/>
    </row>
    <row r="578" spans="1:18" ht="12.75" customHeight="1" x14ac:dyDescent="0.3">
      <c r="A578" s="36" t="s">
        <v>226</v>
      </c>
      <c r="B578" s="29"/>
      <c r="C578" s="29"/>
      <c r="D578" s="29"/>
      <c r="E578" s="29"/>
      <c r="F578" s="29"/>
      <c r="G578" s="37" t="s">
        <v>835</v>
      </c>
      <c r="H578" s="36" t="s">
        <v>2307</v>
      </c>
      <c r="I578" s="521">
        <f>continental!I199</f>
        <v>0</v>
      </c>
      <c r="J578" s="450"/>
      <c r="K578" s="450"/>
      <c r="L578" s="450"/>
      <c r="M578" s="451"/>
      <c r="N578" s="451"/>
      <c r="O578" s="451"/>
      <c r="P578" s="451"/>
      <c r="Q578" s="451"/>
      <c r="R578" s="158"/>
    </row>
    <row r="579" spans="1:18" ht="12.75" customHeight="1" x14ac:dyDescent="0.3">
      <c r="A579" s="36" t="s">
        <v>226</v>
      </c>
      <c r="B579" s="29"/>
      <c r="C579" s="29"/>
      <c r="D579" s="29"/>
      <c r="E579" s="29"/>
      <c r="F579" s="29"/>
      <c r="G579" s="37" t="s">
        <v>836</v>
      </c>
      <c r="H579" s="36" t="s">
        <v>2307</v>
      </c>
      <c r="I579" s="521">
        <f>continental!I200</f>
        <v>0</v>
      </c>
      <c r="J579" s="450"/>
      <c r="K579" s="450"/>
      <c r="L579" s="450"/>
      <c r="M579" s="451"/>
      <c r="N579" s="451"/>
      <c r="O579" s="451"/>
      <c r="P579" s="451"/>
      <c r="Q579" s="451"/>
      <c r="R579" s="158"/>
    </row>
    <row r="580" spans="1:18" ht="12.75" customHeight="1" x14ac:dyDescent="0.3">
      <c r="A580" s="36" t="s">
        <v>226</v>
      </c>
      <c r="B580" s="29"/>
      <c r="C580" s="29"/>
      <c r="D580" s="29"/>
      <c r="E580" s="29"/>
      <c r="F580" s="29"/>
      <c r="G580" s="37" t="s">
        <v>837</v>
      </c>
      <c r="H580" s="36" t="s">
        <v>2307</v>
      </c>
      <c r="I580" s="521">
        <f>continental!I201</f>
        <v>0</v>
      </c>
      <c r="J580" s="450"/>
      <c r="K580" s="450"/>
      <c r="L580" s="450"/>
      <c r="M580" s="451"/>
      <c r="N580" s="451"/>
      <c r="O580" s="451"/>
      <c r="P580" s="451"/>
      <c r="Q580" s="451"/>
      <c r="R580" s="158"/>
    </row>
    <row r="581" spans="1:18" ht="12.75" customHeight="1" x14ac:dyDescent="0.3">
      <c r="A581" s="36"/>
      <c r="B581" s="36" t="s">
        <v>796</v>
      </c>
      <c r="C581" s="95"/>
      <c r="D581" s="29"/>
      <c r="E581" s="29"/>
      <c r="F581" s="29"/>
      <c r="G581" s="94" t="s">
        <v>197</v>
      </c>
      <c r="H581" s="36" t="s">
        <v>2307</v>
      </c>
      <c r="I581" s="521">
        <f>continental!I202</f>
        <v>0</v>
      </c>
      <c r="J581" s="450"/>
      <c r="K581" s="450"/>
      <c r="L581" s="450"/>
      <c r="M581" s="451"/>
      <c r="N581" s="451"/>
      <c r="O581" s="451"/>
      <c r="P581" s="451"/>
      <c r="Q581" s="451"/>
      <c r="R581" s="158"/>
    </row>
    <row r="582" spans="1:18" ht="12.75" customHeight="1" x14ac:dyDescent="0.3">
      <c r="A582" s="36"/>
      <c r="B582" s="36" t="s">
        <v>797</v>
      </c>
      <c r="C582" s="29"/>
      <c r="D582" s="29"/>
      <c r="E582" s="29"/>
      <c r="F582" s="29"/>
      <c r="G582" s="37" t="s">
        <v>1203</v>
      </c>
      <c r="H582" s="36" t="s">
        <v>2307</v>
      </c>
      <c r="I582" s="521">
        <f>continental!I203</f>
        <v>0</v>
      </c>
      <c r="J582" s="450"/>
      <c r="K582" s="450"/>
      <c r="L582" s="450"/>
      <c r="M582" s="451"/>
      <c r="N582" s="451"/>
      <c r="O582" s="451"/>
      <c r="P582" s="451"/>
      <c r="Q582" s="451"/>
      <c r="R582" s="158"/>
    </row>
    <row r="583" spans="1:18" ht="12.75" customHeight="1" x14ac:dyDescent="0.3">
      <c r="A583" s="95"/>
      <c r="B583" s="95"/>
      <c r="C583" s="36" t="s">
        <v>187</v>
      </c>
      <c r="D583" s="29"/>
      <c r="E583" s="29"/>
      <c r="F583" s="29"/>
      <c r="G583" s="37" t="s">
        <v>188</v>
      </c>
      <c r="H583" s="36" t="s">
        <v>2308</v>
      </c>
      <c r="I583" s="521">
        <f>continental!I204</f>
        <v>0</v>
      </c>
      <c r="J583" s="450"/>
      <c r="K583" s="450"/>
      <c r="L583" s="450"/>
      <c r="M583" s="451"/>
      <c r="N583" s="451"/>
      <c r="O583" s="451"/>
      <c r="P583" s="451"/>
      <c r="Q583" s="451"/>
      <c r="R583" s="158"/>
    </row>
    <row r="584" spans="1:18" ht="12.75" customHeight="1" x14ac:dyDescent="0.3">
      <c r="A584" s="95"/>
      <c r="B584" s="95"/>
      <c r="C584" s="36" t="s">
        <v>35</v>
      </c>
      <c r="D584" s="29"/>
      <c r="E584" s="29"/>
      <c r="F584" s="29"/>
      <c r="G584" s="37" t="s">
        <v>189</v>
      </c>
      <c r="H584" s="36" t="s">
        <v>36</v>
      </c>
      <c r="I584" s="521">
        <f>continental!I205</f>
        <v>0</v>
      </c>
      <c r="J584" s="450"/>
      <c r="K584" s="450"/>
      <c r="L584" s="450"/>
      <c r="M584" s="451"/>
      <c r="N584" s="451"/>
      <c r="O584" s="451"/>
      <c r="P584" s="451"/>
      <c r="Q584" s="451"/>
      <c r="R584" s="158"/>
    </row>
    <row r="585" spans="1:18" ht="12.75" customHeight="1" x14ac:dyDescent="0.3">
      <c r="A585" s="36"/>
      <c r="B585" s="36" t="s">
        <v>325</v>
      </c>
      <c r="C585" s="29"/>
      <c r="D585" s="29"/>
      <c r="E585" s="29"/>
      <c r="F585" s="29"/>
      <c r="G585" s="37" t="s">
        <v>354</v>
      </c>
      <c r="H585" s="36" t="s">
        <v>2307</v>
      </c>
      <c r="I585" s="521">
        <f>continental!I206</f>
        <v>0</v>
      </c>
      <c r="J585" s="450"/>
      <c r="K585" s="450"/>
      <c r="L585" s="450"/>
      <c r="M585" s="451"/>
      <c r="N585" s="451"/>
      <c r="O585" s="451"/>
      <c r="P585" s="451"/>
      <c r="Q585" s="451"/>
      <c r="R585" s="158"/>
    </row>
    <row r="586" spans="1:18" ht="12.75" customHeight="1" x14ac:dyDescent="0.3">
      <c r="A586" s="36"/>
      <c r="B586" s="36" t="s">
        <v>798</v>
      </c>
      <c r="C586" s="29"/>
      <c r="D586" s="29"/>
      <c r="E586" s="29"/>
      <c r="F586" s="29"/>
      <c r="G586" s="37" t="s">
        <v>1012</v>
      </c>
      <c r="H586" s="36" t="s">
        <v>2307</v>
      </c>
      <c r="I586" s="521">
        <f>continental!I207</f>
        <v>0</v>
      </c>
      <c r="J586" s="450"/>
      <c r="K586" s="450"/>
      <c r="L586" s="450"/>
      <c r="M586" s="451"/>
      <c r="N586" s="451"/>
      <c r="O586" s="451"/>
      <c r="P586" s="451"/>
      <c r="Q586" s="451"/>
      <c r="R586" s="158"/>
    </row>
    <row r="587" spans="1:18" ht="12.75" customHeight="1" x14ac:dyDescent="0.3">
      <c r="A587" s="36"/>
      <c r="B587" s="36" t="s">
        <v>799</v>
      </c>
      <c r="C587" s="29"/>
      <c r="D587" s="29"/>
      <c r="E587" s="29"/>
      <c r="F587" s="29"/>
      <c r="G587" s="37" t="s">
        <v>1013</v>
      </c>
      <c r="H587" s="36" t="s">
        <v>2307</v>
      </c>
      <c r="I587" s="521">
        <f>continental!I208</f>
        <v>0</v>
      </c>
      <c r="J587" s="450"/>
      <c r="K587" s="450"/>
      <c r="L587" s="450"/>
      <c r="M587" s="451"/>
      <c r="N587" s="451"/>
      <c r="O587" s="451"/>
      <c r="P587" s="451"/>
      <c r="Q587" s="451"/>
      <c r="R587" s="158"/>
    </row>
    <row r="588" spans="1:18" ht="12.75" customHeight="1" x14ac:dyDescent="0.3">
      <c r="A588" s="36"/>
      <c r="B588" s="36"/>
      <c r="C588" s="36" t="s">
        <v>326</v>
      </c>
      <c r="D588" s="29"/>
      <c r="E588" s="29"/>
      <c r="F588" s="29"/>
      <c r="G588" s="94" t="s">
        <v>355</v>
      </c>
      <c r="H588" s="36" t="s">
        <v>730</v>
      </c>
      <c r="I588" s="521">
        <f>continental!I209</f>
        <v>0</v>
      </c>
      <c r="J588" s="450"/>
      <c r="K588" s="450"/>
      <c r="L588" s="450"/>
      <c r="M588" s="451"/>
      <c r="N588" s="451"/>
      <c r="O588" s="451"/>
      <c r="P588" s="451"/>
      <c r="Q588" s="451"/>
      <c r="R588" s="158"/>
    </row>
    <row r="589" spans="1:18" ht="12.75" customHeight="1" x14ac:dyDescent="0.3">
      <c r="A589" s="36"/>
      <c r="B589" s="36"/>
      <c r="C589" s="36" t="s">
        <v>585</v>
      </c>
      <c r="D589" s="29"/>
      <c r="E589" s="29"/>
      <c r="F589" s="29"/>
      <c r="G589" s="94" t="s">
        <v>686</v>
      </c>
      <c r="H589" s="36" t="s">
        <v>730</v>
      </c>
      <c r="I589" s="521">
        <f>continental!I210</f>
        <v>0</v>
      </c>
      <c r="J589" s="450"/>
      <c r="K589" s="450"/>
      <c r="L589" s="450"/>
      <c r="M589" s="451"/>
      <c r="N589" s="451"/>
      <c r="O589" s="451"/>
      <c r="P589" s="451"/>
      <c r="Q589" s="451"/>
      <c r="R589" s="158"/>
    </row>
    <row r="590" spans="1:18" ht="12.75" customHeight="1" x14ac:dyDescent="0.3">
      <c r="A590" s="36"/>
      <c r="B590" s="36"/>
      <c r="C590" s="36" t="s">
        <v>1451</v>
      </c>
      <c r="D590" s="29"/>
      <c r="E590" s="29"/>
      <c r="F590" s="29"/>
      <c r="G590" s="94" t="s">
        <v>687</v>
      </c>
      <c r="H590" s="36" t="s">
        <v>730</v>
      </c>
      <c r="I590" s="521">
        <f>continental!I211</f>
        <v>0</v>
      </c>
      <c r="J590" s="450"/>
      <c r="K590" s="450"/>
      <c r="L590" s="450"/>
      <c r="M590" s="451"/>
      <c r="N590" s="451"/>
      <c r="O590" s="451"/>
      <c r="P590" s="451"/>
      <c r="Q590" s="451"/>
      <c r="R590" s="158"/>
    </row>
    <row r="591" spans="1:18" ht="12.75" customHeight="1" x14ac:dyDescent="0.3">
      <c r="A591" s="95"/>
      <c r="B591" s="95"/>
      <c r="C591" s="36" t="s">
        <v>766</v>
      </c>
      <c r="D591" s="29"/>
      <c r="E591" s="29"/>
      <c r="F591" s="29"/>
      <c r="G591" s="37" t="s">
        <v>540</v>
      </c>
      <c r="H591" s="36" t="s">
        <v>36</v>
      </c>
      <c r="I591" s="521">
        <f>continental!I212</f>
        <v>0</v>
      </c>
      <c r="J591" s="450"/>
      <c r="K591" s="450"/>
      <c r="L591" s="450"/>
      <c r="M591" s="451"/>
      <c r="N591" s="451"/>
      <c r="O591" s="451"/>
      <c r="P591" s="451"/>
      <c r="Q591" s="451"/>
      <c r="R591" s="158"/>
    </row>
    <row r="592" spans="1:18" ht="12.75" customHeight="1" x14ac:dyDescent="0.3">
      <c r="A592" s="36"/>
      <c r="B592" s="36" t="s">
        <v>800</v>
      </c>
      <c r="C592" s="29"/>
      <c r="D592" s="29"/>
      <c r="E592" s="29"/>
      <c r="F592" s="29"/>
      <c r="G592" s="37" t="s">
        <v>1014</v>
      </c>
      <c r="H592" s="36" t="s">
        <v>2307</v>
      </c>
      <c r="I592" s="521">
        <f>continental!I213</f>
        <v>0</v>
      </c>
      <c r="J592" s="450"/>
      <c r="K592" s="450"/>
      <c r="L592" s="450"/>
      <c r="M592" s="451"/>
      <c r="N592" s="451"/>
      <c r="O592" s="451"/>
      <c r="P592" s="451"/>
      <c r="Q592" s="451"/>
      <c r="R592" s="158"/>
    </row>
    <row r="593" spans="1:18" ht="12.75" customHeight="1" x14ac:dyDescent="0.3">
      <c r="A593" s="36"/>
      <c r="B593" s="36" t="s">
        <v>801</v>
      </c>
      <c r="C593" s="29"/>
      <c r="D593" s="29"/>
      <c r="E593" s="29"/>
      <c r="F593" s="29"/>
      <c r="G593" s="37" t="s">
        <v>1292</v>
      </c>
      <c r="H593" s="36" t="s">
        <v>2307</v>
      </c>
      <c r="I593" s="521">
        <f>continental!I214</f>
        <v>0</v>
      </c>
      <c r="J593" s="450"/>
      <c r="K593" s="450"/>
      <c r="L593" s="450"/>
      <c r="M593" s="451"/>
      <c r="N593" s="451"/>
      <c r="O593" s="451"/>
      <c r="P593" s="451"/>
      <c r="Q593" s="451"/>
      <c r="R593" s="158"/>
    </row>
    <row r="594" spans="1:18" ht="12.75" customHeight="1" x14ac:dyDescent="0.3">
      <c r="A594" s="36"/>
      <c r="B594" s="36" t="s">
        <v>802</v>
      </c>
      <c r="C594" s="29"/>
      <c r="D594" s="29"/>
      <c r="E594" s="29"/>
      <c r="F594" s="29"/>
      <c r="G594" s="37" t="s">
        <v>1293</v>
      </c>
      <c r="H594" s="36" t="s">
        <v>2307</v>
      </c>
      <c r="I594" s="521">
        <f>continental!I215</f>
        <v>0</v>
      </c>
      <c r="J594" s="450"/>
      <c r="K594" s="450"/>
      <c r="L594" s="450"/>
      <c r="M594" s="451"/>
      <c r="N594" s="451"/>
      <c r="O594" s="451"/>
      <c r="P594" s="451"/>
      <c r="Q594" s="451"/>
      <c r="R594" s="158"/>
    </row>
    <row r="595" spans="1:18" ht="12.75" customHeight="1" x14ac:dyDescent="0.3">
      <c r="A595" s="36"/>
      <c r="B595" s="36" t="s">
        <v>426</v>
      </c>
      <c r="C595" s="29"/>
      <c r="D595" s="29"/>
      <c r="E595" s="29"/>
      <c r="F595" s="29"/>
      <c r="G595" s="37" t="s">
        <v>1294</v>
      </c>
      <c r="H595" s="36" t="s">
        <v>2307</v>
      </c>
      <c r="I595" s="521">
        <f>continental!I216</f>
        <v>0</v>
      </c>
      <c r="J595" s="450"/>
      <c r="K595" s="450"/>
      <c r="L595" s="450"/>
      <c r="M595" s="451"/>
      <c r="N595" s="451"/>
      <c r="O595" s="451"/>
      <c r="P595" s="451"/>
      <c r="Q595" s="451"/>
      <c r="R595" s="158"/>
    </row>
    <row r="596" spans="1:18" ht="12.75" customHeight="1" x14ac:dyDescent="0.3">
      <c r="A596" s="36"/>
      <c r="B596" s="36" t="s">
        <v>433</v>
      </c>
      <c r="C596" s="29"/>
      <c r="D596" s="29"/>
      <c r="E596" s="29"/>
      <c r="F596" s="29"/>
      <c r="G596" s="37" t="s">
        <v>1202</v>
      </c>
      <c r="H596" s="36" t="s">
        <v>2307</v>
      </c>
      <c r="I596" s="521">
        <f>continental!I217</f>
        <v>0</v>
      </c>
      <c r="J596" s="450"/>
      <c r="K596" s="450"/>
      <c r="L596" s="450"/>
      <c r="M596" s="451"/>
      <c r="N596" s="451"/>
      <c r="O596" s="451"/>
      <c r="P596" s="451"/>
      <c r="Q596" s="451"/>
      <c r="R596" s="158"/>
    </row>
    <row r="597" spans="1:18" ht="12.75" customHeight="1" x14ac:dyDescent="0.3">
      <c r="A597" s="36"/>
      <c r="B597" s="36" t="s">
        <v>1057</v>
      </c>
      <c r="C597" s="29"/>
      <c r="D597" s="29"/>
      <c r="E597" s="29"/>
      <c r="F597" s="29"/>
      <c r="G597" s="94" t="s">
        <v>423</v>
      </c>
      <c r="H597" s="36" t="s">
        <v>36</v>
      </c>
      <c r="I597" s="521">
        <f>continental!I218</f>
        <v>0</v>
      </c>
      <c r="J597" s="450"/>
      <c r="K597" s="450"/>
      <c r="L597" s="450"/>
      <c r="M597" s="451"/>
      <c r="N597" s="451"/>
      <c r="O597" s="451"/>
      <c r="P597" s="451"/>
      <c r="Q597" s="451"/>
      <c r="R597" s="158"/>
    </row>
    <row r="598" spans="1:18" ht="12.75" customHeight="1" x14ac:dyDescent="0.3">
      <c r="A598" s="36"/>
      <c r="B598" s="36" t="s">
        <v>1058</v>
      </c>
      <c r="C598" s="29"/>
      <c r="D598" s="29"/>
      <c r="E598" s="29"/>
      <c r="F598" s="29"/>
      <c r="G598" s="94" t="s">
        <v>424</v>
      </c>
      <c r="H598" s="36" t="s">
        <v>36</v>
      </c>
      <c r="I598" s="521">
        <f>continental!I219</f>
        <v>0</v>
      </c>
      <c r="J598" s="450"/>
      <c r="K598" s="450"/>
      <c r="L598" s="450"/>
      <c r="M598" s="451"/>
      <c r="N598" s="451"/>
      <c r="O598" s="451"/>
      <c r="P598" s="451"/>
      <c r="Q598" s="451"/>
      <c r="R598" s="158"/>
    </row>
    <row r="599" spans="1:18" ht="12.75" customHeight="1" x14ac:dyDescent="0.3">
      <c r="A599" s="29"/>
      <c r="B599" s="36" t="s">
        <v>584</v>
      </c>
      <c r="C599" s="29"/>
      <c r="D599" s="29"/>
      <c r="E599" s="29"/>
      <c r="F599" s="29"/>
      <c r="G599" s="94" t="s">
        <v>425</v>
      </c>
      <c r="H599" s="36" t="s">
        <v>36</v>
      </c>
      <c r="I599" s="521">
        <f>continental!I220</f>
        <v>0</v>
      </c>
      <c r="J599" s="450"/>
      <c r="K599" s="450"/>
      <c r="L599" s="450"/>
      <c r="M599" s="451"/>
      <c r="N599" s="451"/>
      <c r="O599" s="451"/>
      <c r="P599" s="451"/>
      <c r="Q599" s="451"/>
      <c r="R599" s="158"/>
    </row>
    <row r="600" spans="1:18" ht="12.75" customHeight="1" x14ac:dyDescent="0.3">
      <c r="A600" s="36"/>
      <c r="B600" s="29" t="s">
        <v>185</v>
      </c>
      <c r="C600" s="29"/>
      <c r="D600" s="95"/>
      <c r="E600" s="95"/>
      <c r="F600" s="95"/>
      <c r="G600" s="37" t="s">
        <v>911</v>
      </c>
      <c r="H600" s="29" t="s">
        <v>36</v>
      </c>
      <c r="I600" s="521">
        <f>continental!I221</f>
        <v>0</v>
      </c>
      <c r="J600" s="450"/>
      <c r="K600" s="450"/>
      <c r="L600" s="450">
        <v>1</v>
      </c>
      <c r="M600" s="451">
        <v>1</v>
      </c>
      <c r="N600" s="451">
        <v>1</v>
      </c>
      <c r="O600" s="451">
        <v>1</v>
      </c>
      <c r="P600" s="451"/>
      <c r="Q600" s="451">
        <v>1</v>
      </c>
      <c r="R600" s="158"/>
    </row>
    <row r="601" spans="1:18" ht="12.75" customHeight="1" x14ac:dyDescent="0.3">
      <c r="A601" s="36"/>
      <c r="B601" s="29" t="s">
        <v>185</v>
      </c>
      <c r="C601" s="29"/>
      <c r="D601" s="95"/>
      <c r="E601" s="95"/>
      <c r="F601" s="95"/>
      <c r="G601" s="37" t="s">
        <v>912</v>
      </c>
      <c r="H601" s="29" t="s">
        <v>36</v>
      </c>
      <c r="I601" s="521">
        <f>continental!I222</f>
        <v>0</v>
      </c>
      <c r="J601" s="450"/>
      <c r="K601" s="450"/>
      <c r="L601" s="450">
        <v>1</v>
      </c>
      <c r="M601" s="451">
        <v>1</v>
      </c>
      <c r="N601" s="451">
        <v>1</v>
      </c>
      <c r="O601" s="451">
        <v>1</v>
      </c>
      <c r="P601" s="451"/>
      <c r="Q601" s="451">
        <v>1</v>
      </c>
      <c r="R601" s="158"/>
    </row>
    <row r="602" spans="1:18" ht="12.75" customHeight="1" x14ac:dyDescent="0.3">
      <c r="A602" s="36"/>
      <c r="B602" s="29" t="s">
        <v>185</v>
      </c>
      <c r="C602" s="29"/>
      <c r="D602" s="95"/>
      <c r="E602" s="95"/>
      <c r="F602" s="95"/>
      <c r="G602" s="37" t="s">
        <v>913</v>
      </c>
      <c r="H602" s="29" t="s">
        <v>36</v>
      </c>
      <c r="I602" s="521">
        <f>continental!I223</f>
        <v>0</v>
      </c>
      <c r="J602" s="450"/>
      <c r="K602" s="450"/>
      <c r="L602" s="450">
        <v>1</v>
      </c>
      <c r="M602" s="451">
        <v>1</v>
      </c>
      <c r="N602" s="451">
        <v>1</v>
      </c>
      <c r="O602" s="451">
        <v>1</v>
      </c>
      <c r="P602" s="451"/>
      <c r="Q602" s="451">
        <v>1</v>
      </c>
      <c r="R602" s="158"/>
    </row>
    <row r="603" spans="1:18" ht="12.75" customHeight="1" x14ac:dyDescent="0.3">
      <c r="A603" s="134"/>
      <c r="B603" s="134"/>
      <c r="C603" s="134"/>
      <c r="D603" s="134"/>
      <c r="E603" s="134"/>
      <c r="F603" s="134"/>
      <c r="G603" s="134"/>
      <c r="H603" s="134"/>
      <c r="I603" s="525"/>
      <c r="J603" s="356"/>
      <c r="K603" s="356"/>
      <c r="L603" s="356"/>
      <c r="M603" s="470"/>
      <c r="N603" s="470"/>
      <c r="O603" s="470"/>
      <c r="P603" s="470"/>
      <c r="Q603" s="470"/>
      <c r="R603" s="158"/>
    </row>
    <row r="604" spans="1:18" ht="12.75" customHeight="1" x14ac:dyDescent="0.3">
      <c r="A604" s="29"/>
      <c r="B604" s="29"/>
      <c r="C604" s="29"/>
      <c r="D604" s="29"/>
      <c r="E604" s="29"/>
      <c r="F604" s="29"/>
      <c r="G604" s="29"/>
      <c r="H604" s="29"/>
      <c r="I604" s="522"/>
      <c r="J604" s="339"/>
      <c r="K604" s="339"/>
      <c r="L604" s="339"/>
      <c r="M604" s="282"/>
      <c r="N604" s="282"/>
      <c r="O604" s="282"/>
      <c r="P604" s="282"/>
      <c r="Q604" s="282"/>
      <c r="R604" s="158"/>
    </row>
    <row r="605" spans="1:18" ht="12.75" customHeight="1" x14ac:dyDescent="0.3">
      <c r="A605" s="62" t="s">
        <v>1326</v>
      </c>
      <c r="B605" s="29"/>
      <c r="C605" s="29"/>
      <c r="D605" s="29"/>
      <c r="E605" s="29"/>
      <c r="F605" s="29"/>
      <c r="G605" s="29"/>
      <c r="H605" s="29"/>
      <c r="I605" s="522"/>
      <c r="J605" s="339"/>
      <c r="K605" s="339"/>
      <c r="L605" s="339"/>
      <c r="M605" s="282"/>
      <c r="N605" s="282"/>
      <c r="O605" s="282"/>
      <c r="P605" s="282"/>
      <c r="Q605" s="282"/>
      <c r="R605" s="158"/>
    </row>
    <row r="606" spans="1:18" ht="12.75" customHeight="1" x14ac:dyDescent="0.3">
      <c r="A606" s="96"/>
      <c r="B606" s="29"/>
      <c r="C606" s="29"/>
      <c r="D606" s="29"/>
      <c r="E606" s="29"/>
      <c r="F606" s="29"/>
      <c r="G606" s="29"/>
      <c r="H606" s="29"/>
      <c r="I606" s="456"/>
      <c r="J606" s="339"/>
      <c r="K606" s="339"/>
      <c r="L606" s="339"/>
      <c r="M606" s="282"/>
      <c r="N606" s="282"/>
      <c r="O606" s="282"/>
      <c r="P606" s="282"/>
      <c r="Q606" s="282"/>
      <c r="R606" s="158"/>
    </row>
    <row r="607" spans="1:18" ht="12.75" customHeight="1" x14ac:dyDescent="0.3">
      <c r="A607" s="97" t="s">
        <v>1310</v>
      </c>
      <c r="B607" s="97"/>
      <c r="C607" s="97"/>
      <c r="D607" s="97"/>
      <c r="E607" s="97"/>
      <c r="F607" s="97"/>
      <c r="G607" s="97"/>
      <c r="H607" s="97"/>
      <c r="I607" s="340" t="s">
        <v>754</v>
      </c>
      <c r="J607" s="364"/>
      <c r="K607" s="364"/>
      <c r="L607" s="364"/>
      <c r="M607" s="469"/>
      <c r="N607" s="469"/>
      <c r="O607" s="469"/>
      <c r="P607" s="469"/>
      <c r="Q607" s="469"/>
      <c r="R607" s="158"/>
    </row>
    <row r="608" spans="1:18" ht="12.75" customHeight="1" x14ac:dyDescent="0.3">
      <c r="A608" s="29"/>
      <c r="B608" s="29"/>
      <c r="C608" s="29"/>
      <c r="D608" s="29"/>
      <c r="E608" s="29"/>
      <c r="F608" s="29"/>
      <c r="G608" s="29"/>
      <c r="H608" s="29"/>
      <c r="I608" s="342"/>
      <c r="J608" s="339"/>
      <c r="K608" s="339"/>
      <c r="L608" s="339"/>
      <c r="M608" s="282"/>
      <c r="N608" s="282"/>
      <c r="O608" s="282"/>
      <c r="P608" s="282"/>
      <c r="Q608" s="282"/>
      <c r="R608" s="158"/>
    </row>
    <row r="609" spans="1:18" ht="12.75" customHeight="1" x14ac:dyDescent="0.3">
      <c r="A609" s="36" t="s">
        <v>1089</v>
      </c>
      <c r="B609" s="29"/>
      <c r="C609" s="29"/>
      <c r="D609" s="29"/>
      <c r="E609" s="29"/>
      <c r="F609" s="29"/>
      <c r="G609" s="37" t="s">
        <v>32</v>
      </c>
      <c r="H609" s="29" t="s">
        <v>2315</v>
      </c>
      <c r="I609" s="521">
        <f>global!I5</f>
        <v>0</v>
      </c>
      <c r="J609" s="450"/>
      <c r="K609" s="450"/>
      <c r="L609" s="450"/>
      <c r="M609" s="451"/>
      <c r="N609" s="451"/>
      <c r="O609" s="451"/>
      <c r="P609" s="451"/>
      <c r="Q609" s="451"/>
      <c r="R609" s="158"/>
    </row>
    <row r="610" spans="1:18" ht="12.75" customHeight="1" x14ac:dyDescent="0.3">
      <c r="A610" s="36" t="s">
        <v>937</v>
      </c>
      <c r="B610" s="29"/>
      <c r="C610" s="29"/>
      <c r="D610" s="29"/>
      <c r="E610" s="29"/>
      <c r="F610" s="29"/>
      <c r="G610" s="37" t="s">
        <v>936</v>
      </c>
      <c r="H610" s="29" t="s">
        <v>2315</v>
      </c>
      <c r="I610" s="521">
        <f>global!I6</f>
        <v>0</v>
      </c>
      <c r="J610" s="450"/>
      <c r="K610" s="450"/>
      <c r="L610" s="450"/>
      <c r="M610" s="451"/>
      <c r="N610" s="451"/>
      <c r="O610" s="451"/>
      <c r="P610" s="451"/>
      <c r="Q610" s="451"/>
      <c r="R610" s="158"/>
    </row>
    <row r="611" spans="1:18" ht="12.75" customHeight="1" x14ac:dyDescent="0.3">
      <c r="A611" s="36" t="s">
        <v>939</v>
      </c>
      <c r="B611" s="29"/>
      <c r="C611" s="29"/>
      <c r="D611" s="29"/>
      <c r="E611" s="29"/>
      <c r="F611" s="29"/>
      <c r="G611" s="37" t="s">
        <v>938</v>
      </c>
      <c r="H611" s="29" t="s">
        <v>2315</v>
      </c>
      <c r="I611" s="521">
        <f>global!I7</f>
        <v>0</v>
      </c>
      <c r="J611" s="450"/>
      <c r="K611" s="450"/>
      <c r="L611" s="450"/>
      <c r="M611" s="451"/>
      <c r="N611" s="451"/>
      <c r="O611" s="451"/>
      <c r="P611" s="451"/>
      <c r="Q611" s="451"/>
      <c r="R611" s="158"/>
    </row>
    <row r="612" spans="1:18" ht="12.75" customHeight="1" x14ac:dyDescent="0.3">
      <c r="A612" s="36" t="s">
        <v>734</v>
      </c>
      <c r="B612" s="29"/>
      <c r="C612" s="29"/>
      <c r="D612" s="29"/>
      <c r="E612" s="29"/>
      <c r="F612" s="29"/>
      <c r="G612" s="37" t="s">
        <v>33</v>
      </c>
      <c r="H612" s="29" t="s">
        <v>2315</v>
      </c>
      <c r="I612" s="521">
        <f>global!I8</f>
        <v>0</v>
      </c>
      <c r="J612" s="450"/>
      <c r="K612" s="450"/>
      <c r="L612" s="450"/>
      <c r="M612" s="451"/>
      <c r="N612" s="451"/>
      <c r="O612" s="451"/>
      <c r="P612" s="451"/>
      <c r="Q612" s="451"/>
      <c r="R612" s="158"/>
    </row>
    <row r="613" spans="1:18" ht="12.75" customHeight="1" x14ac:dyDescent="0.3">
      <c r="A613" s="36" t="s">
        <v>735</v>
      </c>
      <c r="B613" s="29"/>
      <c r="C613" s="29"/>
      <c r="D613" s="29"/>
      <c r="E613" s="29"/>
      <c r="F613" s="29"/>
      <c r="G613" s="37" t="s">
        <v>1185</v>
      </c>
      <c r="H613" s="29" t="s">
        <v>2315</v>
      </c>
      <c r="I613" s="521">
        <f>global!I9</f>
        <v>0</v>
      </c>
      <c r="J613" s="450"/>
      <c r="K613" s="450"/>
      <c r="L613" s="450"/>
      <c r="M613" s="451"/>
      <c r="N613" s="451"/>
      <c r="O613" s="451"/>
      <c r="P613" s="451"/>
      <c r="Q613" s="451"/>
      <c r="R613" s="158"/>
    </row>
    <row r="614" spans="1:18" ht="12.75" customHeight="1" x14ac:dyDescent="0.3">
      <c r="A614" s="29"/>
      <c r="B614" s="36" t="s">
        <v>1020</v>
      </c>
      <c r="C614" s="29"/>
      <c r="D614" s="29"/>
      <c r="E614" s="29"/>
      <c r="F614" s="29"/>
      <c r="G614" s="37" t="s">
        <v>1186</v>
      </c>
      <c r="H614" s="29" t="s">
        <v>2312</v>
      </c>
      <c r="I614" s="521">
        <f>global!I10</f>
        <v>0</v>
      </c>
      <c r="J614" s="450"/>
      <c r="K614" s="450"/>
      <c r="L614" s="450"/>
      <c r="M614" s="451"/>
      <c r="N614" s="451"/>
      <c r="O614" s="451"/>
      <c r="P614" s="451"/>
      <c r="Q614" s="451"/>
      <c r="R614" s="158"/>
    </row>
    <row r="615" spans="1:18" ht="12.75" customHeight="1" x14ac:dyDescent="0.3">
      <c r="A615" s="29"/>
      <c r="B615" s="36" t="s">
        <v>3991</v>
      </c>
      <c r="C615" s="29"/>
      <c r="D615" s="29"/>
      <c r="E615" s="29"/>
      <c r="F615" s="29"/>
      <c r="G615" s="94" t="s">
        <v>1187</v>
      </c>
      <c r="H615" s="29" t="s">
        <v>36</v>
      </c>
      <c r="I615" s="521">
        <f>global!I11</f>
        <v>0</v>
      </c>
      <c r="J615" s="450"/>
      <c r="K615" s="450"/>
      <c r="L615" s="450"/>
      <c r="M615" s="451"/>
      <c r="N615" s="451"/>
      <c r="O615" s="451"/>
      <c r="P615" s="451"/>
      <c r="Q615" s="451"/>
      <c r="R615" s="158"/>
    </row>
    <row r="616" spans="1:18" ht="12.75" customHeight="1" x14ac:dyDescent="0.3">
      <c r="A616" s="29"/>
      <c r="B616" s="36" t="s">
        <v>3992</v>
      </c>
      <c r="C616" s="29"/>
      <c r="D616" s="29"/>
      <c r="E616" s="29"/>
      <c r="F616" s="29"/>
      <c r="G616" s="94" t="s">
        <v>1188</v>
      </c>
      <c r="H616" s="29" t="s">
        <v>36</v>
      </c>
      <c r="I616" s="521">
        <f>global!I12</f>
        <v>0</v>
      </c>
      <c r="J616" s="450"/>
      <c r="K616" s="450"/>
      <c r="L616" s="450"/>
      <c r="M616" s="451"/>
      <c r="N616" s="451"/>
      <c r="O616" s="451"/>
      <c r="P616" s="451"/>
      <c r="Q616" s="451"/>
      <c r="R616" s="158"/>
    </row>
    <row r="617" spans="1:18" ht="12.75" customHeight="1" x14ac:dyDescent="0.3">
      <c r="A617" s="29"/>
      <c r="B617" s="29"/>
      <c r="C617" s="36" t="s">
        <v>767</v>
      </c>
      <c r="D617" s="29"/>
      <c r="E617" s="29"/>
      <c r="F617" s="29"/>
      <c r="G617" s="94" t="s">
        <v>1189</v>
      </c>
      <c r="H617" s="36" t="s">
        <v>719</v>
      </c>
      <c r="I617" s="521">
        <f>global!I13</f>
        <v>0</v>
      </c>
      <c r="J617" s="450"/>
      <c r="K617" s="450"/>
      <c r="L617" s="450"/>
      <c r="M617" s="451"/>
      <c r="N617" s="451"/>
      <c r="O617" s="451"/>
      <c r="P617" s="451"/>
      <c r="Q617" s="451"/>
      <c r="R617" s="158"/>
    </row>
    <row r="618" spans="1:18" ht="12.75" customHeight="1" x14ac:dyDescent="0.3">
      <c r="A618" s="29"/>
      <c r="B618" s="29"/>
      <c r="C618" s="36" t="s">
        <v>946</v>
      </c>
      <c r="D618" s="29"/>
      <c r="E618" s="29"/>
      <c r="F618" s="29"/>
      <c r="G618" s="94" t="s">
        <v>941</v>
      </c>
      <c r="H618" s="36" t="s">
        <v>719</v>
      </c>
      <c r="I618" s="521">
        <f>global!I14</f>
        <v>0</v>
      </c>
      <c r="J618" s="450"/>
      <c r="K618" s="450"/>
      <c r="L618" s="450">
        <v>990</v>
      </c>
      <c r="M618" s="451">
        <v>990</v>
      </c>
      <c r="N618" s="451"/>
      <c r="O618" s="451">
        <v>990</v>
      </c>
      <c r="P618" s="451">
        <v>990</v>
      </c>
      <c r="Q618" s="451">
        <v>990</v>
      </c>
      <c r="R618" s="158"/>
    </row>
    <row r="619" spans="1:18" ht="12.75" customHeight="1" x14ac:dyDescent="0.3">
      <c r="A619" s="29"/>
      <c r="B619" s="29"/>
      <c r="C619" s="36" t="s">
        <v>949</v>
      </c>
      <c r="D619" s="29"/>
      <c r="E619" s="29"/>
      <c r="F619" s="29"/>
      <c r="G619" s="94" t="s">
        <v>940</v>
      </c>
      <c r="H619" s="36" t="s">
        <v>719</v>
      </c>
      <c r="I619" s="521">
        <f>global!I15</f>
        <v>0</v>
      </c>
      <c r="J619" s="450"/>
      <c r="K619" s="450"/>
      <c r="L619" s="450">
        <v>10</v>
      </c>
      <c r="M619" s="451">
        <v>10</v>
      </c>
      <c r="N619" s="451"/>
      <c r="O619" s="451">
        <v>10</v>
      </c>
      <c r="P619" s="451">
        <v>10</v>
      </c>
      <c r="Q619" s="451">
        <v>10</v>
      </c>
      <c r="R619" s="158"/>
    </row>
    <row r="620" spans="1:18" ht="12.75" customHeight="1" x14ac:dyDescent="0.3">
      <c r="A620" s="29"/>
      <c r="B620" s="29"/>
      <c r="C620" s="36" t="s">
        <v>1053</v>
      </c>
      <c r="D620" s="29"/>
      <c r="E620" s="29"/>
      <c r="F620" s="29"/>
      <c r="G620" s="94" t="s">
        <v>1353</v>
      </c>
      <c r="H620" s="36" t="s">
        <v>721</v>
      </c>
      <c r="I620" s="521">
        <f>global!I16</f>
        <v>0</v>
      </c>
      <c r="J620" s="450"/>
      <c r="K620" s="450"/>
      <c r="L620" s="450"/>
      <c r="M620" s="451"/>
      <c r="N620" s="451"/>
      <c r="O620" s="451"/>
      <c r="P620" s="451"/>
      <c r="Q620" s="451"/>
      <c r="R620" s="158"/>
    </row>
    <row r="621" spans="1:18" ht="12.75" customHeight="1" x14ac:dyDescent="0.3">
      <c r="A621" s="36"/>
      <c r="B621" s="29"/>
      <c r="C621" s="36" t="s">
        <v>3993</v>
      </c>
      <c r="D621" s="95"/>
      <c r="E621" s="95"/>
      <c r="F621" s="29"/>
      <c r="G621" s="94" t="s">
        <v>1354</v>
      </c>
      <c r="H621" s="36" t="s">
        <v>719</v>
      </c>
      <c r="I621" s="521">
        <f>global!I17</f>
        <v>0</v>
      </c>
      <c r="J621" s="450"/>
      <c r="K621" s="450"/>
      <c r="L621" s="450"/>
      <c r="M621" s="451"/>
      <c r="N621" s="451"/>
      <c r="O621" s="451"/>
      <c r="P621" s="451"/>
      <c r="Q621" s="451"/>
      <c r="R621" s="158"/>
    </row>
    <row r="622" spans="1:18" ht="12.75" customHeight="1" x14ac:dyDescent="0.3">
      <c r="A622" s="29"/>
      <c r="B622" s="29"/>
      <c r="C622" s="29" t="s">
        <v>216</v>
      </c>
      <c r="D622" s="29"/>
      <c r="E622" s="29"/>
      <c r="F622" s="29"/>
      <c r="G622" s="36" t="s">
        <v>3994</v>
      </c>
      <c r="H622" s="36" t="s">
        <v>722</v>
      </c>
      <c r="I622" s="521">
        <f>global!I18</f>
        <v>0</v>
      </c>
      <c r="J622" s="450"/>
      <c r="K622" s="450"/>
      <c r="L622" s="450">
        <v>4.9999999999999995E-11</v>
      </c>
      <c r="M622" s="451">
        <v>4.9999999999999995E-11</v>
      </c>
      <c r="N622" s="451">
        <v>4.9999999999999995E-11</v>
      </c>
      <c r="O622" s="451">
        <v>4.9999999999999995E-11</v>
      </c>
      <c r="P622" s="451">
        <v>4.9999999999999995E-11</v>
      </c>
      <c r="Q622" s="451"/>
      <c r="R622" s="158"/>
    </row>
    <row r="623" spans="1:18" ht="12.75" customHeight="1" x14ac:dyDescent="0.3">
      <c r="A623" s="29"/>
      <c r="B623" s="29"/>
      <c r="C623" s="29" t="s">
        <v>217</v>
      </c>
      <c r="D623" s="29"/>
      <c r="E623" s="29"/>
      <c r="F623" s="29"/>
      <c r="G623" s="36" t="s">
        <v>3995</v>
      </c>
      <c r="H623" s="36" t="s">
        <v>722</v>
      </c>
      <c r="I623" s="521">
        <f>global!I19</f>
        <v>0</v>
      </c>
      <c r="J623" s="450"/>
      <c r="K623" s="450"/>
      <c r="L623" s="450">
        <v>9.9999999999999995E-21</v>
      </c>
      <c r="M623" s="451">
        <v>9.9999999999999995E-21</v>
      </c>
      <c r="N623" s="451">
        <v>9.9999999999999995E-21</v>
      </c>
      <c r="O623" s="451">
        <v>9.9999999999999995E-21</v>
      </c>
      <c r="P623" s="451">
        <v>9.9999999999999995E-21</v>
      </c>
      <c r="Q623" s="451"/>
      <c r="R623" s="158"/>
    </row>
    <row r="624" spans="1:18" ht="12.75" customHeight="1" x14ac:dyDescent="0.3">
      <c r="A624" s="36"/>
      <c r="B624" s="29"/>
      <c r="C624" s="36" t="s">
        <v>1054</v>
      </c>
      <c r="D624" s="95"/>
      <c r="E624" s="95"/>
      <c r="F624" s="29"/>
      <c r="G624" s="94" t="s">
        <v>659</v>
      </c>
      <c r="H624" s="36" t="s">
        <v>722</v>
      </c>
      <c r="I624" s="521">
        <f>global!I20</f>
        <v>0</v>
      </c>
      <c r="J624" s="450"/>
      <c r="K624" s="450"/>
      <c r="L624" s="450"/>
      <c r="M624" s="451"/>
      <c r="N624" s="451"/>
      <c r="O624" s="451"/>
      <c r="P624" s="451"/>
      <c r="Q624" s="451"/>
      <c r="R624" s="158"/>
    </row>
    <row r="625" spans="1:18" ht="12.75" customHeight="1" x14ac:dyDescent="0.3">
      <c r="A625" s="29"/>
      <c r="B625" s="29"/>
      <c r="C625" s="36" t="s">
        <v>1055</v>
      </c>
      <c r="D625" s="29"/>
      <c r="E625" s="29"/>
      <c r="F625" s="29"/>
      <c r="G625" s="94" t="s">
        <v>590</v>
      </c>
      <c r="H625" s="36" t="s">
        <v>722</v>
      </c>
      <c r="I625" s="521">
        <f>global!I21</f>
        <v>0</v>
      </c>
      <c r="J625" s="450"/>
      <c r="K625" s="450"/>
      <c r="L625" s="450"/>
      <c r="M625" s="451"/>
      <c r="N625" s="451"/>
      <c r="O625" s="451"/>
      <c r="P625" s="451"/>
      <c r="Q625" s="451"/>
      <c r="R625" s="158"/>
    </row>
    <row r="626" spans="1:18" ht="12.75" customHeight="1" x14ac:dyDescent="0.3">
      <c r="A626" s="29"/>
      <c r="B626" s="29"/>
      <c r="C626" s="36" t="s">
        <v>1056</v>
      </c>
      <c r="D626" s="29"/>
      <c r="E626" s="29"/>
      <c r="F626" s="29"/>
      <c r="G626" s="94" t="s">
        <v>591</v>
      </c>
      <c r="H626" s="36" t="s">
        <v>722</v>
      </c>
      <c r="I626" s="521">
        <f>global!I22</f>
        <v>0</v>
      </c>
      <c r="J626" s="450"/>
      <c r="K626" s="450"/>
      <c r="L626" s="450"/>
      <c r="M626" s="451"/>
      <c r="N626" s="451"/>
      <c r="O626" s="451"/>
      <c r="P626" s="451"/>
      <c r="Q626" s="451"/>
      <c r="R626" s="158"/>
    </row>
    <row r="627" spans="1:18" ht="12.75" customHeight="1" x14ac:dyDescent="0.3">
      <c r="A627" s="36"/>
      <c r="B627" s="29"/>
      <c r="C627" s="36" t="s">
        <v>434</v>
      </c>
      <c r="D627" s="95"/>
      <c r="E627" s="95"/>
      <c r="F627" s="29"/>
      <c r="G627" s="94" t="s">
        <v>592</v>
      </c>
      <c r="H627" s="36" t="s">
        <v>722</v>
      </c>
      <c r="I627" s="521">
        <f>global!I23</f>
        <v>0</v>
      </c>
      <c r="J627" s="450"/>
      <c r="K627" s="450"/>
      <c r="L627" s="450"/>
      <c r="M627" s="451"/>
      <c r="N627" s="451"/>
      <c r="O627" s="451"/>
      <c r="P627" s="451"/>
      <c r="Q627" s="451"/>
      <c r="R627" s="158"/>
    </row>
    <row r="628" spans="1:18" ht="12.75" customHeight="1" x14ac:dyDescent="0.3">
      <c r="A628" s="36"/>
      <c r="B628" s="29"/>
      <c r="C628" s="36" t="s">
        <v>888</v>
      </c>
      <c r="D628" s="95"/>
      <c r="E628" s="95"/>
      <c r="F628" s="29"/>
      <c r="G628" s="94" t="s">
        <v>658</v>
      </c>
      <c r="H628" s="36" t="s">
        <v>722</v>
      </c>
      <c r="I628" s="521">
        <f>global!I24</f>
        <v>0</v>
      </c>
      <c r="J628" s="450"/>
      <c r="K628" s="450"/>
      <c r="L628" s="450"/>
      <c r="M628" s="451"/>
      <c r="N628" s="451"/>
      <c r="O628" s="451"/>
      <c r="P628" s="451"/>
      <c r="Q628" s="451"/>
      <c r="R628" s="158"/>
    </row>
    <row r="629" spans="1:18" ht="12.75" customHeight="1" x14ac:dyDescent="0.3">
      <c r="A629" s="92"/>
      <c r="B629" s="92"/>
      <c r="C629" s="92"/>
      <c r="D629" s="92"/>
      <c r="E629" s="92"/>
      <c r="F629" s="92"/>
      <c r="G629" s="93"/>
      <c r="H629" s="133"/>
      <c r="I629" s="526"/>
      <c r="J629" s="458"/>
      <c r="K629" s="458"/>
      <c r="L629" s="458"/>
      <c r="M629" s="459"/>
      <c r="N629" s="459"/>
      <c r="O629" s="459"/>
      <c r="P629" s="459"/>
      <c r="Q629" s="459"/>
      <c r="R629" s="158"/>
    </row>
    <row r="630" spans="1:18" ht="12.75" customHeight="1" x14ac:dyDescent="0.3">
      <c r="A630" s="36" t="s">
        <v>90</v>
      </c>
      <c r="B630" s="29"/>
      <c r="C630" s="29"/>
      <c r="D630" s="29"/>
      <c r="E630" s="29"/>
      <c r="F630" s="29"/>
      <c r="G630" s="36" t="s">
        <v>838</v>
      </c>
      <c r="H630" s="36" t="s">
        <v>2307</v>
      </c>
      <c r="I630" s="521">
        <f>global!I26</f>
        <v>0</v>
      </c>
      <c r="J630" s="450"/>
      <c r="K630" s="450"/>
      <c r="L630" s="450"/>
      <c r="M630" s="451"/>
      <c r="N630" s="451"/>
      <c r="O630" s="451"/>
      <c r="P630" s="451"/>
      <c r="Q630" s="451"/>
      <c r="R630" s="158"/>
    </row>
    <row r="631" spans="1:18" ht="12.75" customHeight="1" x14ac:dyDescent="0.3">
      <c r="A631" s="36" t="s">
        <v>91</v>
      </c>
      <c r="B631" s="29"/>
      <c r="C631" s="29"/>
      <c r="D631" s="29"/>
      <c r="E631" s="29"/>
      <c r="F631" s="29"/>
      <c r="G631" s="36" t="s">
        <v>839</v>
      </c>
      <c r="H631" s="36" t="s">
        <v>2307</v>
      </c>
      <c r="I631" s="521">
        <f>global!I27</f>
        <v>0</v>
      </c>
      <c r="J631" s="450"/>
      <c r="K631" s="450"/>
      <c r="L631" s="450"/>
      <c r="M631" s="451"/>
      <c r="N631" s="451"/>
      <c r="O631" s="451"/>
      <c r="P631" s="451"/>
      <c r="Q631" s="451"/>
      <c r="R631" s="158"/>
    </row>
    <row r="632" spans="1:18" ht="12.75" customHeight="1" x14ac:dyDescent="0.3">
      <c r="A632" s="36" t="s">
        <v>92</v>
      </c>
      <c r="B632" s="29"/>
      <c r="C632" s="29"/>
      <c r="D632" s="29"/>
      <c r="E632" s="29"/>
      <c r="F632" s="29"/>
      <c r="G632" s="36" t="s">
        <v>840</v>
      </c>
      <c r="H632" s="36" t="s">
        <v>2307</v>
      </c>
      <c r="I632" s="521">
        <f>global!I28</f>
        <v>0</v>
      </c>
      <c r="J632" s="450"/>
      <c r="K632" s="450"/>
      <c r="L632" s="450"/>
      <c r="M632" s="451"/>
      <c r="N632" s="451"/>
      <c r="O632" s="451"/>
      <c r="P632" s="451"/>
      <c r="Q632" s="451"/>
      <c r="R632" s="158"/>
    </row>
    <row r="633" spans="1:18" ht="12.75" customHeight="1" x14ac:dyDescent="0.3">
      <c r="A633" s="29"/>
      <c r="B633" s="29"/>
      <c r="C633" s="29"/>
      <c r="D633" s="95"/>
      <c r="E633" s="29"/>
      <c r="F633" s="29"/>
      <c r="G633" s="37"/>
      <c r="H633" s="29"/>
      <c r="I633" s="522"/>
      <c r="J633" s="339"/>
      <c r="K633" s="339"/>
      <c r="L633" s="339"/>
      <c r="M633" s="282"/>
      <c r="N633" s="282"/>
      <c r="O633" s="282"/>
      <c r="P633" s="282"/>
      <c r="Q633" s="282"/>
      <c r="R633" s="158"/>
    </row>
    <row r="634" spans="1:18" ht="12.75" customHeight="1" x14ac:dyDescent="0.3">
      <c r="A634" s="36" t="s">
        <v>3996</v>
      </c>
      <c r="B634" s="29"/>
      <c r="C634" s="29"/>
      <c r="D634" s="29"/>
      <c r="E634" s="29"/>
      <c r="F634" s="29"/>
      <c r="G634" s="36" t="s">
        <v>1252</v>
      </c>
      <c r="H634" s="36" t="s">
        <v>2307</v>
      </c>
      <c r="I634" s="521">
        <f>global!I30</f>
        <v>0</v>
      </c>
      <c r="J634" s="450"/>
      <c r="K634" s="450"/>
      <c r="L634" s="450"/>
      <c r="M634" s="451"/>
      <c r="N634" s="451"/>
      <c r="O634" s="451"/>
      <c r="P634" s="451"/>
      <c r="Q634" s="451"/>
      <c r="R634" s="158"/>
    </row>
    <row r="635" spans="1:18" ht="12.75" customHeight="1" x14ac:dyDescent="0.3">
      <c r="A635" s="36" t="s">
        <v>3997</v>
      </c>
      <c r="B635" s="29"/>
      <c r="C635" s="29"/>
      <c r="D635" s="29"/>
      <c r="E635" s="29"/>
      <c r="F635" s="29"/>
      <c r="G635" s="36" t="s">
        <v>1271</v>
      </c>
      <c r="H635" s="36" t="s">
        <v>2307</v>
      </c>
      <c r="I635" s="521">
        <f>global!I31</f>
        <v>0</v>
      </c>
      <c r="J635" s="450"/>
      <c r="K635" s="450"/>
      <c r="L635" s="450"/>
      <c r="M635" s="451"/>
      <c r="N635" s="451"/>
      <c r="O635" s="451"/>
      <c r="P635" s="451"/>
      <c r="Q635" s="451"/>
      <c r="R635" s="158"/>
    </row>
    <row r="636" spans="1:18" ht="12.75" customHeight="1" x14ac:dyDescent="0.3">
      <c r="A636" s="36" t="s">
        <v>3998</v>
      </c>
      <c r="B636" s="29"/>
      <c r="C636" s="29"/>
      <c r="D636" s="29"/>
      <c r="E636" s="29"/>
      <c r="F636" s="29"/>
      <c r="G636" s="36" t="s">
        <v>1272</v>
      </c>
      <c r="H636" s="36" t="s">
        <v>2307</v>
      </c>
      <c r="I636" s="521">
        <f>global!I32</f>
        <v>0</v>
      </c>
      <c r="J636" s="450"/>
      <c r="K636" s="450"/>
      <c r="L636" s="450"/>
      <c r="M636" s="451"/>
      <c r="N636" s="451"/>
      <c r="O636" s="451"/>
      <c r="P636" s="451"/>
      <c r="Q636" s="451"/>
      <c r="R636" s="158"/>
    </row>
    <row r="637" spans="1:18" ht="12.75" customHeight="1" x14ac:dyDescent="0.3">
      <c r="A637" s="36" t="s">
        <v>1118</v>
      </c>
      <c r="B637" s="29"/>
      <c r="C637" s="29"/>
      <c r="D637" s="29"/>
      <c r="E637" s="29"/>
      <c r="F637" s="29"/>
      <c r="G637" s="36" t="s">
        <v>132</v>
      </c>
      <c r="H637" s="36" t="s">
        <v>2307</v>
      </c>
      <c r="I637" s="521">
        <f>global!I33</f>
        <v>0</v>
      </c>
      <c r="J637" s="450"/>
      <c r="K637" s="450"/>
      <c r="L637" s="450"/>
      <c r="M637" s="451"/>
      <c r="N637" s="451"/>
      <c r="O637" s="451"/>
      <c r="P637" s="451"/>
      <c r="Q637" s="451"/>
      <c r="R637" s="158"/>
    </row>
    <row r="638" spans="1:18" ht="12.75" customHeight="1" x14ac:dyDescent="0.3">
      <c r="A638" s="36" t="s">
        <v>131</v>
      </c>
      <c r="B638" s="29"/>
      <c r="C638" s="29"/>
      <c r="D638" s="29"/>
      <c r="E638" s="29"/>
      <c r="F638" s="29"/>
      <c r="G638" s="36" t="s">
        <v>133</v>
      </c>
      <c r="H638" s="36" t="s">
        <v>2307</v>
      </c>
      <c r="I638" s="521">
        <f>global!I34</f>
        <v>0</v>
      </c>
      <c r="J638" s="450"/>
      <c r="K638" s="450"/>
      <c r="L638" s="450">
        <v>9.9999999999999995E-21</v>
      </c>
      <c r="M638" s="451">
        <v>9.9999999999999995E-21</v>
      </c>
      <c r="N638" s="451"/>
      <c r="O638" s="451">
        <v>9.9999999999999995E-21</v>
      </c>
      <c r="P638" s="451">
        <v>9.9999999999999995E-21</v>
      </c>
      <c r="Q638" s="451">
        <v>9.9999999999999995E-21</v>
      </c>
      <c r="R638" s="158"/>
    </row>
    <row r="639" spans="1:18" ht="12.75" customHeight="1" x14ac:dyDescent="0.3">
      <c r="A639" s="36"/>
      <c r="B639" s="36" t="s">
        <v>1430</v>
      </c>
      <c r="C639" s="29"/>
      <c r="D639" s="29"/>
      <c r="E639" s="29"/>
      <c r="F639" s="29"/>
      <c r="G639" s="94" t="s">
        <v>935</v>
      </c>
      <c r="H639" s="29" t="s">
        <v>2316</v>
      </c>
      <c r="I639" s="521">
        <f>global!I35</f>
        <v>0</v>
      </c>
      <c r="J639" s="450"/>
      <c r="K639" s="450"/>
      <c r="L639" s="450"/>
      <c r="M639" s="451"/>
      <c r="N639" s="451"/>
      <c r="O639" s="451"/>
      <c r="P639" s="451"/>
      <c r="Q639" s="451"/>
      <c r="R639" s="158"/>
    </row>
    <row r="640" spans="1:18" ht="12.75" customHeight="1" x14ac:dyDescent="0.3">
      <c r="A640" s="36"/>
      <c r="B640" s="36" t="s">
        <v>1431</v>
      </c>
      <c r="C640" s="29"/>
      <c r="D640" s="29"/>
      <c r="E640" s="29"/>
      <c r="F640" s="29"/>
      <c r="G640" s="94" t="s">
        <v>1278</v>
      </c>
      <c r="H640" s="29" t="s">
        <v>2316</v>
      </c>
      <c r="I640" s="521">
        <f>global!I36</f>
        <v>0</v>
      </c>
      <c r="J640" s="450"/>
      <c r="K640" s="450"/>
      <c r="L640" s="450">
        <v>50497524.691810384</v>
      </c>
      <c r="M640" s="451">
        <v>50497524.691810384</v>
      </c>
      <c r="N640" s="451"/>
      <c r="O640" s="451">
        <v>50497524.691810384</v>
      </c>
      <c r="P640" s="451">
        <v>50497524.691810384</v>
      </c>
      <c r="Q640" s="451">
        <v>50497524.691810384</v>
      </c>
      <c r="R640" s="158"/>
    </row>
    <row r="641" spans="1:18" ht="12.75" customHeight="1" x14ac:dyDescent="0.3">
      <c r="A641" s="36"/>
      <c r="B641" s="36" t="s">
        <v>1432</v>
      </c>
      <c r="C641" s="29"/>
      <c r="D641" s="29"/>
      <c r="E641" s="29"/>
      <c r="F641" s="29"/>
      <c r="G641" s="94" t="s">
        <v>1279</v>
      </c>
      <c r="H641" s="29" t="s">
        <v>2316</v>
      </c>
      <c r="I641" s="521">
        <f>global!I37</f>
        <v>0</v>
      </c>
      <c r="J641" s="450"/>
      <c r="K641" s="450"/>
      <c r="L641" s="450">
        <v>94472218.138455927</v>
      </c>
      <c r="M641" s="451">
        <v>94472218.138455927</v>
      </c>
      <c r="N641" s="451"/>
      <c r="O641" s="451">
        <v>94472218.138455927</v>
      </c>
      <c r="P641" s="451">
        <v>94472218.138455927</v>
      </c>
      <c r="Q641" s="451">
        <v>94472218.138455927</v>
      </c>
      <c r="R641" s="158"/>
    </row>
    <row r="642" spans="1:18" ht="12.75" customHeight="1" x14ac:dyDescent="0.3">
      <c r="A642" s="36"/>
      <c r="B642" s="36"/>
      <c r="C642" s="29" t="s">
        <v>1424</v>
      </c>
      <c r="D642" s="29"/>
      <c r="E642" s="29"/>
      <c r="F642" s="29"/>
      <c r="G642" s="37" t="s">
        <v>1277</v>
      </c>
      <c r="H642" s="29" t="s">
        <v>2316</v>
      </c>
      <c r="I642" s="521">
        <f>global!I38</f>
        <v>0</v>
      </c>
      <c r="J642" s="450"/>
      <c r="K642" s="450"/>
      <c r="L642" s="450"/>
      <c r="M642" s="451"/>
      <c r="N642" s="451"/>
      <c r="O642" s="451"/>
      <c r="P642" s="451"/>
      <c r="Q642" s="451"/>
      <c r="R642" s="158"/>
    </row>
    <row r="643" spans="1:18" ht="12.75" customHeight="1" x14ac:dyDescent="0.3">
      <c r="A643" s="36" t="s">
        <v>1113</v>
      </c>
      <c r="B643" s="29"/>
      <c r="C643" s="29"/>
      <c r="D643" s="29"/>
      <c r="E643" s="29"/>
      <c r="F643" s="29"/>
      <c r="G643" s="36" t="s">
        <v>1116</v>
      </c>
      <c r="H643" s="36" t="s">
        <v>2307</v>
      </c>
      <c r="I643" s="521">
        <f>global!I39</f>
        <v>0</v>
      </c>
      <c r="J643" s="450"/>
      <c r="K643" s="450"/>
      <c r="L643" s="450"/>
      <c r="M643" s="451"/>
      <c r="N643" s="451"/>
      <c r="O643" s="451"/>
      <c r="P643" s="451"/>
      <c r="Q643" s="451"/>
      <c r="R643" s="158"/>
    </row>
    <row r="644" spans="1:18" ht="12.75" customHeight="1" x14ac:dyDescent="0.3">
      <c r="A644" s="36" t="s">
        <v>1114</v>
      </c>
      <c r="B644" s="29"/>
      <c r="C644" s="29"/>
      <c r="D644" s="29"/>
      <c r="E644" s="29"/>
      <c r="F644" s="29"/>
      <c r="G644" s="36" t="s">
        <v>1117</v>
      </c>
      <c r="H644" s="36" t="s">
        <v>2307</v>
      </c>
      <c r="I644" s="521">
        <f>global!I40</f>
        <v>0</v>
      </c>
      <c r="J644" s="450"/>
      <c r="K644" s="450"/>
      <c r="L644" s="450"/>
      <c r="M644" s="451"/>
      <c r="N644" s="451"/>
      <c r="O644" s="451"/>
      <c r="P644" s="451"/>
      <c r="Q644" s="451"/>
      <c r="R644" s="158"/>
    </row>
    <row r="645" spans="1:18" ht="12.75" customHeight="1" x14ac:dyDescent="0.3">
      <c r="A645" s="36"/>
      <c r="B645" s="29" t="s">
        <v>693</v>
      </c>
      <c r="C645" s="29"/>
      <c r="D645" s="29"/>
      <c r="E645" s="29"/>
      <c r="F645" s="29"/>
      <c r="G645" s="37" t="s">
        <v>1280</v>
      </c>
      <c r="H645" s="29" t="s">
        <v>2316</v>
      </c>
      <c r="I645" s="521">
        <f>global!I41</f>
        <v>0</v>
      </c>
      <c r="J645" s="450"/>
      <c r="K645" s="450"/>
      <c r="L645" s="450"/>
      <c r="M645" s="451"/>
      <c r="N645" s="451"/>
      <c r="O645" s="451"/>
      <c r="P645" s="451"/>
      <c r="Q645" s="451"/>
      <c r="R645" s="158"/>
    </row>
    <row r="646" spans="1:18" ht="12.75" customHeight="1" x14ac:dyDescent="0.3">
      <c r="A646" s="36"/>
      <c r="B646" s="36"/>
      <c r="C646" s="29" t="s">
        <v>1218</v>
      </c>
      <c r="D646" s="29"/>
      <c r="E646" s="29"/>
      <c r="F646" s="29"/>
      <c r="G646" s="37" t="s">
        <v>808</v>
      </c>
      <c r="H646" s="29" t="s">
        <v>723</v>
      </c>
      <c r="I646" s="521">
        <f>global!I42</f>
        <v>0</v>
      </c>
      <c r="J646" s="450"/>
      <c r="K646" s="450"/>
      <c r="L646" s="450"/>
      <c r="M646" s="451"/>
      <c r="N646" s="451"/>
      <c r="O646" s="451"/>
      <c r="P646" s="451"/>
      <c r="Q646" s="451"/>
      <c r="R646" s="158"/>
    </row>
    <row r="647" spans="1:18" ht="12.75" customHeight="1" x14ac:dyDescent="0.3">
      <c r="A647" s="29"/>
      <c r="B647" s="29"/>
      <c r="C647" s="29"/>
      <c r="D647" s="29"/>
      <c r="E647" s="29"/>
      <c r="F647" s="29"/>
      <c r="G647" s="29"/>
      <c r="H647" s="29"/>
      <c r="I647" s="456"/>
      <c r="J647" s="339"/>
      <c r="K647" s="339"/>
      <c r="L647" s="339"/>
      <c r="M647" s="282"/>
      <c r="N647" s="282"/>
      <c r="O647" s="282"/>
      <c r="P647" s="282"/>
      <c r="Q647" s="282"/>
      <c r="R647" s="158"/>
    </row>
    <row r="648" spans="1:18" ht="12.75" customHeight="1" x14ac:dyDescent="0.3">
      <c r="A648" s="98" t="s">
        <v>209</v>
      </c>
      <c r="B648" s="97"/>
      <c r="C648" s="97"/>
      <c r="D648" s="97"/>
      <c r="E648" s="97"/>
      <c r="F648" s="97"/>
      <c r="G648" s="97"/>
      <c r="H648" s="97"/>
      <c r="I648" s="340" t="s">
        <v>754</v>
      </c>
      <c r="J648" s="364"/>
      <c r="K648" s="364"/>
      <c r="L648" s="364"/>
      <c r="M648" s="469"/>
      <c r="N648" s="469"/>
      <c r="O648" s="469"/>
      <c r="P648" s="469"/>
      <c r="Q648" s="469"/>
      <c r="R648" s="158"/>
    </row>
    <row r="649" spans="1:18" ht="12.75" customHeight="1" x14ac:dyDescent="0.3">
      <c r="A649" s="29"/>
      <c r="B649" s="29"/>
      <c r="C649" s="29"/>
      <c r="D649" s="29"/>
      <c r="E649" s="29"/>
      <c r="F649" s="29"/>
      <c r="G649" s="29"/>
      <c r="H649" s="29"/>
      <c r="I649" s="342"/>
      <c r="J649" s="339"/>
      <c r="K649" s="339"/>
      <c r="L649" s="339"/>
      <c r="M649" s="282"/>
      <c r="N649" s="282"/>
      <c r="O649" s="282"/>
      <c r="P649" s="282"/>
      <c r="Q649" s="282"/>
      <c r="R649" s="158"/>
    </row>
    <row r="650" spans="1:18" ht="12.75" customHeight="1" x14ac:dyDescent="0.3">
      <c r="A650" s="29"/>
      <c r="B650" s="36" t="s">
        <v>986</v>
      </c>
      <c r="C650" s="36"/>
      <c r="D650" s="36"/>
      <c r="E650" s="36"/>
      <c r="F650" s="36"/>
      <c r="G650" s="36" t="s">
        <v>3999</v>
      </c>
      <c r="H650" s="36" t="s">
        <v>36</v>
      </c>
      <c r="I650" s="521">
        <f>global!I46</f>
        <v>0</v>
      </c>
      <c r="J650" s="450"/>
      <c r="K650" s="450"/>
      <c r="L650" s="450">
        <f t="shared" ref="L650:P650" si="13">1-(0.0000258)/(IF(Tm&gt;298,EXP(-6.79*(1-Tm/298))*Pvap25*EXP((H0vap/8.314)*(1/298-1/TEMP.M)),Pvap25*EXP((H0vap/8.314)*(1/298-1/TEMP.M)))+(0.0000258))</f>
        <v>0.99999985795049728</v>
      </c>
      <c r="M650" s="451">
        <f t="shared" si="13"/>
        <v>0.99999985795049728</v>
      </c>
      <c r="N650" s="451">
        <f t="shared" si="13"/>
        <v>0.99999985795049728</v>
      </c>
      <c r="O650" s="451">
        <f t="shared" si="13"/>
        <v>0.99999985795049728</v>
      </c>
      <c r="P650" s="451">
        <f t="shared" si="13"/>
        <v>0.99999985795049728</v>
      </c>
      <c r="Q650" s="451"/>
      <c r="R650" s="158"/>
    </row>
    <row r="651" spans="1:18" ht="12.75" customHeight="1" x14ac:dyDescent="0.3">
      <c r="A651" s="29"/>
      <c r="B651" s="29" t="s">
        <v>615</v>
      </c>
      <c r="C651" s="29"/>
      <c r="D651" s="29"/>
      <c r="E651" s="29"/>
      <c r="F651" s="29"/>
      <c r="G651" s="29" t="s">
        <v>634</v>
      </c>
      <c r="H651" s="29" t="s">
        <v>36</v>
      </c>
      <c r="I651" s="521">
        <f>global!I47</f>
        <v>0</v>
      </c>
      <c r="J651" s="450"/>
      <c r="K651" s="450"/>
      <c r="L651" s="450"/>
      <c r="M651" s="451"/>
      <c r="N651" s="451"/>
      <c r="O651" s="451"/>
      <c r="P651" s="451"/>
      <c r="Q651" s="451"/>
      <c r="R651" s="158"/>
    </row>
    <row r="652" spans="1:18" ht="12.75" customHeight="1" x14ac:dyDescent="0.3">
      <c r="A652" s="29"/>
      <c r="B652" s="29" t="s">
        <v>616</v>
      </c>
      <c r="C652" s="29"/>
      <c r="D652" s="29"/>
      <c r="E652" s="29"/>
      <c r="F652" s="29"/>
      <c r="G652" s="29" t="s">
        <v>635</v>
      </c>
      <c r="H652" s="29" t="s">
        <v>36</v>
      </c>
      <c r="I652" s="521">
        <f>global!I48</f>
        <v>0</v>
      </c>
      <c r="J652" s="450"/>
      <c r="K652" s="450"/>
      <c r="L652" s="450">
        <f t="shared" ref="L652:P652" si="14">(0.0000258)/(IF(Tm&gt;298,EXP(-6.79*(1-Tm/298))*Pvap25*EXP((H0vap/8.314)*(1/298-1/TEMP.M)),Pvap25*EXP((H0vap/8.314)*(1/298-1/TEMP.M)))+(0.0000258))</f>
        <v>1.4204950266496848E-7</v>
      </c>
      <c r="M652" s="451">
        <f t="shared" si="14"/>
        <v>1.4204950266496848E-7</v>
      </c>
      <c r="N652" s="451">
        <f t="shared" si="14"/>
        <v>1.4204950266496848E-7</v>
      </c>
      <c r="O652" s="451">
        <f t="shared" si="14"/>
        <v>1.4204950266496848E-7</v>
      </c>
      <c r="P652" s="451">
        <f t="shared" si="14"/>
        <v>1.4204950266496848E-7</v>
      </c>
      <c r="Q652" s="451"/>
      <c r="R652" s="158"/>
    </row>
    <row r="653" spans="1:18" ht="12.75" customHeight="1" x14ac:dyDescent="0.3">
      <c r="A653" s="29"/>
      <c r="B653" s="36" t="s">
        <v>1043</v>
      </c>
      <c r="C653" s="36"/>
      <c r="D653" s="36"/>
      <c r="E653" s="36"/>
      <c r="F653" s="36"/>
      <c r="G653" s="36" t="s">
        <v>4000</v>
      </c>
      <c r="H653" s="36" t="s">
        <v>36</v>
      </c>
      <c r="I653" s="521">
        <f>global!I49</f>
        <v>0</v>
      </c>
      <c r="J653" s="450"/>
      <c r="K653" s="450"/>
      <c r="L653" s="450"/>
      <c r="M653" s="451"/>
      <c r="N653" s="451"/>
      <c r="O653" s="451"/>
      <c r="P653" s="451"/>
      <c r="Q653" s="451"/>
      <c r="R653" s="158"/>
    </row>
    <row r="654" spans="1:18" ht="12.75" customHeight="1" x14ac:dyDescent="0.3">
      <c r="A654" s="36"/>
      <c r="B654" s="36"/>
      <c r="C654" s="36" t="s">
        <v>543</v>
      </c>
      <c r="D654" s="36"/>
      <c r="E654" s="36"/>
      <c r="F654" s="36"/>
      <c r="G654" s="36" t="s">
        <v>792</v>
      </c>
      <c r="H654" s="36" t="s">
        <v>2306</v>
      </c>
      <c r="I654" s="521">
        <f>global!I50</f>
        <v>0</v>
      </c>
      <c r="J654" s="450"/>
      <c r="K654" s="450"/>
      <c r="L654" s="450"/>
      <c r="M654" s="451"/>
      <c r="N654" s="451"/>
      <c r="O654" s="451"/>
      <c r="P654" s="451"/>
      <c r="Q654" s="451"/>
      <c r="R654" s="158"/>
    </row>
    <row r="655" spans="1:18" ht="12.75" customHeight="1" x14ac:dyDescent="0.35">
      <c r="A655" s="29"/>
      <c r="B655" s="29"/>
      <c r="C655" s="29" t="s">
        <v>612</v>
      </c>
      <c r="D655" s="29"/>
      <c r="E655" s="29"/>
      <c r="F655" s="29"/>
      <c r="G655" s="29" t="s">
        <v>637</v>
      </c>
      <c r="H655" s="29" t="s">
        <v>2318</v>
      </c>
      <c r="I655" s="521">
        <f>global!I51</f>
        <v>0</v>
      </c>
      <c r="J655" s="450"/>
      <c r="K655" s="450"/>
      <c r="L655" s="450"/>
      <c r="M655" s="451"/>
      <c r="N655" s="451"/>
      <c r="O655" s="451"/>
      <c r="P655" s="451"/>
      <c r="Q655" s="451"/>
      <c r="R655" s="158"/>
    </row>
    <row r="656" spans="1:18" ht="12.75" customHeight="1" x14ac:dyDescent="0.35">
      <c r="A656" s="29"/>
      <c r="B656" s="29"/>
      <c r="C656" s="29" t="s">
        <v>613</v>
      </c>
      <c r="D656" s="29"/>
      <c r="E656" s="29"/>
      <c r="F656" s="29"/>
      <c r="G656" s="29" t="s">
        <v>638</v>
      </c>
      <c r="H656" s="29" t="s">
        <v>2319</v>
      </c>
      <c r="I656" s="521">
        <f>global!I52</f>
        <v>0</v>
      </c>
      <c r="J656" s="450"/>
      <c r="K656" s="450"/>
      <c r="L656" s="450"/>
      <c r="M656" s="451"/>
      <c r="N656" s="451"/>
      <c r="O656" s="451"/>
      <c r="P656" s="451"/>
      <c r="Q656" s="451"/>
      <c r="R656" s="158"/>
    </row>
    <row r="657" spans="1:18" ht="12.75" customHeight="1" x14ac:dyDescent="0.3">
      <c r="A657" s="36"/>
      <c r="B657" s="36" t="s">
        <v>4001</v>
      </c>
      <c r="C657" s="95"/>
      <c r="D657" s="29"/>
      <c r="E657" s="29"/>
      <c r="F657" s="29"/>
      <c r="G657" s="37" t="s">
        <v>134</v>
      </c>
      <c r="H657" s="36" t="s">
        <v>36</v>
      </c>
      <c r="I657" s="521">
        <f>global!I53</f>
        <v>0</v>
      </c>
      <c r="J657" s="450"/>
      <c r="K657" s="450"/>
      <c r="L657" s="450">
        <f t="shared" ref="L657:P657" si="15">1/(1+Kp.susp2M*SUSP.w2M/1000+0.05*Kow*0.001/1000)</f>
        <v>0.99947800366072359</v>
      </c>
      <c r="M657" s="451">
        <f t="shared" si="15"/>
        <v>0.99947800366072359</v>
      </c>
      <c r="N657" s="451">
        <f t="shared" si="15"/>
        <v>0.99947800366072359</v>
      </c>
      <c r="O657" s="451">
        <f t="shared" si="15"/>
        <v>0.99947800366072359</v>
      </c>
      <c r="P657" s="451">
        <f t="shared" si="15"/>
        <v>0.99947800366072359</v>
      </c>
      <c r="Q657" s="451"/>
      <c r="R657" s="158"/>
    </row>
    <row r="658" spans="1:18" ht="12.75" customHeight="1" x14ac:dyDescent="0.3">
      <c r="A658" s="36"/>
      <c r="B658" s="36" t="s">
        <v>1119</v>
      </c>
      <c r="C658" s="95"/>
      <c r="D658" s="29"/>
      <c r="E658" s="29"/>
      <c r="F658" s="29"/>
      <c r="G658" s="37" t="s">
        <v>135</v>
      </c>
      <c r="H658" s="36" t="s">
        <v>36</v>
      </c>
      <c r="I658" s="521">
        <f>global!I54</f>
        <v>0</v>
      </c>
      <c r="J658" s="450"/>
      <c r="K658" s="450"/>
      <c r="L658" s="450">
        <f t="shared" ref="L658:P658" si="16">1/(1+Kp.susp3M*SUSP.w3M/1000+0.05*Kow*0.001/1000)</f>
        <v>0.99947800366072359</v>
      </c>
      <c r="M658" s="451">
        <f t="shared" si="16"/>
        <v>0.99947800366072359</v>
      </c>
      <c r="N658" s="451">
        <f t="shared" si="16"/>
        <v>0.99947800366072359</v>
      </c>
      <c r="O658" s="451">
        <f t="shared" si="16"/>
        <v>0.99947800366072359</v>
      </c>
      <c r="P658" s="451">
        <f t="shared" si="16"/>
        <v>0.99947800366072359</v>
      </c>
      <c r="Q658" s="451"/>
      <c r="R658" s="158"/>
    </row>
    <row r="659" spans="1:18" ht="12.75" customHeight="1" x14ac:dyDescent="0.3">
      <c r="A659" s="36"/>
      <c r="B659" s="29"/>
      <c r="C659" s="36" t="s">
        <v>4002</v>
      </c>
      <c r="D659" s="29"/>
      <c r="E659" s="29"/>
      <c r="F659" s="29"/>
      <c r="G659" s="94" t="s">
        <v>136</v>
      </c>
      <c r="H659" s="36" t="s">
        <v>2320</v>
      </c>
      <c r="I659" s="521">
        <f>global!I55</f>
        <v>0</v>
      </c>
      <c r="J659" s="450"/>
      <c r="K659" s="450"/>
      <c r="L659" s="450"/>
      <c r="M659" s="451"/>
      <c r="N659" s="451"/>
      <c r="O659" s="451"/>
      <c r="P659" s="451"/>
      <c r="Q659" s="451"/>
      <c r="R659" s="158"/>
    </row>
    <row r="660" spans="1:18" ht="12.75" customHeight="1" x14ac:dyDescent="0.3">
      <c r="A660" s="36"/>
      <c r="B660" s="29"/>
      <c r="C660" s="36" t="s">
        <v>1122</v>
      </c>
      <c r="D660" s="29"/>
      <c r="E660" s="29"/>
      <c r="F660" s="29"/>
      <c r="G660" s="94" t="s">
        <v>137</v>
      </c>
      <c r="H660" s="36" t="s">
        <v>1498</v>
      </c>
      <c r="I660" s="521">
        <f>global!I56</f>
        <v>0</v>
      </c>
      <c r="J660" s="450"/>
      <c r="K660" s="450"/>
      <c r="L660" s="450"/>
      <c r="M660" s="451"/>
      <c r="N660" s="451"/>
      <c r="O660" s="451"/>
      <c r="P660" s="451"/>
      <c r="Q660" s="451"/>
      <c r="R660" s="158"/>
    </row>
    <row r="661" spans="1:18" ht="12.75" customHeight="1" x14ac:dyDescent="0.3">
      <c r="A661" s="36"/>
      <c r="B661" s="29"/>
      <c r="C661" s="36" t="s">
        <v>4003</v>
      </c>
      <c r="D661" s="29"/>
      <c r="E661" s="29"/>
      <c r="F661" s="29"/>
      <c r="G661" s="94" t="s">
        <v>1452</v>
      </c>
      <c r="H661" s="36" t="s">
        <v>36</v>
      </c>
      <c r="I661" s="521">
        <f>global!I57</f>
        <v>0</v>
      </c>
      <c r="J661" s="450"/>
      <c r="K661" s="450"/>
      <c r="L661" s="450"/>
      <c r="M661" s="451"/>
      <c r="N661" s="451"/>
      <c r="O661" s="451"/>
      <c r="P661" s="451"/>
      <c r="Q661" s="451"/>
      <c r="R661" s="158"/>
    </row>
    <row r="662" spans="1:18" ht="12.75" customHeight="1" x14ac:dyDescent="0.3">
      <c r="A662" s="36"/>
      <c r="B662" s="29"/>
      <c r="C662" s="36" t="s">
        <v>1124</v>
      </c>
      <c r="D662" s="29"/>
      <c r="E662" s="29"/>
      <c r="F662" s="29"/>
      <c r="G662" s="94" t="s">
        <v>1453</v>
      </c>
      <c r="H662" s="36" t="s">
        <v>36</v>
      </c>
      <c r="I662" s="521">
        <f>global!I58</f>
        <v>0</v>
      </c>
      <c r="J662" s="450"/>
      <c r="K662" s="450"/>
      <c r="L662" s="450"/>
      <c r="M662" s="451"/>
      <c r="N662" s="451"/>
      <c r="O662" s="451"/>
      <c r="P662" s="451"/>
      <c r="Q662" s="451"/>
      <c r="R662" s="158"/>
    </row>
    <row r="663" spans="1:18" ht="12.75" customHeight="1" x14ac:dyDescent="0.3">
      <c r="A663" s="36"/>
      <c r="B663" s="29"/>
      <c r="C663" s="36" t="s">
        <v>4004</v>
      </c>
      <c r="D663" s="29"/>
      <c r="E663" s="29"/>
      <c r="F663" s="29"/>
      <c r="G663" s="94" t="s">
        <v>138</v>
      </c>
      <c r="H663" s="36" t="s">
        <v>2305</v>
      </c>
      <c r="I663" s="521">
        <f>global!I59</f>
        <v>0</v>
      </c>
      <c r="J663" s="450"/>
      <c r="K663" s="450"/>
      <c r="L663" s="450"/>
      <c r="M663" s="451"/>
      <c r="N663" s="451"/>
      <c r="O663" s="451"/>
      <c r="P663" s="451"/>
      <c r="Q663" s="451"/>
      <c r="R663" s="158"/>
    </row>
    <row r="664" spans="1:18" ht="12.75" customHeight="1" x14ac:dyDescent="0.3">
      <c r="A664" s="36"/>
      <c r="B664" s="29"/>
      <c r="C664" s="36" t="s">
        <v>1126</v>
      </c>
      <c r="D664" s="29"/>
      <c r="E664" s="29"/>
      <c r="F664" s="29"/>
      <c r="G664" s="94" t="s">
        <v>139</v>
      </c>
      <c r="H664" s="36" t="s">
        <v>2305</v>
      </c>
      <c r="I664" s="521">
        <f>global!I60</f>
        <v>0</v>
      </c>
      <c r="J664" s="450"/>
      <c r="K664" s="450"/>
      <c r="L664" s="450"/>
      <c r="M664" s="451"/>
      <c r="N664" s="451"/>
      <c r="O664" s="451"/>
      <c r="P664" s="451"/>
      <c r="Q664" s="451"/>
      <c r="R664" s="158"/>
    </row>
    <row r="665" spans="1:18" ht="12.75" customHeight="1" x14ac:dyDescent="0.3">
      <c r="A665" s="36"/>
      <c r="B665" s="29"/>
      <c r="C665" s="36" t="s">
        <v>4005</v>
      </c>
      <c r="D665" s="29"/>
      <c r="E665" s="29"/>
      <c r="F665" s="29"/>
      <c r="G665" s="94" t="s">
        <v>140</v>
      </c>
      <c r="H665" s="36" t="s">
        <v>1039</v>
      </c>
      <c r="I665" s="521">
        <f>global!I61</f>
        <v>0</v>
      </c>
      <c r="J665" s="450"/>
      <c r="K665" s="450"/>
      <c r="L665" s="450"/>
      <c r="M665" s="451"/>
      <c r="N665" s="451"/>
      <c r="O665" s="451"/>
      <c r="P665" s="451"/>
      <c r="Q665" s="451"/>
      <c r="R665" s="158"/>
    </row>
    <row r="666" spans="1:18" ht="12.75" customHeight="1" x14ac:dyDescent="0.3">
      <c r="A666" s="36"/>
      <c r="B666" s="29"/>
      <c r="C666" s="36" t="s">
        <v>1143</v>
      </c>
      <c r="D666" s="29"/>
      <c r="E666" s="29"/>
      <c r="F666" s="29"/>
      <c r="G666" s="94" t="s">
        <v>141</v>
      </c>
      <c r="H666" s="36" t="s">
        <v>1039</v>
      </c>
      <c r="I666" s="521">
        <f>global!I62</f>
        <v>0</v>
      </c>
      <c r="J666" s="450"/>
      <c r="K666" s="450"/>
      <c r="L666" s="450"/>
      <c r="M666" s="451"/>
      <c r="N666" s="451"/>
      <c r="O666" s="451"/>
      <c r="P666" s="451"/>
      <c r="Q666" s="451"/>
      <c r="R666" s="158"/>
    </row>
    <row r="667" spans="1:18" ht="12.75" customHeight="1" x14ac:dyDescent="0.3">
      <c r="A667" s="36"/>
      <c r="B667" s="29"/>
      <c r="C667" s="36" t="s">
        <v>4006</v>
      </c>
      <c r="D667" s="29"/>
      <c r="E667" s="29"/>
      <c r="F667" s="29"/>
      <c r="G667" s="94" t="s">
        <v>142</v>
      </c>
      <c r="H667" s="36" t="s">
        <v>1038</v>
      </c>
      <c r="I667" s="521">
        <f>global!I63</f>
        <v>0</v>
      </c>
      <c r="J667" s="450"/>
      <c r="K667" s="450"/>
      <c r="L667" s="450"/>
      <c r="M667" s="451"/>
      <c r="N667" s="451"/>
      <c r="O667" s="451"/>
      <c r="P667" s="451"/>
      <c r="Q667" s="451"/>
      <c r="R667" s="158"/>
    </row>
    <row r="668" spans="1:18" ht="12.75" customHeight="1" x14ac:dyDescent="0.3">
      <c r="A668" s="36"/>
      <c r="B668" s="29"/>
      <c r="C668" s="36" t="s">
        <v>1130</v>
      </c>
      <c r="D668" s="29"/>
      <c r="E668" s="29"/>
      <c r="F668" s="29"/>
      <c r="G668" s="94" t="s">
        <v>143</v>
      </c>
      <c r="H668" s="36" t="s">
        <v>1038</v>
      </c>
      <c r="I668" s="521">
        <f>global!I64</f>
        <v>0</v>
      </c>
      <c r="J668" s="450"/>
      <c r="K668" s="450"/>
      <c r="L668" s="450"/>
      <c r="M668" s="451"/>
      <c r="N668" s="451"/>
      <c r="O668" s="451"/>
      <c r="P668" s="451"/>
      <c r="Q668" s="451"/>
      <c r="R668" s="158"/>
    </row>
    <row r="669" spans="1:18" ht="12.75" customHeight="1" x14ac:dyDescent="0.3">
      <c r="A669" s="36"/>
      <c r="B669" s="36" t="s">
        <v>1375</v>
      </c>
      <c r="C669" s="95"/>
      <c r="D669" s="29"/>
      <c r="E669" s="29"/>
      <c r="F669" s="29"/>
      <c r="G669" s="94" t="s">
        <v>438</v>
      </c>
      <c r="H669" s="36" t="s">
        <v>36</v>
      </c>
      <c r="I669" s="521">
        <f>global!I65</f>
        <v>0</v>
      </c>
      <c r="J669" s="450"/>
      <c r="K669" s="450"/>
      <c r="L669" s="450"/>
      <c r="M669" s="451"/>
      <c r="N669" s="451"/>
      <c r="O669" s="451"/>
      <c r="P669" s="451"/>
      <c r="Q669" s="451"/>
      <c r="R669" s="158"/>
    </row>
    <row r="670" spans="1:18" ht="12.75" customHeight="1" x14ac:dyDescent="0.3">
      <c r="A670" s="36"/>
      <c r="B670" s="29"/>
      <c r="C670" s="36" t="s">
        <v>1376</v>
      </c>
      <c r="D670" s="29"/>
      <c r="E670" s="29"/>
      <c r="F670" s="29"/>
      <c r="G670" s="94" t="s">
        <v>177</v>
      </c>
      <c r="H670" s="36" t="s">
        <v>2320</v>
      </c>
      <c r="I670" s="521">
        <f>global!I66</f>
        <v>0</v>
      </c>
      <c r="J670" s="450"/>
      <c r="K670" s="450"/>
      <c r="L670" s="450"/>
      <c r="M670" s="451"/>
      <c r="N670" s="451"/>
      <c r="O670" s="451"/>
      <c r="P670" s="451"/>
      <c r="Q670" s="451"/>
      <c r="R670" s="158"/>
    </row>
    <row r="671" spans="1:18" ht="12.75" customHeight="1" x14ac:dyDescent="0.3">
      <c r="A671" s="36"/>
      <c r="B671" s="29"/>
      <c r="C671" s="36" t="s">
        <v>546</v>
      </c>
      <c r="D671" s="29"/>
      <c r="E671" s="29"/>
      <c r="F671" s="29"/>
      <c r="G671" s="94" t="s">
        <v>437</v>
      </c>
      <c r="H671" s="36" t="s">
        <v>36</v>
      </c>
      <c r="I671" s="521">
        <f>global!I67</f>
        <v>0</v>
      </c>
      <c r="J671" s="450"/>
      <c r="K671" s="450"/>
      <c r="L671" s="450"/>
      <c r="M671" s="451"/>
      <c r="N671" s="451"/>
      <c r="O671" s="451"/>
      <c r="P671" s="451"/>
      <c r="Q671" s="451"/>
      <c r="R671" s="158"/>
    </row>
    <row r="672" spans="1:18" ht="12.75" customHeight="1" x14ac:dyDescent="0.3">
      <c r="A672" s="36"/>
      <c r="B672" s="36" t="s">
        <v>1372</v>
      </c>
      <c r="C672" s="95"/>
      <c r="D672" s="29"/>
      <c r="E672" s="29"/>
      <c r="F672" s="29"/>
      <c r="G672" s="94" t="s">
        <v>4007</v>
      </c>
      <c r="H672" s="36" t="s">
        <v>36</v>
      </c>
      <c r="I672" s="521">
        <f>global!I68</f>
        <v>0</v>
      </c>
      <c r="J672" s="450"/>
      <c r="K672" s="450"/>
      <c r="L672" s="450"/>
      <c r="M672" s="451"/>
      <c r="N672" s="451"/>
      <c r="O672" s="451"/>
      <c r="P672" s="451"/>
      <c r="Q672" s="451"/>
      <c r="R672" s="158"/>
    </row>
    <row r="673" spans="1:18" ht="12.75" customHeight="1" x14ac:dyDescent="0.3">
      <c r="A673" s="36"/>
      <c r="B673" s="36" t="s">
        <v>48</v>
      </c>
      <c r="C673" s="95"/>
      <c r="D673" s="29"/>
      <c r="E673" s="29"/>
      <c r="F673" s="29"/>
      <c r="G673" s="94" t="s">
        <v>589</v>
      </c>
      <c r="H673" s="36" t="s">
        <v>36</v>
      </c>
      <c r="I673" s="521">
        <f>global!I69</f>
        <v>0</v>
      </c>
      <c r="J673" s="450"/>
      <c r="K673" s="450"/>
      <c r="L673" s="450"/>
      <c r="M673" s="451"/>
      <c r="N673" s="451"/>
      <c r="O673" s="451"/>
      <c r="P673" s="451"/>
      <c r="Q673" s="451"/>
      <c r="R673" s="158"/>
    </row>
    <row r="674" spans="1:18" ht="12.75" customHeight="1" x14ac:dyDescent="0.3">
      <c r="A674" s="36"/>
      <c r="B674" s="36" t="s">
        <v>1301</v>
      </c>
      <c r="C674" s="95"/>
      <c r="D674" s="29"/>
      <c r="E674" s="29"/>
      <c r="F674" s="29"/>
      <c r="G674" s="94" t="s">
        <v>44</v>
      </c>
      <c r="H674" s="36" t="s">
        <v>36</v>
      </c>
      <c r="I674" s="521">
        <f>global!I70</f>
        <v>0</v>
      </c>
      <c r="J674" s="450"/>
      <c r="K674" s="450"/>
      <c r="L674" s="450"/>
      <c r="M674" s="451"/>
      <c r="N674" s="451"/>
      <c r="O674" s="451"/>
      <c r="P674" s="451"/>
      <c r="Q674" s="451"/>
      <c r="R674" s="158"/>
    </row>
    <row r="675" spans="1:18" ht="12.75" customHeight="1" x14ac:dyDescent="0.3">
      <c r="A675" s="36"/>
      <c r="B675" s="29"/>
      <c r="C675" s="36" t="s">
        <v>1373</v>
      </c>
      <c r="D675" s="29"/>
      <c r="E675" s="29"/>
      <c r="F675" s="29"/>
      <c r="G675" s="94" t="s">
        <v>179</v>
      </c>
      <c r="H675" s="36" t="s">
        <v>2320</v>
      </c>
      <c r="I675" s="521">
        <f>global!I71</f>
        <v>0</v>
      </c>
      <c r="J675" s="450"/>
      <c r="K675" s="450"/>
      <c r="L675" s="450"/>
      <c r="M675" s="451"/>
      <c r="N675" s="451"/>
      <c r="O675" s="451"/>
      <c r="P675" s="451"/>
      <c r="Q675" s="451"/>
      <c r="R675" s="158"/>
    </row>
    <row r="676" spans="1:18" ht="12.75" customHeight="1" x14ac:dyDescent="0.3">
      <c r="A676" s="36"/>
      <c r="B676" s="29"/>
      <c r="C676" s="36" t="s">
        <v>1374</v>
      </c>
      <c r="D676" s="29"/>
      <c r="E676" s="29"/>
      <c r="F676" s="29"/>
      <c r="G676" s="94" t="s">
        <v>957</v>
      </c>
      <c r="H676" s="36" t="s">
        <v>36</v>
      </c>
      <c r="I676" s="521">
        <f>global!I72</f>
        <v>0</v>
      </c>
      <c r="J676" s="450"/>
      <c r="K676" s="450"/>
      <c r="L676" s="450"/>
      <c r="M676" s="451"/>
      <c r="N676" s="451"/>
      <c r="O676" s="451"/>
      <c r="P676" s="451"/>
      <c r="Q676" s="451"/>
      <c r="R676" s="158"/>
    </row>
    <row r="677" spans="1:18" ht="12.75" customHeight="1" x14ac:dyDescent="0.3">
      <c r="A677" s="29"/>
      <c r="B677" s="29"/>
      <c r="C677" s="29"/>
      <c r="D677" s="29"/>
      <c r="E677" s="29"/>
      <c r="F677" s="29"/>
      <c r="G677" s="29"/>
      <c r="H677" s="29"/>
      <c r="I677" s="456"/>
      <c r="J677" s="339"/>
      <c r="K677" s="339"/>
      <c r="L677" s="339"/>
      <c r="M677" s="282"/>
      <c r="N677" s="282"/>
      <c r="O677" s="282"/>
      <c r="P677" s="282"/>
      <c r="Q677" s="282"/>
      <c r="R677" s="158"/>
    </row>
    <row r="678" spans="1:18" ht="12.75" customHeight="1" x14ac:dyDescent="0.3">
      <c r="A678" s="98" t="s">
        <v>1311</v>
      </c>
      <c r="B678" s="97"/>
      <c r="C678" s="97"/>
      <c r="D678" s="97"/>
      <c r="E678" s="97"/>
      <c r="F678" s="97"/>
      <c r="G678" s="97"/>
      <c r="H678" s="97"/>
      <c r="I678" s="340" t="s">
        <v>754</v>
      </c>
      <c r="J678" s="364"/>
      <c r="K678" s="364"/>
      <c r="L678" s="364"/>
      <c r="M678" s="469"/>
      <c r="N678" s="469"/>
      <c r="O678" s="469"/>
      <c r="P678" s="469"/>
      <c r="Q678" s="469"/>
      <c r="R678" s="158"/>
    </row>
    <row r="679" spans="1:18" ht="12.75" customHeight="1" x14ac:dyDescent="0.3">
      <c r="A679" s="29"/>
      <c r="B679" s="29"/>
      <c r="C679" s="29"/>
      <c r="D679" s="29"/>
      <c r="E679" s="29"/>
      <c r="F679" s="29"/>
      <c r="G679" s="29"/>
      <c r="H679" s="29"/>
      <c r="I679" s="342"/>
      <c r="J679" s="339"/>
      <c r="K679" s="339"/>
      <c r="L679" s="339"/>
      <c r="M679" s="282"/>
      <c r="N679" s="282"/>
      <c r="O679" s="282"/>
      <c r="P679" s="282"/>
      <c r="Q679" s="282"/>
      <c r="R679" s="158"/>
    </row>
    <row r="680" spans="1:18" ht="12.75" customHeight="1" x14ac:dyDescent="0.3">
      <c r="A680" s="36" t="s">
        <v>93</v>
      </c>
      <c r="B680" s="29"/>
      <c r="C680" s="29"/>
      <c r="D680" s="29"/>
      <c r="E680" s="29"/>
      <c r="F680" s="29"/>
      <c r="G680" s="36" t="s">
        <v>1251</v>
      </c>
      <c r="H680" s="36" t="s">
        <v>2307</v>
      </c>
      <c r="I680" s="521">
        <f>global!I76</f>
        <v>0</v>
      </c>
      <c r="J680" s="450"/>
      <c r="K680" s="450"/>
      <c r="L680" s="450">
        <f>((DRYDEPaerosol.M+AerosolWashout.M+GasWashout.M+GASABS.aM.wM)/HEIGHT.aC)*AREAFRAC.wM</f>
        <v>3.0576871377198758E-8</v>
      </c>
      <c r="M680" s="450">
        <f>((DRYDEPaerosol.M+AerosolWashout.M+GasWashout.M+GASABS.aM.wM)/HEIGHT.aC)*AREAFRAC.wM</f>
        <v>3.0576871377198758E-8</v>
      </c>
      <c r="N680" s="450">
        <f>((DRYDEPaerosol.M+AerosolWashout.M+GasWashout.M+GASABS.aM.wM)/HEIGHT.aC)*AREAFRAC.wM</f>
        <v>3.0576871377198758E-8</v>
      </c>
      <c r="O680" s="450">
        <f>((DRYDEPaerosol.M+AerosolWashout.M+GasWashout.M+GASABS.aM.wM)/HEIGHT.aC)*AREAFRAC.wM</f>
        <v>3.0576871377198758E-8</v>
      </c>
      <c r="P680" s="450">
        <f>((DRYDEPaerosol.M+AerosolWashout.M+GasWashout.M+GASABS.aM.wM)/HEIGHT.aC)*AREAFRAC.wM</f>
        <v>3.0576871377198758E-8</v>
      </c>
      <c r="Q680" s="451"/>
      <c r="R680" s="158"/>
    </row>
    <row r="681" spans="1:18" ht="12.75" customHeight="1" x14ac:dyDescent="0.3">
      <c r="A681" s="36" t="s">
        <v>94</v>
      </c>
      <c r="B681" s="29"/>
      <c r="C681" s="29"/>
      <c r="D681" s="29"/>
      <c r="E681" s="29"/>
      <c r="F681" s="29"/>
      <c r="G681" s="36" t="s">
        <v>841</v>
      </c>
      <c r="H681" s="36" t="s">
        <v>2307</v>
      </c>
      <c r="I681" s="521">
        <f>global!I77</f>
        <v>0</v>
      </c>
      <c r="J681" s="450"/>
      <c r="K681" s="450"/>
      <c r="L681" s="450">
        <f>((DRYDEPaerosol.M+AerosolWashout.M+GasWashout.M+GASABS.aM.sM)/HEIGHT.aC)*AREAFRAC.sM</f>
        <v>2.6228143620263443E-9</v>
      </c>
      <c r="M681" s="451">
        <f>((DRYDEPaerosol.M+AerosolWashout.M+GasWashout.M+GASABS.aM.sM)/HEIGHT.aC)*AREAFRAC.sM</f>
        <v>2.6228143620263443E-9</v>
      </c>
      <c r="N681" s="451">
        <f>((DRYDEPaerosol.M+AerosolWashout.M+GasWashout.M+GASABS.aM.sM)/HEIGHT.aC)*AREAFRAC.sM</f>
        <v>2.6228143620263443E-9</v>
      </c>
      <c r="O681" s="451">
        <f>((DRYDEPaerosol.M+AerosolWashout.M+GasWashout.M+GASABS.aM.sM)/HEIGHT.aC)*AREAFRAC.sM</f>
        <v>2.6228143620263443E-9</v>
      </c>
      <c r="P681" s="451">
        <f>((DRYDEPaerosol.M+AerosolWashout.M+GasWashout.M+GASABS.aM.sM)/HEIGHT.aC)*AREAFRAC.sM</f>
        <v>2.6228143620263443E-9</v>
      </c>
      <c r="Q681" s="451"/>
      <c r="R681" s="158"/>
    </row>
    <row r="682" spans="1:18" ht="12.75" customHeight="1" x14ac:dyDescent="0.3">
      <c r="A682" s="36" t="s">
        <v>95</v>
      </c>
      <c r="B682" s="29"/>
      <c r="C682" s="29"/>
      <c r="D682" s="29"/>
      <c r="E682" s="29"/>
      <c r="F682" s="29"/>
      <c r="G682" s="36" t="s">
        <v>1253</v>
      </c>
      <c r="H682" s="36" t="s">
        <v>2307</v>
      </c>
      <c r="I682" s="521">
        <f>global!I78</f>
        <v>0</v>
      </c>
      <c r="J682" s="450"/>
      <c r="K682" s="450"/>
      <c r="L682" s="450"/>
      <c r="M682" s="451"/>
      <c r="N682" s="451"/>
      <c r="O682" s="451"/>
      <c r="P682" s="451"/>
      <c r="Q682" s="451"/>
      <c r="R682" s="158"/>
    </row>
    <row r="683" spans="1:18" ht="12.75" customHeight="1" x14ac:dyDescent="0.3">
      <c r="A683" s="36" t="s">
        <v>96</v>
      </c>
      <c r="B683" s="29"/>
      <c r="C683" s="29"/>
      <c r="D683" s="29"/>
      <c r="E683" s="29"/>
      <c r="F683" s="29"/>
      <c r="G683" s="36" t="s">
        <v>842</v>
      </c>
      <c r="H683" s="36" t="s">
        <v>2307</v>
      </c>
      <c r="I683" s="521">
        <f>global!I79</f>
        <v>0</v>
      </c>
      <c r="J683" s="450"/>
      <c r="K683" s="450"/>
      <c r="L683" s="450"/>
      <c r="M683" s="451"/>
      <c r="N683" s="451"/>
      <c r="O683" s="451"/>
      <c r="P683" s="451"/>
      <c r="Q683" s="451"/>
      <c r="R683" s="158"/>
    </row>
    <row r="684" spans="1:18" ht="12.75" customHeight="1" x14ac:dyDescent="0.3">
      <c r="A684" s="36"/>
      <c r="B684" s="36" t="s">
        <v>2265</v>
      </c>
      <c r="C684" s="29"/>
      <c r="D684" s="29"/>
      <c r="E684" s="29"/>
      <c r="F684" s="29"/>
      <c r="G684" s="37" t="s">
        <v>2280</v>
      </c>
      <c r="H684" s="36" t="s">
        <v>2307</v>
      </c>
      <c r="I684" s="521">
        <f>global!I80</f>
        <v>0</v>
      </c>
      <c r="J684" s="450"/>
      <c r="K684" s="450"/>
      <c r="L684" s="450"/>
      <c r="M684" s="451"/>
      <c r="N684" s="451"/>
      <c r="O684" s="451"/>
      <c r="P684" s="451"/>
      <c r="Q684" s="451"/>
      <c r="R684" s="158"/>
    </row>
    <row r="685" spans="1:18" ht="12.75" customHeight="1" x14ac:dyDescent="0.3">
      <c r="A685" s="36"/>
      <c r="B685" s="36"/>
      <c r="C685" s="29" t="s">
        <v>2266</v>
      </c>
      <c r="D685" s="29"/>
      <c r="E685" s="29"/>
      <c r="F685" s="29"/>
      <c r="G685" s="37" t="s">
        <v>2281</v>
      </c>
      <c r="H685" s="36" t="s">
        <v>2307</v>
      </c>
      <c r="I685" s="521">
        <f>global!I81</f>
        <v>0</v>
      </c>
      <c r="J685" s="450"/>
      <c r="K685" s="450"/>
      <c r="L685" s="450"/>
      <c r="M685" s="451"/>
      <c r="N685" s="451"/>
      <c r="O685" s="451"/>
      <c r="P685" s="451"/>
      <c r="Q685" s="451"/>
      <c r="R685" s="158"/>
    </row>
    <row r="686" spans="1:18" ht="12.75" customHeight="1" x14ac:dyDescent="0.3">
      <c r="A686" s="36"/>
      <c r="B686" s="36"/>
      <c r="C686" s="36"/>
      <c r="D686" s="36" t="s">
        <v>3976</v>
      </c>
      <c r="E686" s="29"/>
      <c r="F686" s="29"/>
      <c r="G686" s="37" t="s">
        <v>751</v>
      </c>
      <c r="H686" s="36" t="s">
        <v>2307</v>
      </c>
      <c r="I686" s="521">
        <f>global!I82</f>
        <v>0</v>
      </c>
      <c r="J686" s="450"/>
      <c r="K686" s="450"/>
      <c r="L686" s="450"/>
      <c r="M686" s="451"/>
      <c r="N686" s="451"/>
      <c r="O686" s="451"/>
      <c r="P686" s="451"/>
      <c r="Q686" s="451"/>
      <c r="R686" s="158"/>
    </row>
    <row r="687" spans="1:18" ht="12.75" customHeight="1" x14ac:dyDescent="0.3">
      <c r="A687" s="36"/>
      <c r="B687" s="36"/>
      <c r="C687" s="36"/>
      <c r="D687" s="36" t="s">
        <v>3977</v>
      </c>
      <c r="E687" s="29"/>
      <c r="F687" s="29"/>
      <c r="G687" s="37" t="s">
        <v>752</v>
      </c>
      <c r="H687" s="36" t="s">
        <v>2307</v>
      </c>
      <c r="I687" s="521">
        <f>global!I83</f>
        <v>0</v>
      </c>
      <c r="J687" s="450"/>
      <c r="K687" s="450"/>
      <c r="L687" s="450"/>
      <c r="M687" s="451"/>
      <c r="N687" s="451"/>
      <c r="O687" s="451"/>
      <c r="P687" s="451"/>
      <c r="Q687" s="451"/>
      <c r="R687" s="158"/>
    </row>
    <row r="688" spans="1:18" ht="12.75" customHeight="1" x14ac:dyDescent="0.3">
      <c r="A688" s="36"/>
      <c r="B688" s="29" t="s">
        <v>929</v>
      </c>
      <c r="C688" s="29"/>
      <c r="D688" s="29"/>
      <c r="E688" s="29"/>
      <c r="F688" s="29"/>
      <c r="G688" s="29" t="s">
        <v>755</v>
      </c>
      <c r="H688" s="29" t="s">
        <v>2191</v>
      </c>
      <c r="I688" s="521">
        <f>global!I84</f>
        <v>0</v>
      </c>
      <c r="J688" s="450"/>
      <c r="K688" s="450"/>
      <c r="L688" s="450"/>
      <c r="M688" s="451"/>
      <c r="N688" s="451"/>
      <c r="O688" s="451"/>
      <c r="P688" s="451"/>
      <c r="Q688" s="451"/>
      <c r="R688" s="158"/>
    </row>
    <row r="689" spans="1:18" ht="12.75" customHeight="1" x14ac:dyDescent="0.3">
      <c r="A689" s="36"/>
      <c r="B689" s="29" t="s">
        <v>931</v>
      </c>
      <c r="C689" s="29"/>
      <c r="D689" s="29"/>
      <c r="E689" s="29"/>
      <c r="F689" s="29"/>
      <c r="G689" s="29" t="s">
        <v>756</v>
      </c>
      <c r="H689" s="29" t="s">
        <v>2191</v>
      </c>
      <c r="I689" s="521">
        <f>global!I85</f>
        <v>0</v>
      </c>
      <c r="J689" s="450"/>
      <c r="K689" s="450"/>
      <c r="L689" s="450"/>
      <c r="M689" s="451"/>
      <c r="N689" s="451"/>
      <c r="O689" s="451"/>
      <c r="P689" s="451"/>
      <c r="Q689" s="451"/>
      <c r="R689" s="158"/>
    </row>
    <row r="690" spans="1:18" ht="12.75" customHeight="1" x14ac:dyDescent="0.3">
      <c r="A690" s="36"/>
      <c r="B690" s="36" t="s">
        <v>493</v>
      </c>
      <c r="C690" s="29"/>
      <c r="D690" s="29"/>
      <c r="E690" s="29"/>
      <c r="F690" s="29"/>
      <c r="G690" s="94" t="s">
        <v>959</v>
      </c>
      <c r="H690" s="30" t="s">
        <v>2321</v>
      </c>
      <c r="I690" s="521">
        <f>global!I86</f>
        <v>0</v>
      </c>
      <c r="J690" s="450"/>
      <c r="K690" s="450"/>
      <c r="L690" s="450">
        <f>AEROSOLdeprate.M*FRaers.aM</f>
        <v>3.5083098262422928E-11</v>
      </c>
      <c r="M690" s="451">
        <f>AEROSOLdeprate.M*FRaers.aM</f>
        <v>3.5083098262422928E-11</v>
      </c>
      <c r="N690" s="451">
        <f>AEROSOLdeprate.M*FRaers.aM</f>
        <v>3.5083098262422928E-11</v>
      </c>
      <c r="O690" s="451">
        <f>AEROSOLdeprate.M*FRaers.aM</f>
        <v>3.5083098262422928E-11</v>
      </c>
      <c r="P690" s="451">
        <f>AEROSOLdeprate.M*FRaers.aM</f>
        <v>3.5083098262422928E-11</v>
      </c>
      <c r="Q690" s="451"/>
      <c r="R690" s="158"/>
    </row>
    <row r="691" spans="1:18" ht="12.75" customHeight="1" x14ac:dyDescent="0.3">
      <c r="A691" s="36"/>
      <c r="B691" s="36" t="s">
        <v>745</v>
      </c>
      <c r="C691" s="29"/>
      <c r="D691" s="29"/>
      <c r="E691" s="29"/>
      <c r="F691" s="29"/>
      <c r="G691" s="37" t="s">
        <v>547</v>
      </c>
      <c r="H691" s="95" t="s">
        <v>2321</v>
      </c>
      <c r="I691" s="521">
        <f>global!I87</f>
        <v>0</v>
      </c>
      <c r="J691" s="450"/>
      <c r="K691" s="450"/>
      <c r="L691" s="450">
        <f t="shared" ref="L691:P691" si="17">(1-FRgas.aM)*COLLECTeff.M*RAINrate.M</f>
        <v>1.5673500732245339E-10</v>
      </c>
      <c r="M691" s="451">
        <f t="shared" si="17"/>
        <v>1.5673500732245339E-10</v>
      </c>
      <c r="N691" s="451">
        <f t="shared" si="17"/>
        <v>1.5673500732245339E-10</v>
      </c>
      <c r="O691" s="451">
        <f t="shared" si="17"/>
        <v>1.5673500732245339E-10</v>
      </c>
      <c r="P691" s="451">
        <f t="shared" si="17"/>
        <v>1.5673500732245339E-10</v>
      </c>
      <c r="Q691" s="451"/>
      <c r="R691" s="158"/>
    </row>
    <row r="692" spans="1:18" ht="12.75" customHeight="1" x14ac:dyDescent="0.3">
      <c r="A692" s="36"/>
      <c r="B692" s="36" t="s">
        <v>746</v>
      </c>
      <c r="C692" s="29"/>
      <c r="D692" s="29"/>
      <c r="E692" s="29"/>
      <c r="F692" s="29"/>
      <c r="G692" s="37" t="s">
        <v>548</v>
      </c>
      <c r="H692" s="95" t="s">
        <v>2321</v>
      </c>
      <c r="I692" s="521">
        <f>global!I88</f>
        <v>0</v>
      </c>
      <c r="J692" s="450"/>
      <c r="K692" s="450"/>
      <c r="L692" s="450">
        <f t="shared" ref="L692:P692" si="18">FRgas.aM*RAINrate.M/Kaw.M</f>
        <v>2.4703055562475118E-7</v>
      </c>
      <c r="M692" s="451">
        <f t="shared" si="18"/>
        <v>2.4703055562475118E-7</v>
      </c>
      <c r="N692" s="451">
        <f t="shared" si="18"/>
        <v>2.4703055562475118E-7</v>
      </c>
      <c r="O692" s="451">
        <f t="shared" si="18"/>
        <v>2.4703055562475118E-7</v>
      </c>
      <c r="P692" s="451">
        <f t="shared" si="18"/>
        <v>2.4703055562475118E-7</v>
      </c>
      <c r="Q692" s="451"/>
      <c r="R692" s="158"/>
    </row>
    <row r="693" spans="1:18" ht="12.75" customHeight="1" x14ac:dyDescent="0.3">
      <c r="A693" s="36"/>
      <c r="B693" s="29"/>
      <c r="C693" s="95" t="s">
        <v>747</v>
      </c>
      <c r="D693" s="95"/>
      <c r="E693" s="95"/>
      <c r="F693" s="95"/>
      <c r="G693" s="94" t="s">
        <v>960</v>
      </c>
      <c r="H693" s="30" t="s">
        <v>2321</v>
      </c>
      <c r="I693" s="521">
        <f>global!I89</f>
        <v>0</v>
      </c>
      <c r="J693" s="450"/>
      <c r="K693" s="450"/>
      <c r="L693" s="450"/>
      <c r="M693" s="451"/>
      <c r="N693" s="451"/>
      <c r="O693" s="451"/>
      <c r="P693" s="451"/>
      <c r="Q693" s="451"/>
      <c r="R693" s="158"/>
    </row>
    <row r="694" spans="1:18" ht="12.75" customHeight="1" x14ac:dyDescent="0.3">
      <c r="A694" s="36"/>
      <c r="B694" s="29"/>
      <c r="C694" s="36" t="s">
        <v>748</v>
      </c>
      <c r="D694" s="95"/>
      <c r="E694" s="95"/>
      <c r="F694" s="95"/>
      <c r="G694" s="94" t="s">
        <v>961</v>
      </c>
      <c r="H694" s="95" t="s">
        <v>2324</v>
      </c>
      <c r="I694" s="521">
        <f>global!I90</f>
        <v>0</v>
      </c>
      <c r="J694" s="450"/>
      <c r="K694" s="450"/>
      <c r="L694" s="450"/>
      <c r="M694" s="451"/>
      <c r="N694" s="451"/>
      <c r="O694" s="451"/>
      <c r="P694" s="451"/>
      <c r="Q694" s="451"/>
      <c r="R694" s="158"/>
    </row>
    <row r="695" spans="1:18" ht="12.75" customHeight="1" x14ac:dyDescent="0.3">
      <c r="A695" s="36"/>
      <c r="B695" s="29"/>
      <c r="C695" s="36" t="s">
        <v>444</v>
      </c>
      <c r="D695" s="29"/>
      <c r="E695" s="29"/>
      <c r="F695" s="29"/>
      <c r="G695" s="94" t="s">
        <v>962</v>
      </c>
      <c r="H695" s="36" t="s">
        <v>36</v>
      </c>
      <c r="I695" s="521">
        <f>global!I91</f>
        <v>0</v>
      </c>
      <c r="J695" s="450"/>
      <c r="K695" s="450"/>
      <c r="L695" s="450"/>
      <c r="M695" s="451"/>
      <c r="N695" s="451"/>
      <c r="O695" s="451"/>
      <c r="P695" s="451"/>
      <c r="Q695" s="451"/>
      <c r="R695" s="158"/>
    </row>
    <row r="696" spans="1:18" ht="12.75" customHeight="1" x14ac:dyDescent="0.3">
      <c r="A696" s="36"/>
      <c r="B696" s="36" t="s">
        <v>2217</v>
      </c>
      <c r="C696" s="29"/>
      <c r="D696" s="29"/>
      <c r="E696" s="95"/>
      <c r="F696" s="95"/>
      <c r="G696" s="37" t="s">
        <v>2267</v>
      </c>
      <c r="H696" s="36" t="s">
        <v>2322</v>
      </c>
      <c r="I696" s="521">
        <f>global!I92</f>
        <v>0</v>
      </c>
      <c r="J696" s="450"/>
      <c r="K696" s="450"/>
      <c r="L696" s="450"/>
      <c r="M696" s="451"/>
      <c r="N696" s="451"/>
      <c r="O696" s="451"/>
      <c r="P696" s="451"/>
      <c r="Q696" s="451"/>
      <c r="R696" s="158"/>
    </row>
    <row r="697" spans="1:18" ht="12.75" customHeight="1" x14ac:dyDescent="0.3">
      <c r="A697" s="36"/>
      <c r="B697" s="36" t="s">
        <v>2218</v>
      </c>
      <c r="C697" s="29"/>
      <c r="D697" s="29"/>
      <c r="E697" s="95"/>
      <c r="F697" s="95"/>
      <c r="G697" s="37" t="s">
        <v>2268</v>
      </c>
      <c r="H697" s="36" t="s">
        <v>2322</v>
      </c>
      <c r="I697" s="521">
        <f>global!I93</f>
        <v>0</v>
      </c>
      <c r="J697" s="450"/>
      <c r="K697" s="450"/>
      <c r="L697" s="450"/>
      <c r="M697" s="451"/>
      <c r="N697" s="451"/>
      <c r="O697" s="451"/>
      <c r="P697" s="451"/>
      <c r="Q697" s="451"/>
      <c r="R697" s="158"/>
    </row>
    <row r="698" spans="1:18" ht="12.75" customHeight="1" x14ac:dyDescent="0.3">
      <c r="A698" s="36"/>
      <c r="B698" s="36" t="s">
        <v>2269</v>
      </c>
      <c r="C698" s="29"/>
      <c r="D698" s="29"/>
      <c r="E698" s="29"/>
      <c r="F698" s="29"/>
      <c r="G698" s="37" t="s">
        <v>2270</v>
      </c>
      <c r="H698" s="36" t="s">
        <v>2322</v>
      </c>
      <c r="I698" s="521">
        <f>global!I94</f>
        <v>0</v>
      </c>
      <c r="J698" s="450"/>
      <c r="K698" s="450"/>
      <c r="L698" s="450"/>
      <c r="M698" s="451"/>
      <c r="N698" s="451"/>
      <c r="O698" s="451"/>
      <c r="P698" s="451"/>
      <c r="Q698" s="451"/>
      <c r="R698" s="158"/>
    </row>
    <row r="699" spans="1:18" ht="12.75" customHeight="1" x14ac:dyDescent="0.3">
      <c r="A699" s="36"/>
      <c r="B699" s="36" t="s">
        <v>2271</v>
      </c>
      <c r="C699" s="29"/>
      <c r="D699" s="29"/>
      <c r="E699" s="95"/>
      <c r="F699" s="95"/>
      <c r="G699" s="37" t="s">
        <v>2287</v>
      </c>
      <c r="H699" s="36" t="s">
        <v>2322</v>
      </c>
      <c r="I699" s="521">
        <f>global!I95</f>
        <v>0</v>
      </c>
      <c r="J699" s="450"/>
      <c r="K699" s="450"/>
      <c r="L699" s="450"/>
      <c r="M699" s="451"/>
      <c r="N699" s="451"/>
      <c r="O699" s="451"/>
      <c r="P699" s="451"/>
      <c r="Q699" s="451"/>
      <c r="R699" s="158"/>
    </row>
    <row r="700" spans="1:18" ht="12.75" customHeight="1" x14ac:dyDescent="0.3">
      <c r="A700" s="36"/>
      <c r="B700" s="36"/>
      <c r="C700" s="29" t="s">
        <v>1077</v>
      </c>
      <c r="D700" s="29"/>
      <c r="E700" s="29"/>
      <c r="F700" s="29"/>
      <c r="G700" s="29" t="s">
        <v>4008</v>
      </c>
      <c r="H700" s="30" t="s">
        <v>2321</v>
      </c>
      <c r="I700" s="521">
        <f>global!I96</f>
        <v>0</v>
      </c>
      <c r="J700" s="450"/>
      <c r="K700" s="450"/>
      <c r="L700" s="450"/>
      <c r="M700" s="451"/>
      <c r="N700" s="451"/>
      <c r="O700" s="451"/>
      <c r="P700" s="451"/>
      <c r="Q700" s="451"/>
      <c r="R700" s="158"/>
    </row>
    <row r="701" spans="1:18" ht="12.75" customHeight="1" x14ac:dyDescent="0.3">
      <c r="A701" s="36"/>
      <c r="B701" s="36"/>
      <c r="C701" s="29" t="s">
        <v>1048</v>
      </c>
      <c r="D701" s="29"/>
      <c r="E701" s="29"/>
      <c r="F701" s="29"/>
      <c r="G701" s="29" t="s">
        <v>4009</v>
      </c>
      <c r="H701" s="30" t="s">
        <v>2321</v>
      </c>
      <c r="I701" s="521">
        <f>global!I97</f>
        <v>0</v>
      </c>
      <c r="J701" s="450"/>
      <c r="K701" s="450"/>
      <c r="L701" s="450"/>
      <c r="M701" s="451"/>
      <c r="N701" s="451"/>
      <c r="O701" s="451"/>
      <c r="P701" s="451"/>
      <c r="Q701" s="451"/>
      <c r="R701" s="158"/>
    </row>
    <row r="702" spans="1:18" ht="12.75" customHeight="1" x14ac:dyDescent="0.3">
      <c r="A702" s="36"/>
      <c r="B702" s="36"/>
      <c r="C702" s="29"/>
      <c r="D702" s="95" t="s">
        <v>705</v>
      </c>
      <c r="E702" s="29"/>
      <c r="F702" s="29"/>
      <c r="G702" s="37" t="s">
        <v>567</v>
      </c>
      <c r="H702" s="30" t="s">
        <v>2321</v>
      </c>
      <c r="I702" s="521">
        <f>global!I98</f>
        <v>0</v>
      </c>
      <c r="J702" s="450"/>
      <c r="K702" s="450"/>
      <c r="L702" s="450"/>
      <c r="M702" s="451"/>
      <c r="N702" s="451"/>
      <c r="O702" s="451"/>
      <c r="P702" s="451"/>
      <c r="Q702" s="451"/>
      <c r="R702" s="158"/>
    </row>
    <row r="703" spans="1:18" ht="12.75" customHeight="1" x14ac:dyDescent="0.3">
      <c r="A703" s="36"/>
      <c r="B703" s="36"/>
      <c r="C703" s="29" t="s">
        <v>1049</v>
      </c>
      <c r="D703" s="29"/>
      <c r="E703" s="95"/>
      <c r="F703" s="95"/>
      <c r="G703" s="29" t="s">
        <v>4010</v>
      </c>
      <c r="H703" s="30" t="s">
        <v>2321</v>
      </c>
      <c r="I703" s="521">
        <f>global!I99</f>
        <v>0</v>
      </c>
      <c r="J703" s="450"/>
      <c r="K703" s="450"/>
      <c r="L703" s="450"/>
      <c r="M703" s="451"/>
      <c r="N703" s="451"/>
      <c r="O703" s="451"/>
      <c r="P703" s="451"/>
      <c r="Q703" s="451"/>
      <c r="R703" s="158"/>
    </row>
    <row r="704" spans="1:18" ht="12.75" customHeight="1" x14ac:dyDescent="0.3">
      <c r="A704" s="36"/>
      <c r="B704" s="36"/>
      <c r="C704" s="29" t="s">
        <v>872</v>
      </c>
      <c r="D704" s="29"/>
      <c r="E704" s="29"/>
      <c r="F704" s="95"/>
      <c r="G704" s="29" t="s">
        <v>4011</v>
      </c>
      <c r="H704" s="95" t="s">
        <v>2321</v>
      </c>
      <c r="I704" s="521">
        <f>global!I100</f>
        <v>0</v>
      </c>
      <c r="J704" s="450"/>
      <c r="K704" s="450"/>
      <c r="L704" s="450">
        <v>1.1468924229780271E-8</v>
      </c>
      <c r="M704" s="451">
        <v>1.1468924229780271E-8</v>
      </c>
      <c r="N704" s="451">
        <v>1.1468924229780271E-8</v>
      </c>
      <c r="O704" s="451">
        <v>1.1468924229780271E-8</v>
      </c>
      <c r="P704" s="451"/>
      <c r="Q704" s="451">
        <v>1.1468924229780271E-8</v>
      </c>
      <c r="R704" s="158"/>
    </row>
    <row r="705" spans="1:18" ht="12.75" customHeight="1" x14ac:dyDescent="0.3">
      <c r="A705" s="36"/>
      <c r="B705" s="36"/>
      <c r="C705" s="29" t="s">
        <v>185</v>
      </c>
      <c r="D705" s="29"/>
      <c r="E705" s="95"/>
      <c r="F705" s="95"/>
      <c r="G705" s="37" t="s">
        <v>914</v>
      </c>
      <c r="H705" s="29" t="s">
        <v>36</v>
      </c>
      <c r="I705" s="521">
        <f>global!I101</f>
        <v>0</v>
      </c>
      <c r="J705" s="450"/>
      <c r="K705" s="450"/>
      <c r="L705" s="450">
        <v>1</v>
      </c>
      <c r="M705" s="451">
        <v>1</v>
      </c>
      <c r="N705" s="451">
        <v>1</v>
      </c>
      <c r="O705" s="451">
        <v>1</v>
      </c>
      <c r="P705" s="451"/>
      <c r="Q705" s="451">
        <v>1</v>
      </c>
      <c r="R705" s="158"/>
    </row>
    <row r="706" spans="1:18" ht="12.75" customHeight="1" x14ac:dyDescent="0.3">
      <c r="A706" s="29"/>
      <c r="B706" s="29"/>
      <c r="C706" s="29"/>
      <c r="D706" s="29"/>
      <c r="E706" s="29"/>
      <c r="F706" s="29"/>
      <c r="G706" s="29"/>
      <c r="H706" s="29"/>
      <c r="I706" s="526"/>
      <c r="J706" s="458"/>
      <c r="K706" s="458"/>
      <c r="L706" s="458"/>
      <c r="M706" s="459"/>
      <c r="N706" s="459"/>
      <c r="O706" s="459"/>
      <c r="P706" s="459"/>
      <c r="Q706" s="459"/>
      <c r="R706" s="158"/>
    </row>
    <row r="707" spans="1:18" ht="12.75" customHeight="1" x14ac:dyDescent="0.3">
      <c r="A707" s="36" t="s">
        <v>97</v>
      </c>
      <c r="B707" s="29"/>
      <c r="C707" s="29"/>
      <c r="D707" s="29"/>
      <c r="E707" s="29"/>
      <c r="F707" s="29"/>
      <c r="G707" s="37" t="s">
        <v>147</v>
      </c>
      <c r="H707" s="36" t="s">
        <v>2307</v>
      </c>
      <c r="I707" s="521">
        <f>global!I103</f>
        <v>0</v>
      </c>
      <c r="J707" s="450"/>
      <c r="K707" s="450"/>
      <c r="L707" s="450"/>
      <c r="M707" s="451"/>
      <c r="N707" s="451"/>
      <c r="O707" s="451"/>
      <c r="P707" s="451"/>
      <c r="Q707" s="451"/>
      <c r="R707" s="158"/>
    </row>
    <row r="708" spans="1:18" ht="12.75" customHeight="1" x14ac:dyDescent="0.3">
      <c r="A708" s="36" t="s">
        <v>98</v>
      </c>
      <c r="B708" s="29"/>
      <c r="C708" s="29"/>
      <c r="D708" s="29"/>
      <c r="E708" s="29"/>
      <c r="F708" s="29"/>
      <c r="G708" s="37" t="s">
        <v>148</v>
      </c>
      <c r="H708" s="36" t="s">
        <v>2307</v>
      </c>
      <c r="I708" s="521">
        <f>global!I104</f>
        <v>0</v>
      </c>
      <c r="J708" s="450"/>
      <c r="K708" s="450"/>
      <c r="L708" s="450"/>
      <c r="M708" s="451"/>
      <c r="N708" s="451"/>
      <c r="O708" s="451"/>
      <c r="P708" s="451"/>
      <c r="Q708" s="451"/>
      <c r="R708" s="158"/>
    </row>
    <row r="709" spans="1:18" ht="12.75" customHeight="1" x14ac:dyDescent="0.3">
      <c r="A709" s="36"/>
      <c r="B709" s="36" t="s">
        <v>2272</v>
      </c>
      <c r="C709" s="29"/>
      <c r="D709" s="29"/>
      <c r="E709" s="29"/>
      <c r="F709" s="29"/>
      <c r="G709" s="37" t="s">
        <v>2276</v>
      </c>
      <c r="H709" s="36" t="s">
        <v>2322</v>
      </c>
      <c r="I709" s="521">
        <f>global!I105</f>
        <v>0</v>
      </c>
      <c r="J709" s="450"/>
      <c r="K709" s="450"/>
      <c r="L709" s="450"/>
      <c r="M709" s="451"/>
      <c r="N709" s="451"/>
      <c r="O709" s="451"/>
      <c r="P709" s="451"/>
      <c r="Q709" s="451"/>
      <c r="R709" s="158"/>
    </row>
    <row r="710" spans="1:18" ht="12.75" customHeight="1" x14ac:dyDescent="0.3">
      <c r="A710" s="36"/>
      <c r="B710" s="36" t="s">
        <v>2273</v>
      </c>
      <c r="C710" s="29"/>
      <c r="D710" s="29"/>
      <c r="E710" s="29"/>
      <c r="F710" s="29"/>
      <c r="G710" s="37" t="s">
        <v>2277</v>
      </c>
      <c r="H710" s="36" t="s">
        <v>2322</v>
      </c>
      <c r="I710" s="521">
        <f>global!I106</f>
        <v>0</v>
      </c>
      <c r="J710" s="450"/>
      <c r="K710" s="450"/>
      <c r="L710" s="450"/>
      <c r="M710" s="451"/>
      <c r="N710" s="451"/>
      <c r="O710" s="451"/>
      <c r="P710" s="451"/>
      <c r="Q710" s="451"/>
      <c r="R710" s="158"/>
    </row>
    <row r="711" spans="1:18" ht="12.75" customHeight="1" x14ac:dyDescent="0.3">
      <c r="A711" s="36"/>
      <c r="B711" s="36"/>
      <c r="C711" s="36" t="s">
        <v>1228</v>
      </c>
      <c r="D711" s="36"/>
      <c r="E711" s="29"/>
      <c r="F711" s="29"/>
      <c r="G711" s="94" t="s">
        <v>154</v>
      </c>
      <c r="H711" s="30" t="s">
        <v>2321</v>
      </c>
      <c r="I711" s="521">
        <f>global!I107</f>
        <v>0</v>
      </c>
      <c r="J711" s="450"/>
      <c r="K711" s="450"/>
      <c r="L711" s="450"/>
      <c r="M711" s="451"/>
      <c r="N711" s="451"/>
      <c r="O711" s="451"/>
      <c r="P711" s="451"/>
      <c r="Q711" s="451"/>
      <c r="R711" s="158"/>
    </row>
    <row r="712" spans="1:18" ht="12.75" customHeight="1" x14ac:dyDescent="0.3">
      <c r="A712" s="36"/>
      <c r="B712" s="36"/>
      <c r="C712" s="29"/>
      <c r="D712" s="36" t="s">
        <v>582</v>
      </c>
      <c r="E712" s="95"/>
      <c r="F712" s="95"/>
      <c r="G712" s="94" t="s">
        <v>200</v>
      </c>
      <c r="H712" s="30" t="s">
        <v>2321</v>
      </c>
      <c r="I712" s="521">
        <f>global!I108</f>
        <v>0</v>
      </c>
      <c r="J712" s="450"/>
      <c r="K712" s="450"/>
      <c r="L712" s="450"/>
      <c r="M712" s="451"/>
      <c r="N712" s="451"/>
      <c r="O712" s="451"/>
      <c r="P712" s="451"/>
      <c r="Q712" s="451"/>
      <c r="R712" s="158"/>
    </row>
    <row r="713" spans="1:18" ht="12.75" customHeight="1" x14ac:dyDescent="0.3">
      <c r="A713" s="36"/>
      <c r="B713" s="36"/>
      <c r="C713" s="29"/>
      <c r="D713" s="36" t="s">
        <v>565</v>
      </c>
      <c r="E713" s="95"/>
      <c r="F713" s="95"/>
      <c r="G713" s="94" t="s">
        <v>202</v>
      </c>
      <c r="H713" s="30" t="s">
        <v>2321</v>
      </c>
      <c r="I713" s="521">
        <f>global!I109</f>
        <v>0</v>
      </c>
      <c r="J713" s="450"/>
      <c r="K713" s="450"/>
      <c r="L713" s="450"/>
      <c r="M713" s="451"/>
      <c r="N713" s="451"/>
      <c r="O713" s="451"/>
      <c r="P713" s="451"/>
      <c r="Q713" s="451"/>
      <c r="R713" s="158"/>
    </row>
    <row r="714" spans="1:18" ht="12.75" customHeight="1" x14ac:dyDescent="0.3">
      <c r="A714" s="36"/>
      <c r="B714" s="36"/>
      <c r="C714" s="36"/>
      <c r="D714" s="29"/>
      <c r="E714" s="36" t="s">
        <v>803</v>
      </c>
      <c r="F714" s="36"/>
      <c r="G714" s="94" t="s">
        <v>201</v>
      </c>
      <c r="H714" s="36" t="s">
        <v>2323</v>
      </c>
      <c r="I714" s="521">
        <f>global!I110</f>
        <v>0</v>
      </c>
      <c r="J714" s="450"/>
      <c r="K714" s="450"/>
      <c r="L714" s="450"/>
      <c r="M714" s="451"/>
      <c r="N714" s="451"/>
      <c r="O714" s="451"/>
      <c r="P714" s="451"/>
      <c r="Q714" s="451"/>
      <c r="R714" s="158"/>
    </row>
    <row r="715" spans="1:18" ht="12.75" customHeight="1" x14ac:dyDescent="0.3">
      <c r="A715" s="29"/>
      <c r="B715" s="29" t="s">
        <v>2274</v>
      </c>
      <c r="C715" s="95"/>
      <c r="D715" s="95"/>
      <c r="E715" s="29"/>
      <c r="F715" s="29"/>
      <c r="G715" s="37" t="s">
        <v>2278</v>
      </c>
      <c r="H715" s="36" t="s">
        <v>2322</v>
      </c>
      <c r="I715" s="521">
        <f>global!I111</f>
        <v>0</v>
      </c>
      <c r="J715" s="450"/>
      <c r="K715" s="450"/>
      <c r="L715" s="450"/>
      <c r="M715" s="451"/>
      <c r="N715" s="451"/>
      <c r="O715" s="451"/>
      <c r="P715" s="451"/>
      <c r="Q715" s="451"/>
      <c r="R715" s="158"/>
    </row>
    <row r="716" spans="1:18" ht="12.75" customHeight="1" x14ac:dyDescent="0.3">
      <c r="A716" s="29"/>
      <c r="B716" s="29" t="s">
        <v>2275</v>
      </c>
      <c r="C716" s="95"/>
      <c r="D716" s="95"/>
      <c r="E716" s="29"/>
      <c r="F716" s="29"/>
      <c r="G716" s="37" t="s">
        <v>2279</v>
      </c>
      <c r="H716" s="36" t="s">
        <v>2322</v>
      </c>
      <c r="I716" s="521">
        <f>global!I112</f>
        <v>0</v>
      </c>
      <c r="J716" s="450"/>
      <c r="K716" s="450"/>
      <c r="L716" s="450"/>
      <c r="M716" s="451"/>
      <c r="N716" s="451"/>
      <c r="O716" s="451"/>
      <c r="P716" s="451"/>
      <c r="Q716" s="451"/>
      <c r="R716" s="158"/>
    </row>
    <row r="717" spans="1:18" ht="12.75" customHeight="1" x14ac:dyDescent="0.3">
      <c r="A717" s="36"/>
      <c r="B717" s="36"/>
      <c r="C717" s="29" t="s">
        <v>1076</v>
      </c>
      <c r="D717" s="29"/>
      <c r="E717" s="29"/>
      <c r="F717" s="29"/>
      <c r="G717" s="29" t="s">
        <v>467</v>
      </c>
      <c r="H717" s="30" t="s">
        <v>2321</v>
      </c>
      <c r="I717" s="521">
        <f>global!I113</f>
        <v>0</v>
      </c>
      <c r="J717" s="450"/>
      <c r="K717" s="450"/>
      <c r="L717" s="450"/>
      <c r="M717" s="451"/>
      <c r="N717" s="451"/>
      <c r="O717" s="451"/>
      <c r="P717" s="451"/>
      <c r="Q717" s="451"/>
      <c r="R717" s="158"/>
    </row>
    <row r="718" spans="1:18" ht="12.75" customHeight="1" x14ac:dyDescent="0.3">
      <c r="A718" s="36"/>
      <c r="B718" s="36"/>
      <c r="C718" s="29" t="s">
        <v>1230</v>
      </c>
      <c r="D718" s="29"/>
      <c r="E718" s="29"/>
      <c r="F718" s="29"/>
      <c r="G718" s="29" t="s">
        <v>468</v>
      </c>
      <c r="H718" s="30" t="s">
        <v>2321</v>
      </c>
      <c r="I718" s="521">
        <f>global!I114</f>
        <v>0</v>
      </c>
      <c r="J718" s="450"/>
      <c r="K718" s="450"/>
      <c r="L718" s="450"/>
      <c r="M718" s="451"/>
      <c r="N718" s="451"/>
      <c r="O718" s="451"/>
      <c r="P718" s="451"/>
      <c r="Q718" s="451"/>
      <c r="R718" s="158"/>
    </row>
    <row r="719" spans="1:18" ht="12.75" customHeight="1" x14ac:dyDescent="0.3">
      <c r="A719" s="29"/>
      <c r="B719" s="29"/>
      <c r="C719" s="29"/>
      <c r="D719" s="29"/>
      <c r="E719" s="29"/>
      <c r="F719" s="29"/>
      <c r="G719" s="29"/>
      <c r="H719" s="29"/>
      <c r="I719" s="526"/>
      <c r="J719" s="458"/>
      <c r="K719" s="458"/>
      <c r="L719" s="458"/>
      <c r="M719" s="459"/>
      <c r="N719" s="459"/>
      <c r="O719" s="459"/>
      <c r="P719" s="459"/>
      <c r="Q719" s="459"/>
      <c r="R719" s="158"/>
    </row>
    <row r="720" spans="1:18" ht="12.75" customHeight="1" x14ac:dyDescent="0.3">
      <c r="A720" s="36" t="s">
        <v>99</v>
      </c>
      <c r="B720" s="29"/>
      <c r="C720" s="29"/>
      <c r="D720" s="29"/>
      <c r="E720" s="29"/>
      <c r="F720" s="29"/>
      <c r="G720" s="37" t="s">
        <v>1254</v>
      </c>
      <c r="H720" s="36" t="s">
        <v>2307</v>
      </c>
      <c r="I720" s="521">
        <f>global!I116</f>
        <v>0</v>
      </c>
      <c r="J720" s="450"/>
      <c r="K720" s="450"/>
      <c r="L720" s="450"/>
      <c r="M720" s="451"/>
      <c r="N720" s="451"/>
      <c r="O720" s="451"/>
      <c r="P720" s="451"/>
      <c r="Q720" s="451"/>
      <c r="R720" s="158"/>
    </row>
    <row r="721" spans="1:18" ht="12.75" customHeight="1" x14ac:dyDescent="0.3">
      <c r="A721" s="29"/>
      <c r="B721" s="95" t="s">
        <v>211</v>
      </c>
      <c r="C721" s="29"/>
      <c r="D721" s="29"/>
      <c r="E721" s="29"/>
      <c r="F721" s="29"/>
      <c r="G721" s="94" t="s">
        <v>190</v>
      </c>
      <c r="H721" s="95" t="s">
        <v>2324</v>
      </c>
      <c r="I721" s="521">
        <f>global!I117</f>
        <v>0</v>
      </c>
      <c r="J721" s="450"/>
      <c r="K721" s="450"/>
      <c r="L721" s="450"/>
      <c r="M721" s="451"/>
      <c r="N721" s="451"/>
      <c r="O721" s="451"/>
      <c r="P721" s="451"/>
      <c r="Q721" s="451"/>
      <c r="R721" s="158"/>
    </row>
    <row r="722" spans="1:18" ht="12.75" customHeight="1" x14ac:dyDescent="0.3">
      <c r="A722" s="29"/>
      <c r="B722" s="36" t="s">
        <v>1002</v>
      </c>
      <c r="C722" s="29"/>
      <c r="D722" s="29"/>
      <c r="E722" s="29"/>
      <c r="F722" s="29"/>
      <c r="G722" s="94" t="s">
        <v>191</v>
      </c>
      <c r="H722" s="36" t="s">
        <v>36</v>
      </c>
      <c r="I722" s="521">
        <f>global!I118</f>
        <v>0</v>
      </c>
      <c r="J722" s="450"/>
      <c r="K722" s="450"/>
      <c r="L722" s="450"/>
      <c r="M722" s="451"/>
      <c r="N722" s="451"/>
      <c r="O722" s="451"/>
      <c r="P722" s="451"/>
      <c r="Q722" s="451"/>
      <c r="R722" s="158"/>
    </row>
    <row r="723" spans="1:18" ht="12.75" customHeight="1" x14ac:dyDescent="0.3">
      <c r="A723" s="36"/>
      <c r="B723" s="29" t="s">
        <v>185</v>
      </c>
      <c r="C723" s="29"/>
      <c r="D723" s="95"/>
      <c r="E723" s="95"/>
      <c r="F723" s="29"/>
      <c r="G723" s="37" t="s">
        <v>915</v>
      </c>
      <c r="H723" s="29" t="s">
        <v>36</v>
      </c>
      <c r="I723" s="521">
        <f>global!I119</f>
        <v>0</v>
      </c>
      <c r="J723" s="450"/>
      <c r="K723" s="450"/>
      <c r="L723" s="450">
        <v>1</v>
      </c>
      <c r="M723" s="451">
        <v>1</v>
      </c>
      <c r="N723" s="451">
        <v>1</v>
      </c>
      <c r="O723" s="451">
        <v>1</v>
      </c>
      <c r="P723" s="451"/>
      <c r="Q723" s="451">
        <v>1</v>
      </c>
      <c r="R723" s="158"/>
    </row>
    <row r="724" spans="1:18" ht="12.75" customHeight="1" x14ac:dyDescent="0.3">
      <c r="A724" s="29"/>
      <c r="B724" s="29"/>
      <c r="C724" s="29"/>
      <c r="D724" s="29"/>
      <c r="E724" s="29"/>
      <c r="F724" s="29"/>
      <c r="G724" s="29"/>
      <c r="H724" s="29"/>
      <c r="I724" s="456"/>
      <c r="J724" s="339"/>
      <c r="K724" s="339"/>
      <c r="L724" s="339"/>
      <c r="M724" s="282"/>
      <c r="N724" s="282"/>
      <c r="O724" s="282"/>
      <c r="P724" s="282"/>
      <c r="Q724" s="282"/>
      <c r="R724" s="158"/>
    </row>
    <row r="725" spans="1:18" ht="12.75" customHeight="1" x14ac:dyDescent="0.3">
      <c r="A725" s="98" t="s">
        <v>419</v>
      </c>
      <c r="B725" s="97"/>
      <c r="C725" s="97"/>
      <c r="D725" s="97"/>
      <c r="E725" s="97"/>
      <c r="F725" s="97"/>
      <c r="G725" s="97"/>
      <c r="H725" s="97"/>
      <c r="I725" s="340" t="s">
        <v>754</v>
      </c>
      <c r="J725" s="364"/>
      <c r="K725" s="364"/>
      <c r="L725" s="364"/>
      <c r="M725" s="469"/>
      <c r="N725" s="469"/>
      <c r="O725" s="469"/>
      <c r="P725" s="469"/>
      <c r="Q725" s="469"/>
      <c r="R725" s="158"/>
    </row>
    <row r="726" spans="1:18" ht="12.75" customHeight="1" x14ac:dyDescent="0.3">
      <c r="A726" s="36"/>
      <c r="B726" s="29"/>
      <c r="C726" s="29"/>
      <c r="D726" s="29"/>
      <c r="E726" s="29"/>
      <c r="F726" s="29"/>
      <c r="G726" s="29"/>
      <c r="H726" s="29"/>
      <c r="I726" s="342"/>
      <c r="J726" s="339"/>
      <c r="K726" s="339"/>
      <c r="L726" s="339"/>
      <c r="M726" s="282"/>
      <c r="N726" s="282"/>
      <c r="O726" s="282"/>
      <c r="P726" s="282"/>
      <c r="Q726" s="282"/>
      <c r="R726" s="158"/>
    </row>
    <row r="727" spans="1:18" ht="12.75" customHeight="1" x14ac:dyDescent="0.3">
      <c r="A727" s="36" t="s">
        <v>224</v>
      </c>
      <c r="B727" s="29"/>
      <c r="C727" s="29"/>
      <c r="D727" s="29"/>
      <c r="E727" s="29"/>
      <c r="F727" s="29"/>
      <c r="G727" s="37" t="s">
        <v>843</v>
      </c>
      <c r="H727" s="36" t="s">
        <v>2307</v>
      </c>
      <c r="I727" s="521">
        <f>global!I123</f>
        <v>0</v>
      </c>
      <c r="J727" s="450"/>
      <c r="K727" s="450"/>
      <c r="L727" s="450"/>
      <c r="M727" s="451"/>
      <c r="N727" s="451"/>
      <c r="O727" s="451"/>
      <c r="P727" s="451"/>
      <c r="Q727" s="451"/>
      <c r="R727" s="158"/>
    </row>
    <row r="728" spans="1:18" ht="12.75" customHeight="1" x14ac:dyDescent="0.3">
      <c r="A728" s="36" t="s">
        <v>4012</v>
      </c>
      <c r="B728" s="29"/>
      <c r="C728" s="29"/>
      <c r="D728" s="29"/>
      <c r="E728" s="29"/>
      <c r="F728" s="29"/>
      <c r="G728" s="37" t="s">
        <v>1045</v>
      </c>
      <c r="H728" s="36" t="s">
        <v>2307</v>
      </c>
      <c r="I728" s="521">
        <f>global!I124</f>
        <v>0</v>
      </c>
      <c r="J728" s="450"/>
      <c r="K728" s="450"/>
      <c r="L728" s="450"/>
      <c r="M728" s="451"/>
      <c r="N728" s="451"/>
      <c r="O728" s="451"/>
      <c r="P728" s="451"/>
      <c r="Q728" s="451"/>
      <c r="R728" s="158"/>
    </row>
    <row r="729" spans="1:18" ht="12.75" customHeight="1" x14ac:dyDescent="0.3">
      <c r="A729" s="36" t="s">
        <v>1168</v>
      </c>
      <c r="B729" s="29"/>
      <c r="C729" s="29"/>
      <c r="D729" s="29"/>
      <c r="E729" s="29"/>
      <c r="F729" s="29"/>
      <c r="G729" s="37" t="s">
        <v>1169</v>
      </c>
      <c r="H729" s="36" t="s">
        <v>2307</v>
      </c>
      <c r="I729" s="521">
        <f>global!I125</f>
        <v>0</v>
      </c>
      <c r="J729" s="450"/>
      <c r="K729" s="450"/>
      <c r="L729" s="450"/>
      <c r="M729" s="451"/>
      <c r="N729" s="451"/>
      <c r="O729" s="451"/>
      <c r="P729" s="451"/>
      <c r="Q729" s="451"/>
      <c r="R729" s="158"/>
    </row>
    <row r="730" spans="1:18" ht="12.75" customHeight="1" x14ac:dyDescent="0.3">
      <c r="A730" s="36" t="s">
        <v>225</v>
      </c>
      <c r="B730" s="29"/>
      <c r="C730" s="29"/>
      <c r="D730" s="29"/>
      <c r="E730" s="29"/>
      <c r="F730" s="29"/>
      <c r="G730" s="37" t="s">
        <v>1255</v>
      </c>
      <c r="H730" s="36" t="s">
        <v>2307</v>
      </c>
      <c r="I730" s="521">
        <f>global!I126</f>
        <v>0</v>
      </c>
      <c r="J730" s="450"/>
      <c r="K730" s="450"/>
      <c r="L730" s="450"/>
      <c r="M730" s="451"/>
      <c r="N730" s="451"/>
      <c r="O730" s="451"/>
      <c r="P730" s="451"/>
      <c r="Q730" s="451"/>
      <c r="R730" s="158"/>
    </row>
    <row r="731" spans="1:18" ht="12.75" customHeight="1" x14ac:dyDescent="0.3">
      <c r="A731" s="36" t="s">
        <v>844</v>
      </c>
      <c r="B731" s="29"/>
      <c r="C731" s="29"/>
      <c r="D731" s="29"/>
      <c r="E731" s="29"/>
      <c r="F731" s="29"/>
      <c r="G731" s="37" t="s">
        <v>845</v>
      </c>
      <c r="H731" s="36" t="s">
        <v>2307</v>
      </c>
      <c r="I731" s="521">
        <f>global!I127</f>
        <v>0</v>
      </c>
      <c r="J731" s="450"/>
      <c r="K731" s="450"/>
      <c r="L731" s="450"/>
      <c r="M731" s="451"/>
      <c r="N731" s="451"/>
      <c r="O731" s="451"/>
      <c r="P731" s="451"/>
      <c r="Q731" s="451"/>
      <c r="R731" s="158"/>
    </row>
    <row r="732" spans="1:18" ht="12.75" customHeight="1" x14ac:dyDescent="0.3">
      <c r="A732" s="36"/>
      <c r="B732" s="36" t="s">
        <v>796</v>
      </c>
      <c r="C732" s="95"/>
      <c r="D732" s="29"/>
      <c r="E732" s="29"/>
      <c r="F732" s="29"/>
      <c r="G732" s="94" t="s">
        <v>777</v>
      </c>
      <c r="H732" s="36" t="s">
        <v>2307</v>
      </c>
      <c r="I732" s="521">
        <f>global!I128</f>
        <v>0</v>
      </c>
      <c r="J732" s="450"/>
      <c r="K732" s="450"/>
      <c r="L732" s="450"/>
      <c r="M732" s="451"/>
      <c r="N732" s="451"/>
      <c r="O732" s="451"/>
      <c r="P732" s="451"/>
      <c r="Q732" s="451"/>
      <c r="R732" s="158"/>
    </row>
    <row r="733" spans="1:18" ht="12.75" customHeight="1" x14ac:dyDescent="0.3">
      <c r="A733" s="36"/>
      <c r="B733" s="36" t="s">
        <v>797</v>
      </c>
      <c r="C733" s="29"/>
      <c r="D733" s="29"/>
      <c r="E733" s="29"/>
      <c r="F733" s="29"/>
      <c r="G733" s="37" t="s">
        <v>192</v>
      </c>
      <c r="H733" s="36" t="s">
        <v>2307</v>
      </c>
      <c r="I733" s="521">
        <f>global!I129</f>
        <v>0</v>
      </c>
      <c r="J733" s="450"/>
      <c r="K733" s="450"/>
      <c r="L733" s="450"/>
      <c r="M733" s="451"/>
      <c r="N733" s="451"/>
      <c r="O733" s="451"/>
      <c r="P733" s="451"/>
      <c r="Q733" s="451"/>
      <c r="R733" s="158"/>
    </row>
    <row r="734" spans="1:18" ht="12.75" customHeight="1" x14ac:dyDescent="0.3">
      <c r="A734" s="95"/>
      <c r="B734" s="95"/>
      <c r="C734" s="36" t="s">
        <v>1018</v>
      </c>
      <c r="D734" s="29"/>
      <c r="E734" s="29"/>
      <c r="F734" s="29"/>
      <c r="G734" s="37" t="s">
        <v>1003</v>
      </c>
      <c r="H734" s="36" t="s">
        <v>2308</v>
      </c>
      <c r="I734" s="521">
        <f>global!I130</f>
        <v>0</v>
      </c>
      <c r="J734" s="450"/>
      <c r="K734" s="450"/>
      <c r="L734" s="450"/>
      <c r="M734" s="451"/>
      <c r="N734" s="451"/>
      <c r="O734" s="451"/>
      <c r="P734" s="451"/>
      <c r="Q734" s="451"/>
      <c r="R734" s="158"/>
    </row>
    <row r="735" spans="1:18" ht="12.75" customHeight="1" x14ac:dyDescent="0.3">
      <c r="A735" s="95"/>
      <c r="B735" s="95"/>
      <c r="C735" s="36" t="s">
        <v>35</v>
      </c>
      <c r="D735" s="29"/>
      <c r="E735" s="29"/>
      <c r="F735" s="29"/>
      <c r="G735" s="37" t="s">
        <v>1004</v>
      </c>
      <c r="H735" s="36" t="s">
        <v>36</v>
      </c>
      <c r="I735" s="521">
        <f>global!I131</f>
        <v>0</v>
      </c>
      <c r="J735" s="450"/>
      <c r="K735" s="450"/>
      <c r="L735" s="450"/>
      <c r="M735" s="451"/>
      <c r="N735" s="451"/>
      <c r="O735" s="451"/>
      <c r="P735" s="451"/>
      <c r="Q735" s="451"/>
      <c r="R735" s="158"/>
    </row>
    <row r="736" spans="1:18" ht="12.75" customHeight="1" x14ac:dyDescent="0.3">
      <c r="A736" s="36"/>
      <c r="B736" s="36" t="s">
        <v>4013</v>
      </c>
      <c r="C736" s="29"/>
      <c r="D736" s="29"/>
      <c r="E736" s="29"/>
      <c r="F736" s="29"/>
      <c r="G736" s="37" t="s">
        <v>149</v>
      </c>
      <c r="H736" s="36" t="s">
        <v>2307</v>
      </c>
      <c r="I736" s="521">
        <f>global!I132</f>
        <v>0</v>
      </c>
      <c r="J736" s="450"/>
      <c r="K736" s="450"/>
      <c r="L736" s="450"/>
      <c r="M736" s="451"/>
      <c r="N736" s="451"/>
      <c r="O736" s="451"/>
      <c r="P736" s="451"/>
      <c r="Q736" s="451"/>
      <c r="R736" s="158"/>
    </row>
    <row r="737" spans="1:18" ht="12.75" customHeight="1" x14ac:dyDescent="0.3">
      <c r="A737" s="36"/>
      <c r="B737" s="36" t="s">
        <v>1138</v>
      </c>
      <c r="C737" s="29"/>
      <c r="D737" s="29"/>
      <c r="E737" s="29"/>
      <c r="F737" s="29"/>
      <c r="G737" s="37" t="s">
        <v>150</v>
      </c>
      <c r="H737" s="36" t="s">
        <v>2307</v>
      </c>
      <c r="I737" s="521">
        <f>global!I133</f>
        <v>0</v>
      </c>
      <c r="J737" s="450"/>
      <c r="K737" s="450"/>
      <c r="L737" s="450"/>
      <c r="M737" s="451"/>
      <c r="N737" s="451"/>
      <c r="O737" s="451"/>
      <c r="P737" s="451"/>
      <c r="Q737" s="451"/>
      <c r="R737" s="158"/>
    </row>
    <row r="738" spans="1:18" ht="12.75" customHeight="1" x14ac:dyDescent="0.3">
      <c r="A738" s="36"/>
      <c r="B738" s="36"/>
      <c r="C738" s="36" t="s">
        <v>4014</v>
      </c>
      <c r="D738" s="29"/>
      <c r="E738" s="29"/>
      <c r="F738" s="29"/>
      <c r="G738" s="94" t="s">
        <v>684</v>
      </c>
      <c r="H738" s="36" t="s">
        <v>730</v>
      </c>
      <c r="I738" s="521">
        <f>global!I134</f>
        <v>0</v>
      </c>
      <c r="J738" s="450"/>
      <c r="K738" s="450"/>
      <c r="L738" s="450"/>
      <c r="M738" s="451"/>
      <c r="N738" s="451"/>
      <c r="O738" s="451"/>
      <c r="P738" s="451"/>
      <c r="Q738" s="451"/>
      <c r="R738" s="158"/>
    </row>
    <row r="739" spans="1:18" ht="12.75" customHeight="1" x14ac:dyDescent="0.3">
      <c r="A739" s="36"/>
      <c r="B739" s="36"/>
      <c r="C739" s="36" t="s">
        <v>683</v>
      </c>
      <c r="D739" s="29"/>
      <c r="E739" s="29"/>
      <c r="F739" s="29"/>
      <c r="G739" s="94" t="s">
        <v>685</v>
      </c>
      <c r="H739" s="36" t="s">
        <v>730</v>
      </c>
      <c r="I739" s="521">
        <f>global!I135</f>
        <v>0</v>
      </c>
      <c r="J739" s="450"/>
      <c r="K739" s="450"/>
      <c r="L739" s="450"/>
      <c r="M739" s="451"/>
      <c r="N739" s="451"/>
      <c r="O739" s="451"/>
      <c r="P739" s="451"/>
      <c r="Q739" s="451"/>
      <c r="R739" s="158"/>
    </row>
    <row r="740" spans="1:18" ht="12.75" customHeight="1" x14ac:dyDescent="0.3">
      <c r="A740" s="95"/>
      <c r="B740" s="95"/>
      <c r="C740" s="36" t="s">
        <v>766</v>
      </c>
      <c r="D740" s="29"/>
      <c r="E740" s="29"/>
      <c r="F740" s="29"/>
      <c r="G740" s="37" t="s">
        <v>541</v>
      </c>
      <c r="H740" s="36" t="s">
        <v>36</v>
      </c>
      <c r="I740" s="521">
        <f>global!I136</f>
        <v>0</v>
      </c>
      <c r="J740" s="450"/>
      <c r="K740" s="450"/>
      <c r="L740" s="450"/>
      <c r="M740" s="451"/>
      <c r="N740" s="451"/>
      <c r="O740" s="451"/>
      <c r="P740" s="451"/>
      <c r="Q740" s="451"/>
      <c r="R740" s="158"/>
    </row>
    <row r="741" spans="1:18" ht="12.75" customHeight="1" x14ac:dyDescent="0.3">
      <c r="A741" s="36"/>
      <c r="B741" s="36" t="s">
        <v>772</v>
      </c>
      <c r="C741" s="29"/>
      <c r="D741" s="29"/>
      <c r="E741" s="29"/>
      <c r="F741" s="29"/>
      <c r="G741" s="37" t="s">
        <v>193</v>
      </c>
      <c r="H741" s="36" t="s">
        <v>2307</v>
      </c>
      <c r="I741" s="521">
        <f>global!I137</f>
        <v>0</v>
      </c>
      <c r="J741" s="450"/>
      <c r="K741" s="450"/>
      <c r="L741" s="450"/>
      <c r="M741" s="451"/>
      <c r="N741" s="451"/>
      <c r="O741" s="451"/>
      <c r="P741" s="451"/>
      <c r="Q741" s="451"/>
      <c r="R741" s="158"/>
    </row>
    <row r="742" spans="1:18" ht="12.75" customHeight="1" x14ac:dyDescent="0.3">
      <c r="A742" s="36"/>
      <c r="B742" s="36" t="s">
        <v>773</v>
      </c>
      <c r="C742" s="29"/>
      <c r="D742" s="29"/>
      <c r="E742" s="29"/>
      <c r="F742" s="29"/>
      <c r="G742" s="37" t="s">
        <v>194</v>
      </c>
      <c r="H742" s="36" t="s">
        <v>2307</v>
      </c>
      <c r="I742" s="521">
        <f>global!I138</f>
        <v>0</v>
      </c>
      <c r="J742" s="450"/>
      <c r="K742" s="450"/>
      <c r="L742" s="450"/>
      <c r="M742" s="451"/>
      <c r="N742" s="451"/>
      <c r="O742" s="451"/>
      <c r="P742" s="451"/>
      <c r="Q742" s="451"/>
      <c r="R742" s="158"/>
    </row>
    <row r="743" spans="1:18" ht="12.75" customHeight="1" x14ac:dyDescent="0.3">
      <c r="A743" s="29"/>
      <c r="B743" s="36" t="s">
        <v>1036</v>
      </c>
      <c r="C743" s="29"/>
      <c r="D743" s="29"/>
      <c r="E743" s="29"/>
      <c r="F743" s="29"/>
      <c r="G743" s="94" t="s">
        <v>272</v>
      </c>
      <c r="H743" s="36" t="s">
        <v>36</v>
      </c>
      <c r="I743" s="521">
        <f>global!I139</f>
        <v>0</v>
      </c>
      <c r="J743" s="450"/>
      <c r="K743" s="450"/>
      <c r="L743" s="450"/>
      <c r="M743" s="451"/>
      <c r="N743" s="451"/>
      <c r="O743" s="451"/>
      <c r="P743" s="451"/>
      <c r="Q743" s="451"/>
      <c r="R743" s="158"/>
    </row>
    <row r="744" spans="1:18" ht="12.75" customHeight="1" x14ac:dyDescent="0.3">
      <c r="A744" s="36"/>
      <c r="B744" s="29" t="s">
        <v>185</v>
      </c>
      <c r="C744" s="29"/>
      <c r="D744" s="95"/>
      <c r="E744" s="95"/>
      <c r="F744" s="95"/>
      <c r="G744" s="37" t="s">
        <v>916</v>
      </c>
      <c r="H744" s="29" t="s">
        <v>36</v>
      </c>
      <c r="I744" s="521">
        <f>global!I140</f>
        <v>0</v>
      </c>
      <c r="J744" s="450"/>
      <c r="K744" s="450"/>
      <c r="L744" s="450">
        <v>1</v>
      </c>
      <c r="M744" s="451">
        <v>1</v>
      </c>
      <c r="N744" s="451">
        <v>1</v>
      </c>
      <c r="O744" s="451">
        <v>1</v>
      </c>
      <c r="P744" s="451"/>
      <c r="Q744" s="451">
        <v>1</v>
      </c>
      <c r="R744" s="158"/>
    </row>
    <row r="745" spans="1:18" ht="12.75" customHeight="1" x14ac:dyDescent="0.3">
      <c r="A745" s="134"/>
      <c r="B745" s="134"/>
      <c r="C745" s="134"/>
      <c r="D745" s="134"/>
      <c r="E745" s="134"/>
      <c r="F745" s="134"/>
      <c r="G745" s="134"/>
      <c r="H745" s="134"/>
      <c r="I745" s="456"/>
      <c r="J745" s="356"/>
      <c r="K745" s="356"/>
      <c r="L745" s="356"/>
      <c r="M745" s="470"/>
      <c r="N745" s="470"/>
      <c r="O745" s="470"/>
      <c r="P745" s="470"/>
      <c r="Q745" s="470"/>
      <c r="R745" s="158"/>
    </row>
    <row r="746" spans="1:18" ht="12.75" customHeight="1" x14ac:dyDescent="0.3">
      <c r="A746" s="44"/>
      <c r="B746" s="29"/>
      <c r="C746" s="29"/>
      <c r="D746" s="29"/>
      <c r="E746" s="29"/>
      <c r="F746" s="29"/>
      <c r="G746" s="29"/>
      <c r="H746" s="29"/>
      <c r="I746" s="342"/>
      <c r="J746" s="339"/>
      <c r="K746" s="339"/>
      <c r="L746" s="339"/>
      <c r="M746" s="282"/>
      <c r="N746" s="282"/>
      <c r="O746" s="282"/>
      <c r="P746" s="282"/>
      <c r="Q746" s="282"/>
      <c r="R746" s="158"/>
    </row>
    <row r="747" spans="1:18" ht="12.75" customHeight="1" x14ac:dyDescent="0.3">
      <c r="A747" s="44"/>
      <c r="B747" s="29"/>
      <c r="C747" s="29"/>
      <c r="D747" s="29"/>
      <c r="E747" s="29"/>
      <c r="F747" s="29"/>
      <c r="G747" s="29"/>
      <c r="H747" s="29"/>
      <c r="I747" s="342"/>
      <c r="J747" s="339"/>
      <c r="K747" s="339"/>
      <c r="L747" s="339"/>
      <c r="M747" s="282"/>
      <c r="N747" s="282"/>
      <c r="O747" s="282"/>
      <c r="P747" s="282"/>
      <c r="Q747" s="282"/>
      <c r="R747" s="158"/>
    </row>
    <row r="748" spans="1:18" ht="12.75" customHeight="1" x14ac:dyDescent="0.3">
      <c r="A748" s="62" t="s">
        <v>1308</v>
      </c>
      <c r="B748" s="29"/>
      <c r="C748" s="29"/>
      <c r="D748" s="29"/>
      <c r="E748" s="29"/>
      <c r="F748" s="29"/>
      <c r="G748" s="29"/>
      <c r="H748" s="29"/>
      <c r="I748" s="342"/>
      <c r="J748" s="339"/>
      <c r="K748" s="339"/>
      <c r="L748" s="339"/>
      <c r="M748" s="282"/>
      <c r="N748" s="282"/>
      <c r="O748" s="282"/>
      <c r="P748" s="282"/>
      <c r="Q748" s="282"/>
      <c r="R748" s="158"/>
    </row>
    <row r="749" spans="1:18" ht="12.75" customHeight="1" x14ac:dyDescent="0.3">
      <c r="A749" s="29"/>
      <c r="B749" s="29"/>
      <c r="C749" s="29"/>
      <c r="D749" s="29"/>
      <c r="E749" s="29"/>
      <c r="F749" s="29"/>
      <c r="G749" s="29"/>
      <c r="H749" s="29"/>
      <c r="I749" s="456"/>
      <c r="J749" s="339"/>
      <c r="K749" s="339"/>
      <c r="L749" s="339"/>
      <c r="M749" s="282"/>
      <c r="N749" s="282"/>
      <c r="O749" s="282"/>
      <c r="P749" s="282"/>
      <c r="Q749" s="282"/>
      <c r="R749" s="158"/>
    </row>
    <row r="750" spans="1:18" ht="12.75" customHeight="1" x14ac:dyDescent="0.3">
      <c r="A750" s="97" t="s">
        <v>1310</v>
      </c>
      <c r="B750" s="97"/>
      <c r="C750" s="97"/>
      <c r="D750" s="97"/>
      <c r="E750" s="97"/>
      <c r="F750" s="97"/>
      <c r="G750" s="97"/>
      <c r="H750" s="97"/>
      <c r="I750" s="340" t="s">
        <v>754</v>
      </c>
      <c r="J750" s="364"/>
      <c r="K750" s="364"/>
      <c r="L750" s="364"/>
      <c r="M750" s="469"/>
      <c r="N750" s="469"/>
      <c r="O750" s="469"/>
      <c r="P750" s="469"/>
      <c r="Q750" s="469"/>
      <c r="R750" s="158"/>
    </row>
    <row r="751" spans="1:18" ht="12.75" customHeight="1" x14ac:dyDescent="0.3">
      <c r="A751" s="92"/>
      <c r="B751" s="92"/>
      <c r="C751" s="92"/>
      <c r="D751" s="92"/>
      <c r="E751" s="92"/>
      <c r="F751" s="92"/>
      <c r="G751" s="92"/>
      <c r="H751" s="92"/>
      <c r="I751" s="342"/>
      <c r="J751" s="404"/>
      <c r="K751" s="404"/>
      <c r="L751" s="404"/>
      <c r="M751" s="472"/>
      <c r="N751" s="472"/>
      <c r="O751" s="472"/>
      <c r="P751" s="472"/>
      <c r="Q751" s="472"/>
      <c r="R751" s="158"/>
    </row>
    <row r="752" spans="1:18" ht="12.75" customHeight="1" x14ac:dyDescent="0.3">
      <c r="A752" s="36" t="s">
        <v>1089</v>
      </c>
      <c r="B752" s="29"/>
      <c r="C752" s="29"/>
      <c r="D752" s="29"/>
      <c r="E752" s="29"/>
      <c r="F752" s="29"/>
      <c r="G752" s="37" t="s">
        <v>273</v>
      </c>
      <c r="H752" s="29" t="s">
        <v>2315</v>
      </c>
      <c r="I752" s="521">
        <f>global!I148</f>
        <v>0</v>
      </c>
      <c r="J752" s="450"/>
      <c r="K752" s="450"/>
      <c r="L752" s="450"/>
      <c r="M752" s="451"/>
      <c r="N752" s="451"/>
      <c r="O752" s="451"/>
      <c r="P752" s="451"/>
      <c r="Q752" s="451"/>
      <c r="R752" s="158"/>
    </row>
    <row r="753" spans="1:18" ht="12.75" customHeight="1" x14ac:dyDescent="0.3">
      <c r="A753" s="29" t="s">
        <v>4015</v>
      </c>
      <c r="B753" s="29"/>
      <c r="C753" s="29"/>
      <c r="D753" s="29"/>
      <c r="E753" s="29"/>
      <c r="F753" s="29"/>
      <c r="G753" s="37" t="s">
        <v>943</v>
      </c>
      <c r="H753" s="29" t="s">
        <v>2315</v>
      </c>
      <c r="I753" s="521">
        <f>global!I149</f>
        <v>0</v>
      </c>
      <c r="J753" s="450"/>
      <c r="K753" s="450"/>
      <c r="L753" s="450"/>
      <c r="M753" s="451"/>
      <c r="N753" s="451"/>
      <c r="O753" s="451"/>
      <c r="P753" s="451"/>
      <c r="Q753" s="451"/>
      <c r="R753" s="158"/>
    </row>
    <row r="754" spans="1:18" ht="12.75" customHeight="1" x14ac:dyDescent="0.3">
      <c r="A754" s="36" t="s">
        <v>104</v>
      </c>
      <c r="B754" s="29"/>
      <c r="C754" s="29"/>
      <c r="D754" s="29"/>
      <c r="E754" s="29"/>
      <c r="F754" s="29"/>
      <c r="G754" s="37" t="s">
        <v>942</v>
      </c>
      <c r="H754" s="29" t="s">
        <v>2315</v>
      </c>
      <c r="I754" s="521">
        <f>global!I150</f>
        <v>0</v>
      </c>
      <c r="J754" s="450"/>
      <c r="K754" s="450"/>
      <c r="L754" s="450"/>
      <c r="M754" s="451"/>
      <c r="N754" s="451"/>
      <c r="O754" s="451"/>
      <c r="P754" s="451"/>
      <c r="Q754" s="451"/>
      <c r="R754" s="158"/>
    </row>
    <row r="755" spans="1:18" ht="12.75" customHeight="1" x14ac:dyDescent="0.3">
      <c r="A755" s="36" t="s">
        <v>734</v>
      </c>
      <c r="B755" s="29"/>
      <c r="C755" s="29"/>
      <c r="D755" s="29"/>
      <c r="E755" s="29"/>
      <c r="F755" s="29"/>
      <c r="G755" s="37" t="s">
        <v>274</v>
      </c>
      <c r="H755" s="29" t="s">
        <v>2315</v>
      </c>
      <c r="I755" s="521">
        <f>global!I151</f>
        <v>0</v>
      </c>
      <c r="J755" s="450"/>
      <c r="K755" s="450"/>
      <c r="L755" s="450"/>
      <c r="M755" s="451"/>
      <c r="N755" s="451"/>
      <c r="O755" s="451"/>
      <c r="P755" s="451"/>
      <c r="Q755" s="451"/>
      <c r="R755" s="158"/>
    </row>
    <row r="756" spans="1:18" ht="12.75" customHeight="1" x14ac:dyDescent="0.3">
      <c r="A756" s="36" t="s">
        <v>735</v>
      </c>
      <c r="B756" s="29"/>
      <c r="C756" s="29"/>
      <c r="D756" s="29"/>
      <c r="E756" s="29"/>
      <c r="F756" s="29"/>
      <c r="G756" s="37" t="s">
        <v>275</v>
      </c>
      <c r="H756" s="29" t="s">
        <v>2315</v>
      </c>
      <c r="I756" s="521">
        <f>global!I152</f>
        <v>0</v>
      </c>
      <c r="J756" s="450"/>
      <c r="K756" s="450"/>
      <c r="L756" s="450"/>
      <c r="M756" s="451"/>
      <c r="N756" s="451"/>
      <c r="O756" s="451"/>
      <c r="P756" s="451"/>
      <c r="Q756" s="451"/>
      <c r="R756" s="158"/>
    </row>
    <row r="757" spans="1:18" ht="12.75" customHeight="1" x14ac:dyDescent="0.3">
      <c r="A757" s="29"/>
      <c r="B757" s="36" t="s">
        <v>1019</v>
      </c>
      <c r="C757" s="29"/>
      <c r="D757" s="29"/>
      <c r="E757" s="29"/>
      <c r="F757" s="29"/>
      <c r="G757" s="37" t="s">
        <v>276</v>
      </c>
      <c r="H757" s="29" t="s">
        <v>2312</v>
      </c>
      <c r="I757" s="521">
        <f>global!I153</f>
        <v>0</v>
      </c>
      <c r="J757" s="450"/>
      <c r="K757" s="450"/>
      <c r="L757" s="450"/>
      <c r="M757" s="451"/>
      <c r="N757" s="451"/>
      <c r="O757" s="451"/>
      <c r="P757" s="451"/>
      <c r="Q757" s="451"/>
      <c r="R757" s="158"/>
    </row>
    <row r="758" spans="1:18" ht="12.75" customHeight="1" x14ac:dyDescent="0.3">
      <c r="A758" s="29"/>
      <c r="B758" s="36" t="s">
        <v>3991</v>
      </c>
      <c r="C758" s="29"/>
      <c r="D758" s="29"/>
      <c r="E758" s="29"/>
      <c r="F758" s="29"/>
      <c r="G758" s="94" t="s">
        <v>18</v>
      </c>
      <c r="H758" s="29" t="s">
        <v>36</v>
      </c>
      <c r="I758" s="521">
        <f>global!I154</f>
        <v>0</v>
      </c>
      <c r="J758" s="450"/>
      <c r="K758" s="450"/>
      <c r="L758" s="450"/>
      <c r="M758" s="451"/>
      <c r="N758" s="451"/>
      <c r="O758" s="451"/>
      <c r="P758" s="451"/>
      <c r="Q758" s="451"/>
      <c r="R758" s="158"/>
    </row>
    <row r="759" spans="1:18" ht="12.75" customHeight="1" x14ac:dyDescent="0.3">
      <c r="A759" s="29"/>
      <c r="B759" s="36" t="s">
        <v>3992</v>
      </c>
      <c r="C759" s="29"/>
      <c r="D759" s="29"/>
      <c r="E759" s="29"/>
      <c r="F759" s="29"/>
      <c r="G759" s="94" t="s">
        <v>19</v>
      </c>
      <c r="H759" s="29" t="s">
        <v>36</v>
      </c>
      <c r="I759" s="521">
        <f>global!I155</f>
        <v>0</v>
      </c>
      <c r="J759" s="450"/>
      <c r="K759" s="450"/>
      <c r="L759" s="450"/>
      <c r="M759" s="451"/>
      <c r="N759" s="451"/>
      <c r="O759" s="451"/>
      <c r="P759" s="451"/>
      <c r="Q759" s="451"/>
      <c r="R759" s="158"/>
    </row>
    <row r="760" spans="1:18" ht="12.75" customHeight="1" x14ac:dyDescent="0.3">
      <c r="A760" s="29"/>
      <c r="B760" s="29"/>
      <c r="C760" s="36" t="s">
        <v>767</v>
      </c>
      <c r="D760" s="29"/>
      <c r="E760" s="29"/>
      <c r="F760" s="29"/>
      <c r="G760" s="94" t="s">
        <v>20</v>
      </c>
      <c r="H760" s="36" t="s">
        <v>719</v>
      </c>
      <c r="I760" s="521">
        <f>global!I156</f>
        <v>0</v>
      </c>
      <c r="J760" s="450"/>
      <c r="K760" s="450"/>
      <c r="L760" s="450"/>
      <c r="M760" s="451"/>
      <c r="N760" s="451"/>
      <c r="O760" s="451"/>
      <c r="P760" s="451"/>
      <c r="Q760" s="451"/>
      <c r="R760" s="158"/>
    </row>
    <row r="761" spans="1:18" ht="12.75" customHeight="1" x14ac:dyDescent="0.3">
      <c r="A761" s="29"/>
      <c r="B761" s="29"/>
      <c r="C761" s="36" t="s">
        <v>106</v>
      </c>
      <c r="D761" s="29"/>
      <c r="E761" s="29"/>
      <c r="F761" s="29"/>
      <c r="G761" s="94" t="s">
        <v>950</v>
      </c>
      <c r="H761" s="36" t="s">
        <v>719</v>
      </c>
      <c r="I761" s="521">
        <f>global!I157</f>
        <v>0</v>
      </c>
      <c r="J761" s="450"/>
      <c r="K761" s="450"/>
      <c r="L761" s="450">
        <v>990</v>
      </c>
      <c r="M761" s="451">
        <v>990</v>
      </c>
      <c r="N761" s="451"/>
      <c r="O761" s="451">
        <v>990</v>
      </c>
      <c r="P761" s="451">
        <v>990</v>
      </c>
      <c r="Q761" s="451">
        <v>990</v>
      </c>
      <c r="R761" s="158"/>
    </row>
    <row r="762" spans="1:18" ht="12.75" customHeight="1" x14ac:dyDescent="0.3">
      <c r="A762" s="29"/>
      <c r="B762" s="29"/>
      <c r="C762" s="36" t="s">
        <v>105</v>
      </c>
      <c r="D762" s="29"/>
      <c r="E762" s="29"/>
      <c r="F762" s="29"/>
      <c r="G762" s="94" t="s">
        <v>951</v>
      </c>
      <c r="H762" s="36" t="s">
        <v>719</v>
      </c>
      <c r="I762" s="521">
        <f>global!I158</f>
        <v>0</v>
      </c>
      <c r="J762" s="450"/>
      <c r="K762" s="450"/>
      <c r="L762" s="450">
        <v>10</v>
      </c>
      <c r="M762" s="451">
        <v>10</v>
      </c>
      <c r="N762" s="451"/>
      <c r="O762" s="451">
        <v>10</v>
      </c>
      <c r="P762" s="451">
        <v>10</v>
      </c>
      <c r="Q762" s="451">
        <v>10</v>
      </c>
      <c r="R762" s="158"/>
    </row>
    <row r="763" spans="1:18" ht="12.75" customHeight="1" x14ac:dyDescent="0.3">
      <c r="A763" s="29"/>
      <c r="B763" s="29"/>
      <c r="C763" s="36" t="s">
        <v>1053</v>
      </c>
      <c r="D763" s="29"/>
      <c r="E763" s="29"/>
      <c r="F763" s="29"/>
      <c r="G763" s="94" t="s">
        <v>21</v>
      </c>
      <c r="H763" s="36" t="s">
        <v>721</v>
      </c>
      <c r="I763" s="521">
        <f>global!I159</f>
        <v>0</v>
      </c>
      <c r="J763" s="450"/>
      <c r="K763" s="450"/>
      <c r="L763" s="450"/>
      <c r="M763" s="451"/>
      <c r="N763" s="451"/>
      <c r="O763" s="451"/>
      <c r="P763" s="451"/>
      <c r="Q763" s="451"/>
      <c r="R763" s="158"/>
    </row>
    <row r="764" spans="1:18" ht="12.75" customHeight="1" x14ac:dyDescent="0.3">
      <c r="A764" s="36"/>
      <c r="B764" s="29"/>
      <c r="C764" s="36" t="s">
        <v>3993</v>
      </c>
      <c r="D764" s="95"/>
      <c r="E764" s="95"/>
      <c r="F764" s="95"/>
      <c r="G764" s="94" t="s">
        <v>22</v>
      </c>
      <c r="H764" s="36" t="s">
        <v>719</v>
      </c>
      <c r="I764" s="521">
        <f>global!I160</f>
        <v>0</v>
      </c>
      <c r="J764" s="450"/>
      <c r="K764" s="450"/>
      <c r="L764" s="450"/>
      <c r="M764" s="451"/>
      <c r="N764" s="451"/>
      <c r="O764" s="451"/>
      <c r="P764" s="451"/>
      <c r="Q764" s="451"/>
      <c r="R764" s="158"/>
    </row>
    <row r="765" spans="1:18" ht="12.75" customHeight="1" x14ac:dyDescent="0.3">
      <c r="A765" s="29"/>
      <c r="B765" s="29"/>
      <c r="C765" s="29" t="s">
        <v>216</v>
      </c>
      <c r="D765" s="29"/>
      <c r="E765" s="29"/>
      <c r="F765" s="29"/>
      <c r="G765" s="36" t="s">
        <v>4016</v>
      </c>
      <c r="H765" s="36" t="s">
        <v>722</v>
      </c>
      <c r="I765" s="521">
        <f>global!I161</f>
        <v>0</v>
      </c>
      <c r="J765" s="450"/>
      <c r="K765" s="450"/>
      <c r="L765" s="450">
        <v>4.9999999999999995E-11</v>
      </c>
      <c r="M765" s="451">
        <v>4.9999999999999995E-11</v>
      </c>
      <c r="N765" s="451">
        <v>4.9999999999999995E-11</v>
      </c>
      <c r="O765" s="451">
        <v>4.9999999999999995E-11</v>
      </c>
      <c r="P765" s="451">
        <v>4.9999999999999995E-11</v>
      </c>
      <c r="Q765" s="451"/>
      <c r="R765" s="158"/>
    </row>
    <row r="766" spans="1:18" ht="12.75" customHeight="1" x14ac:dyDescent="0.3">
      <c r="A766" s="29"/>
      <c r="B766" s="29"/>
      <c r="C766" s="29" t="s">
        <v>217</v>
      </c>
      <c r="D766" s="29"/>
      <c r="E766" s="29"/>
      <c r="F766" s="29"/>
      <c r="G766" s="36" t="s">
        <v>4017</v>
      </c>
      <c r="H766" s="36" t="s">
        <v>722</v>
      </c>
      <c r="I766" s="521">
        <f>global!I162</f>
        <v>0</v>
      </c>
      <c r="J766" s="450"/>
      <c r="K766" s="450"/>
      <c r="L766" s="450">
        <v>9.9999999999999995E-21</v>
      </c>
      <c r="M766" s="451">
        <v>9.9999999999999995E-21</v>
      </c>
      <c r="N766" s="451">
        <v>9.9999999999999995E-21</v>
      </c>
      <c r="O766" s="451">
        <v>9.9999999999999995E-21</v>
      </c>
      <c r="P766" s="451">
        <v>9.9999999999999995E-21</v>
      </c>
      <c r="Q766" s="451"/>
      <c r="R766" s="158"/>
    </row>
    <row r="767" spans="1:18" ht="12.75" customHeight="1" x14ac:dyDescent="0.3">
      <c r="A767" s="29"/>
      <c r="B767" s="29"/>
      <c r="C767" s="36" t="s">
        <v>1054</v>
      </c>
      <c r="D767" s="95"/>
      <c r="E767" s="95"/>
      <c r="F767" s="95"/>
      <c r="G767" s="94" t="s">
        <v>474</v>
      </c>
      <c r="H767" s="36" t="s">
        <v>722</v>
      </c>
      <c r="I767" s="521">
        <f>global!I163</f>
        <v>0</v>
      </c>
      <c r="J767" s="450"/>
      <c r="K767" s="450"/>
      <c r="L767" s="450"/>
      <c r="M767" s="451"/>
      <c r="N767" s="451"/>
      <c r="O767" s="451"/>
      <c r="P767" s="451"/>
      <c r="Q767" s="451"/>
      <c r="R767" s="158"/>
    </row>
    <row r="768" spans="1:18" ht="12.75" customHeight="1" x14ac:dyDescent="0.3">
      <c r="A768" s="29"/>
      <c r="B768" s="29"/>
      <c r="C768" s="36" t="s">
        <v>1055</v>
      </c>
      <c r="D768" s="29"/>
      <c r="E768" s="29"/>
      <c r="F768" s="29"/>
      <c r="G768" s="94" t="s">
        <v>1304</v>
      </c>
      <c r="H768" s="36" t="s">
        <v>722</v>
      </c>
      <c r="I768" s="521">
        <f>global!I164</f>
        <v>0</v>
      </c>
      <c r="J768" s="450"/>
      <c r="K768" s="450"/>
      <c r="L768" s="450"/>
      <c r="M768" s="451"/>
      <c r="N768" s="451"/>
      <c r="O768" s="451"/>
      <c r="P768" s="451"/>
      <c r="Q768" s="451"/>
      <c r="R768" s="158"/>
    </row>
    <row r="769" spans="1:18" ht="12.75" customHeight="1" x14ac:dyDescent="0.3">
      <c r="A769" s="29"/>
      <c r="B769" s="29"/>
      <c r="C769" s="36" t="s">
        <v>1056</v>
      </c>
      <c r="D769" s="29"/>
      <c r="E769" s="29"/>
      <c r="F769" s="29"/>
      <c r="G769" s="94" t="s">
        <v>1305</v>
      </c>
      <c r="H769" s="36" t="s">
        <v>722</v>
      </c>
      <c r="I769" s="521">
        <f>global!I165</f>
        <v>0</v>
      </c>
      <c r="J769" s="450"/>
      <c r="K769" s="450"/>
      <c r="L769" s="450"/>
      <c r="M769" s="451"/>
      <c r="N769" s="451"/>
      <c r="O769" s="451"/>
      <c r="P769" s="451"/>
      <c r="Q769" s="451"/>
      <c r="R769" s="158"/>
    </row>
    <row r="770" spans="1:18" ht="12.75" customHeight="1" x14ac:dyDescent="0.3">
      <c r="A770" s="36"/>
      <c r="B770" s="29"/>
      <c r="C770" s="36" t="s">
        <v>434</v>
      </c>
      <c r="D770" s="95"/>
      <c r="E770" s="95"/>
      <c r="F770" s="95"/>
      <c r="G770" s="94" t="s">
        <v>1306</v>
      </c>
      <c r="H770" s="36" t="s">
        <v>722</v>
      </c>
      <c r="I770" s="521">
        <f>global!I166</f>
        <v>0</v>
      </c>
      <c r="J770" s="450"/>
      <c r="K770" s="450"/>
      <c r="L770" s="450"/>
      <c r="M770" s="451"/>
      <c r="N770" s="451"/>
      <c r="O770" s="451"/>
      <c r="P770" s="451"/>
      <c r="Q770" s="451"/>
      <c r="R770" s="158"/>
    </row>
    <row r="771" spans="1:18" ht="12.75" customHeight="1" x14ac:dyDescent="0.3">
      <c r="A771" s="36"/>
      <c r="B771" s="29"/>
      <c r="C771" s="36" t="s">
        <v>475</v>
      </c>
      <c r="D771" s="95"/>
      <c r="E771" s="95"/>
      <c r="F771" s="95"/>
      <c r="G771" s="94" t="s">
        <v>476</v>
      </c>
      <c r="H771" s="36" t="s">
        <v>722</v>
      </c>
      <c r="I771" s="521">
        <f>global!I167</f>
        <v>0</v>
      </c>
      <c r="J771" s="450"/>
      <c r="K771" s="450"/>
      <c r="L771" s="450"/>
      <c r="M771" s="451"/>
      <c r="N771" s="451"/>
      <c r="O771" s="451"/>
      <c r="P771" s="451"/>
      <c r="Q771" s="451"/>
      <c r="R771" s="158"/>
    </row>
    <row r="772" spans="1:18" ht="12.75" customHeight="1" x14ac:dyDescent="0.3">
      <c r="A772" s="92"/>
      <c r="B772" s="92"/>
      <c r="C772" s="92"/>
      <c r="D772" s="92"/>
      <c r="E772" s="92"/>
      <c r="F772" s="92"/>
      <c r="G772" s="93"/>
      <c r="H772" s="133"/>
      <c r="I772" s="526"/>
      <c r="J772" s="458"/>
      <c r="K772" s="458"/>
      <c r="L772" s="458"/>
      <c r="M772" s="459"/>
      <c r="N772" s="459"/>
      <c r="O772" s="459"/>
      <c r="P772" s="459"/>
      <c r="Q772" s="459"/>
      <c r="R772" s="158"/>
    </row>
    <row r="773" spans="1:18" ht="12.75" customHeight="1" x14ac:dyDescent="0.3">
      <c r="A773" s="36" t="s">
        <v>100</v>
      </c>
      <c r="B773" s="29"/>
      <c r="C773" s="29"/>
      <c r="D773" s="29"/>
      <c r="E773" s="29"/>
      <c r="F773" s="29"/>
      <c r="G773" s="36" t="s">
        <v>1258</v>
      </c>
      <c r="H773" s="36" t="s">
        <v>2307</v>
      </c>
      <c r="I773" s="521">
        <f>global!I169</f>
        <v>0</v>
      </c>
      <c r="J773" s="450"/>
      <c r="K773" s="450"/>
      <c r="L773" s="450"/>
      <c r="M773" s="451"/>
      <c r="N773" s="451"/>
      <c r="O773" s="451"/>
      <c r="P773" s="451"/>
      <c r="Q773" s="451"/>
      <c r="R773" s="158"/>
    </row>
    <row r="774" spans="1:18" ht="12.75" customHeight="1" x14ac:dyDescent="0.3">
      <c r="A774" s="36"/>
      <c r="B774" s="36" t="s">
        <v>544</v>
      </c>
      <c r="C774" s="29"/>
      <c r="D774" s="29"/>
      <c r="E774" s="29"/>
      <c r="F774" s="29"/>
      <c r="G774" s="37" t="s">
        <v>406</v>
      </c>
      <c r="H774" s="29" t="s">
        <v>723</v>
      </c>
      <c r="I774" s="521">
        <f>global!I170</f>
        <v>0</v>
      </c>
      <c r="J774" s="450"/>
      <c r="K774" s="450"/>
      <c r="L774" s="450"/>
      <c r="M774" s="451"/>
      <c r="N774" s="451"/>
      <c r="O774" s="451"/>
      <c r="P774" s="451"/>
      <c r="Q774" s="451"/>
      <c r="R774" s="158"/>
    </row>
    <row r="775" spans="1:18" ht="12.75" customHeight="1" x14ac:dyDescent="0.3">
      <c r="A775" s="92"/>
      <c r="B775" s="92"/>
      <c r="C775" s="92"/>
      <c r="D775" s="92"/>
      <c r="E775" s="92"/>
      <c r="F775" s="92"/>
      <c r="G775" s="93"/>
      <c r="H775" s="133"/>
      <c r="I775" s="526"/>
      <c r="J775" s="458"/>
      <c r="K775" s="458"/>
      <c r="L775" s="458"/>
      <c r="M775" s="459"/>
      <c r="N775" s="459"/>
      <c r="O775" s="459"/>
      <c r="P775" s="459"/>
      <c r="Q775" s="459"/>
      <c r="R775" s="158"/>
    </row>
    <row r="776" spans="1:18" ht="12.75" customHeight="1" x14ac:dyDescent="0.3">
      <c r="A776" s="36" t="s">
        <v>1146</v>
      </c>
      <c r="B776" s="29"/>
      <c r="C776" s="29"/>
      <c r="D776" s="29"/>
      <c r="E776" s="29"/>
      <c r="F776" s="29"/>
      <c r="G776" s="36" t="s">
        <v>1257</v>
      </c>
      <c r="H776" s="36" t="s">
        <v>2307</v>
      </c>
      <c r="I776" s="521">
        <f>global!I172</f>
        <v>0</v>
      </c>
      <c r="J776" s="450"/>
      <c r="K776" s="450"/>
      <c r="L776" s="450"/>
      <c r="M776" s="451"/>
      <c r="N776" s="451"/>
      <c r="O776" s="451"/>
      <c r="P776" s="451"/>
      <c r="Q776" s="451"/>
      <c r="R776" s="158"/>
    </row>
    <row r="777" spans="1:18" ht="12.75" customHeight="1" x14ac:dyDescent="0.3">
      <c r="A777" s="36" t="s">
        <v>1145</v>
      </c>
      <c r="B777" s="29"/>
      <c r="C777" s="29"/>
      <c r="D777" s="29"/>
      <c r="E777" s="29"/>
      <c r="F777" s="29"/>
      <c r="G777" s="36" t="s">
        <v>1115</v>
      </c>
      <c r="H777" s="36" t="s">
        <v>2307</v>
      </c>
      <c r="I777" s="521">
        <f>global!I173</f>
        <v>0</v>
      </c>
      <c r="J777" s="450"/>
      <c r="K777" s="450"/>
      <c r="L777" s="450">
        <v>9.9999999999999995E-21</v>
      </c>
      <c r="M777" s="451">
        <v>9.9999999999999995E-21</v>
      </c>
      <c r="N777" s="451"/>
      <c r="O777" s="451">
        <v>9.9999999999999995E-21</v>
      </c>
      <c r="P777" s="451">
        <v>9.9999999999999995E-21</v>
      </c>
      <c r="Q777" s="451">
        <v>9.9999999999999995E-21</v>
      </c>
      <c r="R777" s="158"/>
    </row>
    <row r="778" spans="1:18" ht="12.75" customHeight="1" x14ac:dyDescent="0.3">
      <c r="A778" s="36"/>
      <c r="B778" s="36" t="s">
        <v>545</v>
      </c>
      <c r="C778" s="29"/>
      <c r="D778" s="29"/>
      <c r="E778" s="29"/>
      <c r="F778" s="29"/>
      <c r="G778" s="94" t="s">
        <v>1282</v>
      </c>
      <c r="H778" s="29" t="s">
        <v>2316</v>
      </c>
      <c r="I778" s="521">
        <f>global!I174</f>
        <v>0</v>
      </c>
      <c r="J778" s="450"/>
      <c r="K778" s="450"/>
      <c r="L778" s="450">
        <v>50497524.691810384</v>
      </c>
      <c r="M778" s="451">
        <v>50497524.691810384</v>
      </c>
      <c r="N778" s="451"/>
      <c r="O778" s="451">
        <v>50497524.691810384</v>
      </c>
      <c r="P778" s="451">
        <v>50497524.691810384</v>
      </c>
      <c r="Q778" s="451">
        <v>50497524.691810384</v>
      </c>
      <c r="R778" s="158"/>
    </row>
    <row r="779" spans="1:18" ht="12.75" customHeight="1" x14ac:dyDescent="0.3">
      <c r="A779" s="36" t="s">
        <v>129</v>
      </c>
      <c r="B779" s="29"/>
      <c r="C779" s="29"/>
      <c r="D779" s="29"/>
      <c r="E779" s="29"/>
      <c r="F779" s="29"/>
      <c r="G779" s="36" t="s">
        <v>127</v>
      </c>
      <c r="H779" s="36" t="s">
        <v>2307</v>
      </c>
      <c r="I779" s="521">
        <f>global!I175</f>
        <v>0</v>
      </c>
      <c r="J779" s="450"/>
      <c r="K779" s="450"/>
      <c r="L779" s="450"/>
      <c r="M779" s="451"/>
      <c r="N779" s="451"/>
      <c r="O779" s="451"/>
      <c r="P779" s="451"/>
      <c r="Q779" s="451"/>
      <c r="R779" s="158"/>
    </row>
    <row r="780" spans="1:18" ht="12.75" customHeight="1" x14ac:dyDescent="0.3">
      <c r="A780" s="36" t="s">
        <v>130</v>
      </c>
      <c r="B780" s="29"/>
      <c r="C780" s="29"/>
      <c r="D780" s="29"/>
      <c r="E780" s="29"/>
      <c r="F780" s="29"/>
      <c r="G780" s="36" t="s">
        <v>128</v>
      </c>
      <c r="H780" s="36" t="s">
        <v>2307</v>
      </c>
      <c r="I780" s="521">
        <f>global!I176</f>
        <v>0</v>
      </c>
      <c r="J780" s="450"/>
      <c r="K780" s="450"/>
      <c r="L780" s="450"/>
      <c r="M780" s="451"/>
      <c r="N780" s="451"/>
      <c r="O780" s="451"/>
      <c r="P780" s="451"/>
      <c r="Q780" s="451"/>
      <c r="R780" s="158"/>
    </row>
    <row r="781" spans="1:18" ht="12.75" customHeight="1" x14ac:dyDescent="0.3">
      <c r="A781" s="36"/>
      <c r="B781" s="29" t="s">
        <v>693</v>
      </c>
      <c r="C781" s="29"/>
      <c r="D781" s="29"/>
      <c r="E781" s="29"/>
      <c r="F781" s="29"/>
      <c r="G781" s="37" t="s">
        <v>1281</v>
      </c>
      <c r="H781" s="29" t="s">
        <v>2316</v>
      </c>
      <c r="I781" s="521">
        <f>global!I177</f>
        <v>0</v>
      </c>
      <c r="J781" s="450"/>
      <c r="K781" s="450"/>
      <c r="L781" s="450"/>
      <c r="M781" s="451"/>
      <c r="N781" s="451"/>
      <c r="O781" s="451"/>
      <c r="P781" s="451"/>
      <c r="Q781" s="451"/>
      <c r="R781" s="158"/>
    </row>
    <row r="782" spans="1:18" ht="12.75" customHeight="1" x14ac:dyDescent="0.3">
      <c r="A782" s="36"/>
      <c r="B782" s="36"/>
      <c r="C782" s="29" t="s">
        <v>1218</v>
      </c>
      <c r="D782" s="29"/>
      <c r="E782" s="29"/>
      <c r="F782" s="29"/>
      <c r="G782" s="37" t="s">
        <v>806</v>
      </c>
      <c r="H782" s="29" t="s">
        <v>723</v>
      </c>
      <c r="I782" s="521">
        <f>global!I178</f>
        <v>0</v>
      </c>
      <c r="J782" s="450"/>
      <c r="K782" s="450"/>
      <c r="L782" s="450"/>
      <c r="M782" s="451"/>
      <c r="N782" s="451"/>
      <c r="O782" s="451"/>
      <c r="P782" s="451"/>
      <c r="Q782" s="451"/>
      <c r="R782" s="158"/>
    </row>
    <row r="783" spans="1:18" ht="12.75" customHeight="1" x14ac:dyDescent="0.3">
      <c r="A783" s="29"/>
      <c r="B783" s="29"/>
      <c r="C783" s="29"/>
      <c r="D783" s="29"/>
      <c r="E783" s="29"/>
      <c r="F783" s="29"/>
      <c r="G783" s="29"/>
      <c r="H783" s="29"/>
      <c r="I783" s="456"/>
      <c r="J783" s="339"/>
      <c r="K783" s="339"/>
      <c r="L783" s="339"/>
      <c r="M783" s="282"/>
      <c r="N783" s="282"/>
      <c r="O783" s="282"/>
      <c r="P783" s="282"/>
      <c r="Q783" s="282"/>
      <c r="R783" s="158"/>
    </row>
    <row r="784" spans="1:18" ht="12.75" customHeight="1" x14ac:dyDescent="0.3">
      <c r="A784" s="98" t="s">
        <v>209</v>
      </c>
      <c r="B784" s="97"/>
      <c r="C784" s="97"/>
      <c r="D784" s="97"/>
      <c r="E784" s="97"/>
      <c r="F784" s="97"/>
      <c r="G784" s="97"/>
      <c r="H784" s="97"/>
      <c r="I784" s="340" t="s">
        <v>754</v>
      </c>
      <c r="J784" s="364"/>
      <c r="K784" s="364"/>
      <c r="L784" s="364"/>
      <c r="M784" s="469"/>
      <c r="N784" s="469"/>
      <c r="O784" s="469"/>
      <c r="P784" s="469"/>
      <c r="Q784" s="469"/>
      <c r="R784" s="158"/>
    </row>
    <row r="785" spans="1:18" ht="12.75" customHeight="1" x14ac:dyDescent="0.3">
      <c r="A785" s="36"/>
      <c r="B785" s="36"/>
      <c r="C785" s="29"/>
      <c r="D785" s="29"/>
      <c r="E785" s="29"/>
      <c r="F785" s="29"/>
      <c r="G785" s="29"/>
      <c r="H785" s="29"/>
      <c r="I785" s="342"/>
      <c r="J785" s="339"/>
      <c r="K785" s="339"/>
      <c r="L785" s="339"/>
      <c r="M785" s="282"/>
      <c r="N785" s="282"/>
      <c r="O785" s="282"/>
      <c r="P785" s="282"/>
      <c r="Q785" s="282"/>
      <c r="R785" s="158"/>
    </row>
    <row r="786" spans="1:18" ht="12.75" customHeight="1" x14ac:dyDescent="0.3">
      <c r="A786" s="29"/>
      <c r="B786" s="29" t="s">
        <v>986</v>
      </c>
      <c r="C786" s="29"/>
      <c r="D786" s="29"/>
      <c r="E786" s="29"/>
      <c r="F786" s="29"/>
      <c r="G786" s="36" t="s">
        <v>4018</v>
      </c>
      <c r="H786" s="36" t="s">
        <v>36</v>
      </c>
      <c r="I786" s="521">
        <f>global!I182</f>
        <v>0</v>
      </c>
      <c r="J786" s="450"/>
      <c r="K786" s="450"/>
      <c r="L786" s="450">
        <f t="shared" ref="L786:P786" si="19">1-(0.0000258)/(IF(Tm&gt;298,EXP(-6.79*(1-Tm/298))*Pvap25*EXP((H0vap/8.314)*(1/298-1/TEMP.A)),Pvap25*EXP((H0vap/8.314)*(1/298-1/TEMP.A)))+(0.0000258))</f>
        <v>0.99999925782746246</v>
      </c>
      <c r="M786" s="451">
        <f t="shared" si="19"/>
        <v>0.99999925782746246</v>
      </c>
      <c r="N786" s="451">
        <f t="shared" si="19"/>
        <v>0.99999925782746246</v>
      </c>
      <c r="O786" s="451">
        <f t="shared" si="19"/>
        <v>0.99999925782746246</v>
      </c>
      <c r="P786" s="451">
        <f t="shared" si="19"/>
        <v>0.99999925782746246</v>
      </c>
      <c r="Q786" s="451"/>
      <c r="R786" s="158"/>
    </row>
    <row r="787" spans="1:18" ht="12.75" customHeight="1" x14ac:dyDescent="0.3">
      <c r="A787" s="29"/>
      <c r="B787" s="29" t="s">
        <v>615</v>
      </c>
      <c r="C787" s="29"/>
      <c r="D787" s="29"/>
      <c r="E787" s="29"/>
      <c r="F787" s="29"/>
      <c r="G787" s="29" t="s">
        <v>639</v>
      </c>
      <c r="H787" s="29" t="s">
        <v>36</v>
      </c>
      <c r="I787" s="521">
        <f>global!I183</f>
        <v>0</v>
      </c>
      <c r="J787" s="450"/>
      <c r="K787" s="450"/>
      <c r="L787" s="450"/>
      <c r="M787" s="451"/>
      <c r="N787" s="451"/>
      <c r="O787" s="451"/>
      <c r="P787" s="451"/>
      <c r="Q787" s="451"/>
      <c r="R787" s="158"/>
    </row>
    <row r="788" spans="1:18" ht="12.75" customHeight="1" x14ac:dyDescent="0.3">
      <c r="A788" s="29"/>
      <c r="B788" s="29" t="s">
        <v>616</v>
      </c>
      <c r="C788" s="29"/>
      <c r="D788" s="29"/>
      <c r="E788" s="29"/>
      <c r="F788" s="29"/>
      <c r="G788" s="29" t="s">
        <v>640</v>
      </c>
      <c r="H788" s="29" t="s">
        <v>36</v>
      </c>
      <c r="I788" s="521">
        <f>global!I184</f>
        <v>0</v>
      </c>
      <c r="J788" s="450"/>
      <c r="K788" s="450"/>
      <c r="L788" s="450">
        <f t="shared" ref="L788:P788" si="20">(0.0000258)/(IF(Tm&gt;298,EXP(-6.79*(1-Tm/298))*Pvap25*EXP((H0vap/8.314)*(1/298-1/TEMP.A)),Pvap25*EXP((H0vap/8.314)*(1/298-1/TEMP.A)))+(0.0000258))</f>
        <v>7.4217253757917484E-7</v>
      </c>
      <c r="M788" s="451">
        <f t="shared" si="20"/>
        <v>7.4217253757917484E-7</v>
      </c>
      <c r="N788" s="451">
        <f t="shared" si="20"/>
        <v>7.4217253757917484E-7</v>
      </c>
      <c r="O788" s="451">
        <f t="shared" si="20"/>
        <v>7.4217253757917484E-7</v>
      </c>
      <c r="P788" s="451">
        <f t="shared" si="20"/>
        <v>7.4217253757917484E-7</v>
      </c>
      <c r="Q788" s="451"/>
      <c r="R788" s="158"/>
    </row>
    <row r="789" spans="1:18" ht="12.75" customHeight="1" x14ac:dyDescent="0.3">
      <c r="A789" s="29"/>
      <c r="B789" s="29"/>
      <c r="C789" s="36" t="s">
        <v>1043</v>
      </c>
      <c r="D789" s="36"/>
      <c r="E789" s="36"/>
      <c r="F789" s="36"/>
      <c r="G789" s="36" t="s">
        <v>4019</v>
      </c>
      <c r="H789" s="36" t="s">
        <v>36</v>
      </c>
      <c r="I789" s="521">
        <f>global!I185</f>
        <v>0</v>
      </c>
      <c r="J789" s="450"/>
      <c r="K789" s="450"/>
      <c r="L789" s="450"/>
      <c r="M789" s="451"/>
      <c r="N789" s="451"/>
      <c r="O789" s="451"/>
      <c r="P789" s="451"/>
      <c r="Q789" s="451"/>
      <c r="R789" s="158"/>
    </row>
    <row r="790" spans="1:18" ht="12.75" customHeight="1" x14ac:dyDescent="0.3">
      <c r="A790" s="36"/>
      <c r="B790" s="29"/>
      <c r="C790" s="29" t="s">
        <v>1017</v>
      </c>
      <c r="D790" s="29"/>
      <c r="E790" s="29"/>
      <c r="F790" s="29"/>
      <c r="G790" s="29" t="s">
        <v>408</v>
      </c>
      <c r="H790" s="29" t="s">
        <v>2306</v>
      </c>
      <c r="I790" s="521">
        <f>global!I186</f>
        <v>0</v>
      </c>
      <c r="J790" s="450"/>
      <c r="K790" s="450"/>
      <c r="L790" s="450"/>
      <c r="M790" s="451"/>
      <c r="N790" s="451"/>
      <c r="O790" s="451"/>
      <c r="P790" s="451"/>
      <c r="Q790" s="451"/>
      <c r="R790" s="158"/>
    </row>
    <row r="791" spans="1:18" ht="12.75" customHeight="1" x14ac:dyDescent="0.35">
      <c r="A791" s="29"/>
      <c r="B791" s="29"/>
      <c r="C791" s="29" t="s">
        <v>612</v>
      </c>
      <c r="D791" s="29"/>
      <c r="E791" s="29"/>
      <c r="F791" s="29"/>
      <c r="G791" s="29" t="s">
        <v>642</v>
      </c>
      <c r="H791" s="29" t="s">
        <v>2318</v>
      </c>
      <c r="I791" s="521">
        <f>global!I187</f>
        <v>0</v>
      </c>
      <c r="J791" s="450"/>
      <c r="K791" s="450"/>
      <c r="L791" s="450"/>
      <c r="M791" s="451"/>
      <c r="N791" s="451"/>
      <c r="O791" s="451"/>
      <c r="P791" s="451"/>
      <c r="Q791" s="451"/>
      <c r="R791" s="158"/>
    </row>
    <row r="792" spans="1:18" ht="12.75" customHeight="1" x14ac:dyDescent="0.35">
      <c r="A792" s="29"/>
      <c r="B792" s="29"/>
      <c r="C792" s="29" t="s">
        <v>613</v>
      </c>
      <c r="D792" s="29"/>
      <c r="E792" s="29"/>
      <c r="F792" s="29"/>
      <c r="G792" s="29" t="s">
        <v>643</v>
      </c>
      <c r="H792" s="29" t="s">
        <v>2319</v>
      </c>
      <c r="I792" s="521">
        <f>global!I188</f>
        <v>0</v>
      </c>
      <c r="J792" s="450"/>
      <c r="K792" s="450"/>
      <c r="L792" s="450"/>
      <c r="M792" s="451"/>
      <c r="N792" s="451"/>
      <c r="O792" s="451"/>
      <c r="P792" s="451"/>
      <c r="Q792" s="451"/>
      <c r="R792" s="158"/>
    </row>
    <row r="793" spans="1:18" ht="12.75" customHeight="1" x14ac:dyDescent="0.3">
      <c r="A793" s="36"/>
      <c r="B793" s="36" t="s">
        <v>4001</v>
      </c>
      <c r="C793" s="95"/>
      <c r="D793" s="29"/>
      <c r="E793" s="29"/>
      <c r="F793" s="29"/>
      <c r="G793" s="37" t="s">
        <v>1147</v>
      </c>
      <c r="H793" s="36" t="s">
        <v>36</v>
      </c>
      <c r="I793" s="521">
        <f>global!I189</f>
        <v>0</v>
      </c>
      <c r="J793" s="450"/>
      <c r="K793" s="450"/>
      <c r="L793" s="450">
        <f t="shared" ref="L793:P793" si="21">1/(1+Kp.susp2A*SUSP.w2A/1000+0.05*Kow*0.001/1000)</f>
        <v>0.99947800366072359</v>
      </c>
      <c r="M793" s="451">
        <f t="shared" si="21"/>
        <v>0.99947800366072359</v>
      </c>
      <c r="N793" s="451">
        <f t="shared" si="21"/>
        <v>0.99947800366072359</v>
      </c>
      <c r="O793" s="451">
        <f t="shared" si="21"/>
        <v>0.99947800366072359</v>
      </c>
      <c r="P793" s="451">
        <f t="shared" si="21"/>
        <v>0.99947800366072359</v>
      </c>
      <c r="Q793" s="451"/>
      <c r="R793" s="158"/>
    </row>
    <row r="794" spans="1:18" ht="12.75" customHeight="1" x14ac:dyDescent="0.3">
      <c r="A794" s="36"/>
      <c r="B794" s="36" t="s">
        <v>1119</v>
      </c>
      <c r="C794" s="95"/>
      <c r="D794" s="29"/>
      <c r="E794" s="29"/>
      <c r="F794" s="29"/>
      <c r="G794" s="37" t="s">
        <v>1148</v>
      </c>
      <c r="H794" s="36" t="s">
        <v>36</v>
      </c>
      <c r="I794" s="521">
        <f>global!I190</f>
        <v>0</v>
      </c>
      <c r="J794" s="450"/>
      <c r="K794" s="450"/>
      <c r="L794" s="450">
        <f t="shared" ref="L794:P794" si="22">1/(1+Kp.susp3A*SUSP.w3A/1000+0.05*Kow*0.001/1000)</f>
        <v>0.99947800366072359</v>
      </c>
      <c r="M794" s="451">
        <f t="shared" si="22"/>
        <v>0.99947800366072359</v>
      </c>
      <c r="N794" s="451">
        <f t="shared" si="22"/>
        <v>0.99947800366072359</v>
      </c>
      <c r="O794" s="451">
        <f t="shared" si="22"/>
        <v>0.99947800366072359</v>
      </c>
      <c r="P794" s="451">
        <f t="shared" si="22"/>
        <v>0.99947800366072359</v>
      </c>
      <c r="Q794" s="451"/>
      <c r="R794" s="158"/>
    </row>
    <row r="795" spans="1:18" ht="12.75" customHeight="1" x14ac:dyDescent="0.3">
      <c r="A795" s="36"/>
      <c r="B795" s="29"/>
      <c r="C795" s="36" t="s">
        <v>4002</v>
      </c>
      <c r="D795" s="29"/>
      <c r="E795" s="29"/>
      <c r="F795" s="29"/>
      <c r="G795" s="94" t="s">
        <v>1149</v>
      </c>
      <c r="H795" s="36" t="s">
        <v>2320</v>
      </c>
      <c r="I795" s="521">
        <f>global!I191</f>
        <v>0</v>
      </c>
      <c r="J795" s="450"/>
      <c r="K795" s="450"/>
      <c r="L795" s="450"/>
      <c r="M795" s="451"/>
      <c r="N795" s="451"/>
      <c r="O795" s="451"/>
      <c r="P795" s="451"/>
      <c r="Q795" s="451"/>
      <c r="R795" s="158"/>
    </row>
    <row r="796" spans="1:18" ht="12.75" customHeight="1" x14ac:dyDescent="0.3">
      <c r="A796" s="36"/>
      <c r="B796" s="29"/>
      <c r="C796" s="36" t="s">
        <v>1122</v>
      </c>
      <c r="D796" s="29"/>
      <c r="E796" s="29"/>
      <c r="F796" s="29"/>
      <c r="G796" s="94" t="s">
        <v>1150</v>
      </c>
      <c r="H796" s="36" t="s">
        <v>2320</v>
      </c>
      <c r="I796" s="521">
        <f>global!I192</f>
        <v>0</v>
      </c>
      <c r="J796" s="450"/>
      <c r="K796" s="450"/>
      <c r="L796" s="450"/>
      <c r="M796" s="451"/>
      <c r="N796" s="451"/>
      <c r="O796" s="451"/>
      <c r="P796" s="451"/>
      <c r="Q796" s="451"/>
      <c r="R796" s="158"/>
    </row>
    <row r="797" spans="1:18" ht="12.75" customHeight="1" x14ac:dyDescent="0.3">
      <c r="A797" s="36"/>
      <c r="B797" s="29"/>
      <c r="C797" s="36" t="s">
        <v>4003</v>
      </c>
      <c r="D797" s="29"/>
      <c r="E797" s="29"/>
      <c r="F797" s="29"/>
      <c r="G797" s="94" t="s">
        <v>1458</v>
      </c>
      <c r="H797" s="36" t="s">
        <v>36</v>
      </c>
      <c r="I797" s="521">
        <f>global!I193</f>
        <v>0</v>
      </c>
      <c r="J797" s="450"/>
      <c r="K797" s="450"/>
      <c r="L797" s="450"/>
      <c r="M797" s="451"/>
      <c r="N797" s="451"/>
      <c r="O797" s="451"/>
      <c r="P797" s="451"/>
      <c r="Q797" s="451"/>
      <c r="R797" s="158"/>
    </row>
    <row r="798" spans="1:18" ht="12.75" customHeight="1" x14ac:dyDescent="0.3">
      <c r="A798" s="36"/>
      <c r="B798" s="29"/>
      <c r="C798" s="36" t="s">
        <v>1124</v>
      </c>
      <c r="D798" s="29"/>
      <c r="E798" s="29"/>
      <c r="F798" s="29"/>
      <c r="G798" s="94" t="s">
        <v>1459</v>
      </c>
      <c r="H798" s="36" t="s">
        <v>36</v>
      </c>
      <c r="I798" s="521">
        <f>global!I194</f>
        <v>0</v>
      </c>
      <c r="J798" s="450"/>
      <c r="K798" s="450"/>
      <c r="L798" s="450"/>
      <c r="M798" s="451"/>
      <c r="N798" s="451"/>
      <c r="O798" s="451"/>
      <c r="P798" s="451"/>
      <c r="Q798" s="451"/>
      <c r="R798" s="158"/>
    </row>
    <row r="799" spans="1:18" ht="12.75" customHeight="1" x14ac:dyDescent="0.3">
      <c r="A799" s="36"/>
      <c r="B799" s="29"/>
      <c r="C799" s="36" t="s">
        <v>4004</v>
      </c>
      <c r="D799" s="29"/>
      <c r="E799" s="29"/>
      <c r="F799" s="29"/>
      <c r="G799" s="94" t="s">
        <v>1151</v>
      </c>
      <c r="H799" s="36" t="s">
        <v>2305</v>
      </c>
      <c r="I799" s="521">
        <f>global!I195</f>
        <v>0</v>
      </c>
      <c r="J799" s="450"/>
      <c r="K799" s="450"/>
      <c r="L799" s="450"/>
      <c r="M799" s="451"/>
      <c r="N799" s="451"/>
      <c r="O799" s="451"/>
      <c r="P799" s="451"/>
      <c r="Q799" s="451"/>
      <c r="R799" s="158"/>
    </row>
    <row r="800" spans="1:18" ht="12.75" customHeight="1" x14ac:dyDescent="0.3">
      <c r="A800" s="36"/>
      <c r="B800" s="29"/>
      <c r="C800" s="36" t="s">
        <v>1126</v>
      </c>
      <c r="D800" s="29"/>
      <c r="E800" s="29"/>
      <c r="F800" s="29"/>
      <c r="G800" s="94" t="s">
        <v>1152</v>
      </c>
      <c r="H800" s="36" t="s">
        <v>2305</v>
      </c>
      <c r="I800" s="521">
        <f>global!I196</f>
        <v>0</v>
      </c>
      <c r="J800" s="450"/>
      <c r="K800" s="450"/>
      <c r="L800" s="450"/>
      <c r="M800" s="451"/>
      <c r="N800" s="451"/>
      <c r="O800" s="451"/>
      <c r="P800" s="451"/>
      <c r="Q800" s="451"/>
      <c r="R800" s="158"/>
    </row>
    <row r="801" spans="1:18" ht="12.75" customHeight="1" x14ac:dyDescent="0.3">
      <c r="A801" s="36"/>
      <c r="B801" s="29"/>
      <c r="C801" s="36" t="s">
        <v>4005</v>
      </c>
      <c r="D801" s="29"/>
      <c r="E801" s="29"/>
      <c r="F801" s="29"/>
      <c r="G801" s="94" t="s">
        <v>1153</v>
      </c>
      <c r="H801" s="36" t="s">
        <v>1039</v>
      </c>
      <c r="I801" s="521">
        <f>global!I197</f>
        <v>0</v>
      </c>
      <c r="J801" s="450"/>
      <c r="K801" s="450"/>
      <c r="L801" s="450"/>
      <c r="M801" s="451"/>
      <c r="N801" s="451"/>
      <c r="O801" s="451"/>
      <c r="P801" s="451"/>
      <c r="Q801" s="451"/>
      <c r="R801" s="158"/>
    </row>
    <row r="802" spans="1:18" ht="12.75" customHeight="1" x14ac:dyDescent="0.3">
      <c r="A802" s="36"/>
      <c r="B802" s="29"/>
      <c r="C802" s="36" t="s">
        <v>1143</v>
      </c>
      <c r="D802" s="29"/>
      <c r="E802" s="29"/>
      <c r="F802" s="29"/>
      <c r="G802" s="94" t="s">
        <v>1154</v>
      </c>
      <c r="H802" s="36" t="s">
        <v>1039</v>
      </c>
      <c r="I802" s="521">
        <f>global!I198</f>
        <v>0</v>
      </c>
      <c r="J802" s="450"/>
      <c r="K802" s="450"/>
      <c r="L802" s="450"/>
      <c r="M802" s="451"/>
      <c r="N802" s="451"/>
      <c r="O802" s="451"/>
      <c r="P802" s="451"/>
      <c r="Q802" s="451"/>
      <c r="R802" s="158"/>
    </row>
    <row r="803" spans="1:18" ht="12.75" customHeight="1" x14ac:dyDescent="0.3">
      <c r="A803" s="36"/>
      <c r="B803" s="29"/>
      <c r="C803" s="36" t="s">
        <v>4006</v>
      </c>
      <c r="D803" s="29"/>
      <c r="E803" s="29"/>
      <c r="F803" s="29"/>
      <c r="G803" s="94" t="s">
        <v>1155</v>
      </c>
      <c r="H803" s="36" t="s">
        <v>1038</v>
      </c>
      <c r="I803" s="521">
        <f>global!I199</f>
        <v>0</v>
      </c>
      <c r="J803" s="450"/>
      <c r="K803" s="450"/>
      <c r="L803" s="450"/>
      <c r="M803" s="451"/>
      <c r="N803" s="451"/>
      <c r="O803" s="451"/>
      <c r="P803" s="451"/>
      <c r="Q803" s="451"/>
      <c r="R803" s="158"/>
    </row>
    <row r="804" spans="1:18" ht="12.75" customHeight="1" x14ac:dyDescent="0.3">
      <c r="A804" s="36"/>
      <c r="B804" s="29"/>
      <c r="C804" s="36" t="s">
        <v>1130</v>
      </c>
      <c r="D804" s="29"/>
      <c r="E804" s="29"/>
      <c r="F804" s="29"/>
      <c r="G804" s="94" t="s">
        <v>1156</v>
      </c>
      <c r="H804" s="36" t="s">
        <v>1038</v>
      </c>
      <c r="I804" s="521">
        <f>global!I200</f>
        <v>0</v>
      </c>
      <c r="J804" s="450"/>
      <c r="K804" s="450"/>
      <c r="L804" s="450"/>
      <c r="M804" s="451"/>
      <c r="N804" s="451"/>
      <c r="O804" s="451"/>
      <c r="P804" s="451"/>
      <c r="Q804" s="451"/>
      <c r="R804" s="158"/>
    </row>
    <row r="805" spans="1:18" ht="12.75" customHeight="1" x14ac:dyDescent="0.3">
      <c r="A805" s="36"/>
      <c r="B805" s="36" t="s">
        <v>1375</v>
      </c>
      <c r="C805" s="95"/>
      <c r="D805" s="29"/>
      <c r="E805" s="29"/>
      <c r="F805" s="29"/>
      <c r="G805" s="94" t="s">
        <v>411</v>
      </c>
      <c r="H805" s="36" t="s">
        <v>36</v>
      </c>
      <c r="I805" s="521">
        <f>global!I201</f>
        <v>0</v>
      </c>
      <c r="J805" s="450"/>
      <c r="K805" s="450"/>
      <c r="L805" s="450"/>
      <c r="M805" s="451"/>
      <c r="N805" s="451"/>
      <c r="O805" s="451"/>
      <c r="P805" s="451"/>
      <c r="Q805" s="451"/>
      <c r="R805" s="158"/>
    </row>
    <row r="806" spans="1:18" ht="12.75" customHeight="1" x14ac:dyDescent="0.3">
      <c r="A806" s="36"/>
      <c r="B806" s="29"/>
      <c r="C806" s="36" t="s">
        <v>1376</v>
      </c>
      <c r="D806" s="29"/>
      <c r="E806" s="29"/>
      <c r="F806" s="29"/>
      <c r="G806" s="94" t="s">
        <v>176</v>
      </c>
      <c r="H806" s="36" t="s">
        <v>2320</v>
      </c>
      <c r="I806" s="521">
        <f>global!I202</f>
        <v>0</v>
      </c>
      <c r="J806" s="450"/>
      <c r="K806" s="450"/>
      <c r="L806" s="450"/>
      <c r="M806" s="451"/>
      <c r="N806" s="451"/>
      <c r="O806" s="451"/>
      <c r="P806" s="451"/>
      <c r="Q806" s="451"/>
      <c r="R806" s="158"/>
    </row>
    <row r="807" spans="1:18" ht="12.75" customHeight="1" x14ac:dyDescent="0.3">
      <c r="A807" s="36"/>
      <c r="B807" s="29"/>
      <c r="C807" s="36" t="s">
        <v>546</v>
      </c>
      <c r="D807" s="29"/>
      <c r="E807" s="29"/>
      <c r="F807" s="29"/>
      <c r="G807" s="94" t="s">
        <v>409</v>
      </c>
      <c r="H807" s="36" t="s">
        <v>36</v>
      </c>
      <c r="I807" s="521">
        <f>global!I203</f>
        <v>0</v>
      </c>
      <c r="J807" s="450"/>
      <c r="K807" s="450"/>
      <c r="L807" s="450"/>
      <c r="M807" s="451"/>
      <c r="N807" s="451"/>
      <c r="O807" s="451"/>
      <c r="P807" s="451"/>
      <c r="Q807" s="451"/>
      <c r="R807" s="158"/>
    </row>
    <row r="808" spans="1:18" ht="12.75" customHeight="1" x14ac:dyDescent="0.3">
      <c r="A808" s="36"/>
      <c r="B808" s="36" t="s">
        <v>1372</v>
      </c>
      <c r="C808" s="95"/>
      <c r="D808" s="29"/>
      <c r="E808" s="29"/>
      <c r="F808" s="29"/>
      <c r="G808" s="94" t="s">
        <v>4020</v>
      </c>
      <c r="H808" s="36" t="s">
        <v>36</v>
      </c>
      <c r="I808" s="521">
        <f>global!I204</f>
        <v>0</v>
      </c>
      <c r="J808" s="450"/>
      <c r="K808" s="450"/>
      <c r="L808" s="450"/>
      <c r="M808" s="451"/>
      <c r="N808" s="451"/>
      <c r="O808" s="451"/>
      <c r="P808" s="451"/>
      <c r="Q808" s="451"/>
      <c r="R808" s="158"/>
    </row>
    <row r="809" spans="1:18" ht="12.75" customHeight="1" x14ac:dyDescent="0.3">
      <c r="A809" s="36"/>
      <c r="B809" s="36" t="s">
        <v>48</v>
      </c>
      <c r="C809" s="95"/>
      <c r="D809" s="29"/>
      <c r="E809" s="29"/>
      <c r="F809" s="29"/>
      <c r="G809" s="94" t="s">
        <v>1302</v>
      </c>
      <c r="H809" s="36" t="s">
        <v>36</v>
      </c>
      <c r="I809" s="521">
        <f>global!I205</f>
        <v>0</v>
      </c>
      <c r="J809" s="450"/>
      <c r="K809" s="450"/>
      <c r="L809" s="450"/>
      <c r="M809" s="451"/>
      <c r="N809" s="451"/>
      <c r="O809" s="451"/>
      <c r="P809" s="451"/>
      <c r="Q809" s="451"/>
      <c r="R809" s="158"/>
    </row>
    <row r="810" spans="1:18" ht="12.75" customHeight="1" x14ac:dyDescent="0.3">
      <c r="A810" s="36"/>
      <c r="B810" s="36" t="s">
        <v>1301</v>
      </c>
      <c r="C810" s="95"/>
      <c r="D810" s="29"/>
      <c r="E810" s="29"/>
      <c r="F810" s="29"/>
      <c r="G810" s="94" t="s">
        <v>1303</v>
      </c>
      <c r="H810" s="36" t="s">
        <v>36</v>
      </c>
      <c r="I810" s="521">
        <f>global!I206</f>
        <v>0</v>
      </c>
      <c r="J810" s="450"/>
      <c r="K810" s="450"/>
      <c r="L810" s="450"/>
      <c r="M810" s="451"/>
      <c r="N810" s="451"/>
      <c r="O810" s="451"/>
      <c r="P810" s="451"/>
      <c r="Q810" s="451"/>
      <c r="R810" s="158"/>
    </row>
    <row r="811" spans="1:18" ht="12.75" customHeight="1" x14ac:dyDescent="0.3">
      <c r="A811" s="36"/>
      <c r="B811" s="29"/>
      <c r="C811" s="36" t="s">
        <v>1373</v>
      </c>
      <c r="D811" s="29"/>
      <c r="E811" s="29"/>
      <c r="F811" s="29"/>
      <c r="G811" s="94" t="s">
        <v>171</v>
      </c>
      <c r="H811" s="36" t="s">
        <v>2320</v>
      </c>
      <c r="I811" s="521">
        <f>global!I207</f>
        <v>0</v>
      </c>
      <c r="J811" s="450"/>
      <c r="K811" s="450"/>
      <c r="L811" s="450"/>
      <c r="M811" s="451"/>
      <c r="N811" s="451"/>
      <c r="O811" s="451"/>
      <c r="P811" s="451"/>
      <c r="Q811" s="451"/>
      <c r="R811" s="158"/>
    </row>
    <row r="812" spans="1:18" ht="12.75" customHeight="1" x14ac:dyDescent="0.3">
      <c r="A812" s="36"/>
      <c r="B812" s="29"/>
      <c r="C812" s="36" t="s">
        <v>1374</v>
      </c>
      <c r="D812" s="29"/>
      <c r="E812" s="29"/>
      <c r="F812" s="29"/>
      <c r="G812" s="94" t="s">
        <v>410</v>
      </c>
      <c r="H812" s="36" t="s">
        <v>36</v>
      </c>
      <c r="I812" s="521">
        <f>global!I208</f>
        <v>0</v>
      </c>
      <c r="J812" s="450"/>
      <c r="K812" s="450"/>
      <c r="L812" s="450"/>
      <c r="M812" s="451"/>
      <c r="N812" s="451"/>
      <c r="O812" s="451"/>
      <c r="P812" s="451"/>
      <c r="Q812" s="451"/>
      <c r="R812" s="158"/>
    </row>
    <row r="813" spans="1:18" ht="12.75" customHeight="1" x14ac:dyDescent="0.3">
      <c r="A813" s="29"/>
      <c r="B813" s="29"/>
      <c r="C813" s="29"/>
      <c r="D813" s="29"/>
      <c r="E813" s="29"/>
      <c r="F813" s="29"/>
      <c r="G813" s="29"/>
      <c r="H813" s="29"/>
      <c r="I813" s="456"/>
      <c r="J813" s="339"/>
      <c r="K813" s="339"/>
      <c r="L813" s="339"/>
      <c r="M813" s="282"/>
      <c r="N813" s="282"/>
      <c r="O813" s="282"/>
      <c r="P813" s="282"/>
      <c r="Q813" s="282"/>
      <c r="R813" s="158"/>
    </row>
    <row r="814" spans="1:18" ht="12.75" customHeight="1" x14ac:dyDescent="0.3">
      <c r="A814" s="98" t="s">
        <v>1311</v>
      </c>
      <c r="B814" s="97"/>
      <c r="C814" s="97"/>
      <c r="D814" s="97"/>
      <c r="E814" s="97"/>
      <c r="F814" s="97"/>
      <c r="G814" s="97"/>
      <c r="H814" s="97"/>
      <c r="I814" s="340" t="s">
        <v>754</v>
      </c>
      <c r="J814" s="364"/>
      <c r="K814" s="364"/>
      <c r="L814" s="364"/>
      <c r="M814" s="469"/>
      <c r="N814" s="469"/>
      <c r="O814" s="469"/>
      <c r="P814" s="469"/>
      <c r="Q814" s="469"/>
      <c r="R814" s="158"/>
    </row>
    <row r="815" spans="1:18" ht="12.75" customHeight="1" x14ac:dyDescent="0.3">
      <c r="A815" s="29"/>
      <c r="B815" s="29"/>
      <c r="C815" s="29"/>
      <c r="D815" s="29"/>
      <c r="E815" s="29"/>
      <c r="F815" s="29"/>
      <c r="G815" s="29"/>
      <c r="H815" s="29"/>
      <c r="I815" s="342"/>
      <c r="J815" s="339"/>
      <c r="K815" s="339"/>
      <c r="L815" s="339"/>
      <c r="M815" s="282"/>
      <c r="N815" s="282"/>
      <c r="O815" s="282"/>
      <c r="P815" s="282"/>
      <c r="Q815" s="282"/>
      <c r="R815" s="158"/>
    </row>
    <row r="816" spans="1:18" ht="12.75" customHeight="1" x14ac:dyDescent="0.3">
      <c r="A816" s="36" t="s">
        <v>93</v>
      </c>
      <c r="B816" s="29"/>
      <c r="C816" s="29"/>
      <c r="D816" s="29"/>
      <c r="E816" s="29"/>
      <c r="F816" s="29"/>
      <c r="G816" s="36" t="s">
        <v>1259</v>
      </c>
      <c r="H816" s="36" t="s">
        <v>2307</v>
      </c>
      <c r="I816" s="521">
        <f>global!I212</f>
        <v>0</v>
      </c>
      <c r="J816" s="450"/>
      <c r="K816" s="450"/>
      <c r="L816" s="450">
        <f>((DRYDEPaerosol.A+AerosolWashout.A+GasWashout.A+GASABS.aA.wA)/HEIGHT.aC)*AREAFRAC.wA</f>
        <v>1.1546587005834935E-7</v>
      </c>
      <c r="M816" s="450">
        <f>((DRYDEPaerosol.A+AerosolWashout.A+GasWashout.A+GASABS.aA.wA)/HEIGHT.aC)*AREAFRAC.wA</f>
        <v>1.1546587005834935E-7</v>
      </c>
      <c r="N816" s="450">
        <f>((DRYDEPaerosol.A+AerosolWashout.A+GasWashout.A+GASABS.aA.wA)/HEIGHT.aC)*AREAFRAC.wA</f>
        <v>1.1546587005834935E-7</v>
      </c>
      <c r="O816" s="450">
        <f>((DRYDEPaerosol.A+AerosolWashout.A+GasWashout.A+GASABS.aA.wA)/HEIGHT.aC)*AREAFRAC.wA</f>
        <v>1.1546587005834935E-7</v>
      </c>
      <c r="P816" s="450">
        <f>((DRYDEPaerosol.A+AerosolWashout.A+GasWashout.A+GASABS.aA.wA)/HEIGHT.aC)*AREAFRAC.wA</f>
        <v>1.1546587005834935E-7</v>
      </c>
      <c r="Q816" s="451"/>
      <c r="R816" s="158"/>
    </row>
    <row r="817" spans="1:18" ht="12.75" customHeight="1" x14ac:dyDescent="0.3">
      <c r="A817" s="36" t="s">
        <v>94</v>
      </c>
      <c r="B817" s="29"/>
      <c r="C817" s="29"/>
      <c r="D817" s="29"/>
      <c r="E817" s="29"/>
      <c r="F817" s="29"/>
      <c r="G817" s="36" t="s">
        <v>847</v>
      </c>
      <c r="H817" s="36" t="s">
        <v>2307</v>
      </c>
      <c r="I817" s="521">
        <f>global!I213</f>
        <v>0</v>
      </c>
      <c r="J817" s="450"/>
      <c r="K817" s="450"/>
      <c r="L817" s="450">
        <f>((DRYDEPaerosol.A+AerosolWashout.A+GasWashout.A+GASABS.aA.sA)/HEIGHT.aC)*AREAFRAC.sA</f>
        <v>2.3246029225996237E-9</v>
      </c>
      <c r="M817" s="450">
        <f>((DRYDEPaerosol.A+AerosolWashout.A+GasWashout.A+GASABS.aA.sA)/HEIGHT.aC)*AREAFRAC.sA</f>
        <v>2.3246029225996237E-9</v>
      </c>
      <c r="N817" s="450">
        <f>((DRYDEPaerosol.A+AerosolWashout.A+GasWashout.A+GASABS.aA.sA)/HEIGHT.aC)*AREAFRAC.sA</f>
        <v>2.3246029225996237E-9</v>
      </c>
      <c r="O817" s="450">
        <f>((DRYDEPaerosol.A+AerosolWashout.A+GasWashout.A+GASABS.aA.sA)/HEIGHT.aC)*AREAFRAC.sA</f>
        <v>2.3246029225996237E-9</v>
      </c>
      <c r="P817" s="450">
        <f>((DRYDEPaerosol.A+AerosolWashout.A+GasWashout.A+GASABS.aA.sA)/HEIGHT.aC)*AREAFRAC.sA</f>
        <v>2.3246029225996237E-9</v>
      </c>
      <c r="Q817" s="451"/>
      <c r="R817" s="158"/>
    </row>
    <row r="818" spans="1:18" ht="12.75" customHeight="1" x14ac:dyDescent="0.3">
      <c r="A818" s="36" t="s">
        <v>95</v>
      </c>
      <c r="B818" s="29"/>
      <c r="C818" s="29"/>
      <c r="D818" s="29"/>
      <c r="E818" s="29"/>
      <c r="F818" s="29"/>
      <c r="G818" s="36" t="s">
        <v>1260</v>
      </c>
      <c r="H818" s="36" t="s">
        <v>2307</v>
      </c>
      <c r="I818" s="521">
        <f>global!I214</f>
        <v>0</v>
      </c>
      <c r="J818" s="450"/>
      <c r="K818" s="450"/>
      <c r="L818" s="450"/>
      <c r="M818" s="451"/>
      <c r="N818" s="451"/>
      <c r="O818" s="451"/>
      <c r="P818" s="451"/>
      <c r="Q818" s="451"/>
      <c r="R818" s="158"/>
    </row>
    <row r="819" spans="1:18" ht="12.75" customHeight="1" x14ac:dyDescent="0.3">
      <c r="A819" s="36" t="s">
        <v>96</v>
      </c>
      <c r="B819" s="29"/>
      <c r="C819" s="29"/>
      <c r="D819" s="29"/>
      <c r="E819" s="29"/>
      <c r="F819" s="29"/>
      <c r="G819" s="36" t="s">
        <v>848</v>
      </c>
      <c r="H819" s="36" t="s">
        <v>2307</v>
      </c>
      <c r="I819" s="521">
        <f>global!I215</f>
        <v>0</v>
      </c>
      <c r="J819" s="450"/>
      <c r="K819" s="450"/>
      <c r="L819" s="450"/>
      <c r="M819" s="451"/>
      <c r="N819" s="451"/>
      <c r="O819" s="451"/>
      <c r="P819" s="451"/>
      <c r="Q819" s="451"/>
      <c r="R819" s="158"/>
    </row>
    <row r="820" spans="1:18" ht="12.75" customHeight="1" x14ac:dyDescent="0.3">
      <c r="A820" s="36"/>
      <c r="B820" s="36" t="s">
        <v>2265</v>
      </c>
      <c r="C820" s="29"/>
      <c r="D820" s="29"/>
      <c r="E820" s="29"/>
      <c r="F820" s="29"/>
      <c r="G820" s="37" t="s">
        <v>2282</v>
      </c>
      <c r="H820" s="36" t="s">
        <v>2307</v>
      </c>
      <c r="I820" s="521">
        <f>global!I216</f>
        <v>0</v>
      </c>
      <c r="J820" s="450"/>
      <c r="K820" s="450"/>
      <c r="L820" s="450"/>
      <c r="M820" s="451"/>
      <c r="N820" s="451"/>
      <c r="O820" s="451"/>
      <c r="P820" s="451"/>
      <c r="Q820" s="451"/>
      <c r="R820" s="158"/>
    </row>
    <row r="821" spans="1:18" ht="12.75" customHeight="1" x14ac:dyDescent="0.3">
      <c r="A821" s="36"/>
      <c r="B821" s="36"/>
      <c r="C821" s="29" t="s">
        <v>2266</v>
      </c>
      <c r="D821" s="29"/>
      <c r="E821" s="29"/>
      <c r="F821" s="29"/>
      <c r="G821" s="37" t="s">
        <v>2283</v>
      </c>
      <c r="H821" s="36" t="s">
        <v>2307</v>
      </c>
      <c r="I821" s="521">
        <f>global!I217</f>
        <v>0</v>
      </c>
      <c r="J821" s="450"/>
      <c r="K821" s="450"/>
      <c r="L821" s="450"/>
      <c r="M821" s="451"/>
      <c r="N821" s="451"/>
      <c r="O821" s="451"/>
      <c r="P821" s="451"/>
      <c r="Q821" s="451"/>
      <c r="R821" s="158"/>
    </row>
    <row r="822" spans="1:18" ht="12.75" customHeight="1" x14ac:dyDescent="0.3">
      <c r="A822" s="36"/>
      <c r="B822" s="36"/>
      <c r="C822" s="36"/>
      <c r="D822" s="36" t="s">
        <v>3976</v>
      </c>
      <c r="E822" s="29"/>
      <c r="F822" s="29"/>
      <c r="G822" s="37" t="s">
        <v>759</v>
      </c>
      <c r="H822" s="36" t="s">
        <v>2307</v>
      </c>
      <c r="I822" s="521">
        <f>global!I218</f>
        <v>0</v>
      </c>
      <c r="J822" s="450"/>
      <c r="K822" s="450"/>
      <c r="L822" s="450"/>
      <c r="M822" s="451"/>
      <c r="N822" s="451"/>
      <c r="O822" s="451"/>
      <c r="P822" s="451"/>
      <c r="Q822" s="451"/>
      <c r="R822" s="158"/>
    </row>
    <row r="823" spans="1:18" ht="12.75" customHeight="1" x14ac:dyDescent="0.3">
      <c r="A823" s="36"/>
      <c r="B823" s="36"/>
      <c r="C823" s="36"/>
      <c r="D823" s="36" t="s">
        <v>3977</v>
      </c>
      <c r="E823" s="29"/>
      <c r="F823" s="29"/>
      <c r="G823" s="37" t="s">
        <v>760</v>
      </c>
      <c r="H823" s="36" t="s">
        <v>2307</v>
      </c>
      <c r="I823" s="521">
        <f>global!I219</f>
        <v>0</v>
      </c>
      <c r="J823" s="450"/>
      <c r="K823" s="450"/>
      <c r="L823" s="450"/>
      <c r="M823" s="451"/>
      <c r="N823" s="451"/>
      <c r="O823" s="451"/>
      <c r="P823" s="451"/>
      <c r="Q823" s="451"/>
      <c r="R823" s="158"/>
    </row>
    <row r="824" spans="1:18" ht="12.75" customHeight="1" x14ac:dyDescent="0.3">
      <c r="A824" s="36"/>
      <c r="B824" s="29" t="s">
        <v>929</v>
      </c>
      <c r="C824" s="29"/>
      <c r="D824" s="29"/>
      <c r="E824" s="29"/>
      <c r="F824" s="29"/>
      <c r="G824" s="29" t="s">
        <v>761</v>
      </c>
      <c r="H824" s="29" t="s">
        <v>2191</v>
      </c>
      <c r="I824" s="521">
        <f>global!I220</f>
        <v>0</v>
      </c>
      <c r="J824" s="450"/>
      <c r="K824" s="450"/>
      <c r="L824" s="450"/>
      <c r="M824" s="451"/>
      <c r="N824" s="451"/>
      <c r="O824" s="451"/>
      <c r="P824" s="451"/>
      <c r="Q824" s="451"/>
      <c r="R824" s="158"/>
    </row>
    <row r="825" spans="1:18" ht="12.75" customHeight="1" x14ac:dyDescent="0.3">
      <c r="A825" s="36"/>
      <c r="B825" s="29" t="s">
        <v>931</v>
      </c>
      <c r="C825" s="29"/>
      <c r="D825" s="29"/>
      <c r="E825" s="29"/>
      <c r="F825" s="29"/>
      <c r="G825" s="29" t="s">
        <v>762</v>
      </c>
      <c r="H825" s="29" t="s">
        <v>2191</v>
      </c>
      <c r="I825" s="521">
        <f>global!I221</f>
        <v>0</v>
      </c>
      <c r="J825" s="450"/>
      <c r="K825" s="450"/>
      <c r="L825" s="450"/>
      <c r="M825" s="451"/>
      <c r="N825" s="451"/>
      <c r="O825" s="451"/>
      <c r="P825" s="451"/>
      <c r="Q825" s="451"/>
      <c r="R825" s="158"/>
    </row>
    <row r="826" spans="1:18" ht="12.75" customHeight="1" x14ac:dyDescent="0.3">
      <c r="A826" s="36"/>
      <c r="B826" s="36" t="s">
        <v>493</v>
      </c>
      <c r="C826" s="29"/>
      <c r="D826" s="29"/>
      <c r="E826" s="29"/>
      <c r="F826" s="29"/>
      <c r="G826" s="94" t="s">
        <v>413</v>
      </c>
      <c r="H826" s="30" t="s">
        <v>2321</v>
      </c>
      <c r="I826" s="521">
        <f>global!I222</f>
        <v>0</v>
      </c>
      <c r="J826" s="450"/>
      <c r="K826" s="450"/>
      <c r="L826" s="450">
        <f>AEROSOLdeprate.A*FRaers.aA</f>
        <v>3.5083098243780636E-11</v>
      </c>
      <c r="M826" s="450">
        <f>AEROSOLdeprate.A*FRaers.aA</f>
        <v>3.5083098243780636E-11</v>
      </c>
      <c r="N826" s="450">
        <f>AEROSOLdeprate.A*FRaers.aA</f>
        <v>3.5083098243780636E-11</v>
      </c>
      <c r="O826" s="450">
        <f>AEROSOLdeprate.A*FRaers.aA</f>
        <v>3.5083098243780636E-11</v>
      </c>
      <c r="P826" s="450">
        <f>AEROSOLdeprate.A*FRaers.aA</f>
        <v>3.5083098243780636E-11</v>
      </c>
      <c r="Q826" s="451"/>
      <c r="R826" s="158"/>
    </row>
    <row r="827" spans="1:18" ht="12.75" customHeight="1" x14ac:dyDescent="0.3">
      <c r="A827" s="36"/>
      <c r="B827" s="36" t="s">
        <v>745</v>
      </c>
      <c r="C827" s="29"/>
      <c r="D827" s="29"/>
      <c r="E827" s="29"/>
      <c r="F827" s="29"/>
      <c r="G827" s="37" t="s">
        <v>1023</v>
      </c>
      <c r="H827" s="95" t="s">
        <v>2321</v>
      </c>
      <c r="I827" s="521">
        <f>global!I223</f>
        <v>0</v>
      </c>
      <c r="J827" s="450"/>
      <c r="K827" s="450"/>
      <c r="L827" s="450">
        <f t="shared" ref="L827:P827" si="23">(1-FRgas.aA)*COLLECTeff.A*RAINrate.A</f>
        <v>5.6819277776501945E-11</v>
      </c>
      <c r="M827" s="451">
        <f t="shared" si="23"/>
        <v>5.6819277776501945E-11</v>
      </c>
      <c r="N827" s="451">
        <f t="shared" si="23"/>
        <v>5.6819277776501945E-11</v>
      </c>
      <c r="O827" s="451">
        <f t="shared" si="23"/>
        <v>5.6819277776501945E-11</v>
      </c>
      <c r="P827" s="451">
        <f t="shared" si="23"/>
        <v>5.6819277776501945E-11</v>
      </c>
      <c r="Q827" s="451"/>
      <c r="R827" s="158"/>
    </row>
    <row r="828" spans="1:18" ht="12.75" customHeight="1" x14ac:dyDescent="0.3">
      <c r="A828" s="36"/>
      <c r="B828" s="36" t="s">
        <v>746</v>
      </c>
      <c r="C828" s="29"/>
      <c r="D828" s="29"/>
      <c r="E828" s="29"/>
      <c r="F828" s="29"/>
      <c r="G828" s="37" t="s">
        <v>1024</v>
      </c>
      <c r="H828" s="95" t="s">
        <v>2321</v>
      </c>
      <c r="I828" s="521">
        <f>global!I224</f>
        <v>0</v>
      </c>
      <c r="J828" s="450"/>
      <c r="K828" s="450"/>
      <c r="L828" s="450">
        <f t="shared" ref="L828:P828" si="24">FRgas.aA*RAINrate.A/Kaw.A</f>
        <v>2.9884763227567428E-7</v>
      </c>
      <c r="M828" s="451">
        <f t="shared" si="24"/>
        <v>2.9884763227567428E-7</v>
      </c>
      <c r="N828" s="451">
        <f t="shared" si="24"/>
        <v>2.9884763227567428E-7</v>
      </c>
      <c r="O828" s="451">
        <f t="shared" si="24"/>
        <v>2.9884763227567428E-7</v>
      </c>
      <c r="P828" s="451">
        <f t="shared" si="24"/>
        <v>2.9884763227567428E-7</v>
      </c>
      <c r="Q828" s="451"/>
      <c r="R828" s="158"/>
    </row>
    <row r="829" spans="1:18" ht="12.75" customHeight="1" x14ac:dyDescent="0.3">
      <c r="A829" s="36"/>
      <c r="B829" s="29"/>
      <c r="C829" s="95" t="s">
        <v>747</v>
      </c>
      <c r="D829" s="95"/>
      <c r="E829" s="95"/>
      <c r="F829" s="95"/>
      <c r="G829" s="94" t="s">
        <v>494</v>
      </c>
      <c r="H829" s="30" t="s">
        <v>2321</v>
      </c>
      <c r="I829" s="521">
        <f>global!I225</f>
        <v>0</v>
      </c>
      <c r="J829" s="450"/>
      <c r="K829" s="450"/>
      <c r="L829" s="450"/>
      <c r="M829" s="451"/>
      <c r="N829" s="451"/>
      <c r="O829" s="451"/>
      <c r="P829" s="451"/>
      <c r="Q829" s="451"/>
      <c r="R829" s="158"/>
    </row>
    <row r="830" spans="1:18" ht="12.75" customHeight="1" x14ac:dyDescent="0.3">
      <c r="A830" s="36"/>
      <c r="B830" s="29"/>
      <c r="C830" s="36" t="s">
        <v>748</v>
      </c>
      <c r="D830" s="95"/>
      <c r="E830" s="95"/>
      <c r="F830" s="95"/>
      <c r="G830" s="94" t="s">
        <v>495</v>
      </c>
      <c r="H830" s="95" t="s">
        <v>2324</v>
      </c>
      <c r="I830" s="521">
        <f>global!I226</f>
        <v>0</v>
      </c>
      <c r="J830" s="450"/>
      <c r="K830" s="450"/>
      <c r="L830" s="450"/>
      <c r="M830" s="451"/>
      <c r="N830" s="451"/>
      <c r="O830" s="451"/>
      <c r="P830" s="451"/>
      <c r="Q830" s="451"/>
      <c r="R830" s="158"/>
    </row>
    <row r="831" spans="1:18" ht="12.75" customHeight="1" x14ac:dyDescent="0.3">
      <c r="A831" s="36"/>
      <c r="B831" s="29"/>
      <c r="C831" s="36" t="s">
        <v>444</v>
      </c>
      <c r="D831" s="29"/>
      <c r="E831" s="29"/>
      <c r="F831" s="29"/>
      <c r="G831" s="94" t="s">
        <v>496</v>
      </c>
      <c r="H831" s="36" t="s">
        <v>36</v>
      </c>
      <c r="I831" s="521">
        <f>global!I227</f>
        <v>0</v>
      </c>
      <c r="J831" s="450"/>
      <c r="K831" s="450"/>
      <c r="L831" s="450"/>
      <c r="M831" s="451"/>
      <c r="N831" s="451"/>
      <c r="O831" s="451"/>
      <c r="P831" s="451"/>
      <c r="Q831" s="451"/>
      <c r="R831" s="158"/>
    </row>
    <row r="832" spans="1:18" ht="12.75" customHeight="1" x14ac:dyDescent="0.3">
      <c r="A832" s="36"/>
      <c r="B832" s="36" t="s">
        <v>2217</v>
      </c>
      <c r="C832" s="29"/>
      <c r="D832" s="29"/>
      <c r="E832" s="95"/>
      <c r="F832" s="95"/>
      <c r="G832" s="37" t="s">
        <v>2284</v>
      </c>
      <c r="H832" s="36" t="s">
        <v>2322</v>
      </c>
      <c r="I832" s="521">
        <f>global!I228</f>
        <v>0</v>
      </c>
      <c r="J832" s="450"/>
      <c r="K832" s="450"/>
      <c r="L832" s="450"/>
      <c r="M832" s="451"/>
      <c r="N832" s="451"/>
      <c r="O832" s="451"/>
      <c r="P832" s="451"/>
      <c r="Q832" s="451"/>
      <c r="R832" s="158"/>
    </row>
    <row r="833" spans="1:18" ht="12.75" customHeight="1" x14ac:dyDescent="0.3">
      <c r="A833" s="36"/>
      <c r="B833" s="36" t="s">
        <v>2218</v>
      </c>
      <c r="C833" s="29"/>
      <c r="D833" s="29"/>
      <c r="E833" s="95"/>
      <c r="F833" s="95"/>
      <c r="G833" s="37" t="s">
        <v>2285</v>
      </c>
      <c r="H833" s="36" t="s">
        <v>2322</v>
      </c>
      <c r="I833" s="521">
        <f>global!I229</f>
        <v>0</v>
      </c>
      <c r="J833" s="450"/>
      <c r="K833" s="450"/>
      <c r="L833" s="450"/>
      <c r="M833" s="451"/>
      <c r="N833" s="451"/>
      <c r="O833" s="451"/>
      <c r="P833" s="451"/>
      <c r="Q833" s="451"/>
      <c r="R833" s="158"/>
    </row>
    <row r="834" spans="1:18" ht="12.75" customHeight="1" x14ac:dyDescent="0.3">
      <c r="A834" s="36"/>
      <c r="B834" s="36" t="s">
        <v>2269</v>
      </c>
      <c r="C834" s="29"/>
      <c r="D834" s="29"/>
      <c r="E834" s="29"/>
      <c r="F834" s="29"/>
      <c r="G834" s="37" t="s">
        <v>2286</v>
      </c>
      <c r="H834" s="36" t="s">
        <v>2322</v>
      </c>
      <c r="I834" s="521">
        <f>global!I230</f>
        <v>0</v>
      </c>
      <c r="J834" s="450"/>
      <c r="K834" s="450"/>
      <c r="L834" s="450"/>
      <c r="M834" s="451"/>
      <c r="N834" s="451"/>
      <c r="O834" s="451"/>
      <c r="P834" s="451"/>
      <c r="Q834" s="451"/>
      <c r="R834" s="158"/>
    </row>
    <row r="835" spans="1:18" ht="12.75" customHeight="1" x14ac:dyDescent="0.3">
      <c r="A835" s="36"/>
      <c r="B835" s="36" t="s">
        <v>2271</v>
      </c>
      <c r="C835" s="29"/>
      <c r="D835" s="29"/>
      <c r="E835" s="95"/>
      <c r="F835" s="95"/>
      <c r="G835" s="37" t="s">
        <v>2288</v>
      </c>
      <c r="H835" s="36" t="s">
        <v>2322</v>
      </c>
      <c r="I835" s="521">
        <f>global!I231</f>
        <v>0</v>
      </c>
      <c r="J835" s="450"/>
      <c r="K835" s="450"/>
      <c r="L835" s="450"/>
      <c r="M835" s="451"/>
      <c r="N835" s="451"/>
      <c r="O835" s="451"/>
      <c r="P835" s="451"/>
      <c r="Q835" s="451"/>
      <c r="R835" s="158"/>
    </row>
    <row r="836" spans="1:18" ht="12.75" customHeight="1" x14ac:dyDescent="0.3">
      <c r="A836" s="29"/>
      <c r="B836" s="36"/>
      <c r="C836" s="29" t="s">
        <v>1077</v>
      </c>
      <c r="D836" s="29"/>
      <c r="E836" s="29"/>
      <c r="F836" s="29"/>
      <c r="G836" s="29" t="s">
        <v>4021</v>
      </c>
      <c r="H836" s="30" t="s">
        <v>2321</v>
      </c>
      <c r="I836" s="521">
        <f>global!I232</f>
        <v>0</v>
      </c>
      <c r="J836" s="450"/>
      <c r="K836" s="450"/>
      <c r="L836" s="450"/>
      <c r="M836" s="451"/>
      <c r="N836" s="451"/>
      <c r="O836" s="451"/>
      <c r="P836" s="451"/>
      <c r="Q836" s="451"/>
      <c r="R836" s="158"/>
    </row>
    <row r="837" spans="1:18" ht="12.75" customHeight="1" x14ac:dyDescent="0.3">
      <c r="A837" s="29"/>
      <c r="B837" s="36"/>
      <c r="C837" s="29" t="s">
        <v>1048</v>
      </c>
      <c r="D837" s="29"/>
      <c r="E837" s="29"/>
      <c r="F837" s="29"/>
      <c r="G837" s="29" t="s">
        <v>4022</v>
      </c>
      <c r="H837" s="30" t="s">
        <v>2321</v>
      </c>
      <c r="I837" s="521">
        <f>global!I233</f>
        <v>0</v>
      </c>
      <c r="J837" s="450"/>
      <c r="K837" s="450"/>
      <c r="L837" s="450"/>
      <c r="M837" s="451"/>
      <c r="N837" s="451"/>
      <c r="O837" s="451"/>
      <c r="P837" s="451"/>
      <c r="Q837" s="451"/>
      <c r="R837" s="158"/>
    </row>
    <row r="838" spans="1:18" ht="12.75" customHeight="1" x14ac:dyDescent="0.3">
      <c r="A838" s="36"/>
      <c r="B838" s="29"/>
      <c r="C838" s="29"/>
      <c r="D838" s="95" t="s">
        <v>705</v>
      </c>
      <c r="E838" s="29"/>
      <c r="F838" s="29"/>
      <c r="G838" s="37" t="s">
        <v>407</v>
      </c>
      <c r="H838" s="30" t="s">
        <v>2321</v>
      </c>
      <c r="I838" s="521">
        <f>global!I234</f>
        <v>0</v>
      </c>
      <c r="J838" s="450"/>
      <c r="K838" s="450"/>
      <c r="L838" s="450"/>
      <c r="M838" s="451"/>
      <c r="N838" s="451"/>
      <c r="O838" s="451"/>
      <c r="P838" s="451"/>
      <c r="Q838" s="451"/>
      <c r="R838" s="158"/>
    </row>
    <row r="839" spans="1:18" ht="12.75" customHeight="1" x14ac:dyDescent="0.3">
      <c r="A839" s="36"/>
      <c r="B839" s="36"/>
      <c r="C839" s="29" t="s">
        <v>1049</v>
      </c>
      <c r="D839" s="29"/>
      <c r="E839" s="95"/>
      <c r="F839" s="95"/>
      <c r="G839" s="29" t="s">
        <v>4023</v>
      </c>
      <c r="H839" s="30" t="s">
        <v>2321</v>
      </c>
      <c r="I839" s="521">
        <f>global!I235</f>
        <v>0</v>
      </c>
      <c r="J839" s="450"/>
      <c r="K839" s="450"/>
      <c r="L839" s="450"/>
      <c r="M839" s="451"/>
      <c r="N839" s="451"/>
      <c r="O839" s="451"/>
      <c r="P839" s="451"/>
      <c r="Q839" s="451"/>
      <c r="R839" s="158"/>
    </row>
    <row r="840" spans="1:18" ht="12.75" customHeight="1" x14ac:dyDescent="0.3">
      <c r="A840" s="36"/>
      <c r="B840" s="36"/>
      <c r="C840" s="29" t="s">
        <v>872</v>
      </c>
      <c r="D840" s="29"/>
      <c r="E840" s="29"/>
      <c r="F840" s="29"/>
      <c r="G840" s="29" t="s">
        <v>4024</v>
      </c>
      <c r="H840" s="95" t="s">
        <v>2321</v>
      </c>
      <c r="I840" s="521">
        <f>global!I236</f>
        <v>0</v>
      </c>
      <c r="J840" s="450"/>
      <c r="K840" s="450"/>
      <c r="L840" s="450">
        <v>2.799723603513301E-9</v>
      </c>
      <c r="M840" s="451">
        <v>2.799723603513301E-9</v>
      </c>
      <c r="N840" s="451">
        <v>2.799723603513301E-9</v>
      </c>
      <c r="O840" s="451">
        <v>2.799723603513301E-9</v>
      </c>
      <c r="P840" s="451"/>
      <c r="Q840" s="451">
        <v>2.799723603513301E-9</v>
      </c>
      <c r="R840" s="158"/>
    </row>
    <row r="841" spans="1:18" ht="12.75" customHeight="1" x14ac:dyDescent="0.3">
      <c r="A841" s="36"/>
      <c r="B841" s="36"/>
      <c r="C841" s="29" t="s">
        <v>185</v>
      </c>
      <c r="D841" s="29"/>
      <c r="E841" s="95"/>
      <c r="F841" s="29"/>
      <c r="G841" s="37" t="s">
        <v>917</v>
      </c>
      <c r="H841" s="29" t="s">
        <v>36</v>
      </c>
      <c r="I841" s="521">
        <f>global!I237</f>
        <v>0</v>
      </c>
      <c r="J841" s="450"/>
      <c r="K841" s="450"/>
      <c r="L841" s="450">
        <v>1</v>
      </c>
      <c r="M841" s="451">
        <v>1</v>
      </c>
      <c r="N841" s="451">
        <v>1</v>
      </c>
      <c r="O841" s="451">
        <v>1</v>
      </c>
      <c r="P841" s="451"/>
      <c r="Q841" s="451">
        <v>1</v>
      </c>
      <c r="R841" s="158"/>
    </row>
    <row r="842" spans="1:18" ht="12.75" customHeight="1" x14ac:dyDescent="0.3">
      <c r="A842" s="29"/>
      <c r="B842" s="29"/>
      <c r="C842" s="29"/>
      <c r="D842" s="29"/>
      <c r="E842" s="29"/>
      <c r="F842" s="29"/>
      <c r="G842" s="29"/>
      <c r="H842" s="29"/>
      <c r="I842" s="526"/>
      <c r="J842" s="458"/>
      <c r="K842" s="458"/>
      <c r="L842" s="458"/>
      <c r="M842" s="459"/>
      <c r="N842" s="459"/>
      <c r="O842" s="459"/>
      <c r="P842" s="459"/>
      <c r="Q842" s="459"/>
      <c r="R842" s="158"/>
    </row>
    <row r="843" spans="1:18" ht="12.75" customHeight="1" x14ac:dyDescent="0.3">
      <c r="A843" s="36" t="s">
        <v>97</v>
      </c>
      <c r="B843" s="29"/>
      <c r="C843" s="29"/>
      <c r="D843" s="29"/>
      <c r="E843" s="29"/>
      <c r="F843" s="29"/>
      <c r="G843" s="37" t="s">
        <v>1164</v>
      </c>
      <c r="H843" s="36" t="s">
        <v>2307</v>
      </c>
      <c r="I843" s="521">
        <f>global!I239</f>
        <v>0</v>
      </c>
      <c r="J843" s="450"/>
      <c r="K843" s="450"/>
      <c r="L843" s="450"/>
      <c r="M843" s="451"/>
      <c r="N843" s="451"/>
      <c r="O843" s="451"/>
      <c r="P843" s="451"/>
      <c r="Q843" s="451"/>
      <c r="R843" s="158"/>
    </row>
    <row r="844" spans="1:18" ht="12.75" customHeight="1" x14ac:dyDescent="0.3">
      <c r="A844" s="36" t="s">
        <v>98</v>
      </c>
      <c r="B844" s="29"/>
      <c r="C844" s="29"/>
      <c r="D844" s="29"/>
      <c r="E844" s="29"/>
      <c r="F844" s="29"/>
      <c r="G844" s="37" t="s">
        <v>1165</v>
      </c>
      <c r="H844" s="36" t="s">
        <v>2307</v>
      </c>
      <c r="I844" s="521">
        <f>global!I240</f>
        <v>0</v>
      </c>
      <c r="J844" s="450"/>
      <c r="K844" s="450"/>
      <c r="L844" s="450"/>
      <c r="M844" s="451"/>
      <c r="N844" s="451"/>
      <c r="O844" s="451"/>
      <c r="P844" s="451"/>
      <c r="Q844" s="451"/>
      <c r="R844" s="158"/>
    </row>
    <row r="845" spans="1:18" ht="12.75" customHeight="1" x14ac:dyDescent="0.3">
      <c r="A845" s="36"/>
      <c r="B845" s="36" t="s">
        <v>2272</v>
      </c>
      <c r="C845" s="29"/>
      <c r="D845" s="29"/>
      <c r="E845" s="29"/>
      <c r="F845" s="29"/>
      <c r="G845" s="37" t="s">
        <v>2289</v>
      </c>
      <c r="H845" s="36" t="s">
        <v>2322</v>
      </c>
      <c r="I845" s="521">
        <f>global!I241</f>
        <v>0</v>
      </c>
      <c r="J845" s="450"/>
      <c r="K845" s="450"/>
      <c r="L845" s="450"/>
      <c r="M845" s="451"/>
      <c r="N845" s="451"/>
      <c r="O845" s="451"/>
      <c r="P845" s="451"/>
      <c r="Q845" s="451"/>
      <c r="R845" s="158"/>
    </row>
    <row r="846" spans="1:18" ht="12.75" customHeight="1" x14ac:dyDescent="0.3">
      <c r="A846" s="36"/>
      <c r="B846" s="36" t="s">
        <v>2273</v>
      </c>
      <c r="C846" s="29"/>
      <c r="D846" s="29"/>
      <c r="E846" s="29"/>
      <c r="F846" s="29"/>
      <c r="G846" s="37" t="s">
        <v>2290</v>
      </c>
      <c r="H846" s="36" t="s">
        <v>2322</v>
      </c>
      <c r="I846" s="521">
        <f>global!I242</f>
        <v>0</v>
      </c>
      <c r="J846" s="450"/>
      <c r="K846" s="450"/>
      <c r="L846" s="450"/>
      <c r="M846" s="451"/>
      <c r="N846" s="451"/>
      <c r="O846" s="451"/>
      <c r="P846" s="451"/>
      <c r="Q846" s="451"/>
      <c r="R846" s="158"/>
    </row>
    <row r="847" spans="1:18" ht="12.75" customHeight="1" x14ac:dyDescent="0.3">
      <c r="A847" s="36"/>
      <c r="B847" s="36"/>
      <c r="C847" s="36" t="s">
        <v>1228</v>
      </c>
      <c r="D847" s="36"/>
      <c r="E847" s="29"/>
      <c r="F847" s="29"/>
      <c r="G847" s="94" t="s">
        <v>162</v>
      </c>
      <c r="H847" s="30" t="s">
        <v>2321</v>
      </c>
      <c r="I847" s="521">
        <f>global!I243</f>
        <v>0</v>
      </c>
      <c r="J847" s="450"/>
      <c r="K847" s="450"/>
      <c r="L847" s="450"/>
      <c r="M847" s="451"/>
      <c r="N847" s="451"/>
      <c r="O847" s="451"/>
      <c r="P847" s="451"/>
      <c r="Q847" s="451"/>
      <c r="R847" s="158"/>
    </row>
    <row r="848" spans="1:18" ht="12.75" customHeight="1" x14ac:dyDescent="0.3">
      <c r="A848" s="36"/>
      <c r="B848" s="36"/>
      <c r="C848" s="29"/>
      <c r="D848" s="36" t="s">
        <v>582</v>
      </c>
      <c r="E848" s="95"/>
      <c r="F848" s="95"/>
      <c r="G848" s="94" t="s">
        <v>1285</v>
      </c>
      <c r="H848" s="30" t="s">
        <v>2321</v>
      </c>
      <c r="I848" s="521">
        <f>global!I244</f>
        <v>0</v>
      </c>
      <c r="J848" s="450"/>
      <c r="K848" s="450"/>
      <c r="L848" s="450"/>
      <c r="M848" s="451"/>
      <c r="N848" s="451"/>
      <c r="O848" s="451"/>
      <c r="P848" s="451"/>
      <c r="Q848" s="451"/>
      <c r="R848" s="158"/>
    </row>
    <row r="849" spans="1:18" ht="12.75" customHeight="1" x14ac:dyDescent="0.3">
      <c r="A849" s="36"/>
      <c r="B849" s="36"/>
      <c r="C849" s="29"/>
      <c r="D849" s="36" t="s">
        <v>565</v>
      </c>
      <c r="E849" s="95"/>
      <c r="F849" s="95"/>
      <c r="G849" s="94" t="s">
        <v>1287</v>
      </c>
      <c r="H849" s="30" t="s">
        <v>2321</v>
      </c>
      <c r="I849" s="521">
        <f>global!I245</f>
        <v>0</v>
      </c>
      <c r="J849" s="450"/>
      <c r="K849" s="450"/>
      <c r="L849" s="450"/>
      <c r="M849" s="451"/>
      <c r="N849" s="451"/>
      <c r="O849" s="451"/>
      <c r="P849" s="451"/>
      <c r="Q849" s="451"/>
      <c r="R849" s="158"/>
    </row>
    <row r="850" spans="1:18" ht="12.75" customHeight="1" x14ac:dyDescent="0.3">
      <c r="A850" s="36"/>
      <c r="B850" s="36"/>
      <c r="C850" s="36"/>
      <c r="D850" s="29"/>
      <c r="E850" s="36" t="s">
        <v>803</v>
      </c>
      <c r="F850" s="36"/>
      <c r="G850" s="94" t="s">
        <v>1286</v>
      </c>
      <c r="H850" s="36" t="s">
        <v>2323</v>
      </c>
      <c r="I850" s="521">
        <f>global!I246</f>
        <v>0</v>
      </c>
      <c r="J850" s="450"/>
      <c r="K850" s="450"/>
      <c r="L850" s="450"/>
      <c r="M850" s="451"/>
      <c r="N850" s="451"/>
      <c r="O850" s="451"/>
      <c r="P850" s="451"/>
      <c r="Q850" s="451"/>
      <c r="R850" s="158"/>
    </row>
    <row r="851" spans="1:18" ht="12.75" customHeight="1" x14ac:dyDescent="0.3">
      <c r="A851" s="29"/>
      <c r="B851" s="29" t="s">
        <v>2274</v>
      </c>
      <c r="C851" s="95"/>
      <c r="D851" s="95"/>
      <c r="E851" s="29"/>
      <c r="F851" s="29"/>
      <c r="G851" s="37" t="s">
        <v>2291</v>
      </c>
      <c r="H851" s="36" t="s">
        <v>2322</v>
      </c>
      <c r="I851" s="521">
        <f>global!I247</f>
        <v>0</v>
      </c>
      <c r="J851" s="450"/>
      <c r="K851" s="450"/>
      <c r="L851" s="450"/>
      <c r="M851" s="451"/>
      <c r="N851" s="451"/>
      <c r="O851" s="451"/>
      <c r="P851" s="451"/>
      <c r="Q851" s="451"/>
      <c r="R851" s="158"/>
    </row>
    <row r="852" spans="1:18" ht="12.75" customHeight="1" x14ac:dyDescent="0.3">
      <c r="A852" s="29"/>
      <c r="B852" s="29" t="s">
        <v>2275</v>
      </c>
      <c r="C852" s="95"/>
      <c r="D852" s="95"/>
      <c r="E852" s="29"/>
      <c r="F852" s="29"/>
      <c r="G852" s="37" t="s">
        <v>2292</v>
      </c>
      <c r="H852" s="36" t="s">
        <v>2322</v>
      </c>
      <c r="I852" s="521">
        <f>global!I248</f>
        <v>0</v>
      </c>
      <c r="J852" s="450"/>
      <c r="K852" s="450"/>
      <c r="L852" s="450"/>
      <c r="M852" s="451"/>
      <c r="N852" s="451"/>
      <c r="O852" s="451"/>
      <c r="P852" s="451"/>
      <c r="Q852" s="451"/>
      <c r="R852" s="158"/>
    </row>
    <row r="853" spans="1:18" ht="12.75" customHeight="1" x14ac:dyDescent="0.3">
      <c r="A853" s="36"/>
      <c r="B853" s="36"/>
      <c r="C853" s="29" t="s">
        <v>1076</v>
      </c>
      <c r="D853" s="29"/>
      <c r="E853" s="29"/>
      <c r="F853" s="29"/>
      <c r="G853" s="29" t="s">
        <v>1288</v>
      </c>
      <c r="H853" s="30" t="s">
        <v>2321</v>
      </c>
      <c r="I853" s="521">
        <f>global!I249</f>
        <v>0</v>
      </c>
      <c r="J853" s="450"/>
      <c r="K853" s="450"/>
      <c r="L853" s="450"/>
      <c r="M853" s="451"/>
      <c r="N853" s="451"/>
      <c r="O853" s="451"/>
      <c r="P853" s="451"/>
      <c r="Q853" s="451"/>
      <c r="R853" s="158"/>
    </row>
    <row r="854" spans="1:18" ht="12.75" customHeight="1" x14ac:dyDescent="0.3">
      <c r="A854" s="36"/>
      <c r="B854" s="36"/>
      <c r="C854" s="29" t="s">
        <v>1230</v>
      </c>
      <c r="D854" s="29"/>
      <c r="E854" s="29"/>
      <c r="F854" s="29"/>
      <c r="G854" s="29" t="s">
        <v>1289</v>
      </c>
      <c r="H854" s="30" t="s">
        <v>2321</v>
      </c>
      <c r="I854" s="521">
        <f>global!I250</f>
        <v>0</v>
      </c>
      <c r="J854" s="450"/>
      <c r="K854" s="450"/>
      <c r="L854" s="450"/>
      <c r="M854" s="451"/>
      <c r="N854" s="451"/>
      <c r="O854" s="451"/>
      <c r="P854" s="451"/>
      <c r="Q854" s="451"/>
      <c r="R854" s="158"/>
    </row>
    <row r="855" spans="1:18" ht="12.75" customHeight="1" x14ac:dyDescent="0.3">
      <c r="A855" s="29"/>
      <c r="B855" s="29"/>
      <c r="C855" s="29"/>
      <c r="D855" s="29"/>
      <c r="E855" s="29"/>
      <c r="F855" s="29"/>
      <c r="G855" s="29"/>
      <c r="H855" s="29"/>
      <c r="I855" s="526"/>
      <c r="J855" s="458"/>
      <c r="K855" s="458"/>
      <c r="L855" s="458"/>
      <c r="M855" s="459"/>
      <c r="N855" s="459"/>
      <c r="O855" s="459"/>
      <c r="P855" s="459"/>
      <c r="Q855" s="459"/>
      <c r="R855" s="158"/>
    </row>
    <row r="856" spans="1:18" ht="12.75" customHeight="1" x14ac:dyDescent="0.3">
      <c r="A856" s="36" t="s">
        <v>89</v>
      </c>
      <c r="B856" s="29"/>
      <c r="C856" s="29"/>
      <c r="D856" s="29"/>
      <c r="E856" s="29"/>
      <c r="F856" s="29"/>
      <c r="G856" s="37" t="s">
        <v>1261</v>
      </c>
      <c r="H856" s="36" t="s">
        <v>2307</v>
      </c>
      <c r="I856" s="521">
        <f>global!I252</f>
        <v>0</v>
      </c>
      <c r="J856" s="450"/>
      <c r="K856" s="450"/>
      <c r="L856" s="450"/>
      <c r="M856" s="451"/>
      <c r="N856" s="451"/>
      <c r="O856" s="451"/>
      <c r="P856" s="451"/>
      <c r="Q856" s="451"/>
      <c r="R856" s="158"/>
    </row>
    <row r="857" spans="1:18" ht="12.75" customHeight="1" x14ac:dyDescent="0.3">
      <c r="A857" s="29"/>
      <c r="B857" s="29"/>
      <c r="C857" s="95" t="s">
        <v>211</v>
      </c>
      <c r="D857" s="29"/>
      <c r="E857" s="29"/>
      <c r="F857" s="29"/>
      <c r="G857" s="94" t="s">
        <v>669</v>
      </c>
      <c r="H857" s="95" t="s">
        <v>2324</v>
      </c>
      <c r="I857" s="521">
        <f>global!I253</f>
        <v>0</v>
      </c>
      <c r="J857" s="450"/>
      <c r="K857" s="450"/>
      <c r="L857" s="450"/>
      <c r="M857" s="451"/>
      <c r="N857" s="451"/>
      <c r="O857" s="451"/>
      <c r="P857" s="451"/>
      <c r="Q857" s="451"/>
      <c r="R857" s="158"/>
    </row>
    <row r="858" spans="1:18" ht="12.75" customHeight="1" x14ac:dyDescent="0.3">
      <c r="A858" s="29"/>
      <c r="B858" s="29"/>
      <c r="C858" s="36" t="s">
        <v>1002</v>
      </c>
      <c r="D858" s="29"/>
      <c r="E858" s="29"/>
      <c r="F858" s="29"/>
      <c r="G858" s="94" t="s">
        <v>670</v>
      </c>
      <c r="H858" s="36" t="s">
        <v>36</v>
      </c>
      <c r="I858" s="521">
        <f>global!I254</f>
        <v>0</v>
      </c>
      <c r="J858" s="450"/>
      <c r="K858" s="450"/>
      <c r="L858" s="450"/>
      <c r="M858" s="451"/>
      <c r="N858" s="451"/>
      <c r="O858" s="451"/>
      <c r="P858" s="451"/>
      <c r="Q858" s="451"/>
      <c r="R858" s="158"/>
    </row>
    <row r="859" spans="1:18" ht="12.75" customHeight="1" x14ac:dyDescent="0.3">
      <c r="A859" s="36"/>
      <c r="B859" s="36"/>
      <c r="C859" s="29" t="s">
        <v>185</v>
      </c>
      <c r="D859" s="29"/>
      <c r="E859" s="95"/>
      <c r="F859" s="95"/>
      <c r="G859" s="37" t="s">
        <v>918</v>
      </c>
      <c r="H859" s="29" t="s">
        <v>36</v>
      </c>
      <c r="I859" s="521">
        <f>global!I255</f>
        <v>0</v>
      </c>
      <c r="J859" s="450"/>
      <c r="K859" s="450"/>
      <c r="L859" s="450">
        <v>1</v>
      </c>
      <c r="M859" s="451">
        <v>1</v>
      </c>
      <c r="N859" s="451">
        <v>1</v>
      </c>
      <c r="O859" s="451">
        <v>1</v>
      </c>
      <c r="P859" s="451"/>
      <c r="Q859" s="451">
        <v>1</v>
      </c>
      <c r="R859" s="158"/>
    </row>
    <row r="860" spans="1:18" ht="12.75" customHeight="1" x14ac:dyDescent="0.3">
      <c r="A860" s="29"/>
      <c r="B860" s="29"/>
      <c r="C860" s="29"/>
      <c r="D860" s="95"/>
      <c r="E860" s="29"/>
      <c r="F860" s="29"/>
      <c r="G860" s="29"/>
      <c r="H860" s="29"/>
      <c r="I860" s="456"/>
      <c r="J860" s="339"/>
      <c r="K860" s="339"/>
      <c r="L860" s="339"/>
      <c r="M860" s="282"/>
      <c r="N860" s="282"/>
      <c r="O860" s="282"/>
      <c r="P860" s="282"/>
      <c r="Q860" s="282"/>
      <c r="R860" s="158"/>
    </row>
    <row r="861" spans="1:18" ht="12.75" customHeight="1" x14ac:dyDescent="0.3">
      <c r="A861" s="98" t="s">
        <v>419</v>
      </c>
      <c r="B861" s="97"/>
      <c r="C861" s="97"/>
      <c r="D861" s="97"/>
      <c r="E861" s="97"/>
      <c r="F861" s="97"/>
      <c r="G861" s="97"/>
      <c r="H861" s="97"/>
      <c r="I861" s="340" t="s">
        <v>754</v>
      </c>
      <c r="J861" s="364"/>
      <c r="K861" s="364"/>
      <c r="L861" s="364"/>
      <c r="M861" s="469"/>
      <c r="N861" s="469"/>
      <c r="O861" s="469"/>
      <c r="P861" s="469"/>
      <c r="Q861" s="469"/>
      <c r="R861" s="158"/>
    </row>
    <row r="862" spans="1:18" ht="12.75" customHeight="1" x14ac:dyDescent="0.3">
      <c r="A862" s="36"/>
      <c r="B862" s="29"/>
      <c r="C862" s="29"/>
      <c r="D862" s="29"/>
      <c r="E862" s="29"/>
      <c r="F862" s="29"/>
      <c r="G862" s="29"/>
      <c r="H862" s="29"/>
      <c r="I862" s="342"/>
      <c r="J862" s="339"/>
      <c r="K862" s="339"/>
      <c r="L862" s="339"/>
      <c r="M862" s="282"/>
      <c r="N862" s="282"/>
      <c r="O862" s="282"/>
      <c r="P862" s="282"/>
      <c r="Q862" s="282"/>
      <c r="R862" s="158"/>
    </row>
    <row r="863" spans="1:18" ht="12.75" customHeight="1" x14ac:dyDescent="0.3">
      <c r="A863" s="36" t="s">
        <v>224</v>
      </c>
      <c r="B863" s="29"/>
      <c r="C863" s="29"/>
      <c r="D863" s="29"/>
      <c r="E863" s="29"/>
      <c r="F863" s="29"/>
      <c r="G863" s="37" t="s">
        <v>1365</v>
      </c>
      <c r="H863" s="36" t="s">
        <v>2307</v>
      </c>
      <c r="I863" s="521">
        <f>global!I259</f>
        <v>0</v>
      </c>
      <c r="J863" s="450"/>
      <c r="K863" s="450"/>
      <c r="L863" s="450"/>
      <c r="M863" s="451"/>
      <c r="N863" s="451"/>
      <c r="O863" s="451"/>
      <c r="P863" s="451"/>
      <c r="Q863" s="451"/>
      <c r="R863" s="158"/>
    </row>
    <row r="864" spans="1:18" ht="12.75" customHeight="1" x14ac:dyDescent="0.3">
      <c r="A864" s="36" t="s">
        <v>4012</v>
      </c>
      <c r="B864" s="29"/>
      <c r="C864" s="29"/>
      <c r="D864" s="29"/>
      <c r="E864" s="29"/>
      <c r="F864" s="29"/>
      <c r="G864" s="37" t="s">
        <v>1046</v>
      </c>
      <c r="H864" s="36" t="s">
        <v>2307</v>
      </c>
      <c r="I864" s="521">
        <f>global!I260</f>
        <v>0</v>
      </c>
      <c r="J864" s="450"/>
      <c r="K864" s="450"/>
      <c r="L864" s="450"/>
      <c r="M864" s="451"/>
      <c r="N864" s="451"/>
      <c r="O864" s="451"/>
      <c r="P864" s="451"/>
      <c r="Q864" s="451"/>
      <c r="R864" s="158"/>
    </row>
    <row r="865" spans="1:18" ht="12.75" customHeight="1" x14ac:dyDescent="0.3">
      <c r="A865" s="36" t="s">
        <v>1168</v>
      </c>
      <c r="B865" s="29"/>
      <c r="C865" s="29"/>
      <c r="D865" s="29"/>
      <c r="E865" s="29"/>
      <c r="F865" s="29"/>
      <c r="G865" s="37" t="s">
        <v>1170</v>
      </c>
      <c r="H865" s="36" t="s">
        <v>2307</v>
      </c>
      <c r="I865" s="521">
        <f>global!I261</f>
        <v>0</v>
      </c>
      <c r="J865" s="450"/>
      <c r="K865" s="450"/>
      <c r="L865" s="450"/>
      <c r="M865" s="451"/>
      <c r="N865" s="451"/>
      <c r="O865" s="451"/>
      <c r="P865" s="451"/>
      <c r="Q865" s="451"/>
      <c r="R865" s="158"/>
    </row>
    <row r="866" spans="1:18" ht="12.75" customHeight="1" x14ac:dyDescent="0.3">
      <c r="A866" s="36" t="s">
        <v>225</v>
      </c>
      <c r="B866" s="29"/>
      <c r="C866" s="29"/>
      <c r="D866" s="29"/>
      <c r="E866" s="29"/>
      <c r="F866" s="29"/>
      <c r="G866" s="37" t="s">
        <v>1262</v>
      </c>
      <c r="H866" s="36" t="s">
        <v>2307</v>
      </c>
      <c r="I866" s="521">
        <f>global!I262</f>
        <v>0</v>
      </c>
      <c r="J866" s="450"/>
      <c r="K866" s="450"/>
      <c r="L866" s="450"/>
      <c r="M866" s="451"/>
      <c r="N866" s="451"/>
      <c r="O866" s="451"/>
      <c r="P866" s="451"/>
      <c r="Q866" s="451"/>
      <c r="R866" s="158"/>
    </row>
    <row r="867" spans="1:18" ht="12.75" customHeight="1" x14ac:dyDescent="0.3">
      <c r="A867" s="36" t="s">
        <v>844</v>
      </c>
      <c r="B867" s="29"/>
      <c r="C867" s="29"/>
      <c r="D867" s="29"/>
      <c r="E867" s="29"/>
      <c r="F867" s="29"/>
      <c r="G867" s="37" t="s">
        <v>1366</v>
      </c>
      <c r="H867" s="36" t="s">
        <v>2307</v>
      </c>
      <c r="I867" s="521">
        <f>global!I263</f>
        <v>0</v>
      </c>
      <c r="J867" s="450"/>
      <c r="K867" s="450"/>
      <c r="L867" s="450"/>
      <c r="M867" s="451"/>
      <c r="N867" s="451"/>
      <c r="O867" s="451"/>
      <c r="P867" s="451"/>
      <c r="Q867" s="451"/>
      <c r="R867" s="158"/>
    </row>
    <row r="868" spans="1:18" ht="12.75" customHeight="1" x14ac:dyDescent="0.3">
      <c r="A868" s="36"/>
      <c r="B868" s="36" t="s">
        <v>796</v>
      </c>
      <c r="C868" s="95"/>
      <c r="D868" s="29"/>
      <c r="E868" s="29"/>
      <c r="F868" s="29"/>
      <c r="G868" s="94" t="s">
        <v>674</v>
      </c>
      <c r="H868" s="36" t="s">
        <v>2307</v>
      </c>
      <c r="I868" s="521">
        <f>global!I264</f>
        <v>0</v>
      </c>
      <c r="J868" s="450"/>
      <c r="K868" s="450"/>
      <c r="L868" s="450"/>
      <c r="M868" s="451"/>
      <c r="N868" s="451"/>
      <c r="O868" s="451"/>
      <c r="P868" s="451"/>
      <c r="Q868" s="451"/>
      <c r="R868" s="158"/>
    </row>
    <row r="869" spans="1:18" ht="12.75" customHeight="1" x14ac:dyDescent="0.3">
      <c r="A869" s="36"/>
      <c r="B869" s="36" t="s">
        <v>797</v>
      </c>
      <c r="C869" s="29"/>
      <c r="D869" s="29"/>
      <c r="E869" s="29"/>
      <c r="F869" s="29"/>
      <c r="G869" s="37" t="s">
        <v>671</v>
      </c>
      <c r="H869" s="36" t="s">
        <v>2307</v>
      </c>
      <c r="I869" s="521">
        <f>global!I265</f>
        <v>0</v>
      </c>
      <c r="J869" s="450"/>
      <c r="K869" s="450"/>
      <c r="L869" s="450"/>
      <c r="M869" s="451"/>
      <c r="N869" s="451"/>
      <c r="O869" s="451"/>
      <c r="P869" s="451"/>
      <c r="Q869" s="451"/>
      <c r="R869" s="158"/>
    </row>
    <row r="870" spans="1:18" ht="12.75" customHeight="1" x14ac:dyDescent="0.3">
      <c r="A870" s="95"/>
      <c r="B870" s="95"/>
      <c r="C870" s="36" t="s">
        <v>1021</v>
      </c>
      <c r="D870" s="29"/>
      <c r="E870" s="29"/>
      <c r="F870" s="29"/>
      <c r="G870" s="37" t="s">
        <v>804</v>
      </c>
      <c r="H870" s="36" t="s">
        <v>2308</v>
      </c>
      <c r="I870" s="521">
        <f>global!I266</f>
        <v>0</v>
      </c>
      <c r="J870" s="450"/>
      <c r="K870" s="450"/>
      <c r="L870" s="450"/>
      <c r="M870" s="451"/>
      <c r="N870" s="451"/>
      <c r="O870" s="451"/>
      <c r="P870" s="451"/>
      <c r="Q870" s="451"/>
      <c r="R870" s="158"/>
    </row>
    <row r="871" spans="1:18" ht="12.75" customHeight="1" x14ac:dyDescent="0.3">
      <c r="A871" s="95"/>
      <c r="B871" s="95"/>
      <c r="C871" s="36" t="s">
        <v>35</v>
      </c>
      <c r="D871" s="29"/>
      <c r="E871" s="29"/>
      <c r="F871" s="29"/>
      <c r="G871" s="37" t="s">
        <v>805</v>
      </c>
      <c r="H871" s="36" t="s">
        <v>36</v>
      </c>
      <c r="I871" s="521">
        <f>global!I267</f>
        <v>0</v>
      </c>
      <c r="J871" s="450"/>
      <c r="K871" s="450"/>
      <c r="L871" s="450"/>
      <c r="M871" s="451"/>
      <c r="N871" s="451"/>
      <c r="O871" s="451"/>
      <c r="P871" s="451"/>
      <c r="Q871" s="451"/>
      <c r="R871" s="158"/>
    </row>
    <row r="872" spans="1:18" ht="12.75" customHeight="1" x14ac:dyDescent="0.3">
      <c r="A872" s="36"/>
      <c r="B872" s="36" t="s">
        <v>4013</v>
      </c>
      <c r="C872" s="29"/>
      <c r="D872" s="29"/>
      <c r="E872" s="29"/>
      <c r="F872" s="29"/>
      <c r="G872" s="37" t="s">
        <v>1158</v>
      </c>
      <c r="H872" s="36" t="s">
        <v>2307</v>
      </c>
      <c r="I872" s="521">
        <f>global!I268</f>
        <v>0</v>
      </c>
      <c r="J872" s="450"/>
      <c r="K872" s="450"/>
      <c r="L872" s="450"/>
      <c r="M872" s="451"/>
      <c r="N872" s="451"/>
      <c r="O872" s="451"/>
      <c r="P872" s="451"/>
      <c r="Q872" s="451"/>
      <c r="R872" s="158"/>
    </row>
    <row r="873" spans="1:18" ht="12.75" customHeight="1" x14ac:dyDescent="0.3">
      <c r="A873" s="36"/>
      <c r="B873" s="36" t="s">
        <v>1138</v>
      </c>
      <c r="C873" s="29"/>
      <c r="D873" s="29"/>
      <c r="E873" s="29"/>
      <c r="F873" s="29"/>
      <c r="G873" s="37" t="s">
        <v>1159</v>
      </c>
      <c r="H873" s="36" t="s">
        <v>2307</v>
      </c>
      <c r="I873" s="521">
        <f>global!I269</f>
        <v>0</v>
      </c>
      <c r="J873" s="450"/>
      <c r="K873" s="450"/>
      <c r="L873" s="450"/>
      <c r="M873" s="451"/>
      <c r="N873" s="451"/>
      <c r="O873" s="451"/>
      <c r="P873" s="451"/>
      <c r="Q873" s="451"/>
      <c r="R873" s="158"/>
    </row>
    <row r="874" spans="1:18" ht="12.75" customHeight="1" x14ac:dyDescent="0.3">
      <c r="A874" s="36"/>
      <c r="B874" s="36"/>
      <c r="C874" s="36" t="s">
        <v>4014</v>
      </c>
      <c r="D874" s="29"/>
      <c r="E874" s="29"/>
      <c r="F874" s="29"/>
      <c r="G874" s="94" t="s">
        <v>1160</v>
      </c>
      <c r="H874" s="36" t="s">
        <v>730</v>
      </c>
      <c r="I874" s="521">
        <f>global!I270</f>
        <v>0</v>
      </c>
      <c r="J874" s="450"/>
      <c r="K874" s="450"/>
      <c r="L874" s="450"/>
      <c r="M874" s="451"/>
      <c r="N874" s="451"/>
      <c r="O874" s="451"/>
      <c r="P874" s="451"/>
      <c r="Q874" s="451"/>
      <c r="R874" s="158"/>
    </row>
    <row r="875" spans="1:18" ht="12.75" customHeight="1" x14ac:dyDescent="0.3">
      <c r="A875" s="36"/>
      <c r="B875" s="36"/>
      <c r="C875" s="36" t="s">
        <v>1140</v>
      </c>
      <c r="D875" s="29"/>
      <c r="E875" s="29"/>
      <c r="F875" s="29"/>
      <c r="G875" s="94" t="s">
        <v>1161</v>
      </c>
      <c r="H875" s="36" t="s">
        <v>730</v>
      </c>
      <c r="I875" s="521">
        <f>global!I271</f>
        <v>0</v>
      </c>
      <c r="J875" s="450"/>
      <c r="K875" s="450"/>
      <c r="L875" s="450"/>
      <c r="M875" s="451"/>
      <c r="N875" s="451"/>
      <c r="O875" s="451"/>
      <c r="P875" s="451"/>
      <c r="Q875" s="451"/>
      <c r="R875" s="158"/>
    </row>
    <row r="876" spans="1:18" ht="12.75" customHeight="1" x14ac:dyDescent="0.3">
      <c r="A876" s="95"/>
      <c r="B876" s="95"/>
      <c r="C876" s="36" t="s">
        <v>766</v>
      </c>
      <c r="D876" s="29"/>
      <c r="E876" s="29"/>
      <c r="F876" s="29"/>
      <c r="G876" s="37" t="s">
        <v>542</v>
      </c>
      <c r="H876" s="36" t="s">
        <v>36</v>
      </c>
      <c r="I876" s="521">
        <f>global!I272</f>
        <v>0</v>
      </c>
      <c r="J876" s="450"/>
      <c r="K876" s="450"/>
      <c r="L876" s="450"/>
      <c r="M876" s="451"/>
      <c r="N876" s="451"/>
      <c r="O876" s="451"/>
      <c r="P876" s="451"/>
      <c r="Q876" s="451"/>
      <c r="R876" s="158"/>
    </row>
    <row r="877" spans="1:18" ht="12.75" customHeight="1" x14ac:dyDescent="0.3">
      <c r="A877" s="36"/>
      <c r="B877" s="36" t="s">
        <v>772</v>
      </c>
      <c r="C877" s="29"/>
      <c r="D877" s="29"/>
      <c r="E877" s="29"/>
      <c r="F877" s="29"/>
      <c r="G877" s="37" t="s">
        <v>672</v>
      </c>
      <c r="H877" s="36" t="s">
        <v>2307</v>
      </c>
      <c r="I877" s="521">
        <f>global!I273</f>
        <v>0</v>
      </c>
      <c r="J877" s="450"/>
      <c r="K877" s="450"/>
      <c r="L877" s="450"/>
      <c r="M877" s="451"/>
      <c r="N877" s="451"/>
      <c r="O877" s="451"/>
      <c r="P877" s="451"/>
      <c r="Q877" s="451"/>
      <c r="R877" s="158"/>
    </row>
    <row r="878" spans="1:18" ht="12.75" customHeight="1" x14ac:dyDescent="0.3">
      <c r="A878" s="36"/>
      <c r="B878" s="36" t="s">
        <v>773</v>
      </c>
      <c r="C878" s="29"/>
      <c r="D878" s="29"/>
      <c r="E878" s="29"/>
      <c r="F878" s="29"/>
      <c r="G878" s="37" t="s">
        <v>673</v>
      </c>
      <c r="H878" s="36" t="s">
        <v>2307</v>
      </c>
      <c r="I878" s="521">
        <f>global!I274</f>
        <v>0</v>
      </c>
      <c r="J878" s="450"/>
      <c r="K878" s="450"/>
      <c r="L878" s="450"/>
      <c r="M878" s="451"/>
      <c r="N878" s="451"/>
      <c r="O878" s="451"/>
      <c r="P878" s="451"/>
      <c r="Q878" s="451"/>
      <c r="R878" s="158"/>
    </row>
    <row r="879" spans="1:18" ht="12.75" customHeight="1" x14ac:dyDescent="0.3">
      <c r="A879" s="29"/>
      <c r="B879" s="36" t="s">
        <v>1036</v>
      </c>
      <c r="C879" s="29"/>
      <c r="D879" s="29"/>
      <c r="E879" s="29"/>
      <c r="F879" s="29"/>
      <c r="G879" s="94" t="s">
        <v>877</v>
      </c>
      <c r="H879" s="36" t="s">
        <v>36</v>
      </c>
      <c r="I879" s="521">
        <f>global!I275</f>
        <v>0</v>
      </c>
      <c r="J879" s="450"/>
      <c r="K879" s="450"/>
      <c r="L879" s="450"/>
      <c r="M879" s="451"/>
      <c r="N879" s="451"/>
      <c r="O879" s="451"/>
      <c r="P879" s="451"/>
      <c r="Q879" s="451"/>
      <c r="R879" s="158"/>
    </row>
    <row r="880" spans="1:18" ht="12.75" customHeight="1" x14ac:dyDescent="0.3">
      <c r="A880" s="36"/>
      <c r="B880" s="29" t="s">
        <v>185</v>
      </c>
      <c r="C880" s="29"/>
      <c r="D880" s="29"/>
      <c r="E880" s="95"/>
      <c r="F880" s="95"/>
      <c r="G880" s="37" t="s">
        <v>919</v>
      </c>
      <c r="H880" s="29" t="s">
        <v>36</v>
      </c>
      <c r="I880" s="521">
        <f>global!I276</f>
        <v>0</v>
      </c>
      <c r="J880" s="450"/>
      <c r="K880" s="450"/>
      <c r="L880" s="450">
        <v>1</v>
      </c>
      <c r="M880" s="451">
        <v>1</v>
      </c>
      <c r="N880" s="451">
        <v>1</v>
      </c>
      <c r="O880" s="451">
        <v>1</v>
      </c>
      <c r="P880" s="451"/>
      <c r="Q880" s="451">
        <v>1</v>
      </c>
      <c r="R880" s="158"/>
    </row>
    <row r="881" spans="1:18" ht="12.75" customHeight="1" x14ac:dyDescent="0.3">
      <c r="A881" s="134"/>
      <c r="B881" s="134"/>
      <c r="C881" s="134"/>
      <c r="D881" s="134"/>
      <c r="E881" s="134"/>
      <c r="F881" s="134"/>
      <c r="G881" s="134"/>
      <c r="H881" s="134"/>
      <c r="I881" s="456"/>
      <c r="J881" s="356"/>
      <c r="K881" s="356"/>
      <c r="L881" s="356"/>
      <c r="M881" s="470"/>
      <c r="N881" s="470"/>
      <c r="O881" s="470"/>
      <c r="P881" s="470"/>
      <c r="Q881" s="470"/>
      <c r="R881" s="158"/>
    </row>
    <row r="882" spans="1:18" ht="12.75" customHeight="1" x14ac:dyDescent="0.3">
      <c r="A882" s="44"/>
      <c r="B882" s="5"/>
      <c r="C882" s="29"/>
      <c r="D882" s="29"/>
      <c r="E882" s="29"/>
      <c r="F882" s="29"/>
      <c r="G882" s="29"/>
      <c r="H882" s="29"/>
      <c r="I882" s="342"/>
      <c r="J882" s="339"/>
      <c r="K882" s="339"/>
      <c r="L882" s="339"/>
      <c r="M882" s="282"/>
      <c r="N882" s="282"/>
      <c r="O882" s="282"/>
      <c r="P882" s="282"/>
      <c r="Q882" s="282"/>
      <c r="R882" s="158"/>
    </row>
    <row r="883" spans="1:18" ht="12.75" customHeight="1" x14ac:dyDescent="0.3">
      <c r="A883" s="44"/>
      <c r="B883" s="5"/>
      <c r="C883" s="29"/>
      <c r="D883" s="29"/>
      <c r="E883" s="29"/>
      <c r="F883" s="29"/>
      <c r="G883" s="29"/>
      <c r="H883" s="29"/>
      <c r="I883" s="342"/>
      <c r="J883" s="339"/>
      <c r="K883" s="339"/>
      <c r="L883" s="339"/>
      <c r="M883" s="282"/>
      <c r="N883" s="282"/>
      <c r="O883" s="282"/>
      <c r="P883" s="282"/>
      <c r="Q883" s="282"/>
      <c r="R883" s="158"/>
    </row>
    <row r="884" spans="1:18" ht="12.75" customHeight="1" x14ac:dyDescent="0.3">
      <c r="A884" s="62" t="s">
        <v>1404</v>
      </c>
      <c r="B884" s="5"/>
      <c r="C884" s="29"/>
      <c r="D884" s="29"/>
      <c r="E884" s="29"/>
      <c r="F884" s="29"/>
      <c r="G884" s="29"/>
      <c r="H884" s="29"/>
      <c r="I884" s="342"/>
      <c r="J884" s="339"/>
      <c r="K884" s="339"/>
      <c r="L884" s="339"/>
      <c r="M884" s="282"/>
      <c r="N884" s="282"/>
      <c r="O884" s="282"/>
      <c r="P884" s="282"/>
      <c r="Q884" s="282"/>
      <c r="R884" s="158"/>
    </row>
    <row r="885" spans="1:18" ht="12.75" customHeight="1" x14ac:dyDescent="0.3">
      <c r="A885" s="29"/>
      <c r="B885" s="29"/>
      <c r="C885" s="29"/>
      <c r="D885" s="29"/>
      <c r="E885" s="29"/>
      <c r="F885" s="29"/>
      <c r="G885" s="29"/>
      <c r="H885" s="29"/>
      <c r="I885" s="456"/>
      <c r="J885" s="339"/>
      <c r="K885" s="339"/>
      <c r="L885" s="339"/>
      <c r="M885" s="282"/>
      <c r="N885" s="282"/>
      <c r="O885" s="282"/>
      <c r="P885" s="282"/>
      <c r="Q885" s="282"/>
      <c r="R885" s="158"/>
    </row>
    <row r="886" spans="1:18" ht="12.75" customHeight="1" x14ac:dyDescent="0.3">
      <c r="A886" s="97" t="s">
        <v>1310</v>
      </c>
      <c r="B886" s="97"/>
      <c r="C886" s="97"/>
      <c r="D886" s="97"/>
      <c r="E886" s="97"/>
      <c r="F886" s="97"/>
      <c r="G886" s="97"/>
      <c r="H886" s="97"/>
      <c r="I886" s="340" t="s">
        <v>754</v>
      </c>
      <c r="J886" s="364"/>
      <c r="K886" s="364"/>
      <c r="L886" s="364"/>
      <c r="M886" s="469"/>
      <c r="N886" s="469"/>
      <c r="O886" s="469"/>
      <c r="P886" s="469"/>
      <c r="Q886" s="469"/>
      <c r="R886" s="158"/>
    </row>
    <row r="887" spans="1:18" ht="12.75" customHeight="1" x14ac:dyDescent="0.3">
      <c r="A887" s="29"/>
      <c r="B887" s="29"/>
      <c r="C887" s="29"/>
      <c r="D887" s="29"/>
      <c r="E887" s="29"/>
      <c r="F887" s="29"/>
      <c r="G887" s="29"/>
      <c r="H887" s="29"/>
      <c r="I887" s="342"/>
      <c r="J887" s="339"/>
      <c r="K887" s="339"/>
      <c r="L887" s="339"/>
      <c r="M887" s="282"/>
      <c r="N887" s="282"/>
      <c r="O887" s="282"/>
      <c r="P887" s="282"/>
      <c r="Q887" s="282"/>
      <c r="R887" s="158"/>
    </row>
    <row r="888" spans="1:18" ht="12.75" customHeight="1" x14ac:dyDescent="0.3">
      <c r="A888" s="36" t="s">
        <v>1089</v>
      </c>
      <c r="B888" s="29"/>
      <c r="C888" s="29"/>
      <c r="D888" s="29"/>
      <c r="E888" s="29"/>
      <c r="F888" s="29"/>
      <c r="G888" s="37" t="s">
        <v>1406</v>
      </c>
      <c r="H888" s="36" t="s">
        <v>2315</v>
      </c>
      <c r="I888" s="521">
        <f>global!I284</f>
        <v>0</v>
      </c>
      <c r="J888" s="450"/>
      <c r="K888" s="450"/>
      <c r="L888" s="450"/>
      <c r="M888" s="451"/>
      <c r="N888" s="451"/>
      <c r="O888" s="451"/>
      <c r="P888" s="451"/>
      <c r="Q888" s="451"/>
      <c r="R888" s="158"/>
    </row>
    <row r="889" spans="1:18" ht="12.75" customHeight="1" x14ac:dyDescent="0.3">
      <c r="A889" s="29" t="s">
        <v>4015</v>
      </c>
      <c r="B889" s="29"/>
      <c r="C889" s="29"/>
      <c r="D889" s="29"/>
      <c r="E889" s="29"/>
      <c r="F889" s="29"/>
      <c r="G889" s="37" t="s">
        <v>944</v>
      </c>
      <c r="H889" s="29" t="s">
        <v>2315</v>
      </c>
      <c r="I889" s="521">
        <f>global!I285</f>
        <v>0</v>
      </c>
      <c r="J889" s="450"/>
      <c r="K889" s="450"/>
      <c r="L889" s="450"/>
      <c r="M889" s="451"/>
      <c r="N889" s="451"/>
      <c r="O889" s="451"/>
      <c r="P889" s="451"/>
      <c r="Q889" s="451"/>
      <c r="R889" s="158"/>
    </row>
    <row r="890" spans="1:18" ht="12.75" customHeight="1" x14ac:dyDescent="0.3">
      <c r="A890" s="36" t="s">
        <v>104</v>
      </c>
      <c r="B890" s="29"/>
      <c r="C890" s="29"/>
      <c r="D890" s="29"/>
      <c r="E890" s="29"/>
      <c r="F890" s="29"/>
      <c r="G890" s="37" t="s">
        <v>945</v>
      </c>
      <c r="H890" s="29" t="s">
        <v>2315</v>
      </c>
      <c r="I890" s="521">
        <f>global!I286</f>
        <v>0</v>
      </c>
      <c r="J890" s="450"/>
      <c r="K890" s="450"/>
      <c r="L890" s="450"/>
      <c r="M890" s="451"/>
      <c r="N890" s="451"/>
      <c r="O890" s="451"/>
      <c r="P890" s="451"/>
      <c r="Q890" s="451"/>
      <c r="R890" s="158"/>
    </row>
    <row r="891" spans="1:18" ht="12.75" customHeight="1" x14ac:dyDescent="0.3">
      <c r="A891" s="36" t="s">
        <v>734</v>
      </c>
      <c r="B891" s="29"/>
      <c r="C891" s="29"/>
      <c r="D891" s="29"/>
      <c r="E891" s="29"/>
      <c r="F891" s="29"/>
      <c r="G891" s="37" t="s">
        <v>1407</v>
      </c>
      <c r="H891" s="36" t="s">
        <v>2315</v>
      </c>
      <c r="I891" s="521">
        <f>global!I287</f>
        <v>0</v>
      </c>
      <c r="J891" s="450"/>
      <c r="K891" s="450"/>
      <c r="L891" s="450"/>
      <c r="M891" s="451"/>
      <c r="N891" s="451"/>
      <c r="O891" s="451"/>
      <c r="P891" s="451"/>
      <c r="Q891" s="451"/>
      <c r="R891" s="158"/>
    </row>
    <row r="892" spans="1:18" ht="12.75" customHeight="1" x14ac:dyDescent="0.3">
      <c r="A892" s="36" t="s">
        <v>735</v>
      </c>
      <c r="B892" s="29"/>
      <c r="C892" s="29"/>
      <c r="D892" s="29"/>
      <c r="E892" s="29"/>
      <c r="F892" s="29"/>
      <c r="G892" s="37" t="s">
        <v>1408</v>
      </c>
      <c r="H892" s="36" t="s">
        <v>2315</v>
      </c>
      <c r="I892" s="521">
        <f>global!I288</f>
        <v>0</v>
      </c>
      <c r="J892" s="450"/>
      <c r="K892" s="450"/>
      <c r="L892" s="450"/>
      <c r="M892" s="451"/>
      <c r="N892" s="451"/>
      <c r="O892" s="451"/>
      <c r="P892" s="451"/>
      <c r="Q892" s="451"/>
      <c r="R892" s="158"/>
    </row>
    <row r="893" spans="1:18" ht="12.75" customHeight="1" x14ac:dyDescent="0.3">
      <c r="A893" s="29"/>
      <c r="B893" s="36" t="s">
        <v>1022</v>
      </c>
      <c r="C893" s="29"/>
      <c r="D893" s="29"/>
      <c r="E893" s="29"/>
      <c r="F893" s="29"/>
      <c r="G893" s="37" t="s">
        <v>1409</v>
      </c>
      <c r="H893" s="36" t="s">
        <v>2312</v>
      </c>
      <c r="I893" s="521">
        <f>global!I289</f>
        <v>0</v>
      </c>
      <c r="J893" s="450"/>
      <c r="K893" s="450"/>
      <c r="L893" s="450"/>
      <c r="M893" s="451"/>
      <c r="N893" s="451"/>
      <c r="O893" s="451"/>
      <c r="P893" s="451"/>
      <c r="Q893" s="451"/>
      <c r="R893" s="158"/>
    </row>
    <row r="894" spans="1:18" ht="12.75" customHeight="1" x14ac:dyDescent="0.3">
      <c r="A894" s="29"/>
      <c r="B894" s="36" t="s">
        <v>3991</v>
      </c>
      <c r="C894" s="29"/>
      <c r="D894" s="29"/>
      <c r="E894" s="29"/>
      <c r="F894" s="29"/>
      <c r="G894" s="94" t="s">
        <v>1410</v>
      </c>
      <c r="H894" s="36" t="s">
        <v>36</v>
      </c>
      <c r="I894" s="521">
        <f>global!I290</f>
        <v>0</v>
      </c>
      <c r="J894" s="450"/>
      <c r="K894" s="450"/>
      <c r="L894" s="450"/>
      <c r="M894" s="451"/>
      <c r="N894" s="451"/>
      <c r="O894" s="451"/>
      <c r="P894" s="451"/>
      <c r="Q894" s="451"/>
      <c r="R894" s="158"/>
    </row>
    <row r="895" spans="1:18" ht="12.75" customHeight="1" x14ac:dyDescent="0.3">
      <c r="A895" s="29"/>
      <c r="B895" s="36" t="s">
        <v>3992</v>
      </c>
      <c r="C895" s="29"/>
      <c r="D895" s="29"/>
      <c r="E895" s="29"/>
      <c r="F895" s="29"/>
      <c r="G895" s="94" t="s">
        <v>1411</v>
      </c>
      <c r="H895" s="36" t="s">
        <v>36</v>
      </c>
      <c r="I895" s="521">
        <f>global!I291</f>
        <v>0</v>
      </c>
      <c r="J895" s="450"/>
      <c r="K895" s="450"/>
      <c r="L895" s="450"/>
      <c r="M895" s="451"/>
      <c r="N895" s="451"/>
      <c r="O895" s="451"/>
      <c r="P895" s="451"/>
      <c r="Q895" s="451"/>
      <c r="R895" s="158"/>
    </row>
    <row r="896" spans="1:18" ht="12.75" customHeight="1" x14ac:dyDescent="0.3">
      <c r="A896" s="29"/>
      <c r="B896" s="29"/>
      <c r="C896" s="36" t="s">
        <v>767</v>
      </c>
      <c r="D896" s="29"/>
      <c r="E896" s="29"/>
      <c r="F896" s="29"/>
      <c r="G896" s="94" t="s">
        <v>1412</v>
      </c>
      <c r="H896" s="36" t="s">
        <v>719</v>
      </c>
      <c r="I896" s="521">
        <f>global!I292</f>
        <v>0</v>
      </c>
      <c r="J896" s="450"/>
      <c r="K896" s="450"/>
      <c r="L896" s="450"/>
      <c r="M896" s="451"/>
      <c r="N896" s="451"/>
      <c r="O896" s="451"/>
      <c r="P896" s="451"/>
      <c r="Q896" s="451"/>
      <c r="R896" s="158"/>
    </row>
    <row r="897" spans="1:18" ht="12.75" customHeight="1" x14ac:dyDescent="0.3">
      <c r="A897" s="29"/>
      <c r="B897" s="29"/>
      <c r="C897" s="36" t="s">
        <v>106</v>
      </c>
      <c r="D897" s="29"/>
      <c r="E897" s="29"/>
      <c r="F897" s="29"/>
      <c r="G897" s="94" t="s">
        <v>947</v>
      </c>
      <c r="H897" s="36" t="s">
        <v>719</v>
      </c>
      <c r="I897" s="521">
        <f>global!I293</f>
        <v>0</v>
      </c>
      <c r="J897" s="450"/>
      <c r="K897" s="450"/>
      <c r="L897" s="450">
        <v>990</v>
      </c>
      <c r="M897" s="451">
        <v>990</v>
      </c>
      <c r="N897" s="451"/>
      <c r="O897" s="451">
        <v>990</v>
      </c>
      <c r="P897" s="451">
        <v>990</v>
      </c>
      <c r="Q897" s="451">
        <v>990</v>
      </c>
      <c r="R897" s="158"/>
    </row>
    <row r="898" spans="1:18" ht="12.75" customHeight="1" x14ac:dyDescent="0.3">
      <c r="A898" s="29"/>
      <c r="B898" s="29"/>
      <c r="C898" s="36" t="s">
        <v>105</v>
      </c>
      <c r="D898" s="29"/>
      <c r="E898" s="29"/>
      <c r="F898" s="29"/>
      <c r="G898" s="94" t="s">
        <v>948</v>
      </c>
      <c r="H898" s="36" t="s">
        <v>719</v>
      </c>
      <c r="I898" s="521">
        <f>global!I294</f>
        <v>0</v>
      </c>
      <c r="J898" s="450"/>
      <c r="K898" s="450"/>
      <c r="L898" s="450">
        <v>10</v>
      </c>
      <c r="M898" s="451">
        <v>10</v>
      </c>
      <c r="N898" s="451"/>
      <c r="O898" s="451">
        <v>10</v>
      </c>
      <c r="P898" s="451">
        <v>10</v>
      </c>
      <c r="Q898" s="451">
        <v>10</v>
      </c>
      <c r="R898" s="158"/>
    </row>
    <row r="899" spans="1:18" ht="12.75" customHeight="1" x14ac:dyDescent="0.3">
      <c r="A899" s="29"/>
      <c r="B899" s="29"/>
      <c r="C899" s="36" t="s">
        <v>1053</v>
      </c>
      <c r="D899" s="29"/>
      <c r="E899" s="29"/>
      <c r="F899" s="29"/>
      <c r="G899" s="94" t="s">
        <v>1413</v>
      </c>
      <c r="H899" s="36" t="s">
        <v>721</v>
      </c>
      <c r="I899" s="521">
        <f>global!I295</f>
        <v>0</v>
      </c>
      <c r="J899" s="450"/>
      <c r="K899" s="450"/>
      <c r="L899" s="450"/>
      <c r="M899" s="451"/>
      <c r="N899" s="451"/>
      <c r="O899" s="451"/>
      <c r="P899" s="451"/>
      <c r="Q899" s="451"/>
      <c r="R899" s="158"/>
    </row>
    <row r="900" spans="1:18" ht="12.75" customHeight="1" x14ac:dyDescent="0.3">
      <c r="A900" s="36"/>
      <c r="B900" s="29"/>
      <c r="C900" s="36" t="s">
        <v>3993</v>
      </c>
      <c r="D900" s="95"/>
      <c r="E900" s="95"/>
      <c r="F900" s="95"/>
      <c r="G900" s="94" t="s">
        <v>1414</v>
      </c>
      <c r="H900" s="36" t="s">
        <v>719</v>
      </c>
      <c r="I900" s="521">
        <f>global!I296</f>
        <v>0</v>
      </c>
      <c r="J900" s="450"/>
      <c r="K900" s="450"/>
      <c r="L900" s="450"/>
      <c r="M900" s="451"/>
      <c r="N900" s="451"/>
      <c r="O900" s="451"/>
      <c r="P900" s="451"/>
      <c r="Q900" s="451"/>
      <c r="R900" s="158"/>
    </row>
    <row r="901" spans="1:18" ht="12.75" customHeight="1" x14ac:dyDescent="0.3">
      <c r="A901" s="29"/>
      <c r="B901" s="29"/>
      <c r="C901" s="29" t="s">
        <v>216</v>
      </c>
      <c r="D901" s="29"/>
      <c r="E901" s="29"/>
      <c r="F901" s="29"/>
      <c r="G901" s="36" t="s">
        <v>4025</v>
      </c>
      <c r="H901" s="36" t="s">
        <v>722</v>
      </c>
      <c r="I901" s="521">
        <f>global!I297</f>
        <v>0</v>
      </c>
      <c r="J901" s="450"/>
      <c r="K901" s="450"/>
      <c r="L901" s="450">
        <v>4.9999999999999995E-11</v>
      </c>
      <c r="M901" s="451">
        <v>4.9999999999999995E-11</v>
      </c>
      <c r="N901" s="451">
        <v>4.9999999999999995E-11</v>
      </c>
      <c r="O901" s="451">
        <v>4.9999999999999995E-11</v>
      </c>
      <c r="P901" s="451">
        <v>4.9999999999999995E-11</v>
      </c>
      <c r="Q901" s="451"/>
      <c r="R901" s="158"/>
    </row>
    <row r="902" spans="1:18" ht="12.75" customHeight="1" x14ac:dyDescent="0.3">
      <c r="A902" s="29"/>
      <c r="B902" s="29"/>
      <c r="C902" s="29" t="s">
        <v>217</v>
      </c>
      <c r="D902" s="29"/>
      <c r="E902" s="29"/>
      <c r="F902" s="29"/>
      <c r="G902" s="36" t="s">
        <v>4026</v>
      </c>
      <c r="H902" s="36" t="s">
        <v>722</v>
      </c>
      <c r="I902" s="521">
        <f>global!I298</f>
        <v>0</v>
      </c>
      <c r="J902" s="450"/>
      <c r="K902" s="450"/>
      <c r="L902" s="450">
        <v>9.9999999999999995E-21</v>
      </c>
      <c r="M902" s="451">
        <v>9.9999999999999995E-21</v>
      </c>
      <c r="N902" s="451">
        <v>9.9999999999999995E-21</v>
      </c>
      <c r="O902" s="451">
        <v>9.9999999999999995E-21</v>
      </c>
      <c r="P902" s="451">
        <v>9.9999999999999995E-21</v>
      </c>
      <c r="Q902" s="451"/>
      <c r="R902" s="158"/>
    </row>
    <row r="903" spans="1:18" ht="12.75" customHeight="1" x14ac:dyDescent="0.3">
      <c r="A903" s="29"/>
      <c r="B903" s="29"/>
      <c r="C903" s="36" t="s">
        <v>1054</v>
      </c>
      <c r="D903" s="95"/>
      <c r="E903" s="95"/>
      <c r="F903" s="95"/>
      <c r="G903" s="94" t="s">
        <v>1081</v>
      </c>
      <c r="H903" s="36" t="s">
        <v>722</v>
      </c>
      <c r="I903" s="521">
        <f>global!I299</f>
        <v>0</v>
      </c>
      <c r="J903" s="450"/>
      <c r="K903" s="450"/>
      <c r="L903" s="450"/>
      <c r="M903" s="451"/>
      <c r="N903" s="451"/>
      <c r="O903" s="451"/>
      <c r="P903" s="451"/>
      <c r="Q903" s="451"/>
      <c r="R903" s="158"/>
    </row>
    <row r="904" spans="1:18" ht="12.75" customHeight="1" x14ac:dyDescent="0.3">
      <c r="A904" s="29"/>
      <c r="B904" s="29"/>
      <c r="C904" s="36" t="s">
        <v>1055</v>
      </c>
      <c r="D904" s="29"/>
      <c r="E904" s="29"/>
      <c r="F904" s="29"/>
      <c r="G904" s="94" t="s">
        <v>1079</v>
      </c>
      <c r="H904" s="36" t="s">
        <v>722</v>
      </c>
      <c r="I904" s="521">
        <f>global!I300</f>
        <v>0</v>
      </c>
      <c r="J904" s="450"/>
      <c r="K904" s="450"/>
      <c r="L904" s="450"/>
      <c r="M904" s="451"/>
      <c r="N904" s="451"/>
      <c r="O904" s="451"/>
      <c r="P904" s="451"/>
      <c r="Q904" s="451"/>
      <c r="R904" s="158"/>
    </row>
    <row r="905" spans="1:18" ht="12.75" customHeight="1" x14ac:dyDescent="0.3">
      <c r="A905" s="29"/>
      <c r="B905" s="29"/>
      <c r="C905" s="36" t="s">
        <v>1056</v>
      </c>
      <c r="D905" s="29"/>
      <c r="E905" s="29"/>
      <c r="F905" s="29"/>
      <c r="G905" s="94" t="s">
        <v>1080</v>
      </c>
      <c r="H905" s="36" t="s">
        <v>722</v>
      </c>
      <c r="I905" s="521">
        <f>global!I301</f>
        <v>0</v>
      </c>
      <c r="J905" s="450"/>
      <c r="K905" s="450"/>
      <c r="L905" s="450"/>
      <c r="M905" s="451"/>
      <c r="N905" s="451"/>
      <c r="O905" s="451"/>
      <c r="P905" s="451"/>
      <c r="Q905" s="451"/>
      <c r="R905" s="158"/>
    </row>
    <row r="906" spans="1:18" ht="12.75" customHeight="1" x14ac:dyDescent="0.3">
      <c r="A906" s="36"/>
      <c r="B906" s="29"/>
      <c r="C906" s="36" t="s">
        <v>434</v>
      </c>
      <c r="D906" s="95"/>
      <c r="E906" s="95"/>
      <c r="F906" s="95"/>
      <c r="G906" s="94" t="s">
        <v>1078</v>
      </c>
      <c r="H906" s="36" t="s">
        <v>722</v>
      </c>
      <c r="I906" s="521">
        <f>global!I302</f>
        <v>0</v>
      </c>
      <c r="J906" s="450"/>
      <c r="K906" s="450"/>
      <c r="L906" s="450"/>
      <c r="M906" s="451"/>
      <c r="N906" s="451"/>
      <c r="O906" s="451"/>
      <c r="P906" s="451"/>
      <c r="Q906" s="451"/>
      <c r="R906" s="158"/>
    </row>
    <row r="907" spans="1:18" ht="12.75" customHeight="1" x14ac:dyDescent="0.3">
      <c r="A907" s="36"/>
      <c r="B907" s="29"/>
      <c r="C907" s="36" t="s">
        <v>888</v>
      </c>
      <c r="D907" s="95"/>
      <c r="E907" s="95"/>
      <c r="F907" s="95"/>
      <c r="G907" s="94" t="s">
        <v>1082</v>
      </c>
      <c r="H907" s="36" t="s">
        <v>722</v>
      </c>
      <c r="I907" s="521">
        <f>global!I303</f>
        <v>0</v>
      </c>
      <c r="J907" s="450"/>
      <c r="K907" s="450"/>
      <c r="L907" s="450"/>
      <c r="M907" s="451"/>
      <c r="N907" s="451"/>
      <c r="O907" s="451"/>
      <c r="P907" s="451"/>
      <c r="Q907" s="451"/>
      <c r="R907" s="158"/>
    </row>
    <row r="908" spans="1:18" ht="12.75" customHeight="1" x14ac:dyDescent="0.3">
      <c r="A908" s="92"/>
      <c r="B908" s="92"/>
      <c r="C908" s="92"/>
      <c r="D908" s="92"/>
      <c r="E908" s="92"/>
      <c r="F908" s="92"/>
      <c r="G908" s="93"/>
      <c r="H908" s="133"/>
      <c r="I908" s="523"/>
      <c r="J908" s="450"/>
      <c r="K908" s="450"/>
      <c r="L908" s="450"/>
      <c r="M908" s="451"/>
      <c r="N908" s="451"/>
      <c r="O908" s="451"/>
      <c r="P908" s="451"/>
      <c r="Q908" s="451"/>
      <c r="R908" s="158"/>
    </row>
    <row r="909" spans="1:18" ht="12.75" customHeight="1" x14ac:dyDescent="0.3">
      <c r="A909" s="36" t="s">
        <v>101</v>
      </c>
      <c r="B909" s="29"/>
      <c r="C909" s="29"/>
      <c r="D909" s="29"/>
      <c r="E909" s="29"/>
      <c r="F909" s="29"/>
      <c r="G909" s="36" t="s">
        <v>846</v>
      </c>
      <c r="H909" s="36" t="s">
        <v>2307</v>
      </c>
      <c r="I909" s="521">
        <f>global!I305</f>
        <v>0</v>
      </c>
      <c r="J909" s="450"/>
      <c r="K909" s="450"/>
      <c r="L909" s="450"/>
      <c r="M909" s="451"/>
      <c r="N909" s="451"/>
      <c r="O909" s="451"/>
      <c r="P909" s="451"/>
      <c r="Q909" s="451"/>
      <c r="R909" s="158"/>
    </row>
    <row r="910" spans="1:18" ht="12.75" customHeight="1" x14ac:dyDescent="0.3">
      <c r="A910" s="36"/>
      <c r="B910" s="36" t="s">
        <v>511</v>
      </c>
      <c r="C910" s="29"/>
      <c r="D910" s="29"/>
      <c r="E910" s="29"/>
      <c r="F910" s="29"/>
      <c r="G910" s="37" t="s">
        <v>1205</v>
      </c>
      <c r="H910" s="29" t="s">
        <v>723</v>
      </c>
      <c r="I910" s="521">
        <f>global!I306</f>
        <v>0</v>
      </c>
      <c r="J910" s="450"/>
      <c r="K910" s="450"/>
      <c r="L910" s="450"/>
      <c r="M910" s="451"/>
      <c r="N910" s="451"/>
      <c r="O910" s="451"/>
      <c r="P910" s="451"/>
      <c r="Q910" s="451"/>
      <c r="R910" s="158"/>
    </row>
    <row r="911" spans="1:18" ht="12.75" customHeight="1" x14ac:dyDescent="0.3">
      <c r="A911" s="92"/>
      <c r="B911" s="92"/>
      <c r="C911" s="92"/>
      <c r="D911" s="92"/>
      <c r="E911" s="92"/>
      <c r="F911" s="92"/>
      <c r="G911" s="93"/>
      <c r="H911" s="133"/>
      <c r="I911" s="523"/>
      <c r="J911" s="450"/>
      <c r="K911" s="450"/>
      <c r="L911" s="450"/>
      <c r="M911" s="451"/>
      <c r="N911" s="451"/>
      <c r="O911" s="451"/>
      <c r="P911" s="451"/>
      <c r="Q911" s="451"/>
      <c r="R911" s="158"/>
    </row>
    <row r="912" spans="1:18" ht="12.75" customHeight="1" x14ac:dyDescent="0.3">
      <c r="A912" s="36" t="s">
        <v>102</v>
      </c>
      <c r="B912" s="29"/>
      <c r="C912" s="29"/>
      <c r="D912" s="29"/>
      <c r="E912" s="29"/>
      <c r="F912" s="29"/>
      <c r="G912" s="36" t="s">
        <v>1263</v>
      </c>
      <c r="H912" s="36" t="s">
        <v>2307</v>
      </c>
      <c r="I912" s="521">
        <f>global!I308</f>
        <v>0</v>
      </c>
      <c r="J912" s="450"/>
      <c r="K912" s="450"/>
      <c r="L912" s="450"/>
      <c r="M912" s="451"/>
      <c r="N912" s="451"/>
      <c r="O912" s="451"/>
      <c r="P912" s="451"/>
      <c r="Q912" s="451"/>
      <c r="R912" s="158"/>
    </row>
    <row r="913" spans="1:18" ht="12.75" customHeight="1" x14ac:dyDescent="0.3">
      <c r="A913" s="36" t="s">
        <v>103</v>
      </c>
      <c r="B913" s="29"/>
      <c r="C913" s="29"/>
      <c r="D913" s="29"/>
      <c r="E913" s="29"/>
      <c r="F913" s="29"/>
      <c r="G913" s="36" t="s">
        <v>59</v>
      </c>
      <c r="H913" s="36" t="s">
        <v>2307</v>
      </c>
      <c r="I913" s="521">
        <f>global!I309</f>
        <v>0</v>
      </c>
      <c r="J913" s="450"/>
      <c r="K913" s="450"/>
      <c r="L913" s="450">
        <v>9.9999999999999995E-21</v>
      </c>
      <c r="M913" s="451">
        <v>9.9999999999999995E-21</v>
      </c>
      <c r="N913" s="451"/>
      <c r="O913" s="451">
        <v>9.9999999999999995E-21</v>
      </c>
      <c r="P913" s="451">
        <v>9.9999999999999995E-21</v>
      </c>
      <c r="Q913" s="451">
        <v>9.9999999999999995E-21</v>
      </c>
      <c r="R913" s="158"/>
    </row>
    <row r="914" spans="1:18" ht="12.75" customHeight="1" x14ac:dyDescent="0.3">
      <c r="A914" s="36"/>
      <c r="B914" s="36" t="s">
        <v>512</v>
      </c>
      <c r="C914" s="29"/>
      <c r="D914" s="29"/>
      <c r="E914" s="29"/>
      <c r="F914" s="29"/>
      <c r="G914" s="94" t="s">
        <v>62</v>
      </c>
      <c r="H914" s="29" t="s">
        <v>2316</v>
      </c>
      <c r="I914" s="521">
        <f>global!I310</f>
        <v>0</v>
      </c>
      <c r="J914" s="450"/>
      <c r="K914" s="450"/>
      <c r="L914" s="450">
        <v>94472218.138455927</v>
      </c>
      <c r="M914" s="451">
        <v>94472218.138455927</v>
      </c>
      <c r="N914" s="451"/>
      <c r="O914" s="451">
        <v>94472218.138455927</v>
      </c>
      <c r="P914" s="451">
        <v>94472218.138455927</v>
      </c>
      <c r="Q914" s="451">
        <v>94472218.138455927</v>
      </c>
      <c r="R914" s="158"/>
    </row>
    <row r="915" spans="1:18" ht="12.75" customHeight="1" x14ac:dyDescent="0.3">
      <c r="A915" s="36" t="s">
        <v>129</v>
      </c>
      <c r="B915" s="29"/>
      <c r="C915" s="29"/>
      <c r="D915" s="29"/>
      <c r="E915" s="29"/>
      <c r="F915" s="29"/>
      <c r="G915" s="36" t="s">
        <v>60</v>
      </c>
      <c r="H915" s="36" t="s">
        <v>2307</v>
      </c>
      <c r="I915" s="521">
        <f>global!I311</f>
        <v>0</v>
      </c>
      <c r="J915" s="450"/>
      <c r="K915" s="450"/>
      <c r="L915" s="450"/>
      <c r="M915" s="451"/>
      <c r="N915" s="451"/>
      <c r="O915" s="451"/>
      <c r="P915" s="451"/>
      <c r="Q915" s="451"/>
      <c r="R915" s="158"/>
    </row>
    <row r="916" spans="1:18" ht="12.75" customHeight="1" x14ac:dyDescent="0.3">
      <c r="A916" s="36" t="s">
        <v>130</v>
      </c>
      <c r="B916" s="29"/>
      <c r="C916" s="29"/>
      <c r="D916" s="29"/>
      <c r="E916" s="29"/>
      <c r="F916" s="29"/>
      <c r="G916" s="36" t="s">
        <v>61</v>
      </c>
      <c r="H916" s="36" t="s">
        <v>2307</v>
      </c>
      <c r="I916" s="521">
        <f>global!I312</f>
        <v>0</v>
      </c>
      <c r="J916" s="450"/>
      <c r="K916" s="450"/>
      <c r="L916" s="450"/>
      <c r="M916" s="451"/>
      <c r="N916" s="451"/>
      <c r="O916" s="451"/>
      <c r="P916" s="451"/>
      <c r="Q916" s="451"/>
      <c r="R916" s="158"/>
    </row>
    <row r="917" spans="1:18" ht="12.75" customHeight="1" x14ac:dyDescent="0.3">
      <c r="A917" s="36"/>
      <c r="B917" s="29" t="s">
        <v>693</v>
      </c>
      <c r="C917" s="29"/>
      <c r="D917" s="29"/>
      <c r="E917" s="29"/>
      <c r="F917" s="29"/>
      <c r="G917" s="37" t="s">
        <v>1283</v>
      </c>
      <c r="H917" s="29" t="s">
        <v>2316</v>
      </c>
      <c r="I917" s="521">
        <f>global!I313</f>
        <v>0</v>
      </c>
      <c r="J917" s="450"/>
      <c r="K917" s="450"/>
      <c r="L917" s="450"/>
      <c r="M917" s="451"/>
      <c r="N917" s="451"/>
      <c r="O917" s="451"/>
      <c r="P917" s="451"/>
      <c r="Q917" s="451"/>
      <c r="R917" s="158"/>
    </row>
    <row r="918" spans="1:18" ht="12.75" customHeight="1" x14ac:dyDescent="0.3">
      <c r="A918" s="36"/>
      <c r="B918" s="36"/>
      <c r="C918" s="29" t="s">
        <v>1218</v>
      </c>
      <c r="D918" s="29"/>
      <c r="E918" s="29"/>
      <c r="F918" s="29"/>
      <c r="G918" s="37" t="s">
        <v>807</v>
      </c>
      <c r="H918" s="29" t="s">
        <v>723</v>
      </c>
      <c r="I918" s="521">
        <f>global!I314</f>
        <v>0</v>
      </c>
      <c r="J918" s="450"/>
      <c r="K918" s="450"/>
      <c r="L918" s="450"/>
      <c r="M918" s="451"/>
      <c r="N918" s="451"/>
      <c r="O918" s="451"/>
      <c r="P918" s="451"/>
      <c r="Q918" s="451"/>
      <c r="R918" s="158"/>
    </row>
    <row r="919" spans="1:18" ht="12.75" customHeight="1" x14ac:dyDescent="0.3">
      <c r="A919" s="29"/>
      <c r="B919" s="29"/>
      <c r="C919" s="29"/>
      <c r="D919" s="29"/>
      <c r="E919" s="29"/>
      <c r="F919" s="29"/>
      <c r="G919" s="29"/>
      <c r="H919" s="29"/>
      <c r="I919" s="456"/>
      <c r="J919" s="339"/>
      <c r="K919" s="339"/>
      <c r="L919" s="339"/>
      <c r="M919" s="282"/>
      <c r="N919" s="282"/>
      <c r="O919" s="282"/>
      <c r="P919" s="282"/>
      <c r="Q919" s="282"/>
      <c r="R919" s="158"/>
    </row>
    <row r="920" spans="1:18" ht="12.75" customHeight="1" x14ac:dyDescent="0.3">
      <c r="A920" s="98" t="s">
        <v>209</v>
      </c>
      <c r="B920" s="97"/>
      <c r="C920" s="97"/>
      <c r="D920" s="97"/>
      <c r="E920" s="97"/>
      <c r="F920" s="97"/>
      <c r="G920" s="97"/>
      <c r="H920" s="97"/>
      <c r="I920" s="340" t="s">
        <v>754</v>
      </c>
      <c r="J920" s="364"/>
      <c r="K920" s="364"/>
      <c r="L920" s="364"/>
      <c r="M920" s="469"/>
      <c r="N920" s="469"/>
      <c r="O920" s="469"/>
      <c r="P920" s="469"/>
      <c r="Q920" s="469"/>
      <c r="R920" s="158"/>
    </row>
    <row r="921" spans="1:18" ht="12.75" customHeight="1" x14ac:dyDescent="0.3">
      <c r="A921" s="29"/>
      <c r="B921" s="29"/>
      <c r="C921" s="29"/>
      <c r="D921" s="29"/>
      <c r="E921" s="29"/>
      <c r="F921" s="29"/>
      <c r="G921" s="29"/>
      <c r="H921" s="29"/>
      <c r="I921" s="342"/>
      <c r="J921" s="339"/>
      <c r="K921" s="339"/>
      <c r="L921" s="339"/>
      <c r="M921" s="282"/>
      <c r="N921" s="282"/>
      <c r="O921" s="282"/>
      <c r="P921" s="282"/>
      <c r="Q921" s="282"/>
      <c r="R921" s="158"/>
    </row>
    <row r="922" spans="1:18" ht="12.75" customHeight="1" x14ac:dyDescent="0.3">
      <c r="A922" s="29"/>
      <c r="B922" s="36" t="s">
        <v>986</v>
      </c>
      <c r="C922" s="36"/>
      <c r="D922" s="36"/>
      <c r="E922" s="36"/>
      <c r="F922" s="36"/>
      <c r="G922" s="36" t="s">
        <v>4027</v>
      </c>
      <c r="H922" s="36" t="s">
        <v>36</v>
      </c>
      <c r="I922" s="521">
        <f>global!I318</f>
        <v>0</v>
      </c>
      <c r="J922" s="450"/>
      <c r="K922" s="450"/>
      <c r="L922" s="450">
        <f t="shared" ref="L922:P922" si="25">1-(0.0000258)/(IF(Tm&gt;298,EXP(-6.79*(1-Tm/298))*Pvap25*EXP((H0vap/8.314)*(1/298-1/TEMP.T)),Pvap25*EXP((H0vap/8.314)*(1/298-1/TEMP.T)))+(0.0000258))</f>
        <v>0.99999994002591974</v>
      </c>
      <c r="M922" s="451">
        <f t="shared" si="25"/>
        <v>0.99999994002591974</v>
      </c>
      <c r="N922" s="451">
        <f t="shared" si="25"/>
        <v>0.99999994002591974</v>
      </c>
      <c r="O922" s="451">
        <f t="shared" si="25"/>
        <v>0.99999994002591974</v>
      </c>
      <c r="P922" s="451">
        <f t="shared" si="25"/>
        <v>0.99999994002591974</v>
      </c>
      <c r="Q922" s="451"/>
      <c r="R922" s="158"/>
    </row>
    <row r="923" spans="1:18" ht="12.75" customHeight="1" x14ac:dyDescent="0.3">
      <c r="A923" s="29"/>
      <c r="B923" s="29" t="s">
        <v>615</v>
      </c>
      <c r="C923" s="29"/>
      <c r="D923" s="29"/>
      <c r="E923" s="29"/>
      <c r="F923" s="29"/>
      <c r="G923" s="29" t="s">
        <v>629</v>
      </c>
      <c r="H923" s="29" t="s">
        <v>36</v>
      </c>
      <c r="I923" s="521">
        <f>global!I319</f>
        <v>0</v>
      </c>
      <c r="J923" s="450"/>
      <c r="K923" s="450"/>
      <c r="L923" s="450"/>
      <c r="M923" s="451"/>
      <c r="N923" s="451"/>
      <c r="O923" s="451"/>
      <c r="P923" s="451"/>
      <c r="Q923" s="451"/>
      <c r="R923" s="158"/>
    </row>
    <row r="924" spans="1:18" ht="12.75" customHeight="1" x14ac:dyDescent="0.3">
      <c r="A924" s="29"/>
      <c r="B924" s="29" t="s">
        <v>616</v>
      </c>
      <c r="C924" s="29"/>
      <c r="D924" s="29"/>
      <c r="E924" s="29"/>
      <c r="F924" s="29"/>
      <c r="G924" s="29" t="s">
        <v>630</v>
      </c>
      <c r="H924" s="29" t="s">
        <v>36</v>
      </c>
      <c r="I924" s="521">
        <f>global!I320</f>
        <v>0</v>
      </c>
      <c r="J924" s="450"/>
      <c r="K924" s="450"/>
      <c r="L924" s="450">
        <f t="shared" ref="L924:P924" si="26">(0.0000258)/(IF(Tm&gt;298,EXP(-6.79*(1-Tm/298))*Pvap25*EXP((H0vap/8.314)*(1/298-1/TEMP.T)),Pvap25*EXP((H0vap/8.314)*(1/298-1/TEMP.T)))+(0.0000258))</f>
        <v>5.9974080276737553E-8</v>
      </c>
      <c r="M924" s="451">
        <f t="shared" si="26"/>
        <v>5.9974080276737553E-8</v>
      </c>
      <c r="N924" s="451">
        <f t="shared" si="26"/>
        <v>5.9974080276737553E-8</v>
      </c>
      <c r="O924" s="451">
        <f t="shared" si="26"/>
        <v>5.9974080276737553E-8</v>
      </c>
      <c r="P924" s="451">
        <f t="shared" si="26"/>
        <v>5.9974080276737553E-8</v>
      </c>
      <c r="Q924" s="451"/>
      <c r="R924" s="158"/>
    </row>
    <row r="925" spans="1:18" ht="12.75" customHeight="1" x14ac:dyDescent="0.3">
      <c r="A925" s="29"/>
      <c r="B925" s="29"/>
      <c r="C925" s="36" t="s">
        <v>1043</v>
      </c>
      <c r="D925" s="36"/>
      <c r="E925" s="36"/>
      <c r="F925" s="36"/>
      <c r="G925" s="36" t="s">
        <v>4028</v>
      </c>
      <c r="H925" s="36" t="s">
        <v>36</v>
      </c>
      <c r="I925" s="521">
        <f>global!I321</f>
        <v>0</v>
      </c>
      <c r="J925" s="450"/>
      <c r="K925" s="450"/>
      <c r="L925" s="450"/>
      <c r="M925" s="451"/>
      <c r="N925" s="451"/>
      <c r="O925" s="451"/>
      <c r="P925" s="451"/>
      <c r="Q925" s="451"/>
      <c r="R925" s="158"/>
    </row>
    <row r="926" spans="1:18" ht="12.75" customHeight="1" x14ac:dyDescent="0.3">
      <c r="A926" s="36"/>
      <c r="B926" s="36"/>
      <c r="C926" s="36" t="s">
        <v>513</v>
      </c>
      <c r="D926" s="36"/>
      <c r="E926" s="36"/>
      <c r="F926" s="36"/>
      <c r="G926" s="36" t="s">
        <v>1052</v>
      </c>
      <c r="H926" s="36" t="s">
        <v>2306</v>
      </c>
      <c r="I926" s="521">
        <f>global!I322</f>
        <v>0</v>
      </c>
      <c r="J926" s="450"/>
      <c r="K926" s="450"/>
      <c r="L926" s="450"/>
      <c r="M926" s="451"/>
      <c r="N926" s="451"/>
      <c r="O926" s="451"/>
      <c r="P926" s="451"/>
      <c r="Q926" s="451"/>
      <c r="R926" s="158"/>
    </row>
    <row r="927" spans="1:18" ht="12.75" customHeight="1" x14ac:dyDescent="0.35">
      <c r="A927" s="29"/>
      <c r="B927" s="29"/>
      <c r="C927" s="29" t="s">
        <v>612</v>
      </c>
      <c r="D927" s="29"/>
      <c r="E927" s="29"/>
      <c r="F927" s="29"/>
      <c r="G927" s="29" t="s">
        <v>632</v>
      </c>
      <c r="H927" s="29" t="s">
        <v>2318</v>
      </c>
      <c r="I927" s="521">
        <f>global!I323</f>
        <v>0</v>
      </c>
      <c r="J927" s="450"/>
      <c r="K927" s="450"/>
      <c r="L927" s="450"/>
      <c r="M927" s="451"/>
      <c r="N927" s="451"/>
      <c r="O927" s="451"/>
      <c r="P927" s="451"/>
      <c r="Q927" s="451"/>
      <c r="R927" s="158"/>
    </row>
    <row r="928" spans="1:18" ht="12.75" customHeight="1" x14ac:dyDescent="0.35">
      <c r="A928" s="29"/>
      <c r="B928" s="29"/>
      <c r="C928" s="29" t="s">
        <v>613</v>
      </c>
      <c r="D928" s="29"/>
      <c r="E928" s="29"/>
      <c r="F928" s="29"/>
      <c r="G928" s="29" t="s">
        <v>633</v>
      </c>
      <c r="H928" s="29" t="s">
        <v>2319</v>
      </c>
      <c r="I928" s="521">
        <f>global!I324</f>
        <v>0</v>
      </c>
      <c r="J928" s="450"/>
      <c r="K928" s="450"/>
      <c r="L928" s="450"/>
      <c r="M928" s="451"/>
      <c r="N928" s="451"/>
      <c r="O928" s="451"/>
      <c r="P928" s="451"/>
      <c r="Q928" s="451"/>
      <c r="R928" s="158"/>
    </row>
    <row r="929" spans="1:18" ht="12.75" customHeight="1" x14ac:dyDescent="0.3">
      <c r="A929" s="36"/>
      <c r="B929" s="36" t="s">
        <v>4001</v>
      </c>
      <c r="C929" s="95"/>
      <c r="D929" s="29"/>
      <c r="E929" s="29"/>
      <c r="F929" s="29"/>
      <c r="G929" s="37" t="s">
        <v>107</v>
      </c>
      <c r="H929" s="36" t="s">
        <v>36</v>
      </c>
      <c r="I929" s="521">
        <f>global!I325</f>
        <v>0</v>
      </c>
      <c r="J929" s="450"/>
      <c r="K929" s="450"/>
      <c r="L929" s="450">
        <f t="shared" ref="L929:P929" si="27">1/(1+Kp.susp2T*SUSP.w2T/1000+0.05*Kow*0.001/1000)</f>
        <v>0.99947800366072359</v>
      </c>
      <c r="M929" s="451">
        <f t="shared" si="27"/>
        <v>0.99947800366072359</v>
      </c>
      <c r="N929" s="451">
        <f t="shared" si="27"/>
        <v>0.99947800366072359</v>
      </c>
      <c r="O929" s="451">
        <f t="shared" si="27"/>
        <v>0.99947800366072359</v>
      </c>
      <c r="P929" s="451">
        <f t="shared" si="27"/>
        <v>0.99947800366072359</v>
      </c>
      <c r="Q929" s="451"/>
      <c r="R929" s="158"/>
    </row>
    <row r="930" spans="1:18" ht="12.75" customHeight="1" x14ac:dyDescent="0.3">
      <c r="A930" s="36"/>
      <c r="B930" s="36" t="s">
        <v>1119</v>
      </c>
      <c r="C930" s="95"/>
      <c r="D930" s="29"/>
      <c r="E930" s="29"/>
      <c r="F930" s="29"/>
      <c r="G930" s="37" t="s">
        <v>1120</v>
      </c>
      <c r="H930" s="36" t="s">
        <v>36</v>
      </c>
      <c r="I930" s="521">
        <f>global!I326</f>
        <v>0</v>
      </c>
      <c r="J930" s="450"/>
      <c r="K930" s="450"/>
      <c r="L930" s="450">
        <f t="shared" ref="L930:P930" si="28">1/(1+Kp.susp3T*SUSP.w3T/1000+0.05*Kow*0.001/1000)</f>
        <v>0.99947800366072359</v>
      </c>
      <c r="M930" s="451">
        <f t="shared" si="28"/>
        <v>0.99947800366072359</v>
      </c>
      <c r="N930" s="451">
        <f t="shared" si="28"/>
        <v>0.99947800366072359</v>
      </c>
      <c r="O930" s="451">
        <f t="shared" si="28"/>
        <v>0.99947800366072359</v>
      </c>
      <c r="P930" s="451">
        <f t="shared" si="28"/>
        <v>0.99947800366072359</v>
      </c>
      <c r="Q930" s="451"/>
      <c r="R930" s="158"/>
    </row>
    <row r="931" spans="1:18" ht="12.75" customHeight="1" x14ac:dyDescent="0.3">
      <c r="A931" s="36"/>
      <c r="B931" s="29"/>
      <c r="C931" s="36" t="s">
        <v>4002</v>
      </c>
      <c r="D931" s="29"/>
      <c r="E931" s="29"/>
      <c r="F931" s="29"/>
      <c r="G931" s="94" t="s">
        <v>1121</v>
      </c>
      <c r="H931" s="36" t="s">
        <v>2320</v>
      </c>
      <c r="I931" s="521">
        <f>global!I327</f>
        <v>0</v>
      </c>
      <c r="J931" s="450"/>
      <c r="K931" s="450"/>
      <c r="L931" s="450"/>
      <c r="M931" s="451"/>
      <c r="N931" s="451"/>
      <c r="O931" s="451"/>
      <c r="P931" s="451"/>
      <c r="Q931" s="451"/>
      <c r="R931" s="158"/>
    </row>
    <row r="932" spans="1:18" ht="12.75" customHeight="1" x14ac:dyDescent="0.3">
      <c r="A932" s="36"/>
      <c r="B932" s="29"/>
      <c r="C932" s="36" t="s">
        <v>1122</v>
      </c>
      <c r="D932" s="29"/>
      <c r="E932" s="29"/>
      <c r="F932" s="29"/>
      <c r="G932" s="94" t="s">
        <v>1123</v>
      </c>
      <c r="H932" s="36" t="s">
        <v>2320</v>
      </c>
      <c r="I932" s="521">
        <f>global!I328</f>
        <v>0</v>
      </c>
      <c r="J932" s="450"/>
      <c r="K932" s="450"/>
      <c r="L932" s="450"/>
      <c r="M932" s="451"/>
      <c r="N932" s="451"/>
      <c r="O932" s="451"/>
      <c r="P932" s="451"/>
      <c r="Q932" s="451"/>
      <c r="R932" s="158"/>
    </row>
    <row r="933" spans="1:18" ht="12.75" customHeight="1" x14ac:dyDescent="0.3">
      <c r="A933" s="36"/>
      <c r="B933" s="29"/>
      <c r="C933" s="36" t="s">
        <v>4003</v>
      </c>
      <c r="D933" s="29"/>
      <c r="E933" s="29"/>
      <c r="F933" s="29"/>
      <c r="G933" s="94" t="s">
        <v>1460</v>
      </c>
      <c r="H933" s="36" t="s">
        <v>36</v>
      </c>
      <c r="I933" s="521">
        <f>global!I329</f>
        <v>0</v>
      </c>
      <c r="J933" s="450"/>
      <c r="K933" s="450"/>
      <c r="L933" s="450"/>
      <c r="M933" s="451"/>
      <c r="N933" s="451"/>
      <c r="O933" s="451"/>
      <c r="P933" s="451"/>
      <c r="Q933" s="451"/>
      <c r="R933" s="158"/>
    </row>
    <row r="934" spans="1:18" ht="12.75" customHeight="1" x14ac:dyDescent="0.3">
      <c r="A934" s="36"/>
      <c r="B934" s="29"/>
      <c r="C934" s="36" t="s">
        <v>1124</v>
      </c>
      <c r="D934" s="29"/>
      <c r="E934" s="29"/>
      <c r="F934" s="29"/>
      <c r="G934" s="94" t="s">
        <v>1461</v>
      </c>
      <c r="H934" s="36" t="s">
        <v>36</v>
      </c>
      <c r="I934" s="521">
        <f>global!I330</f>
        <v>0</v>
      </c>
      <c r="J934" s="450"/>
      <c r="K934" s="450"/>
      <c r="L934" s="450"/>
      <c r="M934" s="451"/>
      <c r="N934" s="451"/>
      <c r="O934" s="451"/>
      <c r="P934" s="451"/>
      <c r="Q934" s="451"/>
      <c r="R934" s="158"/>
    </row>
    <row r="935" spans="1:18" ht="12.75" customHeight="1" x14ac:dyDescent="0.3">
      <c r="A935" s="36"/>
      <c r="B935" s="29"/>
      <c r="C935" s="36" t="s">
        <v>4004</v>
      </c>
      <c r="D935" s="29"/>
      <c r="E935" s="29"/>
      <c r="F935" s="29"/>
      <c r="G935" s="94" t="s">
        <v>1125</v>
      </c>
      <c r="H935" s="36" t="s">
        <v>2305</v>
      </c>
      <c r="I935" s="521">
        <f>global!I331</f>
        <v>0</v>
      </c>
      <c r="J935" s="450"/>
      <c r="K935" s="450"/>
      <c r="L935" s="450"/>
      <c r="M935" s="451"/>
      <c r="N935" s="451"/>
      <c r="O935" s="451"/>
      <c r="P935" s="451"/>
      <c r="Q935" s="451"/>
      <c r="R935" s="158"/>
    </row>
    <row r="936" spans="1:18" ht="12.75" customHeight="1" x14ac:dyDescent="0.3">
      <c r="A936" s="36"/>
      <c r="B936" s="29"/>
      <c r="C936" s="36" t="s">
        <v>1126</v>
      </c>
      <c r="D936" s="29"/>
      <c r="E936" s="29"/>
      <c r="F936" s="29"/>
      <c r="G936" s="94" t="s">
        <v>1127</v>
      </c>
      <c r="H936" s="36" t="s">
        <v>2305</v>
      </c>
      <c r="I936" s="521">
        <f>global!I332</f>
        <v>0</v>
      </c>
      <c r="J936" s="450"/>
      <c r="K936" s="450"/>
      <c r="L936" s="450"/>
      <c r="M936" s="451"/>
      <c r="N936" s="451"/>
      <c r="O936" s="451"/>
      <c r="P936" s="451"/>
      <c r="Q936" s="451"/>
      <c r="R936" s="158"/>
    </row>
    <row r="937" spans="1:18" ht="12.75" customHeight="1" x14ac:dyDescent="0.3">
      <c r="A937" s="36"/>
      <c r="B937" s="29"/>
      <c r="C937" s="36" t="s">
        <v>4005</v>
      </c>
      <c r="D937" s="29"/>
      <c r="E937" s="29"/>
      <c r="F937" s="29"/>
      <c r="G937" s="94" t="s">
        <v>1128</v>
      </c>
      <c r="H937" s="36" t="s">
        <v>1039</v>
      </c>
      <c r="I937" s="521">
        <f>global!I333</f>
        <v>0</v>
      </c>
      <c r="J937" s="450"/>
      <c r="K937" s="450"/>
      <c r="L937" s="450"/>
      <c r="M937" s="451"/>
      <c r="N937" s="451"/>
      <c r="O937" s="451"/>
      <c r="P937" s="451"/>
      <c r="Q937" s="451"/>
      <c r="R937" s="158"/>
    </row>
    <row r="938" spans="1:18" ht="12.75" customHeight="1" x14ac:dyDescent="0.3">
      <c r="A938" s="36"/>
      <c r="B938" s="29"/>
      <c r="C938" s="36" t="s">
        <v>1143</v>
      </c>
      <c r="D938" s="29"/>
      <c r="E938" s="29"/>
      <c r="F938" s="29"/>
      <c r="G938" s="94" t="s">
        <v>1129</v>
      </c>
      <c r="H938" s="36" t="s">
        <v>1039</v>
      </c>
      <c r="I938" s="521">
        <f>global!I334</f>
        <v>0</v>
      </c>
      <c r="J938" s="450"/>
      <c r="K938" s="450"/>
      <c r="L938" s="450"/>
      <c r="M938" s="451"/>
      <c r="N938" s="451"/>
      <c r="O938" s="451"/>
      <c r="P938" s="451"/>
      <c r="Q938" s="451"/>
      <c r="R938" s="158"/>
    </row>
    <row r="939" spans="1:18" ht="12.75" customHeight="1" x14ac:dyDescent="0.3">
      <c r="A939" s="36"/>
      <c r="B939" s="29"/>
      <c r="C939" s="36" t="s">
        <v>4006</v>
      </c>
      <c r="D939" s="29"/>
      <c r="E939" s="29"/>
      <c r="F939" s="29"/>
      <c r="G939" s="94" t="s">
        <v>1144</v>
      </c>
      <c r="H939" s="36" t="s">
        <v>1038</v>
      </c>
      <c r="I939" s="521">
        <f>global!I335</f>
        <v>0</v>
      </c>
      <c r="J939" s="450"/>
      <c r="K939" s="450"/>
      <c r="L939" s="450"/>
      <c r="M939" s="451"/>
      <c r="N939" s="451"/>
      <c r="O939" s="451"/>
      <c r="P939" s="451"/>
      <c r="Q939" s="451"/>
      <c r="R939" s="158"/>
    </row>
    <row r="940" spans="1:18" ht="12.75" customHeight="1" x14ac:dyDescent="0.3">
      <c r="A940" s="36"/>
      <c r="B940" s="29"/>
      <c r="C940" s="36" t="s">
        <v>1130</v>
      </c>
      <c r="D940" s="29"/>
      <c r="E940" s="29"/>
      <c r="F940" s="29"/>
      <c r="G940" s="94" t="s">
        <v>1131</v>
      </c>
      <c r="H940" s="36" t="s">
        <v>1038</v>
      </c>
      <c r="I940" s="521">
        <f>global!I336</f>
        <v>0</v>
      </c>
      <c r="J940" s="450"/>
      <c r="K940" s="450"/>
      <c r="L940" s="450"/>
      <c r="M940" s="451"/>
      <c r="N940" s="451"/>
      <c r="O940" s="451"/>
      <c r="P940" s="451"/>
      <c r="Q940" s="451"/>
      <c r="R940" s="158"/>
    </row>
    <row r="941" spans="1:18" ht="12.75" customHeight="1" x14ac:dyDescent="0.3">
      <c r="A941" s="36"/>
      <c r="B941" s="36" t="s">
        <v>1375</v>
      </c>
      <c r="C941" s="95"/>
      <c r="D941" s="29"/>
      <c r="E941" s="29"/>
      <c r="F941" s="29"/>
      <c r="G941" s="94" t="s">
        <v>113</v>
      </c>
      <c r="H941" s="36" t="s">
        <v>36</v>
      </c>
      <c r="I941" s="521">
        <f>global!I337</f>
        <v>0</v>
      </c>
      <c r="J941" s="450"/>
      <c r="K941" s="450"/>
      <c r="L941" s="450"/>
      <c r="M941" s="451"/>
      <c r="N941" s="451"/>
      <c r="O941" s="451"/>
      <c r="P941" s="451"/>
      <c r="Q941" s="451"/>
      <c r="R941" s="158"/>
    </row>
    <row r="942" spans="1:18" ht="12.75" customHeight="1" x14ac:dyDescent="0.3">
      <c r="A942" s="36"/>
      <c r="B942" s="29"/>
      <c r="C942" s="36" t="s">
        <v>1376</v>
      </c>
      <c r="D942" s="29"/>
      <c r="E942" s="29"/>
      <c r="F942" s="29"/>
      <c r="G942" s="94" t="s">
        <v>178</v>
      </c>
      <c r="H942" s="36" t="s">
        <v>2320</v>
      </c>
      <c r="I942" s="521">
        <f>global!I338</f>
        <v>0</v>
      </c>
      <c r="J942" s="450"/>
      <c r="K942" s="450"/>
      <c r="L942" s="450"/>
      <c r="M942" s="451"/>
      <c r="N942" s="451"/>
      <c r="O942" s="451"/>
      <c r="P942" s="451"/>
      <c r="Q942" s="451"/>
      <c r="R942" s="158"/>
    </row>
    <row r="943" spans="1:18" ht="12.75" customHeight="1" x14ac:dyDescent="0.3">
      <c r="A943" s="36"/>
      <c r="B943" s="29"/>
      <c r="C943" s="36" t="s">
        <v>546</v>
      </c>
      <c r="D943" s="29"/>
      <c r="E943" s="29"/>
      <c r="F943" s="29"/>
      <c r="G943" s="94" t="s">
        <v>114</v>
      </c>
      <c r="H943" s="36" t="s">
        <v>36</v>
      </c>
      <c r="I943" s="521">
        <f>global!I339</f>
        <v>0</v>
      </c>
      <c r="J943" s="450"/>
      <c r="K943" s="450"/>
      <c r="L943" s="450"/>
      <c r="M943" s="451"/>
      <c r="N943" s="451"/>
      <c r="O943" s="451"/>
      <c r="P943" s="451"/>
      <c r="Q943" s="451"/>
      <c r="R943" s="158"/>
    </row>
    <row r="944" spans="1:18" ht="12.75" customHeight="1" x14ac:dyDescent="0.3">
      <c r="A944" s="36"/>
      <c r="B944" s="36" t="s">
        <v>1372</v>
      </c>
      <c r="C944" s="95"/>
      <c r="D944" s="29"/>
      <c r="E944" s="29"/>
      <c r="F944" s="29"/>
      <c r="G944" s="94" t="s">
        <v>4029</v>
      </c>
      <c r="H944" s="36" t="s">
        <v>36</v>
      </c>
      <c r="I944" s="521">
        <f>global!I340</f>
        <v>0</v>
      </c>
      <c r="J944" s="450"/>
      <c r="K944" s="450"/>
      <c r="L944" s="450"/>
      <c r="M944" s="451"/>
      <c r="N944" s="451"/>
      <c r="O944" s="451"/>
      <c r="P944" s="451"/>
      <c r="Q944" s="451"/>
      <c r="R944" s="158"/>
    </row>
    <row r="945" spans="1:18" ht="12.75" customHeight="1" x14ac:dyDescent="0.3">
      <c r="A945" s="36"/>
      <c r="B945" s="36" t="s">
        <v>48</v>
      </c>
      <c r="C945" s="95"/>
      <c r="D945" s="29"/>
      <c r="E945" s="29"/>
      <c r="F945" s="29"/>
      <c r="G945" s="94" t="s">
        <v>478</v>
      </c>
      <c r="H945" s="36" t="s">
        <v>36</v>
      </c>
      <c r="I945" s="521">
        <f>global!I341</f>
        <v>0</v>
      </c>
      <c r="J945" s="450"/>
      <c r="K945" s="450"/>
      <c r="L945" s="450"/>
      <c r="M945" s="451"/>
      <c r="N945" s="451"/>
      <c r="O945" s="451"/>
      <c r="P945" s="451"/>
      <c r="Q945" s="451"/>
      <c r="R945" s="158"/>
    </row>
    <row r="946" spans="1:18" ht="12.75" customHeight="1" x14ac:dyDescent="0.3">
      <c r="A946" s="36"/>
      <c r="B946" s="36" t="s">
        <v>1301</v>
      </c>
      <c r="C946" s="95"/>
      <c r="D946" s="29"/>
      <c r="E946" s="29"/>
      <c r="F946" s="29"/>
      <c r="G946" s="94" t="s">
        <v>477</v>
      </c>
      <c r="H946" s="36" t="s">
        <v>36</v>
      </c>
      <c r="I946" s="521">
        <f>global!I342</f>
        <v>0</v>
      </c>
      <c r="J946" s="450"/>
      <c r="K946" s="450"/>
      <c r="L946" s="450"/>
      <c r="M946" s="451"/>
      <c r="N946" s="451"/>
      <c r="O946" s="451"/>
      <c r="P946" s="451"/>
      <c r="Q946" s="451"/>
      <c r="R946" s="158"/>
    </row>
    <row r="947" spans="1:18" ht="12.75" customHeight="1" x14ac:dyDescent="0.3">
      <c r="A947" s="36"/>
      <c r="B947" s="29"/>
      <c r="C947" s="36" t="s">
        <v>1373</v>
      </c>
      <c r="D947" s="29"/>
      <c r="E947" s="29"/>
      <c r="F947" s="29"/>
      <c r="G947" s="94" t="s">
        <v>180</v>
      </c>
      <c r="H947" s="36" t="s">
        <v>2320</v>
      </c>
      <c r="I947" s="521">
        <f>global!I343</f>
        <v>0</v>
      </c>
      <c r="J947" s="450"/>
      <c r="K947" s="450"/>
      <c r="L947" s="450"/>
      <c r="M947" s="451"/>
      <c r="N947" s="451"/>
      <c r="O947" s="451"/>
      <c r="P947" s="451"/>
      <c r="Q947" s="451"/>
      <c r="R947" s="158"/>
    </row>
    <row r="948" spans="1:18" ht="12.75" customHeight="1" x14ac:dyDescent="0.3">
      <c r="A948" s="36"/>
      <c r="B948" s="29"/>
      <c r="C948" s="36" t="s">
        <v>1374</v>
      </c>
      <c r="D948" s="29"/>
      <c r="E948" s="29"/>
      <c r="F948" s="29"/>
      <c r="G948" s="94" t="s">
        <v>1044</v>
      </c>
      <c r="H948" s="36" t="s">
        <v>36</v>
      </c>
      <c r="I948" s="521">
        <f>global!I344</f>
        <v>0</v>
      </c>
      <c r="J948" s="450"/>
      <c r="K948" s="450"/>
      <c r="L948" s="450"/>
      <c r="M948" s="451"/>
      <c r="N948" s="451"/>
      <c r="O948" s="451"/>
      <c r="P948" s="451"/>
      <c r="Q948" s="451"/>
      <c r="R948" s="158"/>
    </row>
    <row r="949" spans="1:18" ht="12.75" customHeight="1" x14ac:dyDescent="0.3">
      <c r="A949" s="29"/>
      <c r="B949" s="29"/>
      <c r="C949" s="29"/>
      <c r="D949" s="29"/>
      <c r="E949" s="29"/>
      <c r="F949" s="29"/>
      <c r="G949" s="29"/>
      <c r="H949" s="29"/>
      <c r="I949" s="456"/>
      <c r="J949" s="339"/>
      <c r="K949" s="339"/>
      <c r="L949" s="339"/>
      <c r="M949" s="282"/>
      <c r="N949" s="282"/>
      <c r="O949" s="282"/>
      <c r="P949" s="282"/>
      <c r="Q949" s="282"/>
      <c r="R949" s="158"/>
    </row>
    <row r="950" spans="1:18" ht="12.75" customHeight="1" x14ac:dyDescent="0.3">
      <c r="A950" s="98" t="s">
        <v>1311</v>
      </c>
      <c r="B950" s="97"/>
      <c r="C950" s="97"/>
      <c r="D950" s="97"/>
      <c r="E950" s="97"/>
      <c r="F950" s="97"/>
      <c r="G950" s="97"/>
      <c r="H950" s="97"/>
      <c r="I950" s="340" t="s">
        <v>754</v>
      </c>
      <c r="J950" s="364"/>
      <c r="K950" s="364"/>
      <c r="L950" s="364"/>
      <c r="M950" s="469"/>
      <c r="N950" s="469"/>
      <c r="O950" s="469"/>
      <c r="P950" s="469"/>
      <c r="Q950" s="469"/>
      <c r="R950" s="158"/>
    </row>
    <row r="951" spans="1:18" ht="12.75" customHeight="1" x14ac:dyDescent="0.3">
      <c r="A951" s="29"/>
      <c r="B951" s="29"/>
      <c r="C951" s="29"/>
      <c r="D951" s="29"/>
      <c r="E951" s="29"/>
      <c r="F951" s="29"/>
      <c r="G951" s="29"/>
      <c r="H951" s="29"/>
      <c r="I951" s="342"/>
      <c r="J951" s="339"/>
      <c r="K951" s="339"/>
      <c r="L951" s="339"/>
      <c r="M951" s="282"/>
      <c r="N951" s="282"/>
      <c r="O951" s="282"/>
      <c r="P951" s="282"/>
      <c r="Q951" s="282"/>
      <c r="R951" s="158"/>
    </row>
    <row r="952" spans="1:18" ht="12.75" customHeight="1" x14ac:dyDescent="0.3">
      <c r="A952" s="36" t="s">
        <v>93</v>
      </c>
      <c r="B952" s="29"/>
      <c r="C952" s="29"/>
      <c r="D952" s="29"/>
      <c r="E952" s="29"/>
      <c r="F952" s="29"/>
      <c r="G952" s="36" t="s">
        <v>1264</v>
      </c>
      <c r="H952" s="36" t="s">
        <v>2307</v>
      </c>
      <c r="I952" s="521">
        <f>global!I348</f>
        <v>0</v>
      </c>
      <c r="J952" s="450"/>
      <c r="K952" s="450"/>
      <c r="L952" s="450">
        <f>((DRYDEPaerosol.T+AerosolWashout.T+GasWashout.T+GASABS.aT.wT)/HEIGHT.aT)*AREAFRAC.wT</f>
        <v>2.4159699375918701E-8</v>
      </c>
      <c r="M952" s="450">
        <f>((DRYDEPaerosol.T+AerosolWashout.T+GasWashout.T+GASABS.aT.wT)/HEIGHT.aT)*AREAFRAC.wT</f>
        <v>2.4159699375918701E-8</v>
      </c>
      <c r="N952" s="450">
        <f>((DRYDEPaerosol.T+AerosolWashout.T+GasWashout.T+GASABS.aT.wT)/HEIGHT.aT)*AREAFRAC.wT</f>
        <v>2.4159699375918701E-8</v>
      </c>
      <c r="O952" s="450">
        <f>((DRYDEPaerosol.T+AerosolWashout.T+GasWashout.T+GASABS.aT.wT)/HEIGHT.aT)*AREAFRAC.wT</f>
        <v>2.4159699375918701E-8</v>
      </c>
      <c r="P952" s="450">
        <f>((DRYDEPaerosol.T+AerosolWashout.T+GasWashout.T+GASABS.aT.wT)/HEIGHT.aT)*AREAFRAC.wT</f>
        <v>2.4159699375918701E-8</v>
      </c>
      <c r="Q952" s="451"/>
      <c r="R952" s="158"/>
    </row>
    <row r="953" spans="1:18" ht="12.75" customHeight="1" x14ac:dyDescent="0.3">
      <c r="A953" s="36" t="s">
        <v>94</v>
      </c>
      <c r="B953" s="29"/>
      <c r="C953" s="29"/>
      <c r="D953" s="29"/>
      <c r="E953" s="29"/>
      <c r="F953" s="29"/>
      <c r="G953" s="36" t="s">
        <v>1367</v>
      </c>
      <c r="H953" s="36" t="s">
        <v>2307</v>
      </c>
      <c r="I953" s="521">
        <f>global!I349</f>
        <v>0</v>
      </c>
      <c r="J953" s="450"/>
      <c r="K953" s="450"/>
      <c r="L953" s="450">
        <f>((DRYDEPaerosol.T+AerosolWashout.T+GasWashout.T+GASABS.aT.sT)/HEIGHT.aT)*AREAFRAC.sT</f>
        <v>1.6603185821234123E-9</v>
      </c>
      <c r="M953" s="450">
        <f>((DRYDEPaerosol.T+AerosolWashout.T+GasWashout.T+GASABS.aT.sT)/HEIGHT.aT)*AREAFRAC.sT</f>
        <v>1.6603185821234123E-9</v>
      </c>
      <c r="N953" s="450">
        <f>((DRYDEPaerosol.T+AerosolWashout.T+GasWashout.T+GASABS.aT.sT)/HEIGHT.aT)*AREAFRAC.sT</f>
        <v>1.6603185821234123E-9</v>
      </c>
      <c r="O953" s="450">
        <f>((DRYDEPaerosol.T+AerosolWashout.T+GasWashout.T+GASABS.aT.sT)/HEIGHT.aT)*AREAFRAC.sT</f>
        <v>1.6603185821234123E-9</v>
      </c>
      <c r="P953" s="450">
        <f>((DRYDEPaerosol.T+AerosolWashout.T+GasWashout.T+GASABS.aT.sT)/HEIGHT.aT)*AREAFRAC.sT</f>
        <v>1.6603185821234123E-9</v>
      </c>
      <c r="Q953" s="451"/>
      <c r="R953" s="158"/>
    </row>
    <row r="954" spans="1:18" ht="12.75" customHeight="1" x14ac:dyDescent="0.3">
      <c r="A954" s="36" t="s">
        <v>95</v>
      </c>
      <c r="B954" s="29"/>
      <c r="C954" s="29"/>
      <c r="D954" s="29"/>
      <c r="E954" s="29"/>
      <c r="F954" s="29"/>
      <c r="G954" s="36" t="s">
        <v>1265</v>
      </c>
      <c r="H954" s="36" t="s">
        <v>2307</v>
      </c>
      <c r="I954" s="521">
        <f>global!I350</f>
        <v>0</v>
      </c>
      <c r="J954" s="450"/>
      <c r="K954" s="450"/>
      <c r="L954" s="450"/>
      <c r="M954" s="451"/>
      <c r="N954" s="451"/>
      <c r="O954" s="451"/>
      <c r="P954" s="451"/>
      <c r="Q954" s="451"/>
      <c r="R954" s="158"/>
    </row>
    <row r="955" spans="1:18" ht="12.75" customHeight="1" x14ac:dyDescent="0.3">
      <c r="A955" s="36" t="s">
        <v>96</v>
      </c>
      <c r="B955" s="29"/>
      <c r="C955" s="29"/>
      <c r="D955" s="29"/>
      <c r="E955" s="29"/>
      <c r="F955" s="29"/>
      <c r="G955" s="36" t="s">
        <v>1368</v>
      </c>
      <c r="H955" s="36" t="s">
        <v>2307</v>
      </c>
      <c r="I955" s="521">
        <f>global!I351</f>
        <v>0</v>
      </c>
      <c r="J955" s="450"/>
      <c r="K955" s="450"/>
      <c r="L955" s="450"/>
      <c r="M955" s="451"/>
      <c r="N955" s="451"/>
      <c r="O955" s="451"/>
      <c r="P955" s="451"/>
      <c r="Q955" s="451"/>
      <c r="R955" s="158"/>
    </row>
    <row r="956" spans="1:18" ht="12.75" customHeight="1" x14ac:dyDescent="0.3">
      <c r="A956" s="36"/>
      <c r="B956" s="36" t="s">
        <v>2265</v>
      </c>
      <c r="C956" s="29"/>
      <c r="D956" s="29"/>
      <c r="E956" s="29"/>
      <c r="F956" s="29"/>
      <c r="G956" s="37" t="s">
        <v>2293</v>
      </c>
      <c r="H956" s="36" t="s">
        <v>2307</v>
      </c>
      <c r="I956" s="521">
        <f>global!I352</f>
        <v>0</v>
      </c>
      <c r="J956" s="450"/>
      <c r="K956" s="450"/>
      <c r="L956" s="450"/>
      <c r="M956" s="451"/>
      <c r="N956" s="451"/>
      <c r="O956" s="451"/>
      <c r="P956" s="451"/>
      <c r="Q956" s="451"/>
      <c r="R956" s="158"/>
    </row>
    <row r="957" spans="1:18" ht="12.75" customHeight="1" x14ac:dyDescent="0.3">
      <c r="A957" s="36"/>
      <c r="B957" s="36"/>
      <c r="C957" s="29" t="s">
        <v>2266</v>
      </c>
      <c r="D957" s="29"/>
      <c r="E957" s="29"/>
      <c r="F957" s="29"/>
      <c r="G957" s="37" t="s">
        <v>2294</v>
      </c>
      <c r="H957" s="36" t="s">
        <v>2307</v>
      </c>
      <c r="I957" s="521">
        <f>global!I353</f>
        <v>0</v>
      </c>
      <c r="J957" s="450"/>
      <c r="K957" s="450"/>
      <c r="L957" s="450"/>
      <c r="M957" s="451"/>
      <c r="N957" s="451"/>
      <c r="O957" s="451"/>
      <c r="P957" s="451"/>
      <c r="Q957" s="451"/>
      <c r="R957" s="158"/>
    </row>
    <row r="958" spans="1:18" ht="12.75" customHeight="1" x14ac:dyDescent="0.3">
      <c r="A958" s="36"/>
      <c r="B958" s="36"/>
      <c r="C958" s="36"/>
      <c r="D958" s="36" t="s">
        <v>3976</v>
      </c>
      <c r="E958" s="29"/>
      <c r="F958" s="29"/>
      <c r="G958" s="37" t="s">
        <v>428</v>
      </c>
      <c r="H958" s="36" t="s">
        <v>2307</v>
      </c>
      <c r="I958" s="521">
        <f>global!I354</f>
        <v>0</v>
      </c>
      <c r="J958" s="450"/>
      <c r="K958" s="450"/>
      <c r="L958" s="450"/>
      <c r="M958" s="451"/>
      <c r="N958" s="451"/>
      <c r="O958" s="451"/>
      <c r="P958" s="451"/>
      <c r="Q958" s="451"/>
      <c r="R958" s="158"/>
    </row>
    <row r="959" spans="1:18" ht="12.75" customHeight="1" x14ac:dyDescent="0.3">
      <c r="A959" s="36"/>
      <c r="B959" s="36"/>
      <c r="C959" s="36"/>
      <c r="D959" s="36" t="s">
        <v>3977</v>
      </c>
      <c r="E959" s="29"/>
      <c r="F959" s="29"/>
      <c r="G959" s="37" t="s">
        <v>429</v>
      </c>
      <c r="H959" s="36" t="s">
        <v>2307</v>
      </c>
      <c r="I959" s="521">
        <f>global!I355</f>
        <v>0</v>
      </c>
      <c r="J959" s="450"/>
      <c r="K959" s="450"/>
      <c r="L959" s="450"/>
      <c r="M959" s="451"/>
      <c r="N959" s="451"/>
      <c r="O959" s="451"/>
      <c r="P959" s="451"/>
      <c r="Q959" s="451"/>
      <c r="R959" s="158"/>
    </row>
    <row r="960" spans="1:18" ht="12.75" customHeight="1" x14ac:dyDescent="0.3">
      <c r="A960" s="36"/>
      <c r="B960" s="29" t="s">
        <v>929</v>
      </c>
      <c r="C960" s="29"/>
      <c r="D960" s="29"/>
      <c r="E960" s="29"/>
      <c r="F960" s="29"/>
      <c r="G960" s="29" t="s">
        <v>430</v>
      </c>
      <c r="H960" s="29" t="s">
        <v>2191</v>
      </c>
      <c r="I960" s="521">
        <f>global!I356</f>
        <v>0</v>
      </c>
      <c r="J960" s="450"/>
      <c r="K960" s="450"/>
      <c r="L960" s="450"/>
      <c r="M960" s="451"/>
      <c r="N960" s="451"/>
      <c r="O960" s="451"/>
      <c r="P960" s="451"/>
      <c r="Q960" s="451"/>
      <c r="R960" s="158"/>
    </row>
    <row r="961" spans="1:18" ht="12.75" customHeight="1" x14ac:dyDescent="0.3">
      <c r="A961" s="36"/>
      <c r="B961" s="29" t="s">
        <v>931</v>
      </c>
      <c r="C961" s="29"/>
      <c r="D961" s="29"/>
      <c r="E961" s="29"/>
      <c r="F961" s="29"/>
      <c r="G961" s="29" t="s">
        <v>431</v>
      </c>
      <c r="H961" s="29" t="s">
        <v>2191</v>
      </c>
      <c r="I961" s="521">
        <f>global!I357</f>
        <v>0</v>
      </c>
      <c r="J961" s="450"/>
      <c r="K961" s="450"/>
      <c r="L961" s="450"/>
      <c r="M961" s="451"/>
      <c r="N961" s="451"/>
      <c r="O961" s="451"/>
      <c r="P961" s="451"/>
      <c r="Q961" s="451"/>
      <c r="R961" s="158"/>
    </row>
    <row r="962" spans="1:18" ht="12.75" customHeight="1" x14ac:dyDescent="0.3">
      <c r="A962" s="36"/>
      <c r="B962" s="36" t="s">
        <v>493</v>
      </c>
      <c r="C962" s="29"/>
      <c r="D962" s="29"/>
      <c r="E962" s="29"/>
      <c r="F962" s="29"/>
      <c r="G962" s="94" t="s">
        <v>953</v>
      </c>
      <c r="H962" s="30" t="s">
        <v>2321</v>
      </c>
      <c r="I962" s="521">
        <f>global!I358</f>
        <v>0</v>
      </c>
      <c r="J962" s="450"/>
      <c r="K962" s="450"/>
      <c r="L962" s="450">
        <f>AEROSOLdeprate.T*FRaers.aT</f>
        <v>3.508309826608759E-11</v>
      </c>
      <c r="M962" s="450">
        <f>AEROSOLdeprate.T*FRaers.aT</f>
        <v>3.508309826608759E-11</v>
      </c>
      <c r="N962" s="450">
        <f>AEROSOLdeprate.T*FRaers.aT</f>
        <v>3.508309826608759E-11</v>
      </c>
      <c r="O962" s="450">
        <f>AEROSOLdeprate.T*FRaers.aT</f>
        <v>3.508309826608759E-11</v>
      </c>
      <c r="P962" s="450">
        <f>AEROSOLdeprate.T*FRaers.aT</f>
        <v>3.508309826608759E-11</v>
      </c>
      <c r="Q962" s="451"/>
      <c r="R962" s="158"/>
    </row>
    <row r="963" spans="1:18" ht="12.75" customHeight="1" x14ac:dyDescent="0.3">
      <c r="A963" s="36"/>
      <c r="B963" s="36" t="s">
        <v>745</v>
      </c>
      <c r="C963" s="29"/>
      <c r="D963" s="29"/>
      <c r="E963" s="29"/>
      <c r="F963" s="29"/>
      <c r="G963" s="37" t="s">
        <v>1400</v>
      </c>
      <c r="H963" s="95" t="s">
        <v>2321</v>
      </c>
      <c r="I963" s="521">
        <f>global!I359</f>
        <v>0</v>
      </c>
      <c r="J963" s="450"/>
      <c r="K963" s="450"/>
      <c r="L963" s="450">
        <f t="shared" ref="L963:P963" si="29">(1-FRgas.aT)*COLLECTeff.T*RAINrate.T</f>
        <v>2.9021810153787824E-10</v>
      </c>
      <c r="M963" s="451">
        <f t="shared" si="29"/>
        <v>2.9021810153787824E-10</v>
      </c>
      <c r="N963" s="451">
        <f t="shared" si="29"/>
        <v>2.9021810153787824E-10</v>
      </c>
      <c r="O963" s="451">
        <f t="shared" si="29"/>
        <v>2.9021810153787824E-10</v>
      </c>
      <c r="P963" s="451">
        <f t="shared" si="29"/>
        <v>2.9021810153787824E-10</v>
      </c>
      <c r="Q963" s="451"/>
      <c r="R963" s="158"/>
    </row>
    <row r="964" spans="1:18" ht="12.75" customHeight="1" x14ac:dyDescent="0.3">
      <c r="A964" s="36"/>
      <c r="B964" s="36" t="s">
        <v>746</v>
      </c>
      <c r="C964" s="29"/>
      <c r="D964" s="29"/>
      <c r="E964" s="29"/>
      <c r="F964" s="29"/>
      <c r="G964" s="37" t="s">
        <v>1401</v>
      </c>
      <c r="H964" s="95" t="s">
        <v>2321</v>
      </c>
      <c r="I964" s="521">
        <f>global!I360</f>
        <v>0</v>
      </c>
      <c r="J964" s="450"/>
      <c r="K964" s="450"/>
      <c r="L964" s="450">
        <f t="shared" ref="L964:P964" si="30">FRgas.aT*RAINrate.T/Kaw.T</f>
        <v>2.434715610459077E-7</v>
      </c>
      <c r="M964" s="451">
        <f t="shared" si="30"/>
        <v>2.434715610459077E-7</v>
      </c>
      <c r="N964" s="451">
        <f t="shared" si="30"/>
        <v>2.434715610459077E-7</v>
      </c>
      <c r="O964" s="451">
        <f t="shared" si="30"/>
        <v>2.434715610459077E-7</v>
      </c>
      <c r="P964" s="451">
        <f t="shared" si="30"/>
        <v>2.434715610459077E-7</v>
      </c>
      <c r="Q964" s="451"/>
      <c r="R964" s="158"/>
    </row>
    <row r="965" spans="1:18" ht="12.75" customHeight="1" x14ac:dyDescent="0.3">
      <c r="A965" s="36"/>
      <c r="B965" s="29"/>
      <c r="C965" s="95" t="s">
        <v>747</v>
      </c>
      <c r="D965" s="95"/>
      <c r="E965" s="95"/>
      <c r="F965" s="95"/>
      <c r="G965" s="94" t="s">
        <v>954</v>
      </c>
      <c r="H965" s="30" t="s">
        <v>2321</v>
      </c>
      <c r="I965" s="521">
        <f>global!I361</f>
        <v>0</v>
      </c>
      <c r="J965" s="450"/>
      <c r="K965" s="450"/>
      <c r="L965" s="450"/>
      <c r="M965" s="451"/>
      <c r="N965" s="451"/>
      <c r="O965" s="451"/>
      <c r="P965" s="451"/>
      <c r="Q965" s="451"/>
      <c r="R965" s="158"/>
    </row>
    <row r="966" spans="1:18" ht="12.75" customHeight="1" x14ac:dyDescent="0.3">
      <c r="A966" s="36"/>
      <c r="B966" s="29"/>
      <c r="C966" s="36" t="s">
        <v>748</v>
      </c>
      <c r="D966" s="95"/>
      <c r="E966" s="95"/>
      <c r="F966" s="95"/>
      <c r="G966" s="94" t="s">
        <v>955</v>
      </c>
      <c r="H966" s="95" t="s">
        <v>2324</v>
      </c>
      <c r="I966" s="521">
        <f>global!I362</f>
        <v>0</v>
      </c>
      <c r="J966" s="450"/>
      <c r="K966" s="450"/>
      <c r="L966" s="450"/>
      <c r="M966" s="451"/>
      <c r="N966" s="451"/>
      <c r="O966" s="451"/>
      <c r="P966" s="451"/>
      <c r="Q966" s="451"/>
      <c r="R966" s="158"/>
    </row>
    <row r="967" spans="1:18" ht="12.75" customHeight="1" x14ac:dyDescent="0.3">
      <c r="A967" s="36"/>
      <c r="B967" s="29"/>
      <c r="C967" s="36" t="s">
        <v>444</v>
      </c>
      <c r="D967" s="29"/>
      <c r="E967" s="29"/>
      <c r="F967" s="29"/>
      <c r="G967" s="94" t="s">
        <v>956</v>
      </c>
      <c r="H967" s="36" t="s">
        <v>36</v>
      </c>
      <c r="I967" s="521">
        <f>global!I363</f>
        <v>0</v>
      </c>
      <c r="J967" s="450"/>
      <c r="K967" s="450"/>
      <c r="L967" s="450"/>
      <c r="M967" s="451"/>
      <c r="N967" s="451"/>
      <c r="O967" s="451"/>
      <c r="P967" s="451"/>
      <c r="Q967" s="451"/>
      <c r="R967" s="158"/>
    </row>
    <row r="968" spans="1:18" ht="12.75" customHeight="1" x14ac:dyDescent="0.3">
      <c r="A968" s="36"/>
      <c r="B968" s="36" t="s">
        <v>2217</v>
      </c>
      <c r="C968" s="29"/>
      <c r="D968" s="29"/>
      <c r="E968" s="95"/>
      <c r="F968" s="95"/>
      <c r="G968" s="37" t="s">
        <v>2295</v>
      </c>
      <c r="H968" s="36" t="s">
        <v>2322</v>
      </c>
      <c r="I968" s="521">
        <f>global!I364</f>
        <v>0</v>
      </c>
      <c r="J968" s="450"/>
      <c r="K968" s="450"/>
      <c r="L968" s="450"/>
      <c r="M968" s="451"/>
      <c r="N968" s="451"/>
      <c r="O968" s="451"/>
      <c r="P968" s="451"/>
      <c r="Q968" s="451"/>
      <c r="R968" s="158"/>
    </row>
    <row r="969" spans="1:18" ht="12.75" customHeight="1" x14ac:dyDescent="0.3">
      <c r="A969" s="36"/>
      <c r="B969" s="36" t="s">
        <v>2218</v>
      </c>
      <c r="C969" s="29"/>
      <c r="D969" s="29"/>
      <c r="E969" s="95"/>
      <c r="F969" s="95"/>
      <c r="G969" s="37" t="s">
        <v>2296</v>
      </c>
      <c r="H969" s="36" t="s">
        <v>2322</v>
      </c>
      <c r="I969" s="521">
        <f>global!I365</f>
        <v>0</v>
      </c>
      <c r="J969" s="450"/>
      <c r="K969" s="450"/>
      <c r="L969" s="450"/>
      <c r="M969" s="451"/>
      <c r="N969" s="451"/>
      <c r="O969" s="451"/>
      <c r="P969" s="451"/>
      <c r="Q969" s="451"/>
      <c r="R969" s="158"/>
    </row>
    <row r="970" spans="1:18" ht="12.75" customHeight="1" x14ac:dyDescent="0.3">
      <c r="A970" s="36"/>
      <c r="B970" s="36" t="s">
        <v>2269</v>
      </c>
      <c r="C970" s="29"/>
      <c r="D970" s="29"/>
      <c r="E970" s="29"/>
      <c r="F970" s="29"/>
      <c r="G970" s="37" t="s">
        <v>2297</v>
      </c>
      <c r="H970" s="36" t="s">
        <v>2322</v>
      </c>
      <c r="I970" s="521">
        <f>global!I366</f>
        <v>0</v>
      </c>
      <c r="J970" s="450"/>
      <c r="K970" s="450"/>
      <c r="L970" s="450"/>
      <c r="M970" s="451"/>
      <c r="N970" s="451"/>
      <c r="O970" s="451"/>
      <c r="P970" s="451"/>
      <c r="Q970" s="451"/>
      <c r="R970" s="158"/>
    </row>
    <row r="971" spans="1:18" ht="12.75" customHeight="1" x14ac:dyDescent="0.3">
      <c r="A971" s="36"/>
      <c r="B971" s="36" t="s">
        <v>2271</v>
      </c>
      <c r="C971" s="29"/>
      <c r="D971" s="29"/>
      <c r="E971" s="95"/>
      <c r="F971" s="95"/>
      <c r="G971" s="37" t="s">
        <v>2298</v>
      </c>
      <c r="H971" s="36" t="s">
        <v>2322</v>
      </c>
      <c r="I971" s="521">
        <f>global!I367</f>
        <v>0</v>
      </c>
      <c r="J971" s="450"/>
      <c r="K971" s="450"/>
      <c r="L971" s="450"/>
      <c r="M971" s="451"/>
      <c r="N971" s="451"/>
      <c r="O971" s="451"/>
      <c r="P971" s="451"/>
      <c r="Q971" s="451"/>
      <c r="R971" s="158"/>
    </row>
    <row r="972" spans="1:18" ht="12.75" customHeight="1" x14ac:dyDescent="0.3">
      <c r="A972" s="29"/>
      <c r="B972" s="36"/>
      <c r="C972" s="29" t="s">
        <v>1077</v>
      </c>
      <c r="D972" s="29"/>
      <c r="E972" s="29"/>
      <c r="F972" s="29"/>
      <c r="G972" s="29" t="s">
        <v>4030</v>
      </c>
      <c r="H972" s="30" t="s">
        <v>2321</v>
      </c>
      <c r="I972" s="521">
        <f>global!I368</f>
        <v>0</v>
      </c>
      <c r="J972" s="450"/>
      <c r="K972" s="450"/>
      <c r="L972" s="450"/>
      <c r="M972" s="451"/>
      <c r="N972" s="451"/>
      <c r="O972" s="451"/>
      <c r="P972" s="451"/>
      <c r="Q972" s="451"/>
      <c r="R972" s="158"/>
    </row>
    <row r="973" spans="1:18" ht="12.75" customHeight="1" x14ac:dyDescent="0.3">
      <c r="A973" s="29"/>
      <c r="B973" s="36"/>
      <c r="C973" s="29" t="s">
        <v>1048</v>
      </c>
      <c r="D973" s="29"/>
      <c r="E973" s="29"/>
      <c r="F973" s="29"/>
      <c r="G973" s="29" t="s">
        <v>4031</v>
      </c>
      <c r="H973" s="30" t="s">
        <v>2321</v>
      </c>
      <c r="I973" s="521">
        <f>global!I369</f>
        <v>0</v>
      </c>
      <c r="J973" s="450"/>
      <c r="K973" s="450"/>
      <c r="L973" s="450"/>
      <c r="M973" s="451"/>
      <c r="N973" s="451"/>
      <c r="O973" s="451"/>
      <c r="P973" s="451"/>
      <c r="Q973" s="451"/>
      <c r="R973" s="158"/>
    </row>
    <row r="974" spans="1:18" ht="12.75" customHeight="1" x14ac:dyDescent="0.3">
      <c r="A974" s="36"/>
      <c r="B974" s="29"/>
      <c r="C974" s="29"/>
      <c r="D974" s="95" t="s">
        <v>705</v>
      </c>
      <c r="E974" s="29"/>
      <c r="F974" s="29"/>
      <c r="G974" s="37" t="s">
        <v>1051</v>
      </c>
      <c r="H974" s="30" t="s">
        <v>2321</v>
      </c>
      <c r="I974" s="521">
        <f>global!I370</f>
        <v>0</v>
      </c>
      <c r="J974" s="450"/>
      <c r="K974" s="450"/>
      <c r="L974" s="450"/>
      <c r="M974" s="451"/>
      <c r="N974" s="451"/>
      <c r="O974" s="451"/>
      <c r="P974" s="451"/>
      <c r="Q974" s="451"/>
      <c r="R974" s="158"/>
    </row>
    <row r="975" spans="1:18" ht="12.75" customHeight="1" x14ac:dyDescent="0.3">
      <c r="A975" s="29"/>
      <c r="B975" s="36"/>
      <c r="C975" s="29" t="s">
        <v>1049</v>
      </c>
      <c r="D975" s="29"/>
      <c r="E975" s="95"/>
      <c r="F975" s="95"/>
      <c r="G975" s="29" t="s">
        <v>4032</v>
      </c>
      <c r="H975" s="30" t="s">
        <v>2321</v>
      </c>
      <c r="I975" s="521">
        <f>global!I371</f>
        <v>0</v>
      </c>
      <c r="J975" s="450"/>
      <c r="K975" s="450"/>
      <c r="L975" s="450"/>
      <c r="M975" s="451"/>
      <c r="N975" s="451"/>
      <c r="O975" s="451"/>
      <c r="P975" s="451"/>
      <c r="Q975" s="451"/>
      <c r="R975" s="158"/>
    </row>
    <row r="976" spans="1:18" ht="12.75" customHeight="1" x14ac:dyDescent="0.3">
      <c r="A976" s="29"/>
      <c r="B976" s="36"/>
      <c r="C976" s="29" t="s">
        <v>872</v>
      </c>
      <c r="D976" s="29"/>
      <c r="E976" s="29"/>
      <c r="F976" s="29"/>
      <c r="G976" s="29" t="s">
        <v>4033</v>
      </c>
      <c r="H976" s="95" t="s">
        <v>2321</v>
      </c>
      <c r="I976" s="521">
        <f>global!I372</f>
        <v>0</v>
      </c>
      <c r="J976" s="450"/>
      <c r="K976" s="450"/>
      <c r="L976" s="450">
        <v>2.5308522804345867E-8</v>
      </c>
      <c r="M976" s="451">
        <v>2.5308522804345867E-8</v>
      </c>
      <c r="N976" s="451">
        <v>2.5308522804345867E-8</v>
      </c>
      <c r="O976" s="451">
        <v>2.5308522804345867E-8</v>
      </c>
      <c r="P976" s="451"/>
      <c r="Q976" s="451">
        <v>2.5308522804345867E-8</v>
      </c>
      <c r="R976" s="158"/>
    </row>
    <row r="977" spans="1:18" ht="12.75" customHeight="1" x14ac:dyDescent="0.3">
      <c r="A977" s="29"/>
      <c r="B977" s="36"/>
      <c r="C977" s="29" t="s">
        <v>185</v>
      </c>
      <c r="D977" s="29"/>
      <c r="E977" s="95"/>
      <c r="F977" s="29"/>
      <c r="G977" s="37" t="s">
        <v>811</v>
      </c>
      <c r="H977" s="29" t="s">
        <v>36</v>
      </c>
      <c r="I977" s="521">
        <f>global!I373</f>
        <v>0</v>
      </c>
      <c r="J977" s="450"/>
      <c r="K977" s="450"/>
      <c r="L977" s="450">
        <v>1</v>
      </c>
      <c r="M977" s="451">
        <v>1</v>
      </c>
      <c r="N977" s="451">
        <v>1</v>
      </c>
      <c r="O977" s="451">
        <v>1</v>
      </c>
      <c r="P977" s="451"/>
      <c r="Q977" s="451">
        <v>1</v>
      </c>
      <c r="R977" s="158"/>
    </row>
    <row r="978" spans="1:18" ht="12.75" customHeight="1" x14ac:dyDescent="0.3">
      <c r="A978" s="29"/>
      <c r="B978" s="29"/>
      <c r="C978" s="29"/>
      <c r="D978" s="29"/>
      <c r="E978" s="29"/>
      <c r="F978" s="29"/>
      <c r="G978" s="29"/>
      <c r="H978" s="29"/>
      <c r="I978" s="526"/>
      <c r="J978" s="458"/>
      <c r="K978" s="458"/>
      <c r="L978" s="458"/>
      <c r="M978" s="459"/>
      <c r="N978" s="459"/>
      <c r="O978" s="459"/>
      <c r="P978" s="459"/>
      <c r="Q978" s="459"/>
      <c r="R978" s="158"/>
    </row>
    <row r="979" spans="1:18" ht="12.75" customHeight="1" x14ac:dyDescent="0.3">
      <c r="A979" s="36" t="s">
        <v>97</v>
      </c>
      <c r="B979" s="29"/>
      <c r="C979" s="29"/>
      <c r="D979" s="29"/>
      <c r="E979" s="29"/>
      <c r="F979" s="29"/>
      <c r="G979" s="37" t="s">
        <v>1135</v>
      </c>
      <c r="H979" s="36" t="s">
        <v>2307</v>
      </c>
      <c r="I979" s="521">
        <f>global!I375</f>
        <v>0</v>
      </c>
      <c r="J979" s="450"/>
      <c r="K979" s="450"/>
      <c r="L979" s="450"/>
      <c r="M979" s="451"/>
      <c r="N979" s="451"/>
      <c r="O979" s="451"/>
      <c r="P979" s="451"/>
      <c r="Q979" s="451"/>
      <c r="R979" s="158"/>
    </row>
    <row r="980" spans="1:18" ht="12.75" customHeight="1" x14ac:dyDescent="0.3">
      <c r="A980" s="36" t="s">
        <v>98</v>
      </c>
      <c r="B980" s="29"/>
      <c r="C980" s="29"/>
      <c r="D980" s="29"/>
      <c r="E980" s="29"/>
      <c r="F980" s="29"/>
      <c r="G980" s="37" t="s">
        <v>1136</v>
      </c>
      <c r="H980" s="36" t="s">
        <v>2307</v>
      </c>
      <c r="I980" s="521">
        <f>global!I376</f>
        <v>0</v>
      </c>
      <c r="J980" s="450"/>
      <c r="K980" s="450"/>
      <c r="L980" s="450"/>
      <c r="M980" s="451"/>
      <c r="N980" s="451"/>
      <c r="O980" s="451"/>
      <c r="P980" s="451"/>
      <c r="Q980" s="451"/>
      <c r="R980" s="158"/>
    </row>
    <row r="981" spans="1:18" ht="12.75" customHeight="1" x14ac:dyDescent="0.3">
      <c r="A981" s="36"/>
      <c r="B981" s="36" t="s">
        <v>2272</v>
      </c>
      <c r="C981" s="29"/>
      <c r="D981" s="29"/>
      <c r="E981" s="29"/>
      <c r="F981" s="29"/>
      <c r="G981" s="37" t="s">
        <v>2299</v>
      </c>
      <c r="H981" s="36" t="s">
        <v>2322</v>
      </c>
      <c r="I981" s="521">
        <f>global!I377</f>
        <v>0</v>
      </c>
      <c r="J981" s="450"/>
      <c r="K981" s="450"/>
      <c r="L981" s="450"/>
      <c r="M981" s="451"/>
      <c r="N981" s="451"/>
      <c r="O981" s="451"/>
      <c r="P981" s="451"/>
      <c r="Q981" s="451"/>
      <c r="R981" s="158"/>
    </row>
    <row r="982" spans="1:18" ht="12.75" customHeight="1" x14ac:dyDescent="0.3">
      <c r="A982" s="36"/>
      <c r="B982" s="36" t="s">
        <v>2273</v>
      </c>
      <c r="C982" s="29"/>
      <c r="D982" s="29"/>
      <c r="E982" s="29"/>
      <c r="F982" s="29"/>
      <c r="G982" s="37" t="s">
        <v>2300</v>
      </c>
      <c r="H982" s="36" t="s">
        <v>2322</v>
      </c>
      <c r="I982" s="521">
        <f>global!I378</f>
        <v>0</v>
      </c>
      <c r="J982" s="450"/>
      <c r="K982" s="450"/>
      <c r="L982" s="450"/>
      <c r="M982" s="451"/>
      <c r="N982" s="451"/>
      <c r="O982" s="451"/>
      <c r="P982" s="451"/>
      <c r="Q982" s="451"/>
      <c r="R982" s="158"/>
    </row>
    <row r="983" spans="1:18" ht="12.75" customHeight="1" x14ac:dyDescent="0.3">
      <c r="A983" s="29"/>
      <c r="B983" s="36"/>
      <c r="C983" s="36" t="s">
        <v>1228</v>
      </c>
      <c r="D983" s="29"/>
      <c r="E983" s="29"/>
      <c r="F983" s="29"/>
      <c r="G983" s="94" t="s">
        <v>157</v>
      </c>
      <c r="H983" s="30" t="s">
        <v>2321</v>
      </c>
      <c r="I983" s="521">
        <f>global!I379</f>
        <v>0</v>
      </c>
      <c r="J983" s="450"/>
      <c r="K983" s="450"/>
      <c r="L983" s="450"/>
      <c r="M983" s="451"/>
      <c r="N983" s="451"/>
      <c r="O983" s="451"/>
      <c r="P983" s="451"/>
      <c r="Q983" s="451"/>
      <c r="R983" s="158"/>
    </row>
    <row r="984" spans="1:18" ht="12.75" customHeight="1" x14ac:dyDescent="0.3">
      <c r="A984" s="36"/>
      <c r="B984" s="29"/>
      <c r="C984" s="36"/>
      <c r="D984" s="36" t="s">
        <v>582</v>
      </c>
      <c r="E984" s="95"/>
      <c r="F984" s="95"/>
      <c r="G984" s="94" t="s">
        <v>778</v>
      </c>
      <c r="H984" s="30" t="s">
        <v>2321</v>
      </c>
      <c r="I984" s="521">
        <f>global!I380</f>
        <v>0</v>
      </c>
      <c r="J984" s="450"/>
      <c r="K984" s="450"/>
      <c r="L984" s="450"/>
      <c r="M984" s="451"/>
      <c r="N984" s="451"/>
      <c r="O984" s="451"/>
      <c r="P984" s="451"/>
      <c r="Q984" s="451"/>
      <c r="R984" s="158"/>
    </row>
    <row r="985" spans="1:18" ht="12.75" customHeight="1" x14ac:dyDescent="0.3">
      <c r="A985" s="36"/>
      <c r="B985" s="29"/>
      <c r="C985" s="36"/>
      <c r="D985" s="36" t="s">
        <v>565</v>
      </c>
      <c r="E985" s="95"/>
      <c r="F985" s="95"/>
      <c r="G985" s="94" t="s">
        <v>780</v>
      </c>
      <c r="H985" s="30" t="s">
        <v>2321</v>
      </c>
      <c r="I985" s="521">
        <f>global!I381</f>
        <v>0</v>
      </c>
      <c r="J985" s="450"/>
      <c r="K985" s="450"/>
      <c r="L985" s="450"/>
      <c r="M985" s="451"/>
      <c r="N985" s="451"/>
      <c r="O985" s="451"/>
      <c r="P985" s="451"/>
      <c r="Q985" s="451"/>
      <c r="R985" s="158"/>
    </row>
    <row r="986" spans="1:18" ht="12.75" customHeight="1" x14ac:dyDescent="0.3">
      <c r="A986" s="29"/>
      <c r="B986" s="36"/>
      <c r="C986" s="36"/>
      <c r="D986" s="36"/>
      <c r="E986" s="36" t="s">
        <v>803</v>
      </c>
      <c r="F986" s="36"/>
      <c r="G986" s="94" t="s">
        <v>779</v>
      </c>
      <c r="H986" s="36" t="s">
        <v>2323</v>
      </c>
      <c r="I986" s="521">
        <f>global!I382</f>
        <v>0</v>
      </c>
      <c r="J986" s="450"/>
      <c r="K986" s="450"/>
      <c r="L986" s="450"/>
      <c r="M986" s="451"/>
      <c r="N986" s="451"/>
      <c r="O986" s="451"/>
      <c r="P986" s="451"/>
      <c r="Q986" s="451"/>
      <c r="R986" s="158"/>
    </row>
    <row r="987" spans="1:18" ht="12.75" customHeight="1" x14ac:dyDescent="0.3">
      <c r="A987" s="29"/>
      <c r="B987" s="29" t="s">
        <v>2274</v>
      </c>
      <c r="C987" s="95"/>
      <c r="D987" s="95"/>
      <c r="E987" s="29"/>
      <c r="F987" s="29"/>
      <c r="G987" s="37" t="s">
        <v>2301</v>
      </c>
      <c r="H987" s="36" t="s">
        <v>2322</v>
      </c>
      <c r="I987" s="521">
        <f>global!I383</f>
        <v>0</v>
      </c>
      <c r="J987" s="450"/>
      <c r="K987" s="450"/>
      <c r="L987" s="450"/>
      <c r="M987" s="451"/>
      <c r="N987" s="451"/>
      <c r="O987" s="451"/>
      <c r="P987" s="451"/>
      <c r="Q987" s="451"/>
      <c r="R987" s="158"/>
    </row>
    <row r="988" spans="1:18" ht="12.75" customHeight="1" x14ac:dyDescent="0.3">
      <c r="A988" s="29"/>
      <c r="B988" s="29" t="s">
        <v>2275</v>
      </c>
      <c r="C988" s="95"/>
      <c r="D988" s="95"/>
      <c r="E988" s="29"/>
      <c r="F988" s="29"/>
      <c r="G988" s="37" t="s">
        <v>2302</v>
      </c>
      <c r="H988" s="36" t="s">
        <v>2322</v>
      </c>
      <c r="I988" s="521">
        <f>global!I384</f>
        <v>0</v>
      </c>
      <c r="J988" s="450"/>
      <c r="K988" s="450"/>
      <c r="L988" s="450"/>
      <c r="M988" s="451"/>
      <c r="N988" s="451"/>
      <c r="O988" s="451"/>
      <c r="P988" s="451"/>
      <c r="Q988" s="451"/>
      <c r="R988" s="158"/>
    </row>
    <row r="989" spans="1:18" ht="12.75" customHeight="1" x14ac:dyDescent="0.3">
      <c r="A989" s="29"/>
      <c r="B989" s="36"/>
      <c r="C989" s="29" t="s">
        <v>1076</v>
      </c>
      <c r="D989" s="29"/>
      <c r="E989" s="29"/>
      <c r="F989" s="29"/>
      <c r="G989" s="29" t="s">
        <v>1173</v>
      </c>
      <c r="H989" s="30" t="s">
        <v>2321</v>
      </c>
      <c r="I989" s="521">
        <f>global!I385</f>
        <v>0</v>
      </c>
      <c r="J989" s="450"/>
      <c r="K989" s="450"/>
      <c r="L989" s="450"/>
      <c r="M989" s="451"/>
      <c r="N989" s="451"/>
      <c r="O989" s="451"/>
      <c r="P989" s="451"/>
      <c r="Q989" s="451"/>
      <c r="R989" s="158"/>
    </row>
    <row r="990" spans="1:18" ht="12.75" customHeight="1" x14ac:dyDescent="0.3">
      <c r="A990" s="29"/>
      <c r="B990" s="36"/>
      <c r="C990" s="29" t="s">
        <v>1230</v>
      </c>
      <c r="D990" s="29"/>
      <c r="E990" s="29"/>
      <c r="F990" s="29"/>
      <c r="G990" s="29" t="s">
        <v>49</v>
      </c>
      <c r="H990" s="30" t="s">
        <v>2321</v>
      </c>
      <c r="I990" s="521">
        <f>global!I386</f>
        <v>0</v>
      </c>
      <c r="J990" s="450"/>
      <c r="K990" s="450"/>
      <c r="L990" s="450"/>
      <c r="M990" s="451"/>
      <c r="N990" s="451"/>
      <c r="O990" s="451"/>
      <c r="P990" s="451"/>
      <c r="Q990" s="451"/>
      <c r="R990" s="158"/>
    </row>
    <row r="991" spans="1:18" ht="12.75" customHeight="1" x14ac:dyDescent="0.3">
      <c r="A991" s="29"/>
      <c r="B991" s="29"/>
      <c r="C991" s="29"/>
      <c r="D991" s="29"/>
      <c r="E991" s="29"/>
      <c r="F991" s="29"/>
      <c r="G991" s="29"/>
      <c r="H991" s="29"/>
      <c r="I991" s="526"/>
      <c r="J991" s="458"/>
      <c r="K991" s="458"/>
      <c r="L991" s="458"/>
      <c r="M991" s="459"/>
      <c r="N991" s="459"/>
      <c r="O991" s="459"/>
      <c r="P991" s="459"/>
      <c r="Q991" s="459"/>
      <c r="R991" s="158"/>
    </row>
    <row r="992" spans="1:18" ht="12.75" customHeight="1" x14ac:dyDescent="0.3">
      <c r="A992" s="36" t="s">
        <v>99</v>
      </c>
      <c r="B992" s="29"/>
      <c r="C992" s="29"/>
      <c r="D992" s="29"/>
      <c r="E992" s="29"/>
      <c r="F992" s="29"/>
      <c r="G992" s="37" t="s">
        <v>1266</v>
      </c>
      <c r="H992" s="36" t="s">
        <v>2307</v>
      </c>
      <c r="I992" s="521">
        <f>global!I388</f>
        <v>0</v>
      </c>
      <c r="J992" s="450"/>
      <c r="K992" s="450"/>
      <c r="L992" s="450"/>
      <c r="M992" s="451"/>
      <c r="N992" s="451"/>
      <c r="O992" s="451"/>
      <c r="P992" s="451"/>
      <c r="Q992" s="451"/>
      <c r="R992" s="158"/>
    </row>
    <row r="993" spans="1:18" ht="12.75" customHeight="1" x14ac:dyDescent="0.3">
      <c r="A993" s="29"/>
      <c r="B993" s="95" t="s">
        <v>211</v>
      </c>
      <c r="C993" s="29"/>
      <c r="D993" s="29"/>
      <c r="E993" s="29"/>
      <c r="F993" s="29"/>
      <c r="G993" s="94" t="s">
        <v>50</v>
      </c>
      <c r="H993" s="95" t="s">
        <v>2324</v>
      </c>
      <c r="I993" s="521">
        <f>global!I389</f>
        <v>0</v>
      </c>
      <c r="J993" s="450"/>
      <c r="K993" s="450"/>
      <c r="L993" s="450"/>
      <c r="M993" s="451"/>
      <c r="N993" s="451"/>
      <c r="O993" s="451"/>
      <c r="P993" s="451"/>
      <c r="Q993" s="451"/>
      <c r="R993" s="158"/>
    </row>
    <row r="994" spans="1:18" ht="12.75" customHeight="1" x14ac:dyDescent="0.3">
      <c r="A994" s="29"/>
      <c r="B994" s="36" t="s">
        <v>1002</v>
      </c>
      <c r="C994" s="29"/>
      <c r="D994" s="29"/>
      <c r="E994" s="29"/>
      <c r="F994" s="29"/>
      <c r="G994" s="94" t="s">
        <v>51</v>
      </c>
      <c r="H994" s="36" t="s">
        <v>36</v>
      </c>
      <c r="I994" s="521">
        <f>global!I390</f>
        <v>0</v>
      </c>
      <c r="J994" s="450"/>
      <c r="K994" s="450"/>
      <c r="L994" s="450"/>
      <c r="M994" s="451"/>
      <c r="N994" s="451"/>
      <c r="O994" s="451"/>
      <c r="P994" s="451"/>
      <c r="Q994" s="451"/>
      <c r="R994" s="158"/>
    </row>
    <row r="995" spans="1:18" ht="12.75" customHeight="1" x14ac:dyDescent="0.3">
      <c r="A995" s="36"/>
      <c r="B995" s="29" t="s">
        <v>185</v>
      </c>
      <c r="C995" s="29"/>
      <c r="D995" s="95"/>
      <c r="E995" s="95"/>
      <c r="F995" s="95"/>
      <c r="G995" s="37" t="s">
        <v>874</v>
      </c>
      <c r="H995" s="29" t="s">
        <v>36</v>
      </c>
      <c r="I995" s="521">
        <f>global!I391</f>
        <v>0</v>
      </c>
      <c r="J995" s="450"/>
      <c r="K995" s="450"/>
      <c r="L995" s="450">
        <v>1</v>
      </c>
      <c r="M995" s="451">
        <v>1</v>
      </c>
      <c r="N995" s="451">
        <v>1</v>
      </c>
      <c r="O995" s="451">
        <v>1</v>
      </c>
      <c r="P995" s="451"/>
      <c r="Q995" s="451">
        <v>1</v>
      </c>
      <c r="R995" s="158"/>
    </row>
    <row r="996" spans="1:18" ht="12.75" customHeight="1" x14ac:dyDescent="0.3">
      <c r="A996" s="29"/>
      <c r="B996" s="29"/>
      <c r="C996" s="29"/>
      <c r="D996" s="29"/>
      <c r="E996" s="29"/>
      <c r="F996" s="29"/>
      <c r="G996" s="29"/>
      <c r="H996" s="29"/>
      <c r="I996" s="456"/>
      <c r="J996" s="339"/>
      <c r="K996" s="339"/>
      <c r="L996" s="339"/>
      <c r="M996" s="282"/>
      <c r="N996" s="282"/>
      <c r="O996" s="282"/>
      <c r="P996" s="282"/>
      <c r="Q996" s="282"/>
      <c r="R996" s="158"/>
    </row>
    <row r="997" spans="1:18" ht="12.75" customHeight="1" x14ac:dyDescent="0.3">
      <c r="A997" s="98" t="s">
        <v>419</v>
      </c>
      <c r="B997" s="97"/>
      <c r="C997" s="97"/>
      <c r="D997" s="97"/>
      <c r="E997" s="97"/>
      <c r="F997" s="97"/>
      <c r="G997" s="97"/>
      <c r="H997" s="97"/>
      <c r="I997" s="340" t="s">
        <v>754</v>
      </c>
      <c r="J997" s="364"/>
      <c r="K997" s="364"/>
      <c r="L997" s="364"/>
      <c r="M997" s="469"/>
      <c r="N997" s="469"/>
      <c r="O997" s="469"/>
      <c r="P997" s="469"/>
      <c r="Q997" s="469"/>
      <c r="R997" s="158"/>
    </row>
    <row r="998" spans="1:18" ht="12.75" customHeight="1" x14ac:dyDescent="0.3">
      <c r="A998" s="36"/>
      <c r="B998" s="29"/>
      <c r="C998" s="29"/>
      <c r="D998" s="29"/>
      <c r="E998" s="29"/>
      <c r="F998" s="29"/>
      <c r="G998" s="29"/>
      <c r="H998" s="29"/>
      <c r="I998" s="342"/>
      <c r="J998" s="339"/>
      <c r="K998" s="339"/>
      <c r="L998" s="339"/>
      <c r="M998" s="282"/>
      <c r="N998" s="282"/>
      <c r="O998" s="282"/>
      <c r="P998" s="282"/>
      <c r="Q998" s="282"/>
      <c r="R998" s="158"/>
    </row>
    <row r="999" spans="1:18" ht="12.75" customHeight="1" x14ac:dyDescent="0.3">
      <c r="A999" s="36" t="s">
        <v>224</v>
      </c>
      <c r="B999" s="29"/>
      <c r="C999" s="29"/>
      <c r="D999" s="29"/>
      <c r="E999" s="29"/>
      <c r="F999" s="29"/>
      <c r="G999" s="37" t="s">
        <v>1369</v>
      </c>
      <c r="H999" s="36" t="s">
        <v>2307</v>
      </c>
      <c r="I999" s="521">
        <f>global!I395</f>
        <v>0</v>
      </c>
      <c r="J999" s="450"/>
      <c r="K999" s="450"/>
      <c r="L999" s="450"/>
      <c r="M999" s="451"/>
      <c r="N999" s="451"/>
      <c r="O999" s="451"/>
      <c r="P999" s="451"/>
      <c r="Q999" s="451"/>
      <c r="R999" s="158"/>
    </row>
    <row r="1000" spans="1:18" ht="12.75" customHeight="1" x14ac:dyDescent="0.3">
      <c r="A1000" s="36" t="s">
        <v>4012</v>
      </c>
      <c r="B1000" s="29"/>
      <c r="C1000" s="29"/>
      <c r="D1000" s="29"/>
      <c r="E1000" s="29"/>
      <c r="F1000" s="29"/>
      <c r="G1000" s="37" t="s">
        <v>1047</v>
      </c>
      <c r="H1000" s="36" t="s">
        <v>2307</v>
      </c>
      <c r="I1000" s="521">
        <f>global!I396</f>
        <v>0</v>
      </c>
      <c r="J1000" s="450"/>
      <c r="K1000" s="450"/>
      <c r="L1000" s="450"/>
      <c r="M1000" s="451"/>
      <c r="N1000" s="451"/>
      <c r="O1000" s="451"/>
      <c r="P1000" s="451"/>
      <c r="Q1000" s="451"/>
      <c r="R1000" s="158"/>
    </row>
    <row r="1001" spans="1:18" ht="12.75" customHeight="1" x14ac:dyDescent="0.3">
      <c r="A1001" s="36" t="s">
        <v>1168</v>
      </c>
      <c r="B1001" s="29"/>
      <c r="C1001" s="29"/>
      <c r="D1001" s="29"/>
      <c r="E1001" s="29"/>
      <c r="F1001" s="29"/>
      <c r="G1001" s="37" t="s">
        <v>1171</v>
      </c>
      <c r="H1001" s="36" t="s">
        <v>2307</v>
      </c>
      <c r="I1001" s="521">
        <f>global!I397</f>
        <v>0</v>
      </c>
      <c r="J1001" s="450"/>
      <c r="K1001" s="450"/>
      <c r="L1001" s="450"/>
      <c r="M1001" s="451"/>
      <c r="N1001" s="451"/>
      <c r="O1001" s="451"/>
      <c r="P1001" s="451"/>
      <c r="Q1001" s="451"/>
      <c r="R1001" s="158"/>
    </row>
    <row r="1002" spans="1:18" ht="12.75" customHeight="1" x14ac:dyDescent="0.3">
      <c r="A1002" s="36" t="s">
        <v>225</v>
      </c>
      <c r="B1002" s="29"/>
      <c r="C1002" s="29"/>
      <c r="D1002" s="29"/>
      <c r="E1002" s="29"/>
      <c r="F1002" s="29"/>
      <c r="G1002" s="37" t="s">
        <v>1267</v>
      </c>
      <c r="H1002" s="36" t="s">
        <v>2307</v>
      </c>
      <c r="I1002" s="521">
        <f>global!I398</f>
        <v>0</v>
      </c>
      <c r="J1002" s="450"/>
      <c r="K1002" s="450"/>
      <c r="L1002" s="450"/>
      <c r="M1002" s="451"/>
      <c r="N1002" s="451"/>
      <c r="O1002" s="451"/>
      <c r="P1002" s="451"/>
      <c r="Q1002" s="451"/>
      <c r="R1002" s="158"/>
    </row>
    <row r="1003" spans="1:18" ht="12.75" customHeight="1" x14ac:dyDescent="0.3">
      <c r="A1003" s="36" t="s">
        <v>844</v>
      </c>
      <c r="B1003" s="29"/>
      <c r="C1003" s="29"/>
      <c r="D1003" s="29"/>
      <c r="E1003" s="29"/>
      <c r="F1003" s="29"/>
      <c r="G1003" s="37" t="s">
        <v>1370</v>
      </c>
      <c r="H1003" s="36" t="s">
        <v>2307</v>
      </c>
      <c r="I1003" s="521">
        <f>global!I399</f>
        <v>0</v>
      </c>
      <c r="J1003" s="450"/>
      <c r="K1003" s="450"/>
      <c r="L1003" s="450"/>
      <c r="M1003" s="451"/>
      <c r="N1003" s="451"/>
      <c r="O1003" s="451"/>
      <c r="P1003" s="451"/>
      <c r="Q1003" s="451"/>
      <c r="R1003" s="158"/>
    </row>
    <row r="1004" spans="1:18" ht="12.75" customHeight="1" x14ac:dyDescent="0.3">
      <c r="A1004" s="36"/>
      <c r="B1004" s="36" t="s">
        <v>796</v>
      </c>
      <c r="C1004" s="95"/>
      <c r="D1004" s="29"/>
      <c r="E1004" s="29"/>
      <c r="F1004" s="29"/>
      <c r="G1004" s="94" t="s">
        <v>1390</v>
      </c>
      <c r="H1004" s="36" t="s">
        <v>2307</v>
      </c>
      <c r="I1004" s="521">
        <f>global!I400</f>
        <v>0</v>
      </c>
      <c r="J1004" s="450"/>
      <c r="K1004" s="450"/>
      <c r="L1004" s="450"/>
      <c r="M1004" s="451"/>
      <c r="N1004" s="451"/>
      <c r="O1004" s="451"/>
      <c r="P1004" s="451"/>
      <c r="Q1004" s="451"/>
      <c r="R1004" s="158"/>
    </row>
    <row r="1005" spans="1:18" ht="12.75" customHeight="1" x14ac:dyDescent="0.3">
      <c r="A1005" s="36"/>
      <c r="B1005" s="36" t="s">
        <v>797</v>
      </c>
      <c r="C1005" s="29"/>
      <c r="D1005" s="29"/>
      <c r="E1005" s="29"/>
      <c r="F1005" s="29"/>
      <c r="G1005" s="37" t="s">
        <v>52</v>
      </c>
      <c r="H1005" s="36" t="s">
        <v>2307</v>
      </c>
      <c r="I1005" s="521">
        <f>global!I401</f>
        <v>0</v>
      </c>
      <c r="J1005" s="450"/>
      <c r="K1005" s="450"/>
      <c r="L1005" s="450"/>
      <c r="M1005" s="451"/>
      <c r="N1005" s="451"/>
      <c r="O1005" s="451"/>
      <c r="P1005" s="451"/>
      <c r="Q1005" s="451"/>
      <c r="R1005" s="158"/>
    </row>
    <row r="1006" spans="1:18" ht="12.75" customHeight="1" x14ac:dyDescent="0.3">
      <c r="A1006" s="95"/>
      <c r="B1006" s="95"/>
      <c r="C1006" s="36" t="s">
        <v>514</v>
      </c>
      <c r="D1006" s="29"/>
      <c r="E1006" s="29"/>
      <c r="F1006" s="29"/>
      <c r="G1006" s="37" t="s">
        <v>1402</v>
      </c>
      <c r="H1006" s="36" t="s">
        <v>2308</v>
      </c>
      <c r="I1006" s="521">
        <f>global!I402</f>
        <v>0</v>
      </c>
      <c r="J1006" s="450"/>
      <c r="K1006" s="450"/>
      <c r="L1006" s="450"/>
      <c r="M1006" s="451"/>
      <c r="N1006" s="451"/>
      <c r="O1006" s="451"/>
      <c r="P1006" s="451"/>
      <c r="Q1006" s="451"/>
      <c r="R1006" s="158"/>
    </row>
    <row r="1007" spans="1:18" ht="12.75" customHeight="1" x14ac:dyDescent="0.3">
      <c r="A1007" s="95"/>
      <c r="B1007" s="95"/>
      <c r="C1007" s="36" t="s">
        <v>35</v>
      </c>
      <c r="D1007" s="29"/>
      <c r="E1007" s="29"/>
      <c r="F1007" s="29"/>
      <c r="G1007" s="37" t="s">
        <v>1403</v>
      </c>
      <c r="H1007" s="36" t="s">
        <v>36</v>
      </c>
      <c r="I1007" s="521">
        <f>global!I403</f>
        <v>0</v>
      </c>
      <c r="J1007" s="450"/>
      <c r="K1007" s="450"/>
      <c r="L1007" s="450"/>
      <c r="M1007" s="451"/>
      <c r="N1007" s="451"/>
      <c r="O1007" s="451"/>
      <c r="P1007" s="451"/>
      <c r="Q1007" s="451"/>
      <c r="R1007" s="158"/>
    </row>
    <row r="1008" spans="1:18" ht="12.75" customHeight="1" x14ac:dyDescent="0.3">
      <c r="A1008" s="36"/>
      <c r="B1008" s="36" t="s">
        <v>4013</v>
      </c>
      <c r="C1008" s="29"/>
      <c r="D1008" s="29"/>
      <c r="E1008" s="29"/>
      <c r="F1008" s="29"/>
      <c r="G1008" s="37" t="s">
        <v>1137</v>
      </c>
      <c r="H1008" s="36" t="s">
        <v>2307</v>
      </c>
      <c r="I1008" s="521">
        <f>global!I404</f>
        <v>0</v>
      </c>
      <c r="J1008" s="450"/>
      <c r="K1008" s="450"/>
      <c r="L1008" s="450"/>
      <c r="M1008" s="451"/>
      <c r="N1008" s="451"/>
      <c r="O1008" s="451"/>
      <c r="P1008" s="451"/>
      <c r="Q1008" s="451"/>
      <c r="R1008" s="158"/>
    </row>
    <row r="1009" spans="1:18" ht="12.75" customHeight="1" x14ac:dyDescent="0.3">
      <c r="A1009" s="36"/>
      <c r="B1009" s="36" t="s">
        <v>1138</v>
      </c>
      <c r="C1009" s="29"/>
      <c r="D1009" s="29"/>
      <c r="E1009" s="29"/>
      <c r="F1009" s="29"/>
      <c r="G1009" s="37" t="s">
        <v>1139</v>
      </c>
      <c r="H1009" s="36" t="s">
        <v>2307</v>
      </c>
      <c r="I1009" s="521">
        <f>global!I405</f>
        <v>0</v>
      </c>
      <c r="J1009" s="450"/>
      <c r="K1009" s="450"/>
      <c r="L1009" s="450"/>
      <c r="M1009" s="451"/>
      <c r="N1009" s="451"/>
      <c r="O1009" s="451"/>
      <c r="P1009" s="451"/>
      <c r="Q1009" s="451"/>
      <c r="R1009" s="158"/>
    </row>
    <row r="1010" spans="1:18" ht="12.75" customHeight="1" x14ac:dyDescent="0.3">
      <c r="A1010" s="36"/>
      <c r="B1010" s="36"/>
      <c r="C1010" s="36" t="s">
        <v>4014</v>
      </c>
      <c r="D1010" s="29"/>
      <c r="E1010" s="29"/>
      <c r="F1010" s="29"/>
      <c r="G1010" s="94" t="s">
        <v>1141</v>
      </c>
      <c r="H1010" s="36" t="s">
        <v>730</v>
      </c>
      <c r="I1010" s="521">
        <f>global!I406</f>
        <v>0</v>
      </c>
      <c r="J1010" s="450"/>
      <c r="K1010" s="450"/>
      <c r="L1010" s="450"/>
      <c r="M1010" s="451"/>
      <c r="N1010" s="451"/>
      <c r="O1010" s="451"/>
      <c r="P1010" s="451"/>
      <c r="Q1010" s="451"/>
      <c r="R1010" s="158"/>
    </row>
    <row r="1011" spans="1:18" ht="12.75" customHeight="1" x14ac:dyDescent="0.3">
      <c r="A1011" s="36"/>
      <c r="B1011" s="36"/>
      <c r="C1011" s="36" t="s">
        <v>1140</v>
      </c>
      <c r="D1011" s="29"/>
      <c r="E1011" s="29"/>
      <c r="F1011" s="29"/>
      <c r="G1011" s="94" t="s">
        <v>1142</v>
      </c>
      <c r="H1011" s="36" t="s">
        <v>730</v>
      </c>
      <c r="I1011" s="521">
        <f>global!I407</f>
        <v>0</v>
      </c>
      <c r="J1011" s="450"/>
      <c r="K1011" s="450"/>
      <c r="L1011" s="450"/>
      <c r="M1011" s="451"/>
      <c r="N1011" s="451"/>
      <c r="O1011" s="451"/>
      <c r="P1011" s="451"/>
      <c r="Q1011" s="451"/>
      <c r="R1011" s="158"/>
    </row>
    <row r="1012" spans="1:18" ht="12.75" customHeight="1" x14ac:dyDescent="0.3">
      <c r="A1012" s="95"/>
      <c r="B1012" s="95"/>
      <c r="C1012" s="36" t="s">
        <v>766</v>
      </c>
      <c r="D1012" s="29"/>
      <c r="E1012" s="29"/>
      <c r="F1012" s="29"/>
      <c r="G1012" s="37" t="s">
        <v>1016</v>
      </c>
      <c r="H1012" s="36" t="s">
        <v>36</v>
      </c>
      <c r="I1012" s="521">
        <f>global!I408</f>
        <v>0</v>
      </c>
      <c r="J1012" s="450"/>
      <c r="K1012" s="450"/>
      <c r="L1012" s="450"/>
      <c r="M1012" s="451"/>
      <c r="N1012" s="451"/>
      <c r="O1012" s="451"/>
      <c r="P1012" s="451"/>
      <c r="Q1012" s="451"/>
      <c r="R1012" s="158"/>
    </row>
    <row r="1013" spans="1:18" ht="12.75" customHeight="1" x14ac:dyDescent="0.3">
      <c r="A1013" s="36"/>
      <c r="B1013" s="36" t="s">
        <v>772</v>
      </c>
      <c r="C1013" s="29"/>
      <c r="D1013" s="29"/>
      <c r="E1013" s="29"/>
      <c r="F1013" s="29"/>
      <c r="G1013" s="37" t="s">
        <v>53</v>
      </c>
      <c r="H1013" s="36" t="s">
        <v>2307</v>
      </c>
      <c r="I1013" s="521">
        <f>global!I409</f>
        <v>0</v>
      </c>
      <c r="J1013" s="450"/>
      <c r="K1013" s="450"/>
      <c r="L1013" s="450"/>
      <c r="M1013" s="451"/>
      <c r="N1013" s="451"/>
      <c r="O1013" s="451"/>
      <c r="P1013" s="451"/>
      <c r="Q1013" s="451"/>
      <c r="R1013" s="158"/>
    </row>
    <row r="1014" spans="1:18" ht="12.75" customHeight="1" x14ac:dyDescent="0.3">
      <c r="A1014" s="36"/>
      <c r="B1014" s="36" t="s">
        <v>773</v>
      </c>
      <c r="C1014" s="29"/>
      <c r="D1014" s="29"/>
      <c r="E1014" s="29"/>
      <c r="F1014" s="29"/>
      <c r="G1014" s="37" t="s">
        <v>54</v>
      </c>
      <c r="H1014" s="36" t="s">
        <v>2307</v>
      </c>
      <c r="I1014" s="521">
        <f>global!I410</f>
        <v>0</v>
      </c>
      <c r="J1014" s="450"/>
      <c r="K1014" s="450"/>
      <c r="L1014" s="450"/>
      <c r="M1014" s="451"/>
      <c r="N1014" s="451"/>
      <c r="O1014" s="451"/>
      <c r="P1014" s="451"/>
      <c r="Q1014" s="451"/>
      <c r="R1014" s="158"/>
    </row>
    <row r="1015" spans="1:18" ht="12.75" customHeight="1" x14ac:dyDescent="0.3">
      <c r="A1015" s="29"/>
      <c r="B1015" s="36" t="s">
        <v>1036</v>
      </c>
      <c r="C1015" s="29"/>
      <c r="D1015" s="29"/>
      <c r="E1015" s="29"/>
      <c r="F1015" s="29"/>
      <c r="G1015" s="94" t="s">
        <v>1393</v>
      </c>
      <c r="H1015" s="36" t="s">
        <v>36</v>
      </c>
      <c r="I1015" s="521">
        <f>global!I411</f>
        <v>0</v>
      </c>
      <c r="J1015" s="450"/>
      <c r="K1015" s="450"/>
      <c r="L1015" s="450"/>
      <c r="M1015" s="451"/>
      <c r="N1015" s="451"/>
      <c r="O1015" s="451"/>
      <c r="P1015" s="451"/>
      <c r="Q1015" s="451"/>
      <c r="R1015" s="158"/>
    </row>
    <row r="1016" spans="1:18" ht="12.75" customHeight="1" x14ac:dyDescent="0.3">
      <c r="A1016" s="36"/>
      <c r="B1016" s="29" t="s">
        <v>185</v>
      </c>
      <c r="C1016" s="29"/>
      <c r="D1016" s="95"/>
      <c r="E1016" s="95"/>
      <c r="F1016" s="95"/>
      <c r="G1016" s="37" t="s">
        <v>873</v>
      </c>
      <c r="H1016" s="29" t="s">
        <v>36</v>
      </c>
      <c r="I1016" s="521">
        <f>global!I412</f>
        <v>0</v>
      </c>
      <c r="J1016" s="450"/>
      <c r="K1016" s="450"/>
      <c r="L1016" s="450">
        <v>1</v>
      </c>
      <c r="M1016" s="451">
        <v>1</v>
      </c>
      <c r="N1016" s="451">
        <v>1</v>
      </c>
      <c r="O1016" s="451">
        <v>1</v>
      </c>
      <c r="P1016" s="451"/>
      <c r="Q1016" s="451">
        <v>1</v>
      </c>
      <c r="R1016" s="158"/>
    </row>
    <row r="1017" spans="1:18" ht="12.75" customHeight="1" thickBot="1" x14ac:dyDescent="0.35">
      <c r="A1017" s="631"/>
      <c r="B1017" s="631"/>
      <c r="C1017" s="631"/>
      <c r="D1017" s="631"/>
      <c r="E1017" s="631"/>
      <c r="F1017" s="631"/>
      <c r="G1017" s="631"/>
      <c r="H1017" s="136"/>
      <c r="I1017" s="473"/>
      <c r="J1017" s="473"/>
      <c r="K1017" s="473"/>
      <c r="L1017" s="473"/>
      <c r="M1017" s="362"/>
      <c r="N1017" s="362"/>
      <c r="O1017" s="362"/>
      <c r="P1017" s="362"/>
      <c r="Q1017" s="362"/>
      <c r="R1017" s="158"/>
    </row>
    <row r="1018" spans="1:18" ht="12.75" customHeight="1" x14ac:dyDescent="0.3">
      <c r="A1018" s="29"/>
      <c r="B1018" s="29"/>
      <c r="C1018" s="29"/>
      <c r="D1018" s="29"/>
      <c r="E1018" s="29"/>
      <c r="F1018" s="29"/>
      <c r="G1018" s="29"/>
      <c r="H1018" s="36"/>
      <c r="I1018" s="342"/>
      <c r="J1018" s="342"/>
      <c r="K1018" s="342"/>
      <c r="L1018" s="342"/>
      <c r="M1018" s="360"/>
      <c r="N1018" s="360"/>
      <c r="O1018" s="360"/>
      <c r="P1018" s="360"/>
      <c r="Q1018" s="360"/>
      <c r="R1018" s="158"/>
    </row>
  </sheetData>
  <phoneticPr fontId="5" type="noConversion"/>
  <conditionalFormatting sqref="I1:I1048576">
    <cfRule type="cellIs" dxfId="107" priority="1" operator="lessThan">
      <formula>0.0000000001</formula>
    </cfRule>
  </conditionalFormatting>
  <conditionalFormatting sqref="J341:Q341">
    <cfRule type="cellIs" dxfId="106" priority="73" operator="equal">
      <formula>0</formula>
    </cfRule>
  </conditionalFormatting>
  <conditionalFormatting sqref="J343:Q343">
    <cfRule type="cellIs" dxfId="105" priority="72" operator="equal">
      <formula>0</formula>
    </cfRule>
  </conditionalFormatting>
  <conditionalFormatting sqref="J517:Q520">
    <cfRule type="cellIs" dxfId="104" priority="68" operator="equal">
      <formula>0</formula>
    </cfRule>
  </conditionalFormatting>
  <conditionalFormatting sqref="J532:Q532">
    <cfRule type="cellIs" dxfId="103" priority="67" operator="equal">
      <formula>0</formula>
    </cfRule>
  </conditionalFormatting>
  <conditionalFormatting sqref="J535:Q535">
    <cfRule type="cellIs" dxfId="102" priority="66" operator="equal">
      <formula>0</formula>
    </cfRule>
  </conditionalFormatting>
  <conditionalFormatting sqref="J538:Q538">
    <cfRule type="cellIs" dxfId="101" priority="65" operator="equal">
      <formula>0</formula>
    </cfRule>
  </conditionalFormatting>
  <conditionalFormatting sqref="L703:O703 Q703">
    <cfRule type="cellIs" dxfId="100" priority="58" operator="equal">
      <formula>0</formula>
    </cfRule>
  </conditionalFormatting>
  <conditionalFormatting sqref="L493:P498">
    <cfRule type="cellIs" dxfId="99" priority="47" operator="equal">
      <formula>0</formula>
    </cfRule>
  </conditionalFormatting>
  <conditionalFormatting sqref="L839:Q839">
    <cfRule type="cellIs" dxfId="98" priority="55" operator="equal">
      <formula>0</formula>
    </cfRule>
  </conditionalFormatting>
  <conditionalFormatting sqref="L975:Q975">
    <cfRule type="cellIs" dxfId="97" priority="52" operator="equal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syncVertical="1" syncRef="A1" transitionEvaluation="1" transitionEntry="1" codeName="Sheet2"/>
  <dimension ref="A1:O219"/>
  <sheetViews>
    <sheetView zoomScaleNormal="100" workbookViewId="0"/>
  </sheetViews>
  <sheetFormatPr defaultColWidth="10.6640625" defaultRowHeight="12.75" customHeight="1" x14ac:dyDescent="0.3"/>
  <cols>
    <col min="1" max="5" width="1.6640625" customWidth="1"/>
    <col min="6" max="6" width="60.6640625" customWidth="1"/>
    <col min="7" max="7" width="22.6640625" style="79" customWidth="1"/>
    <col min="8" max="8" width="10.6640625" style="79" customWidth="1"/>
    <col min="9" max="9" width="9.109375" style="357" customWidth="1"/>
    <col min="10" max="10" width="9.109375" style="431" customWidth="1"/>
    <col min="11" max="11" width="9.5546875" style="642" customWidth="1"/>
    <col min="12" max="12" width="14" style="642" customWidth="1"/>
    <col min="13" max="13" width="9.109375" customWidth="1"/>
    <col min="14" max="14" width="79.88671875" style="79" customWidth="1"/>
    <col min="15" max="15" width="2.6640625" customWidth="1"/>
  </cols>
  <sheetData>
    <row r="1" spans="1:15" ht="12.75" customHeight="1" x14ac:dyDescent="0.3">
      <c r="A1" s="62" t="s">
        <v>465</v>
      </c>
      <c r="B1" s="29"/>
      <c r="C1" s="29"/>
      <c r="D1" s="29"/>
      <c r="E1" s="29"/>
      <c r="F1" s="29"/>
      <c r="G1" s="36"/>
      <c r="H1" s="36"/>
      <c r="I1" s="339"/>
      <c r="J1" s="363"/>
      <c r="K1" s="353"/>
      <c r="L1" s="353"/>
      <c r="M1" s="29"/>
      <c r="N1" s="36"/>
      <c r="O1" s="29"/>
    </row>
    <row r="2" spans="1:15" ht="12.75" customHeight="1" x14ac:dyDescent="0.3">
      <c r="A2" s="29"/>
      <c r="B2" s="29"/>
      <c r="C2" s="29"/>
      <c r="D2" s="29"/>
      <c r="E2" s="29"/>
      <c r="F2" s="29"/>
      <c r="G2" s="36"/>
      <c r="H2" s="36"/>
      <c r="I2" s="339"/>
      <c r="J2" s="363"/>
      <c r="K2" s="353"/>
      <c r="L2" s="353"/>
      <c r="M2" s="30"/>
      <c r="N2" s="36"/>
      <c r="O2" s="36"/>
    </row>
    <row r="3" spans="1:15" ht="12.75" customHeight="1" x14ac:dyDescent="0.3">
      <c r="A3" s="97" t="s">
        <v>1310</v>
      </c>
      <c r="B3" s="97"/>
      <c r="C3" s="97"/>
      <c r="D3" s="97"/>
      <c r="E3" s="97"/>
      <c r="F3" s="97"/>
      <c r="G3" s="98" t="s">
        <v>1008</v>
      </c>
      <c r="H3" s="98" t="s">
        <v>968</v>
      </c>
      <c r="I3" s="364" t="s">
        <v>754</v>
      </c>
      <c r="J3" s="365" t="s">
        <v>37</v>
      </c>
      <c r="K3" s="340" t="s">
        <v>753</v>
      </c>
      <c r="L3" s="340" t="s">
        <v>1358</v>
      </c>
      <c r="M3" s="97"/>
      <c r="N3" s="98" t="s">
        <v>1371</v>
      </c>
      <c r="O3" s="36"/>
    </row>
    <row r="4" spans="1:15" ht="12.75" customHeight="1" x14ac:dyDescent="0.3">
      <c r="A4" s="29"/>
      <c r="B4" s="29"/>
      <c r="C4" s="29"/>
      <c r="D4" s="29"/>
      <c r="E4" s="29"/>
      <c r="F4" s="29"/>
      <c r="G4" s="36"/>
      <c r="H4" s="37"/>
      <c r="I4" s="339"/>
      <c r="J4" s="363"/>
      <c r="K4" s="353"/>
      <c r="L4" s="353"/>
      <c r="M4" s="29"/>
      <c r="N4" s="36"/>
      <c r="O4" s="36"/>
    </row>
    <row r="5" spans="1:15" ht="12.75" customHeight="1" x14ac:dyDescent="0.3">
      <c r="A5" s="36" t="s">
        <v>1089</v>
      </c>
      <c r="B5" s="29"/>
      <c r="C5" s="29"/>
      <c r="D5" s="29"/>
      <c r="E5" s="29"/>
      <c r="F5" s="29"/>
      <c r="G5" s="37" t="s">
        <v>529</v>
      </c>
      <c r="H5" s="36" t="s">
        <v>4034</v>
      </c>
      <c r="I5" s="632"/>
      <c r="J5" s="633" t="str">
        <f>IF(ISBLANK(HLOOKUP(CaseName,CaseData,MATCH($G5,cases!$G$3:$G$2464,0),FALSE)),"",HLOOKUP(CaseName,CaseData,MATCH($G5,cases!$G$3:$G$2464,0),FALSE))</f>
        <v/>
      </c>
      <c r="K5" s="352">
        <f>L14*L21</f>
        <v>229570000000000</v>
      </c>
      <c r="L5" s="634">
        <f>IF(ISBLANK(I5),IF(ISNUMBER(J5)=FALSE,K5,J5),I5)</f>
        <v>229570000000000</v>
      </c>
      <c r="M5" s="36" t="s">
        <v>1496</v>
      </c>
      <c r="N5" s="36"/>
      <c r="O5" s="36"/>
    </row>
    <row r="6" spans="1:15" ht="12.75" customHeight="1" x14ac:dyDescent="0.3">
      <c r="A6" s="36" t="s">
        <v>282</v>
      </c>
      <c r="B6" s="29"/>
      <c r="C6" s="29"/>
      <c r="D6" s="29"/>
      <c r="E6" s="29"/>
      <c r="F6" s="29"/>
      <c r="G6" s="37" t="s">
        <v>283</v>
      </c>
      <c r="H6" s="36" t="s">
        <v>4034</v>
      </c>
      <c r="I6" s="632"/>
      <c r="J6" s="633" t="str">
        <f>IF(ISBLANK(HLOOKUP(CaseName,CaseData,MATCH($G6,cases!$G$3:$G$2464,0),FALSE)),"",HLOOKUP(CaseName,CaseData,MATCH($G6,cases!$G$3:$G$2464,0),FALSE))</f>
        <v/>
      </c>
      <c r="K6" s="352">
        <f>L14*L15*L22</f>
        <v>57142500000</v>
      </c>
      <c r="L6" s="634">
        <f>IF(ISBLANK(I6),IF(ISNUMBER(J6)=FALSE,K6,J6),I6)</f>
        <v>57142500000</v>
      </c>
      <c r="M6" s="36" t="s">
        <v>1496</v>
      </c>
      <c r="N6" s="36" t="s">
        <v>324</v>
      </c>
      <c r="O6" s="36"/>
    </row>
    <row r="7" spans="1:15" ht="12.75" customHeight="1" x14ac:dyDescent="0.3">
      <c r="A7" s="36" t="s">
        <v>708</v>
      </c>
      <c r="B7" s="29"/>
      <c r="C7" s="29"/>
      <c r="D7" s="29"/>
      <c r="E7" s="29"/>
      <c r="F7" s="29"/>
      <c r="G7" s="37" t="s">
        <v>530</v>
      </c>
      <c r="H7" s="36" t="s">
        <v>4034</v>
      </c>
      <c r="I7" s="632"/>
      <c r="J7" s="633" t="str">
        <f>IF(ISBLANK(HLOOKUP(CaseName,CaseData,MATCH($G7,cases!$G$3:$G$2464,0),FALSE)),"",HLOOKUP(CaseName,CaseData,MATCH($G7,cases!$G$3:$G$2464,0),FALSE))</f>
        <v/>
      </c>
      <c r="K7" s="352">
        <f>L14*L16*L23</f>
        <v>18857025000</v>
      </c>
      <c r="L7" s="634">
        <f t="shared" ref="L7:L42" si="0">IF(ISBLANK(I7),IF(ISNUMBER(J7)=FALSE,K7,J7),I7)</f>
        <v>18857025000</v>
      </c>
      <c r="M7" s="36" t="s">
        <v>1496</v>
      </c>
      <c r="N7" s="36"/>
      <c r="O7" s="36"/>
    </row>
    <row r="8" spans="1:15" ht="12.75" customHeight="1" x14ac:dyDescent="0.3">
      <c r="A8" s="36" t="s">
        <v>709</v>
      </c>
      <c r="B8" s="29"/>
      <c r="C8" s="29"/>
      <c r="D8" s="29"/>
      <c r="E8" s="29"/>
      <c r="F8" s="29"/>
      <c r="G8" s="37" t="s">
        <v>1240</v>
      </c>
      <c r="H8" s="36" t="s">
        <v>4034</v>
      </c>
      <c r="I8" s="632"/>
      <c r="J8" s="633" t="str">
        <f>IF(ISBLANK(HLOOKUP(CaseName,CaseData,MATCH($G8,cases!$G$3:$G$2464,0),FALSE)),"",HLOOKUP(CaseName,CaseData,MATCH($G8,cases!$G$3:$G$2464,0),FALSE))</f>
        <v/>
      </c>
      <c r="K8" s="352">
        <f>L14*L20*L24</f>
        <v>10000000000.000011</v>
      </c>
      <c r="L8" s="634">
        <f t="shared" si="0"/>
        <v>10000000000.000011</v>
      </c>
      <c r="M8" s="36" t="s">
        <v>1496</v>
      </c>
      <c r="N8" s="36"/>
      <c r="O8" s="36"/>
    </row>
    <row r="9" spans="1:15" ht="12.75" customHeight="1" x14ac:dyDescent="0.3">
      <c r="A9" s="36" t="s">
        <v>710</v>
      </c>
      <c r="B9" s="29"/>
      <c r="C9" s="29"/>
      <c r="D9" s="29"/>
      <c r="E9" s="29"/>
      <c r="F9" s="29"/>
      <c r="G9" s="37" t="s">
        <v>1241</v>
      </c>
      <c r="H9" s="36" t="s">
        <v>4034</v>
      </c>
      <c r="I9" s="632"/>
      <c r="J9" s="633" t="str">
        <f>IF(ISBLANK(HLOOKUP(CaseName,CaseData,MATCH($G9,cases!$G$3:$G$2464,0),FALSE)),"",HLOOKUP(CaseName,CaseData,MATCH($G9,cases!$G$3:$G$2464,0),FALSE))</f>
        <v/>
      </c>
      <c r="K9" s="352">
        <f>L14*L16*L25</f>
        <v>188570250</v>
      </c>
      <c r="L9" s="634">
        <f t="shared" si="0"/>
        <v>188570250</v>
      </c>
      <c r="M9" s="36" t="s">
        <v>1496</v>
      </c>
      <c r="N9" s="36"/>
      <c r="O9" s="36"/>
    </row>
    <row r="10" spans="1:15" ht="12.75" customHeight="1" x14ac:dyDescent="0.3">
      <c r="A10" s="36" t="s">
        <v>711</v>
      </c>
      <c r="B10" s="29"/>
      <c r="C10" s="29"/>
      <c r="D10" s="29"/>
      <c r="E10" s="29"/>
      <c r="F10" s="29"/>
      <c r="G10" s="37" t="s">
        <v>1242</v>
      </c>
      <c r="H10" s="36" t="s">
        <v>4034</v>
      </c>
      <c r="I10" s="632"/>
      <c r="J10" s="633" t="str">
        <f>IF(ISBLANK(HLOOKUP(CaseName,CaseData,MATCH($G10,cases!$G$3:$G$2464,0),FALSE)),"",HLOOKUP(CaseName,CaseData,MATCH($G10,cases!$G$3:$G$2464,0),FALSE))</f>
        <v/>
      </c>
      <c r="K10" s="352">
        <f>L14*L20*L26</f>
        <v>30000000.00000003</v>
      </c>
      <c r="L10" s="634">
        <f t="shared" si="0"/>
        <v>30000000.00000003</v>
      </c>
      <c r="M10" s="36" t="s">
        <v>1496</v>
      </c>
      <c r="N10" s="36"/>
      <c r="O10" s="36"/>
    </row>
    <row r="11" spans="1:15" ht="12.75" customHeight="1" x14ac:dyDescent="0.3">
      <c r="A11" s="36" t="s">
        <v>712</v>
      </c>
      <c r="B11" s="29"/>
      <c r="C11" s="29"/>
      <c r="D11" s="29"/>
      <c r="E11" s="29"/>
      <c r="F11" s="29"/>
      <c r="G11" s="37" t="s">
        <v>1243</v>
      </c>
      <c r="H11" s="36" t="s">
        <v>4034</v>
      </c>
      <c r="I11" s="632"/>
      <c r="J11" s="633" t="str">
        <f>IF(ISBLANK(HLOOKUP(CaseName,CaseData,MATCH($G11,cases!$G$3:$G$2464,0),FALSE)),"",HLOOKUP(CaseName,CaseData,MATCH($G11,cases!$G$3:$G$2464,0),FALSE))</f>
        <v/>
      </c>
      <c r="K11" s="352">
        <f>L14*L17*L27</f>
        <v>3085695000.0000005</v>
      </c>
      <c r="L11" s="634">
        <f t="shared" si="0"/>
        <v>3085695000.0000005</v>
      </c>
      <c r="M11" s="36" t="s">
        <v>1496</v>
      </c>
      <c r="N11" s="36"/>
      <c r="O11" s="36"/>
    </row>
    <row r="12" spans="1:15" ht="12.75" customHeight="1" x14ac:dyDescent="0.3">
      <c r="A12" s="36" t="s">
        <v>713</v>
      </c>
      <c r="B12" s="29"/>
      <c r="C12" s="29"/>
      <c r="D12" s="29"/>
      <c r="E12" s="29"/>
      <c r="F12" s="29"/>
      <c r="G12" s="37" t="s">
        <v>1244</v>
      </c>
      <c r="H12" s="36" t="s">
        <v>4034</v>
      </c>
      <c r="I12" s="632"/>
      <c r="J12" s="633" t="str">
        <f>IF(ISBLANK(HLOOKUP(CaseName,CaseData,MATCH($G12,cases!$G$3:$G$2464,0),FALSE)),"",HLOOKUP(CaseName,CaseData,MATCH($G12,cases!$G$3:$G$2464,0),FALSE))</f>
        <v/>
      </c>
      <c r="K12" s="352">
        <f>L14*L18*L28</f>
        <v>27428400000</v>
      </c>
      <c r="L12" s="634">
        <f t="shared" si="0"/>
        <v>27428400000</v>
      </c>
      <c r="M12" s="36" t="s">
        <v>1496</v>
      </c>
      <c r="N12" s="36"/>
      <c r="O12" s="36"/>
    </row>
    <row r="13" spans="1:15" ht="12.75" customHeight="1" x14ac:dyDescent="0.3">
      <c r="A13" s="36" t="s">
        <v>210</v>
      </c>
      <c r="B13" s="29"/>
      <c r="C13" s="29"/>
      <c r="D13" s="29"/>
      <c r="E13" s="29"/>
      <c r="F13" s="29"/>
      <c r="G13" s="37" t="s">
        <v>1245</v>
      </c>
      <c r="H13" s="36" t="s">
        <v>4034</v>
      </c>
      <c r="I13" s="632"/>
      <c r="J13" s="633" t="str">
        <f>IF(ISBLANK(HLOOKUP(CaseName,CaseData,MATCH($G13,cases!$G$3:$G$2464,0),FALSE)),"",HLOOKUP(CaseName,CaseData,MATCH($G13,cases!$G$3:$G$2464,0),FALSE))</f>
        <v/>
      </c>
      <c r="K13" s="352">
        <f>L14*L19*L29</f>
        <v>1142850000</v>
      </c>
      <c r="L13" s="634">
        <f t="shared" si="0"/>
        <v>1142850000</v>
      </c>
      <c r="M13" s="36" t="s">
        <v>1496</v>
      </c>
      <c r="N13" s="36"/>
      <c r="O13" s="36"/>
    </row>
    <row r="14" spans="1:15" ht="12.75" customHeight="1" x14ac:dyDescent="0.3">
      <c r="A14" s="36"/>
      <c r="B14" s="36" t="s">
        <v>1090</v>
      </c>
      <c r="C14" s="29"/>
      <c r="D14" s="29"/>
      <c r="E14" s="29"/>
      <c r="F14" s="29"/>
      <c r="G14" s="37" t="s">
        <v>667</v>
      </c>
      <c r="H14" s="36" t="s">
        <v>4035</v>
      </c>
      <c r="I14" s="632"/>
      <c r="J14" s="633" t="str">
        <f>IF(ISBLANK(HLOOKUP(CaseName,CaseData,MATCH($G14,cases!$G$3:$G$2464,0),FALSE)),"",HLOOKUP(CaseName,CaseData,MATCH($G14,cases!$G$3:$G$2464,0),FALSE))</f>
        <v/>
      </c>
      <c r="K14" s="352">
        <f>(AREAland.R+AREAsea.R)/1000000</f>
        <v>229570</v>
      </c>
      <c r="L14" s="634">
        <f>IF(ISBLANK(I14),IF(ISNUMBER(J14)=FALSE,K14*1000000,J14*1000000),I14*1000000)</f>
        <v>229570000000</v>
      </c>
      <c r="M14" s="36" t="s">
        <v>1492</v>
      </c>
      <c r="N14" s="36"/>
      <c r="O14" s="36"/>
    </row>
    <row r="15" spans="1:15" ht="12.75" customHeight="1" x14ac:dyDescent="0.3">
      <c r="A15" s="36"/>
      <c r="B15" s="36" t="s">
        <v>284</v>
      </c>
      <c r="C15" s="29"/>
      <c r="D15" s="29"/>
      <c r="E15" s="29"/>
      <c r="F15" s="29"/>
      <c r="G15" s="94" t="s">
        <v>285</v>
      </c>
      <c r="H15" s="36" t="s">
        <v>36</v>
      </c>
      <c r="I15" s="632"/>
      <c r="J15" s="633" t="str">
        <f>IF(ISBLANK(HLOOKUP(CaseName,CaseData,MATCH($G15,cases!$G$3:$G$2464,0),FALSE)),"",HLOOKUP(CaseName,CaseData,MATCH($G15,cases!$G$3:$G$2464,0),FALSE))</f>
        <v/>
      </c>
      <c r="K15" s="352">
        <f>AREAland.R*FRAClake.R/L14</f>
        <v>2.4891100753582783E-3</v>
      </c>
      <c r="L15" s="634">
        <f>IF(ISBLANK(I15),IF(ISNUMBER(J15)=FALSE,K15,J15),I15)</f>
        <v>2.4891100753582783E-3</v>
      </c>
      <c r="M15" s="29" t="s">
        <v>486</v>
      </c>
      <c r="N15" s="36" t="s">
        <v>324</v>
      </c>
      <c r="O15" s="36"/>
    </row>
    <row r="16" spans="1:15" ht="12.75" customHeight="1" x14ac:dyDescent="0.3">
      <c r="A16" s="36"/>
      <c r="B16" s="36" t="s">
        <v>1091</v>
      </c>
      <c r="C16" s="29"/>
      <c r="D16" s="29"/>
      <c r="E16" s="29"/>
      <c r="F16" s="29"/>
      <c r="G16" s="94" t="s">
        <v>1190</v>
      </c>
      <c r="H16" s="36" t="s">
        <v>36</v>
      </c>
      <c r="I16" s="632"/>
      <c r="J16" s="633" t="str">
        <f>IF(ISBLANK(HLOOKUP(CaseName,CaseData,MATCH($G16,cases!$G$3:$G$2464,0),FALSE)),"",HLOOKUP(CaseName,CaseData,MATCH($G16,cases!$G$3:$G$2464,0),FALSE))</f>
        <v/>
      </c>
      <c r="K16" s="352">
        <f>AREAland.R*FRACfresh.R/L14</f>
        <v>2.7380210828941064E-2</v>
      </c>
      <c r="L16" s="634">
        <f t="shared" si="0"/>
        <v>2.7380210828941064E-2</v>
      </c>
      <c r="M16" s="29" t="s">
        <v>486</v>
      </c>
      <c r="N16" s="36"/>
      <c r="O16" s="36"/>
    </row>
    <row r="17" spans="1:15" ht="12.75" customHeight="1" x14ac:dyDescent="0.3">
      <c r="A17" s="36"/>
      <c r="B17" s="36" t="s">
        <v>1093</v>
      </c>
      <c r="C17" s="29"/>
      <c r="D17" s="29"/>
      <c r="E17" s="29"/>
      <c r="F17" s="29"/>
      <c r="G17" s="94" t="s">
        <v>1192</v>
      </c>
      <c r="H17" s="36" t="s">
        <v>36</v>
      </c>
      <c r="I17" s="632"/>
      <c r="J17" s="633" t="str">
        <f>IF(ISBLANK(HLOOKUP(CaseName,CaseData,MATCH($G17,cases!$G$3:$G$2464,0),FALSE)),"",HLOOKUP(CaseName,CaseData,MATCH($G17,cases!$G$3:$G$2464,0),FALSE))</f>
        <v/>
      </c>
      <c r="K17" s="352">
        <f>AREAland.R*FRACnatsoil.R/L14</f>
        <v>0.26882388813869412</v>
      </c>
      <c r="L17" s="634">
        <f t="shared" si="0"/>
        <v>0.26882388813869412</v>
      </c>
      <c r="M17" s="29" t="s">
        <v>486</v>
      </c>
      <c r="N17" s="36"/>
      <c r="O17" s="36"/>
    </row>
    <row r="18" spans="1:15" ht="12.75" customHeight="1" x14ac:dyDescent="0.3">
      <c r="A18" s="36"/>
      <c r="B18" s="36" t="s">
        <v>886</v>
      </c>
      <c r="C18" s="29"/>
      <c r="D18" s="29"/>
      <c r="E18" s="29"/>
      <c r="F18" s="29"/>
      <c r="G18" s="94" t="s">
        <v>1193</v>
      </c>
      <c r="H18" s="36" t="s">
        <v>36</v>
      </c>
      <c r="I18" s="632"/>
      <c r="J18" s="633" t="str">
        <f>IF(ISBLANK(HLOOKUP(CaseName,CaseData,MATCH($G18,cases!$G$3:$G$2464,0),FALSE)),"",HLOOKUP(CaseName,CaseData,MATCH($G18,cases!$G$3:$G$2464,0),FALSE))</f>
        <v/>
      </c>
      <c r="K18" s="352">
        <f>AREAland.R*FRACagsoil.R/L14</f>
        <v>0.5973864180859868</v>
      </c>
      <c r="L18" s="634">
        <f t="shared" si="0"/>
        <v>0.5973864180859868</v>
      </c>
      <c r="M18" s="29" t="s">
        <v>486</v>
      </c>
      <c r="N18" s="36"/>
      <c r="O18" s="36"/>
    </row>
    <row r="19" spans="1:15" ht="12.75" customHeight="1" x14ac:dyDescent="0.3">
      <c r="A19" s="36"/>
      <c r="B19" s="36" t="s">
        <v>887</v>
      </c>
      <c r="C19" s="29"/>
      <c r="D19" s="29"/>
      <c r="E19" s="29"/>
      <c r="F19" s="29"/>
      <c r="G19" s="94" t="s">
        <v>1194</v>
      </c>
      <c r="H19" s="36" t="s">
        <v>36</v>
      </c>
      <c r="I19" s="632"/>
      <c r="J19" s="633" t="str">
        <f>IF(ISBLANK(HLOOKUP(CaseName,CaseData,MATCH($G19,cases!$G$3:$G$2464,0),FALSE)),"",HLOOKUP(CaseName,CaseData,MATCH($G19,cases!$G$3:$G$2464,0),FALSE))</f>
        <v/>
      </c>
      <c r="K19" s="352">
        <f>AREAland.R*FRACothersoil.R/L14</f>
        <v>9.9564403014331143E-2</v>
      </c>
      <c r="L19" s="634">
        <f t="shared" si="0"/>
        <v>9.9564403014331143E-2</v>
      </c>
      <c r="M19" s="29" t="s">
        <v>486</v>
      </c>
      <c r="N19" s="36"/>
      <c r="O19" s="36"/>
    </row>
    <row r="20" spans="1:15" ht="12.75" customHeight="1" x14ac:dyDescent="0.3">
      <c r="A20" s="36"/>
      <c r="B20" s="36" t="s">
        <v>1092</v>
      </c>
      <c r="C20" s="29"/>
      <c r="D20" s="29"/>
      <c r="E20" s="29"/>
      <c r="F20" s="29"/>
      <c r="G20" s="94" t="s">
        <v>1191</v>
      </c>
      <c r="H20" s="36" t="s">
        <v>36</v>
      </c>
      <c r="I20" s="635"/>
      <c r="J20" s="633" t="str">
        <f>IF(ISBLANK(HLOOKUP(CaseName,CaseData,MATCH($G20,cases!$G$3:$G$2464,0),FALSE)),"",HLOOKUP(CaseName,CaseData,MATCH($G20,cases!$G$3:$G$2464,0),FALSE))</f>
        <v/>
      </c>
      <c r="K20" s="352">
        <f>1-L15-L16-L17-L18-L19</f>
        <v>4.3559698566885963E-3</v>
      </c>
      <c r="L20" s="634">
        <f t="shared" si="0"/>
        <v>4.3559698566885963E-3</v>
      </c>
      <c r="M20" s="29" t="s">
        <v>486</v>
      </c>
      <c r="N20" s="36"/>
      <c r="O20" s="36"/>
    </row>
    <row r="21" spans="1:15" ht="12.75" customHeight="1" x14ac:dyDescent="0.3">
      <c r="A21" s="36"/>
      <c r="B21" s="29"/>
      <c r="C21" s="36" t="s">
        <v>767</v>
      </c>
      <c r="D21" s="95"/>
      <c r="E21" s="95"/>
      <c r="F21" s="29"/>
      <c r="G21" s="94" t="s">
        <v>1195</v>
      </c>
      <c r="H21" s="36" t="s">
        <v>719</v>
      </c>
      <c r="I21" s="635"/>
      <c r="J21" s="633" t="str">
        <f>IF(ISBLANK(HLOOKUP(CaseName,CaseData,MATCH($G21,cases!$G$3:$G$2464,0),FALSE)),"",HLOOKUP(CaseName,CaseData,MATCH($G21,cases!$G$3:$G$2464,0),FALSE))</f>
        <v/>
      </c>
      <c r="K21" s="352">
        <v>1000</v>
      </c>
      <c r="L21" s="634">
        <f t="shared" si="0"/>
        <v>1000</v>
      </c>
      <c r="M21" s="36" t="s">
        <v>720</v>
      </c>
      <c r="N21" s="36"/>
      <c r="O21" s="36"/>
    </row>
    <row r="22" spans="1:15" ht="12.75" customHeight="1" x14ac:dyDescent="0.3">
      <c r="A22" s="36"/>
      <c r="B22" s="29"/>
      <c r="C22" s="36" t="s">
        <v>286</v>
      </c>
      <c r="D22" s="95"/>
      <c r="E22" s="95"/>
      <c r="F22" s="29"/>
      <c r="G22" s="94" t="s">
        <v>287</v>
      </c>
      <c r="H22" s="36" t="s">
        <v>719</v>
      </c>
      <c r="I22" s="632"/>
      <c r="J22" s="633" t="str">
        <f>IF(ISBLANK(HLOOKUP(CaseName,CaseData,MATCH($G22,cases!$G$3:$G$2464,0),FALSE)),"",HLOOKUP(CaseName,CaseData,MATCH($G22,cases!$G$3:$G$2464,0),FALSE))</f>
        <v/>
      </c>
      <c r="K22" s="352">
        <f>DEPTHlake.R</f>
        <v>100</v>
      </c>
      <c r="L22" s="634">
        <f>IF(ISBLANK(I22),IF(ISNUMBER(J22)=FALSE,K22,J22),I22)</f>
        <v>100</v>
      </c>
      <c r="M22" s="36" t="s">
        <v>720</v>
      </c>
      <c r="N22" s="36" t="s">
        <v>324</v>
      </c>
      <c r="O22" s="36"/>
    </row>
    <row r="23" spans="1:15" ht="12.75" customHeight="1" x14ac:dyDescent="0.3">
      <c r="A23" s="36"/>
      <c r="B23" s="29"/>
      <c r="C23" s="36" t="s">
        <v>768</v>
      </c>
      <c r="D23" s="95"/>
      <c r="E23" s="95"/>
      <c r="F23" s="29"/>
      <c r="G23" s="94" t="s">
        <v>1196</v>
      </c>
      <c r="H23" s="36" t="s">
        <v>719</v>
      </c>
      <c r="I23" s="632"/>
      <c r="J23" s="633" t="str">
        <f>IF(ISBLANK(HLOOKUP(CaseName,CaseData,MATCH($G23,cases!$G$3:$G$2464,0),FALSE)),"",HLOOKUP(CaseName,CaseData,MATCH($G23,cases!$G$3:$G$2464,0),FALSE))</f>
        <v/>
      </c>
      <c r="K23" s="352">
        <f>DEPTHfreshwater.R</f>
        <v>3</v>
      </c>
      <c r="L23" s="634">
        <f t="shared" si="0"/>
        <v>3</v>
      </c>
      <c r="M23" s="36" t="s">
        <v>720</v>
      </c>
      <c r="N23" s="36"/>
      <c r="O23" s="36"/>
    </row>
    <row r="24" spans="1:15" ht="12.75" customHeight="1" x14ac:dyDescent="0.3">
      <c r="A24" s="36"/>
      <c r="B24" s="29"/>
      <c r="C24" s="36" t="s">
        <v>769</v>
      </c>
      <c r="D24" s="95"/>
      <c r="E24" s="95"/>
      <c r="F24" s="29"/>
      <c r="G24" s="94" t="s">
        <v>1197</v>
      </c>
      <c r="H24" s="36" t="s">
        <v>719</v>
      </c>
      <c r="I24" s="632"/>
      <c r="J24" s="633" t="str">
        <f>IF(ISBLANK(HLOOKUP(CaseName,CaseData,MATCH($G24,cases!$G$3:$G$2464,0),FALSE)),"",HLOOKUP(CaseName,CaseData,MATCH($G24,cases!$G$3:$G$2464,0),FALSE))</f>
        <v/>
      </c>
      <c r="K24" s="352">
        <v>10</v>
      </c>
      <c r="L24" s="634">
        <f t="shared" si="0"/>
        <v>10</v>
      </c>
      <c r="M24" s="36" t="s">
        <v>720</v>
      </c>
      <c r="N24" s="36"/>
      <c r="O24" s="36"/>
    </row>
    <row r="25" spans="1:15" ht="12.75" customHeight="1" x14ac:dyDescent="0.3">
      <c r="A25" s="36"/>
      <c r="B25" s="29"/>
      <c r="C25" s="36" t="s">
        <v>770</v>
      </c>
      <c r="D25" s="95"/>
      <c r="E25" s="95"/>
      <c r="F25" s="29"/>
      <c r="G25" s="94" t="s">
        <v>1198</v>
      </c>
      <c r="H25" s="36" t="s">
        <v>721</v>
      </c>
      <c r="I25" s="632"/>
      <c r="J25" s="633" t="str">
        <f>IF(ISBLANK(HLOOKUP(CaseName,CaseData,MATCH($G25,cases!$G$3:$G$2464,0),FALSE)),"",HLOOKUP(CaseName,CaseData,MATCH($G25,cases!$G$3:$G$2464,0),FALSE))</f>
        <v/>
      </c>
      <c r="K25" s="352">
        <v>3</v>
      </c>
      <c r="L25" s="634">
        <f>IF(ISBLANK(I25),IF(ISNUMBER(J25)=FALSE,K25/100,J25/100),I25/100)</f>
        <v>0.03</v>
      </c>
      <c r="M25" s="29" t="s">
        <v>720</v>
      </c>
      <c r="N25" s="36"/>
      <c r="O25" s="36"/>
    </row>
    <row r="26" spans="1:15" ht="12.75" customHeight="1" x14ac:dyDescent="0.3">
      <c r="A26" s="36"/>
      <c r="B26" s="29"/>
      <c r="C26" s="36" t="s">
        <v>576</v>
      </c>
      <c r="D26" s="95"/>
      <c r="E26" s="95"/>
      <c r="F26" s="29"/>
      <c r="G26" s="94" t="s">
        <v>1199</v>
      </c>
      <c r="H26" s="36" t="s">
        <v>721</v>
      </c>
      <c r="I26" s="632"/>
      <c r="J26" s="633" t="str">
        <f>IF(ISBLANK(HLOOKUP(CaseName,CaseData,MATCH($G26,cases!$G$3:$G$2464,0),FALSE)),"",HLOOKUP(CaseName,CaseData,MATCH($G26,cases!$G$3:$G$2464,0),FALSE))</f>
        <v/>
      </c>
      <c r="K26" s="352">
        <v>3</v>
      </c>
      <c r="L26" s="634">
        <f>IF(ISBLANK(I26),IF(ISNUMBER(J26)=FALSE,K26/100,J26/100),I26/100)</f>
        <v>0.03</v>
      </c>
      <c r="M26" s="29" t="s">
        <v>720</v>
      </c>
      <c r="N26" s="36"/>
      <c r="O26" s="36"/>
    </row>
    <row r="27" spans="1:15" ht="12.75" customHeight="1" x14ac:dyDescent="0.3">
      <c r="A27" s="36"/>
      <c r="B27" s="29"/>
      <c r="C27" s="36" t="s">
        <v>3963</v>
      </c>
      <c r="D27" s="95"/>
      <c r="E27" s="95"/>
      <c r="F27" s="29"/>
      <c r="G27" s="94" t="s">
        <v>1200</v>
      </c>
      <c r="H27" s="36" t="s">
        <v>719</v>
      </c>
      <c r="I27" s="632"/>
      <c r="J27" s="633" t="str">
        <f>IF(ISBLANK(HLOOKUP(CaseName,CaseData,MATCH($G27,cases!$G$3:$G$2464,0),FALSE)),"",HLOOKUP(CaseName,CaseData,MATCH($G27,cases!$G$3:$G$2464,0),FALSE))</f>
        <v/>
      </c>
      <c r="K27" s="345">
        <v>0.05</v>
      </c>
      <c r="L27" s="634">
        <f t="shared" si="0"/>
        <v>0.05</v>
      </c>
      <c r="M27" s="29" t="s">
        <v>720</v>
      </c>
      <c r="N27" s="36"/>
      <c r="O27" s="36"/>
    </row>
    <row r="28" spans="1:15" ht="12.75" customHeight="1" x14ac:dyDescent="0.3">
      <c r="A28" s="36"/>
      <c r="B28" s="29"/>
      <c r="C28" s="36" t="s">
        <v>3964</v>
      </c>
      <c r="D28" s="95"/>
      <c r="E28" s="95"/>
      <c r="F28" s="29"/>
      <c r="G28" s="94" t="s">
        <v>57</v>
      </c>
      <c r="H28" s="36" t="s">
        <v>719</v>
      </c>
      <c r="I28" s="632"/>
      <c r="J28" s="633" t="str">
        <f>IF(ISBLANK(HLOOKUP(CaseName,CaseData,MATCH($G28,cases!$G$3:$G$2464,0),FALSE)),"",HLOOKUP(CaseName,CaseData,MATCH($G28,cases!$G$3:$G$2464,0),FALSE))</f>
        <v/>
      </c>
      <c r="K28" s="345">
        <v>0.2</v>
      </c>
      <c r="L28" s="634">
        <f t="shared" si="0"/>
        <v>0.2</v>
      </c>
      <c r="M28" s="29" t="s">
        <v>720</v>
      </c>
      <c r="N28" s="36"/>
      <c r="O28" s="36"/>
    </row>
    <row r="29" spans="1:15" ht="12.75" customHeight="1" x14ac:dyDescent="0.3">
      <c r="A29" s="36"/>
      <c r="B29" s="29"/>
      <c r="C29" s="36" t="s">
        <v>3965</v>
      </c>
      <c r="D29" s="95"/>
      <c r="E29" s="95"/>
      <c r="F29" s="29"/>
      <c r="G29" s="94" t="s">
        <v>58</v>
      </c>
      <c r="H29" s="36" t="s">
        <v>719</v>
      </c>
      <c r="I29" s="632"/>
      <c r="J29" s="633" t="str">
        <f>IF(ISBLANK(HLOOKUP(CaseName,CaseData,MATCH($G29,cases!$G$3:$G$2464,0),FALSE)),"",HLOOKUP(CaseName,CaseData,MATCH($G29,cases!$G$3:$G$2464,0),FALSE))</f>
        <v/>
      </c>
      <c r="K29" s="345">
        <v>0.05</v>
      </c>
      <c r="L29" s="634">
        <f t="shared" si="0"/>
        <v>0.05</v>
      </c>
      <c r="M29" s="29" t="s">
        <v>720</v>
      </c>
      <c r="N29" s="36"/>
      <c r="O29" s="36"/>
    </row>
    <row r="30" spans="1:15" ht="12.75" customHeight="1" x14ac:dyDescent="0.3">
      <c r="A30" s="29"/>
      <c r="B30" s="29"/>
      <c r="C30" s="29" t="s">
        <v>216</v>
      </c>
      <c r="D30" s="29"/>
      <c r="E30" s="29"/>
      <c r="F30" s="29"/>
      <c r="G30" s="36" t="s">
        <v>3966</v>
      </c>
      <c r="H30" s="36" t="s">
        <v>722</v>
      </c>
      <c r="I30" s="636"/>
      <c r="J30" s="633" t="str">
        <f>IF(ISBLANK(HLOOKUP(CaseName,CaseData,MATCH($G30,cases!$G$3:$G$2464,0),FALSE)),"",HLOOKUP(CaseName,CaseData,MATCH($G30,cases!$G$3:$G$2464,0),FALSE))</f>
        <v/>
      </c>
      <c r="K30" s="352">
        <v>1.9999999999999999E-11</v>
      </c>
      <c r="L30" s="634">
        <f t="shared" si="0"/>
        <v>1.9999999999999999E-11</v>
      </c>
      <c r="M30" s="36" t="s">
        <v>486</v>
      </c>
      <c r="N30" s="36" t="s">
        <v>2183</v>
      </c>
      <c r="O30" s="36"/>
    </row>
    <row r="31" spans="1:15" ht="12.75" customHeight="1" x14ac:dyDescent="0.3">
      <c r="A31" s="29"/>
      <c r="B31" s="29"/>
      <c r="C31" s="29" t="s">
        <v>217</v>
      </c>
      <c r="D31" s="29"/>
      <c r="E31" s="29"/>
      <c r="F31" s="29"/>
      <c r="G31" s="36" t="s">
        <v>3967</v>
      </c>
      <c r="H31" s="36" t="s">
        <v>722</v>
      </c>
      <c r="I31" s="636"/>
      <c r="J31" s="633" t="str">
        <f>IF(ISBLANK(HLOOKUP(CaseName,CaseData,MATCH($G31,cases!$G$3:$G$2464,0),FALSE)),"",HLOOKUP(CaseName,CaseData,MATCH($G31,cases!$G$3:$G$2464,0),FALSE))</f>
        <v/>
      </c>
      <c r="K31" s="352">
        <v>1.9999999999999999E-11</v>
      </c>
      <c r="L31" s="634">
        <f t="shared" si="0"/>
        <v>1.9999999999999999E-11</v>
      </c>
      <c r="M31" s="36" t="s">
        <v>486</v>
      </c>
      <c r="N31" s="36" t="s">
        <v>2183</v>
      </c>
      <c r="O31" s="36"/>
    </row>
    <row r="32" spans="1:15" ht="12.75" customHeight="1" x14ac:dyDescent="0.3">
      <c r="A32" s="36"/>
      <c r="B32" s="29"/>
      <c r="C32" s="36" t="s">
        <v>536</v>
      </c>
      <c r="D32" s="95"/>
      <c r="E32" s="95"/>
      <c r="F32" s="29"/>
      <c r="G32" s="94" t="s">
        <v>892</v>
      </c>
      <c r="H32" s="36" t="s">
        <v>722</v>
      </c>
      <c r="I32" s="632"/>
      <c r="J32" s="633" t="str">
        <f>IF(ISBLANK(HLOOKUP(CaseName,CaseData,MATCH($G32,cases!$G$3:$G$2464,0),FALSE)),"",HLOOKUP(CaseName,CaseData,MATCH($G32,cases!$G$3:$G$2464,0),FALSE))</f>
        <v/>
      </c>
      <c r="K32" s="352">
        <v>0.2</v>
      </c>
      <c r="L32" s="634">
        <f t="shared" si="0"/>
        <v>0.2</v>
      </c>
      <c r="M32" s="36" t="s">
        <v>486</v>
      </c>
      <c r="N32" s="36"/>
      <c r="O32" s="36"/>
    </row>
    <row r="33" spans="1:15" ht="12.75" customHeight="1" x14ac:dyDescent="0.3">
      <c r="A33" s="36"/>
      <c r="B33" s="29"/>
      <c r="C33" s="36" t="s">
        <v>418</v>
      </c>
      <c r="D33" s="95"/>
      <c r="E33" s="95"/>
      <c r="F33" s="29"/>
      <c r="G33" s="94" t="s">
        <v>9</v>
      </c>
      <c r="H33" s="36" t="s">
        <v>722</v>
      </c>
      <c r="I33" s="632"/>
      <c r="J33" s="633" t="str">
        <f>IF(ISBLANK(HLOOKUP(CaseName,CaseData,MATCH($G33,cases!$G$3:$G$2464,0),FALSE)),"",HLOOKUP(CaseName,CaseData,MATCH($G33,cases!$G$3:$G$2464,0),FALSE))</f>
        <v/>
      </c>
      <c r="K33" s="352">
        <v>0.2</v>
      </c>
      <c r="L33" s="634">
        <f t="shared" si="0"/>
        <v>0.2</v>
      </c>
      <c r="M33" s="36" t="s">
        <v>486</v>
      </c>
      <c r="N33" s="36"/>
      <c r="O33" s="36"/>
    </row>
    <row r="34" spans="1:15" ht="12.75" customHeight="1" x14ac:dyDescent="0.3">
      <c r="A34" s="36"/>
      <c r="B34" s="29"/>
      <c r="C34" s="36" t="s">
        <v>794</v>
      </c>
      <c r="D34" s="95"/>
      <c r="E34" s="95"/>
      <c r="F34" s="29"/>
      <c r="G34" s="94" t="s">
        <v>889</v>
      </c>
      <c r="H34" s="36" t="s">
        <v>722</v>
      </c>
      <c r="I34" s="632"/>
      <c r="J34" s="633" t="str">
        <f>IF(ISBLANK(HLOOKUP(CaseName,CaseData,MATCH($G34,cases!$G$3:$G$2464,0),FALSE)),"",HLOOKUP(CaseName,CaseData,MATCH($G34,cases!$G$3:$G$2464,0),FALSE))</f>
        <v/>
      </c>
      <c r="K34" s="352">
        <f>1-L32-L33</f>
        <v>0.60000000000000009</v>
      </c>
      <c r="L34" s="634">
        <f t="shared" si="0"/>
        <v>0.60000000000000009</v>
      </c>
      <c r="M34" s="36" t="s">
        <v>486</v>
      </c>
      <c r="N34" s="36"/>
      <c r="O34" s="36"/>
    </row>
    <row r="35" spans="1:15" ht="12.75" customHeight="1" x14ac:dyDescent="0.3">
      <c r="A35" s="36"/>
      <c r="B35" s="29"/>
      <c r="C35" s="36" t="s">
        <v>795</v>
      </c>
      <c r="D35" s="95"/>
      <c r="E35" s="95"/>
      <c r="F35" s="29"/>
      <c r="G35" s="94" t="s">
        <v>7</v>
      </c>
      <c r="H35" s="36" t="s">
        <v>722</v>
      </c>
      <c r="I35" s="632"/>
      <c r="J35" s="633" t="str">
        <f>IF(ISBLANK(HLOOKUP(CaseName,CaseData,MATCH($G35,cases!$G$3:$G$2464,0),FALSE)),"",HLOOKUP(CaseName,CaseData,MATCH($G35,cases!$G$3:$G$2464,0),FALSE))</f>
        <v/>
      </c>
      <c r="K35" s="352">
        <v>0.2</v>
      </c>
      <c r="L35" s="634">
        <f t="shared" si="0"/>
        <v>0.2</v>
      </c>
      <c r="M35" s="36" t="s">
        <v>486</v>
      </c>
      <c r="N35" s="36"/>
      <c r="O35" s="36"/>
    </row>
    <row r="36" spans="1:15" ht="12.75" customHeight="1" x14ac:dyDescent="0.3">
      <c r="A36" s="36"/>
      <c r="B36" s="29"/>
      <c r="C36" s="36" t="s">
        <v>534</v>
      </c>
      <c r="D36" s="95"/>
      <c r="E36" s="95"/>
      <c r="F36" s="29"/>
      <c r="G36" s="94" t="s">
        <v>10</v>
      </c>
      <c r="H36" s="36" t="s">
        <v>722</v>
      </c>
      <c r="I36" s="632"/>
      <c r="J36" s="633" t="str">
        <f>IF(ISBLANK(HLOOKUP(CaseName,CaseData,MATCH($G36,cases!$G$3:$G$2464,0),FALSE)),"",HLOOKUP(CaseName,CaseData,MATCH($G36,cases!$G$3:$G$2464,0),FALSE))</f>
        <v/>
      </c>
      <c r="K36" s="352">
        <v>0.2</v>
      </c>
      <c r="L36" s="634">
        <f t="shared" si="0"/>
        <v>0.2</v>
      </c>
      <c r="M36" s="36" t="s">
        <v>486</v>
      </c>
      <c r="N36" s="36"/>
      <c r="O36" s="36"/>
    </row>
    <row r="37" spans="1:15" ht="12.75" customHeight="1" x14ac:dyDescent="0.3">
      <c r="A37" s="36"/>
      <c r="B37" s="29"/>
      <c r="C37" s="36" t="s">
        <v>535</v>
      </c>
      <c r="D37" s="95"/>
      <c r="E37" s="95"/>
      <c r="F37" s="29"/>
      <c r="G37" s="94" t="s">
        <v>890</v>
      </c>
      <c r="H37" s="36" t="s">
        <v>722</v>
      </c>
      <c r="I37" s="632"/>
      <c r="J37" s="633" t="str">
        <f>IF(ISBLANK(HLOOKUP(CaseName,CaseData,MATCH($G37,cases!$G$3:$G$2464,0),FALSE)),"",HLOOKUP(CaseName,CaseData,MATCH($G37,cases!$G$3:$G$2464,0),FALSE))</f>
        <v/>
      </c>
      <c r="K37" s="352">
        <f>1-L35-L36</f>
        <v>0.60000000000000009</v>
      </c>
      <c r="L37" s="634">
        <f t="shared" si="0"/>
        <v>0.60000000000000009</v>
      </c>
      <c r="M37" s="36" t="s">
        <v>486</v>
      </c>
      <c r="N37" s="36"/>
      <c r="O37" s="36"/>
    </row>
    <row r="38" spans="1:15" ht="12.75" customHeight="1" x14ac:dyDescent="0.3">
      <c r="A38" s="36"/>
      <c r="B38" s="29"/>
      <c r="C38" s="36" t="s">
        <v>1357</v>
      </c>
      <c r="D38" s="95"/>
      <c r="E38" s="95"/>
      <c r="F38" s="29"/>
      <c r="G38" s="94" t="s">
        <v>8</v>
      </c>
      <c r="H38" s="36" t="s">
        <v>722</v>
      </c>
      <c r="I38" s="632"/>
      <c r="J38" s="633" t="str">
        <f>IF(ISBLANK(HLOOKUP(CaseName,CaseData,MATCH($G38,cases!$G$3:$G$2464,0),FALSE)),"",HLOOKUP(CaseName,CaseData,MATCH($G38,cases!$G$3:$G$2464,0),FALSE))</f>
        <v/>
      </c>
      <c r="K38" s="352">
        <v>0.2</v>
      </c>
      <c r="L38" s="634">
        <f t="shared" si="0"/>
        <v>0.2</v>
      </c>
      <c r="M38" s="36" t="s">
        <v>486</v>
      </c>
      <c r="N38" s="36"/>
      <c r="O38" s="36"/>
    </row>
    <row r="39" spans="1:15" ht="12.75" customHeight="1" x14ac:dyDescent="0.3">
      <c r="A39" s="36"/>
      <c r="B39" s="29"/>
      <c r="C39" s="36" t="s">
        <v>537</v>
      </c>
      <c r="D39" s="95"/>
      <c r="E39" s="95"/>
      <c r="F39" s="29"/>
      <c r="G39" s="94" t="s">
        <v>11</v>
      </c>
      <c r="H39" s="36" t="s">
        <v>722</v>
      </c>
      <c r="I39" s="632"/>
      <c r="J39" s="633" t="str">
        <f>IF(ISBLANK(HLOOKUP(CaseName,CaseData,MATCH($G39,cases!$G$3:$G$2464,0),FALSE)),"",HLOOKUP(CaseName,CaseData,MATCH($G39,cases!$G$3:$G$2464,0),FALSE))</f>
        <v/>
      </c>
      <c r="K39" s="352">
        <v>0.2</v>
      </c>
      <c r="L39" s="634">
        <f t="shared" si="0"/>
        <v>0.2</v>
      </c>
      <c r="M39" s="36" t="s">
        <v>486</v>
      </c>
      <c r="N39" s="36"/>
      <c r="O39" s="36"/>
    </row>
    <row r="40" spans="1:15" ht="12.75" customHeight="1" x14ac:dyDescent="0.3">
      <c r="A40" s="36"/>
      <c r="B40" s="29"/>
      <c r="C40" s="36" t="s">
        <v>15</v>
      </c>
      <c r="D40" s="95"/>
      <c r="E40" s="95"/>
      <c r="F40" s="29"/>
      <c r="G40" s="94" t="s">
        <v>891</v>
      </c>
      <c r="H40" s="36" t="s">
        <v>722</v>
      </c>
      <c r="I40" s="632"/>
      <c r="J40" s="633" t="str">
        <f>IF(ISBLANK(HLOOKUP(CaseName,CaseData,MATCH($G40,cases!$G$3:$G$2464,0),FALSE)),"",HLOOKUP(CaseName,CaseData,MATCH($G40,cases!$G$3:$G$2464,0),FALSE))</f>
        <v/>
      </c>
      <c r="K40" s="352">
        <f>1-L38-L39</f>
        <v>0.60000000000000009</v>
      </c>
      <c r="L40" s="634">
        <f t="shared" si="0"/>
        <v>0.60000000000000009</v>
      </c>
      <c r="M40" s="36" t="s">
        <v>486</v>
      </c>
      <c r="N40" s="36"/>
      <c r="O40" s="36"/>
    </row>
    <row r="41" spans="1:15" ht="12.75" customHeight="1" x14ac:dyDescent="0.3">
      <c r="A41" s="36"/>
      <c r="B41" s="29"/>
      <c r="C41" s="36" t="s">
        <v>434</v>
      </c>
      <c r="D41" s="95"/>
      <c r="E41" s="95"/>
      <c r="F41" s="29"/>
      <c r="G41" s="94" t="s">
        <v>893</v>
      </c>
      <c r="H41" s="36" t="s">
        <v>722</v>
      </c>
      <c r="I41" s="632"/>
      <c r="J41" s="633" t="str">
        <f>IF(ISBLANK(HLOOKUP(CaseName,CaseData,MATCH($G41,cases!$G$3:$G$2464,0),FALSE)),"",HLOOKUP(CaseName,CaseData,MATCH($G41,cases!$G$3:$G$2464,0),FALSE))</f>
        <v/>
      </c>
      <c r="K41" s="352">
        <v>0.8</v>
      </c>
      <c r="L41" s="634">
        <f t="shared" si="0"/>
        <v>0.8</v>
      </c>
      <c r="M41" s="36" t="s">
        <v>486</v>
      </c>
      <c r="N41" s="36"/>
      <c r="O41" s="36"/>
    </row>
    <row r="42" spans="1:15" ht="12.75" customHeight="1" x14ac:dyDescent="0.3">
      <c r="A42" s="36"/>
      <c r="B42" s="29"/>
      <c r="C42" s="36" t="s">
        <v>888</v>
      </c>
      <c r="D42" s="95"/>
      <c r="E42" s="95"/>
      <c r="F42" s="29"/>
      <c r="G42" s="94" t="s">
        <v>894</v>
      </c>
      <c r="H42" s="36" t="s">
        <v>722</v>
      </c>
      <c r="I42" s="632"/>
      <c r="J42" s="633" t="str">
        <f>IF(ISBLANK(HLOOKUP(CaseName,CaseData,MATCH($G42,cases!$G$3:$G$2464,0),FALSE)),"",HLOOKUP(CaseName,CaseData,MATCH($G42,cases!$G$3:$G$2464,0),FALSE))</f>
        <v/>
      </c>
      <c r="K42" s="352">
        <f>1-L41</f>
        <v>0.19999999999999996</v>
      </c>
      <c r="L42" s="634">
        <f t="shared" si="0"/>
        <v>0.19999999999999996</v>
      </c>
      <c r="M42" s="36" t="s">
        <v>486</v>
      </c>
      <c r="N42" s="36"/>
      <c r="O42" s="36"/>
    </row>
    <row r="43" spans="1:15" ht="12.75" customHeight="1" x14ac:dyDescent="0.3">
      <c r="A43" s="36"/>
      <c r="B43" s="29"/>
      <c r="C43" s="29"/>
      <c r="D43" s="29"/>
      <c r="E43" s="29"/>
      <c r="F43" s="29"/>
      <c r="G43" s="94"/>
      <c r="H43" s="36"/>
      <c r="I43" s="339"/>
      <c r="J43" s="363"/>
      <c r="K43" s="353"/>
      <c r="L43" s="353"/>
      <c r="M43" s="29"/>
      <c r="N43" s="36"/>
      <c r="O43" s="36"/>
    </row>
    <row r="44" spans="1:15" ht="12.75" customHeight="1" x14ac:dyDescent="0.3">
      <c r="A44" s="36" t="s">
        <v>63</v>
      </c>
      <c r="B44" s="29"/>
      <c r="C44" s="29"/>
      <c r="D44" s="29"/>
      <c r="E44" s="29"/>
      <c r="F44" s="29"/>
      <c r="G44" s="36" t="s">
        <v>227</v>
      </c>
      <c r="H44" s="36" t="s">
        <v>4036</v>
      </c>
      <c r="I44" s="637"/>
      <c r="J44" s="633" t="str">
        <f>IF(ISBLANK(HLOOKUP(CaseName,CaseData,MATCH($G44,cases!$G$3:$G$2464,0),FALSE)),"",HLOOKUP(CaseName,CaseData,MATCH($G44,cases!$G$3:$G$2464,0),FALSE))</f>
        <v/>
      </c>
      <c r="K44" s="352">
        <f>1/L45</f>
        <v>9.4201427396491372E-6</v>
      </c>
      <c r="L44" s="634">
        <f>IF(ISBLANK(I44),IF(ISNUMBER(J44)=FALSE,K44,J44),I44)</f>
        <v>9.4201427396491372E-6</v>
      </c>
      <c r="M44" s="29" t="s">
        <v>1488</v>
      </c>
      <c r="N44" s="36"/>
      <c r="O44" s="36"/>
    </row>
    <row r="45" spans="1:15" ht="12.75" customHeight="1" x14ac:dyDescent="0.3">
      <c r="A45" s="36"/>
      <c r="B45" s="36" t="s">
        <v>704</v>
      </c>
      <c r="C45" s="36"/>
      <c r="D45" s="95"/>
      <c r="E45" s="29"/>
      <c r="F45" s="29"/>
      <c r="G45" s="37" t="s">
        <v>108</v>
      </c>
      <c r="H45" s="36" t="s">
        <v>723</v>
      </c>
      <c r="I45" s="632"/>
      <c r="J45" s="633" t="str">
        <f>IF(ISBLANK(HLOOKUP(CaseName,CaseData,MATCH($G45,cases!$G$3:$G$2464,0),FALSE)),"",HLOOKUP(CaseName,CaseData,MATCH($G45,cases!$G$3:$G$2464,0),FALSE))</f>
        <v/>
      </c>
      <c r="K45" s="352">
        <f>1.5*(0.5*SQRT(L14*PI()/4)/WINDspeed.R)/(3600*24)</f>
        <v>1.2286516663233875</v>
      </c>
      <c r="L45" s="634">
        <f>IF(ISBLANK(I45),IF(ISNUMBER(J45)=FALSE,K45*(3600*24),J45*(3600*24)),I45*(3600*24))</f>
        <v>106155.50397034068</v>
      </c>
      <c r="M45" s="36" t="s">
        <v>115</v>
      </c>
      <c r="N45" s="36"/>
      <c r="O45" s="36"/>
    </row>
    <row r="46" spans="1:15" ht="12.75" customHeight="1" x14ac:dyDescent="0.3">
      <c r="A46" s="36"/>
      <c r="B46" s="29"/>
      <c r="C46" s="29"/>
      <c r="D46" s="29"/>
      <c r="E46" s="29"/>
      <c r="F46" s="29"/>
      <c r="G46" s="94"/>
      <c r="H46" s="36"/>
      <c r="I46" s="339"/>
      <c r="J46" s="363"/>
      <c r="K46" s="353"/>
      <c r="L46" s="353"/>
      <c r="M46" s="29"/>
      <c r="N46" s="36"/>
      <c r="O46" s="36"/>
    </row>
    <row r="47" spans="1:15" ht="12.75" customHeight="1" x14ac:dyDescent="0.3">
      <c r="A47" s="36" t="s">
        <v>319</v>
      </c>
      <c r="B47" s="29"/>
      <c r="C47" s="29"/>
      <c r="D47" s="29"/>
      <c r="E47" s="29"/>
      <c r="F47" s="29"/>
      <c r="G47" s="36" t="s">
        <v>288</v>
      </c>
      <c r="H47" s="36" t="s">
        <v>4036</v>
      </c>
      <c r="I47" s="637"/>
      <c r="J47" s="633" t="str">
        <f>IF(ISBLANK(HLOOKUP(CaseName,CaseData,MATCH($G47,cases!$G$3:$G$2464,0),FALSE)),"",HLOOKUP(CaseName,CaseData,MATCH($G47,cases!$G$3:$G$2464,0),FALSE))</f>
        <v/>
      </c>
      <c r="K47" s="352">
        <f>L52/L6</f>
        <v>2.3972602739726025E-9</v>
      </c>
      <c r="L47" s="634">
        <f t="shared" ref="L47:L56" si="1">IF(ISBLANK(I47),IF(ISNUMBER(J47)=FALSE,K47,J47),I47)</f>
        <v>2.3972602739726025E-9</v>
      </c>
      <c r="M47" s="29" t="s">
        <v>1488</v>
      </c>
      <c r="N47" s="36"/>
      <c r="O47" s="36"/>
    </row>
    <row r="48" spans="1:15" ht="12.75" customHeight="1" x14ac:dyDescent="0.3">
      <c r="A48" s="36" t="s">
        <v>320</v>
      </c>
      <c r="B48" s="29"/>
      <c r="C48" s="29"/>
      <c r="D48" s="29"/>
      <c r="E48" s="29"/>
      <c r="F48" s="29"/>
      <c r="G48" s="36" t="s">
        <v>290</v>
      </c>
      <c r="H48" s="36" t="s">
        <v>4036</v>
      </c>
      <c r="I48" s="637"/>
      <c r="J48" s="633" t="str">
        <f>IF(ISBLANK(HLOOKUP(CaseName,CaseData,MATCH($G48,cases!$G$3:$G$2464,0),FALSE)),"",HLOOKUP(CaseName,CaseData,MATCH($G48,cases!$G$3:$G$2464,0),FALSE))</f>
        <v/>
      </c>
      <c r="K48" s="352">
        <f>L53/L6</f>
        <v>0</v>
      </c>
      <c r="L48" s="634">
        <f t="shared" si="1"/>
        <v>0</v>
      </c>
      <c r="M48" s="29" t="s">
        <v>1488</v>
      </c>
      <c r="N48" s="36"/>
      <c r="O48" s="36"/>
    </row>
    <row r="49" spans="1:15" ht="12.75" customHeight="1" x14ac:dyDescent="0.3">
      <c r="A49" s="36" t="s">
        <v>318</v>
      </c>
      <c r="B49" s="29"/>
      <c r="C49" s="29"/>
      <c r="D49" s="29"/>
      <c r="E49" s="29"/>
      <c r="F49" s="29"/>
      <c r="G49" s="36" t="s">
        <v>289</v>
      </c>
      <c r="H49" s="36" t="s">
        <v>4036</v>
      </c>
      <c r="I49" s="637"/>
      <c r="J49" s="633" t="str">
        <f>IF(ISBLANK(HLOOKUP(CaseName,CaseData,MATCH($G49,cases!$G$3:$G$2464,0),FALSE)),"",HLOOKUP(CaseName,CaseData,MATCH($G49,cases!$G$3:$G$2464,0),FALSE))</f>
        <v/>
      </c>
      <c r="K49" s="352">
        <f>L54/L7</f>
        <v>0</v>
      </c>
      <c r="L49" s="634">
        <f t="shared" si="1"/>
        <v>0</v>
      </c>
      <c r="M49" s="29" t="s">
        <v>1488</v>
      </c>
      <c r="N49" s="36"/>
      <c r="O49" s="36"/>
    </row>
    <row r="50" spans="1:15" ht="12.75" customHeight="1" x14ac:dyDescent="0.3">
      <c r="A50" s="36" t="s">
        <v>64</v>
      </c>
      <c r="B50" s="29"/>
      <c r="C50" s="29"/>
      <c r="D50" s="29"/>
      <c r="E50" s="29"/>
      <c r="F50" s="29"/>
      <c r="G50" s="36" t="s">
        <v>228</v>
      </c>
      <c r="H50" s="36" t="s">
        <v>4036</v>
      </c>
      <c r="I50" s="637"/>
      <c r="J50" s="633" t="str">
        <f>IF(ISBLANK(HLOOKUP(CaseName,CaseData,MATCH($G50,cases!$G$3:$G$2464,0),FALSE)),"",HLOOKUP(CaseName,CaseData,MATCH($G50,cases!$G$3:$G$2464,0),FALSE))</f>
        <v/>
      </c>
      <c r="K50" s="352">
        <f>L55/L7</f>
        <v>7.26442507264425E-8</v>
      </c>
      <c r="L50" s="634">
        <f t="shared" si="1"/>
        <v>7.26442507264425E-8</v>
      </c>
      <c r="M50" s="29" t="s">
        <v>1488</v>
      </c>
      <c r="N50" s="36"/>
      <c r="O50" s="36"/>
    </row>
    <row r="51" spans="1:15" ht="12.75" customHeight="1" x14ac:dyDescent="0.3">
      <c r="A51" s="36" t="s">
        <v>65</v>
      </c>
      <c r="B51" s="29"/>
      <c r="C51" s="29"/>
      <c r="D51" s="29"/>
      <c r="E51" s="29"/>
      <c r="F51" s="29"/>
      <c r="G51" s="36" t="s">
        <v>229</v>
      </c>
      <c r="H51" s="36" t="s">
        <v>4036</v>
      </c>
      <c r="I51" s="637"/>
      <c r="J51" s="633" t="str">
        <f>IF(ISBLANK(HLOOKUP(CaseName,CaseData,MATCH($G51,cases!$G$3:$G$2464,0),FALSE)),"",HLOOKUP(CaseName,CaseData,MATCH($G51,cases!$G$3:$G$2464,0),FALSE))</f>
        <v/>
      </c>
      <c r="K51" s="352">
        <f>L56/L8</f>
        <v>1.3698544520547928E-6</v>
      </c>
      <c r="L51" s="634">
        <f t="shared" si="1"/>
        <v>1.3698544520547928E-6</v>
      </c>
      <c r="M51" s="29" t="s">
        <v>1488</v>
      </c>
      <c r="N51" s="36"/>
      <c r="O51" s="36"/>
    </row>
    <row r="52" spans="1:15" ht="12.75" customHeight="1" x14ac:dyDescent="0.3">
      <c r="A52" s="36"/>
      <c r="B52" s="36" t="s">
        <v>314</v>
      </c>
      <c r="C52" s="29"/>
      <c r="D52" s="29"/>
      <c r="E52" s="95"/>
      <c r="F52" s="95"/>
      <c r="G52" s="94" t="s">
        <v>316</v>
      </c>
      <c r="H52" s="36" t="s">
        <v>4037</v>
      </c>
      <c r="I52" s="635"/>
      <c r="J52" s="633" t="str">
        <f>IF(ISBLANK(HLOOKUP(CaseName,CaseData,MATCH($G52,cases!$G$3:$G$2464,0),FALSE)),"",HLOOKUP(CaseName,CaseData,MATCH($G52,cases!$G$3:$G$2464,0),FALSE))</f>
        <v/>
      </c>
      <c r="K52" s="352">
        <f>0.1*K55</f>
        <v>136.98544520547944</v>
      </c>
      <c r="L52" s="634">
        <f>IF(ISBLANK(I52),IF(ISNUMBER(J52)=FALSE,K52,J52),I52)</f>
        <v>136.98544520547944</v>
      </c>
      <c r="M52" s="29" t="s">
        <v>4038</v>
      </c>
      <c r="N52" s="36" t="s">
        <v>324</v>
      </c>
      <c r="O52" s="36"/>
    </row>
    <row r="53" spans="1:15" ht="12.75" customHeight="1" x14ac:dyDescent="0.3">
      <c r="A53" s="36"/>
      <c r="B53" s="36" t="s">
        <v>317</v>
      </c>
      <c r="C53" s="29"/>
      <c r="D53" s="29"/>
      <c r="E53" s="95"/>
      <c r="F53" s="95"/>
      <c r="G53" s="94" t="s">
        <v>315</v>
      </c>
      <c r="H53" s="36" t="s">
        <v>4037</v>
      </c>
      <c r="I53" s="635"/>
      <c r="J53" s="633" t="str">
        <f>IF(ISBLANK(HLOOKUP(CaseName,CaseData,MATCH($G53,cases!$G$3:$G$2464,0),FALSE)),"",HLOOKUP(CaseName,CaseData,MATCH($G53,cases!$G$3:$G$2464,0),FALSE))</f>
        <v/>
      </c>
      <c r="K53" s="352">
        <v>0</v>
      </c>
      <c r="L53" s="634">
        <f>IF(ISBLANK(I53),IF(ISNUMBER(J53)=FALSE,K53,J53),I53)</f>
        <v>0</v>
      </c>
      <c r="M53" s="29" t="s">
        <v>4038</v>
      </c>
      <c r="N53" s="36" t="s">
        <v>324</v>
      </c>
      <c r="O53" s="36"/>
    </row>
    <row r="54" spans="1:15" ht="12.75" customHeight="1" x14ac:dyDescent="0.3">
      <c r="A54" s="36"/>
      <c r="B54" s="36" t="s">
        <v>321</v>
      </c>
      <c r="C54" s="29"/>
      <c r="D54" s="29"/>
      <c r="E54" s="95"/>
      <c r="F54" s="95"/>
      <c r="G54" s="94" t="s">
        <v>322</v>
      </c>
      <c r="H54" s="36" t="s">
        <v>4037</v>
      </c>
      <c r="I54" s="635"/>
      <c r="J54" s="633" t="str">
        <f>IF(ISBLANK(HLOOKUP(CaseName,CaseData,MATCH($G54,cases!$G$3:$G$2464,0),FALSE)),"",HLOOKUP(CaseName,CaseData,MATCH($G54,cases!$G$3:$G$2464,0),FALSE))</f>
        <v/>
      </c>
      <c r="K54" s="352">
        <v>0</v>
      </c>
      <c r="L54" s="634">
        <f>IF(ISBLANK(I54),IF(ISNUMBER(J54)=FALSE,K54,J54),I54)</f>
        <v>0</v>
      </c>
      <c r="M54" s="29" t="s">
        <v>4038</v>
      </c>
      <c r="N54" s="36" t="s">
        <v>324</v>
      </c>
      <c r="O54" s="36"/>
    </row>
    <row r="55" spans="1:15" ht="12.75" customHeight="1" x14ac:dyDescent="0.3">
      <c r="A55" s="36"/>
      <c r="B55" s="36" t="s">
        <v>1166</v>
      </c>
      <c r="C55" s="29"/>
      <c r="D55" s="29"/>
      <c r="E55" s="95"/>
      <c r="F55" s="95"/>
      <c r="G55" s="94" t="s">
        <v>118</v>
      </c>
      <c r="H55" s="36" t="s">
        <v>4037</v>
      </c>
      <c r="I55" s="635"/>
      <c r="J55" s="633" t="str">
        <f>IF(ISBLANK(HLOOKUP(CaseName,CaseData,MATCH($G55,cases!$G$3:$G$2464,0),FALSE)),"",HLOOKUP(CaseName,CaseData,MATCH($G55,cases!$G$3:$G$2464,0),FALSE))</f>
        <v/>
      </c>
      <c r="K55" s="352">
        <f>((L16+L17*L178+L18*L179+L19*L180)*RAINrate.R*L14+WATERflow.w1C.w1R)*(1-FRAC.w1R.w1C)</f>
        <v>1369.8544520547944</v>
      </c>
      <c r="L55" s="634">
        <f t="shared" si="1"/>
        <v>1369.8544520547944</v>
      </c>
      <c r="M55" s="29" t="s">
        <v>4038</v>
      </c>
      <c r="N55" s="36"/>
      <c r="O55" s="36"/>
    </row>
    <row r="56" spans="1:15" ht="12.75" customHeight="1" x14ac:dyDescent="0.3">
      <c r="A56" s="36"/>
      <c r="B56" s="36" t="s">
        <v>1167</v>
      </c>
      <c r="C56" s="36"/>
      <c r="D56" s="29"/>
      <c r="E56" s="95"/>
      <c r="F56" s="95"/>
      <c r="G56" s="94" t="s">
        <v>119</v>
      </c>
      <c r="H56" s="36" t="s">
        <v>4037</v>
      </c>
      <c r="I56" s="632"/>
      <c r="J56" s="633" t="str">
        <f>IF(ISBLANK(HLOOKUP(CaseName,CaseData,MATCH($G56,cases!$G$3:$G$2464,0),FALSE)),"",HLOOKUP(CaseName,CaseData,MATCH($G56,cases!$G$3:$G$2464,0),FALSE))</f>
        <v/>
      </c>
      <c r="K56" s="352">
        <f>L55+WATERflow.w2C.w2R</f>
        <v>13698.544520547945</v>
      </c>
      <c r="L56" s="634">
        <f t="shared" si="1"/>
        <v>13698.544520547945</v>
      </c>
      <c r="M56" s="29" t="s">
        <v>4038</v>
      </c>
      <c r="N56" s="36"/>
      <c r="O56" s="36"/>
    </row>
    <row r="57" spans="1:15" ht="12.75" customHeight="1" x14ac:dyDescent="0.3">
      <c r="A57" s="29"/>
      <c r="B57" s="29"/>
      <c r="C57" s="29"/>
      <c r="D57" s="29"/>
      <c r="E57" s="29"/>
      <c r="F57" s="29"/>
      <c r="G57" s="36"/>
      <c r="H57" s="36"/>
      <c r="I57" s="339"/>
      <c r="J57" s="363"/>
      <c r="K57" s="353"/>
      <c r="L57" s="353"/>
      <c r="M57" s="29"/>
      <c r="N57" s="36"/>
      <c r="O57" s="36"/>
    </row>
    <row r="58" spans="1:15" ht="12.75" customHeight="1" x14ac:dyDescent="0.3">
      <c r="A58" s="98" t="s">
        <v>2228</v>
      </c>
      <c r="B58" s="97"/>
      <c r="C58" s="97"/>
      <c r="D58" s="97"/>
      <c r="E58" s="97"/>
      <c r="F58" s="97"/>
      <c r="G58" s="98" t="s">
        <v>1008</v>
      </c>
      <c r="H58" s="98" t="s">
        <v>968</v>
      </c>
      <c r="I58" s="364" t="s">
        <v>754</v>
      </c>
      <c r="J58" s="638" t="s">
        <v>37</v>
      </c>
      <c r="K58" s="340" t="s">
        <v>753</v>
      </c>
      <c r="L58" s="340" t="s">
        <v>1358</v>
      </c>
      <c r="M58" s="97"/>
      <c r="N58" s="98" t="s">
        <v>1371</v>
      </c>
      <c r="O58" s="36"/>
    </row>
    <row r="59" spans="1:15" ht="12.75" customHeight="1" x14ac:dyDescent="0.3">
      <c r="A59" s="36"/>
      <c r="B59" s="36"/>
      <c r="C59" s="36"/>
      <c r="D59" s="36"/>
      <c r="E59" s="36"/>
      <c r="F59" s="36"/>
      <c r="G59" s="36"/>
      <c r="H59" s="36"/>
      <c r="I59" s="339"/>
      <c r="J59" s="363"/>
      <c r="K59" s="353"/>
      <c r="L59" s="353"/>
      <c r="M59" s="29"/>
      <c r="N59" s="36"/>
      <c r="O59" s="36"/>
    </row>
    <row r="60" spans="1:15" ht="12.75" customHeight="1" x14ac:dyDescent="0.3">
      <c r="A60" s="29"/>
      <c r="B60" s="29" t="s">
        <v>3968</v>
      </c>
      <c r="C60" s="29"/>
      <c r="D60" s="29"/>
      <c r="E60" s="29"/>
      <c r="F60" s="29"/>
      <c r="G60" s="174" t="s">
        <v>3969</v>
      </c>
      <c r="H60" s="29" t="s">
        <v>36</v>
      </c>
      <c r="I60" s="636"/>
      <c r="J60" s="633" t="str">
        <f>IF(ISBLANK(HLOOKUP(CaseName,CaseData,MATCH($G60,cases!$G$3:$G$2464,0),FALSE)),"",HLOOKUP(CaseName,CaseData,MATCH($G60,cases!$G$3:$G$2464,0),FALSE))</f>
        <v/>
      </c>
      <c r="K60" s="366">
        <f>1-L31*L64/(1+L31*L64+L30*L65) -L30*L65/(1+L31*L64+L30*L65)</f>
        <v>0.99999996469432006</v>
      </c>
      <c r="L60" s="634">
        <f t="shared" ref="L60:L65" si="2">IF(ISBLANK(I60),IF(ISNUMBER(J60)=FALSE,K60,J60),I60)</f>
        <v>0.99999996469432006</v>
      </c>
      <c r="M60" s="36" t="s">
        <v>486</v>
      </c>
      <c r="N60" s="36"/>
      <c r="O60" s="36"/>
    </row>
    <row r="61" spans="1:15" ht="12.75" customHeight="1" x14ac:dyDescent="0.3">
      <c r="A61" s="29"/>
      <c r="B61" s="29" t="s">
        <v>615</v>
      </c>
      <c r="C61" s="29"/>
      <c r="D61" s="29"/>
      <c r="E61" s="29"/>
      <c r="F61" s="29"/>
      <c r="G61" s="29" t="s">
        <v>609</v>
      </c>
      <c r="H61" s="29" t="s">
        <v>36</v>
      </c>
      <c r="I61" s="632"/>
      <c r="J61" s="633" t="str">
        <f>IF(ISBLANK(HLOOKUP(CaseName,CaseData,MATCH($G61,cases!$G$3:$G$2464,0),FALSE)),"",HLOOKUP(CaseName,CaseData,MATCH($G61,cases!$G$3:$G$2464,0),FALSE))</f>
        <v/>
      </c>
      <c r="K61" s="425">
        <f>L31*L64/(1+L31*L64+L30*L65)</f>
        <v>2.2258158863377581E-10</v>
      </c>
      <c r="L61" s="634">
        <f t="shared" si="2"/>
        <v>2.2258158863377581E-10</v>
      </c>
      <c r="M61" s="36" t="s">
        <v>486</v>
      </c>
      <c r="N61" s="36" t="s">
        <v>2184</v>
      </c>
      <c r="O61" s="36"/>
    </row>
    <row r="62" spans="1:15" ht="12.75" customHeight="1" x14ac:dyDescent="0.3">
      <c r="A62" s="29"/>
      <c r="B62" s="29" t="s">
        <v>616</v>
      </c>
      <c r="C62" s="29"/>
      <c r="D62" s="29"/>
      <c r="E62" s="29"/>
      <c r="F62" s="29"/>
      <c r="G62" s="29" t="s">
        <v>610</v>
      </c>
      <c r="H62" s="29" t="s">
        <v>36</v>
      </c>
      <c r="I62" s="636"/>
      <c r="J62" s="633" t="str">
        <f>IF(ISBLANK(HLOOKUP(CaseName,CaseData,MATCH($G62,cases!$G$3:$G$2464,0),FALSE)),"",HLOOKUP(CaseName,CaseData,MATCH($G62,cases!$G$3:$G$2464,0),FALSE))</f>
        <v/>
      </c>
      <c r="K62" s="366">
        <f>L30*L65/(1+L31*L64+L30*L65)</f>
        <v>3.5083098262422926E-8</v>
      </c>
      <c r="L62" s="634">
        <f t="shared" si="2"/>
        <v>3.5083098262422926E-8</v>
      </c>
      <c r="M62" s="36" t="s">
        <v>486</v>
      </c>
      <c r="N62" s="36" t="s">
        <v>2184</v>
      </c>
      <c r="O62" s="36"/>
    </row>
    <row r="63" spans="1:15" ht="12.75" customHeight="1" x14ac:dyDescent="0.35">
      <c r="A63" s="29"/>
      <c r="B63" s="29"/>
      <c r="C63" s="29" t="s">
        <v>3970</v>
      </c>
      <c r="D63" s="29"/>
      <c r="E63" s="29"/>
      <c r="F63" s="29"/>
      <c r="G63" s="174" t="s">
        <v>3971</v>
      </c>
      <c r="H63" s="29" t="s">
        <v>4039</v>
      </c>
      <c r="I63" s="632"/>
      <c r="J63" s="633" t="str">
        <f>IF(ISBLANK(HLOOKUP(CaseName,CaseData,MATCH($G63,cases!$G$3:$G$2464,0),FALSE)),"",HLOOKUP(CaseName,CaseData,MATCH($G63,cases!$G$3:$G$2464,0),FALSE))</f>
        <v/>
      </c>
      <c r="K63" s="366">
        <f>Kaw*EXP((H0vap/8.314)*(1/298-1/TEMP.R))*EXP(-(H0sol/8.314)*(1/298-1/TEMP.R))*(298/TEMP.R)</f>
        <v>8.9854688416270423E-2</v>
      </c>
      <c r="L63" s="634">
        <f t="shared" si="2"/>
        <v>8.9854688416270423E-2</v>
      </c>
      <c r="M63" s="36" t="s">
        <v>486</v>
      </c>
      <c r="N63" s="36"/>
      <c r="O63" s="36"/>
    </row>
    <row r="64" spans="1:15" ht="12.75" customHeight="1" x14ac:dyDescent="0.35">
      <c r="A64" s="29"/>
      <c r="B64" s="29"/>
      <c r="C64" s="29" t="s">
        <v>612</v>
      </c>
      <c r="D64" s="29"/>
      <c r="E64" s="29"/>
      <c r="F64" s="29"/>
      <c r="G64" s="29" t="s">
        <v>611</v>
      </c>
      <c r="H64" s="29" t="s">
        <v>4040</v>
      </c>
      <c r="I64" s="632"/>
      <c r="J64" s="633" t="str">
        <f>IF(ISBLANK(HLOOKUP(CaseName,CaseData,MATCH($G64,cases!$G$3:$G$2464,0),FALSE)),"",HLOOKUP(CaseName,CaseData,MATCH($G64,cases!$G$3:$G$2464,0),FALSE))</f>
        <v/>
      </c>
      <c r="K64" s="425">
        <f>1/(L63*FRorig.aerw)</f>
        <v>11.129079824608519</v>
      </c>
      <c r="L64" s="634">
        <f t="shared" si="2"/>
        <v>11.129079824608519</v>
      </c>
      <c r="M64" s="36" t="s">
        <v>486</v>
      </c>
      <c r="N64" s="36"/>
      <c r="O64" s="36"/>
    </row>
    <row r="65" spans="1:15" ht="12.75" customHeight="1" x14ac:dyDescent="0.35">
      <c r="A65" s="29"/>
      <c r="B65" s="29"/>
      <c r="C65" s="29" t="s">
        <v>613</v>
      </c>
      <c r="D65" s="29"/>
      <c r="E65" s="29"/>
      <c r="F65" s="29"/>
      <c r="G65" s="29" t="s">
        <v>614</v>
      </c>
      <c r="H65" s="29" t="s">
        <v>4041</v>
      </c>
      <c r="I65" s="632"/>
      <c r="J65" s="633" t="str">
        <f>IF(ISBLANK(HLOOKUP(CaseName,CaseData,MATCH($G65,cases!$G$3:$G$2464,0),FALSE)),"",HLOOKUP(CaseName,CaseData,MATCH($G65,cases!$G$3:$G$2464,0),FALSE))</f>
        <v/>
      </c>
      <c r="K65" s="425">
        <f>0.54*(Kow/Kaw)*CORGaers*(RHOaers/1000)</f>
        <v>1754.1549750527802</v>
      </c>
      <c r="L65" s="634">
        <f t="shared" si="2"/>
        <v>1754.1549750527802</v>
      </c>
      <c r="M65" s="36" t="s">
        <v>486</v>
      </c>
      <c r="N65" s="36" t="s">
        <v>924</v>
      </c>
      <c r="O65" s="36"/>
    </row>
    <row r="66" spans="1:15" ht="12.75" customHeight="1" x14ac:dyDescent="0.3">
      <c r="A66" s="36"/>
      <c r="B66" s="36" t="s">
        <v>291</v>
      </c>
      <c r="C66" s="95"/>
      <c r="D66" s="29"/>
      <c r="E66" s="29"/>
      <c r="F66" s="29"/>
      <c r="G66" s="94" t="s">
        <v>292</v>
      </c>
      <c r="H66" s="36" t="s">
        <v>36</v>
      </c>
      <c r="I66" s="636"/>
      <c r="J66" s="633" t="str">
        <f>IF(ISBLANK(HLOOKUP(CaseName,CaseData,MATCH($G66,cases!$G$3:$G$2464,0),FALSE)),"",HLOOKUP(CaseName,CaseData,MATCH($G66,cases!$G$3:$G$2464,0),FALSE))</f>
        <v/>
      </c>
      <c r="K66" s="425">
        <f>1/(1+L67*L69/1000+L70*L71/1000)</f>
        <v>0.99974158989686501</v>
      </c>
      <c r="L66" s="634">
        <f>IF(ISBLANK(I66),IF(ISNUMBER(J66)=FALSE,K66,J66),I66)</f>
        <v>0.99974158989686501</v>
      </c>
      <c r="M66" s="36" t="s">
        <v>486</v>
      </c>
      <c r="N66" s="36"/>
      <c r="O66" s="36"/>
    </row>
    <row r="67" spans="1:15" ht="12.75" customHeight="1" x14ac:dyDescent="0.3">
      <c r="A67" s="36"/>
      <c r="B67" s="29"/>
      <c r="C67" s="36" t="s">
        <v>706</v>
      </c>
      <c r="D67" s="29"/>
      <c r="E67" s="29"/>
      <c r="F67" s="29"/>
      <c r="G67" s="94" t="s">
        <v>293</v>
      </c>
      <c r="H67" s="36" t="s">
        <v>4042</v>
      </c>
      <c r="I67" s="632"/>
      <c r="J67" s="633" t="str">
        <f>IF(ISBLANK(HLOOKUP(CaseName,CaseData,MATCH($G67,cases!$G$3:$G$2464,0),FALSE)),"",HLOOKUP(CaseName,CaseData,MATCH($G67,cases!$G$3:$G$2464,0),FALSE))</f>
        <v/>
      </c>
      <c r="K67" s="639">
        <f>(FRorig.w1*Ksw+(1-FRorig.w1)*Ksw.alt)*(1000/RHOsolid/CORG)*L68</f>
        <v>76.953792352546415</v>
      </c>
      <c r="L67" s="634">
        <f>IF(ISBLANK(I67),IF(ISNUMBER(J67)=FALSE,K67,J67),I67)</f>
        <v>76.953792352546415</v>
      </c>
      <c r="M67" s="36" t="s">
        <v>1498</v>
      </c>
      <c r="N67" s="36"/>
      <c r="O67" s="36"/>
    </row>
    <row r="68" spans="1:15" ht="12.75" customHeight="1" x14ac:dyDescent="0.3">
      <c r="A68" s="36"/>
      <c r="B68" s="29"/>
      <c r="C68" s="36" t="s">
        <v>1098</v>
      </c>
      <c r="D68" s="29"/>
      <c r="E68" s="29"/>
      <c r="F68" s="29"/>
      <c r="G68" s="94" t="s">
        <v>294</v>
      </c>
      <c r="H68" s="36" t="s">
        <v>36</v>
      </c>
      <c r="I68" s="632"/>
      <c r="J68" s="633" t="str">
        <f>IF(ISBLANK(HLOOKUP(CaseName,CaseData,MATCH($G68,cases!$G$3:$G$2464,0),FALSE)),"",HLOOKUP(CaseName,CaseData,MATCH($G68,cases!$G$3:$G$2464,0),FALSE))</f>
        <v/>
      </c>
      <c r="K68" s="639">
        <v>0.1</v>
      </c>
      <c r="L68" s="634">
        <f>IF(ISBLANK(I68),IF(ISNUMBER(J68)=FALSE,K68,J68),I68)</f>
        <v>0.1</v>
      </c>
      <c r="M68" s="36" t="s">
        <v>486</v>
      </c>
      <c r="N68" s="36"/>
      <c r="O68" s="36"/>
    </row>
    <row r="69" spans="1:15" ht="12.75" customHeight="1" x14ac:dyDescent="0.3">
      <c r="A69" s="36"/>
      <c r="B69" s="29"/>
      <c r="C69" s="36" t="s">
        <v>707</v>
      </c>
      <c r="D69" s="29"/>
      <c r="E69" s="29"/>
      <c r="F69" s="29"/>
      <c r="G69" s="94" t="s">
        <v>295</v>
      </c>
      <c r="H69" s="36" t="s">
        <v>4043</v>
      </c>
      <c r="I69" s="632"/>
      <c r="J69" s="633" t="str">
        <f>IF(ISBLANK(HLOOKUP(CaseName,CaseData,MATCH($G69,cases!$G$3:$G$2464,0),FALSE)),"",HLOOKUP(CaseName,CaseData,MATCH($G69,cases!$G$3:$G$2464,0),FALSE))</f>
        <v/>
      </c>
      <c r="K69" s="639">
        <v>0.5</v>
      </c>
      <c r="L69" s="634">
        <f>IF(ISBLANK(I69),IF(ISNUMBER(J69)=FALSE,K69/1000,J69/1000),I69/1000)</f>
        <v>5.0000000000000001E-4</v>
      </c>
      <c r="M69" s="36" t="s">
        <v>1497</v>
      </c>
      <c r="N69" s="36" t="s">
        <v>324</v>
      </c>
      <c r="O69" s="36"/>
    </row>
    <row r="70" spans="1:15" ht="12.75" customHeight="1" x14ac:dyDescent="0.3">
      <c r="A70" s="36"/>
      <c r="B70" s="29"/>
      <c r="C70" s="36" t="s">
        <v>549</v>
      </c>
      <c r="D70" s="29"/>
      <c r="E70" s="29"/>
      <c r="F70" s="29"/>
      <c r="G70" s="94" t="s">
        <v>296</v>
      </c>
      <c r="H70" s="36" t="s">
        <v>1039</v>
      </c>
      <c r="I70" s="632"/>
      <c r="J70" s="633" t="str">
        <f>IF(ISBLANK(HLOOKUP(CaseName,CaseData,MATCH($G70,cases!$G$3:$G$2464,0),FALSE)),"",HLOOKUP(CaseName,CaseData,MATCH($G70,cases!$G$3:$G$2464,0),FALSE))</f>
        <v/>
      </c>
      <c r="K70" s="639">
        <f>0.08*D</f>
        <v>220</v>
      </c>
      <c r="L70" s="634">
        <f>IF(ISBLANK(I70),IF(ISNUMBER(J70)=FALSE,K70,J70),I70)</f>
        <v>220</v>
      </c>
      <c r="M70" s="36" t="s">
        <v>1498</v>
      </c>
      <c r="N70" s="36"/>
      <c r="O70" s="36"/>
    </row>
    <row r="71" spans="1:15" ht="12.75" customHeight="1" x14ac:dyDescent="0.3">
      <c r="A71" s="36"/>
      <c r="B71" s="29"/>
      <c r="C71" s="36" t="s">
        <v>551</v>
      </c>
      <c r="D71" s="29"/>
      <c r="E71" s="29"/>
      <c r="F71" s="29"/>
      <c r="G71" s="94" t="s">
        <v>297</v>
      </c>
      <c r="H71" s="36" t="s">
        <v>1038</v>
      </c>
      <c r="I71" s="632"/>
      <c r="J71" s="633" t="str">
        <f>IF(ISBLANK(HLOOKUP(CaseName,CaseData,MATCH($G71,cases!$G$3:$G$2464,0),FALSE)),"",HLOOKUP(CaseName,CaseData,MATCH($G71,cases!$G$3:$G$2464,0),FALSE))</f>
        <v/>
      </c>
      <c r="K71" s="639">
        <v>1</v>
      </c>
      <c r="L71" s="634">
        <f>IF(ISBLANK(I71),IF(ISNUMBER(J71)=FALSE,K71/1000,J71/1000),I71/1000)</f>
        <v>1E-3</v>
      </c>
      <c r="M71" s="36" t="s">
        <v>1497</v>
      </c>
      <c r="N71" s="36"/>
      <c r="O71" s="36"/>
    </row>
    <row r="72" spans="1:15" ht="12.75" customHeight="1" x14ac:dyDescent="0.3">
      <c r="A72" s="36"/>
      <c r="B72" s="36" t="s">
        <v>3972</v>
      </c>
      <c r="C72" s="95"/>
      <c r="D72" s="29"/>
      <c r="E72" s="29"/>
      <c r="F72" s="29"/>
      <c r="G72" s="94" t="s">
        <v>538</v>
      </c>
      <c r="H72" s="36" t="s">
        <v>36</v>
      </c>
      <c r="I72" s="636"/>
      <c r="J72" s="633" t="str">
        <f>IF(ISBLANK(HLOOKUP(CaseName,CaseData,MATCH($G72,cases!$G$3:$G$2464,0),FALSE)),"",HLOOKUP(CaseName,CaseData,MATCH($G72,cases!$G$3:$G$2464,0),FALSE))</f>
        <v/>
      </c>
      <c r="K72" s="425">
        <f>1/(1+L73*L75/1000+L76*L77/1000)</f>
        <v>0.99862757924200896</v>
      </c>
      <c r="L72" s="634">
        <f t="shared" ref="L72:L104" si="3">IF(ISBLANK(I72),IF(ISNUMBER(J72)=FALSE,K72,J72),I72)</f>
        <v>0.99862757924200896</v>
      </c>
      <c r="M72" s="36" t="s">
        <v>486</v>
      </c>
      <c r="N72" s="36"/>
      <c r="O72" s="36"/>
    </row>
    <row r="73" spans="1:15" ht="12.75" customHeight="1" x14ac:dyDescent="0.3">
      <c r="A73" s="36"/>
      <c r="B73" s="29"/>
      <c r="C73" s="36" t="s">
        <v>706</v>
      </c>
      <c r="D73" s="29"/>
      <c r="E73" s="29"/>
      <c r="F73" s="29"/>
      <c r="G73" s="94" t="s">
        <v>182</v>
      </c>
      <c r="H73" s="36" t="s">
        <v>4042</v>
      </c>
      <c r="I73" s="632"/>
      <c r="J73" s="633" t="str">
        <f>IF(ISBLANK(HLOOKUP(CaseName,CaseData,MATCH($G73,cases!$G$3:$G$2464,0),FALSE)),"",HLOOKUP(CaseName,CaseData,MATCH($G73,cases!$G$3:$G$2464,0),FALSE))</f>
        <v/>
      </c>
      <c r="K73" s="639">
        <f>(FRorig.w1*Ksw+(1-FRorig.w1)*Ksw.alt)*(1000/RHOsolid/CORG)*L74</f>
        <v>76.953792352546415</v>
      </c>
      <c r="L73" s="634">
        <f t="shared" si="3"/>
        <v>76.953792352546415</v>
      </c>
      <c r="M73" s="36" t="s">
        <v>1498</v>
      </c>
      <c r="N73" s="36"/>
      <c r="O73" s="36"/>
    </row>
    <row r="74" spans="1:15" ht="12.75" customHeight="1" x14ac:dyDescent="0.3">
      <c r="A74" s="36"/>
      <c r="B74" s="29"/>
      <c r="C74" s="36" t="s">
        <v>1098</v>
      </c>
      <c r="D74" s="29"/>
      <c r="E74" s="29"/>
      <c r="F74" s="29"/>
      <c r="G74" s="94" t="s">
        <v>1456</v>
      </c>
      <c r="H74" s="36" t="s">
        <v>36</v>
      </c>
      <c r="I74" s="632"/>
      <c r="J74" s="633" t="str">
        <f>IF(ISBLANK(HLOOKUP(CaseName,CaseData,MATCH($G74,cases!$G$3:$G$2464,0),FALSE)),"",HLOOKUP(CaseName,CaseData,MATCH($G74,cases!$G$3:$G$2464,0),FALSE))</f>
        <v/>
      </c>
      <c r="K74" s="639">
        <v>0.1</v>
      </c>
      <c r="L74" s="634">
        <f t="shared" si="3"/>
        <v>0.1</v>
      </c>
      <c r="M74" s="36" t="s">
        <v>486</v>
      </c>
      <c r="N74" s="36"/>
      <c r="O74" s="36"/>
    </row>
    <row r="75" spans="1:15" ht="12.75" customHeight="1" x14ac:dyDescent="0.3">
      <c r="A75" s="36"/>
      <c r="B75" s="29"/>
      <c r="C75" s="36" t="s">
        <v>707</v>
      </c>
      <c r="D75" s="29"/>
      <c r="E75" s="29"/>
      <c r="F75" s="29"/>
      <c r="G75" s="94" t="s">
        <v>213</v>
      </c>
      <c r="H75" s="36" t="s">
        <v>4043</v>
      </c>
      <c r="I75" s="632"/>
      <c r="J75" s="633" t="str">
        <f>IF(ISBLANK(HLOOKUP(CaseName,CaseData,MATCH($G75,cases!$G$3:$G$2464,0),FALSE)),"",HLOOKUP(CaseName,CaseData,MATCH($G75,cases!$G$3:$G$2464,0),FALSE))</f>
        <v/>
      </c>
      <c r="K75" s="639">
        <v>15</v>
      </c>
      <c r="L75" s="634">
        <f>IF(ISBLANK(I75),IF(ISNUMBER(J75)=FALSE,K75/1000,J75/1000),I75/1000)</f>
        <v>1.4999999999999999E-2</v>
      </c>
      <c r="M75" s="36" t="s">
        <v>1497</v>
      </c>
      <c r="N75" s="36"/>
      <c r="O75" s="36"/>
    </row>
    <row r="76" spans="1:15" ht="12.75" customHeight="1" x14ac:dyDescent="0.3">
      <c r="A76" s="36"/>
      <c r="B76" s="29"/>
      <c r="C76" s="36" t="s">
        <v>549</v>
      </c>
      <c r="D76" s="29"/>
      <c r="E76" s="29"/>
      <c r="F76" s="29"/>
      <c r="G76" s="94" t="s">
        <v>550</v>
      </c>
      <c r="H76" s="36" t="s">
        <v>1039</v>
      </c>
      <c r="I76" s="632"/>
      <c r="J76" s="633" t="str">
        <f>IF(ISBLANK(HLOOKUP(CaseName,CaseData,MATCH($G76,cases!$G$3:$G$2464,0),FALSE)),"",HLOOKUP(CaseName,CaseData,MATCH($G76,cases!$G$3:$G$2464,0),FALSE))</f>
        <v/>
      </c>
      <c r="K76" s="639">
        <f>0.08*D</f>
        <v>220</v>
      </c>
      <c r="L76" s="634">
        <f t="shared" si="3"/>
        <v>220</v>
      </c>
      <c r="M76" s="36" t="s">
        <v>1498</v>
      </c>
      <c r="N76" s="36"/>
      <c r="O76" s="36"/>
    </row>
    <row r="77" spans="1:15" ht="12.75" customHeight="1" x14ac:dyDescent="0.3">
      <c r="A77" s="36"/>
      <c r="B77" s="29"/>
      <c r="C77" s="36" t="s">
        <v>551</v>
      </c>
      <c r="D77" s="29"/>
      <c r="E77" s="29"/>
      <c r="F77" s="29"/>
      <c r="G77" s="94" t="s">
        <v>552</v>
      </c>
      <c r="H77" s="36" t="s">
        <v>1038</v>
      </c>
      <c r="I77" s="632"/>
      <c r="J77" s="633" t="str">
        <f>IF(ISBLANK(HLOOKUP(CaseName,CaseData,MATCH($G77,cases!$G$3:$G$2464,0),FALSE)),"",HLOOKUP(CaseName,CaseData,MATCH($G77,cases!$G$3:$G$2464,0),FALSE))</f>
        <v/>
      </c>
      <c r="K77" s="639">
        <v>1</v>
      </c>
      <c r="L77" s="634">
        <f>IF(ISBLANK(I77),IF(ISNUMBER(J77)=FALSE,K77/1000,J77/1000),I77/1000)</f>
        <v>1E-3</v>
      </c>
      <c r="M77" s="36" t="s">
        <v>1497</v>
      </c>
      <c r="N77" s="36"/>
      <c r="O77" s="36"/>
    </row>
    <row r="78" spans="1:15" ht="12.75" customHeight="1" x14ac:dyDescent="0.3">
      <c r="A78" s="36"/>
      <c r="B78" s="36" t="s">
        <v>3973</v>
      </c>
      <c r="C78" s="95"/>
      <c r="D78" s="29"/>
      <c r="E78" s="29"/>
      <c r="F78" s="29"/>
      <c r="G78" s="94" t="s">
        <v>539</v>
      </c>
      <c r="H78" s="36" t="s">
        <v>36</v>
      </c>
      <c r="I78" s="636"/>
      <c r="J78" s="633" t="str">
        <f>IF(ISBLANK(HLOOKUP(CaseName,CaseData,MATCH($G78,cases!$G$3:$G$2464,0),FALSE)),"",HLOOKUP(CaseName,CaseData,MATCH($G78,cases!$G$3:$G$2464,0),FALSE))</f>
        <v/>
      </c>
      <c r="K78" s="639">
        <f>1/(1+L79*L81/1000+L82*L83/1000)</f>
        <v>0.99939559656267651</v>
      </c>
      <c r="L78" s="634">
        <f t="shared" si="3"/>
        <v>0.99939559656267651</v>
      </c>
      <c r="M78" s="36" t="s">
        <v>486</v>
      </c>
      <c r="N78" s="36"/>
      <c r="O78" s="36"/>
    </row>
    <row r="79" spans="1:15" ht="12.75" customHeight="1" x14ac:dyDescent="0.3">
      <c r="A79" s="36"/>
      <c r="B79" s="29"/>
      <c r="C79" s="36" t="s">
        <v>706</v>
      </c>
      <c r="D79" s="29"/>
      <c r="E79" s="29"/>
      <c r="F79" s="29"/>
      <c r="G79" s="94" t="s">
        <v>184</v>
      </c>
      <c r="H79" s="36" t="s">
        <v>4042</v>
      </c>
      <c r="I79" s="632"/>
      <c r="J79" s="633" t="str">
        <f>IF(ISBLANK(HLOOKUP(CaseName,CaseData,MATCH($G79,cases!$G$3:$G$2464,0),FALSE)),"",HLOOKUP(CaseName,CaseData,MATCH($G79,cases!$G$3:$G$2464,0),FALSE))</f>
        <v/>
      </c>
      <c r="K79" s="639">
        <f>(FRorig.w2*Ksw+(1-FRorig.w2)*Ksw.alt)*(1000/RHOsolid/CORG)*L80</f>
        <v>76.953792352546415</v>
      </c>
      <c r="L79" s="634">
        <f t="shared" si="3"/>
        <v>76.953792352546415</v>
      </c>
      <c r="M79" s="36" t="s">
        <v>1498</v>
      </c>
      <c r="N79" s="36"/>
      <c r="O79" s="36"/>
    </row>
    <row r="80" spans="1:15" ht="12.75" customHeight="1" x14ac:dyDescent="0.3">
      <c r="A80" s="36"/>
      <c r="B80" s="29"/>
      <c r="C80" s="36" t="s">
        <v>1098</v>
      </c>
      <c r="D80" s="29"/>
      <c r="E80" s="29"/>
      <c r="F80" s="29"/>
      <c r="G80" s="94" t="s">
        <v>1457</v>
      </c>
      <c r="H80" s="36" t="s">
        <v>36</v>
      </c>
      <c r="I80" s="632"/>
      <c r="J80" s="633" t="str">
        <f>IF(ISBLANK(HLOOKUP(CaseName,CaseData,MATCH($G80,cases!$G$3:$G$2464,0),FALSE)),"",HLOOKUP(CaseName,CaseData,MATCH($G80,cases!$G$3:$G$2464,0),FALSE))</f>
        <v/>
      </c>
      <c r="K80" s="639">
        <v>0.1</v>
      </c>
      <c r="L80" s="634">
        <f t="shared" si="3"/>
        <v>0.1</v>
      </c>
      <c r="M80" s="36" t="s">
        <v>486</v>
      </c>
      <c r="N80" s="36"/>
      <c r="O80" s="36"/>
    </row>
    <row r="81" spans="1:15" ht="12.75" customHeight="1" x14ac:dyDescent="0.3">
      <c r="A81" s="36"/>
      <c r="B81" s="29"/>
      <c r="C81" s="36" t="s">
        <v>1504</v>
      </c>
      <c r="D81" s="29"/>
      <c r="E81" s="29"/>
      <c r="F81" s="29"/>
      <c r="G81" s="94" t="s">
        <v>214</v>
      </c>
      <c r="H81" s="36" t="s">
        <v>4043</v>
      </c>
      <c r="I81" s="632"/>
      <c r="J81" s="633" t="str">
        <f>IF(ISBLANK(HLOOKUP(CaseName,CaseData,MATCH($G81,cases!$G$3:$G$2464,0),FALSE)),"",HLOOKUP(CaseName,CaseData,MATCH($G81,cases!$G$3:$G$2464,0),FALSE))</f>
        <v/>
      </c>
      <c r="K81" s="639">
        <v>5</v>
      </c>
      <c r="L81" s="634">
        <f>IF(ISBLANK(I81),IF(ISNUMBER(J81)=FALSE,K81/1000,J81/1000),I81/1000)</f>
        <v>5.0000000000000001E-3</v>
      </c>
      <c r="M81" s="36" t="s">
        <v>1497</v>
      </c>
      <c r="N81" s="36"/>
      <c r="O81" s="36"/>
    </row>
    <row r="82" spans="1:15" ht="12.75" customHeight="1" x14ac:dyDescent="0.3">
      <c r="A82" s="36"/>
      <c r="B82" s="29"/>
      <c r="C82" s="36" t="s">
        <v>549</v>
      </c>
      <c r="D82" s="29"/>
      <c r="E82" s="29"/>
      <c r="F82" s="29"/>
      <c r="G82" s="94" t="s">
        <v>553</v>
      </c>
      <c r="H82" s="36" t="s">
        <v>1039</v>
      </c>
      <c r="I82" s="632"/>
      <c r="J82" s="633" t="str">
        <f>IF(ISBLANK(HLOOKUP(CaseName,CaseData,MATCH($G82,cases!$G$3:$G$2464,0),FALSE)),"",HLOOKUP(CaseName,CaseData,MATCH($G82,cases!$G$3:$G$2464,0),FALSE))</f>
        <v/>
      </c>
      <c r="K82" s="639">
        <f>0.08*D</f>
        <v>220</v>
      </c>
      <c r="L82" s="634">
        <f t="shared" si="3"/>
        <v>220</v>
      </c>
      <c r="M82" s="36" t="s">
        <v>1498</v>
      </c>
      <c r="N82" s="36"/>
      <c r="O82" s="36"/>
    </row>
    <row r="83" spans="1:15" ht="12.75" customHeight="1" x14ac:dyDescent="0.3">
      <c r="A83" s="36"/>
      <c r="B83" s="29"/>
      <c r="C83" s="36" t="s">
        <v>551</v>
      </c>
      <c r="D83" s="29"/>
      <c r="E83" s="29"/>
      <c r="F83" s="29"/>
      <c r="G83" s="94" t="s">
        <v>554</v>
      </c>
      <c r="H83" s="36" t="s">
        <v>1038</v>
      </c>
      <c r="I83" s="632"/>
      <c r="J83" s="633" t="str">
        <f>IF(ISBLANK(HLOOKUP(CaseName,CaseData,MATCH($G83,cases!$G$3:$G$2464,0),FALSE)),"",HLOOKUP(CaseName,CaseData,MATCH($G83,cases!$G$3:$G$2464,0),FALSE))</f>
        <v/>
      </c>
      <c r="K83" s="639">
        <v>1</v>
      </c>
      <c r="L83" s="634">
        <f>IF(ISBLANK(I83),IF(ISNUMBER(J83)=FALSE,K83/1000,J83/1000),I83/1000)</f>
        <v>1E-3</v>
      </c>
      <c r="M83" s="36" t="s">
        <v>1497</v>
      </c>
      <c r="N83" s="36"/>
      <c r="O83" s="36"/>
    </row>
    <row r="84" spans="1:15" ht="12.75" customHeight="1" x14ac:dyDescent="0.3">
      <c r="A84" s="36"/>
      <c r="B84" s="36" t="s">
        <v>732</v>
      </c>
      <c r="C84" s="95"/>
      <c r="D84" s="29"/>
      <c r="E84" s="29"/>
      <c r="F84" s="29"/>
      <c r="G84" s="94" t="s">
        <v>466</v>
      </c>
      <c r="H84" s="36" t="s">
        <v>36</v>
      </c>
      <c r="I84" s="632"/>
      <c r="J84" s="633" t="str">
        <f>IF(ISBLANK(HLOOKUP(CaseName,CaseData,MATCH($G84,cases!$G$3:$G$2464,0),FALSE)),"",HLOOKUP(CaseName,CaseData,MATCH($G84,cases!$G$3:$G$2464,0),FALSE))</f>
        <v/>
      </c>
      <c r="K84" s="639">
        <f>L41+L42*L85*RHOsolid/1000</f>
        <v>20.038448088136601</v>
      </c>
      <c r="L84" s="634">
        <f t="shared" si="3"/>
        <v>20.038448088136601</v>
      </c>
      <c r="M84" s="36" t="s">
        <v>486</v>
      </c>
      <c r="N84" s="36"/>
      <c r="O84" s="36"/>
    </row>
    <row r="85" spans="1:15" ht="12.75" customHeight="1" x14ac:dyDescent="0.3">
      <c r="A85" s="36"/>
      <c r="B85" s="29"/>
      <c r="C85" s="36" t="s">
        <v>1433</v>
      </c>
      <c r="D85" s="29"/>
      <c r="E85" s="29"/>
      <c r="F85" s="29"/>
      <c r="G85" s="94" t="s">
        <v>173</v>
      </c>
      <c r="H85" s="36" t="s">
        <v>4042</v>
      </c>
      <c r="I85" s="632"/>
      <c r="J85" s="633" t="str">
        <f>IF(ISBLANK(HLOOKUP(CaseName,CaseData,MATCH($G85,cases!$G$3:$G$2464,0),FALSE)),"",HLOOKUP(CaseName,CaseData,MATCH($G85,cases!$G$3:$G$2464,0),FALSE))</f>
        <v/>
      </c>
      <c r="K85" s="639">
        <f>(FRorig.sd1*Ksw+(1-FRorig.sd1)*Ksw.alt)*(1000/RHOsolid/CORG)*L86</f>
        <v>38.476896176273208</v>
      </c>
      <c r="L85" s="634">
        <f t="shared" si="3"/>
        <v>38.476896176273208</v>
      </c>
      <c r="M85" s="36" t="s">
        <v>1498</v>
      </c>
      <c r="N85" s="36"/>
      <c r="O85" s="36"/>
    </row>
    <row r="86" spans="1:15" ht="12.75" customHeight="1" x14ac:dyDescent="0.3">
      <c r="A86" s="36"/>
      <c r="B86" s="29"/>
      <c r="C86" s="36" t="s">
        <v>1276</v>
      </c>
      <c r="D86" s="29"/>
      <c r="E86" s="29"/>
      <c r="F86" s="29"/>
      <c r="G86" s="94" t="s">
        <v>1066</v>
      </c>
      <c r="H86" s="36" t="s">
        <v>36</v>
      </c>
      <c r="I86" s="632"/>
      <c r="J86" s="633" t="str">
        <f>IF(ISBLANK(HLOOKUP(CaseName,CaseData,MATCH($G86,cases!$G$3:$G$2464,0),FALSE)),"",HLOOKUP(CaseName,CaseData,MATCH($G86,cases!$G$3:$G$2464,0),FALSE))</f>
        <v/>
      </c>
      <c r="K86" s="639">
        <v>0.05</v>
      </c>
      <c r="L86" s="634">
        <f t="shared" si="3"/>
        <v>0.05</v>
      </c>
      <c r="M86" s="29" t="s">
        <v>486</v>
      </c>
      <c r="N86" s="36"/>
      <c r="O86" s="36"/>
    </row>
    <row r="87" spans="1:15" ht="12.75" customHeight="1" x14ac:dyDescent="0.3">
      <c r="A87" s="36"/>
      <c r="B87" s="36" t="s">
        <v>1434</v>
      </c>
      <c r="C87" s="95"/>
      <c r="D87" s="29"/>
      <c r="E87" s="29"/>
      <c r="F87" s="29"/>
      <c r="G87" s="94" t="s">
        <v>1067</v>
      </c>
      <c r="H87" s="36" t="s">
        <v>36</v>
      </c>
      <c r="I87" s="632"/>
      <c r="J87" s="633" t="str">
        <f>IF(ISBLANK(HLOOKUP(CaseName,CaseData,MATCH($G87,cases!$G$3:$G$2464,0),FALSE)),"",HLOOKUP(CaseName,CaseData,MATCH($G87,cases!$G$3:$G$2464,0),FALSE))</f>
        <v/>
      </c>
      <c r="K87" s="639">
        <f>L41+L42*L88*RHOsolid/1000</f>
        <v>20.038448088136601</v>
      </c>
      <c r="L87" s="634">
        <f t="shared" si="3"/>
        <v>20.038448088136601</v>
      </c>
      <c r="M87" s="29" t="s">
        <v>486</v>
      </c>
      <c r="N87" s="36"/>
      <c r="O87" s="36"/>
    </row>
    <row r="88" spans="1:15" ht="12.75" customHeight="1" x14ac:dyDescent="0.3">
      <c r="A88" s="36"/>
      <c r="B88" s="29"/>
      <c r="C88" s="36" t="s">
        <v>1435</v>
      </c>
      <c r="D88" s="29"/>
      <c r="E88" s="29"/>
      <c r="F88" s="29"/>
      <c r="G88" s="94" t="s">
        <v>175</v>
      </c>
      <c r="H88" s="36" t="s">
        <v>4042</v>
      </c>
      <c r="I88" s="632"/>
      <c r="J88" s="633" t="str">
        <f>IF(ISBLANK(HLOOKUP(CaseName,CaseData,MATCH($G88,cases!$G$3:$G$2464,0),FALSE)),"",HLOOKUP(CaseName,CaseData,MATCH($G88,cases!$G$3:$G$2464,0),FALSE))</f>
        <v/>
      </c>
      <c r="K88" s="639">
        <f>(FRorig.sd2*Ksw+(1-FRorig.sd2)*Ksw.alt)*(1000/RHOsolid/CORG)*L89</f>
        <v>38.476896176273208</v>
      </c>
      <c r="L88" s="634">
        <f t="shared" si="3"/>
        <v>38.476896176273208</v>
      </c>
      <c r="M88" s="36" t="s">
        <v>1498</v>
      </c>
      <c r="N88" s="36"/>
      <c r="O88" s="36"/>
    </row>
    <row r="89" spans="1:15" ht="12.75" customHeight="1" x14ac:dyDescent="0.3">
      <c r="A89" s="36"/>
      <c r="B89" s="29"/>
      <c r="C89" s="36" t="s">
        <v>1275</v>
      </c>
      <c r="D89" s="29"/>
      <c r="E89" s="29"/>
      <c r="F89" s="29"/>
      <c r="G89" s="94" t="s">
        <v>1068</v>
      </c>
      <c r="H89" s="36" t="s">
        <v>36</v>
      </c>
      <c r="I89" s="632"/>
      <c r="J89" s="633" t="str">
        <f>IF(ISBLANK(HLOOKUP(CaseName,CaseData,MATCH($G89,cases!$G$3:$G$2464,0),FALSE)),"",HLOOKUP(CaseName,CaseData,MATCH($G89,cases!$G$3:$G$2464,0),FALSE))</f>
        <v/>
      </c>
      <c r="K89" s="639">
        <v>0.05</v>
      </c>
      <c r="L89" s="634">
        <f t="shared" si="3"/>
        <v>0.05</v>
      </c>
      <c r="M89" s="29" t="s">
        <v>486</v>
      </c>
      <c r="N89" s="36"/>
      <c r="O89" s="36"/>
    </row>
    <row r="90" spans="1:15" ht="12.75" customHeight="1" x14ac:dyDescent="0.3">
      <c r="A90" s="36"/>
      <c r="B90" s="36" t="s">
        <v>1436</v>
      </c>
      <c r="C90" s="95"/>
      <c r="D90" s="29"/>
      <c r="E90" s="29"/>
      <c r="F90" s="29"/>
      <c r="G90" s="94" t="s">
        <v>1069</v>
      </c>
      <c r="H90" s="36" t="s">
        <v>36</v>
      </c>
      <c r="I90" s="632"/>
      <c r="J90" s="633" t="str">
        <f>IF(ISBLANK(HLOOKUP(CaseName,CaseData,MATCH($G90,cases!$G$3:$G$2464,0),FALSE)),"",HLOOKUP(CaseName,CaseData,MATCH($G90,cases!$G$3:$G$2464,0),FALSE))</f>
        <v/>
      </c>
      <c r="K90" s="639">
        <f>L32*(L63*FRorig.s1w)+L33+L34*L93*RHOsolid/1000</f>
        <v>23.304108643447179</v>
      </c>
      <c r="L90" s="634">
        <f t="shared" si="3"/>
        <v>23.304108643447179</v>
      </c>
      <c r="M90" s="29" t="s">
        <v>486</v>
      </c>
      <c r="N90" s="36"/>
      <c r="O90" s="36"/>
    </row>
    <row r="91" spans="1:15" ht="12.75" customHeight="1" x14ac:dyDescent="0.3">
      <c r="A91" s="36"/>
      <c r="B91" s="36" t="s">
        <v>515</v>
      </c>
      <c r="C91" s="95"/>
      <c r="D91" s="29"/>
      <c r="E91" s="29"/>
      <c r="F91" s="29"/>
      <c r="G91" s="94" t="s">
        <v>1025</v>
      </c>
      <c r="H91" s="36" t="s">
        <v>36</v>
      </c>
      <c r="I91" s="632"/>
      <c r="J91" s="633" t="str">
        <f>IF(ISBLANK(HLOOKUP(CaseName,CaseData,MATCH($G91,cases!$G$3:$G$2464,0),FALSE)),"",HLOOKUP(CaseName,CaseData,MATCH($G91,cases!$G$3:$G$2464,0),FALSE))</f>
        <v/>
      </c>
      <c r="K91" s="425">
        <f>L33/(L32*(L63*FRorig.s1w)+L33+L34*L93*RHOsolid/1000)</f>
        <v>8.5821776348539939E-3</v>
      </c>
      <c r="L91" s="634">
        <f t="shared" si="3"/>
        <v>8.5821776348539939E-3</v>
      </c>
      <c r="M91" s="29"/>
      <c r="N91" s="36"/>
      <c r="O91" s="36"/>
    </row>
    <row r="92" spans="1:15" ht="12.75" customHeight="1" x14ac:dyDescent="0.3">
      <c r="A92" s="36"/>
      <c r="B92" s="36" t="s">
        <v>987</v>
      </c>
      <c r="C92" s="95"/>
      <c r="D92" s="29"/>
      <c r="E92" s="29"/>
      <c r="F92" s="29"/>
      <c r="G92" s="94" t="s">
        <v>1029</v>
      </c>
      <c r="H92" s="36" t="s">
        <v>36</v>
      </c>
      <c r="I92" s="632"/>
      <c r="J92" s="633" t="str">
        <f>IF(ISBLANK(HLOOKUP(CaseName,CaseData,MATCH($G92,cases!$G$3:$G$2464,0),FALSE)),"",HLOOKUP(CaseName,CaseData,MATCH($G92,cases!$G$3:$G$2464,0),FALSE))</f>
        <v/>
      </c>
      <c r="K92" s="425">
        <f>L34 / (L32*L63*FRorig.s1w/(L93*RHOsolid/1000)+L33 /(L93*RHOsolid/1000)+L34 )</f>
        <v>0.99064667346783319</v>
      </c>
      <c r="L92" s="634">
        <f t="shared" si="3"/>
        <v>0.99064667346783319</v>
      </c>
      <c r="M92" s="29"/>
      <c r="N92" s="36"/>
      <c r="O92" s="36"/>
    </row>
    <row r="93" spans="1:15" ht="12.75" customHeight="1" x14ac:dyDescent="0.3">
      <c r="A93" s="36"/>
      <c r="B93" s="29"/>
      <c r="C93" s="36" t="s">
        <v>1328</v>
      </c>
      <c r="D93" s="29"/>
      <c r="E93" s="29"/>
      <c r="F93" s="29"/>
      <c r="G93" s="94" t="s">
        <v>126</v>
      </c>
      <c r="H93" s="36" t="s">
        <v>4042</v>
      </c>
      <c r="I93" s="632"/>
      <c r="J93" s="633" t="str">
        <f>IF(ISBLANK(HLOOKUP(CaseName,CaseData,MATCH($G93,cases!$G$3:$G$2464,0),FALSE)),"",HLOOKUP(CaseName,CaseData,MATCH($G93,cases!$G$3:$G$2464,0),FALSE))</f>
        <v/>
      </c>
      <c r="K93" s="639">
        <f>(FRorig.s1*Ksw+(1-FRorig.s1)*Ksw.alt)*(1000/RHOsolid/CORG)*L94</f>
        <v>15.390758470509281</v>
      </c>
      <c r="L93" s="634">
        <f t="shared" si="3"/>
        <v>15.390758470509281</v>
      </c>
      <c r="M93" s="36" t="s">
        <v>1498</v>
      </c>
      <c r="N93" s="36"/>
      <c r="O93" s="36"/>
    </row>
    <row r="94" spans="1:15" ht="12.75" customHeight="1" x14ac:dyDescent="0.3">
      <c r="A94" s="36"/>
      <c r="B94" s="29"/>
      <c r="C94" s="36" t="s">
        <v>1274</v>
      </c>
      <c r="D94" s="29"/>
      <c r="E94" s="29"/>
      <c r="F94" s="29"/>
      <c r="G94" s="94" t="s">
        <v>1070</v>
      </c>
      <c r="H94" s="36" t="s">
        <v>36</v>
      </c>
      <c r="I94" s="632"/>
      <c r="J94" s="633" t="str">
        <f>IF(ISBLANK(HLOOKUP(CaseName,CaseData,MATCH($G94,cases!$G$3:$G$2464,0),FALSE)),"",HLOOKUP(CaseName,CaseData,MATCH($G94,cases!$G$3:$G$2464,0),FALSE))</f>
        <v/>
      </c>
      <c r="K94" s="639">
        <v>0.02</v>
      </c>
      <c r="L94" s="634">
        <f t="shared" si="3"/>
        <v>0.02</v>
      </c>
      <c r="M94" s="29" t="s">
        <v>486</v>
      </c>
      <c r="N94" s="36"/>
      <c r="O94" s="36"/>
    </row>
    <row r="95" spans="1:15" ht="12.75" customHeight="1" x14ac:dyDescent="0.3">
      <c r="A95" s="36"/>
      <c r="B95" s="36" t="s">
        <v>781</v>
      </c>
      <c r="C95" s="95"/>
      <c r="D95" s="29"/>
      <c r="E95" s="29"/>
      <c r="F95" s="29"/>
      <c r="G95" s="94" t="s">
        <v>1071</v>
      </c>
      <c r="H95" s="36" t="s">
        <v>36</v>
      </c>
      <c r="I95" s="632"/>
      <c r="J95" s="633" t="str">
        <f>IF(ISBLANK(HLOOKUP(CaseName,CaseData,MATCH($G95,cases!$G$3:$G$2464,0),FALSE)),"",HLOOKUP(CaseName,CaseData,MATCH($G95,cases!$G$3:$G$2464,0),FALSE))</f>
        <v/>
      </c>
      <c r="K95" s="639">
        <f>L35*(L63*FRorig.s2w)+L36+L37*L98*RHOsolid/1000</f>
        <v>23.304108643447179</v>
      </c>
      <c r="L95" s="634">
        <f t="shared" si="3"/>
        <v>23.304108643447179</v>
      </c>
      <c r="M95" s="29" t="s">
        <v>486</v>
      </c>
      <c r="N95" s="36"/>
      <c r="O95" s="36"/>
    </row>
    <row r="96" spans="1:15" ht="12.75" customHeight="1" x14ac:dyDescent="0.3">
      <c r="A96" s="36"/>
      <c r="B96" s="36" t="s">
        <v>516</v>
      </c>
      <c r="C96" s="95"/>
      <c r="D96" s="29"/>
      <c r="E96" s="29"/>
      <c r="F96" s="29"/>
      <c r="G96" s="94" t="s">
        <v>1026</v>
      </c>
      <c r="H96" s="36" t="s">
        <v>36</v>
      </c>
      <c r="I96" s="632"/>
      <c r="J96" s="633" t="str">
        <f>IF(ISBLANK(HLOOKUP(CaseName,CaseData,MATCH($G96,cases!$G$3:$G$2464,0),FALSE)),"",HLOOKUP(CaseName,CaseData,MATCH($G96,cases!$G$3:$G$2464,0),FALSE))</f>
        <v/>
      </c>
      <c r="K96" s="425">
        <f>L36/(L35*(L63*FRorig.s2w)+L36+L37*L98*RHOsolid/1000)</f>
        <v>8.5821776348539939E-3</v>
      </c>
      <c r="L96" s="634">
        <f t="shared" si="3"/>
        <v>8.5821776348539939E-3</v>
      </c>
      <c r="M96" s="29" t="s">
        <v>486</v>
      </c>
      <c r="N96" s="36"/>
      <c r="O96" s="36"/>
    </row>
    <row r="97" spans="1:15" ht="12.75" customHeight="1" x14ac:dyDescent="0.3">
      <c r="A97" s="36"/>
      <c r="B97" s="36" t="s">
        <v>1102</v>
      </c>
      <c r="C97" s="95"/>
      <c r="D97" s="29"/>
      <c r="E97" s="29"/>
      <c r="F97" s="29"/>
      <c r="G97" s="94" t="s">
        <v>1030</v>
      </c>
      <c r="H97" s="36" t="s">
        <v>36</v>
      </c>
      <c r="I97" s="632"/>
      <c r="J97" s="633" t="str">
        <f>IF(ISBLANK(HLOOKUP(CaseName,CaseData,MATCH($G97,cases!$G$3:$G$2464,0),FALSE)),"",HLOOKUP(CaseName,CaseData,MATCH($G97,cases!$G$3:$G$2464,0),FALSE))</f>
        <v/>
      </c>
      <c r="K97" s="425">
        <f>L37/(L35*(L63*FRorig.s2w)/(L98*RHOsolid/1000)+L36/(L98*RHOsolid/1000)+L37)</f>
        <v>0.99064667346783319</v>
      </c>
      <c r="L97" s="634">
        <f t="shared" si="3"/>
        <v>0.99064667346783319</v>
      </c>
      <c r="M97" s="5" t="s">
        <v>486</v>
      </c>
      <c r="N97" s="36"/>
      <c r="O97" s="36"/>
    </row>
    <row r="98" spans="1:15" ht="12.75" customHeight="1" x14ac:dyDescent="0.3">
      <c r="A98" s="36"/>
      <c r="B98" s="29"/>
      <c r="C98" s="36" t="s">
        <v>1233</v>
      </c>
      <c r="D98" s="29"/>
      <c r="E98" s="29"/>
      <c r="F98" s="29"/>
      <c r="G98" s="94" t="s">
        <v>168</v>
      </c>
      <c r="H98" s="36" t="s">
        <v>4042</v>
      </c>
      <c r="I98" s="632"/>
      <c r="J98" s="633" t="str">
        <f>IF(ISBLANK(HLOOKUP(CaseName,CaseData,MATCH($G98,cases!$G$3:$G$2464,0),FALSE)),"",HLOOKUP(CaseName,CaseData,MATCH($G98,cases!$G$3:$G$2464,0),FALSE))</f>
        <v/>
      </c>
      <c r="K98" s="639">
        <f>(FRorig.s2*Ksw+(1-FRorig.s2)*Ksw.alt)*(1000/RHOsolid/CORG)*L99</f>
        <v>15.390758470509281</v>
      </c>
      <c r="L98" s="634">
        <f t="shared" si="3"/>
        <v>15.390758470509281</v>
      </c>
      <c r="M98" s="36" t="s">
        <v>1498</v>
      </c>
      <c r="N98" s="36"/>
      <c r="O98" s="36"/>
    </row>
    <row r="99" spans="1:15" ht="12.75" customHeight="1" x14ac:dyDescent="0.3">
      <c r="A99" s="36"/>
      <c r="B99" s="29"/>
      <c r="C99" s="36" t="s">
        <v>1273</v>
      </c>
      <c r="D99" s="29"/>
      <c r="E99" s="29"/>
      <c r="F99" s="29"/>
      <c r="G99" s="94" t="s">
        <v>1072</v>
      </c>
      <c r="H99" s="36" t="s">
        <v>36</v>
      </c>
      <c r="I99" s="632"/>
      <c r="J99" s="633" t="str">
        <f>IF(ISBLANK(HLOOKUP(CaseName,CaseData,MATCH($G99,cases!$G$3:$G$2464,0),FALSE)),"",HLOOKUP(CaseName,CaseData,MATCH($G99,cases!$G$3:$G$2464,0),FALSE))</f>
        <v/>
      </c>
      <c r="K99" s="639">
        <v>0.02</v>
      </c>
      <c r="L99" s="634">
        <f t="shared" si="3"/>
        <v>0.02</v>
      </c>
      <c r="M99" s="29" t="s">
        <v>486</v>
      </c>
      <c r="N99" s="36"/>
      <c r="O99" s="36"/>
    </row>
    <row r="100" spans="1:15" ht="12.75" customHeight="1" x14ac:dyDescent="0.3">
      <c r="A100" s="36"/>
      <c r="B100" s="36" t="s">
        <v>785</v>
      </c>
      <c r="C100" s="95"/>
      <c r="D100" s="29"/>
      <c r="E100" s="29"/>
      <c r="F100" s="29"/>
      <c r="G100" s="94" t="s">
        <v>1073</v>
      </c>
      <c r="H100" s="36" t="s">
        <v>36</v>
      </c>
      <c r="I100" s="632"/>
      <c r="J100" s="633" t="str">
        <f>IF(ISBLANK(HLOOKUP(CaseName,CaseData,MATCH($G100,cases!$G$3:$G$2464,0),FALSE)),"",HLOOKUP(CaseName,CaseData,MATCH($G100,cases!$G$3:$G$2464,0),FALSE))</f>
        <v/>
      </c>
      <c r="K100" s="639">
        <f>L38*(L63*FRorig.s3w)+L39+L40*L103*RHOsolid/1000</f>
        <v>23.304108643447179</v>
      </c>
      <c r="L100" s="634">
        <f t="shared" si="3"/>
        <v>23.304108643447179</v>
      </c>
      <c r="M100" s="29" t="s">
        <v>486</v>
      </c>
      <c r="N100" s="36"/>
      <c r="O100" s="36"/>
    </row>
    <row r="101" spans="1:15" ht="12.75" customHeight="1" x14ac:dyDescent="0.3">
      <c r="A101" s="36"/>
      <c r="B101" s="36" t="s">
        <v>517</v>
      </c>
      <c r="C101" s="95"/>
      <c r="D101" s="29"/>
      <c r="E101" s="29"/>
      <c r="F101" s="29"/>
      <c r="G101" s="94" t="s">
        <v>1027</v>
      </c>
      <c r="H101" s="36" t="s">
        <v>36</v>
      </c>
      <c r="I101" s="632"/>
      <c r="J101" s="633" t="str">
        <f>IF(ISBLANK(HLOOKUP(CaseName,CaseData,MATCH($G101,cases!$G$3:$G$2464,0),FALSE)),"",HLOOKUP(CaseName,CaseData,MATCH($G101,cases!$G$3:$G$2464,0),FALSE))</f>
        <v/>
      </c>
      <c r="K101" s="425">
        <f>L39/(L38*(L63*FRorig.s3w)+L39+L40*L103*RHOsolid/1000)</f>
        <v>8.5821776348539939E-3</v>
      </c>
      <c r="L101" s="634">
        <f t="shared" si="3"/>
        <v>8.5821776348539939E-3</v>
      </c>
      <c r="M101" s="29" t="s">
        <v>486</v>
      </c>
      <c r="N101" s="36"/>
      <c r="O101" s="36"/>
    </row>
    <row r="102" spans="1:15" ht="12.75" customHeight="1" x14ac:dyDescent="0.3">
      <c r="A102" s="36"/>
      <c r="B102" s="36" t="s">
        <v>933</v>
      </c>
      <c r="C102" s="95"/>
      <c r="D102" s="29"/>
      <c r="E102" s="29"/>
      <c r="F102" s="29"/>
      <c r="G102" s="94" t="s">
        <v>1107</v>
      </c>
      <c r="H102" s="36" t="s">
        <v>36</v>
      </c>
      <c r="I102" s="632"/>
      <c r="J102" s="633" t="str">
        <f>IF(ISBLANK(HLOOKUP(CaseName,CaseData,MATCH($G102,cases!$G$3:$G$2464,0),FALSE)),"",HLOOKUP(CaseName,CaseData,MATCH($G102,cases!$G$3:$G$2464,0),FALSE))</f>
        <v/>
      </c>
      <c r="K102" s="425">
        <f>L40/(L38*(L63*FRorig.s3w)/(L103*RHOsolid/1000)+L39/(L103*RHOsolid/1000)+L40)</f>
        <v>0.99064667346783319</v>
      </c>
      <c r="L102" s="634">
        <f t="shared" si="3"/>
        <v>0.99064667346783319</v>
      </c>
      <c r="M102" s="5" t="s">
        <v>486</v>
      </c>
      <c r="N102" s="36"/>
      <c r="O102" s="36"/>
    </row>
    <row r="103" spans="1:15" ht="12.75" customHeight="1" x14ac:dyDescent="0.3">
      <c r="A103" s="36"/>
      <c r="B103" s="29"/>
      <c r="C103" s="36" t="s">
        <v>1065</v>
      </c>
      <c r="D103" s="29"/>
      <c r="E103" s="29"/>
      <c r="F103" s="29"/>
      <c r="G103" s="94" t="s">
        <v>170</v>
      </c>
      <c r="H103" s="36" t="s">
        <v>4042</v>
      </c>
      <c r="I103" s="632"/>
      <c r="J103" s="633" t="str">
        <f>IF(ISBLANK(HLOOKUP(CaseName,CaseData,MATCH($G103,cases!$G$3:$G$2464,0),FALSE)),"",HLOOKUP(CaseName,CaseData,MATCH($G103,cases!$G$3:$G$2464,0),FALSE))</f>
        <v/>
      </c>
      <c r="K103" s="639">
        <f>(FRorig.s3*Ksw+(1-FRorig.s3)*Ksw.alt)*(1000/RHOsolid/CORG)*L104</f>
        <v>15.390758470509281</v>
      </c>
      <c r="L103" s="634">
        <f t="shared" si="3"/>
        <v>15.390758470509281</v>
      </c>
      <c r="M103" s="36" t="s">
        <v>1498</v>
      </c>
      <c r="N103" s="36"/>
      <c r="O103" s="36"/>
    </row>
    <row r="104" spans="1:15" ht="12.75" customHeight="1" x14ac:dyDescent="0.3">
      <c r="A104" s="36"/>
      <c r="B104" s="29"/>
      <c r="C104" s="36" t="s">
        <v>1405</v>
      </c>
      <c r="D104" s="29"/>
      <c r="E104" s="29"/>
      <c r="F104" s="29"/>
      <c r="G104" s="94" t="s">
        <v>1074</v>
      </c>
      <c r="H104" s="36" t="s">
        <v>36</v>
      </c>
      <c r="I104" s="632"/>
      <c r="J104" s="633" t="str">
        <f>IF(ISBLANK(HLOOKUP(CaseName,CaseData,MATCH($G104,cases!$G$3:$G$2464,0),FALSE)),"",HLOOKUP(CaseName,CaseData,MATCH($G104,cases!$G$3:$G$2464,0),FALSE))</f>
        <v/>
      </c>
      <c r="K104" s="639">
        <v>0.02</v>
      </c>
      <c r="L104" s="634">
        <f t="shared" si="3"/>
        <v>0.02</v>
      </c>
      <c r="M104" s="29" t="s">
        <v>486</v>
      </c>
      <c r="N104" s="36"/>
      <c r="O104" s="36"/>
    </row>
    <row r="105" spans="1:15" ht="12.75" customHeight="1" x14ac:dyDescent="0.3">
      <c r="A105" s="36"/>
      <c r="B105" s="29"/>
      <c r="C105" s="29"/>
      <c r="D105" s="36"/>
      <c r="E105" s="29"/>
      <c r="F105" s="29"/>
      <c r="G105" s="94"/>
      <c r="H105" s="36"/>
      <c r="I105" s="339"/>
      <c r="J105" s="363"/>
      <c r="K105" s="353"/>
      <c r="L105" s="353"/>
      <c r="M105" s="29"/>
      <c r="N105" s="36"/>
      <c r="O105" s="36"/>
    </row>
    <row r="106" spans="1:15" ht="12.75" customHeight="1" x14ac:dyDescent="0.3">
      <c r="A106" s="98" t="s">
        <v>1311</v>
      </c>
      <c r="B106" s="97"/>
      <c r="C106" s="97"/>
      <c r="D106" s="97"/>
      <c r="E106" s="97"/>
      <c r="F106" s="97"/>
      <c r="G106" s="98" t="s">
        <v>1008</v>
      </c>
      <c r="H106" s="98" t="s">
        <v>968</v>
      </c>
      <c r="I106" s="364" t="s">
        <v>754</v>
      </c>
      <c r="J106" s="638" t="s">
        <v>37</v>
      </c>
      <c r="K106" s="340" t="s">
        <v>753</v>
      </c>
      <c r="L106" s="340" t="s">
        <v>1358</v>
      </c>
      <c r="M106" s="97"/>
      <c r="N106" s="98" t="s">
        <v>1371</v>
      </c>
      <c r="O106" s="36"/>
    </row>
    <row r="107" spans="1:15" ht="12.75" customHeight="1" x14ac:dyDescent="0.3">
      <c r="A107" s="29"/>
      <c r="B107" s="29"/>
      <c r="C107" s="29"/>
      <c r="D107" s="29"/>
      <c r="E107" s="29"/>
      <c r="F107" s="29"/>
      <c r="G107" s="36"/>
      <c r="H107" s="36"/>
      <c r="I107" s="339"/>
      <c r="J107" s="363"/>
      <c r="K107" s="353"/>
      <c r="L107" s="353"/>
      <c r="M107" s="29"/>
      <c r="N107" s="36"/>
      <c r="O107" s="36"/>
    </row>
    <row r="108" spans="1:15" ht="12.75" customHeight="1" x14ac:dyDescent="0.3">
      <c r="A108" s="36" t="s">
        <v>298</v>
      </c>
      <c r="B108" s="29"/>
      <c r="C108" s="29"/>
      <c r="D108" s="29"/>
      <c r="E108" s="29"/>
      <c r="F108" s="29"/>
      <c r="G108" s="36" t="s">
        <v>299</v>
      </c>
      <c r="H108" s="36" t="s">
        <v>4036</v>
      </c>
      <c r="I108" s="635"/>
      <c r="J108" s="633" t="str">
        <f>IF(ISBLANK(HLOOKUP(CaseName,CaseData,MATCH($G108,cases!$G$3:$G$2464,0),FALSE)),"",HLOOKUP(CaseName,CaseData,MATCH($G108,cases!$G$3:$G$2464,0),FALSE))</f>
        <v/>
      </c>
      <c r="K108" s="352">
        <f>(L120+L131/L21)*L15</f>
        <v>1.425790919893887E-10</v>
      </c>
      <c r="L108" s="634">
        <f>IF(ISBLANK(I108),IF(ISNUMBER(J108)=FALSE,K108,J108),I108)</f>
        <v>1.425790919893887E-10</v>
      </c>
      <c r="M108" s="29" t="s">
        <v>1488</v>
      </c>
      <c r="N108" s="325"/>
      <c r="O108" s="36"/>
    </row>
    <row r="109" spans="1:15" ht="12.75" customHeight="1" x14ac:dyDescent="0.3">
      <c r="A109" s="36" t="s">
        <v>66</v>
      </c>
      <c r="B109" s="29"/>
      <c r="C109" s="29"/>
      <c r="D109" s="29"/>
      <c r="E109" s="29"/>
      <c r="F109" s="29"/>
      <c r="G109" s="36" t="s">
        <v>230</v>
      </c>
      <c r="H109" s="36" t="s">
        <v>4036</v>
      </c>
      <c r="I109" s="635"/>
      <c r="J109" s="633" t="str">
        <f>IF(ISBLANK(HLOOKUP(CaseName,CaseData,MATCH($G109,cases!$G$3:$G$2464,0),FALSE)),"",HLOOKUP(CaseName,CaseData,MATCH($G109,cases!$G$3:$G$2464,0),FALSE))</f>
        <v/>
      </c>
      <c r="K109" s="352">
        <f>(L120+L131/L21)*L16</f>
        <v>1.5683700118832757E-9</v>
      </c>
      <c r="L109" s="634">
        <f t="shared" ref="L109:L137" si="4">IF(ISBLANK(I109),IF(ISNUMBER(J109)=FALSE,K109,J109),I109)</f>
        <v>1.5683700118832757E-9</v>
      </c>
      <c r="M109" s="29" t="s">
        <v>1488</v>
      </c>
      <c r="N109" s="325"/>
      <c r="O109" s="36"/>
    </row>
    <row r="110" spans="1:15" ht="12.75" customHeight="1" x14ac:dyDescent="0.3">
      <c r="A110" s="36" t="s">
        <v>67</v>
      </c>
      <c r="B110" s="29"/>
      <c r="C110" s="29"/>
      <c r="D110" s="29"/>
      <c r="E110" s="29"/>
      <c r="F110" s="29"/>
      <c r="G110" s="36" t="s">
        <v>231</v>
      </c>
      <c r="H110" s="36" t="s">
        <v>4036</v>
      </c>
      <c r="I110" s="635"/>
      <c r="J110" s="633" t="str">
        <f>IF(ISBLANK(HLOOKUP(CaseName,CaseData,MATCH($G110,cases!$G$3:$G$2464,0),FALSE)),"",HLOOKUP(CaseName,CaseData,MATCH($G110,cases!$G$3:$G$2464,0),FALSE))</f>
        <v/>
      </c>
      <c r="K110" s="352">
        <f>(L120+L131/L21)*L20</f>
        <v>2.4951497044999583E-10</v>
      </c>
      <c r="L110" s="634">
        <f t="shared" si="4"/>
        <v>2.4951497044999583E-10</v>
      </c>
      <c r="M110" s="29" t="s">
        <v>1488</v>
      </c>
      <c r="N110" s="325"/>
      <c r="O110" s="36"/>
    </row>
    <row r="111" spans="1:15" ht="12.75" customHeight="1" x14ac:dyDescent="0.3">
      <c r="A111" s="36" t="s">
        <v>68</v>
      </c>
      <c r="B111" s="29"/>
      <c r="C111" s="29"/>
      <c r="D111" s="29"/>
      <c r="E111" s="29"/>
      <c r="F111" s="29"/>
      <c r="G111" s="36" t="s">
        <v>232</v>
      </c>
      <c r="H111" s="36" t="s">
        <v>4036</v>
      </c>
      <c r="I111" s="635"/>
      <c r="J111" s="633" t="str">
        <f>IF(ISBLANK(HLOOKUP(CaseName,CaseData,MATCH($G111,cases!$G$3:$G$2464,0),FALSE)),"",HLOOKUP(CaseName,CaseData,MATCH($G111,cases!$G$3:$G$2464,0),FALSE))</f>
        <v/>
      </c>
      <c r="K111" s="352">
        <f>(L120+L132/L21)*L17</f>
        <v>3.691053427152108E-10</v>
      </c>
      <c r="L111" s="634">
        <f t="shared" si="4"/>
        <v>3.691053427152108E-10</v>
      </c>
      <c r="M111" s="29" t="s">
        <v>1488</v>
      </c>
      <c r="N111" s="325"/>
      <c r="O111" s="36"/>
    </row>
    <row r="112" spans="1:15" ht="12.75" customHeight="1" x14ac:dyDescent="0.3">
      <c r="A112" s="36" t="s">
        <v>69</v>
      </c>
      <c r="B112" s="29"/>
      <c r="C112" s="29"/>
      <c r="D112" s="29"/>
      <c r="E112" s="29"/>
      <c r="F112" s="29"/>
      <c r="G112" s="36" t="s">
        <v>233</v>
      </c>
      <c r="H112" s="36" t="s">
        <v>4036</v>
      </c>
      <c r="I112" s="635"/>
      <c r="J112" s="633" t="str">
        <f>IF(ISBLANK(HLOOKUP(CaseName,CaseData,MATCH($G112,cases!$G$3:$G$2464,0),FALSE)),"",HLOOKUP(CaseName,CaseData,MATCH($G112,cases!$G$3:$G$2464,0),FALSE))</f>
        <v/>
      </c>
      <c r="K112" s="352">
        <f>(L120+L132/L21)*L18</f>
        <v>8.2023409492269047E-10</v>
      </c>
      <c r="L112" s="634">
        <f t="shared" si="4"/>
        <v>8.2023409492269047E-10</v>
      </c>
      <c r="M112" s="29" t="s">
        <v>1488</v>
      </c>
      <c r="N112" s="325"/>
      <c r="O112" s="36"/>
    </row>
    <row r="113" spans="1:15" ht="12.75" customHeight="1" x14ac:dyDescent="0.3">
      <c r="A113" s="36" t="s">
        <v>70</v>
      </c>
      <c r="B113" s="29"/>
      <c r="C113" s="29"/>
      <c r="D113" s="29"/>
      <c r="E113" s="29"/>
      <c r="F113" s="29"/>
      <c r="G113" s="36" t="s">
        <v>234</v>
      </c>
      <c r="H113" s="36" t="s">
        <v>4036</v>
      </c>
      <c r="I113" s="635"/>
      <c r="J113" s="633" t="str">
        <f>IF(ISBLANK(HLOOKUP(CaseName,CaseData,MATCH($G113,cases!$G$3:$G$2464,0),FALSE)),"",HLOOKUP(CaseName,CaseData,MATCH($G113,cases!$G$3:$G$2464,0),FALSE))</f>
        <v/>
      </c>
      <c r="K113" s="352">
        <f>(L120+L132/L21)*L19</f>
        <v>1.367056824871151E-10</v>
      </c>
      <c r="L113" s="634">
        <f t="shared" si="4"/>
        <v>1.367056824871151E-10</v>
      </c>
      <c r="M113" s="29" t="s">
        <v>1488</v>
      </c>
      <c r="N113" s="325"/>
      <c r="O113" s="36"/>
    </row>
    <row r="114" spans="1:15" ht="12.75" customHeight="1" x14ac:dyDescent="0.3">
      <c r="A114" s="36" t="s">
        <v>71</v>
      </c>
      <c r="B114" s="29"/>
      <c r="C114" s="29"/>
      <c r="D114" s="29"/>
      <c r="E114" s="29"/>
      <c r="F114" s="29"/>
      <c r="G114" s="36" t="s">
        <v>300</v>
      </c>
      <c r="H114" s="36" t="s">
        <v>4036</v>
      </c>
      <c r="I114" s="635"/>
      <c r="J114" s="633" t="str">
        <f>IF(ISBLANK(HLOOKUP(CaseName,CaseData,MATCH($G114,cases!$G$3:$G$2464,0),FALSE)),"",HLOOKUP(CaseName,CaseData,MATCH($G114,cases!$G$3:$G$2464,0),FALSE))</f>
        <v/>
      </c>
      <c r="K114" s="352">
        <f>L133/L22</f>
        <v>5.123442414531955E-8</v>
      </c>
      <c r="L114" s="634">
        <f>IF(ISBLANK(I114),IF(ISNUMBER(J114)=FALSE,K114,J114),I114)</f>
        <v>5.123442414531955E-8</v>
      </c>
      <c r="M114" s="29" t="s">
        <v>1488</v>
      </c>
      <c r="N114" s="325"/>
      <c r="O114" s="36"/>
    </row>
    <row r="115" spans="1:15" ht="12.75" customHeight="1" x14ac:dyDescent="0.3">
      <c r="A115" s="36" t="s">
        <v>71</v>
      </c>
      <c r="B115" s="29"/>
      <c r="C115" s="29"/>
      <c r="D115" s="29"/>
      <c r="E115" s="29"/>
      <c r="F115" s="29"/>
      <c r="G115" s="36" t="s">
        <v>235</v>
      </c>
      <c r="H115" s="36" t="s">
        <v>4036</v>
      </c>
      <c r="I115" s="635"/>
      <c r="J115" s="633" t="str">
        <f>IF(ISBLANK(HLOOKUP(CaseName,CaseData,MATCH($G115,cases!$G$3:$G$2464,0),FALSE)),"",HLOOKUP(CaseName,CaseData,MATCH($G115,cases!$G$3:$G$2464,0),FALSE))</f>
        <v/>
      </c>
      <c r="K115" s="352">
        <f>L134/L23</f>
        <v>1.7059111232725971E-6</v>
      </c>
      <c r="L115" s="634">
        <f t="shared" si="4"/>
        <v>1.7059111232725971E-6</v>
      </c>
      <c r="M115" s="29" t="s">
        <v>1488</v>
      </c>
      <c r="N115" s="325"/>
      <c r="O115" s="36"/>
    </row>
    <row r="116" spans="1:15" ht="12.75" customHeight="1" x14ac:dyDescent="0.3">
      <c r="A116" s="36" t="s">
        <v>72</v>
      </c>
      <c r="B116" s="29"/>
      <c r="C116" s="29"/>
      <c r="D116" s="29"/>
      <c r="E116" s="29"/>
      <c r="F116" s="29"/>
      <c r="G116" s="36" t="s">
        <v>236</v>
      </c>
      <c r="H116" s="36" t="s">
        <v>4036</v>
      </c>
      <c r="I116" s="635"/>
      <c r="J116" s="633" t="str">
        <f>IF(ISBLANK(HLOOKUP(CaseName,CaseData,MATCH($G116,cases!$G$3:$G$2464,0),FALSE)),"",HLOOKUP(CaseName,CaseData,MATCH($G116,cases!$G$3:$G$2464,0),FALSE))</f>
        <v/>
      </c>
      <c r="K116" s="352">
        <f>L135/L24</f>
        <v>5.1216692794123988E-7</v>
      </c>
      <c r="L116" s="634">
        <f t="shared" si="4"/>
        <v>5.1216692794123988E-7</v>
      </c>
      <c r="M116" s="29" t="s">
        <v>1488</v>
      </c>
      <c r="N116" s="325"/>
      <c r="O116" s="36"/>
    </row>
    <row r="117" spans="1:15" ht="12.75" customHeight="1" x14ac:dyDescent="0.3">
      <c r="A117" s="36" t="s">
        <v>73</v>
      </c>
      <c r="B117" s="29"/>
      <c r="C117" s="29"/>
      <c r="D117" s="29"/>
      <c r="E117" s="29"/>
      <c r="F117" s="29"/>
      <c r="G117" s="36" t="s">
        <v>237</v>
      </c>
      <c r="H117" s="36" t="s">
        <v>4036</v>
      </c>
      <c r="I117" s="635"/>
      <c r="J117" s="633" t="str">
        <f>IF(ISBLANK(HLOOKUP(CaseName,CaseData,MATCH($G117,cases!$G$3:$G$2464,0),FALSE)),"",HLOOKUP(CaseName,CaseData,MATCH($G117,cases!$G$3:$G$2464,0),FALSE))</f>
        <v/>
      </c>
      <c r="K117" s="352">
        <f>L138/L27</f>
        <v>1.103232338463208E-7</v>
      </c>
      <c r="L117" s="634">
        <f t="shared" si="4"/>
        <v>1.103232338463208E-7</v>
      </c>
      <c r="M117" s="29" t="s">
        <v>1488</v>
      </c>
      <c r="N117" s="325"/>
      <c r="O117" s="36"/>
    </row>
    <row r="118" spans="1:15" ht="12.75" customHeight="1" x14ac:dyDescent="0.3">
      <c r="A118" s="36" t="s">
        <v>74</v>
      </c>
      <c r="B118" s="29"/>
      <c r="C118" s="29"/>
      <c r="D118" s="29"/>
      <c r="E118" s="29"/>
      <c r="F118" s="29"/>
      <c r="G118" s="36" t="s">
        <v>238</v>
      </c>
      <c r="H118" s="36" t="s">
        <v>4036</v>
      </c>
      <c r="I118" s="635"/>
      <c r="J118" s="633" t="str">
        <f>IF(ISBLANK(HLOOKUP(CaseName,CaseData,MATCH($G118,cases!$G$3:$G$2464,0),FALSE)),"",HLOOKUP(CaseName,CaseData,MATCH($G118,cases!$G$3:$G$2464,0),FALSE))</f>
        <v/>
      </c>
      <c r="K118" s="352">
        <f>L139/L28</f>
        <v>5.0203054661890868E-8</v>
      </c>
      <c r="L118" s="634">
        <f t="shared" si="4"/>
        <v>5.0203054661890868E-8</v>
      </c>
      <c r="M118" s="29" t="s">
        <v>1488</v>
      </c>
      <c r="N118" s="325"/>
      <c r="O118" s="36"/>
    </row>
    <row r="119" spans="1:15" ht="12.75" customHeight="1" x14ac:dyDescent="0.3">
      <c r="A119" s="36" t="s">
        <v>75</v>
      </c>
      <c r="B119" s="29"/>
      <c r="C119" s="29"/>
      <c r="D119" s="29"/>
      <c r="E119" s="29"/>
      <c r="F119" s="29"/>
      <c r="G119" s="36" t="s">
        <v>239</v>
      </c>
      <c r="H119" s="36" t="s">
        <v>4036</v>
      </c>
      <c r="I119" s="635"/>
      <c r="J119" s="633" t="str">
        <f>IF(ISBLANK(HLOOKUP(CaseName,CaseData,MATCH($G119,cases!$G$3:$G$2464,0),FALSE)),"",HLOOKUP(CaseName,CaseData,MATCH($G119,cases!$G$3:$G$2464,0),FALSE))</f>
        <v/>
      </c>
      <c r="K119" s="352">
        <f>L140/L29</f>
        <v>1.103232338463208E-7</v>
      </c>
      <c r="L119" s="634">
        <f t="shared" si="4"/>
        <v>1.103232338463208E-7</v>
      </c>
      <c r="M119" s="29" t="s">
        <v>1488</v>
      </c>
      <c r="N119" s="325"/>
      <c r="O119" s="36"/>
    </row>
    <row r="120" spans="1:15" ht="12.75" customHeight="1" x14ac:dyDescent="0.3">
      <c r="A120" s="36"/>
      <c r="B120" s="36" t="s">
        <v>3974</v>
      </c>
      <c r="C120" s="29"/>
      <c r="D120" s="29"/>
      <c r="E120" s="29"/>
      <c r="F120" s="29"/>
      <c r="G120" s="37" t="s">
        <v>2262</v>
      </c>
      <c r="H120" s="36" t="s">
        <v>4036</v>
      </c>
      <c r="I120" s="635"/>
      <c r="J120" s="633" t="str">
        <f>IF(ISBLANK(HLOOKUP(CaseName,CaseData,MATCH($G120,cases!$G$3:$G$2464,0),FALSE)),"",HLOOKUP(CaseName,CaseData,MATCH($G120,cases!$G$3:$G$2464,0),FALSE))</f>
        <v/>
      </c>
      <c r="K120" s="639">
        <f>L121-SUM((L131*(L15+L16+L20)+L132*(L17+L18+L19))/L21,L197,L44)</f>
        <v>2.4721602597911412E-10</v>
      </c>
      <c r="L120" s="634">
        <f t="shared" si="4"/>
        <v>2.4721602597911412E-10</v>
      </c>
      <c r="M120" s="29" t="s">
        <v>1488</v>
      </c>
      <c r="N120" s="325"/>
      <c r="O120" s="36"/>
    </row>
    <row r="121" spans="1:15" ht="12.75" customHeight="1" x14ac:dyDescent="0.3">
      <c r="A121" s="36"/>
      <c r="B121" s="36"/>
      <c r="C121" s="29" t="s">
        <v>3975</v>
      </c>
      <c r="D121" s="29"/>
      <c r="E121" s="29"/>
      <c r="F121" s="29"/>
      <c r="G121" s="37" t="s">
        <v>2261</v>
      </c>
      <c r="H121" s="36" t="s">
        <v>4036</v>
      </c>
      <c r="I121" s="635"/>
      <c r="J121" s="633" t="str">
        <f>IF(ISBLANK(HLOOKUP(CaseName,CaseData,MATCH($G121,cases!$G$3:$G$2464,0),FALSE)),"",HLOOKUP(CaseName,CaseData,MATCH($G121,cases!$G$3:$G$2464,0),FALSE))</f>
        <v/>
      </c>
      <c r="K121" s="639">
        <f>((1/L122)*L124/(L124+L125)+(1/L123)*L125/(L124+L125)-((1/L123-1/L122)^2/(L124+L125))*(1-EXP(-L122*L124))*(1-EXP(-L123*L125))/(1-EXP(-L122*L124-L123*L125)))^-1</f>
        <v>9.6393676381392837E-6</v>
      </c>
      <c r="L121" s="634">
        <f t="shared" si="4"/>
        <v>9.6393676381392837E-6</v>
      </c>
      <c r="M121" s="29" t="s">
        <v>1488</v>
      </c>
      <c r="N121" s="325"/>
      <c r="O121" s="36"/>
    </row>
    <row r="122" spans="1:15" ht="12.75" customHeight="1" x14ac:dyDescent="0.3">
      <c r="A122" s="36"/>
      <c r="B122" s="36"/>
      <c r="C122" s="36"/>
      <c r="D122" s="36" t="s">
        <v>3976</v>
      </c>
      <c r="E122" s="29"/>
      <c r="F122" s="29"/>
      <c r="G122" s="37" t="s">
        <v>927</v>
      </c>
      <c r="H122" s="36" t="s">
        <v>4036</v>
      </c>
      <c r="I122" s="635"/>
      <c r="J122" s="633" t="str">
        <f>IF(ISBLANK(HLOOKUP(CaseName,CaseData,MATCH($G122,cases!$G$3:$G$2464,0),FALSE)),"",HLOOKUP(CaseName,CaseData,MATCH($G122,cases!$G$3:$G$2464,0),FALSE))</f>
        <v/>
      </c>
      <c r="K122" s="639">
        <f>L126/L21  + SUM((L131*(L15+L16+L20)+L132*(L17+L18+L19))/L21,L197,L44)</f>
        <v>9.6391204574189846E-6</v>
      </c>
      <c r="L122" s="634">
        <f t="shared" si="4"/>
        <v>9.6391204574189846E-6</v>
      </c>
      <c r="M122" s="29" t="s">
        <v>1488</v>
      </c>
      <c r="N122" s="325"/>
      <c r="O122" s="36"/>
    </row>
    <row r="123" spans="1:15" ht="12.75" customHeight="1" x14ac:dyDescent="0.3">
      <c r="A123" s="36"/>
      <c r="B123" s="36"/>
      <c r="C123" s="36"/>
      <c r="D123" s="36" t="s">
        <v>3977</v>
      </c>
      <c r="E123" s="29"/>
      <c r="F123" s="29"/>
      <c r="G123" s="37" t="s">
        <v>928</v>
      </c>
      <c r="H123" s="36" t="s">
        <v>4036</v>
      </c>
      <c r="I123" s="635"/>
      <c r="J123" s="633" t="str">
        <f>IF(ISBLANK(HLOOKUP(CaseName,CaseData,MATCH($G123,cases!$G$3:$G$2464,0),FALSE)),"",HLOOKUP(CaseName,CaseData,MATCH($G123,cases!$G$3:$G$2464,0),FALSE))</f>
        <v/>
      </c>
      <c r="K123" s="639">
        <f>(L127+L128)/L21 + SUM((L131*(L15+L16+L20)+L132*(L17+L18+L19))/L21,L197,L44)</f>
        <v>9.6432401938217963E-6</v>
      </c>
      <c r="L123" s="634">
        <f t="shared" si="4"/>
        <v>9.6432401938217963E-6</v>
      </c>
      <c r="M123" s="29" t="s">
        <v>1488</v>
      </c>
      <c r="N123" s="325"/>
      <c r="O123" s="36"/>
    </row>
    <row r="124" spans="1:15" ht="12.75" customHeight="1" x14ac:dyDescent="0.3">
      <c r="A124" s="36"/>
      <c r="B124" s="36"/>
      <c r="C124" s="36"/>
      <c r="D124" s="29" t="s">
        <v>929</v>
      </c>
      <c r="E124" s="29"/>
      <c r="F124" s="29"/>
      <c r="G124" s="29" t="s">
        <v>930</v>
      </c>
      <c r="H124" s="29" t="s">
        <v>2191</v>
      </c>
      <c r="I124" s="635"/>
      <c r="J124" s="633" t="str">
        <f>IF(ISBLANK(HLOOKUP(CaseName,CaseData,MATCH($G124,cases!$G$3:$G$2464,0),FALSE)),"",HLOOKUP(CaseName,CaseData,MATCH($G124,cases!$G$3:$G$2464,0),FALSE))</f>
        <v/>
      </c>
      <c r="K124" s="352">
        <f>3.3*24</f>
        <v>79.199999999999989</v>
      </c>
      <c r="L124" s="634">
        <f>IF(ISBLANK(I124),IF(ISNUMBER(J124)=FALSE,K124*3600,J124*3600),I124*3600)</f>
        <v>285119.99999999994</v>
      </c>
      <c r="M124" s="29" t="s">
        <v>115</v>
      </c>
      <c r="N124" s="325"/>
      <c r="O124" s="36"/>
    </row>
    <row r="125" spans="1:15" ht="12.75" customHeight="1" x14ac:dyDescent="0.3">
      <c r="A125" s="36"/>
      <c r="B125" s="36"/>
      <c r="C125" s="36"/>
      <c r="D125" s="29" t="s">
        <v>931</v>
      </c>
      <c r="E125" s="29"/>
      <c r="F125" s="29"/>
      <c r="G125" s="29" t="s">
        <v>932</v>
      </c>
      <c r="H125" s="29" t="s">
        <v>2191</v>
      </c>
      <c r="I125" s="635"/>
      <c r="J125" s="633" t="str">
        <f>IF(ISBLANK(HLOOKUP(CaseName,CaseData,MATCH($G125,cases!$G$3:$G$2464,0),FALSE)),"",HLOOKUP(CaseName,CaseData,MATCH($G125,cases!$G$3:$G$2464,0),FALSE))</f>
        <v/>
      </c>
      <c r="K125" s="352">
        <f>3.3*24*(0.06/(1-0.06))</f>
        <v>5.0553191489361691</v>
      </c>
      <c r="L125" s="634">
        <f>IF(ISBLANK(I125),IF(ISNUMBER(J125)=FALSE,K125*3600,J125*3600),I125*3600)</f>
        <v>18199.148936170208</v>
      </c>
      <c r="M125" s="29" t="s">
        <v>115</v>
      </c>
      <c r="N125" s="325"/>
      <c r="O125" s="36"/>
    </row>
    <row r="126" spans="1:15" ht="12.75" customHeight="1" x14ac:dyDescent="0.3">
      <c r="A126" s="36"/>
      <c r="B126" s="36"/>
      <c r="C126" s="36" t="s">
        <v>493</v>
      </c>
      <c r="D126" s="29"/>
      <c r="E126" s="29"/>
      <c r="F126" s="29"/>
      <c r="G126" s="94" t="s">
        <v>120</v>
      </c>
      <c r="H126" s="95" t="s">
        <v>4044</v>
      </c>
      <c r="I126" s="635"/>
      <c r="J126" s="633" t="str">
        <f>IF(ISBLANK(HLOOKUP(CaseName,CaseData,MATCH($G126,cases!$G$3:$G$2464,0),FALSE)),"",HLOOKUP(CaseName,CaseData,MATCH($G126,cases!$G$3:$G$2464,0),FALSE))</f>
        <v/>
      </c>
      <c r="K126" s="639">
        <f>L129*(L61+L62)</f>
        <v>3.5305679851056702E-11</v>
      </c>
      <c r="L126" s="634">
        <f t="shared" si="4"/>
        <v>3.5305679851056702E-11</v>
      </c>
      <c r="M126" s="29" t="s">
        <v>1490</v>
      </c>
      <c r="N126" s="325"/>
      <c r="O126" s="36"/>
    </row>
    <row r="127" spans="1:15" ht="12.75" customHeight="1" x14ac:dyDescent="0.3">
      <c r="A127" s="36"/>
      <c r="B127" s="36"/>
      <c r="C127" s="36" t="s">
        <v>745</v>
      </c>
      <c r="D127" s="29"/>
      <c r="E127" s="29"/>
      <c r="F127" s="29"/>
      <c r="G127" s="37" t="s">
        <v>586</v>
      </c>
      <c r="H127" s="95" t="s">
        <v>4044</v>
      </c>
      <c r="I127" s="635"/>
      <c r="J127" s="633" t="str">
        <f>IF(ISBLANK(HLOOKUP(CaseName,CaseData,MATCH($G127,cases!$G$3:$G$2464,0),FALSE)),"",HLOOKUP(CaseName,CaseData,MATCH($G127,cases!$G$3:$G$2464,0),FALSE))</f>
        <v/>
      </c>
      <c r="K127" s="639">
        <f>L62*(L124+L125)/L125*L130*RAINrate.R</f>
        <v>2.595781412110609E-9</v>
      </c>
      <c r="L127" s="634">
        <f t="shared" si="4"/>
        <v>2.595781412110609E-9</v>
      </c>
      <c r="M127" s="29" t="s">
        <v>1490</v>
      </c>
      <c r="N127" s="325"/>
      <c r="O127" s="36"/>
    </row>
    <row r="128" spans="1:15" ht="12.75" customHeight="1" x14ac:dyDescent="0.3">
      <c r="A128" s="36"/>
      <c r="B128" s="36"/>
      <c r="C128" s="36" t="s">
        <v>746</v>
      </c>
      <c r="D128" s="29"/>
      <c r="E128" s="29"/>
      <c r="F128" s="29"/>
      <c r="G128" s="37" t="s">
        <v>587</v>
      </c>
      <c r="H128" s="95" t="s">
        <v>4044</v>
      </c>
      <c r="I128" s="635"/>
      <c r="J128" s="633" t="str">
        <f>IF(ISBLANK(HLOOKUP(CaseName,CaseData,MATCH($G128,cases!$G$3:$G$2464,0),FALSE)),"",HLOOKUP(CaseName,CaseData,MATCH($G128,cases!$G$3:$G$2464,0),FALSE))</f>
        <v/>
      </c>
      <c r="K128" s="639">
        <f>L60*(L124+L125)/L125*RAINrate.R/(L63*FRorig.aerw)</f>
        <v>4.1171759270791855E-6</v>
      </c>
      <c r="L128" s="634">
        <f t="shared" si="4"/>
        <v>4.1171759270791855E-6</v>
      </c>
      <c r="M128" s="29" t="s">
        <v>1490</v>
      </c>
      <c r="N128" s="325"/>
      <c r="O128" s="36"/>
    </row>
    <row r="129" spans="1:15" ht="12.75" customHeight="1" x14ac:dyDescent="0.3">
      <c r="A129" s="36"/>
      <c r="B129" s="36"/>
      <c r="C129" s="29"/>
      <c r="D129" s="95" t="s">
        <v>747</v>
      </c>
      <c r="E129" s="95"/>
      <c r="F129" s="95"/>
      <c r="G129" s="94" t="s">
        <v>121</v>
      </c>
      <c r="H129" s="95" t="s">
        <v>4044</v>
      </c>
      <c r="I129" s="635"/>
      <c r="J129" s="633" t="str">
        <f>IF(ISBLANK(HLOOKUP(CaseName,CaseData,MATCH($G129,cases!$G$3:$G$2464,0),FALSE)),"",HLOOKUP(CaseName,CaseData,MATCH($G129,cases!$G$3:$G$2464,0),FALSE))</f>
        <v/>
      </c>
      <c r="K129" s="639">
        <v>1E-3</v>
      </c>
      <c r="L129" s="634">
        <f t="shared" si="4"/>
        <v>1E-3</v>
      </c>
      <c r="M129" s="29" t="s">
        <v>1490</v>
      </c>
      <c r="N129" s="325"/>
      <c r="O129" s="36"/>
    </row>
    <row r="130" spans="1:15" ht="12.75" customHeight="1" x14ac:dyDescent="0.3">
      <c r="A130" s="36"/>
      <c r="B130" s="36"/>
      <c r="C130" s="29"/>
      <c r="D130" s="36" t="s">
        <v>444</v>
      </c>
      <c r="E130" s="29"/>
      <c r="F130" s="29"/>
      <c r="G130" s="94" t="s">
        <v>123</v>
      </c>
      <c r="H130" s="36" t="s">
        <v>36</v>
      </c>
      <c r="I130" s="635"/>
      <c r="J130" s="633" t="str">
        <f>IF(ISBLANK(HLOOKUP(CaseName,CaseData,MATCH($G130,cases!$G$3:$G$2464,0),FALSE)),"",HLOOKUP(CaseName,CaseData,MATCH($G130,cases!$G$3:$G$2464,0),FALSE))</f>
        <v/>
      </c>
      <c r="K130" s="639">
        <v>200000</v>
      </c>
      <c r="L130" s="634">
        <f t="shared" si="4"/>
        <v>200000</v>
      </c>
      <c r="M130" s="36" t="s">
        <v>486</v>
      </c>
      <c r="N130" s="325"/>
      <c r="O130" s="36"/>
    </row>
    <row r="131" spans="1:15" ht="12.75" customHeight="1" x14ac:dyDescent="0.3">
      <c r="A131" s="36"/>
      <c r="B131" s="36" t="s">
        <v>2217</v>
      </c>
      <c r="C131" s="29"/>
      <c r="D131" s="29"/>
      <c r="E131" s="95"/>
      <c r="F131" s="95"/>
      <c r="G131" s="37" t="s">
        <v>2219</v>
      </c>
      <c r="H131" s="36" t="s">
        <v>4045</v>
      </c>
      <c r="I131" s="635"/>
      <c r="J131" s="633" t="str">
        <f>IF(ISBLANK(HLOOKUP(CaseName,CaseData,MATCH($G131,cases!$G$3:$G$2464,0),FALSE)),"",HLOOKUP(CaseName,CaseData,MATCH($G131,cases!$G$3:$G$2464,0),FALSE))</f>
        <v/>
      </c>
      <c r="K131" s="639">
        <f>L60*(L136*L137/(L136*(L63*FRorig.w1)+L137))</f>
        <v>5.703393574022636E-5</v>
      </c>
      <c r="L131" s="634">
        <f t="shared" ref="L131:L134" si="5">IF(ISBLANK(I131),IF(ISNUMBER(J131)=FALSE,K131,J131),I131)</f>
        <v>5.703393574022636E-5</v>
      </c>
      <c r="M131" s="36" t="s">
        <v>4046</v>
      </c>
      <c r="N131" s="325"/>
      <c r="O131" s="36"/>
    </row>
    <row r="132" spans="1:15" ht="12.75" customHeight="1" x14ac:dyDescent="0.3">
      <c r="A132" s="36"/>
      <c r="B132" s="36" t="s">
        <v>2218</v>
      </c>
      <c r="C132" s="29"/>
      <c r="D132" s="29"/>
      <c r="E132" s="95"/>
      <c r="F132" s="95"/>
      <c r="G132" s="37" t="s">
        <v>2223</v>
      </c>
      <c r="H132" s="36" t="s">
        <v>4045</v>
      </c>
      <c r="I132" s="632"/>
      <c r="J132" s="633" t="str">
        <f>IF(ISBLANK(HLOOKUP(CaseName,CaseData,MATCH($G132,cases!$G$3:$G$2464,0),FALSE)),"",HLOOKUP(CaseName,CaseData,MATCH($G132,cases!$G$3:$G$2464,0),FALSE))</f>
        <v/>
      </c>
      <c r="K132" s="639">
        <f>L60*(L141*L142)/(L141*((L63*FRorig.s1w)/L90)+L142)</f>
        <v>1.1258217098815417E-6</v>
      </c>
      <c r="L132" s="634">
        <f t="shared" si="5"/>
        <v>1.1258217098815417E-6</v>
      </c>
      <c r="M132" s="36" t="s">
        <v>4046</v>
      </c>
      <c r="N132" s="325"/>
      <c r="O132" s="36"/>
    </row>
    <row r="133" spans="1:15" ht="12.75" customHeight="1" x14ac:dyDescent="0.3">
      <c r="A133" s="36"/>
      <c r="B133" s="36" t="s">
        <v>2211</v>
      </c>
      <c r="C133" s="29"/>
      <c r="D133" s="29"/>
      <c r="E133" s="95"/>
      <c r="F133" s="95"/>
      <c r="G133" s="37" t="s">
        <v>2220</v>
      </c>
      <c r="H133" s="36" t="s">
        <v>4045</v>
      </c>
      <c r="I133" s="632"/>
      <c r="J133" s="633" t="str">
        <f>IF(ISBLANK(HLOOKUP(CaseName,CaseData,MATCH($G133,cases!$G$3:$G$2464,0),FALSE)),"",HLOOKUP(CaseName,CaseData,MATCH($G133,cases!$G$3:$G$2464,0),FALSE))</f>
        <v/>
      </c>
      <c r="K133" s="639">
        <f>(L136*L137/(L136*(L63*FRorig.w1)+L137))*(L63*FRorig.w1)*L66</f>
        <v>5.1234424145319552E-6</v>
      </c>
      <c r="L133" s="634">
        <f t="shared" si="5"/>
        <v>5.1234424145319552E-6</v>
      </c>
      <c r="M133" s="36" t="s">
        <v>4046</v>
      </c>
      <c r="N133" s="325"/>
      <c r="O133" s="36"/>
    </row>
    <row r="134" spans="1:15" ht="12.75" customHeight="1" x14ac:dyDescent="0.3">
      <c r="A134" s="36"/>
      <c r="B134" s="36" t="s">
        <v>2212</v>
      </c>
      <c r="C134" s="29"/>
      <c r="D134" s="29"/>
      <c r="E134" s="95"/>
      <c r="F134" s="95"/>
      <c r="G134" s="37" t="s">
        <v>2221</v>
      </c>
      <c r="H134" s="36" t="s">
        <v>4045</v>
      </c>
      <c r="I134" s="632"/>
      <c r="J134" s="633" t="str">
        <f>IF(ISBLANK(HLOOKUP(CaseName,CaseData,MATCH($G134,cases!$G$3:$G$2464,0),FALSE)),"",HLOOKUP(CaseName,CaseData,MATCH($G134,cases!$G$3:$G$2464,0),FALSE))</f>
        <v/>
      </c>
      <c r="K134" s="639">
        <f>(L136*L137/(L136*(L63*FRorig.w1)+L137))*(L63*FRorig.w1)*L72</f>
        <v>5.1177333698177912E-6</v>
      </c>
      <c r="L134" s="634">
        <f t="shared" si="5"/>
        <v>5.1177333698177912E-6</v>
      </c>
      <c r="M134" s="36" t="s">
        <v>4046</v>
      </c>
      <c r="N134" s="325"/>
      <c r="O134" s="36"/>
    </row>
    <row r="135" spans="1:15" ht="12.75" customHeight="1" x14ac:dyDescent="0.3">
      <c r="A135" s="36"/>
      <c r="B135" s="36" t="s">
        <v>2213</v>
      </c>
      <c r="C135" s="29"/>
      <c r="D135" s="29"/>
      <c r="E135" s="29"/>
      <c r="F135" s="29"/>
      <c r="G135" s="37" t="s">
        <v>2222</v>
      </c>
      <c r="H135" s="36" t="s">
        <v>4045</v>
      </c>
      <c r="I135" s="632"/>
      <c r="J135" s="633" t="str">
        <f>IF(ISBLANK(HLOOKUP(CaseName,CaseData,MATCH($G135,cases!$G$3:$G$2464,0),FALSE)),"",HLOOKUP(CaseName,CaseData,MATCH($G135,cases!$G$3:$G$2464,0),FALSE))</f>
        <v/>
      </c>
      <c r="K135" s="639">
        <f>(L136*L137/(L136*(L63*FRorig.w2)+L137))*(L63*FRorig.w2)*L78</f>
        <v>5.1216692794123988E-6</v>
      </c>
      <c r="L135" s="634">
        <f t="shared" si="4"/>
        <v>5.1216692794123988E-6</v>
      </c>
      <c r="M135" s="36" t="s">
        <v>4046</v>
      </c>
      <c r="N135" s="325"/>
      <c r="O135" s="36"/>
    </row>
    <row r="136" spans="1:15" ht="12.75" customHeight="1" x14ac:dyDescent="0.3">
      <c r="A136" s="36"/>
      <c r="B136" s="36"/>
      <c r="C136" s="29" t="s">
        <v>1077</v>
      </c>
      <c r="D136" s="29"/>
      <c r="E136" s="95"/>
      <c r="F136" s="95"/>
      <c r="G136" s="29" t="s">
        <v>3978</v>
      </c>
      <c r="H136" s="95" t="s">
        <v>4044</v>
      </c>
      <c r="I136" s="632"/>
      <c r="J136" s="633" t="str">
        <f>IF(ISBLANK(HLOOKUP(CaseName,CaseData,MATCH($G136,cases!$G$3:$G$2464,0),FALSE)),"",HLOOKUP(CaseName,CaseData,MATCH($G136,cases!$G$3:$G$2464,0),FALSE))</f>
        <v/>
      </c>
      <c r="K136" s="639">
        <f>0.01*(0.3+0.2*WINDspeed.R)*((0.018/Molweight)^(0.67*0.5))</f>
        <v>4.4535618852450994E-3</v>
      </c>
      <c r="L136" s="634">
        <f t="shared" si="4"/>
        <v>4.4535618852450994E-3</v>
      </c>
      <c r="M136" s="29" t="s">
        <v>1490</v>
      </c>
      <c r="N136" s="325"/>
      <c r="O136" s="36"/>
    </row>
    <row r="137" spans="1:15" ht="12.75" customHeight="1" x14ac:dyDescent="0.3">
      <c r="A137" s="36"/>
      <c r="B137" s="36"/>
      <c r="C137" s="29" t="s">
        <v>1048</v>
      </c>
      <c r="D137" s="29"/>
      <c r="E137" s="95"/>
      <c r="F137" s="95"/>
      <c r="G137" s="29" t="s">
        <v>3979</v>
      </c>
      <c r="H137" s="95" t="s">
        <v>4044</v>
      </c>
      <c r="I137" s="632"/>
      <c r="J137" s="633" t="str">
        <f>IF(ISBLANK(HLOOKUP(CaseName,CaseData,MATCH($G137,cases!$G$3:$G$2464,0),FALSE)),"",HLOOKUP(CaseName,CaseData,MATCH($G137,cases!$G$3:$G$2464,0),FALSE))</f>
        <v/>
      </c>
      <c r="K137" s="639">
        <f>0.01*(0.0004+0.00004*WINDspeed.R^2)*((0.032/Molweight)^(0.5*0.5))</f>
        <v>5.191247717588049E-6</v>
      </c>
      <c r="L137" s="634">
        <f t="shared" si="4"/>
        <v>5.191247717588049E-6</v>
      </c>
      <c r="M137" s="29" t="s">
        <v>1490</v>
      </c>
      <c r="N137" s="325"/>
      <c r="O137" s="36"/>
    </row>
    <row r="138" spans="1:15" ht="12.75" customHeight="1" x14ac:dyDescent="0.3">
      <c r="A138" s="36"/>
      <c r="B138" s="36" t="s">
        <v>2214</v>
      </c>
      <c r="C138" s="29"/>
      <c r="D138" s="29"/>
      <c r="E138" s="95"/>
      <c r="F138" s="95"/>
      <c r="G138" s="37" t="s">
        <v>2224</v>
      </c>
      <c r="H138" s="36" t="s">
        <v>4045</v>
      </c>
      <c r="I138" s="632"/>
      <c r="J138" s="633" t="str">
        <f>IF(ISBLANK(HLOOKUP(CaseName,CaseData,MATCH($G138,cases!$G$3:$G$2464,0),FALSE)),"",HLOOKUP(CaseName,CaseData,MATCH($G138,cases!$G$3:$G$2464,0),FALSE))</f>
        <v/>
      </c>
      <c r="K138" s="639">
        <f>(L141*L142)/(L141+L142/((L63*FRorig.s1w)/L90))*L143</f>
        <v>5.5161616923160404E-9</v>
      </c>
      <c r="L138" s="634">
        <f t="shared" ref="L138:L145" si="6">IF(ISBLANK(I138),IF(ISNUMBER(J138)=FALSE,K138,J138),I138)</f>
        <v>5.5161616923160404E-9</v>
      </c>
      <c r="M138" s="36" t="s">
        <v>4046</v>
      </c>
      <c r="N138" s="325"/>
      <c r="O138" s="36"/>
    </row>
    <row r="139" spans="1:15" ht="12.75" customHeight="1" x14ac:dyDescent="0.3">
      <c r="A139" s="36"/>
      <c r="B139" s="36" t="s">
        <v>2215</v>
      </c>
      <c r="C139" s="29"/>
      <c r="D139" s="29"/>
      <c r="E139" s="95"/>
      <c r="F139" s="95"/>
      <c r="G139" s="37" t="s">
        <v>2225</v>
      </c>
      <c r="H139" s="36" t="s">
        <v>4045</v>
      </c>
      <c r="I139" s="632"/>
      <c r="J139" s="633" t="str">
        <f>IF(ISBLANK(HLOOKUP(CaseName,CaseData,MATCH($G139,cases!$G$3:$G$2464,0),FALSE)),"",HLOOKUP(CaseName,CaseData,MATCH($G139,cases!$G$3:$G$2464,0),FALSE))</f>
        <v/>
      </c>
      <c r="K139" s="639">
        <f>(L141*L142)/(L141+L142/((L63*FRorig.s2w)/L95))*L144</f>
        <v>1.0040610932378174E-8</v>
      </c>
      <c r="L139" s="634">
        <f t="shared" si="6"/>
        <v>1.0040610932378174E-8</v>
      </c>
      <c r="M139" s="36" t="s">
        <v>4046</v>
      </c>
      <c r="N139" s="325"/>
      <c r="O139" s="36"/>
    </row>
    <row r="140" spans="1:15" ht="12.75" customHeight="1" x14ac:dyDescent="0.3">
      <c r="A140" s="36"/>
      <c r="B140" s="36" t="s">
        <v>2216</v>
      </c>
      <c r="C140" s="29"/>
      <c r="D140" s="29"/>
      <c r="E140" s="95"/>
      <c r="F140" s="95"/>
      <c r="G140" s="37" t="s">
        <v>2226</v>
      </c>
      <c r="H140" s="36" t="s">
        <v>4045</v>
      </c>
      <c r="I140" s="632"/>
      <c r="J140" s="633" t="str">
        <f>IF(ISBLANK(HLOOKUP(CaseName,CaseData,MATCH($G140,cases!$G$3:$G$2464,0),FALSE)),"",HLOOKUP(CaseName,CaseData,MATCH($G140,cases!$G$3:$G$2464,0),FALSE))</f>
        <v/>
      </c>
      <c r="K140" s="639">
        <f>(L141*L142)/(L141+L142/((L63*FRorig.s3w)/L100))*L145</f>
        <v>5.5161616923160404E-9</v>
      </c>
      <c r="L140" s="634">
        <f t="shared" si="6"/>
        <v>5.5161616923160404E-9</v>
      </c>
      <c r="M140" s="36" t="s">
        <v>4046</v>
      </c>
      <c r="N140" s="325"/>
      <c r="O140" s="36"/>
    </row>
    <row r="141" spans="1:15" ht="12.75" customHeight="1" x14ac:dyDescent="0.3">
      <c r="A141" s="36"/>
      <c r="B141" s="36"/>
      <c r="C141" s="29" t="s">
        <v>1049</v>
      </c>
      <c r="D141" s="29"/>
      <c r="E141" s="29"/>
      <c r="F141" s="95"/>
      <c r="G141" s="29" t="s">
        <v>3980</v>
      </c>
      <c r="H141" s="95" t="s">
        <v>4044</v>
      </c>
      <c r="I141" s="632"/>
      <c r="J141" s="633" t="str">
        <f>IF(ISBLANK(HLOOKUP(CaseName,CaseData,MATCH($G141,cases!$G$3:$G$2464,0),FALSE)),"",HLOOKUP(CaseName,CaseData,MATCH($G141,cases!$G$3:$G$2464,0),FALSE))</f>
        <v/>
      </c>
      <c r="K141" s="639">
        <f>0.43/(24*3600)/0.00475</f>
        <v>1.0477582846003899E-3</v>
      </c>
      <c r="L141" s="634">
        <f t="shared" si="6"/>
        <v>1.0477582846003899E-3</v>
      </c>
      <c r="M141" s="29" t="s">
        <v>1490</v>
      </c>
      <c r="N141" s="325"/>
      <c r="O141" s="36"/>
    </row>
    <row r="142" spans="1:15" ht="12.75" customHeight="1" x14ac:dyDescent="0.3">
      <c r="A142" s="36"/>
      <c r="B142" s="36"/>
      <c r="C142" s="29" t="s">
        <v>872</v>
      </c>
      <c r="D142" s="29"/>
      <c r="E142" s="95"/>
      <c r="F142" s="95"/>
      <c r="G142" s="29" t="s">
        <v>3981</v>
      </c>
      <c r="H142" s="95" t="s">
        <v>4044</v>
      </c>
      <c r="I142" s="632"/>
      <c r="J142" s="633" t="str">
        <f>IF(ISBLANK(HLOOKUP(CaseName,CaseData,MATCH($G142,cases!$G$3:$G$2464,0),FALSE)),"",HLOOKUP(CaseName,CaseData,MATCH($G142,cases!$G$3:$G$2464,0),FALSE))</f>
        <v/>
      </c>
      <c r="K142" s="639">
        <f>0.1*L209</f>
        <v>4.3455503205058606E-9</v>
      </c>
      <c r="L142" s="634">
        <f t="shared" si="6"/>
        <v>4.3455503205058606E-9</v>
      </c>
      <c r="M142" s="29" t="s">
        <v>1490</v>
      </c>
      <c r="N142" s="325"/>
      <c r="O142" s="36"/>
    </row>
    <row r="143" spans="1:15" ht="12.75" customHeight="1" x14ac:dyDescent="0.3">
      <c r="A143" s="36"/>
      <c r="B143" s="36"/>
      <c r="C143" s="29" t="s">
        <v>2227</v>
      </c>
      <c r="D143" s="29"/>
      <c r="E143" s="95"/>
      <c r="F143" s="95"/>
      <c r="G143" s="37" t="s">
        <v>1464</v>
      </c>
      <c r="H143" s="29" t="s">
        <v>36</v>
      </c>
      <c r="I143" s="637"/>
      <c r="J143" s="633" t="str">
        <f>IF(ISBLANK(HLOOKUP(CaseName,CaseData,MATCH($G143,cases!$G$3:$G$2464,0),FALSE)),"",HLOOKUP(CaseName,CaseData,MATCH($G143,cases!$G$3:$G$2464,0),FALSE))</f>
        <v/>
      </c>
      <c r="K143" s="639">
        <f>(EXP((-1/0.1)*0)*(1/0.1)*L27/(1-EXP((-1/0.1)*L27)))</f>
        <v>1.2707470412683992</v>
      </c>
      <c r="L143" s="634">
        <f t="shared" si="6"/>
        <v>1.2707470412683992</v>
      </c>
      <c r="M143" s="29" t="s">
        <v>486</v>
      </c>
      <c r="N143" s="325"/>
      <c r="O143" s="36"/>
    </row>
    <row r="144" spans="1:15" ht="12.75" customHeight="1" x14ac:dyDescent="0.3">
      <c r="A144" s="36"/>
      <c r="B144" s="36"/>
      <c r="C144" s="29" t="s">
        <v>2227</v>
      </c>
      <c r="D144" s="29"/>
      <c r="E144" s="95"/>
      <c r="F144" s="95"/>
      <c r="G144" s="37" t="s">
        <v>1465</v>
      </c>
      <c r="H144" s="29" t="s">
        <v>36</v>
      </c>
      <c r="I144" s="637"/>
      <c r="J144" s="633" t="str">
        <f>IF(ISBLANK(HLOOKUP(CaseName,CaseData,MATCH($G144,cases!$G$3:$G$2464,0),FALSE)),"",HLOOKUP(CaseName,CaseData,MATCH($G144,cases!$G$3:$G$2464,0),FALSE))</f>
        <v/>
      </c>
      <c r="K144" s="639">
        <f>(EXP((-1/0.1)*0)*(1/0.1)*L28/(1-EXP((-1/0.1)*L28)))</f>
        <v>2.3130352854993315</v>
      </c>
      <c r="L144" s="634">
        <f t="shared" si="6"/>
        <v>2.3130352854993315</v>
      </c>
      <c r="M144" s="29" t="s">
        <v>486</v>
      </c>
      <c r="N144" s="325"/>
      <c r="O144" s="36"/>
    </row>
    <row r="145" spans="1:15" ht="12.75" customHeight="1" x14ac:dyDescent="0.3">
      <c r="A145" s="36"/>
      <c r="B145" s="36"/>
      <c r="C145" s="29" t="s">
        <v>2227</v>
      </c>
      <c r="D145" s="29"/>
      <c r="E145" s="95"/>
      <c r="F145" s="95"/>
      <c r="G145" s="37" t="s">
        <v>1466</v>
      </c>
      <c r="H145" s="29" t="s">
        <v>36</v>
      </c>
      <c r="I145" s="637"/>
      <c r="J145" s="633" t="str">
        <f>IF(ISBLANK(HLOOKUP(CaseName,CaseData,MATCH($G145,cases!$G$3:$G$2464,0),FALSE)),"",HLOOKUP(CaseName,CaseData,MATCH($G145,cases!$G$3:$G$2464,0),FALSE))</f>
        <v/>
      </c>
      <c r="K145" s="639">
        <f>(EXP((-1/0.1)*0)*(1/0.1)*L29/(1-EXP((-1/0.1)*L29)))</f>
        <v>1.2707470412683992</v>
      </c>
      <c r="L145" s="634">
        <f t="shared" si="6"/>
        <v>1.2707470412683992</v>
      </c>
      <c r="M145" s="29" t="s">
        <v>486</v>
      </c>
      <c r="N145" s="325"/>
      <c r="O145" s="36"/>
    </row>
    <row r="146" spans="1:15" ht="12.75" customHeight="1" x14ac:dyDescent="0.3">
      <c r="A146" s="36"/>
      <c r="B146" s="29"/>
      <c r="C146" s="29"/>
      <c r="D146" s="29"/>
      <c r="E146" s="29"/>
      <c r="F146" s="29"/>
      <c r="G146" s="94"/>
      <c r="H146" s="36"/>
      <c r="I146" s="339"/>
      <c r="J146" s="363"/>
      <c r="K146" s="353"/>
      <c r="L146" s="353"/>
      <c r="M146" s="29"/>
      <c r="N146" s="36"/>
      <c r="O146" s="36"/>
    </row>
    <row r="147" spans="1:15" ht="12.75" customHeight="1" x14ac:dyDescent="0.3">
      <c r="A147" s="36" t="s">
        <v>76</v>
      </c>
      <c r="B147" s="29"/>
      <c r="C147" s="29"/>
      <c r="D147" s="29"/>
      <c r="E147" s="29"/>
      <c r="F147" s="29"/>
      <c r="G147" s="37" t="s">
        <v>240</v>
      </c>
      <c r="H147" s="36" t="s">
        <v>4036</v>
      </c>
      <c r="I147" s="637"/>
      <c r="J147" s="633" t="str">
        <f>IF(ISBLANK(HLOOKUP(CaseName,CaseData,MATCH($G147,cases!$G$3:$G$2464,0),FALSE)),"",HLOOKUP(CaseName,CaseData,MATCH($G147,cases!$G$3:$G$2464,0),FALSE))</f>
        <v/>
      </c>
      <c r="K147" s="352">
        <f>(L151+L162)/L23</f>
        <v>2.2392816971501889E-8</v>
      </c>
      <c r="L147" s="634">
        <f t="shared" ref="L147:L167" si="7">IF(ISBLANK(I147),IF(ISNUMBER(J147)=FALSE,K147,J147),I147)</f>
        <v>2.2392816971501889E-8</v>
      </c>
      <c r="M147" s="29" t="s">
        <v>1488</v>
      </c>
      <c r="N147" s="640"/>
      <c r="O147" s="36"/>
    </row>
    <row r="148" spans="1:15" ht="12.75" customHeight="1" x14ac:dyDescent="0.3">
      <c r="A148" s="36" t="s">
        <v>77</v>
      </c>
      <c r="B148" s="29"/>
      <c r="C148" s="29"/>
      <c r="D148" s="29"/>
      <c r="E148" s="29"/>
      <c r="F148" s="29"/>
      <c r="G148" s="37" t="s">
        <v>242</v>
      </c>
      <c r="H148" s="36" t="s">
        <v>4036</v>
      </c>
      <c r="I148" s="637"/>
      <c r="J148" s="633" t="str">
        <f>IF(ISBLANK(HLOOKUP(CaseName,CaseData,MATCH($G148,cases!$G$3:$G$2464,0),FALSE)),"",HLOOKUP(CaseName,CaseData,MATCH($G148,cases!$G$3:$G$2464,0),FALSE))</f>
        <v/>
      </c>
      <c r="K148" s="352">
        <f>(L153+L164)/L24</f>
        <v>4.4976851793944434E-9</v>
      </c>
      <c r="L148" s="634">
        <f t="shared" si="7"/>
        <v>4.4976851793944434E-9</v>
      </c>
      <c r="M148" s="29" t="s">
        <v>1488</v>
      </c>
      <c r="N148" s="36"/>
      <c r="O148" s="36"/>
    </row>
    <row r="149" spans="1:15" ht="12.75" customHeight="1" x14ac:dyDescent="0.3">
      <c r="A149" s="36" t="s">
        <v>78</v>
      </c>
      <c r="B149" s="29"/>
      <c r="C149" s="29"/>
      <c r="D149" s="29"/>
      <c r="E149" s="29"/>
      <c r="F149" s="29"/>
      <c r="G149" s="37" t="s">
        <v>241</v>
      </c>
      <c r="H149" s="36" t="s">
        <v>4036</v>
      </c>
      <c r="I149" s="637"/>
      <c r="J149" s="633" t="str">
        <f>IF(ISBLANK(HLOOKUP(CaseName,CaseData,MATCH($G149,cases!$G$3:$G$2464,0),FALSE)),"",HLOOKUP(CaseName,CaseData,MATCH($G149,cases!$G$3:$G$2464,0),FALSE))</f>
        <v/>
      </c>
      <c r="K149" s="352">
        <f>(L152+L163)/L25</f>
        <v>7.1793444112690027E-8</v>
      </c>
      <c r="L149" s="634">
        <f t="shared" si="7"/>
        <v>7.1793444112690027E-8</v>
      </c>
      <c r="M149" s="29" t="s">
        <v>1488</v>
      </c>
      <c r="N149" s="36"/>
      <c r="O149" s="36"/>
    </row>
    <row r="150" spans="1:15" ht="12.75" customHeight="1" x14ac:dyDescent="0.3">
      <c r="A150" s="36" t="s">
        <v>79</v>
      </c>
      <c r="B150" s="29"/>
      <c r="C150" s="29"/>
      <c r="D150" s="29"/>
      <c r="E150" s="29"/>
      <c r="F150" s="29"/>
      <c r="G150" s="37" t="s">
        <v>243</v>
      </c>
      <c r="H150" s="36" t="s">
        <v>4036</v>
      </c>
      <c r="I150" s="637"/>
      <c r="J150" s="633" t="str">
        <f>IF(ISBLANK(HLOOKUP(CaseName,CaseData,MATCH($G150,cases!$G$3:$G$2464,0),FALSE)),"",HLOOKUP(CaseName,CaseData,MATCH($G150,cases!$G$3:$G$2464,0),FALSE))</f>
        <v/>
      </c>
      <c r="K150" s="352">
        <f>(L154+L165)/L26</f>
        <v>5.4484395670697645E-8</v>
      </c>
      <c r="L150" s="634">
        <f t="shared" si="7"/>
        <v>5.4484395670697645E-8</v>
      </c>
      <c r="M150" s="29" t="s">
        <v>1488</v>
      </c>
      <c r="N150" s="36"/>
      <c r="O150" s="36"/>
    </row>
    <row r="151" spans="1:15" ht="12.75" customHeight="1" x14ac:dyDescent="0.3">
      <c r="A151" s="36"/>
      <c r="B151" s="36" t="s">
        <v>2229</v>
      </c>
      <c r="C151" s="29"/>
      <c r="D151" s="29"/>
      <c r="E151" s="29"/>
      <c r="F151" s="29"/>
      <c r="G151" s="37" t="s">
        <v>2253</v>
      </c>
      <c r="H151" s="36" t="s">
        <v>4045</v>
      </c>
      <c r="I151" s="632"/>
      <c r="J151" s="633" t="str">
        <f>IF(ISBLANK(HLOOKUP(CaseName,CaseData,MATCH($G151,cases!$G$3:$G$2464,0),FALSE)),"",HLOOKUP(CaseName,CaseData,MATCH($G151,cases!$G$3:$G$2464,0),FALSE))</f>
        <v/>
      </c>
      <c r="K151" s="352">
        <f>L157*(1-L72)</f>
        <v>3.9711248784463084E-8</v>
      </c>
      <c r="L151" s="634">
        <f t="shared" si="7"/>
        <v>3.9711248784463084E-8</v>
      </c>
      <c r="M151" s="36" t="s">
        <v>4046</v>
      </c>
      <c r="N151" s="325"/>
      <c r="O151" s="36"/>
    </row>
    <row r="152" spans="1:15" ht="12.75" customHeight="1" x14ac:dyDescent="0.3">
      <c r="A152" s="36"/>
      <c r="B152" s="36" t="s">
        <v>2230</v>
      </c>
      <c r="C152" s="29"/>
      <c r="D152" s="29"/>
      <c r="E152" s="29"/>
      <c r="F152" s="29"/>
      <c r="G152" s="37" t="s">
        <v>2254</v>
      </c>
      <c r="H152" s="36" t="s">
        <v>4045</v>
      </c>
      <c r="I152" s="632"/>
      <c r="J152" s="633" t="str">
        <f>IF(ISBLANK(HLOOKUP(CaseName,CaseData,MATCH($G152,cases!$G$3:$G$2464,0),FALSE)),"",HLOOKUP(CaseName,CaseData,MATCH($G152,cases!$G$3:$G$2464,0),FALSE))</f>
        <v/>
      </c>
      <c r="K152" s="352">
        <f>L155-L158</f>
        <v>7.8119450786402858E-10</v>
      </c>
      <c r="L152" s="634">
        <f t="shared" si="7"/>
        <v>7.8119450786402858E-10</v>
      </c>
      <c r="M152" s="36" t="s">
        <v>4046</v>
      </c>
      <c r="N152" s="325"/>
      <c r="O152" s="36"/>
    </row>
    <row r="153" spans="1:15" ht="12.75" customHeight="1" x14ac:dyDescent="0.3">
      <c r="A153" s="36"/>
      <c r="B153" s="36" t="s">
        <v>2231</v>
      </c>
      <c r="C153" s="29"/>
      <c r="D153" s="29"/>
      <c r="E153" s="29"/>
      <c r="F153" s="29"/>
      <c r="G153" s="37" t="s">
        <v>2255</v>
      </c>
      <c r="H153" s="36" t="s">
        <v>4045</v>
      </c>
      <c r="I153" s="632"/>
      <c r="J153" s="633" t="str">
        <f>IF(ISBLANK(HLOOKUP(CaseName,CaseData,MATCH($G153,cases!$G$3:$G$2464,0),FALSE)),"",HLOOKUP(CaseName,CaseData,MATCH($G153,cases!$G$3:$G$2464,0),FALSE))</f>
        <v/>
      </c>
      <c r="K153" s="352">
        <f>L157*(1-L78)</f>
        <v>1.7488525385517546E-8</v>
      </c>
      <c r="L153" s="634">
        <f t="shared" si="7"/>
        <v>1.7488525385517546E-8</v>
      </c>
      <c r="M153" s="36" t="s">
        <v>4046</v>
      </c>
      <c r="N153" s="325"/>
      <c r="O153" s="36"/>
    </row>
    <row r="154" spans="1:15" ht="12.75" customHeight="1" x14ac:dyDescent="0.3">
      <c r="A154" s="36"/>
      <c r="B154" s="36" t="s">
        <v>2232</v>
      </c>
      <c r="C154" s="29"/>
      <c r="D154" s="29"/>
      <c r="E154" s="29"/>
      <c r="F154" s="29"/>
      <c r="G154" s="37" t="s">
        <v>2256</v>
      </c>
      <c r="H154" s="36" t="s">
        <v>4045</v>
      </c>
      <c r="I154" s="632"/>
      <c r="J154" s="633" t="str">
        <f>IF(ISBLANK(HLOOKUP(CaseName,CaseData,MATCH($G154,cases!$G$3:$G$2464,0),FALSE)),"",HLOOKUP(CaseName,CaseData,MATCH($G154,cases!$G$3:$G$2464,0),FALSE))</f>
        <v/>
      </c>
      <c r="K154" s="352">
        <f>L156-L159</f>
        <v>2.6192305460425681E-10</v>
      </c>
      <c r="L154" s="634">
        <f t="shared" si="7"/>
        <v>2.6192305460425681E-10</v>
      </c>
      <c r="M154" s="36" t="s">
        <v>4046</v>
      </c>
      <c r="N154" s="36"/>
      <c r="O154" s="36"/>
    </row>
    <row r="155" spans="1:15" ht="12.75" customHeight="1" x14ac:dyDescent="0.3">
      <c r="A155" s="36"/>
      <c r="B155" s="36"/>
      <c r="C155" s="36" t="s">
        <v>1228</v>
      </c>
      <c r="D155" s="29"/>
      <c r="E155" s="29"/>
      <c r="F155" s="29"/>
      <c r="G155" s="94" t="s">
        <v>507</v>
      </c>
      <c r="H155" s="95" t="s">
        <v>4044</v>
      </c>
      <c r="I155" s="632"/>
      <c r="J155" s="633" t="str">
        <f>IF(ISBLANK(HLOOKUP(CaseName,CaseData,MATCH($G155,cases!$G$3:$G$2464,0),FALSE)),"",HLOOKUP(CaseName,CaseData,MATCH($G155,cases!$G$3:$G$2464,0),FALSE))</f>
        <v/>
      </c>
      <c r="K155" s="352">
        <f>IF(L157*L75/(L42*RHOsolid)&gt;L158,L157*L75/(L42*RHOsolid),L158)</f>
        <v>8.6805555555555575E-10</v>
      </c>
      <c r="L155" s="634">
        <f t="shared" si="7"/>
        <v>8.6805555555555575E-10</v>
      </c>
      <c r="M155" s="29" t="s">
        <v>1490</v>
      </c>
      <c r="N155" s="36"/>
      <c r="O155" s="36"/>
    </row>
    <row r="156" spans="1:15" ht="12.75" customHeight="1" x14ac:dyDescent="0.3">
      <c r="A156" s="36"/>
      <c r="B156" s="36"/>
      <c r="C156" s="36" t="s">
        <v>1229</v>
      </c>
      <c r="D156" s="29"/>
      <c r="E156" s="95"/>
      <c r="F156" s="95"/>
      <c r="G156" s="94" t="s">
        <v>415</v>
      </c>
      <c r="H156" s="95" t="s">
        <v>4044</v>
      </c>
      <c r="I156" s="632"/>
      <c r="J156" s="633" t="str">
        <f>IF(ISBLANK(HLOOKUP(CaseName,CaseData,MATCH($G156,cases!$G$3:$G$2464,0),FALSE)),"",HLOOKUP(CaseName,CaseData,MATCH($G156,cases!$G$3:$G$2464,0),FALSE))</f>
        <v/>
      </c>
      <c r="K156" s="352">
        <f>IF(L157*L81/(L42*RHOsolid)&gt;L159,L157*L81/(L42*RHOsolid),L159)</f>
        <v>2.893518518518519E-10</v>
      </c>
      <c r="L156" s="634">
        <f t="shared" si="7"/>
        <v>2.893518518518519E-10</v>
      </c>
      <c r="M156" s="29" t="s">
        <v>1490</v>
      </c>
      <c r="N156" s="36"/>
      <c r="O156" s="36"/>
    </row>
    <row r="157" spans="1:15" ht="12.75" customHeight="1" x14ac:dyDescent="0.3">
      <c r="A157" s="36"/>
      <c r="B157" s="36"/>
      <c r="C157" s="29"/>
      <c r="D157" s="36" t="s">
        <v>582</v>
      </c>
      <c r="E157" s="95"/>
      <c r="F157" s="95"/>
      <c r="G157" s="94" t="s">
        <v>417</v>
      </c>
      <c r="H157" s="95" t="s">
        <v>4044</v>
      </c>
      <c r="I157" s="632"/>
      <c r="J157" s="633" t="str">
        <f>IF(ISBLANK(HLOOKUP(CaseName,CaseData,MATCH($G157,cases!$G$3:$G$2464,0),FALSE)),"",HLOOKUP(CaseName,CaseData,MATCH($G157,cases!$G$3:$G$2464,0),FALSE))</f>
        <v/>
      </c>
      <c r="K157" s="352">
        <f>2.5/(24*3600)</f>
        <v>2.8935185185185186E-5</v>
      </c>
      <c r="L157" s="634">
        <f t="shared" si="7"/>
        <v>2.8935185185185186E-5</v>
      </c>
      <c r="M157" s="29" t="s">
        <v>1490</v>
      </c>
      <c r="N157" s="36"/>
      <c r="O157" s="36"/>
    </row>
    <row r="158" spans="1:15" ht="12.75" customHeight="1" x14ac:dyDescent="0.3">
      <c r="A158" s="36"/>
      <c r="B158" s="36"/>
      <c r="C158" s="29"/>
      <c r="D158" s="36" t="s">
        <v>1329</v>
      </c>
      <c r="E158" s="95"/>
      <c r="F158" s="36"/>
      <c r="G158" s="94" t="s">
        <v>1083</v>
      </c>
      <c r="H158" s="95" t="s">
        <v>4044</v>
      </c>
      <c r="I158" s="632"/>
      <c r="J158" s="633" t="str">
        <f>IF(ISBLANK(HLOOKUP(CaseName,CaseData,MATCH($G158,cases!$G$3:$G$2464,0),FALSE)),"",HLOOKUP(CaseName,CaseData,MATCH($G158,cases!$G$3:$G$2464,0),FALSE))</f>
        <v/>
      </c>
      <c r="K158" s="352">
        <v>8.6861047691527155E-11</v>
      </c>
      <c r="L158" s="634">
        <f t="shared" si="7"/>
        <v>8.6861047691527155E-11</v>
      </c>
      <c r="M158" s="29" t="s">
        <v>1490</v>
      </c>
      <c r="N158" s="36" t="s">
        <v>923</v>
      </c>
      <c r="O158" s="36"/>
    </row>
    <row r="159" spans="1:15" ht="12.75" customHeight="1" x14ac:dyDescent="0.3">
      <c r="A159" s="36"/>
      <c r="B159" s="36"/>
      <c r="C159" s="29"/>
      <c r="D159" s="36" t="s">
        <v>436</v>
      </c>
      <c r="E159" s="95"/>
      <c r="F159" s="36"/>
      <c r="G159" s="94" t="s">
        <v>1084</v>
      </c>
      <c r="H159" s="95" t="s">
        <v>4044</v>
      </c>
      <c r="I159" s="632"/>
      <c r="J159" s="633" t="str">
        <f>IF(ISBLANK(HLOOKUP(CaseName,CaseData,MATCH($G159,cases!$G$3:$G$2464,0),FALSE)),"",HLOOKUP(CaseName,CaseData,MATCH($G159,cases!$G$3:$G$2464,0),FALSE))</f>
        <v/>
      </c>
      <c r="K159" s="352">
        <v>2.74287972475951E-11</v>
      </c>
      <c r="L159" s="634">
        <f t="shared" si="7"/>
        <v>2.74287972475951E-11</v>
      </c>
      <c r="M159" s="29" t="s">
        <v>1490</v>
      </c>
      <c r="N159" s="36" t="s">
        <v>923</v>
      </c>
      <c r="O159" s="36"/>
    </row>
    <row r="160" spans="1:15" ht="12.75" customHeight="1" x14ac:dyDescent="0.3">
      <c r="A160" s="36"/>
      <c r="B160" s="36"/>
      <c r="C160" s="29"/>
      <c r="D160" s="29"/>
      <c r="E160" s="36" t="s">
        <v>440</v>
      </c>
      <c r="F160" s="95"/>
      <c r="G160" s="94" t="s">
        <v>1206</v>
      </c>
      <c r="H160" s="36" t="s">
        <v>4047</v>
      </c>
      <c r="I160" s="632"/>
      <c r="J160" s="633" t="str">
        <f>IF(ISBLANK(HLOOKUP(CaseName,CaseData,MATCH($G160,cases!$G$3:$G$2464,0),FALSE)),"",HLOOKUP(CaseName,CaseData,MATCH($G160,cases!$G$3:$G$2464,0),FALSE))</f>
        <v/>
      </c>
      <c r="K160" s="352">
        <v>10</v>
      </c>
      <c r="L160" s="634">
        <f>IF(ISBLANK(I160),IF(ISNUMBER(J160)=FALSE,K160/(1000*3600*24*365)*L16*L14,J160/(1000*3600*24*365)*L16*L14),I160/(1000*3600*24*365)*L16*L14)</f>
        <v>1.9931744672754947</v>
      </c>
      <c r="M160" s="29" t="s">
        <v>1499</v>
      </c>
      <c r="N160" s="36"/>
      <c r="O160" s="36"/>
    </row>
    <row r="161" spans="1:15" ht="12.75" customHeight="1" x14ac:dyDescent="0.3">
      <c r="A161" s="36"/>
      <c r="B161" s="36"/>
      <c r="C161" s="29"/>
      <c r="D161" s="29"/>
      <c r="E161" s="36" t="s">
        <v>1378</v>
      </c>
      <c r="F161" s="29"/>
      <c r="G161" s="94" t="s">
        <v>1207</v>
      </c>
      <c r="H161" s="36" t="s">
        <v>4047</v>
      </c>
      <c r="I161" s="632"/>
      <c r="J161" s="633" t="str">
        <f>IF(ISBLANK(HLOOKUP(CaseName,CaseData,MATCH($G161,cases!$G$3:$G$2464,0),FALSE)),"",HLOOKUP(CaseName,CaseData,MATCH($G161,cases!$G$3:$G$2464,0),FALSE))</f>
        <v/>
      </c>
      <c r="K161" s="352">
        <v>10</v>
      </c>
      <c r="L161" s="634">
        <f>IF(ISBLANK(I161),IF(ISNUMBER(J161)=FALSE,K161/(1000*3600*24*365)*L14*L20,J161/(1000*3600*24*365)*L14*L20),I161/(1000*3600*24*365)*L14*L20)</f>
        <v>0.31709791983764618</v>
      </c>
      <c r="M161" s="29" t="s">
        <v>1499</v>
      </c>
      <c r="N161" s="36"/>
      <c r="O161" s="36"/>
    </row>
    <row r="162" spans="1:15" ht="12.75" customHeight="1" x14ac:dyDescent="0.3">
      <c r="A162" s="29"/>
      <c r="B162" s="29" t="s">
        <v>2233</v>
      </c>
      <c r="C162" s="95"/>
      <c r="D162" s="95"/>
      <c r="E162" s="29"/>
      <c r="F162" s="29"/>
      <c r="G162" s="37" t="s">
        <v>2257</v>
      </c>
      <c r="H162" s="36" t="s">
        <v>4045</v>
      </c>
      <c r="I162" s="632"/>
      <c r="J162" s="633" t="str">
        <f>IF(ISBLANK(HLOOKUP(CaseName,CaseData,MATCH($G162,cases!$G$3:$G$2464,0),FALSE)),"",HLOOKUP(CaseName,CaseData,MATCH($G162,cases!$G$3:$G$2464,0),FALSE))</f>
        <v/>
      </c>
      <c r="K162" s="352">
        <f>(L166*L167)/(L166+L167)*L72</f>
        <v>2.7467202130042588E-8</v>
      </c>
      <c r="L162" s="634">
        <f t="shared" si="7"/>
        <v>2.7467202130042588E-8</v>
      </c>
      <c r="M162" s="36" t="s">
        <v>4046</v>
      </c>
      <c r="N162" s="36"/>
      <c r="O162" s="36"/>
    </row>
    <row r="163" spans="1:15" ht="12.75" customHeight="1" x14ac:dyDescent="0.3">
      <c r="A163" s="29"/>
      <c r="B163" s="29" t="s">
        <v>2234</v>
      </c>
      <c r="C163" s="95"/>
      <c r="D163" s="95"/>
      <c r="E163" s="29"/>
      <c r="F163" s="29"/>
      <c r="G163" s="37" t="s">
        <v>2258</v>
      </c>
      <c r="H163" s="36" t="s">
        <v>4045</v>
      </c>
      <c r="I163" s="632"/>
      <c r="J163" s="633" t="str">
        <f>IF(ISBLANK(HLOOKUP(CaseName,CaseData,MATCH($G163,cases!$G$3:$G$2464,0),FALSE)),"",HLOOKUP(CaseName,CaseData,MATCH($G163,cases!$G$3:$G$2464,0),FALSE))</f>
        <v/>
      </c>
      <c r="K163" s="352">
        <f>((L166*L167)/(L166+L167))/L84</f>
        <v>1.3726088155166724E-9</v>
      </c>
      <c r="L163" s="634">
        <f t="shared" si="7"/>
        <v>1.3726088155166724E-9</v>
      </c>
      <c r="M163" s="36" t="s">
        <v>4046</v>
      </c>
      <c r="N163" s="36"/>
      <c r="O163" s="36"/>
    </row>
    <row r="164" spans="1:15" ht="12.75" customHeight="1" x14ac:dyDescent="0.3">
      <c r="A164" s="29"/>
      <c r="B164" s="29" t="s">
        <v>2235</v>
      </c>
      <c r="C164" s="95"/>
      <c r="D164" s="95"/>
      <c r="E164" s="29"/>
      <c r="F164" s="95"/>
      <c r="G164" s="37" t="s">
        <v>2259</v>
      </c>
      <c r="H164" s="36" t="s">
        <v>4045</v>
      </c>
      <c r="I164" s="632"/>
      <c r="J164" s="633" t="str">
        <f>IF(ISBLANK(HLOOKUP(CaseName,CaseData,MATCH($G164,cases!$G$3:$G$2464,0),FALSE)),"",HLOOKUP(CaseName,CaseData,MATCH($G164,cases!$G$3:$G$2464,0),FALSE))</f>
        <v/>
      </c>
      <c r="K164" s="352">
        <f>(L166*L167)/(L166+L167)*L78</f>
        <v>2.7488326408426888E-8</v>
      </c>
      <c r="L164" s="634">
        <f t="shared" si="7"/>
        <v>2.7488326408426888E-8</v>
      </c>
      <c r="M164" s="36" t="s">
        <v>4046</v>
      </c>
      <c r="N164" s="36"/>
      <c r="O164" s="36"/>
    </row>
    <row r="165" spans="1:15" ht="12.75" customHeight="1" x14ac:dyDescent="0.3">
      <c r="A165" s="29"/>
      <c r="B165" s="29" t="s">
        <v>2236</v>
      </c>
      <c r="C165" s="95"/>
      <c r="D165" s="95"/>
      <c r="E165" s="29"/>
      <c r="F165" s="95"/>
      <c r="G165" s="37" t="s">
        <v>2260</v>
      </c>
      <c r="H165" s="36" t="s">
        <v>4045</v>
      </c>
      <c r="I165" s="632"/>
      <c r="J165" s="633" t="str">
        <f>IF(ISBLANK(HLOOKUP(CaseName,CaseData,MATCH($G165,cases!$G$3:$G$2464,0),FALSE)),"",HLOOKUP(CaseName,CaseData,MATCH($G165,cases!$G$3:$G$2464,0),FALSE))</f>
        <v/>
      </c>
      <c r="K165" s="352">
        <f>((L166*L167)/(L166+L167))/L87</f>
        <v>1.3726088155166724E-9</v>
      </c>
      <c r="L165" s="634">
        <f t="shared" si="7"/>
        <v>1.3726088155166724E-9</v>
      </c>
      <c r="M165" s="36" t="s">
        <v>4046</v>
      </c>
      <c r="N165" s="36"/>
      <c r="O165" s="36"/>
    </row>
    <row r="166" spans="1:15" ht="12.75" customHeight="1" x14ac:dyDescent="0.3">
      <c r="A166" s="36"/>
      <c r="B166" s="36"/>
      <c r="C166" s="29" t="s">
        <v>1076</v>
      </c>
      <c r="D166" s="29"/>
      <c r="E166" s="95"/>
      <c r="F166" s="95"/>
      <c r="G166" s="29" t="s">
        <v>975</v>
      </c>
      <c r="H166" s="95" t="s">
        <v>4044</v>
      </c>
      <c r="I166" s="632"/>
      <c r="J166" s="633" t="str">
        <f>IF(ISBLANK(HLOOKUP(CaseName,CaseData,MATCH($G166,cases!$G$3:$G$2464,0),FALSE)),"",HLOOKUP(CaseName,CaseData,MATCH($G166,cases!$G$3:$G$2464,0),FALSE))</f>
        <v/>
      </c>
      <c r="K166" s="352">
        <v>2.7779999999999999E-6</v>
      </c>
      <c r="L166" s="634">
        <f t="shared" si="7"/>
        <v>2.7779999999999999E-6</v>
      </c>
      <c r="M166" s="29" t="s">
        <v>1490</v>
      </c>
      <c r="N166" s="36"/>
      <c r="O166" s="36"/>
    </row>
    <row r="167" spans="1:15" ht="12.75" customHeight="1" x14ac:dyDescent="0.3">
      <c r="A167" s="36"/>
      <c r="B167" s="36"/>
      <c r="C167" s="29" t="s">
        <v>1230</v>
      </c>
      <c r="D167" s="29"/>
      <c r="E167" s="95"/>
      <c r="F167" s="29"/>
      <c r="G167" s="29" t="s">
        <v>976</v>
      </c>
      <c r="H167" s="95" t="s">
        <v>4044</v>
      </c>
      <c r="I167" s="632"/>
      <c r="J167" s="633" t="str">
        <f>IF(ISBLANK(HLOOKUP(CaseName,CaseData,MATCH($G167,cases!$G$3:$G$2464,0),FALSE)),"",HLOOKUP(CaseName,CaseData,MATCH($G167,cases!$G$3:$G$2464,0),FALSE))</f>
        <v/>
      </c>
      <c r="K167" s="352">
        <v>2.7780000000000001E-8</v>
      </c>
      <c r="L167" s="634">
        <f t="shared" si="7"/>
        <v>2.7780000000000001E-8</v>
      </c>
      <c r="M167" s="29" t="s">
        <v>1490</v>
      </c>
      <c r="N167" s="36"/>
      <c r="O167" s="36"/>
    </row>
    <row r="168" spans="1:15" ht="12.75" customHeight="1" x14ac:dyDescent="0.3">
      <c r="A168" s="36"/>
      <c r="B168" s="29"/>
      <c r="C168" s="29"/>
      <c r="D168" s="29"/>
      <c r="E168" s="29"/>
      <c r="F168" s="29"/>
      <c r="G168" s="94"/>
      <c r="H168" s="36"/>
      <c r="I168" s="339"/>
      <c r="J168" s="363"/>
      <c r="K168" s="353"/>
      <c r="L168" s="353"/>
      <c r="M168" s="29"/>
      <c r="N168" s="36"/>
      <c r="O168" s="36"/>
    </row>
    <row r="169" spans="1:15" ht="12.75" customHeight="1" x14ac:dyDescent="0.3">
      <c r="A169" s="36" t="s">
        <v>80</v>
      </c>
      <c r="B169" s="29"/>
      <c r="C169" s="29"/>
      <c r="D169" s="29"/>
      <c r="E169" s="29"/>
      <c r="F169" s="29"/>
      <c r="G169" s="37" t="s">
        <v>244</v>
      </c>
      <c r="H169" s="36" t="s">
        <v>4036</v>
      </c>
      <c r="I169" s="632"/>
      <c r="J169" s="633" t="str">
        <f>IF(ISBLANK(HLOOKUP(CaseName,CaseData,MATCH($G169,cases!$G$3:$G$2464,0),FALSE)),"",HLOOKUP(CaseName,CaseData,MATCH($G169,cases!$G$3:$G$2464,0),FALSE))</f>
        <v/>
      </c>
      <c r="K169" s="352">
        <f>(RAINrate.R*L178/L90+L175)*L181/L27*L16/(L15+L16)</f>
        <v>5.5696901203386607E-9</v>
      </c>
      <c r="L169" s="634">
        <f t="shared" ref="L169:L183" si="8">IF(ISBLANK(I169),IF(ISNUMBER(J169)=FALSE,K169,J169),I169)</f>
        <v>5.5696901203386607E-9</v>
      </c>
      <c r="M169" s="29" t="s">
        <v>1488</v>
      </c>
      <c r="N169" s="36"/>
      <c r="O169" s="36"/>
    </row>
    <row r="170" spans="1:15" ht="12.75" customHeight="1" x14ac:dyDescent="0.3">
      <c r="A170" s="36" t="s">
        <v>81</v>
      </c>
      <c r="B170" s="29"/>
      <c r="C170" s="29"/>
      <c r="D170" s="29"/>
      <c r="E170" s="29"/>
      <c r="F170" s="29"/>
      <c r="G170" s="37" t="s">
        <v>245</v>
      </c>
      <c r="H170" s="36" t="s">
        <v>4036</v>
      </c>
      <c r="I170" s="632"/>
      <c r="J170" s="633" t="str">
        <f>IF(ISBLANK(HLOOKUP(CaseName,CaseData,MATCH($G170,cases!$G$3:$G$2464,0),FALSE)),"",HLOOKUP(CaseName,CaseData,MATCH($G170,cases!$G$3:$G$2464,0),FALSE))</f>
        <v/>
      </c>
      <c r="K170" s="352">
        <f>(RAINrate.R*L179/L95+L176)*L182/L28*L16/(L15+L16)</f>
        <v>2.5345110709015009E-9</v>
      </c>
      <c r="L170" s="634">
        <f t="shared" si="8"/>
        <v>2.5345110709015009E-9</v>
      </c>
      <c r="M170" s="29" t="s">
        <v>1488</v>
      </c>
      <c r="N170" s="36"/>
      <c r="O170" s="36"/>
    </row>
    <row r="171" spans="1:15" ht="12.75" customHeight="1" x14ac:dyDescent="0.3">
      <c r="A171" s="36" t="s">
        <v>82</v>
      </c>
      <c r="B171" s="29"/>
      <c r="C171" s="29"/>
      <c r="D171" s="29"/>
      <c r="E171" s="29"/>
      <c r="F171" s="29"/>
      <c r="G171" s="37" t="s">
        <v>246</v>
      </c>
      <c r="H171" s="36" t="s">
        <v>4036</v>
      </c>
      <c r="I171" s="632"/>
      <c r="J171" s="633" t="str">
        <f>IF(ISBLANK(HLOOKUP(CaseName,CaseData,MATCH($G171,cases!$G$3:$G$2464,0),FALSE)),"",HLOOKUP(CaseName,CaseData,MATCH($G171,cases!$G$3:$G$2464,0),FALSE))</f>
        <v/>
      </c>
      <c r="K171" s="352">
        <f>(RAINrate.R*L180/L100+L177)*L183/L29*L16/(L15+L16)</f>
        <v>5.5696901203386607E-9</v>
      </c>
      <c r="L171" s="634">
        <f t="shared" si="8"/>
        <v>5.5696901203386607E-9</v>
      </c>
      <c r="M171" s="29" t="s">
        <v>1488</v>
      </c>
      <c r="N171" s="36"/>
      <c r="O171" s="36"/>
    </row>
    <row r="172" spans="1:15" ht="12.75" customHeight="1" x14ac:dyDescent="0.3">
      <c r="A172" s="36" t="s">
        <v>80</v>
      </c>
      <c r="B172" s="29"/>
      <c r="C172" s="29"/>
      <c r="D172" s="29"/>
      <c r="E172" s="29"/>
      <c r="F172" s="29"/>
      <c r="G172" s="37" t="s">
        <v>3929</v>
      </c>
      <c r="H172" s="36" t="s">
        <v>4036</v>
      </c>
      <c r="I172" s="632"/>
      <c r="J172" s="633" t="str">
        <f>IF(ISBLANK(HLOOKUP(CaseName,CaseData,MATCH($G172,cases!$G$3:$G$2464,0),FALSE)),"",HLOOKUP(CaseName,CaseData,MATCH($G172,cases!$G$3:$G$2464,0),FALSE))</f>
        <v/>
      </c>
      <c r="K172" s="352">
        <f>(RAINrate.R*L178/L90+L175)*L181/L27*L15/(L15+L16)</f>
        <v>5.0633546548533271E-10</v>
      </c>
      <c r="L172" s="634">
        <f t="shared" si="8"/>
        <v>5.0633546548533271E-10</v>
      </c>
      <c r="M172" s="29" t="s">
        <v>1488</v>
      </c>
      <c r="N172" s="36"/>
      <c r="O172" s="36"/>
    </row>
    <row r="173" spans="1:15" ht="12.75" customHeight="1" x14ac:dyDescent="0.3">
      <c r="A173" s="36" t="s">
        <v>81</v>
      </c>
      <c r="B173" s="29"/>
      <c r="C173" s="29"/>
      <c r="D173" s="29"/>
      <c r="E173" s="29"/>
      <c r="F173" s="29"/>
      <c r="G173" s="37" t="s">
        <v>3937</v>
      </c>
      <c r="H173" s="36" t="s">
        <v>4036</v>
      </c>
      <c r="I173" s="632"/>
      <c r="J173" s="633" t="str">
        <f>IF(ISBLANK(HLOOKUP(CaseName,CaseData,MATCH($G173,cases!$G$3:$G$2464,0),FALSE)),"",HLOOKUP(CaseName,CaseData,MATCH($G173,cases!$G$3:$G$2464,0),FALSE))</f>
        <v/>
      </c>
      <c r="K173" s="352">
        <f>(RAINrate.R*L179/L95+L176)*L182/L28*L15/(L15+L16)</f>
        <v>2.304100973546819E-10</v>
      </c>
      <c r="L173" s="634">
        <f t="shared" si="8"/>
        <v>2.304100973546819E-10</v>
      </c>
      <c r="M173" s="29" t="s">
        <v>1488</v>
      </c>
      <c r="N173" s="36"/>
      <c r="O173" s="36"/>
    </row>
    <row r="174" spans="1:15" ht="12.75" customHeight="1" x14ac:dyDescent="0.3">
      <c r="A174" s="36" t="s">
        <v>82</v>
      </c>
      <c r="B174" s="29"/>
      <c r="C174" s="29"/>
      <c r="D174" s="29"/>
      <c r="E174" s="29"/>
      <c r="F174" s="29"/>
      <c r="G174" s="37" t="s">
        <v>3930</v>
      </c>
      <c r="H174" s="36" t="s">
        <v>4036</v>
      </c>
      <c r="I174" s="632"/>
      <c r="J174" s="633" t="str">
        <f>IF(ISBLANK(HLOOKUP(CaseName,CaseData,MATCH($G174,cases!$G$3:$G$2464,0),FALSE)),"",HLOOKUP(CaseName,CaseData,MATCH($G174,cases!$G$3:$G$2464,0),FALSE))</f>
        <v/>
      </c>
      <c r="K174" s="352">
        <f>(RAINrate.R*L180/L100+L177)*L183/L29*L15/(L15+L16)</f>
        <v>5.0633546548533271E-10</v>
      </c>
      <c r="L174" s="634">
        <f t="shared" si="8"/>
        <v>5.0633546548533271E-10</v>
      </c>
      <c r="M174" s="29" t="s">
        <v>1488</v>
      </c>
      <c r="N174" s="36"/>
      <c r="O174" s="36"/>
    </row>
    <row r="175" spans="1:15" ht="12.75" customHeight="1" x14ac:dyDescent="0.3">
      <c r="A175" s="36"/>
      <c r="B175" s="95" t="s">
        <v>1087</v>
      </c>
      <c r="C175" s="29"/>
      <c r="D175" s="29"/>
      <c r="E175" s="95"/>
      <c r="F175" s="95"/>
      <c r="G175" s="94" t="s">
        <v>979</v>
      </c>
      <c r="H175" s="36" t="s">
        <v>4044</v>
      </c>
      <c r="I175" s="632"/>
      <c r="J175" s="633" t="str">
        <f>IF(ISBLANK(HLOOKUP(CaseName,CaseData,MATCH($G175,cases!$G$3:$G$2464,0),FALSE)),"",HLOOKUP(CaseName,CaseData,MATCH($G175,cases!$G$3:$G$2464,0),FALSE))</f>
        <v/>
      </c>
      <c r="K175" s="352">
        <f>EROSION.R</f>
        <v>9.5129375951293754E-13</v>
      </c>
      <c r="L175" s="634">
        <f t="shared" si="8"/>
        <v>9.5129375951293754E-13</v>
      </c>
      <c r="M175" s="29" t="s">
        <v>1490</v>
      </c>
      <c r="N175" s="36"/>
      <c r="O175" s="36"/>
    </row>
    <row r="176" spans="1:15" ht="12.75" customHeight="1" x14ac:dyDescent="0.3">
      <c r="A176" s="36"/>
      <c r="B176" s="95" t="s">
        <v>1088</v>
      </c>
      <c r="C176" s="29"/>
      <c r="D176" s="29"/>
      <c r="E176" s="95"/>
      <c r="F176" s="95"/>
      <c r="G176" s="94" t="s">
        <v>980</v>
      </c>
      <c r="H176" s="36" t="s">
        <v>4044</v>
      </c>
      <c r="I176" s="632"/>
      <c r="J176" s="633" t="str">
        <f>IF(ISBLANK(HLOOKUP(CaseName,CaseData,MATCH($G176,cases!$G$3:$G$2464,0),FALSE)),"",HLOOKUP(CaseName,CaseData,MATCH($G176,cases!$G$3:$G$2464,0),FALSE))</f>
        <v/>
      </c>
      <c r="K176" s="352">
        <f>EROSION.R</f>
        <v>9.5129375951293754E-13</v>
      </c>
      <c r="L176" s="634">
        <f t="shared" si="8"/>
        <v>9.5129375951293754E-13</v>
      </c>
      <c r="M176" s="29" t="s">
        <v>1490</v>
      </c>
      <c r="N176" s="36"/>
      <c r="O176" s="36"/>
    </row>
    <row r="177" spans="1:15" ht="12.75" customHeight="1" x14ac:dyDescent="0.3">
      <c r="A177" s="36"/>
      <c r="B177" s="95" t="s">
        <v>461</v>
      </c>
      <c r="C177" s="29"/>
      <c r="D177" s="29"/>
      <c r="E177" s="95"/>
      <c r="F177" s="95"/>
      <c r="G177" s="94" t="s">
        <v>981</v>
      </c>
      <c r="H177" s="36" t="s">
        <v>4044</v>
      </c>
      <c r="I177" s="632"/>
      <c r="J177" s="633" t="str">
        <f>IF(ISBLANK(HLOOKUP(CaseName,CaseData,MATCH($G177,cases!$G$3:$G$2464,0),FALSE)),"",HLOOKUP(CaseName,CaseData,MATCH($G177,cases!$G$3:$G$2464,0),FALSE))</f>
        <v/>
      </c>
      <c r="K177" s="352">
        <f>EROSION.R</f>
        <v>9.5129375951293754E-13</v>
      </c>
      <c r="L177" s="634">
        <f t="shared" si="8"/>
        <v>9.5129375951293754E-13</v>
      </c>
      <c r="M177" s="29" t="s">
        <v>1490</v>
      </c>
      <c r="N177" s="36"/>
      <c r="O177" s="36"/>
    </row>
    <row r="178" spans="1:15" ht="12.75" customHeight="1" x14ac:dyDescent="0.3">
      <c r="A178" s="36"/>
      <c r="B178" s="36" t="s">
        <v>17</v>
      </c>
      <c r="C178" s="29"/>
      <c r="D178" s="29"/>
      <c r="E178" s="95"/>
      <c r="F178" s="95"/>
      <c r="G178" s="94" t="s">
        <v>982</v>
      </c>
      <c r="H178" s="36" t="s">
        <v>36</v>
      </c>
      <c r="I178" s="632"/>
      <c r="J178" s="633" t="str">
        <f>IF(ISBLANK(HLOOKUP(CaseName,CaseData,MATCH($G178,cases!$G$3:$G$2464,0),FALSE)),"",HLOOKUP(CaseName,CaseData,MATCH($G178,cases!$G$3:$G$2464,0),FALSE))</f>
        <v/>
      </c>
      <c r="K178" s="352">
        <f>FRACrun.R</f>
        <v>0.25</v>
      </c>
      <c r="L178" s="634">
        <f t="shared" si="8"/>
        <v>0.25</v>
      </c>
      <c r="M178" s="29" t="s">
        <v>486</v>
      </c>
      <c r="N178" s="36"/>
      <c r="O178" s="36"/>
    </row>
    <row r="179" spans="1:15" ht="12.75" customHeight="1" x14ac:dyDescent="0.3">
      <c r="A179" s="36"/>
      <c r="B179" s="36" t="s">
        <v>733</v>
      </c>
      <c r="C179" s="29"/>
      <c r="D179" s="29"/>
      <c r="E179" s="95"/>
      <c r="F179" s="95"/>
      <c r="G179" s="94" t="s">
        <v>462</v>
      </c>
      <c r="H179" s="36" t="s">
        <v>36</v>
      </c>
      <c r="I179" s="632"/>
      <c r="J179" s="633" t="str">
        <f>IF(ISBLANK(HLOOKUP(CaseName,CaseData,MATCH($G179,cases!$G$3:$G$2464,0),FALSE)),"",HLOOKUP(CaseName,CaseData,MATCH($G179,cases!$G$3:$G$2464,0),FALSE))</f>
        <v/>
      </c>
      <c r="K179" s="352">
        <f>FRACrun.R</f>
        <v>0.25</v>
      </c>
      <c r="L179" s="634">
        <f t="shared" si="8"/>
        <v>0.25</v>
      </c>
      <c r="M179" s="29" t="s">
        <v>486</v>
      </c>
      <c r="N179" s="36"/>
      <c r="O179" s="36"/>
    </row>
    <row r="180" spans="1:15" ht="12.75" customHeight="1" x14ac:dyDescent="0.3">
      <c r="A180" s="36"/>
      <c r="B180" s="36" t="s">
        <v>870</v>
      </c>
      <c r="C180" s="29"/>
      <c r="D180" s="29"/>
      <c r="E180" s="95"/>
      <c r="F180" s="95"/>
      <c r="G180" s="94" t="s">
        <v>463</v>
      </c>
      <c r="H180" s="36" t="s">
        <v>36</v>
      </c>
      <c r="I180" s="632"/>
      <c r="J180" s="633" t="str">
        <f>IF(ISBLANK(HLOOKUP(CaseName,CaseData,MATCH($G180,cases!$G$3:$G$2464,0),FALSE)),"",HLOOKUP(CaseName,CaseData,MATCH($G180,cases!$G$3:$G$2464,0),FALSE))</f>
        <v/>
      </c>
      <c r="K180" s="352">
        <f>FRACrun.R</f>
        <v>0.25</v>
      </c>
      <c r="L180" s="634">
        <f t="shared" si="8"/>
        <v>0.25</v>
      </c>
      <c r="M180" s="29" t="s">
        <v>486</v>
      </c>
      <c r="N180" s="36"/>
      <c r="O180" s="36"/>
    </row>
    <row r="181" spans="1:15" ht="12.75" customHeight="1" x14ac:dyDescent="0.3">
      <c r="A181" s="36"/>
      <c r="B181" s="29" t="s">
        <v>2227</v>
      </c>
      <c r="C181" s="29"/>
      <c r="D181" s="29"/>
      <c r="E181" s="95"/>
      <c r="F181" s="95"/>
      <c r="G181" s="37" t="s">
        <v>1467</v>
      </c>
      <c r="H181" s="29" t="s">
        <v>36</v>
      </c>
      <c r="I181" s="632"/>
      <c r="J181" s="633" t="str">
        <f>IF(ISBLANK(HLOOKUP(CaseName,CaseData,MATCH($G181,cases!$G$3:$G$2464,0),FALSE)),"",HLOOKUP(CaseName,CaseData,MATCH($G181,cases!$G$3:$G$2464,0),FALSE))</f>
        <v/>
      </c>
      <c r="K181" s="352">
        <f>(EXP((-1/0.1)*0)*(1/0.1)*L27/(1-EXP((-1/0.1)*L27)))</f>
        <v>1.2707470412683992</v>
      </c>
      <c r="L181" s="634">
        <f t="shared" si="8"/>
        <v>1.2707470412683992</v>
      </c>
      <c r="M181" s="29" t="s">
        <v>486</v>
      </c>
      <c r="N181" s="36" t="s">
        <v>995</v>
      </c>
      <c r="O181" s="36"/>
    </row>
    <row r="182" spans="1:15" ht="12.75" customHeight="1" x14ac:dyDescent="0.3">
      <c r="A182" s="36"/>
      <c r="B182" s="29" t="s">
        <v>2227</v>
      </c>
      <c r="C182" s="29"/>
      <c r="D182" s="29"/>
      <c r="E182" s="95"/>
      <c r="F182" s="95"/>
      <c r="G182" s="37" t="s">
        <v>1468</v>
      </c>
      <c r="H182" s="29" t="s">
        <v>36</v>
      </c>
      <c r="I182" s="632"/>
      <c r="J182" s="633" t="str">
        <f>IF(ISBLANK(HLOOKUP(CaseName,CaseData,MATCH($G182,cases!$G$3:$G$2464,0),FALSE)),"",HLOOKUP(CaseName,CaseData,MATCH($G182,cases!$G$3:$G$2464,0),FALSE))</f>
        <v/>
      </c>
      <c r="K182" s="352">
        <f>(EXP((-1/0.1)*0)*(1/0.1)*L28/(1-EXP((-1/0.1)*L28)))</f>
        <v>2.3130352854993315</v>
      </c>
      <c r="L182" s="634">
        <f t="shared" si="8"/>
        <v>2.3130352854993315</v>
      </c>
      <c r="M182" s="29" t="s">
        <v>486</v>
      </c>
      <c r="N182" s="36" t="s">
        <v>995</v>
      </c>
      <c r="O182" s="36"/>
    </row>
    <row r="183" spans="1:15" ht="12.75" customHeight="1" x14ac:dyDescent="0.3">
      <c r="A183" s="36"/>
      <c r="B183" s="29" t="s">
        <v>2227</v>
      </c>
      <c r="C183" s="29"/>
      <c r="D183" s="29"/>
      <c r="E183" s="95"/>
      <c r="F183" s="95"/>
      <c r="G183" s="37" t="s">
        <v>1469</v>
      </c>
      <c r="H183" s="29" t="s">
        <v>36</v>
      </c>
      <c r="I183" s="632"/>
      <c r="J183" s="633" t="str">
        <f>IF(ISBLANK(HLOOKUP(CaseName,CaseData,MATCH($G183,cases!$G$3:$G$2464,0),FALSE)),"",HLOOKUP(CaseName,CaseData,MATCH($G183,cases!$G$3:$G$2464,0),FALSE))</f>
        <v/>
      </c>
      <c r="K183" s="352">
        <f>(EXP((-1/0.1)*0)*(1/0.1)*L29/(1-EXP((-1/0.1)*L29)))</f>
        <v>1.2707470412683992</v>
      </c>
      <c r="L183" s="634">
        <f t="shared" si="8"/>
        <v>1.2707470412683992</v>
      </c>
      <c r="M183" s="29" t="s">
        <v>486</v>
      </c>
      <c r="N183" s="36" t="s">
        <v>995</v>
      </c>
      <c r="O183" s="36"/>
    </row>
    <row r="184" spans="1:15" ht="12.75" customHeight="1" x14ac:dyDescent="0.3">
      <c r="A184" s="29"/>
      <c r="B184" s="29"/>
      <c r="C184" s="29"/>
      <c r="D184" s="29"/>
      <c r="E184" s="29"/>
      <c r="F184" s="29"/>
      <c r="G184" s="36"/>
      <c r="H184" s="36"/>
      <c r="I184" s="339"/>
      <c r="J184" s="363"/>
      <c r="K184" s="353"/>
      <c r="L184" s="353"/>
      <c r="M184" s="29"/>
      <c r="N184" s="36"/>
      <c r="O184" s="36"/>
    </row>
    <row r="185" spans="1:15" ht="12.75" customHeight="1" x14ac:dyDescent="0.3">
      <c r="A185" s="98" t="s">
        <v>419</v>
      </c>
      <c r="B185" s="97"/>
      <c r="C185" s="97"/>
      <c r="D185" s="97"/>
      <c r="E185" s="97"/>
      <c r="F185" s="97"/>
      <c r="G185" s="98" t="s">
        <v>1008</v>
      </c>
      <c r="H185" s="98" t="s">
        <v>968</v>
      </c>
      <c r="I185" s="364" t="s">
        <v>754</v>
      </c>
      <c r="J185" s="638" t="s">
        <v>37</v>
      </c>
      <c r="K185" s="340" t="s">
        <v>753</v>
      </c>
      <c r="L185" s="340" t="s">
        <v>1358</v>
      </c>
      <c r="M185" s="97"/>
      <c r="N185" s="98" t="s">
        <v>1371</v>
      </c>
      <c r="O185" s="36"/>
    </row>
    <row r="186" spans="1:15" ht="12.75" customHeight="1" x14ac:dyDescent="0.3">
      <c r="A186" s="36"/>
      <c r="B186" s="29"/>
      <c r="C186" s="29"/>
      <c r="D186" s="29"/>
      <c r="E186" s="29"/>
      <c r="F186" s="29"/>
      <c r="G186" s="36"/>
      <c r="H186" s="36"/>
      <c r="I186" s="339"/>
      <c r="J186" s="363"/>
      <c r="K186" s="353"/>
      <c r="L186" s="353"/>
      <c r="M186" s="29"/>
      <c r="N186" s="36"/>
      <c r="O186" s="36"/>
    </row>
    <row r="187" spans="1:15" ht="12.75" customHeight="1" x14ac:dyDescent="0.3">
      <c r="A187" s="36" t="s">
        <v>224</v>
      </c>
      <c r="B187" s="29"/>
      <c r="C187" s="29"/>
      <c r="D187" s="29"/>
      <c r="E187" s="29"/>
      <c r="F187" s="29"/>
      <c r="G187" s="37" t="s">
        <v>247</v>
      </c>
      <c r="H187" s="36" t="s">
        <v>4036</v>
      </c>
      <c r="I187" s="637"/>
      <c r="J187" s="633" t="str">
        <f>IF(ISBLANK(HLOOKUP(CaseName,CaseData,MATCH($G187,cases!$G$3:$G$2464,0),FALSE)),"",HLOOKUP(CaseName,CaseData,MATCH($G187,cases!$G$3:$G$2464,0),FALSE))</f>
        <v/>
      </c>
      <c r="K187" s="352">
        <f>L196+L197</f>
        <v>2.1630471517752678E-7</v>
      </c>
      <c r="L187" s="634">
        <f t="shared" ref="L187:L211" si="9">IF(ISBLANK(I187),IF(ISNUMBER(J187)=FALSE,K187,J187),I187)</f>
        <v>2.1630471517752678E-7</v>
      </c>
      <c r="M187" s="29" t="s">
        <v>1488</v>
      </c>
      <c r="N187" s="36"/>
      <c r="O187" s="36"/>
    </row>
    <row r="188" spans="1:15" ht="12.75" customHeight="1" x14ac:dyDescent="0.3">
      <c r="A188" s="36" t="s">
        <v>304</v>
      </c>
      <c r="B188" s="29"/>
      <c r="C188" s="29"/>
      <c r="D188" s="29"/>
      <c r="E188" s="29"/>
      <c r="F188" s="29"/>
      <c r="G188" s="37" t="s">
        <v>305</v>
      </c>
      <c r="H188" s="36" t="s">
        <v>4036</v>
      </c>
      <c r="I188" s="637"/>
      <c r="J188" s="633" t="str">
        <f>IF(ISBLANK(HLOOKUP(CaseName,CaseData,MATCH($G188,cases!$G$3:$G$2464,0),FALSE)),"",HLOOKUP(CaseName,CaseData,MATCH($G188,cases!$G$3:$G$2464,0),FALSE))</f>
        <v/>
      </c>
      <c r="K188" s="352">
        <f>L200</f>
        <v>8.6888547727987207E-8</v>
      </c>
      <c r="L188" s="634">
        <f>IF(ISBLANK(I188),IF(ISNUMBER(J188)=FALSE,K188,J188),I188)</f>
        <v>8.6888547727987207E-8</v>
      </c>
      <c r="M188" s="29" t="s">
        <v>1488</v>
      </c>
      <c r="N188" s="36"/>
      <c r="O188" s="36"/>
    </row>
    <row r="189" spans="1:15" ht="12.75" customHeight="1" x14ac:dyDescent="0.3">
      <c r="A189" s="36" t="s">
        <v>253</v>
      </c>
      <c r="B189" s="29"/>
      <c r="C189" s="29"/>
      <c r="D189" s="29"/>
      <c r="E189" s="29"/>
      <c r="F189" s="29"/>
      <c r="G189" s="37" t="s">
        <v>248</v>
      </c>
      <c r="H189" s="36" t="s">
        <v>4036</v>
      </c>
      <c r="I189" s="637"/>
      <c r="J189" s="633" t="str">
        <f>IF(ISBLANK(HLOOKUP(CaseName,CaseData,MATCH($G189,cases!$G$3:$G$2464,0),FALSE)),"",HLOOKUP(CaseName,CaseData,MATCH($G189,cases!$G$3:$G$2464,0),FALSE))</f>
        <v/>
      </c>
      <c r="K189" s="352">
        <f>L201</f>
        <v>8.6791727940822063E-8</v>
      </c>
      <c r="L189" s="634">
        <f t="shared" si="9"/>
        <v>8.6791727940822063E-8</v>
      </c>
      <c r="M189" s="29" t="s">
        <v>1488</v>
      </c>
      <c r="N189" s="36"/>
      <c r="O189" s="36"/>
    </row>
    <row r="190" spans="1:15" ht="12.75" customHeight="1" x14ac:dyDescent="0.3">
      <c r="A190" s="36" t="s">
        <v>254</v>
      </c>
      <c r="B190" s="29"/>
      <c r="C190" s="29"/>
      <c r="D190" s="29"/>
      <c r="E190" s="29"/>
      <c r="F190" s="29"/>
      <c r="G190" s="37" t="s">
        <v>255</v>
      </c>
      <c r="H190" s="36" t="s">
        <v>4036</v>
      </c>
      <c r="I190" s="637"/>
      <c r="J190" s="633" t="str">
        <f>IF(ISBLANK(HLOOKUP(CaseName,CaseData,MATCH($G190,cases!$G$3:$G$2464,0),FALSE)),"",HLOOKUP(CaseName,CaseData,MATCH($G190,cases!$G$3:$G$2464,0),FALSE))</f>
        <v/>
      </c>
      <c r="K190" s="352">
        <f>L202</f>
        <v>8.6858477099101683E-8</v>
      </c>
      <c r="L190" s="634">
        <f t="shared" si="9"/>
        <v>8.6858477099101683E-8</v>
      </c>
      <c r="M190" s="29" t="s">
        <v>1488</v>
      </c>
      <c r="N190" s="36"/>
      <c r="O190" s="36"/>
    </row>
    <row r="191" spans="1:15" ht="12.75" customHeight="1" x14ac:dyDescent="0.3">
      <c r="A191" s="36" t="s">
        <v>256</v>
      </c>
      <c r="B191" s="29"/>
      <c r="C191" s="29"/>
      <c r="D191" s="29"/>
      <c r="E191" s="29"/>
      <c r="F191" s="29"/>
      <c r="G191" s="37" t="s">
        <v>249</v>
      </c>
      <c r="H191" s="36" t="s">
        <v>4036</v>
      </c>
      <c r="I191" s="637"/>
      <c r="J191" s="633" t="str">
        <f>IF(ISBLANK(HLOOKUP(CaseName,CaseData,MATCH($G191,cases!$G$3:$G$2464,0),FALSE)),"",HLOOKUP(CaseName,CaseData,MATCH($G191,cases!$G$3:$G$2464,0),FALSE))</f>
        <v/>
      </c>
      <c r="K191" s="352">
        <f>L207+L158/L25</f>
        <v>1.2561171773023443E-8</v>
      </c>
      <c r="L191" s="634">
        <f t="shared" si="9"/>
        <v>1.2561171773023443E-8</v>
      </c>
      <c r="M191" s="29" t="s">
        <v>1488</v>
      </c>
      <c r="N191" s="36"/>
      <c r="O191" s="36"/>
    </row>
    <row r="192" spans="1:15" ht="12.75" customHeight="1" x14ac:dyDescent="0.3">
      <c r="A192" s="36" t="s">
        <v>257</v>
      </c>
      <c r="B192" s="29"/>
      <c r="C192" s="29"/>
      <c r="D192" s="29"/>
      <c r="E192" s="29"/>
      <c r="F192" s="29"/>
      <c r="G192" s="37" t="s">
        <v>258</v>
      </c>
      <c r="H192" s="36" t="s">
        <v>4036</v>
      </c>
      <c r="I192" s="637"/>
      <c r="J192" s="633" t="str">
        <f>IF(ISBLANK(HLOOKUP(CaseName,CaseData,MATCH($G192,cases!$G$3:$G$2464,0),FALSE)),"",HLOOKUP(CaseName,CaseData,MATCH($G192,cases!$G$3:$G$2464,0),FALSE))</f>
        <v/>
      </c>
      <c r="K192" s="352">
        <f>L208+L159/L26</f>
        <v>1.0580096758225707E-8</v>
      </c>
      <c r="L192" s="634">
        <f t="shared" si="9"/>
        <v>1.0580096758225707E-8</v>
      </c>
      <c r="M192" s="29" t="s">
        <v>1488</v>
      </c>
      <c r="N192" s="36"/>
      <c r="O192" s="36"/>
    </row>
    <row r="193" spans="1:15" ht="12.75" customHeight="1" x14ac:dyDescent="0.3">
      <c r="A193" s="36" t="s">
        <v>226</v>
      </c>
      <c r="B193" s="29"/>
      <c r="C193" s="29"/>
      <c r="D193" s="29"/>
      <c r="E193" s="29"/>
      <c r="F193" s="29"/>
      <c r="G193" s="37" t="s">
        <v>250</v>
      </c>
      <c r="H193" s="36" t="s">
        <v>4036</v>
      </c>
      <c r="I193" s="637"/>
      <c r="J193" s="633" t="str">
        <f>IF(ISBLANK(HLOOKUP(CaseName,CaseData,MATCH($G193,cases!$G$3:$G$2464,0),FALSE)),"",HLOOKUP(CaseName,CaseData,MATCH($G193,cases!$G$3:$G$2464,0),FALSE))</f>
        <v/>
      </c>
      <c r="K193" s="352">
        <f>L209+(L212*RAINrate.R/L90*L215)/L27</f>
        <v>4.3496280239573685E-8</v>
      </c>
      <c r="L193" s="634">
        <f t="shared" si="9"/>
        <v>4.3496280239573685E-8</v>
      </c>
      <c r="M193" s="29" t="s">
        <v>1488</v>
      </c>
      <c r="N193" s="36"/>
      <c r="O193" s="36"/>
    </row>
    <row r="194" spans="1:15" ht="12.75" customHeight="1" x14ac:dyDescent="0.3">
      <c r="A194" s="36" t="s">
        <v>363</v>
      </c>
      <c r="B194" s="29"/>
      <c r="C194" s="29"/>
      <c r="D194" s="29"/>
      <c r="E194" s="29"/>
      <c r="F194" s="29"/>
      <c r="G194" s="37" t="s">
        <v>251</v>
      </c>
      <c r="H194" s="36" t="s">
        <v>4036</v>
      </c>
      <c r="I194" s="637"/>
      <c r="J194" s="633" t="str">
        <f>IF(ISBLANK(HLOOKUP(CaseName,CaseData,MATCH($G194,cases!$G$3:$G$2464,0),FALSE)),"",HLOOKUP(CaseName,CaseData,MATCH($G194,cases!$G$3:$G$2464,0),FALSE))</f>
        <v/>
      </c>
      <c r="K194" s="352">
        <f>L210+L213*RAINrate.R/L95*L216/L28</f>
        <v>4.3474058967261533E-8</v>
      </c>
      <c r="L194" s="634">
        <f t="shared" si="9"/>
        <v>4.3474058967261533E-8</v>
      </c>
      <c r="M194" s="29" t="s">
        <v>1488</v>
      </c>
      <c r="N194" s="36"/>
      <c r="O194" s="36"/>
    </row>
    <row r="195" spans="1:15" ht="12.75" customHeight="1" x14ac:dyDescent="0.3">
      <c r="A195" s="36" t="s">
        <v>364</v>
      </c>
      <c r="B195" s="29"/>
      <c r="C195" s="29"/>
      <c r="D195" s="29"/>
      <c r="E195" s="29"/>
      <c r="F195" s="29"/>
      <c r="G195" s="37" t="s">
        <v>252</v>
      </c>
      <c r="H195" s="36" t="s">
        <v>4036</v>
      </c>
      <c r="I195" s="637"/>
      <c r="J195" s="633" t="str">
        <f>IF(ISBLANK(HLOOKUP(CaseName,CaseData,MATCH($G195,cases!$G$3:$G$2464,0),FALSE)),"",HLOOKUP(CaseName,CaseData,MATCH($G195,cases!$G$3:$G$2464,0),FALSE))</f>
        <v/>
      </c>
      <c r="K195" s="352">
        <f>L211+L214*RAINrate.R/L100*L217/L29</f>
        <v>4.3496280239573685E-8</v>
      </c>
      <c r="L195" s="634">
        <f t="shared" si="9"/>
        <v>4.3496280239573685E-8</v>
      </c>
      <c r="M195" s="29" t="s">
        <v>1488</v>
      </c>
      <c r="N195" s="36"/>
      <c r="O195" s="36"/>
    </row>
    <row r="196" spans="1:15" ht="12.75" customHeight="1" x14ac:dyDescent="0.3">
      <c r="A196" s="36"/>
      <c r="B196" s="36" t="s">
        <v>796</v>
      </c>
      <c r="C196" s="95"/>
      <c r="D196" s="29"/>
      <c r="E196" s="29"/>
      <c r="F196" s="29"/>
      <c r="G196" s="94" t="s">
        <v>195</v>
      </c>
      <c r="H196" s="36" t="s">
        <v>4036</v>
      </c>
      <c r="I196" s="632"/>
      <c r="J196" s="633" t="str">
        <f>IF(ISBLANK(HLOOKUP(CaseName,CaseData,MATCH($G196,cases!$G$3:$G$2464,0),FALSE)),"",HLOOKUP(CaseName,CaseData,MATCH($G196,cases!$G$3:$G$2464,0),FALSE))</f>
        <v/>
      </c>
      <c r="K196" s="352">
        <f>LN(2)/(60*365*24*3600)</f>
        <v>3.663258818281463E-10</v>
      </c>
      <c r="L196" s="634">
        <f t="shared" si="9"/>
        <v>3.663258818281463E-10</v>
      </c>
      <c r="M196" s="36" t="s">
        <v>1488</v>
      </c>
      <c r="N196" s="36"/>
      <c r="O196" s="36"/>
    </row>
    <row r="197" spans="1:15" ht="12.75" customHeight="1" x14ac:dyDescent="0.3">
      <c r="A197" s="36"/>
      <c r="B197" s="36" t="s">
        <v>797</v>
      </c>
      <c r="C197" s="29"/>
      <c r="D197" s="29"/>
      <c r="E197" s="29"/>
      <c r="F197" s="29"/>
      <c r="G197" s="37" t="s">
        <v>464</v>
      </c>
      <c r="H197" s="36" t="s">
        <v>4036</v>
      </c>
      <c r="I197" s="632"/>
      <c r="J197" s="633" t="str">
        <f>IF(ISBLANK(HLOOKUP(CaseName,CaseData,MATCH($G197,cases!$G$3:$G$2464,0),FALSE)),"",HLOOKUP(CaseName,CaseData,MATCH($G197,cases!$G$3:$G$2464,0),FALSE))</f>
        <v/>
      </c>
      <c r="K197" s="352">
        <f>FRgas.aR*kdeg.air*(L198/C.OHrad)*L199</f>
        <v>2.1593838929569864E-7</v>
      </c>
      <c r="L197" s="634">
        <f t="shared" si="9"/>
        <v>2.1593838929569864E-7</v>
      </c>
      <c r="M197" s="36" t="s">
        <v>1488</v>
      </c>
      <c r="N197" s="36"/>
      <c r="O197" s="36"/>
    </row>
    <row r="198" spans="1:15" ht="12.75" customHeight="1" x14ac:dyDescent="0.3">
      <c r="A198" s="95"/>
      <c r="B198" s="95"/>
      <c r="C198" s="36" t="s">
        <v>1028</v>
      </c>
      <c r="D198" s="29"/>
      <c r="E198" s="29"/>
      <c r="F198" s="29"/>
      <c r="G198" s="37" t="s">
        <v>972</v>
      </c>
      <c r="H198" s="36" t="s">
        <v>4048</v>
      </c>
      <c r="I198" s="632"/>
      <c r="J198" s="633" t="str">
        <f>IF(ISBLANK(HLOOKUP(CaseName,CaseData,MATCH($G198,cases!$G$3:$G$2464,0),FALSE)),"",HLOOKUP(CaseName,CaseData,MATCH($G198,cases!$G$3:$G$2464,0),FALSE))</f>
        <v/>
      </c>
      <c r="K198" s="352">
        <v>500000</v>
      </c>
      <c r="L198" s="634">
        <f t="shared" si="9"/>
        <v>500000</v>
      </c>
      <c r="M198" s="36" t="s">
        <v>1500</v>
      </c>
      <c r="N198" s="36"/>
      <c r="O198" s="36"/>
    </row>
    <row r="199" spans="1:15" ht="12.75" customHeight="1" x14ac:dyDescent="0.3">
      <c r="A199" s="95"/>
      <c r="B199" s="95"/>
      <c r="C199" s="36" t="s">
        <v>34</v>
      </c>
      <c r="D199" s="29"/>
      <c r="E199" s="29"/>
      <c r="F199" s="29"/>
      <c r="G199" s="37" t="s">
        <v>268</v>
      </c>
      <c r="H199" s="36" t="s">
        <v>36</v>
      </c>
      <c r="I199" s="632"/>
      <c r="J199" s="633" t="str">
        <f>IF(ISBLANK(HLOOKUP(CaseName,CaseData,MATCH($G199,cases!$G$3:$G$2464,0),FALSE)),"",HLOOKUP(CaseName,CaseData,MATCH($G199,cases!$G$3:$G$2464,0),FALSE))</f>
        <v/>
      </c>
      <c r="K199" s="352">
        <f>EXP((Ea.OHrad/8.314)*(TEMP.R-298)/298^2)</f>
        <v>0.89974332049812744</v>
      </c>
      <c r="L199" s="634">
        <f t="shared" si="9"/>
        <v>0.89974332049812744</v>
      </c>
      <c r="M199" s="36" t="s">
        <v>486</v>
      </c>
      <c r="N199" s="36"/>
      <c r="O199" s="36"/>
    </row>
    <row r="200" spans="1:15" ht="12.75" customHeight="1" x14ac:dyDescent="0.3">
      <c r="A200" s="36"/>
      <c r="B200" s="36" t="s">
        <v>325</v>
      </c>
      <c r="C200" s="29"/>
      <c r="D200" s="29"/>
      <c r="E200" s="29"/>
      <c r="F200" s="29"/>
      <c r="G200" s="37" t="s">
        <v>306</v>
      </c>
      <c r="H200" s="36" t="s">
        <v>4036</v>
      </c>
      <c r="I200" s="632"/>
      <c r="J200" s="633" t="str">
        <f>IF(ISBLANK(HLOOKUP(CaseName,CaseData,MATCH($G200,cases!$G$3:$G$2464,0),FALSE)),"",HLOOKUP(CaseName,CaseData,MATCH($G200,cases!$G$3:$G$2464,0),FALSE))</f>
        <v/>
      </c>
      <c r="K200" s="352">
        <f>kdeg.water*L206*(L203/BACT.test)*L66</f>
        <v>8.6888547727987207E-8</v>
      </c>
      <c r="L200" s="634">
        <f>IF(ISBLANK(I200),IF(ISNUMBER(J200)=FALSE,K200,J200),I200)</f>
        <v>8.6888547727987207E-8</v>
      </c>
      <c r="M200" s="36" t="s">
        <v>1488</v>
      </c>
      <c r="N200" s="36"/>
      <c r="O200" s="36"/>
    </row>
    <row r="201" spans="1:15" ht="12.75" customHeight="1" x14ac:dyDescent="0.3">
      <c r="A201" s="36"/>
      <c r="B201" s="36" t="s">
        <v>798</v>
      </c>
      <c r="C201" s="29"/>
      <c r="D201" s="29"/>
      <c r="E201" s="29"/>
      <c r="F201" s="29"/>
      <c r="G201" s="37" t="s">
        <v>851</v>
      </c>
      <c r="H201" s="36" t="s">
        <v>4036</v>
      </c>
      <c r="I201" s="632"/>
      <c r="J201" s="633" t="str">
        <f>IF(ISBLANK(HLOOKUP(CaseName,CaseData,MATCH($G201,cases!$G$3:$G$2464,0),FALSE)),"",HLOOKUP(CaseName,CaseData,MATCH($G201,cases!$G$3:$G$2464,0),FALSE))</f>
        <v/>
      </c>
      <c r="K201" s="352">
        <f>kdeg.water*L206*(L204/BACT.test)*L72</f>
        <v>8.6791727940822063E-8</v>
      </c>
      <c r="L201" s="634">
        <f t="shared" si="9"/>
        <v>8.6791727940822063E-8</v>
      </c>
      <c r="M201" s="36" t="s">
        <v>1488</v>
      </c>
      <c r="N201" s="36"/>
      <c r="O201" s="36"/>
    </row>
    <row r="202" spans="1:15" ht="12.75" customHeight="1" x14ac:dyDescent="0.3">
      <c r="A202" s="36"/>
      <c r="B202" s="36" t="s">
        <v>799</v>
      </c>
      <c r="C202" s="29"/>
      <c r="D202" s="29"/>
      <c r="E202" s="29"/>
      <c r="F202" s="29"/>
      <c r="G202" s="37" t="s">
        <v>852</v>
      </c>
      <c r="H202" s="36" t="s">
        <v>4036</v>
      </c>
      <c r="I202" s="632"/>
      <c r="J202" s="633" t="str">
        <f>IF(ISBLANK(HLOOKUP(CaseName,CaseData,MATCH($G202,cases!$G$3:$G$2464,0),FALSE)),"",HLOOKUP(CaseName,CaseData,MATCH($G202,cases!$G$3:$G$2464,0),FALSE))</f>
        <v/>
      </c>
      <c r="K202" s="352">
        <f>kdeg.water*L206*(L205/BACT.test)*L78</f>
        <v>8.6858477099101683E-8</v>
      </c>
      <c r="L202" s="634">
        <f t="shared" si="9"/>
        <v>8.6858477099101683E-8</v>
      </c>
      <c r="M202" s="36" t="s">
        <v>1488</v>
      </c>
      <c r="N202" s="36"/>
      <c r="O202" s="36"/>
    </row>
    <row r="203" spans="1:15" ht="12.75" customHeight="1" x14ac:dyDescent="0.3">
      <c r="A203" s="36"/>
      <c r="B203" s="36"/>
      <c r="C203" s="36" t="s">
        <v>326</v>
      </c>
      <c r="D203" s="29"/>
      <c r="E203" s="29"/>
      <c r="F203" s="29"/>
      <c r="G203" s="94" t="s">
        <v>307</v>
      </c>
      <c r="H203" s="36" t="s">
        <v>730</v>
      </c>
      <c r="I203" s="632"/>
      <c r="J203" s="633" t="str">
        <f>IF(ISBLANK(HLOOKUP(CaseName,CaseData,MATCH($G203,cases!$G$3:$G$2464,0),FALSE)),"",HLOOKUP(CaseName,CaseData,MATCH($G203,cases!$G$3:$G$2464,0),FALSE))</f>
        <v/>
      </c>
      <c r="K203" s="352">
        <v>40000</v>
      </c>
      <c r="L203" s="634">
        <f>IF(ISBLANK(I203),IF(ISNUMBER(J203)=FALSE,K203,J203),I203)</f>
        <v>40000</v>
      </c>
      <c r="M203" s="36" t="s">
        <v>1501</v>
      </c>
      <c r="N203" s="36"/>
      <c r="O203" s="36"/>
    </row>
    <row r="204" spans="1:15" ht="12.75" customHeight="1" x14ac:dyDescent="0.3">
      <c r="A204" s="36"/>
      <c r="B204" s="36"/>
      <c r="C204" s="36" t="s">
        <v>585</v>
      </c>
      <c r="D204" s="29"/>
      <c r="E204" s="29"/>
      <c r="F204" s="29"/>
      <c r="G204" s="94" t="s">
        <v>688</v>
      </c>
      <c r="H204" s="36" t="s">
        <v>730</v>
      </c>
      <c r="I204" s="632"/>
      <c r="J204" s="633" t="str">
        <f>IF(ISBLANK(HLOOKUP(CaseName,CaseData,MATCH($G204,cases!$G$3:$G$2464,0),FALSE)),"",HLOOKUP(CaseName,CaseData,MATCH($G204,cases!$G$3:$G$2464,0),FALSE))</f>
        <v/>
      </c>
      <c r="K204" s="352">
        <v>40000</v>
      </c>
      <c r="L204" s="634">
        <f t="shared" si="9"/>
        <v>40000</v>
      </c>
      <c r="M204" s="36" t="s">
        <v>1501</v>
      </c>
      <c r="N204" s="36"/>
      <c r="O204" s="36"/>
    </row>
    <row r="205" spans="1:15" ht="12.75" customHeight="1" x14ac:dyDescent="0.3">
      <c r="A205" s="36"/>
      <c r="B205" s="36"/>
      <c r="C205" s="36" t="s">
        <v>1451</v>
      </c>
      <c r="D205" s="29"/>
      <c r="E205" s="29"/>
      <c r="F205" s="29"/>
      <c r="G205" s="94" t="s">
        <v>689</v>
      </c>
      <c r="H205" s="36" t="s">
        <v>730</v>
      </c>
      <c r="I205" s="632"/>
      <c r="J205" s="633" t="str">
        <f>IF(ISBLANK(HLOOKUP(CaseName,CaseData,MATCH($G205,cases!$G$3:$G$2464,0),FALSE)),"",HLOOKUP(CaseName,CaseData,MATCH($G205,cases!$G$3:$G$2464,0),FALSE))</f>
        <v/>
      </c>
      <c r="K205" s="352">
        <v>40000</v>
      </c>
      <c r="L205" s="634">
        <f t="shared" si="9"/>
        <v>40000</v>
      </c>
      <c r="M205" s="36" t="s">
        <v>1501</v>
      </c>
      <c r="N205" s="36"/>
      <c r="O205" s="36"/>
    </row>
    <row r="206" spans="1:15" ht="12.75" customHeight="1" x14ac:dyDescent="0.3">
      <c r="A206" s="95"/>
      <c r="B206" s="95"/>
      <c r="C206" s="36" t="s">
        <v>766</v>
      </c>
      <c r="D206" s="29"/>
      <c r="E206" s="29"/>
      <c r="F206" s="29"/>
      <c r="G206" s="37" t="s">
        <v>793</v>
      </c>
      <c r="H206" s="36" t="s">
        <v>36</v>
      </c>
      <c r="I206" s="632"/>
      <c r="J206" s="633" t="str">
        <f>IF(ISBLANK(HLOOKUP(CaseName,CaseData,MATCH($G206,cases!$G$3:$G$2464,0),FALSE)),"",HLOOKUP(CaseName,CaseData,MATCH($G206,cases!$G$3:$G$2464,0),FALSE))</f>
        <v/>
      </c>
      <c r="K206" s="352">
        <f>Q.10^((TEMP.R-298)/10)</f>
        <v>0.40612619817811774</v>
      </c>
      <c r="L206" s="634">
        <f t="shared" si="9"/>
        <v>0.40612619817811774</v>
      </c>
      <c r="M206" s="36" t="s">
        <v>486</v>
      </c>
      <c r="N206" s="36"/>
      <c r="O206" s="36"/>
    </row>
    <row r="207" spans="1:15" ht="12.75" customHeight="1" x14ac:dyDescent="0.3">
      <c r="A207" s="36"/>
      <c r="B207" s="36" t="s">
        <v>800</v>
      </c>
      <c r="C207" s="29"/>
      <c r="D207" s="29"/>
      <c r="E207" s="29"/>
      <c r="F207" s="29"/>
      <c r="G207" s="37" t="s">
        <v>1333</v>
      </c>
      <c r="H207" s="36" t="s">
        <v>4036</v>
      </c>
      <c r="I207" s="632"/>
      <c r="J207" s="633" t="str">
        <f>IF(ISBLANK(HLOOKUP(CaseName,CaseData,MATCH($G207,cases!$G$3:$G$2464,0),FALSE)),"",HLOOKUP(CaseName,CaseData,MATCH($G207,cases!$G$3:$G$2464,0),FALSE))</f>
        <v/>
      </c>
      <c r="K207" s="352">
        <f>L206*kdeg.sed</f>
        <v>9.6658035166392035E-9</v>
      </c>
      <c r="L207" s="634">
        <f t="shared" si="9"/>
        <v>9.6658035166392035E-9</v>
      </c>
      <c r="M207" s="36" t="s">
        <v>1488</v>
      </c>
      <c r="N207" s="36"/>
      <c r="O207" s="36"/>
    </row>
    <row r="208" spans="1:15" ht="12.75" customHeight="1" x14ac:dyDescent="0.3">
      <c r="A208" s="36"/>
      <c r="B208" s="36" t="s">
        <v>801</v>
      </c>
      <c r="C208" s="29"/>
      <c r="D208" s="29"/>
      <c r="E208" s="29"/>
      <c r="F208" s="29"/>
      <c r="G208" s="37" t="s">
        <v>1334</v>
      </c>
      <c r="H208" s="36" t="s">
        <v>4036</v>
      </c>
      <c r="I208" s="632"/>
      <c r="J208" s="633" t="str">
        <f>IF(ISBLANK(HLOOKUP(CaseName,CaseData,MATCH($G208,cases!$G$3:$G$2464,0),FALSE)),"",HLOOKUP(CaseName,CaseData,MATCH($G208,cases!$G$3:$G$2464,0),FALSE))</f>
        <v/>
      </c>
      <c r="K208" s="352">
        <f>L206*kdeg.sed</f>
        <v>9.6658035166392035E-9</v>
      </c>
      <c r="L208" s="634">
        <f t="shared" si="9"/>
        <v>9.6658035166392035E-9</v>
      </c>
      <c r="M208" s="36" t="s">
        <v>1488</v>
      </c>
      <c r="N208" s="36"/>
      <c r="O208" s="36"/>
    </row>
    <row r="209" spans="1:15" ht="12.75" customHeight="1" x14ac:dyDescent="0.3">
      <c r="A209" s="36"/>
      <c r="B209" s="36" t="s">
        <v>802</v>
      </c>
      <c r="C209" s="29"/>
      <c r="D209" s="29"/>
      <c r="E209" s="29"/>
      <c r="F209" s="29"/>
      <c r="G209" s="37" t="s">
        <v>1335</v>
      </c>
      <c r="H209" s="36" t="s">
        <v>4036</v>
      </c>
      <c r="I209" s="632"/>
      <c r="J209" s="633" t="str">
        <f>IF(ISBLANK(HLOOKUP(CaseName,CaseData,MATCH($G209,cases!$G$3:$G$2464,0),FALSE)),"",HLOOKUP(CaseName,CaseData,MATCH($G209,cases!$G$3:$G$2464,0),FALSE))</f>
        <v/>
      </c>
      <c r="K209" s="352">
        <f>L206*kdeg.soil</f>
        <v>4.3455503205058602E-8</v>
      </c>
      <c r="L209" s="634">
        <f t="shared" si="9"/>
        <v>4.3455503205058602E-8</v>
      </c>
      <c r="M209" s="36" t="s">
        <v>1488</v>
      </c>
      <c r="N209" s="36"/>
      <c r="O209" s="36"/>
    </row>
    <row r="210" spans="1:15" ht="12.75" customHeight="1" x14ac:dyDescent="0.3">
      <c r="A210" s="36"/>
      <c r="B210" s="36" t="s">
        <v>426</v>
      </c>
      <c r="C210" s="29"/>
      <c r="D210" s="29"/>
      <c r="E210" s="29"/>
      <c r="F210" s="29"/>
      <c r="G210" s="37" t="s">
        <v>1336</v>
      </c>
      <c r="H210" s="36" t="s">
        <v>4036</v>
      </c>
      <c r="I210" s="632"/>
      <c r="J210" s="633" t="str">
        <f>IF(ISBLANK(HLOOKUP(CaseName,CaseData,MATCH($G210,cases!$G$3:$G$2464,0),FALSE)),"",HLOOKUP(CaseName,CaseData,MATCH($G210,cases!$G$3:$G$2464,0),FALSE))</f>
        <v/>
      </c>
      <c r="K210" s="352">
        <f>L206*kdeg.soil</f>
        <v>4.3455503205058602E-8</v>
      </c>
      <c r="L210" s="634">
        <f t="shared" si="9"/>
        <v>4.3455503205058602E-8</v>
      </c>
      <c r="M210" s="36" t="s">
        <v>1488</v>
      </c>
      <c r="N210" s="36"/>
      <c r="O210" s="36"/>
    </row>
    <row r="211" spans="1:15" ht="12.75" customHeight="1" x14ac:dyDescent="0.3">
      <c r="A211" s="36"/>
      <c r="B211" s="36" t="s">
        <v>433</v>
      </c>
      <c r="C211" s="29"/>
      <c r="D211" s="29"/>
      <c r="E211" s="29"/>
      <c r="F211" s="29"/>
      <c r="G211" s="37" t="s">
        <v>1337</v>
      </c>
      <c r="H211" s="36" t="s">
        <v>4036</v>
      </c>
      <c r="I211" s="632"/>
      <c r="J211" s="633" t="str">
        <f>IF(ISBLANK(HLOOKUP(CaseName,CaseData,MATCH($G211,cases!$G$3:$G$2464,0),FALSE)),"",HLOOKUP(CaseName,CaseData,MATCH($G211,cases!$G$3:$G$2464,0),FALSE))</f>
        <v/>
      </c>
      <c r="K211" s="352">
        <f>L206*kdeg.soil</f>
        <v>4.3455503205058602E-8</v>
      </c>
      <c r="L211" s="634">
        <f t="shared" si="9"/>
        <v>4.3455503205058602E-8</v>
      </c>
      <c r="M211" s="36" t="s">
        <v>1488</v>
      </c>
      <c r="N211" s="36"/>
      <c r="O211" s="36"/>
    </row>
    <row r="212" spans="1:15" ht="12.75" customHeight="1" x14ac:dyDescent="0.3">
      <c r="A212" s="36"/>
      <c r="B212" s="36" t="s">
        <v>1057</v>
      </c>
      <c r="C212" s="29"/>
      <c r="D212" s="29"/>
      <c r="E212" s="29"/>
      <c r="F212" s="29"/>
      <c r="G212" s="94" t="s">
        <v>1223</v>
      </c>
      <c r="H212" s="36" t="s">
        <v>36</v>
      </c>
      <c r="I212" s="632"/>
      <c r="J212" s="633" t="str">
        <f>IF(ISBLANK(HLOOKUP(CaseName,CaseData,MATCH($G212,cases!$G$3:$G$2464,0),FALSE)),"",HLOOKUP(CaseName,CaseData,MATCH($G212,cases!$G$3:$G$2464,0),FALSE))</f>
        <v/>
      </c>
      <c r="K212" s="352">
        <f>FRACinf.R</f>
        <v>0.25</v>
      </c>
      <c r="L212" s="634">
        <f t="shared" ref="L212:L217" si="10">IF(ISBLANK(I212),IF(ISNUMBER(J212)=FALSE,K212,J212),I212)</f>
        <v>0.25</v>
      </c>
      <c r="M212" s="36" t="s">
        <v>486</v>
      </c>
      <c r="N212" s="36"/>
      <c r="O212" s="36"/>
    </row>
    <row r="213" spans="1:15" ht="12.75" customHeight="1" x14ac:dyDescent="0.3">
      <c r="A213" s="36"/>
      <c r="B213" s="36" t="s">
        <v>1058</v>
      </c>
      <c r="C213" s="29"/>
      <c r="D213" s="29"/>
      <c r="E213" s="29"/>
      <c r="F213" s="29"/>
      <c r="G213" s="94" t="s">
        <v>1224</v>
      </c>
      <c r="H213" s="36" t="s">
        <v>36</v>
      </c>
      <c r="I213" s="632"/>
      <c r="J213" s="633" t="str">
        <f>IF(ISBLANK(HLOOKUP(CaseName,CaseData,MATCH($G213,cases!$G$3:$G$2464,0),FALSE)),"",HLOOKUP(CaseName,CaseData,MATCH($G213,cases!$G$3:$G$2464,0),FALSE))</f>
        <v/>
      </c>
      <c r="K213" s="352">
        <f>FRACinf.R</f>
        <v>0.25</v>
      </c>
      <c r="L213" s="634">
        <f t="shared" si="10"/>
        <v>0.25</v>
      </c>
      <c r="M213" s="36" t="s">
        <v>486</v>
      </c>
      <c r="N213" s="36"/>
      <c r="O213" s="36"/>
    </row>
    <row r="214" spans="1:15" ht="12.75" customHeight="1" x14ac:dyDescent="0.3">
      <c r="A214" s="29"/>
      <c r="B214" s="36" t="s">
        <v>584</v>
      </c>
      <c r="C214" s="29"/>
      <c r="D214" s="29"/>
      <c r="E214" s="29"/>
      <c r="F214" s="29"/>
      <c r="G214" s="94" t="s">
        <v>1225</v>
      </c>
      <c r="H214" s="36" t="s">
        <v>36</v>
      </c>
      <c r="I214" s="632"/>
      <c r="J214" s="633" t="str">
        <f>IF(ISBLANK(HLOOKUP(CaseName,CaseData,MATCH($G214,cases!$G$3:$G$2464,0),FALSE)),"",HLOOKUP(CaseName,CaseData,MATCH($G214,cases!$G$3:$G$2464,0),FALSE))</f>
        <v/>
      </c>
      <c r="K214" s="352">
        <f>FRACinf.R</f>
        <v>0.25</v>
      </c>
      <c r="L214" s="634">
        <f t="shared" si="10"/>
        <v>0.25</v>
      </c>
      <c r="M214" s="36" t="s">
        <v>486</v>
      </c>
      <c r="N214" s="36"/>
      <c r="O214" s="36"/>
    </row>
    <row r="215" spans="1:15" ht="12.75" customHeight="1" x14ac:dyDescent="0.3">
      <c r="A215" s="36"/>
      <c r="B215" s="29" t="s">
        <v>2227</v>
      </c>
      <c r="C215" s="29"/>
      <c r="D215" s="95"/>
      <c r="E215" s="95"/>
      <c r="F215" s="95"/>
      <c r="G215" s="37" t="s">
        <v>1470</v>
      </c>
      <c r="H215" s="29" t="s">
        <v>36</v>
      </c>
      <c r="I215" s="637"/>
      <c r="J215" s="633" t="str">
        <f>IF(ISBLANK(HLOOKUP(CaseName,CaseData,MATCH($G215,cases!$G$3:$G$2464,0),FALSE)),"",HLOOKUP(CaseName,CaseData,MATCH($G215,cases!$G$3:$G$2464,0),FALSE))</f>
        <v/>
      </c>
      <c r="K215" s="352">
        <f>(EXP((-1/0.1)*0.5)*(1/0.1)*L27/(1-EXP((-1/0.1)*L27)))</f>
        <v>8.5622262133111474E-3</v>
      </c>
      <c r="L215" s="634">
        <f t="shared" si="10"/>
        <v>8.5622262133111474E-3</v>
      </c>
      <c r="M215" s="29" t="s">
        <v>486</v>
      </c>
      <c r="N215" s="36" t="s">
        <v>995</v>
      </c>
      <c r="O215" s="36"/>
    </row>
    <row r="216" spans="1:15" ht="12.75" customHeight="1" x14ac:dyDescent="0.3">
      <c r="A216" s="36"/>
      <c r="B216" s="29" t="s">
        <v>2227</v>
      </c>
      <c r="C216" s="29"/>
      <c r="D216" s="95"/>
      <c r="E216" s="95"/>
      <c r="F216" s="95"/>
      <c r="G216" s="37" t="s">
        <v>1471</v>
      </c>
      <c r="H216" s="29" t="s">
        <v>36</v>
      </c>
      <c r="I216" s="637"/>
      <c r="J216" s="633" t="str">
        <f>IF(ISBLANK(HLOOKUP(CaseName,CaseData,MATCH($G216,cases!$G$3:$G$2464,0),FALSE)),"",HLOOKUP(CaseName,CaseData,MATCH($G216,cases!$G$3:$G$2464,0),FALSE))</f>
        <v/>
      </c>
      <c r="K216" s="352">
        <f>(EXP((-1/0.1)*0.5)*(1/0.1)*L28/(1-EXP((-1/0.1)*L28)))</f>
        <v>1.5585109160709019E-2</v>
      </c>
      <c r="L216" s="634">
        <f t="shared" si="10"/>
        <v>1.5585109160709019E-2</v>
      </c>
      <c r="M216" s="29" t="s">
        <v>486</v>
      </c>
      <c r="N216" s="36" t="s">
        <v>995</v>
      </c>
      <c r="O216" s="36"/>
    </row>
    <row r="217" spans="1:15" ht="12.75" customHeight="1" x14ac:dyDescent="0.3">
      <c r="A217" s="36"/>
      <c r="B217" s="29" t="s">
        <v>2227</v>
      </c>
      <c r="C217" s="29"/>
      <c r="D217" s="95"/>
      <c r="E217" s="95"/>
      <c r="F217" s="95"/>
      <c r="G217" s="37" t="s">
        <v>1472</v>
      </c>
      <c r="H217" s="29" t="s">
        <v>36</v>
      </c>
      <c r="I217" s="637"/>
      <c r="J217" s="633" t="str">
        <f>IF(ISBLANK(HLOOKUP(CaseName,CaseData,MATCH($G217,cases!$G$3:$G$2464,0),FALSE)),"",HLOOKUP(CaseName,CaseData,MATCH($G217,cases!$G$3:$G$2464,0),FALSE))</f>
        <v/>
      </c>
      <c r="K217" s="352">
        <f>(EXP((-1/0.1)*0.5)*(1/0.1)*L29/(1-EXP((-1/0.1)*L29)))</f>
        <v>8.5622262133111474E-3</v>
      </c>
      <c r="L217" s="634">
        <f t="shared" si="10"/>
        <v>8.5622262133111474E-3</v>
      </c>
      <c r="M217" s="29" t="s">
        <v>486</v>
      </c>
      <c r="N217" s="36" t="s">
        <v>995</v>
      </c>
      <c r="O217" s="36"/>
    </row>
    <row r="218" spans="1:15" ht="12.75" customHeight="1" x14ac:dyDescent="0.3">
      <c r="A218" s="134"/>
      <c r="B218" s="134"/>
      <c r="C218" s="134"/>
      <c r="D218" s="134"/>
      <c r="E218" s="134"/>
      <c r="F218" s="134"/>
      <c r="G218" s="115"/>
      <c r="H218" s="115"/>
      <c r="I218" s="356"/>
      <c r="J218" s="367"/>
      <c r="K218" s="641"/>
      <c r="L218" s="641"/>
      <c r="M218" s="134"/>
      <c r="N218" s="115"/>
      <c r="O218" s="36"/>
    </row>
    <row r="219" spans="1:15" ht="12.75" customHeight="1" x14ac:dyDescent="0.3">
      <c r="A219" s="29"/>
      <c r="B219" s="29"/>
      <c r="C219" s="29"/>
      <c r="D219" s="29"/>
      <c r="E219" s="29"/>
      <c r="F219" s="29"/>
      <c r="G219" s="36"/>
      <c r="H219" s="36"/>
      <c r="I219" s="339"/>
      <c r="J219" s="430"/>
      <c r="K219" s="353"/>
      <c r="L219" s="353"/>
      <c r="M219" s="29"/>
      <c r="N219" s="36"/>
      <c r="O219" s="36"/>
    </row>
  </sheetData>
  <dataConsolidate/>
  <customSheetViews>
    <customSheetView guid="{E10D5409-7CBD-11D4-9F98-0000E22085C7}" scale="84" fitToPage="1" showRuler="0" topLeftCell="AF1">
      <selection activeCell="AE2" sqref="AE2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1"/>
      <headerFooter alignWithMargins="0">
        <oddHeader>&amp;L&amp;D, &amp;T&amp;C&amp;P&amp;R&amp;F</oddHeader>
      </headerFooter>
    </customSheetView>
    <customSheetView guid="{E10D53FD-7CBD-11D4-9F98-0000E22085C7}" scale="92" showPageBreaks="1" showRuler="0" topLeftCell="AA1">
      <selection activeCell="Z1" sqref="Z1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2"/>
      <headerFooter alignWithMargins="0">
        <oddHeader>&amp;L&amp;D, &amp;T&amp;C&amp;P&amp;R&amp;F</oddHeader>
      </headerFooter>
    </customSheetView>
    <customSheetView guid="{E10D53F8-7CBD-11D4-9F98-0000E22085C7}" scale="92" showPageBreaks="1" showRuler="0" topLeftCell="O1">
      <selection activeCell="N1" sqref="N1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3"/>
      <headerFooter alignWithMargins="0">
        <oddHeader>&amp;L&amp;D, &amp;T&amp;C&amp;P&amp;R&amp;F</oddHeader>
      </headerFooter>
    </customSheetView>
    <customSheetView guid="{E10D53F3-7CBD-11D4-9F98-0000E22085C7}" scale="51" fitToPage="1" showRuler="0" topLeftCell="AS3">
      <selection activeCell="AR3" sqref="AR3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4"/>
      <headerFooter alignWithMargins="0">
        <oddHeader>&amp;L&amp;D, &amp;T&amp;C&amp;P&amp;R&amp;F</oddHeader>
      </headerFooter>
    </customSheetView>
    <customSheetView guid="{E10D53EE-7CBD-11D4-9F98-0000E22085C7}" scale="92" showPageBreaks="1" showRuler="0">
      <selection activeCell="H5" sqref="H5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5"/>
      <headerFooter alignWithMargins="0">
        <oddHeader>&amp;L&amp;D, &amp;T&amp;C&amp;P&amp;R&amp;F</oddHeader>
      </headerFooter>
    </customSheetView>
    <customSheetView guid="{E10D53E2-7CBD-11D4-9F98-0000E22085C7}" scale="61" fitToPage="1" showRuler="0" topLeftCell="O58">
      <selection activeCell="N58" sqref="N58"/>
      <pageMargins left="0.98425196850393704" right="0.98425196850393704" top="0.98425196850393704" bottom="0.98425196850393704" header="0.51181102362204722" footer="0.51181102362204722"/>
      <printOptions gridLines="1"/>
      <pageSetup paperSize="9" scale="52" orientation="portrait" horizontalDpi="4294967292" verticalDpi="4294967292" r:id="rId6"/>
      <headerFooter alignWithMargins="0">
        <oddHeader>&amp;L&amp;D, &amp;T&amp;C&amp;P&amp;R&amp;F</oddHeader>
      </headerFooter>
    </customSheetView>
  </customSheetViews>
  <phoneticPr fontId="5" type="noConversion"/>
  <conditionalFormatting sqref="I1:I1048576">
    <cfRule type="cellIs" dxfId="96" priority="67" operator="equal">
      <formula>0</formula>
    </cfRule>
  </conditionalFormatting>
  <conditionalFormatting sqref="J1:J1048576">
    <cfRule type="expression" dxfId="95" priority="82">
      <formula>"HLOOKUP(CaseName,CaseData,ROW()+157,FALSE)&lt;&gt;"""""</formula>
    </cfRule>
  </conditionalFormatting>
  <conditionalFormatting sqref="K191:K195">
    <cfRule type="cellIs" dxfId="94" priority="1" operator="equal">
      <formula>0</formula>
    </cfRule>
  </conditionalFormatting>
  <conditionalFormatting sqref="K1:L123 L124:L125 K126:L186 L187:L195 K196:L1048576">
    <cfRule type="cellIs" dxfId="93" priority="85" operator="equal">
      <formula>0</formula>
    </cfRule>
  </conditionalFormatting>
  <pageMargins left="0.98425196850393704" right="0.98425196850393704" top="0.98425196850393704" bottom="0.98425196850393704" header="0.51181102362204722" footer="0.51181102362204722"/>
  <pageSetup paperSize="9" scale="52" orientation="portrait" horizontalDpi="4294967292" verticalDpi="4294967292" r:id="rId7"/>
  <headerFooter alignWithMargins="0">
    <oddHeader>&amp;L&amp;D, &amp;T&amp;C&amp;P&amp;R&amp;F</oddHeader>
  </headerFooter>
  <legacy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syncVertical="1" syncRef="A1" transitionEvaluation="1" transitionEntry="1" codeName="Sheet3"/>
  <dimension ref="A1:O225"/>
  <sheetViews>
    <sheetView zoomScaleNormal="100" workbookViewId="0"/>
  </sheetViews>
  <sheetFormatPr defaultColWidth="10.6640625" defaultRowHeight="12.75" customHeight="1" x14ac:dyDescent="0.3"/>
  <cols>
    <col min="1" max="5" width="1.6640625" customWidth="1"/>
    <col min="6" max="6" width="60.6640625" customWidth="1"/>
    <col min="7" max="7" width="22.6640625" customWidth="1"/>
    <col min="8" max="8" width="10.6640625" customWidth="1"/>
    <col min="9" max="11" width="9.109375" style="642" customWidth="1"/>
    <col min="12" max="12" width="12.109375" style="642" customWidth="1"/>
    <col min="13" max="13" width="9.109375" customWidth="1"/>
    <col min="14" max="14" width="83" bestFit="1" customWidth="1"/>
    <col min="15" max="15" width="2.6640625" customWidth="1"/>
  </cols>
  <sheetData>
    <row r="1" spans="1:15" ht="12.75" customHeight="1" x14ac:dyDescent="0.3">
      <c r="A1" s="62" t="s">
        <v>445</v>
      </c>
      <c r="B1" s="29"/>
      <c r="C1" s="29"/>
      <c r="D1" s="29"/>
      <c r="E1" s="29"/>
      <c r="F1" s="29"/>
      <c r="G1" s="36"/>
      <c r="H1" s="29"/>
      <c r="I1" s="643"/>
      <c r="J1" s="353"/>
      <c r="K1" s="353"/>
      <c r="L1" s="353"/>
      <c r="M1" s="29"/>
      <c r="N1" s="29"/>
      <c r="O1" s="29"/>
    </row>
    <row r="2" spans="1:15" ht="12.75" customHeight="1" x14ac:dyDescent="0.3">
      <c r="A2" s="96"/>
      <c r="B2" s="29"/>
      <c r="C2" s="29"/>
      <c r="D2" s="29"/>
      <c r="E2" s="29"/>
      <c r="F2" s="29"/>
      <c r="G2" s="29"/>
      <c r="H2" s="29"/>
      <c r="I2" s="643"/>
      <c r="J2" s="353"/>
      <c r="K2" s="353"/>
      <c r="L2" s="353"/>
      <c r="M2" s="29"/>
      <c r="N2" s="29"/>
      <c r="O2" s="36"/>
    </row>
    <row r="3" spans="1:15" ht="12.75" customHeight="1" x14ac:dyDescent="0.3">
      <c r="A3" s="97" t="s">
        <v>1310</v>
      </c>
      <c r="B3" s="97"/>
      <c r="C3" s="97"/>
      <c r="D3" s="97"/>
      <c r="E3" s="97"/>
      <c r="F3" s="97"/>
      <c r="G3" s="98" t="s">
        <v>1008</v>
      </c>
      <c r="H3" s="98" t="s">
        <v>968</v>
      </c>
      <c r="I3" s="364" t="s">
        <v>754</v>
      </c>
      <c r="J3" s="340" t="s">
        <v>37</v>
      </c>
      <c r="K3" s="340" t="s">
        <v>753</v>
      </c>
      <c r="L3" s="340" t="s">
        <v>1358</v>
      </c>
      <c r="M3" s="97"/>
      <c r="N3" s="98" t="s">
        <v>1371</v>
      </c>
      <c r="O3" s="36"/>
    </row>
    <row r="4" spans="1:15" ht="12.75" customHeight="1" x14ac:dyDescent="0.3">
      <c r="A4" s="29"/>
      <c r="B4" s="29"/>
      <c r="C4" s="36"/>
      <c r="D4" s="36"/>
      <c r="E4" s="29"/>
      <c r="F4" s="29"/>
      <c r="G4" s="29"/>
      <c r="H4" s="29"/>
      <c r="I4" s="633"/>
      <c r="J4" s="353"/>
      <c r="K4" s="353"/>
      <c r="L4" s="353"/>
      <c r="M4" s="29"/>
      <c r="N4" s="29"/>
      <c r="O4" s="36"/>
    </row>
    <row r="5" spans="1:15" ht="12.75" customHeight="1" x14ac:dyDescent="0.3">
      <c r="A5" s="36" t="s">
        <v>1089</v>
      </c>
      <c r="B5" s="29"/>
      <c r="C5" s="29"/>
      <c r="D5" s="29"/>
      <c r="E5" s="29"/>
      <c r="F5" s="29"/>
      <c r="G5" s="37" t="s">
        <v>1437</v>
      </c>
      <c r="H5" s="29" t="s">
        <v>4034</v>
      </c>
      <c r="I5" s="636"/>
      <c r="J5" s="633" t="str">
        <f>IF(ISBLANK(HLOOKUP(CaseName,CaseData,MATCH($G5,cases!$G$3:$G$2464,0),FALSE)),"",HLOOKUP(CaseName,CaseData,MATCH($G5,cases!$G$3:$G$2464,0),FALSE))</f>
        <v/>
      </c>
      <c r="K5" s="352">
        <f>L14*L21</f>
        <v>7428820000000000</v>
      </c>
      <c r="L5" s="634">
        <f>IF(ISBLANK(I5),IF(ISNUMBER(J5)=FALSE,K5,J5),I5)</f>
        <v>7428820000000000</v>
      </c>
      <c r="M5" s="36" t="s">
        <v>1496</v>
      </c>
      <c r="N5" s="29"/>
      <c r="O5" s="36"/>
    </row>
    <row r="6" spans="1:15" ht="12.75" customHeight="1" x14ac:dyDescent="0.3">
      <c r="A6" s="36" t="s">
        <v>282</v>
      </c>
      <c r="B6" s="29"/>
      <c r="C6" s="29"/>
      <c r="D6" s="29"/>
      <c r="E6" s="29"/>
      <c r="F6" s="29"/>
      <c r="G6" s="37" t="s">
        <v>327</v>
      </c>
      <c r="H6" s="36" t="s">
        <v>4034</v>
      </c>
      <c r="I6" s="632"/>
      <c r="J6" s="633" t="str">
        <f>IF(ISBLANK(HLOOKUP(CaseName,CaseData,MATCH($G6,cases!$G$3:$G$2464,0),FALSE)),"",HLOOKUP(CaseName,CaseData,MATCH($G6,cases!$G$3:$G$2464,0),FALSE))</f>
        <v/>
      </c>
      <c r="K6" s="352">
        <f>L14*L15*L22</f>
        <v>928602500000</v>
      </c>
      <c r="L6" s="634">
        <f>IF(ISBLANK(I6),IF(ISNUMBER(J6)=FALSE,K6,J6),I6)</f>
        <v>928602500000</v>
      </c>
      <c r="M6" s="36" t="s">
        <v>1496</v>
      </c>
      <c r="N6" s="29"/>
      <c r="O6" s="36"/>
    </row>
    <row r="7" spans="1:15" ht="12.75" customHeight="1" x14ac:dyDescent="0.3">
      <c r="A7" s="36" t="s">
        <v>708</v>
      </c>
      <c r="B7" s="29"/>
      <c r="C7" s="29"/>
      <c r="D7" s="29"/>
      <c r="E7" s="29"/>
      <c r="F7" s="29"/>
      <c r="G7" s="37" t="s">
        <v>1438</v>
      </c>
      <c r="H7" s="29" t="s">
        <v>4034</v>
      </c>
      <c r="I7" s="636"/>
      <c r="J7" s="633" t="str">
        <f>IF(ISBLANK(HLOOKUP(CaseName,CaseData,MATCH($G7,cases!$G$3:$G$2464,0),FALSE)),"",HLOOKUP(CaseName,CaseData,MATCH($G7,cases!$G$3:$G$2464,0),FALSE))</f>
        <v/>
      </c>
      <c r="K7" s="352">
        <f>L14*L16*L23</f>
        <v>306438825000</v>
      </c>
      <c r="L7" s="634">
        <f t="shared" ref="L7:L42" si="0">IF(ISBLANK(I7),IF(ISNUMBER(J7)=FALSE,K7,J7),I7)</f>
        <v>306438825000</v>
      </c>
      <c r="M7" s="36" t="s">
        <v>1496</v>
      </c>
      <c r="N7" s="29"/>
      <c r="O7" s="36"/>
    </row>
    <row r="8" spans="1:15" ht="12.75" customHeight="1" x14ac:dyDescent="0.3">
      <c r="A8" s="36" t="s">
        <v>709</v>
      </c>
      <c r="B8" s="29"/>
      <c r="C8" s="29"/>
      <c r="D8" s="29"/>
      <c r="E8" s="29"/>
      <c r="F8" s="29"/>
      <c r="G8" s="37" t="s">
        <v>1439</v>
      </c>
      <c r="H8" s="29" t="s">
        <v>4034</v>
      </c>
      <c r="I8" s="636"/>
      <c r="J8" s="633" t="str">
        <f>IF(ISBLANK(HLOOKUP(CaseName,CaseData,MATCH($G8,cases!$G$3:$G$2464,0),FALSE)),"",HLOOKUP(CaseName,CaseData,MATCH($G8,cases!$G$3:$G$2464,0),FALSE))</f>
        <v/>
      </c>
      <c r="K8" s="352">
        <f>L14*L20*L24</f>
        <v>742882000000000</v>
      </c>
      <c r="L8" s="634">
        <f t="shared" si="0"/>
        <v>742882000000000</v>
      </c>
      <c r="M8" s="36" t="s">
        <v>1496</v>
      </c>
      <c r="N8" s="29"/>
      <c r="O8" s="36"/>
    </row>
    <row r="9" spans="1:15" ht="12.75" customHeight="1" x14ac:dyDescent="0.3">
      <c r="A9" s="36" t="s">
        <v>710</v>
      </c>
      <c r="B9" s="29"/>
      <c r="C9" s="29"/>
      <c r="D9" s="29"/>
      <c r="E9" s="29"/>
      <c r="F9" s="29"/>
      <c r="G9" s="37" t="s">
        <v>1440</v>
      </c>
      <c r="H9" s="29" t="s">
        <v>4034</v>
      </c>
      <c r="I9" s="636"/>
      <c r="J9" s="633" t="str">
        <f>IF(ISBLANK(HLOOKUP(CaseName,CaseData,MATCH($G9,cases!$G$3:$G$2464,0),FALSE)),"",HLOOKUP(CaseName,CaseData,MATCH($G9,cases!$G$3:$G$2464,0),FALSE))</f>
        <v/>
      </c>
      <c r="K9" s="352">
        <f>L14*L16*L25</f>
        <v>3064388250</v>
      </c>
      <c r="L9" s="634">
        <f t="shared" si="0"/>
        <v>3064388250</v>
      </c>
      <c r="M9" s="36" t="s">
        <v>1496</v>
      </c>
      <c r="N9" s="29"/>
      <c r="O9" s="36"/>
    </row>
    <row r="10" spans="1:15" ht="12.75" customHeight="1" x14ac:dyDescent="0.3">
      <c r="A10" s="36" t="s">
        <v>711</v>
      </c>
      <c r="B10" s="29"/>
      <c r="C10" s="29"/>
      <c r="D10" s="29"/>
      <c r="E10" s="29"/>
      <c r="F10" s="29"/>
      <c r="G10" s="37" t="s">
        <v>1441</v>
      </c>
      <c r="H10" s="29" t="s">
        <v>4034</v>
      </c>
      <c r="I10" s="636"/>
      <c r="J10" s="633" t="str">
        <f>IF(ISBLANK(HLOOKUP(CaseName,CaseData,MATCH($G10,cases!$G$3:$G$2464,0),FALSE)),"",HLOOKUP(CaseName,CaseData,MATCH($G10,cases!$G$3:$G$2464,0),FALSE))</f>
        <v/>
      </c>
      <c r="K10" s="352">
        <f>L14*L20*L26</f>
        <v>111432300000</v>
      </c>
      <c r="L10" s="634">
        <f t="shared" si="0"/>
        <v>111432300000</v>
      </c>
      <c r="M10" s="36" t="s">
        <v>1496</v>
      </c>
      <c r="N10" s="29"/>
      <c r="O10" s="36"/>
    </row>
    <row r="11" spans="1:15" ht="12.75" customHeight="1" x14ac:dyDescent="0.3">
      <c r="A11" s="36" t="s">
        <v>712</v>
      </c>
      <c r="B11" s="29"/>
      <c r="C11" s="29"/>
      <c r="D11" s="29"/>
      <c r="E11" s="29"/>
      <c r="F11" s="29"/>
      <c r="G11" s="37" t="s">
        <v>1442</v>
      </c>
      <c r="H11" s="29" t="s">
        <v>4034</v>
      </c>
      <c r="I11" s="636"/>
      <c r="J11" s="633" t="str">
        <f>IF(ISBLANK(HLOOKUP(CaseName,CaseData,MATCH($G11,cases!$G$3:$G$2464,0),FALSE)),"",HLOOKUP(CaseName,CaseData,MATCH($G11,cases!$G$3:$G$2464,0),FALSE))</f>
        <v/>
      </c>
      <c r="K11" s="352">
        <f>L14*L17*L27</f>
        <v>50144535000.000008</v>
      </c>
      <c r="L11" s="634">
        <f t="shared" si="0"/>
        <v>50144535000.000008</v>
      </c>
      <c r="M11" s="36" t="s">
        <v>1496</v>
      </c>
      <c r="N11" s="29"/>
      <c r="O11" s="36"/>
    </row>
    <row r="12" spans="1:15" ht="12.75" customHeight="1" x14ac:dyDescent="0.3">
      <c r="A12" s="36" t="s">
        <v>713</v>
      </c>
      <c r="B12" s="29"/>
      <c r="C12" s="29"/>
      <c r="D12" s="29"/>
      <c r="E12" s="29"/>
      <c r="F12" s="29"/>
      <c r="G12" s="37" t="s">
        <v>1443</v>
      </c>
      <c r="H12" s="29" t="s">
        <v>4034</v>
      </c>
      <c r="I12" s="636"/>
      <c r="J12" s="633" t="str">
        <f>IF(ISBLANK(HLOOKUP(CaseName,CaseData,MATCH($G12,cases!$G$3:$G$2464,0),FALSE)),"",HLOOKUP(CaseName,CaseData,MATCH($G12,cases!$G$3:$G$2464,0),FALSE))</f>
        <v/>
      </c>
      <c r="K12" s="352">
        <f>L14*L18*L28</f>
        <v>445729200000</v>
      </c>
      <c r="L12" s="634">
        <f t="shared" si="0"/>
        <v>445729200000</v>
      </c>
      <c r="M12" s="36" t="s">
        <v>1496</v>
      </c>
      <c r="N12" s="29"/>
      <c r="O12" s="36"/>
    </row>
    <row r="13" spans="1:15" ht="12.75" customHeight="1" x14ac:dyDescent="0.3">
      <c r="A13" s="36" t="s">
        <v>210</v>
      </c>
      <c r="B13" s="29"/>
      <c r="C13" s="29"/>
      <c r="D13" s="29"/>
      <c r="E13" s="29"/>
      <c r="F13" s="29"/>
      <c r="G13" s="37" t="s">
        <v>1444</v>
      </c>
      <c r="H13" s="29" t="s">
        <v>4034</v>
      </c>
      <c r="I13" s="636"/>
      <c r="J13" s="633" t="str">
        <f>IF(ISBLANK(HLOOKUP(CaseName,CaseData,MATCH($G13,cases!$G$3:$G$2464,0),FALSE)),"",HLOOKUP(CaseName,CaseData,MATCH($G13,cases!$G$3:$G$2464,0),FALSE))</f>
        <v/>
      </c>
      <c r="K13" s="352">
        <f>L14*L19*L29</f>
        <v>18572050000</v>
      </c>
      <c r="L13" s="634">
        <f t="shared" si="0"/>
        <v>18572050000</v>
      </c>
      <c r="M13" s="36" t="s">
        <v>1496</v>
      </c>
      <c r="N13" s="29"/>
      <c r="O13" s="36"/>
    </row>
    <row r="14" spans="1:15" ht="12.75" customHeight="1" x14ac:dyDescent="0.3">
      <c r="A14" s="36"/>
      <c r="B14" s="95" t="s">
        <v>1356</v>
      </c>
      <c r="C14" s="29"/>
      <c r="D14" s="29"/>
      <c r="E14" s="29"/>
      <c r="F14" s="29"/>
      <c r="G14" s="37" t="s">
        <v>1397</v>
      </c>
      <c r="H14" s="29" t="s">
        <v>4035</v>
      </c>
      <c r="I14" s="636"/>
      <c r="J14" s="633" t="str">
        <f>IF(ISBLANK(HLOOKUP(CaseName,CaseData,MATCH($G14,cases!$G$3:$G$2464,0),FALSE)),"",HLOOKUP(CaseName,CaseData,MATCH($G14,cases!$G$3:$G$2464,0),FALSE))</f>
        <v/>
      </c>
      <c r="K14" s="352">
        <f>(AREAland.C+AREAsea.C)/1000000</f>
        <v>7428820</v>
      </c>
      <c r="L14" s="634">
        <f>IF(ISBLANK(I14),IF(ISNUMBER(J14)=FALSE,K14*1000000,J14*1000000),I14*1000000)</f>
        <v>7428820000000</v>
      </c>
      <c r="M14" s="36" t="s">
        <v>1492</v>
      </c>
      <c r="N14" s="29"/>
      <c r="O14" s="36"/>
    </row>
    <row r="15" spans="1:15" ht="12.75" customHeight="1" x14ac:dyDescent="0.3">
      <c r="A15" s="36"/>
      <c r="B15" s="36" t="s">
        <v>284</v>
      </c>
      <c r="C15" s="29"/>
      <c r="D15" s="29"/>
      <c r="E15" s="29"/>
      <c r="F15" s="29"/>
      <c r="G15" s="94" t="s">
        <v>328</v>
      </c>
      <c r="H15" s="36" t="s">
        <v>36</v>
      </c>
      <c r="I15" s="636"/>
      <c r="J15" s="633" t="str">
        <f>IF(ISBLANK(HLOOKUP(CaseName,CaseData,MATCH($G15,cases!$G$3:$G$2464,0),FALSE)),"",HLOOKUP(CaseName,CaseData,MATCH($G15,cases!$G$3:$G$2464,0),FALSE))</f>
        <v/>
      </c>
      <c r="K15" s="352">
        <f>AREAland.C*FRAClake.C/L14</f>
        <v>1.25E-3</v>
      </c>
      <c r="L15" s="634">
        <f>IF(ISBLANK(I15),IF(ISNUMBER(J15)=FALSE,K15,J15),I15)</f>
        <v>1.25E-3</v>
      </c>
      <c r="M15" s="29" t="s">
        <v>486</v>
      </c>
      <c r="N15" s="29"/>
      <c r="O15" s="36"/>
    </row>
    <row r="16" spans="1:15" ht="12.75" customHeight="1" x14ac:dyDescent="0.3">
      <c r="A16" s="36"/>
      <c r="B16" s="36" t="s">
        <v>1091</v>
      </c>
      <c r="C16" s="29"/>
      <c r="D16" s="29"/>
      <c r="E16" s="29"/>
      <c r="F16" s="29"/>
      <c r="G16" s="94" t="s">
        <v>1447</v>
      </c>
      <c r="H16" s="29" t="s">
        <v>36</v>
      </c>
      <c r="I16" s="636"/>
      <c r="J16" s="633" t="str">
        <f>IF(ISBLANK(HLOOKUP(CaseName,CaseData,MATCH($G16,cases!$G$3:$G$2464,0),FALSE)),"",HLOOKUP(CaseName,CaseData,MATCH($G16,cases!$G$3:$G$2464,0),FALSE))</f>
        <v/>
      </c>
      <c r="K16" s="352">
        <f>AREAland.C*FRACfresh.C/L14</f>
        <v>1.375E-2</v>
      </c>
      <c r="L16" s="634">
        <f t="shared" si="0"/>
        <v>1.375E-2</v>
      </c>
      <c r="M16" s="29" t="s">
        <v>486</v>
      </c>
      <c r="N16" s="29"/>
      <c r="O16" s="36"/>
    </row>
    <row r="17" spans="1:15" ht="12.75" customHeight="1" x14ac:dyDescent="0.3">
      <c r="A17" s="36"/>
      <c r="B17" s="36" t="s">
        <v>1093</v>
      </c>
      <c r="C17" s="29"/>
      <c r="D17" s="29"/>
      <c r="E17" s="29"/>
      <c r="F17" s="29"/>
      <c r="G17" s="94" t="s">
        <v>1449</v>
      </c>
      <c r="H17" s="29" t="s">
        <v>36</v>
      </c>
      <c r="I17" s="636"/>
      <c r="J17" s="633" t="str">
        <f>IF(ISBLANK(HLOOKUP(CaseName,CaseData,MATCH($G17,cases!$G$3:$G$2464,0),FALSE)),"",HLOOKUP(CaseName,CaseData,MATCH($G17,cases!$G$3:$G$2464,0),FALSE))</f>
        <v/>
      </c>
      <c r="K17" s="352">
        <f>AREAland.C*FRACnatsoil.C/L14</f>
        <v>0.13500000000000001</v>
      </c>
      <c r="L17" s="634">
        <f t="shared" si="0"/>
        <v>0.13500000000000001</v>
      </c>
      <c r="M17" s="29" t="s">
        <v>486</v>
      </c>
      <c r="N17" s="29"/>
      <c r="O17" s="36"/>
    </row>
    <row r="18" spans="1:15" ht="12.75" customHeight="1" x14ac:dyDescent="0.3">
      <c r="A18" s="36"/>
      <c r="B18" s="36" t="s">
        <v>886</v>
      </c>
      <c r="C18" s="29"/>
      <c r="D18" s="29"/>
      <c r="E18" s="29"/>
      <c r="F18" s="29"/>
      <c r="G18" s="94" t="s">
        <v>1297</v>
      </c>
      <c r="H18" s="29" t="s">
        <v>36</v>
      </c>
      <c r="I18" s="636"/>
      <c r="J18" s="633" t="str">
        <f>IF(ISBLANK(HLOOKUP(CaseName,CaseData,MATCH($G18,cases!$G$3:$G$2464,0),FALSE)),"",HLOOKUP(CaseName,CaseData,MATCH($G18,cases!$G$3:$G$2464,0),FALSE))</f>
        <v/>
      </c>
      <c r="K18" s="352">
        <f>AREAland.C*FRACagsoil.C/L14</f>
        <v>0.3</v>
      </c>
      <c r="L18" s="634">
        <f t="shared" si="0"/>
        <v>0.3</v>
      </c>
      <c r="M18" s="29" t="s">
        <v>486</v>
      </c>
      <c r="N18" s="29"/>
      <c r="O18" s="36"/>
    </row>
    <row r="19" spans="1:15" ht="12.75" customHeight="1" x14ac:dyDescent="0.3">
      <c r="A19" s="36"/>
      <c r="B19" s="36" t="s">
        <v>887</v>
      </c>
      <c r="C19" s="29"/>
      <c r="D19" s="29"/>
      <c r="E19" s="29"/>
      <c r="F19" s="29"/>
      <c r="G19" s="94" t="s">
        <v>850</v>
      </c>
      <c r="H19" s="29" t="s">
        <v>36</v>
      </c>
      <c r="I19" s="636"/>
      <c r="J19" s="633" t="str">
        <f>IF(ISBLANK(HLOOKUP(CaseName,CaseData,MATCH($G19,cases!$G$3:$G$2464,0),FALSE)),"",HLOOKUP(CaseName,CaseData,MATCH($G19,cases!$G$3:$G$2464,0),FALSE))</f>
        <v/>
      </c>
      <c r="K19" s="352">
        <f>AREAland.C*FRACothersoil.C/L14</f>
        <v>0.05</v>
      </c>
      <c r="L19" s="634">
        <f t="shared" si="0"/>
        <v>0.05</v>
      </c>
      <c r="M19" s="29" t="s">
        <v>486</v>
      </c>
      <c r="N19" s="29"/>
      <c r="O19" s="36"/>
    </row>
    <row r="20" spans="1:15" ht="12.75" customHeight="1" x14ac:dyDescent="0.3">
      <c r="A20" s="36"/>
      <c r="B20" s="36" t="s">
        <v>1092</v>
      </c>
      <c r="C20" s="29"/>
      <c r="D20" s="29"/>
      <c r="E20" s="29"/>
      <c r="F20" s="29"/>
      <c r="G20" s="94" t="s">
        <v>1448</v>
      </c>
      <c r="H20" s="29" t="s">
        <v>36</v>
      </c>
      <c r="I20" s="636"/>
      <c r="J20" s="633" t="str">
        <f>IF(ISBLANK(HLOOKUP(CaseName,CaseData,MATCH($G20,cases!$G$3:$G$2464,0),FALSE)),"",HLOOKUP(CaseName,CaseData,MATCH($G20,cases!$G$3:$G$2464,0),FALSE))</f>
        <v/>
      </c>
      <c r="K20" s="352">
        <f>1-L15-L16-L17-L18-L19</f>
        <v>0.5</v>
      </c>
      <c r="L20" s="634">
        <f t="shared" si="0"/>
        <v>0.5</v>
      </c>
      <c r="M20" s="29" t="s">
        <v>486</v>
      </c>
      <c r="N20" s="29"/>
      <c r="O20" s="36"/>
    </row>
    <row r="21" spans="1:15" ht="12.75" customHeight="1" x14ac:dyDescent="0.3">
      <c r="A21" s="36"/>
      <c r="B21" s="29"/>
      <c r="C21" s="36" t="s">
        <v>767</v>
      </c>
      <c r="D21" s="95"/>
      <c r="E21" s="95"/>
      <c r="F21" s="29"/>
      <c r="G21" s="94" t="s">
        <v>111</v>
      </c>
      <c r="H21" s="29" t="s">
        <v>719</v>
      </c>
      <c r="I21" s="636"/>
      <c r="J21" s="633" t="str">
        <f>IF(ISBLANK(HLOOKUP(CaseName,CaseData,MATCH($G21,cases!$G$3:$G$2464,0),FALSE)),"",HLOOKUP(CaseName,CaseData,MATCH($G21,cases!$G$3:$G$2464,0),FALSE))</f>
        <v/>
      </c>
      <c r="K21" s="352">
        <v>1000</v>
      </c>
      <c r="L21" s="634">
        <f t="shared" si="0"/>
        <v>1000</v>
      </c>
      <c r="M21" s="36" t="s">
        <v>720</v>
      </c>
      <c r="N21" s="29"/>
      <c r="O21" s="36"/>
    </row>
    <row r="22" spans="1:15" ht="12.75" customHeight="1" x14ac:dyDescent="0.3">
      <c r="A22" s="36"/>
      <c r="B22" s="29"/>
      <c r="C22" s="36" t="s">
        <v>286</v>
      </c>
      <c r="D22" s="95"/>
      <c r="E22" s="95"/>
      <c r="F22" s="29"/>
      <c r="G22" s="94" t="s">
        <v>329</v>
      </c>
      <c r="H22" s="36" t="s">
        <v>719</v>
      </c>
      <c r="I22" s="636"/>
      <c r="J22" s="633" t="str">
        <f>IF(ISBLANK(HLOOKUP(CaseName,CaseData,MATCH($G22,cases!$G$3:$G$2464,0),FALSE)),"",HLOOKUP(CaseName,CaseData,MATCH($G22,cases!$G$3:$G$2464,0),FALSE))</f>
        <v/>
      </c>
      <c r="K22" s="352">
        <f>DEPTHlake.C</f>
        <v>100</v>
      </c>
      <c r="L22" s="634">
        <f>IF(ISBLANK(I22),IF(ISNUMBER(J22)=FALSE,K22,J22),I22)</f>
        <v>100</v>
      </c>
      <c r="M22" s="36" t="s">
        <v>720</v>
      </c>
      <c r="N22" s="29"/>
      <c r="O22" s="36"/>
    </row>
    <row r="23" spans="1:15" ht="12.75" customHeight="1" x14ac:dyDescent="0.3">
      <c r="A23" s="36"/>
      <c r="B23" s="29"/>
      <c r="C23" s="36" t="s">
        <v>768</v>
      </c>
      <c r="D23" s="95"/>
      <c r="E23" s="95"/>
      <c r="F23" s="29"/>
      <c r="G23" s="94" t="s">
        <v>112</v>
      </c>
      <c r="H23" s="29" t="s">
        <v>719</v>
      </c>
      <c r="I23" s="636"/>
      <c r="J23" s="633" t="str">
        <f>IF(ISBLANK(HLOOKUP(CaseName,CaseData,MATCH($G23,cases!$G$3:$G$2464,0),FALSE)),"",HLOOKUP(CaseName,CaseData,MATCH($G23,cases!$G$3:$G$2464,0),FALSE))</f>
        <v/>
      </c>
      <c r="K23" s="352">
        <f>DEPTHfreshwater.C</f>
        <v>3</v>
      </c>
      <c r="L23" s="634">
        <f t="shared" si="0"/>
        <v>3</v>
      </c>
      <c r="M23" s="36" t="s">
        <v>720</v>
      </c>
      <c r="N23" s="29"/>
      <c r="O23" s="36"/>
    </row>
    <row r="24" spans="1:15" ht="12.75" customHeight="1" x14ac:dyDescent="0.3">
      <c r="A24" s="36"/>
      <c r="B24" s="29"/>
      <c r="C24" s="36" t="s">
        <v>769</v>
      </c>
      <c r="D24" s="95"/>
      <c r="E24" s="95"/>
      <c r="F24" s="29"/>
      <c r="G24" s="94" t="s">
        <v>469</v>
      </c>
      <c r="H24" s="29" t="s">
        <v>719</v>
      </c>
      <c r="I24" s="636"/>
      <c r="J24" s="633" t="str">
        <f>IF(ISBLANK(HLOOKUP(CaseName,CaseData,MATCH($G24,cases!$G$3:$G$2464,0),FALSE)),"",HLOOKUP(CaseName,CaseData,MATCH($G24,cases!$G$3:$G$2464,0),FALSE))</f>
        <v/>
      </c>
      <c r="K24" s="352">
        <v>200</v>
      </c>
      <c r="L24" s="634">
        <f t="shared" si="0"/>
        <v>200</v>
      </c>
      <c r="M24" s="36" t="s">
        <v>720</v>
      </c>
      <c r="N24" s="29"/>
      <c r="O24" s="36"/>
    </row>
    <row r="25" spans="1:15" ht="12.75" customHeight="1" x14ac:dyDescent="0.3">
      <c r="A25" s="36"/>
      <c r="B25" s="29"/>
      <c r="C25" s="36" t="s">
        <v>770</v>
      </c>
      <c r="D25" s="95"/>
      <c r="E25" s="95"/>
      <c r="F25" s="29"/>
      <c r="G25" s="94" t="s">
        <v>470</v>
      </c>
      <c r="H25" s="29" t="s">
        <v>721</v>
      </c>
      <c r="I25" s="636"/>
      <c r="J25" s="633" t="str">
        <f>IF(ISBLANK(HLOOKUP(CaseName,CaseData,MATCH($G25,cases!$G$3:$G$2464,0),FALSE)),"",HLOOKUP(CaseName,CaseData,MATCH($G25,cases!$G$3:$G$2464,0),FALSE))</f>
        <v/>
      </c>
      <c r="K25" s="352">
        <v>3</v>
      </c>
      <c r="L25" s="634">
        <f>IF(ISBLANK(I25),IF(ISNUMBER(J25)=FALSE,K25/100,J25/100),I25/100)</f>
        <v>0.03</v>
      </c>
      <c r="M25" s="29" t="s">
        <v>720</v>
      </c>
      <c r="N25" s="29"/>
      <c r="O25" s="36"/>
    </row>
    <row r="26" spans="1:15" ht="12.75" customHeight="1" x14ac:dyDescent="0.3">
      <c r="A26" s="36"/>
      <c r="B26" s="29"/>
      <c r="C26" s="36" t="s">
        <v>576</v>
      </c>
      <c r="D26" s="95"/>
      <c r="E26" s="95"/>
      <c r="F26" s="29"/>
      <c r="G26" s="94" t="s">
        <v>471</v>
      </c>
      <c r="H26" s="29" t="s">
        <v>721</v>
      </c>
      <c r="I26" s="636"/>
      <c r="J26" s="633" t="str">
        <f>IF(ISBLANK(HLOOKUP(CaseName,CaseData,MATCH($G26,cases!$G$3:$G$2464,0),FALSE)),"",HLOOKUP(CaseName,CaseData,MATCH($G26,cases!$G$3:$G$2464,0),FALSE))</f>
        <v/>
      </c>
      <c r="K26" s="352">
        <v>3</v>
      </c>
      <c r="L26" s="634">
        <f>IF(ISBLANK(I26),IF(ISNUMBER(J26)=FALSE,K26/100,J26/100),I26/100)</f>
        <v>0.03</v>
      </c>
      <c r="M26" s="29" t="s">
        <v>720</v>
      </c>
      <c r="N26" s="29"/>
      <c r="O26" s="36"/>
    </row>
    <row r="27" spans="1:15" ht="12.75" customHeight="1" x14ac:dyDescent="0.3">
      <c r="A27" s="36"/>
      <c r="B27" s="29"/>
      <c r="C27" s="36" t="s">
        <v>3963</v>
      </c>
      <c r="D27" s="95"/>
      <c r="E27" s="95"/>
      <c r="F27" s="29"/>
      <c r="G27" s="94" t="s">
        <v>1355</v>
      </c>
      <c r="H27" s="29" t="s">
        <v>719</v>
      </c>
      <c r="I27" s="632"/>
      <c r="J27" s="633" t="str">
        <f>IF(ISBLANK(HLOOKUP(CaseName,CaseData,MATCH($G27,cases!$G$3:$G$2464,0),FALSE)),"",HLOOKUP(CaseName,CaseData,MATCH($G27,cases!$G$3:$G$2464,0),FALSE))</f>
        <v/>
      </c>
      <c r="K27" s="352">
        <v>0.05</v>
      </c>
      <c r="L27" s="634">
        <f t="shared" si="0"/>
        <v>0.05</v>
      </c>
      <c r="M27" s="29" t="s">
        <v>720</v>
      </c>
      <c r="N27" s="29"/>
      <c r="O27" s="36"/>
    </row>
    <row r="28" spans="1:15" ht="12.75" customHeight="1" x14ac:dyDescent="0.3">
      <c r="A28" s="36"/>
      <c r="B28" s="29"/>
      <c r="C28" s="36" t="s">
        <v>3982</v>
      </c>
      <c r="D28" s="95"/>
      <c r="E28" s="95"/>
      <c r="F28" s="29"/>
      <c r="G28" s="94" t="s">
        <v>472</v>
      </c>
      <c r="H28" s="29" t="s">
        <v>719</v>
      </c>
      <c r="I28" s="632"/>
      <c r="J28" s="633" t="str">
        <f>IF(ISBLANK(HLOOKUP(CaseName,CaseData,MATCH($G28,cases!$G$3:$G$2464,0),FALSE)),"",HLOOKUP(CaseName,CaseData,MATCH($G28,cases!$G$3:$G$2464,0),FALSE))</f>
        <v/>
      </c>
      <c r="K28" s="352">
        <v>0.2</v>
      </c>
      <c r="L28" s="634">
        <f t="shared" si="0"/>
        <v>0.2</v>
      </c>
      <c r="M28" s="29" t="s">
        <v>720</v>
      </c>
      <c r="N28" s="29"/>
      <c r="O28" s="36"/>
    </row>
    <row r="29" spans="1:15" ht="12.75" customHeight="1" x14ac:dyDescent="0.3">
      <c r="A29" s="36"/>
      <c r="B29" s="29"/>
      <c r="C29" s="36" t="s">
        <v>3965</v>
      </c>
      <c r="D29" s="95"/>
      <c r="E29" s="95"/>
      <c r="F29" s="29"/>
      <c r="G29" s="94" t="s">
        <v>775</v>
      </c>
      <c r="H29" s="29" t="s">
        <v>719</v>
      </c>
      <c r="I29" s="632"/>
      <c r="J29" s="633" t="str">
        <f>IF(ISBLANK(HLOOKUP(CaseName,CaseData,MATCH($G29,cases!$G$3:$G$2464,0),FALSE)),"",HLOOKUP(CaseName,CaseData,MATCH($G29,cases!$G$3:$G$2464,0),FALSE))</f>
        <v/>
      </c>
      <c r="K29" s="352">
        <v>0.05</v>
      </c>
      <c r="L29" s="634">
        <f t="shared" si="0"/>
        <v>0.05</v>
      </c>
      <c r="M29" s="29" t="s">
        <v>720</v>
      </c>
      <c r="N29" s="29"/>
      <c r="O29" s="36"/>
    </row>
    <row r="30" spans="1:15" ht="12.75" customHeight="1" x14ac:dyDescent="0.3">
      <c r="A30" s="29"/>
      <c r="B30" s="29"/>
      <c r="C30" s="29" t="s">
        <v>216</v>
      </c>
      <c r="D30" s="29"/>
      <c r="E30" s="29"/>
      <c r="F30" s="29"/>
      <c r="G30" s="36" t="s">
        <v>3983</v>
      </c>
      <c r="H30" s="36" t="s">
        <v>722</v>
      </c>
      <c r="I30" s="636"/>
      <c r="J30" s="633" t="str">
        <f>IF(ISBLANK(HLOOKUP(CaseName,CaseData,MATCH($G30,cases!$G$3:$G$2464,0),FALSE)),"",HLOOKUP(CaseName,CaseData,MATCH($G30,cases!$G$3:$G$2464,0),FALSE))</f>
        <v/>
      </c>
      <c r="K30" s="352">
        <v>1.9999999999999999E-11</v>
      </c>
      <c r="L30" s="634">
        <f t="shared" si="0"/>
        <v>1.9999999999999999E-11</v>
      </c>
      <c r="M30" s="36" t="s">
        <v>486</v>
      </c>
      <c r="N30" s="29" t="s">
        <v>2183</v>
      </c>
      <c r="O30" s="36"/>
    </row>
    <row r="31" spans="1:15" ht="12.75" customHeight="1" x14ac:dyDescent="0.3">
      <c r="A31" s="29"/>
      <c r="B31" s="29"/>
      <c r="C31" s="29" t="s">
        <v>217</v>
      </c>
      <c r="D31" s="29"/>
      <c r="E31" s="29"/>
      <c r="F31" s="29"/>
      <c r="G31" s="36" t="s">
        <v>3984</v>
      </c>
      <c r="H31" s="36" t="s">
        <v>722</v>
      </c>
      <c r="I31" s="636"/>
      <c r="J31" s="633" t="str">
        <f>IF(ISBLANK(HLOOKUP(CaseName,CaseData,MATCH($G31,cases!$G$3:$G$2464,0),FALSE)),"",HLOOKUP(CaseName,CaseData,MATCH($G31,cases!$G$3:$G$2464,0),FALSE))</f>
        <v/>
      </c>
      <c r="K31" s="352">
        <v>1.9999999999999999E-11</v>
      </c>
      <c r="L31" s="634">
        <f t="shared" si="0"/>
        <v>1.9999999999999999E-11</v>
      </c>
      <c r="M31" s="36" t="s">
        <v>486</v>
      </c>
      <c r="N31" s="29" t="s">
        <v>2183</v>
      </c>
      <c r="O31" s="36"/>
    </row>
    <row r="32" spans="1:15" ht="12.75" customHeight="1" x14ac:dyDescent="0.3">
      <c r="A32" s="36"/>
      <c r="B32" s="29"/>
      <c r="C32" s="36" t="s">
        <v>536</v>
      </c>
      <c r="D32" s="95"/>
      <c r="E32" s="95"/>
      <c r="F32" s="29"/>
      <c r="G32" s="94" t="s">
        <v>43</v>
      </c>
      <c r="H32" s="29" t="s">
        <v>722</v>
      </c>
      <c r="I32" s="636"/>
      <c r="J32" s="633" t="str">
        <f>IF(ISBLANK(HLOOKUP(CaseName,CaseData,MATCH($G32,cases!$G$3:$G$2464,0),FALSE)),"",HLOOKUP(CaseName,CaseData,MATCH($G32,cases!$G$3:$G$2464,0),FALSE))</f>
        <v/>
      </c>
      <c r="K32" s="352">
        <v>0.2</v>
      </c>
      <c r="L32" s="634">
        <f t="shared" si="0"/>
        <v>0.2</v>
      </c>
      <c r="M32" s="36" t="s">
        <v>486</v>
      </c>
      <c r="N32" s="29"/>
      <c r="O32" s="36"/>
    </row>
    <row r="33" spans="1:15" ht="12.75" customHeight="1" x14ac:dyDescent="0.3">
      <c r="A33" s="36"/>
      <c r="B33" s="29"/>
      <c r="C33" s="36" t="s">
        <v>418</v>
      </c>
      <c r="D33" s="95"/>
      <c r="E33" s="95"/>
      <c r="F33" s="29"/>
      <c r="G33" s="94" t="s">
        <v>441</v>
      </c>
      <c r="H33" s="29" t="s">
        <v>722</v>
      </c>
      <c r="I33" s="636"/>
      <c r="J33" s="633" t="str">
        <f>IF(ISBLANK(HLOOKUP(CaseName,CaseData,MATCH($G33,cases!$G$3:$G$2464,0),FALSE)),"",HLOOKUP(CaseName,CaseData,MATCH($G33,cases!$G$3:$G$2464,0),FALSE))</f>
        <v/>
      </c>
      <c r="K33" s="352">
        <v>0.2</v>
      </c>
      <c r="L33" s="634">
        <f t="shared" si="0"/>
        <v>0.2</v>
      </c>
      <c r="M33" s="36" t="s">
        <v>486</v>
      </c>
      <c r="N33" s="29"/>
      <c r="O33" s="36"/>
    </row>
    <row r="34" spans="1:15" ht="12.75" customHeight="1" x14ac:dyDescent="0.3">
      <c r="A34" s="36"/>
      <c r="B34" s="29"/>
      <c r="C34" s="36" t="s">
        <v>794</v>
      </c>
      <c r="D34" s="95"/>
      <c r="E34" s="95"/>
      <c r="F34" s="29"/>
      <c r="G34" s="94" t="s">
        <v>442</v>
      </c>
      <c r="H34" s="29" t="s">
        <v>722</v>
      </c>
      <c r="I34" s="636"/>
      <c r="J34" s="633" t="str">
        <f>IF(ISBLANK(HLOOKUP(CaseName,CaseData,MATCH($G34,cases!$G$3:$G$2464,0),FALSE)),"",HLOOKUP(CaseName,CaseData,MATCH($G34,cases!$G$3:$G$2464,0),FALSE))</f>
        <v/>
      </c>
      <c r="K34" s="352">
        <f>1-L32-L33</f>
        <v>0.60000000000000009</v>
      </c>
      <c r="L34" s="634">
        <f t="shared" si="0"/>
        <v>0.60000000000000009</v>
      </c>
      <c r="M34" s="36" t="s">
        <v>486</v>
      </c>
      <c r="N34" s="29"/>
      <c r="O34" s="36"/>
    </row>
    <row r="35" spans="1:15" ht="12.75" customHeight="1" x14ac:dyDescent="0.3">
      <c r="A35" s="36"/>
      <c r="B35" s="29"/>
      <c r="C35" s="36" t="s">
        <v>795</v>
      </c>
      <c r="D35" s="95"/>
      <c r="E35" s="95"/>
      <c r="F35" s="29"/>
      <c r="G35" s="94" t="s">
        <v>443</v>
      </c>
      <c r="H35" s="29" t="s">
        <v>722</v>
      </c>
      <c r="I35" s="636"/>
      <c r="J35" s="633" t="str">
        <f>IF(ISBLANK(HLOOKUP(CaseName,CaseData,MATCH($G35,cases!$G$3:$G$2464,0),FALSE)),"",HLOOKUP(CaseName,CaseData,MATCH($G35,cases!$G$3:$G$2464,0),FALSE))</f>
        <v/>
      </c>
      <c r="K35" s="352">
        <v>0.2</v>
      </c>
      <c r="L35" s="634">
        <f t="shared" si="0"/>
        <v>0.2</v>
      </c>
      <c r="M35" s="36" t="s">
        <v>486</v>
      </c>
      <c r="N35" s="29"/>
      <c r="O35" s="36"/>
    </row>
    <row r="36" spans="1:15" ht="12.75" customHeight="1" x14ac:dyDescent="0.3">
      <c r="A36" s="36"/>
      <c r="B36" s="29"/>
      <c r="C36" s="36" t="s">
        <v>534</v>
      </c>
      <c r="D36" s="95"/>
      <c r="E36" s="95"/>
      <c r="F36" s="29"/>
      <c r="G36" s="94" t="s">
        <v>198</v>
      </c>
      <c r="H36" s="29" t="s">
        <v>722</v>
      </c>
      <c r="I36" s="636"/>
      <c r="J36" s="633" t="str">
        <f>IF(ISBLANK(HLOOKUP(CaseName,CaseData,MATCH($G36,cases!$G$3:$G$2464,0),FALSE)),"",HLOOKUP(CaseName,CaseData,MATCH($G36,cases!$G$3:$G$2464,0),FALSE))</f>
        <v/>
      </c>
      <c r="K36" s="352">
        <v>0.2</v>
      </c>
      <c r="L36" s="634">
        <f t="shared" si="0"/>
        <v>0.2</v>
      </c>
      <c r="M36" s="36" t="s">
        <v>486</v>
      </c>
      <c r="N36" s="29"/>
      <c r="O36" s="36"/>
    </row>
    <row r="37" spans="1:15" ht="12.75" customHeight="1" x14ac:dyDescent="0.3">
      <c r="A37" s="36"/>
      <c r="B37" s="29"/>
      <c r="C37" s="36" t="s">
        <v>535</v>
      </c>
      <c r="D37" s="95"/>
      <c r="E37" s="95"/>
      <c r="F37" s="29"/>
      <c r="G37" s="94" t="s">
        <v>199</v>
      </c>
      <c r="H37" s="29" t="s">
        <v>722</v>
      </c>
      <c r="I37" s="636"/>
      <c r="J37" s="633" t="str">
        <f>IF(ISBLANK(HLOOKUP(CaseName,CaseData,MATCH($G37,cases!$G$3:$G$2464,0),FALSE)),"",HLOOKUP(CaseName,CaseData,MATCH($G37,cases!$G$3:$G$2464,0),FALSE))</f>
        <v/>
      </c>
      <c r="K37" s="352">
        <f>1-L35-L36</f>
        <v>0.60000000000000009</v>
      </c>
      <c r="L37" s="634">
        <f t="shared" si="0"/>
        <v>0.60000000000000009</v>
      </c>
      <c r="M37" s="36" t="s">
        <v>486</v>
      </c>
      <c r="N37" s="29"/>
      <c r="O37" s="36"/>
    </row>
    <row r="38" spans="1:15" ht="12.75" customHeight="1" x14ac:dyDescent="0.3">
      <c r="A38" s="36"/>
      <c r="B38" s="29"/>
      <c r="C38" s="36" t="s">
        <v>1357</v>
      </c>
      <c r="D38" s="95"/>
      <c r="E38" s="95"/>
      <c r="F38" s="29"/>
      <c r="G38" s="94" t="s">
        <v>38</v>
      </c>
      <c r="H38" s="29" t="s">
        <v>722</v>
      </c>
      <c r="I38" s="636"/>
      <c r="J38" s="633" t="str">
        <f>IF(ISBLANK(HLOOKUP(CaseName,CaseData,MATCH($G38,cases!$G$3:$G$2464,0),FALSE)),"",HLOOKUP(CaseName,CaseData,MATCH($G38,cases!$G$3:$G$2464,0),FALSE))</f>
        <v/>
      </c>
      <c r="K38" s="352">
        <v>0.2</v>
      </c>
      <c r="L38" s="634">
        <f t="shared" si="0"/>
        <v>0.2</v>
      </c>
      <c r="M38" s="36" t="s">
        <v>486</v>
      </c>
      <c r="N38" s="29"/>
      <c r="O38" s="36"/>
    </row>
    <row r="39" spans="1:15" ht="12.75" customHeight="1" x14ac:dyDescent="0.3">
      <c r="A39" s="36"/>
      <c r="B39" s="29"/>
      <c r="C39" s="36" t="s">
        <v>537</v>
      </c>
      <c r="D39" s="95"/>
      <c r="E39" s="95"/>
      <c r="F39" s="29"/>
      <c r="G39" s="94" t="s">
        <v>39</v>
      </c>
      <c r="H39" s="29" t="s">
        <v>722</v>
      </c>
      <c r="I39" s="636"/>
      <c r="J39" s="633" t="str">
        <f>IF(ISBLANK(HLOOKUP(CaseName,CaseData,MATCH($G39,cases!$G$3:$G$2464,0),FALSE)),"",HLOOKUP(CaseName,CaseData,MATCH($G39,cases!$G$3:$G$2464,0),FALSE))</f>
        <v/>
      </c>
      <c r="K39" s="352">
        <v>0.2</v>
      </c>
      <c r="L39" s="634">
        <f t="shared" si="0"/>
        <v>0.2</v>
      </c>
      <c r="M39" s="36" t="s">
        <v>486</v>
      </c>
      <c r="N39" s="29"/>
      <c r="O39" s="36"/>
    </row>
    <row r="40" spans="1:15" ht="12.75" customHeight="1" x14ac:dyDescent="0.3">
      <c r="A40" s="36"/>
      <c r="B40" s="29"/>
      <c r="C40" s="36" t="s">
        <v>15</v>
      </c>
      <c r="D40" s="95"/>
      <c r="E40" s="95"/>
      <c r="F40" s="29"/>
      <c r="G40" s="94" t="s">
        <v>40</v>
      </c>
      <c r="H40" s="29" t="s">
        <v>722</v>
      </c>
      <c r="I40" s="636"/>
      <c r="J40" s="633" t="str">
        <f>IF(ISBLANK(HLOOKUP(CaseName,CaseData,MATCH($G40,cases!$G$3:$G$2464,0),FALSE)),"",HLOOKUP(CaseName,CaseData,MATCH($G40,cases!$G$3:$G$2464,0),FALSE))</f>
        <v/>
      </c>
      <c r="K40" s="352">
        <f>1-L38-L39</f>
        <v>0.60000000000000009</v>
      </c>
      <c r="L40" s="634">
        <f t="shared" si="0"/>
        <v>0.60000000000000009</v>
      </c>
      <c r="M40" s="36" t="s">
        <v>486</v>
      </c>
      <c r="N40" s="29"/>
      <c r="O40" s="36"/>
    </row>
    <row r="41" spans="1:15" ht="12.75" customHeight="1" x14ac:dyDescent="0.3">
      <c r="A41" s="36"/>
      <c r="B41" s="29"/>
      <c r="C41" s="36" t="s">
        <v>434</v>
      </c>
      <c r="D41" s="95"/>
      <c r="E41" s="95"/>
      <c r="F41" s="29"/>
      <c r="G41" s="94" t="s">
        <v>41</v>
      </c>
      <c r="H41" s="29" t="s">
        <v>722</v>
      </c>
      <c r="I41" s="636"/>
      <c r="J41" s="633" t="str">
        <f>IF(ISBLANK(HLOOKUP(CaseName,CaseData,MATCH($G41,cases!$G$3:$G$2464,0),FALSE)),"",HLOOKUP(CaseName,CaseData,MATCH($G41,cases!$G$3:$G$2464,0),FALSE))</f>
        <v/>
      </c>
      <c r="K41" s="352">
        <v>0.8</v>
      </c>
      <c r="L41" s="634">
        <f t="shared" si="0"/>
        <v>0.8</v>
      </c>
      <c r="M41" s="36" t="s">
        <v>486</v>
      </c>
      <c r="N41" s="29"/>
      <c r="O41" s="36"/>
    </row>
    <row r="42" spans="1:15" ht="12.75" customHeight="1" x14ac:dyDescent="0.3">
      <c r="A42" s="36"/>
      <c r="B42" s="29"/>
      <c r="C42" s="36" t="s">
        <v>888</v>
      </c>
      <c r="D42" s="95"/>
      <c r="E42" s="95"/>
      <c r="F42" s="29"/>
      <c r="G42" s="94" t="s">
        <v>42</v>
      </c>
      <c r="H42" s="29" t="s">
        <v>722</v>
      </c>
      <c r="I42" s="636"/>
      <c r="J42" s="633" t="str">
        <f>IF(ISBLANK(HLOOKUP(CaseName,CaseData,MATCH($G42,cases!$G$3:$G$2464,0),FALSE)),"",HLOOKUP(CaseName,CaseData,MATCH($G42,cases!$G$3:$G$2464,0),FALSE))</f>
        <v/>
      </c>
      <c r="K42" s="352">
        <f>1-L41</f>
        <v>0.19999999999999996</v>
      </c>
      <c r="L42" s="634">
        <f t="shared" si="0"/>
        <v>0.19999999999999996</v>
      </c>
      <c r="M42" s="36" t="s">
        <v>486</v>
      </c>
      <c r="N42" s="29"/>
      <c r="O42" s="36"/>
    </row>
    <row r="43" spans="1:15" ht="12.75" customHeight="1" x14ac:dyDescent="0.3">
      <c r="A43" s="36"/>
      <c r="B43" s="29"/>
      <c r="C43" s="36"/>
      <c r="D43" s="95"/>
      <c r="E43" s="95"/>
      <c r="F43" s="29"/>
      <c r="G43" s="94"/>
      <c r="H43" s="94"/>
      <c r="I43" s="633"/>
      <c r="J43" s="353"/>
      <c r="K43" s="353"/>
      <c r="L43" s="353"/>
      <c r="M43" s="29"/>
      <c r="N43" s="29"/>
      <c r="O43" s="36"/>
    </row>
    <row r="44" spans="1:15" ht="12.75" customHeight="1" x14ac:dyDescent="0.3">
      <c r="A44" s="36" t="s">
        <v>84</v>
      </c>
      <c r="B44" s="29"/>
      <c r="C44" s="29"/>
      <c r="D44" s="29"/>
      <c r="E44" s="29"/>
      <c r="F44" s="29"/>
      <c r="G44" s="36" t="s">
        <v>260</v>
      </c>
      <c r="H44" s="36" t="s">
        <v>4036</v>
      </c>
      <c r="I44" s="637"/>
      <c r="J44" s="633" t="str">
        <f>IF(ISBLANK(HLOOKUP(CaseName,CaseData,MATCH($G44,cases!$G$3:$G$2464,0),FALSE)),"",HLOOKUP(CaseName,CaseData,MATCH($G44,cases!$G$3:$G$2464,0),FALSE))</f>
        <v/>
      </c>
      <c r="K44" s="345">
        <f>k.aR.aC*VOLUME.aR/L5</f>
        <v>2.9110708951640401E-7</v>
      </c>
      <c r="L44" s="634">
        <f t="shared" ref="L44:L61" si="1">IF(ISBLANK(I44),IF(ISNUMBER(J44)=FALSE,K44,J44),I44)</f>
        <v>2.9110708951640401E-7</v>
      </c>
      <c r="M44" s="29" t="s">
        <v>1488</v>
      </c>
      <c r="N44" s="29"/>
      <c r="O44" s="36"/>
    </row>
    <row r="45" spans="1:15" ht="12.75" customHeight="1" x14ac:dyDescent="0.3">
      <c r="A45" s="36" t="s">
        <v>83</v>
      </c>
      <c r="B45" s="29"/>
      <c r="C45" s="29"/>
      <c r="D45" s="29"/>
      <c r="E45" s="29"/>
      <c r="F45" s="29"/>
      <c r="G45" s="36" t="s">
        <v>259</v>
      </c>
      <c r="H45" s="36" t="s">
        <v>4036</v>
      </c>
      <c r="I45" s="637"/>
      <c r="J45" s="633" t="str">
        <f>IF(ISBLANK(HLOOKUP(CaseName,CaseData,MATCH($G45,cases!$G$3:$G$2464,0),FALSE)),"",HLOOKUP(CaseName,CaseData,MATCH($G45,cases!$G$3:$G$2464,0),FALSE))</f>
        <v/>
      </c>
      <c r="K45" s="345">
        <f>1/L46-L44</f>
        <v>1.3648730842080118E-6</v>
      </c>
      <c r="L45" s="634">
        <f t="shared" si="1"/>
        <v>1.3648730842080118E-6</v>
      </c>
      <c r="M45" s="29" t="s">
        <v>1488</v>
      </c>
      <c r="N45" s="29"/>
      <c r="O45" s="36"/>
    </row>
    <row r="46" spans="1:15" ht="12.75" customHeight="1" x14ac:dyDescent="0.3">
      <c r="A46" s="36"/>
      <c r="B46" s="36" t="s">
        <v>1290</v>
      </c>
      <c r="C46" s="29"/>
      <c r="D46" s="29"/>
      <c r="E46" s="29"/>
      <c r="F46" s="29"/>
      <c r="G46" s="37" t="s">
        <v>786</v>
      </c>
      <c r="H46" s="29" t="s">
        <v>723</v>
      </c>
      <c r="I46" s="636"/>
      <c r="J46" s="633" t="str">
        <f>IF(ISBLANK(HLOOKUP(CaseName,CaseData,MATCH($G46,cases!$G$3:$G$2464,0),FALSE)),"",HLOOKUP(CaseName,CaseData,MATCH($G46,cases!$G$3:$G$2464,0),FALSE))</f>
        <v/>
      </c>
      <c r="K46" s="352">
        <f>1.5*(0.5*SQRT(L14*PI()/4)/WINDspeed.C)/(3600*24)</f>
        <v>6.9892588436268337</v>
      </c>
      <c r="L46" s="634">
        <f>IF(ISBLANK(I46),IF(ISNUMBER(J46)=FALSE,K46*(3600*24),J46*(3600*24)),I46*(3600*24))</f>
        <v>603871.96408935846</v>
      </c>
      <c r="M46" s="36" t="s">
        <v>115</v>
      </c>
      <c r="N46" s="29"/>
      <c r="O46" s="36"/>
    </row>
    <row r="47" spans="1:15" ht="12.75" customHeight="1" x14ac:dyDescent="0.3">
      <c r="A47" s="36"/>
      <c r="B47" s="29"/>
      <c r="C47" s="36"/>
      <c r="D47" s="95"/>
      <c r="E47" s="95"/>
      <c r="F47" s="29"/>
      <c r="G47" s="94"/>
      <c r="H47" s="94"/>
      <c r="I47" s="633"/>
      <c r="J47" s="353"/>
      <c r="K47" s="353"/>
      <c r="L47" s="353"/>
      <c r="M47" s="29"/>
      <c r="N47" s="29"/>
      <c r="O47" s="36"/>
    </row>
    <row r="48" spans="1:15" ht="12.75" customHeight="1" x14ac:dyDescent="0.3">
      <c r="A48" s="36" t="s">
        <v>339</v>
      </c>
      <c r="B48" s="29"/>
      <c r="C48" s="29"/>
      <c r="D48" s="29"/>
      <c r="E48" s="29"/>
      <c r="F48" s="29"/>
      <c r="G48" s="36" t="s">
        <v>330</v>
      </c>
      <c r="H48" s="36" t="s">
        <v>4036</v>
      </c>
      <c r="I48" s="637"/>
      <c r="J48" s="633" t="str">
        <f>IF(ISBLANK(HLOOKUP(CaseName,CaseData,MATCH($G48,cases!$G$3:$G$2464,0),FALSE)),"",HLOOKUP(CaseName,CaseData,MATCH($G48,cases!$G$3:$G$2464,0),FALSE))</f>
        <v/>
      </c>
      <c r="K48" s="352">
        <f>L53/L6</f>
        <v>2.3972602739726025E-9</v>
      </c>
      <c r="L48" s="634">
        <f>IF(ISBLANK(I48),IF(ISNUMBER(J48)=FALSE,K48,J48),I48)</f>
        <v>2.3972602739726025E-9</v>
      </c>
      <c r="M48" s="29" t="s">
        <v>1488</v>
      </c>
      <c r="N48" s="29"/>
      <c r="O48" s="36"/>
    </row>
    <row r="49" spans="1:15" ht="12.75" customHeight="1" x14ac:dyDescent="0.3">
      <c r="A49" s="36" t="s">
        <v>340</v>
      </c>
      <c r="B49" s="29"/>
      <c r="C49" s="29"/>
      <c r="D49" s="29"/>
      <c r="E49" s="29"/>
      <c r="F49" s="29"/>
      <c r="G49" s="36" t="s">
        <v>331</v>
      </c>
      <c r="H49" s="36" t="s">
        <v>4036</v>
      </c>
      <c r="I49" s="637"/>
      <c r="J49" s="633" t="str">
        <f>IF(ISBLANK(HLOOKUP(CaseName,CaseData,MATCH($G49,cases!$G$3:$G$2464,0),FALSE)),"",HLOOKUP(CaseName,CaseData,MATCH($G49,cases!$G$3:$G$2464,0),FALSE))</f>
        <v/>
      </c>
      <c r="K49" s="352">
        <f>L54/L6</f>
        <v>0</v>
      </c>
      <c r="L49" s="634">
        <f>IF(ISBLANK(I49),IF(ISNUMBER(J49)=FALSE,K49,J49),I49)</f>
        <v>0</v>
      </c>
      <c r="M49" s="29" t="s">
        <v>1488</v>
      </c>
      <c r="N49" s="29"/>
      <c r="O49" s="36"/>
    </row>
    <row r="50" spans="1:15" ht="12.75" customHeight="1" x14ac:dyDescent="0.3">
      <c r="A50" s="36" t="s">
        <v>341</v>
      </c>
      <c r="B50" s="29"/>
      <c r="C50" s="29"/>
      <c r="D50" s="29"/>
      <c r="E50" s="29"/>
      <c r="F50" s="29"/>
      <c r="G50" s="36" t="s">
        <v>332</v>
      </c>
      <c r="H50" s="36" t="s">
        <v>4036</v>
      </c>
      <c r="I50" s="637"/>
      <c r="J50" s="633" t="str">
        <f>IF(ISBLANK(HLOOKUP(CaseName,CaseData,MATCH($G50,cases!$G$3:$G$2464,0),FALSE)),"",HLOOKUP(CaseName,CaseData,MATCH($G50,cases!$G$3:$G$2464,0),FALSE))</f>
        <v/>
      </c>
      <c r="K50" s="352">
        <f>L55/L7</f>
        <v>0</v>
      </c>
      <c r="L50" s="634">
        <f>IF(ISBLANK(I50),IF(ISNUMBER(J50)=FALSE,K50,J50),I50)</f>
        <v>0</v>
      </c>
      <c r="M50" s="29" t="s">
        <v>1488</v>
      </c>
      <c r="N50" s="29"/>
      <c r="O50" s="36"/>
    </row>
    <row r="51" spans="1:15" ht="12.75" customHeight="1" x14ac:dyDescent="0.3">
      <c r="A51" s="36" t="s">
        <v>85</v>
      </c>
      <c r="B51" s="29"/>
      <c r="C51" s="29"/>
      <c r="D51" s="29"/>
      <c r="E51" s="29"/>
      <c r="F51" s="29"/>
      <c r="G51" s="36" t="s">
        <v>261</v>
      </c>
      <c r="H51" s="36" t="s">
        <v>4036</v>
      </c>
      <c r="I51" s="637"/>
      <c r="J51" s="633" t="str">
        <f>IF(ISBLANK(HLOOKUP(CaseName,CaseData,MATCH($G51,cases!$G$3:$G$2464,0),FALSE)),"",HLOOKUP(CaseName,CaseData,MATCH($G51,cases!$G$3:$G$2464,0),FALSE))</f>
        <v/>
      </c>
      <c r="K51" s="352">
        <f>L56/L7</f>
        <v>0</v>
      </c>
      <c r="L51" s="634">
        <f t="shared" si="1"/>
        <v>0</v>
      </c>
      <c r="M51" s="29" t="s">
        <v>1488</v>
      </c>
      <c r="N51" s="29"/>
      <c r="O51" s="36"/>
    </row>
    <row r="52" spans="1:15" ht="12.75" customHeight="1" x14ac:dyDescent="0.3">
      <c r="A52" s="36" t="s">
        <v>86</v>
      </c>
      <c r="B52" s="29"/>
      <c r="C52" s="29"/>
      <c r="D52" s="29"/>
      <c r="E52" s="29"/>
      <c r="F52" s="29"/>
      <c r="G52" s="36" t="s">
        <v>262</v>
      </c>
      <c r="H52" s="36" t="s">
        <v>4036</v>
      </c>
      <c r="I52" s="637"/>
      <c r="J52" s="633" t="str">
        <f>IF(ISBLANK(HLOOKUP(CaseName,CaseData,MATCH($G52,cases!$G$3:$G$2464,0),FALSE)),"",HLOOKUP(CaseName,CaseData,MATCH($G52,cases!$G$3:$G$2464,0),FALSE))</f>
        <v/>
      </c>
      <c r="K52" s="352">
        <f>L57*(1-FRAC.w1C.w1R)/L7</f>
        <v>7.26442507264425E-8</v>
      </c>
      <c r="L52" s="634">
        <f t="shared" si="1"/>
        <v>7.26442507264425E-8</v>
      </c>
      <c r="M52" s="29" t="s">
        <v>1488</v>
      </c>
      <c r="N52" s="29"/>
      <c r="O52" s="36"/>
    </row>
    <row r="53" spans="1:15" ht="12.75" customHeight="1" x14ac:dyDescent="0.3">
      <c r="A53" s="36"/>
      <c r="B53" s="36" t="s">
        <v>336</v>
      </c>
      <c r="C53" s="29"/>
      <c r="D53" s="29"/>
      <c r="E53" s="95"/>
      <c r="F53" s="95"/>
      <c r="G53" s="94" t="s">
        <v>333</v>
      </c>
      <c r="H53" s="36" t="s">
        <v>4037</v>
      </c>
      <c r="I53" s="635"/>
      <c r="J53" s="633" t="str">
        <f>IF(ISBLANK(HLOOKUP(CaseName,CaseData,MATCH($G53,cases!$G$3:$G$2464,0),FALSE)),"",HLOOKUP(CaseName,CaseData,MATCH($G53,cases!$G$3:$G$2464,0),FALSE))</f>
        <v/>
      </c>
      <c r="K53" s="352">
        <f>0.1*L57</f>
        <v>2226.1018835616437</v>
      </c>
      <c r="L53" s="634">
        <f>IF(ISBLANK(I53),IF(ISNUMBER(J53)=FALSE,K53,J53),I53)</f>
        <v>2226.1018835616437</v>
      </c>
      <c r="M53" s="29" t="s">
        <v>4038</v>
      </c>
      <c r="N53" s="29"/>
      <c r="O53" s="36"/>
    </row>
    <row r="54" spans="1:15" ht="12.75" customHeight="1" x14ac:dyDescent="0.3">
      <c r="A54" s="36"/>
      <c r="B54" s="36" t="s">
        <v>337</v>
      </c>
      <c r="C54" s="29"/>
      <c r="D54" s="29"/>
      <c r="E54" s="95"/>
      <c r="F54" s="95"/>
      <c r="G54" s="94" t="s">
        <v>334</v>
      </c>
      <c r="H54" s="36" t="s">
        <v>4037</v>
      </c>
      <c r="I54" s="635"/>
      <c r="J54" s="633" t="str">
        <f>IF(ISBLANK(HLOOKUP(CaseName,CaseData,MATCH($G54,cases!$G$3:$G$2464,0),FALSE)),"",HLOOKUP(CaseName,CaseData,MATCH($G54,cases!$G$3:$G$2464,0),FALSE))</f>
        <v/>
      </c>
      <c r="K54" s="352">
        <v>0</v>
      </c>
      <c r="L54" s="634">
        <f>IF(ISBLANK(I54),IF(ISNUMBER(J54)=FALSE,K54,J54),I54)</f>
        <v>0</v>
      </c>
      <c r="M54" s="29" t="s">
        <v>4038</v>
      </c>
      <c r="N54" s="29"/>
      <c r="O54" s="36"/>
    </row>
    <row r="55" spans="1:15" ht="12.75" customHeight="1" x14ac:dyDescent="0.3">
      <c r="A55" s="36"/>
      <c r="B55" s="36" t="s">
        <v>338</v>
      </c>
      <c r="C55" s="29"/>
      <c r="D55" s="29"/>
      <c r="E55" s="95"/>
      <c r="F55" s="95"/>
      <c r="G55" s="94" t="s">
        <v>335</v>
      </c>
      <c r="H55" s="36" t="s">
        <v>4037</v>
      </c>
      <c r="I55" s="635"/>
      <c r="J55" s="633" t="str">
        <f>IF(ISBLANK(HLOOKUP(CaseName,CaseData,MATCH($G55,cases!$G$3:$G$2464,0),FALSE)),"",HLOOKUP(CaseName,CaseData,MATCH($G55,cases!$G$3:$G$2464,0),FALSE))</f>
        <v/>
      </c>
      <c r="K55" s="352">
        <v>0</v>
      </c>
      <c r="L55" s="634">
        <f>IF(ISBLANK(I55),IF(ISNUMBER(J55)=FALSE,K55,J55),I55)</f>
        <v>0</v>
      </c>
      <c r="M55" s="29" t="s">
        <v>4038</v>
      </c>
      <c r="N55" s="29"/>
      <c r="O55" s="36"/>
    </row>
    <row r="56" spans="1:15" ht="12.75" customHeight="1" x14ac:dyDescent="0.3">
      <c r="A56" s="36"/>
      <c r="B56" s="36" t="s">
        <v>1425</v>
      </c>
      <c r="C56" s="29"/>
      <c r="D56" s="29"/>
      <c r="E56" s="95"/>
      <c r="F56" s="95"/>
      <c r="G56" s="94" t="s">
        <v>1</v>
      </c>
      <c r="H56" s="29" t="s">
        <v>4037</v>
      </c>
      <c r="I56" s="636"/>
      <c r="J56" s="633" t="str">
        <f>IF(ISBLANK(HLOOKUP(CaseName,CaseData,MATCH($G56,cases!$G$3:$G$2464,0),FALSE)),"",HLOOKUP(CaseName,CaseData,MATCH($G56,cases!$G$3:$G$2464,0),FALSE))</f>
        <v/>
      </c>
      <c r="K56" s="352">
        <f>((AREAFRAC.w1C+AREAFRAC.s1C*FRACrun.s1C+AREAFRAC.s2C*FRACrun.s2C+AREAFRAC.s3C*FRACrun.s3C)*RAINrate.C*SYSTEMAREA.C+WATERflow.w0C.w1C)*FRAC.w1C.w1R</f>
        <v>0</v>
      </c>
      <c r="L56" s="634">
        <f t="shared" si="1"/>
        <v>0</v>
      </c>
      <c r="M56" s="29" t="s">
        <v>4038</v>
      </c>
      <c r="N56" s="29"/>
      <c r="O56" s="36"/>
    </row>
    <row r="57" spans="1:15" ht="12.75" customHeight="1" x14ac:dyDescent="0.3">
      <c r="A57" s="36"/>
      <c r="B57" s="36" t="s">
        <v>1426</v>
      </c>
      <c r="C57" s="29"/>
      <c r="D57" s="29"/>
      <c r="E57" s="95"/>
      <c r="F57" s="95"/>
      <c r="G57" s="94" t="s">
        <v>788</v>
      </c>
      <c r="H57" s="29" t="s">
        <v>4037</v>
      </c>
      <c r="I57" s="636"/>
      <c r="J57" s="633" t="str">
        <f>IF(ISBLANK(HLOOKUP(CaseName,CaseData,MATCH($G57,cases!$G$3:$G$2464,0),FALSE)),"",HLOOKUP(CaseName,CaseData,MATCH($G57,cases!$G$3:$G$2464,0),FALSE))</f>
        <v/>
      </c>
      <c r="K57" s="352">
        <f>((L16+L17*L184+L18*L185+L19*L186)*RAINrate.C*L14)*(1-FRAC.w1C.w1R)</f>
        <v>22261.018835616436</v>
      </c>
      <c r="L57" s="634">
        <f t="shared" si="1"/>
        <v>22261.018835616436</v>
      </c>
      <c r="M57" s="29" t="s">
        <v>4038</v>
      </c>
      <c r="N57" s="29"/>
      <c r="O57" s="36"/>
    </row>
    <row r="58" spans="1:15" ht="12.75" customHeight="1" x14ac:dyDescent="0.3">
      <c r="A58" s="36" t="s">
        <v>87</v>
      </c>
      <c r="B58" s="29"/>
      <c r="C58" s="29"/>
      <c r="D58" s="29"/>
      <c r="E58" s="29"/>
      <c r="F58" s="29"/>
      <c r="G58" s="36" t="s">
        <v>263</v>
      </c>
      <c r="H58" s="36" t="s">
        <v>4036</v>
      </c>
      <c r="I58" s="637"/>
      <c r="J58" s="633" t="str">
        <f>IF(ISBLANK(HLOOKUP(CaseName,CaseData,MATCH($G58,cases!$G$3:$G$2464,0),FALSE)),"",HLOOKUP(CaseName,CaseData,MATCH($G58,cases!$G$3:$G$2464,0),FALSE))</f>
        <v/>
      </c>
      <c r="K58" s="352">
        <f>L60/L8</f>
        <v>1.6595758234138329E-11</v>
      </c>
      <c r="L58" s="634">
        <f t="shared" si="1"/>
        <v>1.6595758234138329E-11</v>
      </c>
      <c r="M58" s="29" t="s">
        <v>1488</v>
      </c>
      <c r="N58" s="29"/>
      <c r="O58" s="36"/>
    </row>
    <row r="59" spans="1:15" ht="12.75" customHeight="1" x14ac:dyDescent="0.3">
      <c r="A59" s="36" t="s">
        <v>88</v>
      </c>
      <c r="B59" s="29"/>
      <c r="C59" s="29"/>
      <c r="D59" s="29"/>
      <c r="E59" s="29"/>
      <c r="F59" s="29"/>
      <c r="G59" s="36" t="s">
        <v>1256</v>
      </c>
      <c r="H59" s="36" t="s">
        <v>4036</v>
      </c>
      <c r="I59" s="637"/>
      <c r="J59" s="633" t="str">
        <f>IF(ISBLANK(HLOOKUP(CaseName,CaseData,MATCH($G59,cases!$G$3:$G$2464,0),FALSE)),"",HLOOKUP(CaseName,CaseData,MATCH($G59,cases!$G$3:$G$2464,0),FALSE))</f>
        <v/>
      </c>
      <c r="K59" s="639">
        <f>L61/L8</f>
        <v>3.1691352252393321E-8</v>
      </c>
      <c r="L59" s="634">
        <f t="shared" si="1"/>
        <v>3.1691352252393321E-8</v>
      </c>
      <c r="M59" s="29" t="s">
        <v>1488</v>
      </c>
      <c r="N59" s="29"/>
      <c r="O59" s="36"/>
    </row>
    <row r="60" spans="1:15" ht="12.75" customHeight="1" x14ac:dyDescent="0.3">
      <c r="A60" s="36"/>
      <c r="B60" s="36" t="s">
        <v>1428</v>
      </c>
      <c r="C60" s="29"/>
      <c r="D60" s="29"/>
      <c r="E60" s="29"/>
      <c r="F60" s="29"/>
      <c r="G60" s="94" t="s">
        <v>2</v>
      </c>
      <c r="H60" s="29" t="s">
        <v>4037</v>
      </c>
      <c r="I60" s="636"/>
      <c r="J60" s="633" t="str">
        <f>IF(ISBLANK(HLOOKUP(CaseName,CaseData,MATCH($G60,cases!$G$3:$G$2464,0),FALSE)),"",HLOOKUP(CaseName,CaseData,MATCH($G60,cases!$G$3:$G$2464,0),FALSE))</f>
        <v/>
      </c>
      <c r="K60" s="639">
        <f>(10-1)*WATERflow.w1R.w2R</f>
        <v>12328.69006849315</v>
      </c>
      <c r="L60" s="634">
        <f t="shared" si="1"/>
        <v>12328.69006849315</v>
      </c>
      <c r="M60" s="29" t="s">
        <v>4038</v>
      </c>
      <c r="N60" s="29"/>
      <c r="O60" s="36"/>
    </row>
    <row r="61" spans="1:15" ht="12.75" customHeight="1" x14ac:dyDescent="0.3">
      <c r="A61" s="36"/>
      <c r="B61" s="36" t="s">
        <v>1429</v>
      </c>
      <c r="C61" s="29"/>
      <c r="D61" s="29"/>
      <c r="E61" s="95"/>
      <c r="F61" s="95"/>
      <c r="G61" s="94" t="s">
        <v>151</v>
      </c>
      <c r="H61" s="29" t="s">
        <v>4037</v>
      </c>
      <c r="I61" s="636"/>
      <c r="J61" s="633" t="str">
        <f>IF(ISBLANK(HLOOKUP(CaseName,CaseData,MATCH($G61,cases!$G$3:$G$2464,0),FALSE)),"",HLOOKUP(CaseName,CaseData,MATCH($G61,cases!$G$3:$G$2464,0),FALSE))</f>
        <v/>
      </c>
      <c r="K61" s="639">
        <f>(L8/L62)-WATERflow.w2R.w2C</f>
        <v>23542935.143962454</v>
      </c>
      <c r="L61" s="634">
        <f t="shared" si="1"/>
        <v>23542935.143962454</v>
      </c>
      <c r="M61" s="29" t="s">
        <v>4038</v>
      </c>
      <c r="N61" s="29"/>
      <c r="O61" s="36"/>
    </row>
    <row r="62" spans="1:15" ht="12.75" customHeight="1" x14ac:dyDescent="0.3">
      <c r="A62" s="36"/>
      <c r="B62" s="36"/>
      <c r="C62" s="36" t="s">
        <v>1427</v>
      </c>
      <c r="D62" s="29"/>
      <c r="E62" s="29"/>
      <c r="F62" s="29"/>
      <c r="G62" s="37" t="s">
        <v>6</v>
      </c>
      <c r="H62" s="36" t="s">
        <v>723</v>
      </c>
      <c r="I62" s="632"/>
      <c r="J62" s="633" t="str">
        <f>IF(ISBLANK(HLOOKUP(CaseName,CaseData,MATCH($G62,cases!$G$3:$G$2464,0),FALSE)),"",HLOOKUP(CaseName,CaseData,MATCH($G62,cases!$G$3:$G$2464,0),FALSE))</f>
        <v/>
      </c>
      <c r="K62" s="352">
        <v>365</v>
      </c>
      <c r="L62" s="634">
        <f>IF(ISBLANK(I62),IF(ISNUMBER(J62)=FALSE,K62*(3600*24),J62*(3600*24)),I62*(3600*24))</f>
        <v>31536000</v>
      </c>
      <c r="M62" s="36" t="s">
        <v>115</v>
      </c>
      <c r="N62" s="29"/>
      <c r="O62" s="36"/>
    </row>
    <row r="63" spans="1:15" ht="12.75" customHeight="1" x14ac:dyDescent="0.3">
      <c r="A63" s="29"/>
      <c r="B63" s="29"/>
      <c r="C63" s="29"/>
      <c r="D63" s="29"/>
      <c r="E63" s="29"/>
      <c r="F63" s="29"/>
      <c r="G63" s="29"/>
      <c r="H63" s="29"/>
      <c r="I63" s="633"/>
      <c r="J63" s="353"/>
      <c r="K63" s="353"/>
      <c r="L63" s="353"/>
      <c r="M63" s="29"/>
      <c r="N63" s="29"/>
      <c r="O63" s="36"/>
    </row>
    <row r="64" spans="1:15" ht="12.75" customHeight="1" x14ac:dyDescent="0.3">
      <c r="A64" s="98" t="s">
        <v>209</v>
      </c>
      <c r="B64" s="97"/>
      <c r="C64" s="97"/>
      <c r="D64" s="97"/>
      <c r="E64" s="97"/>
      <c r="F64" s="97"/>
      <c r="G64" s="98" t="s">
        <v>1008</v>
      </c>
      <c r="H64" s="98" t="s">
        <v>968</v>
      </c>
      <c r="I64" s="364" t="s">
        <v>754</v>
      </c>
      <c r="J64" s="340" t="s">
        <v>37</v>
      </c>
      <c r="K64" s="340" t="s">
        <v>753</v>
      </c>
      <c r="L64" s="340" t="s">
        <v>1358</v>
      </c>
      <c r="M64" s="97"/>
      <c r="N64" s="98" t="s">
        <v>1371</v>
      </c>
      <c r="O64" s="36"/>
    </row>
    <row r="65" spans="1:15" ht="12.75" customHeight="1" x14ac:dyDescent="0.3">
      <c r="A65" s="135"/>
      <c r="B65" s="629"/>
      <c r="C65" s="630"/>
      <c r="D65" s="630"/>
      <c r="E65" s="135"/>
      <c r="F65" s="135"/>
      <c r="G65" s="135"/>
      <c r="H65" s="630"/>
      <c r="I65" s="633"/>
      <c r="J65" s="353"/>
      <c r="K65" s="353"/>
      <c r="L65" s="353"/>
      <c r="M65" s="29"/>
      <c r="N65" s="29"/>
      <c r="O65" s="36"/>
    </row>
    <row r="66" spans="1:15" ht="12.75" customHeight="1" x14ac:dyDescent="0.3">
      <c r="A66" s="5"/>
      <c r="B66" s="36" t="s">
        <v>623</v>
      </c>
      <c r="C66" s="36"/>
      <c r="D66" s="36"/>
      <c r="E66" s="36"/>
      <c r="F66" s="36"/>
      <c r="G66" s="36" t="s">
        <v>3985</v>
      </c>
      <c r="H66" s="36" t="s">
        <v>36</v>
      </c>
      <c r="I66" s="636"/>
      <c r="J66" s="633" t="str">
        <f>IF(ISBLANK(HLOOKUP(CaseName,CaseData,MATCH($G66,cases!$G$3:$G$2464,0),FALSE)),"",HLOOKUP(CaseName,CaseData,MATCH($G66,cases!$G$3:$G$2464,0),FALSE))</f>
        <v/>
      </c>
      <c r="K66" s="425">
        <f>1-L31*L70/(1+L31*L70+L30*L71)-L30*L71/(1+L31*L70+L30*L71)</f>
        <v>0.99999996469432006</v>
      </c>
      <c r="L66" s="634">
        <f t="shared" ref="L66:L110" si="2">IF(ISBLANK(I66),IF(ISNUMBER(J66)=FALSE,K66,J66),I66)</f>
        <v>0.99999996469432006</v>
      </c>
      <c r="M66" s="20" t="s">
        <v>486</v>
      </c>
      <c r="N66" s="36"/>
      <c r="O66" s="36"/>
    </row>
    <row r="67" spans="1:15" ht="12.75" customHeight="1" x14ac:dyDescent="0.3">
      <c r="A67" s="29"/>
      <c r="B67" s="29" t="s">
        <v>615</v>
      </c>
      <c r="C67" s="29"/>
      <c r="D67" s="29"/>
      <c r="E67" s="29"/>
      <c r="F67" s="29"/>
      <c r="G67" s="29" t="s">
        <v>624</v>
      </c>
      <c r="H67" s="29" t="s">
        <v>36</v>
      </c>
      <c r="I67" s="518"/>
      <c r="J67" s="633" t="str">
        <f>IF(ISBLANK(HLOOKUP(CaseName,CaseData,MATCH($G67,cases!$G$3:$G$2464,0),FALSE)),"",HLOOKUP(CaseName,CaseData,MATCH($G67,cases!$G$3:$G$2464,0),FALSE))</f>
        <v/>
      </c>
      <c r="K67" s="425">
        <f>L31*L70/(1+L31*L70+L30*L71)</f>
        <v>2.2258158863377581E-10</v>
      </c>
      <c r="L67" s="634">
        <f t="shared" si="2"/>
        <v>2.2258158863377581E-10</v>
      </c>
      <c r="M67" s="36" t="s">
        <v>486</v>
      </c>
      <c r="N67" s="29" t="s">
        <v>2184</v>
      </c>
      <c r="O67" s="36"/>
    </row>
    <row r="68" spans="1:15" ht="12.75" customHeight="1" x14ac:dyDescent="0.3">
      <c r="A68" s="29"/>
      <c r="B68" s="29" t="s">
        <v>616</v>
      </c>
      <c r="C68" s="29"/>
      <c r="D68" s="29"/>
      <c r="E68" s="29"/>
      <c r="F68" s="29"/>
      <c r="G68" s="29" t="s">
        <v>625</v>
      </c>
      <c r="H68" s="29" t="s">
        <v>36</v>
      </c>
      <c r="I68" s="636"/>
      <c r="J68" s="633" t="str">
        <f>IF(ISBLANK(HLOOKUP(CaseName,CaseData,MATCH($G68,cases!$G$3:$G$2464,0),FALSE)),"",HLOOKUP(CaseName,CaseData,MATCH($G68,cases!$G$3:$G$2464,0),FALSE))</f>
        <v/>
      </c>
      <c r="K68" s="425">
        <f>L30*L71/(1+L31*L70+L30*L71)</f>
        <v>3.5083098262422926E-8</v>
      </c>
      <c r="L68" s="634">
        <f t="shared" si="2"/>
        <v>3.5083098262422926E-8</v>
      </c>
      <c r="M68" s="36" t="s">
        <v>486</v>
      </c>
      <c r="N68" s="29" t="s">
        <v>2184</v>
      </c>
      <c r="O68" s="36"/>
    </row>
    <row r="69" spans="1:15" ht="12.75" customHeight="1" x14ac:dyDescent="0.3">
      <c r="A69" s="29"/>
      <c r="B69" s="29"/>
      <c r="C69" s="36" t="s">
        <v>1043</v>
      </c>
      <c r="D69" s="36"/>
      <c r="E69" s="36"/>
      <c r="F69" s="36"/>
      <c r="G69" s="36" t="s">
        <v>3986</v>
      </c>
      <c r="H69" s="36" t="s">
        <v>36</v>
      </c>
      <c r="I69" s="636"/>
      <c r="J69" s="633" t="str">
        <f>IF(ISBLANK(HLOOKUP(CaseName,CaseData,MATCH($G69,cases!$G$3:$G$2464,0),FALSE)),"",HLOOKUP(CaseName,CaseData,MATCH($G69,cases!$G$3:$G$2464,0),FALSE))</f>
        <v/>
      </c>
      <c r="K69" s="425">
        <f>Kaw*EXP((H0vap/8.314)*(1/298-1/TEMP.C))*EXP(-(H0sol/8.314)*(1/298-1/TEMP.C))*(298/TEMP.C)</f>
        <v>8.9854688416270423E-2</v>
      </c>
      <c r="L69" s="634">
        <f t="shared" ref="L69:L71" si="3">IF(ISBLANK(I69),IF(ISNUMBER(J69)=FALSE,K69,J69),I69)</f>
        <v>8.9854688416270423E-2</v>
      </c>
      <c r="M69" s="36" t="s">
        <v>486</v>
      </c>
      <c r="N69" s="29"/>
      <c r="O69" s="36"/>
    </row>
    <row r="70" spans="1:15" ht="12.75" customHeight="1" x14ac:dyDescent="0.35">
      <c r="A70" s="29"/>
      <c r="B70" s="29"/>
      <c r="C70" s="29" t="s">
        <v>612</v>
      </c>
      <c r="D70" s="29"/>
      <c r="E70" s="29"/>
      <c r="F70" s="29"/>
      <c r="G70" s="29" t="s">
        <v>627</v>
      </c>
      <c r="H70" s="29" t="s">
        <v>4040</v>
      </c>
      <c r="I70" s="518"/>
      <c r="J70" s="633" t="str">
        <f>IF(ISBLANK(HLOOKUP(CaseName,CaseData,MATCH($G70,cases!$G$3:$G$2464,0),FALSE)),"",HLOOKUP(CaseName,CaseData,MATCH($G70,cases!$G$3:$G$2464,0),FALSE))</f>
        <v/>
      </c>
      <c r="K70" s="425">
        <f>1/(L69*FRorig.aerw)</f>
        <v>11.129079824608519</v>
      </c>
      <c r="L70" s="634">
        <f t="shared" si="3"/>
        <v>11.129079824608519</v>
      </c>
      <c r="M70" s="36" t="s">
        <v>486</v>
      </c>
      <c r="N70" s="29"/>
      <c r="O70" s="36"/>
    </row>
    <row r="71" spans="1:15" ht="12.75" customHeight="1" x14ac:dyDescent="0.35">
      <c r="A71" s="29"/>
      <c r="B71" s="29"/>
      <c r="C71" s="29" t="s">
        <v>613</v>
      </c>
      <c r="D71" s="29"/>
      <c r="E71" s="29"/>
      <c r="F71" s="29"/>
      <c r="G71" s="29" t="s">
        <v>628</v>
      </c>
      <c r="H71" s="29" t="s">
        <v>4041</v>
      </c>
      <c r="I71" s="518"/>
      <c r="J71" s="633" t="str">
        <f>IF(ISBLANK(HLOOKUP(CaseName,CaseData,MATCH($G71,cases!$G$3:$G$2464,0),FALSE)),"",HLOOKUP(CaseName,CaseData,MATCH($G71,cases!$G$3:$G$2464,0),FALSE))</f>
        <v/>
      </c>
      <c r="K71" s="425">
        <f>0.54*(Kow/Kaw)*CORGaers*(RHOaers/1000)</f>
        <v>1754.1549750527802</v>
      </c>
      <c r="L71" s="634">
        <f t="shared" si="3"/>
        <v>1754.1549750527802</v>
      </c>
      <c r="M71" s="36" t="s">
        <v>486</v>
      </c>
      <c r="N71" s="29" t="s">
        <v>924</v>
      </c>
      <c r="O71" s="36"/>
    </row>
    <row r="72" spans="1:15" ht="12.75" customHeight="1" x14ac:dyDescent="0.3">
      <c r="A72" s="36"/>
      <c r="B72" s="36" t="s">
        <v>291</v>
      </c>
      <c r="C72" s="95"/>
      <c r="D72" s="29"/>
      <c r="E72" s="29"/>
      <c r="F72" s="29"/>
      <c r="G72" s="94" t="s">
        <v>342</v>
      </c>
      <c r="H72" s="36" t="s">
        <v>36</v>
      </c>
      <c r="I72" s="636"/>
      <c r="J72" s="633" t="str">
        <f>IF(ISBLANK(HLOOKUP(CaseName,CaseData,MATCH($G72,cases!$G$3:$G$2464,0),FALSE)),"",HLOOKUP(CaseName,CaseData,MATCH($G72,cases!$G$3:$G$2464,0),FALSE))</f>
        <v/>
      </c>
      <c r="K72" s="425">
        <f>1/(1+L73*L75/1000+L76*L77/1000)</f>
        <v>0.99974158989686501</v>
      </c>
      <c r="L72" s="634">
        <f t="shared" si="2"/>
        <v>0.99974158989686501</v>
      </c>
      <c r="M72" s="36" t="s">
        <v>486</v>
      </c>
      <c r="N72" s="29"/>
      <c r="O72" s="36"/>
    </row>
    <row r="73" spans="1:15" ht="12.75" customHeight="1" x14ac:dyDescent="0.3">
      <c r="A73" s="36"/>
      <c r="B73" s="29"/>
      <c r="C73" s="36" t="s">
        <v>706</v>
      </c>
      <c r="D73" s="29"/>
      <c r="E73" s="29"/>
      <c r="F73" s="29"/>
      <c r="G73" s="94" t="s">
        <v>343</v>
      </c>
      <c r="H73" s="36" t="s">
        <v>4042</v>
      </c>
      <c r="I73" s="632"/>
      <c r="J73" s="633" t="str">
        <f>IF(ISBLANK(HLOOKUP(CaseName,CaseData,MATCH($G73,cases!$G$3:$G$2464,0),FALSE)),"",HLOOKUP(CaseName,CaseData,MATCH($G73,cases!$G$3:$G$2464,0),FALSE))</f>
        <v/>
      </c>
      <c r="K73" s="639">
        <f>(FRorig.w1*Ksw+(1-FRorig.w1)*Ksw.alt)*(1000/RHOsolid/CORG)*L74</f>
        <v>76.953792352546415</v>
      </c>
      <c r="L73" s="634">
        <f t="shared" si="2"/>
        <v>76.953792352546415</v>
      </c>
      <c r="M73" s="36" t="s">
        <v>1498</v>
      </c>
      <c r="N73" s="29"/>
      <c r="O73" s="36"/>
    </row>
    <row r="74" spans="1:15" ht="12.75" customHeight="1" x14ac:dyDescent="0.3">
      <c r="A74" s="36"/>
      <c r="B74" s="29"/>
      <c r="C74" s="36" t="s">
        <v>1098</v>
      </c>
      <c r="D74" s="29"/>
      <c r="E74" s="29"/>
      <c r="F74" s="29"/>
      <c r="G74" s="94" t="s">
        <v>344</v>
      </c>
      <c r="H74" s="36" t="s">
        <v>36</v>
      </c>
      <c r="I74" s="632"/>
      <c r="J74" s="633" t="str">
        <f>IF(ISBLANK(HLOOKUP(CaseName,CaseData,MATCH($G74,cases!$G$3:$G$2464,0),FALSE)),"",HLOOKUP(CaseName,CaseData,MATCH($G74,cases!$G$3:$G$2464,0),FALSE))</f>
        <v/>
      </c>
      <c r="K74" s="639">
        <v>0.1</v>
      </c>
      <c r="L74" s="634">
        <f t="shared" si="2"/>
        <v>0.1</v>
      </c>
      <c r="M74" s="36" t="s">
        <v>486</v>
      </c>
      <c r="N74" s="29"/>
      <c r="O74" s="36"/>
    </row>
    <row r="75" spans="1:15" ht="12.75" customHeight="1" x14ac:dyDescent="0.3">
      <c r="A75" s="36"/>
      <c r="B75" s="29"/>
      <c r="C75" s="36" t="s">
        <v>707</v>
      </c>
      <c r="D75" s="29"/>
      <c r="E75" s="29"/>
      <c r="F75" s="29"/>
      <c r="G75" s="94" t="s">
        <v>345</v>
      </c>
      <c r="H75" s="36" t="s">
        <v>4043</v>
      </c>
      <c r="I75" s="632"/>
      <c r="J75" s="633" t="str">
        <f>IF(ISBLANK(HLOOKUP(CaseName,CaseData,MATCH($G75,cases!$G$3:$G$2464,0),FALSE)),"",HLOOKUP(CaseName,CaseData,MATCH($G75,cases!$G$3:$G$2464,0),FALSE))</f>
        <v/>
      </c>
      <c r="K75" s="639">
        <v>0.5</v>
      </c>
      <c r="L75" s="634">
        <f>IF(ISBLANK(I75),IF(ISNUMBER(J75)=FALSE,K75/1000,J75/1000),I75/1000)</f>
        <v>5.0000000000000001E-4</v>
      </c>
      <c r="M75" s="36" t="s">
        <v>1497</v>
      </c>
      <c r="N75" s="29"/>
      <c r="O75" s="36"/>
    </row>
    <row r="76" spans="1:15" ht="12.75" customHeight="1" x14ac:dyDescent="0.3">
      <c r="A76" s="36"/>
      <c r="B76" s="29"/>
      <c r="C76" s="36" t="s">
        <v>549</v>
      </c>
      <c r="D76" s="29"/>
      <c r="E76" s="29"/>
      <c r="F76" s="29"/>
      <c r="G76" s="94" t="s">
        <v>346</v>
      </c>
      <c r="H76" s="36" t="s">
        <v>1039</v>
      </c>
      <c r="I76" s="632"/>
      <c r="J76" s="633" t="str">
        <f>IF(ISBLANK(HLOOKUP(CaseName,CaseData,MATCH($G76,cases!$G$3:$G$2464,0),FALSE)),"",HLOOKUP(CaseName,CaseData,MATCH($G76,cases!$G$3:$G$2464,0),FALSE))</f>
        <v/>
      </c>
      <c r="K76" s="639">
        <f>0.08*D</f>
        <v>220</v>
      </c>
      <c r="L76" s="634">
        <f>IF(ISBLANK(I76),IF(ISNUMBER(J76)=FALSE,K76,J76),I76)</f>
        <v>220</v>
      </c>
      <c r="M76" s="36" t="s">
        <v>1498</v>
      </c>
      <c r="N76" s="29"/>
      <c r="O76" s="36"/>
    </row>
    <row r="77" spans="1:15" ht="12.75" customHeight="1" x14ac:dyDescent="0.3">
      <c r="A77" s="36"/>
      <c r="B77" s="29"/>
      <c r="C77" s="36" t="s">
        <v>551</v>
      </c>
      <c r="D77" s="29"/>
      <c r="E77" s="29"/>
      <c r="F77" s="29"/>
      <c r="G77" s="94" t="s">
        <v>347</v>
      </c>
      <c r="H77" s="36" t="s">
        <v>1038</v>
      </c>
      <c r="I77" s="632"/>
      <c r="J77" s="633" t="str">
        <f>IF(ISBLANK(HLOOKUP(CaseName,CaseData,MATCH($G77,cases!$G$3:$G$2464,0),FALSE)),"",HLOOKUP(CaseName,CaseData,MATCH($G77,cases!$G$3:$G$2464,0),FALSE))</f>
        <v/>
      </c>
      <c r="K77" s="639">
        <v>1</v>
      </c>
      <c r="L77" s="634">
        <f>IF(ISBLANK(I77),IF(ISNUMBER(J77)=FALSE,K77/1000,J77/1000),I77/1000)</f>
        <v>1E-3</v>
      </c>
      <c r="M77" s="36" t="s">
        <v>1497</v>
      </c>
      <c r="N77" s="29"/>
      <c r="O77" s="36"/>
    </row>
    <row r="78" spans="1:15" ht="12.75" customHeight="1" x14ac:dyDescent="0.3">
      <c r="A78" s="36"/>
      <c r="B78" s="36" t="s">
        <v>3972</v>
      </c>
      <c r="C78" s="95"/>
      <c r="D78" s="29"/>
      <c r="E78" s="29"/>
      <c r="F78" s="29"/>
      <c r="G78" s="94" t="s">
        <v>572</v>
      </c>
      <c r="H78" s="36" t="s">
        <v>36</v>
      </c>
      <c r="I78" s="636"/>
      <c r="J78" s="633" t="str">
        <f>IF(ISBLANK(HLOOKUP(CaseName,CaseData,MATCH($G78,cases!$G$3:$G$2464,0),FALSE)),"",HLOOKUP(CaseName,CaseData,MATCH($G78,cases!$G$3:$G$2464,0),FALSE))</f>
        <v/>
      </c>
      <c r="K78" s="639">
        <f>1/(1+L79*L81/1000+L82*L83/1000)</f>
        <v>0.99862757924200896</v>
      </c>
      <c r="L78" s="644">
        <f t="shared" si="2"/>
        <v>0.99862757924200896</v>
      </c>
      <c r="M78" s="36" t="s">
        <v>486</v>
      </c>
      <c r="N78" s="29"/>
      <c r="O78" s="36"/>
    </row>
    <row r="79" spans="1:15" ht="12.75" customHeight="1" x14ac:dyDescent="0.3">
      <c r="A79" s="36"/>
      <c r="B79" s="29"/>
      <c r="C79" s="36" t="s">
        <v>706</v>
      </c>
      <c r="D79" s="29"/>
      <c r="E79" s="29"/>
      <c r="F79" s="29"/>
      <c r="G79" s="94" t="s">
        <v>181</v>
      </c>
      <c r="H79" s="36" t="s">
        <v>1039</v>
      </c>
      <c r="I79" s="636"/>
      <c r="J79" s="633" t="str">
        <f>IF(ISBLANK(HLOOKUP(CaseName,CaseData,MATCH($G79,cases!$G$3:$G$2464,0),FALSE)),"",HLOOKUP(CaseName,CaseData,MATCH($G79,cases!$G$3:$G$2464,0),FALSE))</f>
        <v/>
      </c>
      <c r="K79" s="639">
        <f>(FRorig.w1*Ksw+(1-FRorig.w1)*Ksw.alt)*(1000/RHOsolid/CORG)*L80</f>
        <v>76.953792352546415</v>
      </c>
      <c r="L79" s="634">
        <f t="shared" si="2"/>
        <v>76.953792352546415</v>
      </c>
      <c r="M79" s="36" t="s">
        <v>1498</v>
      </c>
      <c r="N79" s="29"/>
      <c r="O79" s="36"/>
    </row>
    <row r="80" spans="1:15" ht="12.75" customHeight="1" x14ac:dyDescent="0.3">
      <c r="A80" s="36"/>
      <c r="B80" s="29"/>
      <c r="C80" s="36" t="s">
        <v>1098</v>
      </c>
      <c r="D80" s="29"/>
      <c r="E80" s="29"/>
      <c r="F80" s="29"/>
      <c r="G80" s="94" t="s">
        <v>1454</v>
      </c>
      <c r="H80" s="36" t="s">
        <v>36</v>
      </c>
      <c r="I80" s="636"/>
      <c r="J80" s="633" t="str">
        <f>IF(ISBLANK(HLOOKUP(CaseName,CaseData,MATCH($G80,cases!$G$3:$G$2464,0),FALSE)),"",HLOOKUP(CaseName,CaseData,MATCH($G80,cases!$G$3:$G$2464,0),FALSE))</f>
        <v/>
      </c>
      <c r="K80" s="639">
        <v>0.1</v>
      </c>
      <c r="L80" s="634">
        <f t="shared" si="2"/>
        <v>0.1</v>
      </c>
      <c r="M80" s="36" t="s">
        <v>486</v>
      </c>
      <c r="N80" s="29"/>
      <c r="O80" s="36"/>
    </row>
    <row r="81" spans="1:15" ht="12.75" customHeight="1" x14ac:dyDescent="0.3">
      <c r="A81" s="36"/>
      <c r="B81" s="29"/>
      <c r="C81" s="36" t="s">
        <v>707</v>
      </c>
      <c r="D81" s="29"/>
      <c r="E81" s="29"/>
      <c r="F81" s="29"/>
      <c r="G81" s="94" t="s">
        <v>1109</v>
      </c>
      <c r="H81" s="36" t="s">
        <v>1038</v>
      </c>
      <c r="I81" s="636"/>
      <c r="J81" s="633" t="str">
        <f>IF(ISBLANK(HLOOKUP(CaseName,CaseData,MATCH($G81,cases!$G$3:$G$2464,0),FALSE)),"",HLOOKUP(CaseName,CaseData,MATCH($G81,cases!$G$3:$G$2464,0),FALSE))</f>
        <v/>
      </c>
      <c r="K81" s="639">
        <v>15</v>
      </c>
      <c r="L81" s="634">
        <f>IF(ISBLANK(I81),IF(ISNUMBER(J81)=FALSE,K81/1000,J81/1000),I81/1000)</f>
        <v>1.4999999999999999E-2</v>
      </c>
      <c r="M81" s="36" t="s">
        <v>1497</v>
      </c>
      <c r="N81" s="29"/>
      <c r="O81" s="36"/>
    </row>
    <row r="82" spans="1:15" ht="12.75" customHeight="1" x14ac:dyDescent="0.3">
      <c r="A82" s="36"/>
      <c r="B82" s="29"/>
      <c r="C82" s="36" t="s">
        <v>549</v>
      </c>
      <c r="D82" s="29"/>
      <c r="E82" s="29"/>
      <c r="F82" s="29"/>
      <c r="G82" s="94" t="s">
        <v>555</v>
      </c>
      <c r="H82" s="36" t="s">
        <v>1039</v>
      </c>
      <c r="I82" s="632"/>
      <c r="J82" s="633" t="str">
        <f>IF(ISBLANK(HLOOKUP(CaseName,CaseData,MATCH($G82,cases!$G$3:$G$2464,0),FALSE)),"",HLOOKUP(CaseName,CaseData,MATCH($G82,cases!$G$3:$G$2464,0),FALSE))</f>
        <v/>
      </c>
      <c r="K82" s="639">
        <f>0.08*D</f>
        <v>220</v>
      </c>
      <c r="L82" s="634">
        <f t="shared" si="2"/>
        <v>220</v>
      </c>
      <c r="M82" s="36" t="s">
        <v>1498</v>
      </c>
      <c r="N82" s="29"/>
      <c r="O82" s="36"/>
    </row>
    <row r="83" spans="1:15" ht="12.75" customHeight="1" x14ac:dyDescent="0.3">
      <c r="A83" s="36"/>
      <c r="B83" s="29"/>
      <c r="C83" s="36" t="s">
        <v>551</v>
      </c>
      <c r="D83" s="29"/>
      <c r="E83" s="29"/>
      <c r="F83" s="29"/>
      <c r="G83" s="94" t="s">
        <v>556</v>
      </c>
      <c r="H83" s="36" t="s">
        <v>1038</v>
      </c>
      <c r="I83" s="632"/>
      <c r="J83" s="633" t="str">
        <f>IF(ISBLANK(HLOOKUP(CaseName,CaseData,MATCH($G83,cases!$G$3:$G$2464,0),FALSE)),"",HLOOKUP(CaseName,CaseData,MATCH($G83,cases!$G$3:$G$2464,0),FALSE))</f>
        <v/>
      </c>
      <c r="K83" s="639">
        <v>1</v>
      </c>
      <c r="L83" s="634">
        <f>IF(ISBLANK(I83),IF(ISNUMBER(J83)=FALSE,K83/1000,J83/1000),I83/1000)</f>
        <v>1E-3</v>
      </c>
      <c r="M83" s="36" t="s">
        <v>1497</v>
      </c>
      <c r="N83" s="29"/>
      <c r="O83" s="36"/>
    </row>
    <row r="84" spans="1:15" ht="12.75" customHeight="1" x14ac:dyDescent="0.3">
      <c r="A84" s="36"/>
      <c r="B84" s="36" t="s">
        <v>3973</v>
      </c>
      <c r="C84" s="95"/>
      <c r="D84" s="29"/>
      <c r="E84" s="29"/>
      <c r="F84" s="29"/>
      <c r="G84" s="94" t="s">
        <v>573</v>
      </c>
      <c r="H84" s="36" t="s">
        <v>36</v>
      </c>
      <c r="I84" s="636"/>
      <c r="J84" s="633" t="str">
        <f>IF(ISBLANK(HLOOKUP(CaseName,CaseData,MATCH($G84,cases!$G$3:$G$2464,0),FALSE)),"",HLOOKUP(CaseName,CaseData,MATCH($G84,cases!$G$3:$G$2464,0),FALSE))</f>
        <v/>
      </c>
      <c r="K84" s="639">
        <f>1/(1+L85*L87/1000+L88*L89/1000)</f>
        <v>0.99939559656267651</v>
      </c>
      <c r="L84" s="634">
        <f t="shared" si="2"/>
        <v>0.99939559656267651</v>
      </c>
      <c r="M84" s="36" t="s">
        <v>486</v>
      </c>
      <c r="N84" s="29"/>
      <c r="O84" s="36"/>
    </row>
    <row r="85" spans="1:15" ht="12.75" customHeight="1" x14ac:dyDescent="0.3">
      <c r="A85" s="36"/>
      <c r="B85" s="29"/>
      <c r="C85" s="36" t="s">
        <v>706</v>
      </c>
      <c r="D85" s="29"/>
      <c r="E85" s="29"/>
      <c r="F85" s="29"/>
      <c r="G85" s="94" t="s">
        <v>183</v>
      </c>
      <c r="H85" s="36" t="s">
        <v>1039</v>
      </c>
      <c r="I85" s="636"/>
      <c r="J85" s="633" t="str">
        <f>IF(ISBLANK(HLOOKUP(CaseName,CaseData,MATCH($G85,cases!$G$3:$G$2464,0),FALSE)),"",HLOOKUP(CaseName,CaseData,MATCH($G85,cases!$G$3:$G$2464,0),FALSE))</f>
        <v/>
      </c>
      <c r="K85" s="639">
        <f>(FRorig.w2*Ksw+(1-FRorig.w2)*Ksw.alt)*(1000/RHOsolid/CORG)*L86</f>
        <v>76.953792352546415</v>
      </c>
      <c r="L85" s="634">
        <f t="shared" si="2"/>
        <v>76.953792352546415</v>
      </c>
      <c r="M85" s="36" t="s">
        <v>1498</v>
      </c>
      <c r="N85" s="29"/>
      <c r="O85" s="36"/>
    </row>
    <row r="86" spans="1:15" ht="12.75" customHeight="1" x14ac:dyDescent="0.3">
      <c r="A86" s="36"/>
      <c r="B86" s="29"/>
      <c r="C86" s="36" t="s">
        <v>1098</v>
      </c>
      <c r="D86" s="29"/>
      <c r="E86" s="29"/>
      <c r="F86" s="29"/>
      <c r="G86" s="94" t="s">
        <v>1455</v>
      </c>
      <c r="H86" s="36" t="s">
        <v>36</v>
      </c>
      <c r="I86" s="636"/>
      <c r="J86" s="633" t="str">
        <f>IF(ISBLANK(HLOOKUP(CaseName,CaseData,MATCH($G86,cases!$G$3:$G$2464,0),FALSE)),"",HLOOKUP(CaseName,CaseData,MATCH($G86,cases!$G$3:$G$2464,0),FALSE))</f>
        <v/>
      </c>
      <c r="K86" s="639">
        <v>0.1</v>
      </c>
      <c r="L86" s="634">
        <f t="shared" si="2"/>
        <v>0.1</v>
      </c>
      <c r="M86" s="36" t="s">
        <v>486</v>
      </c>
      <c r="N86" s="29"/>
      <c r="O86" s="36"/>
    </row>
    <row r="87" spans="1:15" ht="12.75" customHeight="1" x14ac:dyDescent="0.3">
      <c r="A87" s="36"/>
      <c r="B87" s="29"/>
      <c r="C87" s="36" t="s">
        <v>1504</v>
      </c>
      <c r="D87" s="29"/>
      <c r="E87" s="29"/>
      <c r="F87" s="29"/>
      <c r="G87" s="94" t="s">
        <v>1110</v>
      </c>
      <c r="H87" s="36" t="s">
        <v>1038</v>
      </c>
      <c r="I87" s="636"/>
      <c r="J87" s="633" t="str">
        <f>IF(ISBLANK(HLOOKUP(CaseName,CaseData,MATCH($G87,cases!$G$3:$G$2464,0),FALSE)),"",HLOOKUP(CaseName,CaseData,MATCH($G87,cases!$G$3:$G$2464,0),FALSE))</f>
        <v/>
      </c>
      <c r="K87" s="639">
        <v>5</v>
      </c>
      <c r="L87" s="634">
        <f>IF(ISBLANK(I87),IF(ISNUMBER(J87)=FALSE,K87/1000,J87/1000),I87/1000)</f>
        <v>5.0000000000000001E-3</v>
      </c>
      <c r="M87" s="36" t="s">
        <v>1497</v>
      </c>
      <c r="N87" s="29"/>
      <c r="O87" s="36"/>
    </row>
    <row r="88" spans="1:15" ht="12.75" customHeight="1" x14ac:dyDescent="0.3">
      <c r="A88" s="36"/>
      <c r="B88" s="29"/>
      <c r="C88" s="36" t="s">
        <v>549</v>
      </c>
      <c r="D88" s="29"/>
      <c r="E88" s="29"/>
      <c r="F88" s="29"/>
      <c r="G88" s="94" t="s">
        <v>557</v>
      </c>
      <c r="H88" s="36" t="s">
        <v>1039</v>
      </c>
      <c r="I88" s="632"/>
      <c r="J88" s="633" t="str">
        <f>IF(ISBLANK(HLOOKUP(CaseName,CaseData,MATCH($G88,cases!$G$3:$G$2464,0),FALSE)),"",HLOOKUP(CaseName,CaseData,MATCH($G88,cases!$G$3:$G$2464,0),FALSE))</f>
        <v/>
      </c>
      <c r="K88" s="639">
        <f>0.08*D</f>
        <v>220</v>
      </c>
      <c r="L88" s="634">
        <f t="shared" si="2"/>
        <v>220</v>
      </c>
      <c r="M88" s="36" t="s">
        <v>1498</v>
      </c>
      <c r="N88" s="29"/>
      <c r="O88" s="36"/>
    </row>
    <row r="89" spans="1:15" ht="12.75" customHeight="1" x14ac:dyDescent="0.3">
      <c r="A89" s="36"/>
      <c r="B89" s="29"/>
      <c r="C89" s="36" t="s">
        <v>551</v>
      </c>
      <c r="D89" s="29"/>
      <c r="E89" s="29"/>
      <c r="F89" s="29"/>
      <c r="G89" s="94" t="s">
        <v>558</v>
      </c>
      <c r="H89" s="36" t="s">
        <v>1038</v>
      </c>
      <c r="I89" s="632"/>
      <c r="J89" s="633" t="str">
        <f>IF(ISBLANK(HLOOKUP(CaseName,CaseData,MATCH($G89,cases!$G$3:$G$2464,0),FALSE)),"",HLOOKUP(CaseName,CaseData,MATCH($G89,cases!$G$3:$G$2464,0),FALSE))</f>
        <v/>
      </c>
      <c r="K89" s="639">
        <v>1</v>
      </c>
      <c r="L89" s="634">
        <f>IF(ISBLANK(I89),IF(ISNUMBER(J89)=FALSE,K89/1000,J89/1000),I89/1000)</f>
        <v>1E-3</v>
      </c>
      <c r="M89" s="36" t="s">
        <v>1497</v>
      </c>
      <c r="N89" s="29"/>
      <c r="O89" s="36"/>
    </row>
    <row r="90" spans="1:15" ht="12.75" customHeight="1" x14ac:dyDescent="0.3">
      <c r="A90" s="36"/>
      <c r="B90" s="36" t="s">
        <v>732</v>
      </c>
      <c r="C90" s="95"/>
      <c r="D90" s="29"/>
      <c r="E90" s="29"/>
      <c r="F90" s="29"/>
      <c r="G90" s="94" t="s">
        <v>1111</v>
      </c>
      <c r="H90" s="36" t="s">
        <v>36</v>
      </c>
      <c r="I90" s="636"/>
      <c r="J90" s="633" t="str">
        <f>IF(ISBLANK(HLOOKUP(CaseName,CaseData,MATCH($G90,cases!$G$3:$G$2464,0),FALSE)),"",HLOOKUP(CaseName,CaseData,MATCH($G90,cases!$G$3:$G$2464,0),FALSE))</f>
        <v/>
      </c>
      <c r="K90" s="639">
        <f>L41+L42*L91*RHOsolid/1000</f>
        <v>20.038448088136601</v>
      </c>
      <c r="L90" s="634">
        <f t="shared" si="2"/>
        <v>20.038448088136601</v>
      </c>
      <c r="M90" s="36" t="s">
        <v>486</v>
      </c>
      <c r="N90" s="29"/>
      <c r="O90" s="36"/>
    </row>
    <row r="91" spans="1:15" ht="12.75" customHeight="1" x14ac:dyDescent="0.3">
      <c r="A91" s="36"/>
      <c r="B91" s="29"/>
      <c r="C91" s="36" t="s">
        <v>1433</v>
      </c>
      <c r="D91" s="29"/>
      <c r="E91" s="29"/>
      <c r="F91" s="29"/>
      <c r="G91" s="94" t="s">
        <v>172</v>
      </c>
      <c r="H91" s="36" t="s">
        <v>1039</v>
      </c>
      <c r="I91" s="636"/>
      <c r="J91" s="633" t="str">
        <f>IF(ISBLANK(HLOOKUP(CaseName,CaseData,MATCH($G91,cases!$G$3:$G$2464,0),FALSE)),"",HLOOKUP(CaseName,CaseData,MATCH($G91,cases!$G$3:$G$2464,0),FALSE))</f>
        <v/>
      </c>
      <c r="K91" s="639">
        <f>(FRorig.sd1*Ksw+(1-FRorig.sd1)*Ksw.alt)*(1000/RHOsolid/CORG)*L92</f>
        <v>38.476896176273208</v>
      </c>
      <c r="L91" s="634">
        <f t="shared" si="2"/>
        <v>38.476896176273208</v>
      </c>
      <c r="M91" s="36" t="s">
        <v>1498</v>
      </c>
      <c r="N91" s="29"/>
      <c r="O91" s="36"/>
    </row>
    <row r="92" spans="1:15" ht="12.75" customHeight="1" x14ac:dyDescent="0.3">
      <c r="A92" s="36"/>
      <c r="B92" s="29"/>
      <c r="C92" s="36" t="s">
        <v>1276</v>
      </c>
      <c r="D92" s="29"/>
      <c r="E92" s="29"/>
      <c r="F92" s="29"/>
      <c r="G92" s="94" t="s">
        <v>1298</v>
      </c>
      <c r="H92" s="36" t="s">
        <v>36</v>
      </c>
      <c r="I92" s="636"/>
      <c r="J92" s="633" t="str">
        <f>IF(ISBLANK(HLOOKUP(CaseName,CaseData,MATCH($G92,cases!$G$3:$G$2464,0),FALSE)),"",HLOOKUP(CaseName,CaseData,MATCH($G92,cases!$G$3:$G$2464,0),FALSE))</f>
        <v/>
      </c>
      <c r="K92" s="639">
        <v>0.05</v>
      </c>
      <c r="L92" s="634">
        <f t="shared" si="2"/>
        <v>0.05</v>
      </c>
      <c r="M92" s="29" t="s">
        <v>486</v>
      </c>
      <c r="N92" s="29"/>
      <c r="O92" s="36"/>
    </row>
    <row r="93" spans="1:15" ht="12.75" customHeight="1" x14ac:dyDescent="0.3">
      <c r="A93" s="36"/>
      <c r="B93" s="36" t="s">
        <v>1434</v>
      </c>
      <c r="C93" s="95"/>
      <c r="D93" s="29"/>
      <c r="E93" s="29"/>
      <c r="F93" s="29"/>
      <c r="G93" s="94" t="s">
        <v>1299</v>
      </c>
      <c r="H93" s="36" t="s">
        <v>36</v>
      </c>
      <c r="I93" s="636"/>
      <c r="J93" s="633" t="str">
        <f>IF(ISBLANK(HLOOKUP(CaseName,CaseData,MATCH($G93,cases!$G$3:$G$2464,0),FALSE)),"",HLOOKUP(CaseName,CaseData,MATCH($G93,cases!$G$3:$G$2464,0),FALSE))</f>
        <v/>
      </c>
      <c r="K93" s="639">
        <f>L41+L42*L94*RHOsolid/1000</f>
        <v>20.038448088136601</v>
      </c>
      <c r="L93" s="634">
        <f t="shared" si="2"/>
        <v>20.038448088136601</v>
      </c>
      <c r="M93" s="29" t="s">
        <v>486</v>
      </c>
      <c r="N93" s="29"/>
      <c r="O93" s="36"/>
    </row>
    <row r="94" spans="1:15" ht="12.75" customHeight="1" x14ac:dyDescent="0.3">
      <c r="A94" s="36"/>
      <c r="B94" s="29"/>
      <c r="C94" s="36" t="s">
        <v>1435</v>
      </c>
      <c r="D94" s="29"/>
      <c r="E94" s="29"/>
      <c r="F94" s="29"/>
      <c r="G94" s="94" t="s">
        <v>174</v>
      </c>
      <c r="H94" s="36" t="s">
        <v>1039</v>
      </c>
      <c r="I94" s="636"/>
      <c r="J94" s="633" t="str">
        <f>IF(ISBLANK(HLOOKUP(CaseName,CaseData,MATCH($G94,cases!$G$3:$G$2464,0),FALSE)),"",HLOOKUP(CaseName,CaseData,MATCH($G94,cases!$G$3:$G$2464,0),FALSE))</f>
        <v/>
      </c>
      <c r="K94" s="639">
        <f>(FRorig.sd2*Ksw+(1-FRorig.sd2)*Ksw.alt)*(1000/RHOsolid/CORG)*L95</f>
        <v>38.476896176273208</v>
      </c>
      <c r="L94" s="634">
        <f t="shared" si="2"/>
        <v>38.476896176273208</v>
      </c>
      <c r="M94" s="36" t="s">
        <v>1498</v>
      </c>
      <c r="N94" s="29"/>
      <c r="O94" s="36"/>
    </row>
    <row r="95" spans="1:15" ht="12.75" customHeight="1" x14ac:dyDescent="0.3">
      <c r="A95" s="36"/>
      <c r="B95" s="29"/>
      <c r="C95" s="36" t="s">
        <v>1275</v>
      </c>
      <c r="D95" s="29"/>
      <c r="E95" s="29"/>
      <c r="F95" s="29"/>
      <c r="G95" s="94" t="s">
        <v>1300</v>
      </c>
      <c r="H95" s="36" t="s">
        <v>36</v>
      </c>
      <c r="I95" s="636"/>
      <c r="J95" s="633" t="str">
        <f>IF(ISBLANK(HLOOKUP(CaseName,CaseData,MATCH($G95,cases!$G$3:$G$2464,0),FALSE)),"",HLOOKUP(CaseName,CaseData,MATCH($G95,cases!$G$3:$G$2464,0),FALSE))</f>
        <v/>
      </c>
      <c r="K95" s="639">
        <v>0.05</v>
      </c>
      <c r="L95" s="634">
        <f t="shared" si="2"/>
        <v>0.05</v>
      </c>
      <c r="M95" s="29" t="s">
        <v>486</v>
      </c>
      <c r="N95" s="29"/>
      <c r="O95" s="36"/>
    </row>
    <row r="96" spans="1:15" ht="12.75" customHeight="1" x14ac:dyDescent="0.3">
      <c r="A96" s="36"/>
      <c r="B96" s="36" t="s">
        <v>1436</v>
      </c>
      <c r="C96" s="95"/>
      <c r="D96" s="29"/>
      <c r="E96" s="29"/>
      <c r="F96" s="29"/>
      <c r="G96" s="94" t="s">
        <v>479</v>
      </c>
      <c r="H96" s="36" t="s">
        <v>36</v>
      </c>
      <c r="I96" s="636"/>
      <c r="J96" s="633" t="str">
        <f>IF(ISBLANK(HLOOKUP(CaseName,CaseData,MATCH($G96,cases!$G$3:$G$2464,0),FALSE)),"",HLOOKUP(CaseName,CaseData,MATCH($G96,cases!$G$3:$G$2464,0),FALSE))</f>
        <v/>
      </c>
      <c r="K96" s="639">
        <f>L32*(L69*FRorig.s1w)+L33+L34*L99*RHOsolid/1000</f>
        <v>23.304108643447179</v>
      </c>
      <c r="L96" s="634">
        <f t="shared" si="2"/>
        <v>23.304108643447179</v>
      </c>
      <c r="M96" s="29" t="s">
        <v>486</v>
      </c>
      <c r="N96" s="29"/>
      <c r="O96" s="36"/>
    </row>
    <row r="97" spans="1:15" ht="12.75" customHeight="1" x14ac:dyDescent="0.3">
      <c r="A97" s="36"/>
      <c r="B97" s="36" t="s">
        <v>515</v>
      </c>
      <c r="C97" s="95"/>
      <c r="D97" s="29"/>
      <c r="E97" s="29"/>
      <c r="F97" s="29"/>
      <c r="G97" s="94" t="s">
        <v>577</v>
      </c>
      <c r="H97" s="36" t="s">
        <v>36</v>
      </c>
      <c r="I97" s="636"/>
      <c r="J97" s="633" t="str">
        <f>IF(ISBLANK(HLOOKUP(CaseName,CaseData,MATCH($G97,cases!$G$3:$G$2464,0),FALSE)),"",HLOOKUP(CaseName,CaseData,MATCH($G97,cases!$G$3:$G$2464,0),FALSE))</f>
        <v/>
      </c>
      <c r="K97" s="639">
        <f>L33/(L32*(L69*FRorig.s1w)+L33+L34*L99*RHOsolid/1000)</f>
        <v>8.5821776348539939E-3</v>
      </c>
      <c r="L97" s="634">
        <f t="shared" si="2"/>
        <v>8.5821776348539939E-3</v>
      </c>
      <c r="M97" s="29" t="s">
        <v>486</v>
      </c>
      <c r="N97" s="29"/>
      <c r="O97" s="36"/>
    </row>
    <row r="98" spans="1:15" ht="12.75" customHeight="1" x14ac:dyDescent="0.3">
      <c r="A98" s="36"/>
      <c r="B98" s="36" t="s">
        <v>987</v>
      </c>
      <c r="C98" s="95"/>
      <c r="D98" s="29"/>
      <c r="E98" s="29"/>
      <c r="F98" s="29"/>
      <c r="G98" s="94" t="s">
        <v>1031</v>
      </c>
      <c r="H98" s="36" t="s">
        <v>36</v>
      </c>
      <c r="I98" s="636"/>
      <c r="J98" s="633" t="str">
        <f>IF(ISBLANK(HLOOKUP(CaseName,CaseData,MATCH($G98,cases!$G$3:$G$2464,0),FALSE)),"",HLOOKUP(CaseName,CaseData,MATCH($G98,cases!$G$3:$G$2464,0),FALSE))</f>
        <v/>
      </c>
      <c r="K98" s="639">
        <f>L34 / (L32*L69*FRorig.s1w/(L99*RHOsolid/1000)+L33 /(L99*RHOsolid/1000)+L34 )</f>
        <v>0.99064667346783319</v>
      </c>
      <c r="L98" s="634">
        <f t="shared" si="2"/>
        <v>0.99064667346783319</v>
      </c>
      <c r="M98" s="5" t="s">
        <v>486</v>
      </c>
      <c r="N98" s="29"/>
      <c r="O98" s="36"/>
    </row>
    <row r="99" spans="1:15" ht="12.75" customHeight="1" x14ac:dyDescent="0.3">
      <c r="A99" s="36"/>
      <c r="B99" s="29"/>
      <c r="C99" s="36" t="s">
        <v>1328</v>
      </c>
      <c r="D99" s="29"/>
      <c r="E99" s="29"/>
      <c r="F99" s="29"/>
      <c r="G99" s="94" t="s">
        <v>125</v>
      </c>
      <c r="H99" s="36" t="s">
        <v>1039</v>
      </c>
      <c r="I99" s="636"/>
      <c r="J99" s="633" t="str">
        <f>IF(ISBLANK(HLOOKUP(CaseName,CaseData,MATCH($G99,cases!$G$3:$G$2464,0),FALSE)),"",HLOOKUP(CaseName,CaseData,MATCH($G99,cases!$G$3:$G$2464,0),FALSE))</f>
        <v/>
      </c>
      <c r="K99" s="639">
        <f>(FRorig.s1*Ksw+(1-FRorig.s1)*Ksw.alt)*(1000/RHOsolid/CORG)*L100</f>
        <v>15.390758470509281</v>
      </c>
      <c r="L99" s="634">
        <f t="shared" si="2"/>
        <v>15.390758470509281</v>
      </c>
      <c r="M99" s="36" t="s">
        <v>1498</v>
      </c>
      <c r="N99" s="29"/>
      <c r="O99" s="36"/>
    </row>
    <row r="100" spans="1:15" ht="12.75" customHeight="1" x14ac:dyDescent="0.3">
      <c r="A100" s="36"/>
      <c r="B100" s="29"/>
      <c r="C100" s="36" t="s">
        <v>1274</v>
      </c>
      <c r="D100" s="29"/>
      <c r="E100" s="29"/>
      <c r="F100" s="29"/>
      <c r="G100" s="94" t="s">
        <v>480</v>
      </c>
      <c r="H100" s="36" t="s">
        <v>36</v>
      </c>
      <c r="I100" s="636"/>
      <c r="J100" s="633" t="str">
        <f>IF(ISBLANK(HLOOKUP(CaseName,CaseData,MATCH($G100,cases!$G$3:$G$2464,0),FALSE)),"",HLOOKUP(CaseName,CaseData,MATCH($G100,cases!$G$3:$G$2464,0),FALSE))</f>
        <v/>
      </c>
      <c r="K100" s="639">
        <v>0.02</v>
      </c>
      <c r="L100" s="634">
        <f t="shared" si="2"/>
        <v>0.02</v>
      </c>
      <c r="M100" s="29" t="s">
        <v>486</v>
      </c>
      <c r="N100" s="29"/>
      <c r="O100" s="36"/>
    </row>
    <row r="101" spans="1:15" ht="12.75" customHeight="1" x14ac:dyDescent="0.3">
      <c r="A101" s="36"/>
      <c r="B101" s="36" t="s">
        <v>781</v>
      </c>
      <c r="C101" s="95"/>
      <c r="D101" s="29"/>
      <c r="E101" s="29"/>
      <c r="F101" s="29"/>
      <c r="G101" s="94" t="s">
        <v>481</v>
      </c>
      <c r="H101" s="36" t="s">
        <v>36</v>
      </c>
      <c r="I101" s="636"/>
      <c r="J101" s="633" t="str">
        <f>IF(ISBLANK(HLOOKUP(CaseName,CaseData,MATCH($G101,cases!$G$3:$G$2464,0),FALSE)),"",HLOOKUP(CaseName,CaseData,MATCH($G101,cases!$G$3:$G$2464,0),FALSE))</f>
        <v/>
      </c>
      <c r="K101" s="639">
        <f>L35*(L69*FRorig.s2w)+L36+L37*L104*RHOsolid/1000</f>
        <v>23.304108643447179</v>
      </c>
      <c r="L101" s="634">
        <f t="shared" si="2"/>
        <v>23.304108643447179</v>
      </c>
      <c r="M101" s="29" t="s">
        <v>486</v>
      </c>
      <c r="N101" s="29"/>
      <c r="O101" s="36"/>
    </row>
    <row r="102" spans="1:15" ht="12.75" customHeight="1" x14ac:dyDescent="0.3">
      <c r="A102" s="36"/>
      <c r="B102" s="36" t="s">
        <v>516</v>
      </c>
      <c r="C102" s="95"/>
      <c r="D102" s="29"/>
      <c r="E102" s="29"/>
      <c r="F102" s="29"/>
      <c r="G102" s="94" t="s">
        <v>578</v>
      </c>
      <c r="H102" s="36" t="s">
        <v>36</v>
      </c>
      <c r="I102" s="636"/>
      <c r="J102" s="633" t="str">
        <f>IF(ISBLANK(HLOOKUP(CaseName,CaseData,MATCH($G102,cases!$G$3:$G$2464,0),FALSE)),"",HLOOKUP(CaseName,CaseData,MATCH($G102,cases!$G$3:$G$2464,0),FALSE))</f>
        <v/>
      </c>
      <c r="K102" s="639">
        <f>L36/(L35*(L69*FRorig.s2w)+L36+L37*L104*RHOsolid/1000)</f>
        <v>8.5821776348539939E-3</v>
      </c>
      <c r="L102" s="634">
        <f t="shared" si="2"/>
        <v>8.5821776348539939E-3</v>
      </c>
      <c r="M102" s="29" t="s">
        <v>486</v>
      </c>
      <c r="N102" s="29"/>
      <c r="O102" s="36"/>
    </row>
    <row r="103" spans="1:15" ht="12.75" customHeight="1" x14ac:dyDescent="0.3">
      <c r="A103" s="36"/>
      <c r="B103" s="29" t="s">
        <v>1102</v>
      </c>
      <c r="C103" s="36"/>
      <c r="D103" s="29"/>
      <c r="E103" s="29"/>
      <c r="F103" s="29"/>
      <c r="G103" s="94" t="s">
        <v>1032</v>
      </c>
      <c r="H103" s="36" t="s">
        <v>36</v>
      </c>
      <c r="I103" s="636"/>
      <c r="J103" s="633" t="str">
        <f>IF(ISBLANK(HLOOKUP(CaseName,CaseData,MATCH($G103,cases!$G$3:$G$2464,0),FALSE)),"",HLOOKUP(CaseName,CaseData,MATCH($G103,cases!$G$3:$G$2464,0),FALSE))</f>
        <v/>
      </c>
      <c r="K103" s="639">
        <f>L37 / (L35*L69*FRorig.s2w/(L104*RHOsolid/1000)+L36 /(L104*RHOsolid/1000)+L37 )</f>
        <v>0.99064667346783319</v>
      </c>
      <c r="L103" s="634">
        <f t="shared" si="2"/>
        <v>0.99064667346783319</v>
      </c>
      <c r="M103" s="36" t="s">
        <v>486</v>
      </c>
      <c r="N103" s="29"/>
      <c r="O103" s="36"/>
    </row>
    <row r="104" spans="1:15" ht="12.75" customHeight="1" x14ac:dyDescent="0.3">
      <c r="A104" s="36"/>
      <c r="B104" s="29"/>
      <c r="C104" s="36" t="s">
        <v>1233</v>
      </c>
      <c r="D104" s="29"/>
      <c r="E104" s="29"/>
      <c r="F104" s="29"/>
      <c r="G104" s="94" t="s">
        <v>167</v>
      </c>
      <c r="H104" s="36" t="s">
        <v>1039</v>
      </c>
      <c r="I104" s="636"/>
      <c r="J104" s="633" t="str">
        <f>IF(ISBLANK(HLOOKUP(CaseName,CaseData,MATCH($G104,cases!$G$3:$G$2464,0),FALSE)),"",HLOOKUP(CaseName,CaseData,MATCH($G104,cases!$G$3:$G$2464,0),FALSE))</f>
        <v/>
      </c>
      <c r="K104" s="639">
        <f>(FRorig.s2*Ksw+(1-FRorig.s2)*Ksw.alt)*(1000/RHOsolid/CORG)*L105</f>
        <v>15.390758470509281</v>
      </c>
      <c r="L104" s="634">
        <f t="shared" si="2"/>
        <v>15.390758470509281</v>
      </c>
      <c r="M104" s="36" t="s">
        <v>1498</v>
      </c>
      <c r="N104" s="29"/>
      <c r="O104" s="36"/>
    </row>
    <row r="105" spans="1:15" ht="12.75" customHeight="1" x14ac:dyDescent="0.3">
      <c r="A105" s="36"/>
      <c r="B105" s="29"/>
      <c r="C105" s="36" t="s">
        <v>1273</v>
      </c>
      <c r="D105" s="29"/>
      <c r="E105" s="29"/>
      <c r="F105" s="29"/>
      <c r="G105" s="94" t="s">
        <v>482</v>
      </c>
      <c r="H105" s="36" t="s">
        <v>36</v>
      </c>
      <c r="I105" s="636"/>
      <c r="J105" s="633" t="str">
        <f>IF(ISBLANK(HLOOKUP(CaseName,CaseData,MATCH($G105,cases!$G$3:$G$2464,0),FALSE)),"",HLOOKUP(CaseName,CaseData,MATCH($G105,cases!$G$3:$G$2464,0),FALSE))</f>
        <v/>
      </c>
      <c r="K105" s="639">
        <v>0.02</v>
      </c>
      <c r="L105" s="634">
        <f t="shared" si="2"/>
        <v>0.02</v>
      </c>
      <c r="M105" s="29" t="s">
        <v>486</v>
      </c>
      <c r="N105" s="29"/>
      <c r="O105" s="36"/>
    </row>
    <row r="106" spans="1:15" ht="12.75" customHeight="1" x14ac:dyDescent="0.3">
      <c r="A106" s="36"/>
      <c r="B106" s="36" t="s">
        <v>785</v>
      </c>
      <c r="C106" s="95"/>
      <c r="D106" s="29"/>
      <c r="E106" s="29"/>
      <c r="F106" s="29"/>
      <c r="G106" s="94" t="s">
        <v>483</v>
      </c>
      <c r="H106" s="36" t="s">
        <v>36</v>
      </c>
      <c r="I106" s="636"/>
      <c r="J106" s="633" t="str">
        <f>IF(ISBLANK(HLOOKUP(CaseName,CaseData,MATCH($G106,cases!$G$3:$G$2464,0),FALSE)),"",HLOOKUP(CaseName,CaseData,MATCH($G106,cases!$G$3:$G$2464,0),FALSE))</f>
        <v/>
      </c>
      <c r="K106" s="639">
        <f>L38*(L69*FRorig.s3w)+L39+L40*L109*RHOsolid/1000</f>
        <v>23.304108643447179</v>
      </c>
      <c r="L106" s="634">
        <f t="shared" si="2"/>
        <v>23.304108643447179</v>
      </c>
      <c r="M106" s="29" t="s">
        <v>486</v>
      </c>
      <c r="N106" s="29"/>
      <c r="O106" s="36"/>
    </row>
    <row r="107" spans="1:15" ht="12.75" customHeight="1" x14ac:dyDescent="0.3">
      <c r="A107" s="36"/>
      <c r="B107" s="36" t="s">
        <v>517</v>
      </c>
      <c r="C107" s="95"/>
      <c r="D107" s="29"/>
      <c r="E107" s="29"/>
      <c r="F107" s="29"/>
      <c r="G107" s="94" t="s">
        <v>579</v>
      </c>
      <c r="H107" s="36" t="s">
        <v>36</v>
      </c>
      <c r="I107" s="636"/>
      <c r="J107" s="633" t="str">
        <f>IF(ISBLANK(HLOOKUP(CaseName,CaseData,MATCH($G107,cases!$G$3:$G$2464,0),FALSE)),"",HLOOKUP(CaseName,CaseData,MATCH($G107,cases!$G$3:$G$2464,0),FALSE))</f>
        <v/>
      </c>
      <c r="K107" s="639">
        <f>L39/(L38*(L69*FRorig.s3w)+L39+L40*L109*RHOsolid/1000)</f>
        <v>8.5821776348539939E-3</v>
      </c>
      <c r="L107" s="634">
        <f t="shared" si="2"/>
        <v>8.5821776348539939E-3</v>
      </c>
      <c r="M107" s="29" t="s">
        <v>486</v>
      </c>
      <c r="N107" s="29"/>
      <c r="O107" s="36"/>
    </row>
    <row r="108" spans="1:15" ht="12.75" customHeight="1" x14ac:dyDescent="0.3">
      <c r="A108" s="36"/>
      <c r="B108" s="29" t="s">
        <v>933</v>
      </c>
      <c r="C108" s="36"/>
      <c r="D108" s="29"/>
      <c r="E108" s="29"/>
      <c r="F108" s="29"/>
      <c r="G108" s="94" t="s">
        <v>1033</v>
      </c>
      <c r="H108" s="36" t="s">
        <v>36</v>
      </c>
      <c r="I108" s="636"/>
      <c r="J108" s="633" t="str">
        <f>IF(ISBLANK(HLOOKUP(CaseName,CaseData,MATCH($G108,cases!$G$3:$G$2464,0),FALSE)),"",HLOOKUP(CaseName,CaseData,MATCH($G108,cases!$G$3:$G$2464,0),FALSE))</f>
        <v/>
      </c>
      <c r="K108" s="639">
        <f>L40 / (L38*L69*FRorig.s2w/(L109*RHOsolid/1000)+L39 /(L109*RHOsolid/1000)+L40 )</f>
        <v>0.99064667346783319</v>
      </c>
      <c r="L108" s="634">
        <f t="shared" si="2"/>
        <v>0.99064667346783319</v>
      </c>
      <c r="M108" s="36" t="s">
        <v>486</v>
      </c>
      <c r="N108" s="29"/>
      <c r="O108" s="36"/>
    </row>
    <row r="109" spans="1:15" ht="12.75" customHeight="1" x14ac:dyDescent="0.3">
      <c r="A109" s="36"/>
      <c r="B109" s="29"/>
      <c r="C109" s="36" t="s">
        <v>1065</v>
      </c>
      <c r="D109" s="29"/>
      <c r="E109" s="29"/>
      <c r="F109" s="29"/>
      <c r="G109" s="94" t="s">
        <v>169</v>
      </c>
      <c r="H109" s="36" t="s">
        <v>1039</v>
      </c>
      <c r="I109" s="636"/>
      <c r="J109" s="633" t="str">
        <f>IF(ISBLANK(HLOOKUP(CaseName,CaseData,MATCH($G109,cases!$G$3:$G$2464,0),FALSE)),"",HLOOKUP(CaseName,CaseData,MATCH($G109,cases!$G$3:$G$2464,0),FALSE))</f>
        <v/>
      </c>
      <c r="K109" s="639">
        <f>(FRorig.s3*Ksw+(1-FRorig.s3)*Ksw.alt)*(1000/RHOsolid/CORG)*L110</f>
        <v>15.390758470509281</v>
      </c>
      <c r="L109" s="634">
        <f t="shared" si="2"/>
        <v>15.390758470509281</v>
      </c>
      <c r="M109" s="36" t="s">
        <v>1498</v>
      </c>
      <c r="N109" s="29"/>
      <c r="O109" s="36"/>
    </row>
    <row r="110" spans="1:15" ht="12.75" customHeight="1" x14ac:dyDescent="0.3">
      <c r="A110" s="36"/>
      <c r="B110" s="29"/>
      <c r="C110" s="36" t="s">
        <v>1405</v>
      </c>
      <c r="D110" s="29"/>
      <c r="E110" s="29"/>
      <c r="F110" s="29"/>
      <c r="G110" s="94" t="s">
        <v>484</v>
      </c>
      <c r="H110" s="36" t="s">
        <v>36</v>
      </c>
      <c r="I110" s="636"/>
      <c r="J110" s="633" t="str">
        <f>IF(ISBLANK(HLOOKUP(CaseName,CaseData,MATCH($G110,cases!$G$3:$G$2464,0),FALSE)),"",HLOOKUP(CaseName,CaseData,MATCH($G110,cases!$G$3:$G$2464,0),FALSE))</f>
        <v/>
      </c>
      <c r="K110" s="639">
        <v>0.02</v>
      </c>
      <c r="L110" s="634">
        <f t="shared" si="2"/>
        <v>0.02</v>
      </c>
      <c r="M110" s="29" t="s">
        <v>486</v>
      </c>
      <c r="N110" s="29"/>
      <c r="O110" s="36"/>
    </row>
    <row r="111" spans="1:15" ht="12.75" customHeight="1" x14ac:dyDescent="0.3">
      <c r="A111" s="29"/>
      <c r="B111" s="29"/>
      <c r="C111" s="29"/>
      <c r="D111" s="29"/>
      <c r="E111" s="29"/>
      <c r="F111" s="29"/>
      <c r="G111" s="29"/>
      <c r="H111" s="29"/>
      <c r="I111" s="633"/>
      <c r="J111" s="353"/>
      <c r="K111" s="353"/>
      <c r="L111" s="353"/>
      <c r="M111" s="29"/>
      <c r="N111" s="29"/>
      <c r="O111" s="36"/>
    </row>
    <row r="112" spans="1:15" ht="12.75" customHeight="1" x14ac:dyDescent="0.3">
      <c r="A112" s="98" t="s">
        <v>1311</v>
      </c>
      <c r="B112" s="97"/>
      <c r="C112" s="97"/>
      <c r="D112" s="97"/>
      <c r="E112" s="97"/>
      <c r="F112" s="97"/>
      <c r="G112" s="98" t="s">
        <v>1008</v>
      </c>
      <c r="H112" s="98" t="s">
        <v>968</v>
      </c>
      <c r="I112" s="364" t="s">
        <v>754</v>
      </c>
      <c r="J112" s="340" t="s">
        <v>37</v>
      </c>
      <c r="K112" s="340" t="s">
        <v>753</v>
      </c>
      <c r="L112" s="340" t="s">
        <v>1358</v>
      </c>
      <c r="M112" s="97"/>
      <c r="N112" s="98" t="s">
        <v>1371</v>
      </c>
      <c r="O112" s="36"/>
    </row>
    <row r="113" spans="1:15" ht="12.75" customHeight="1" x14ac:dyDescent="0.3">
      <c r="A113" s="29"/>
      <c r="B113" s="29"/>
      <c r="C113" s="29"/>
      <c r="D113" s="29"/>
      <c r="E113" s="29"/>
      <c r="F113" s="29"/>
      <c r="G113" s="29"/>
      <c r="H113" s="29"/>
      <c r="I113" s="633"/>
      <c r="J113" s="353"/>
      <c r="K113" s="353"/>
      <c r="L113" s="353"/>
      <c r="M113" s="29"/>
      <c r="N113" s="29"/>
      <c r="O113" s="36"/>
    </row>
    <row r="114" spans="1:15" ht="12.75" customHeight="1" x14ac:dyDescent="0.3">
      <c r="A114" s="36" t="s">
        <v>298</v>
      </c>
      <c r="B114" s="29"/>
      <c r="C114" s="29"/>
      <c r="D114" s="29"/>
      <c r="E114" s="29"/>
      <c r="F114" s="29"/>
      <c r="G114" s="36" t="s">
        <v>348</v>
      </c>
      <c r="H114" s="36" t="s">
        <v>4036</v>
      </c>
      <c r="I114" s="632"/>
      <c r="J114" s="633" t="str">
        <f>IF(ISBLANK(HLOOKUP(CaseName,CaseData,MATCH($G114,cases!$G$3:$G$2464,0),FALSE)),"",HLOOKUP(CaseName,CaseData,MATCH($G114,cases!$G$3:$G$2464,0),FALSE))</f>
        <v/>
      </c>
      <c r="K114" s="352">
        <f>(L126+L137/L21)*L15</f>
        <v>7.1601443059486076E-11</v>
      </c>
      <c r="L114" s="634">
        <f>IF(ISBLANK(I114),IF(ISNUMBER(J114)=FALSE,K114,J114),I114)</f>
        <v>7.1601443059486076E-11</v>
      </c>
      <c r="M114" s="29" t="s">
        <v>1488</v>
      </c>
      <c r="N114" s="29"/>
      <c r="O114" s="36"/>
    </row>
    <row r="115" spans="1:15" ht="12.75" customHeight="1" x14ac:dyDescent="0.3">
      <c r="A115" s="36" t="s">
        <v>66</v>
      </c>
      <c r="B115" s="29"/>
      <c r="C115" s="29"/>
      <c r="D115" s="29"/>
      <c r="E115" s="29"/>
      <c r="F115" s="29"/>
      <c r="G115" s="36" t="s">
        <v>264</v>
      </c>
      <c r="H115" s="36" t="s">
        <v>4036</v>
      </c>
      <c r="I115" s="632"/>
      <c r="J115" s="633" t="str">
        <f>IF(ISBLANK(HLOOKUP(CaseName,CaseData,MATCH($G115,cases!$G$3:$G$2464,0),FALSE)),"",HLOOKUP(CaseName,CaseData,MATCH($G115,cases!$G$3:$G$2464,0),FALSE))</f>
        <v/>
      </c>
      <c r="K115" s="352">
        <f>(L126+L137/L21)*L16</f>
        <v>7.8761587365434676E-10</v>
      </c>
      <c r="L115" s="634">
        <f t="shared" ref="L115:L136" si="4">IF(ISBLANK(I115),IF(ISNUMBER(J115)=FALSE,K115,J115),I115)</f>
        <v>7.8761587365434676E-10</v>
      </c>
      <c r="M115" s="29" t="s">
        <v>1488</v>
      </c>
      <c r="N115" s="29"/>
      <c r="O115" s="36"/>
    </row>
    <row r="116" spans="1:15" ht="12.75" customHeight="1" x14ac:dyDescent="0.3">
      <c r="A116" s="36" t="s">
        <v>67</v>
      </c>
      <c r="B116" s="29"/>
      <c r="C116" s="29"/>
      <c r="D116" s="29"/>
      <c r="E116" s="29"/>
      <c r="F116" s="29"/>
      <c r="G116" s="36" t="s">
        <v>265</v>
      </c>
      <c r="H116" s="36" t="s">
        <v>4036</v>
      </c>
      <c r="I116" s="632"/>
      <c r="J116" s="633" t="str">
        <f>IF(ISBLANK(HLOOKUP(CaseName,CaseData,MATCH($G116,cases!$G$3:$G$2464,0),FALSE)),"",HLOOKUP(CaseName,CaseData,MATCH($G116,cases!$G$3:$G$2464,0),FALSE))</f>
        <v/>
      </c>
      <c r="K116" s="352">
        <f>(L126+L137/L21)*L20</f>
        <v>2.8640577223794428E-8</v>
      </c>
      <c r="L116" s="634">
        <f t="shared" si="4"/>
        <v>2.8640577223794428E-8</v>
      </c>
      <c r="M116" s="29" t="s">
        <v>1488</v>
      </c>
      <c r="N116" s="29"/>
      <c r="O116" s="36"/>
    </row>
    <row r="117" spans="1:15" ht="12.75" customHeight="1" x14ac:dyDescent="0.3">
      <c r="A117" s="36" t="s">
        <v>68</v>
      </c>
      <c r="B117" s="29"/>
      <c r="C117" s="29"/>
      <c r="D117" s="29"/>
      <c r="E117" s="29"/>
      <c r="F117" s="29"/>
      <c r="G117" s="36" t="s">
        <v>266</v>
      </c>
      <c r="H117" s="36" t="s">
        <v>4036</v>
      </c>
      <c r="I117" s="632"/>
      <c r="J117" s="633" t="str">
        <f>IF(ISBLANK(HLOOKUP(CaseName,CaseData,MATCH($G117,cases!$G$3:$G$2464,0),FALSE)),"",HLOOKUP(CaseName,CaseData,MATCH($G117,cases!$G$3:$G$2464,0),FALSE))</f>
        <v/>
      </c>
      <c r="K117" s="352">
        <f>(L126+L138/L21)*L17</f>
        <v>1.853604563279448E-10</v>
      </c>
      <c r="L117" s="634">
        <f t="shared" si="4"/>
        <v>1.853604563279448E-10</v>
      </c>
      <c r="M117" s="29" t="s">
        <v>1488</v>
      </c>
      <c r="N117" s="29"/>
      <c r="O117" s="36"/>
    </row>
    <row r="118" spans="1:15" ht="12.75" customHeight="1" x14ac:dyDescent="0.3">
      <c r="A118" s="36" t="s">
        <v>69</v>
      </c>
      <c r="B118" s="29"/>
      <c r="C118" s="29"/>
      <c r="D118" s="29"/>
      <c r="E118" s="29"/>
      <c r="F118" s="29"/>
      <c r="G118" s="36" t="s">
        <v>816</v>
      </c>
      <c r="H118" s="36" t="s">
        <v>4036</v>
      </c>
      <c r="I118" s="632"/>
      <c r="J118" s="633" t="str">
        <f>IF(ISBLANK(HLOOKUP(CaseName,CaseData,MATCH($G118,cases!$G$3:$G$2464,0),FALSE)),"",HLOOKUP(CaseName,CaseData,MATCH($G118,cases!$G$3:$G$2464,0),FALSE))</f>
        <v/>
      </c>
      <c r="K118" s="352">
        <f>(L126+L138/L21)*L18</f>
        <v>4.1191212517321062E-10</v>
      </c>
      <c r="L118" s="634">
        <f t="shared" si="4"/>
        <v>4.1191212517321062E-10</v>
      </c>
      <c r="M118" s="29" t="s">
        <v>1488</v>
      </c>
      <c r="N118" s="29"/>
      <c r="O118" s="36"/>
    </row>
    <row r="119" spans="1:15" ht="12.75" customHeight="1" x14ac:dyDescent="0.3">
      <c r="A119" s="36" t="s">
        <v>70</v>
      </c>
      <c r="B119" s="29"/>
      <c r="C119" s="29"/>
      <c r="D119" s="29"/>
      <c r="E119" s="29"/>
      <c r="F119" s="29"/>
      <c r="G119" s="36" t="s">
        <v>817</v>
      </c>
      <c r="H119" s="36" t="s">
        <v>4036</v>
      </c>
      <c r="I119" s="632"/>
      <c r="J119" s="633" t="str">
        <f>IF(ISBLANK(HLOOKUP(CaseName,CaseData,MATCH($G119,cases!$G$3:$G$2464,0),FALSE)),"",HLOOKUP(CaseName,CaseData,MATCH($G119,cases!$G$3:$G$2464,0),FALSE))</f>
        <v/>
      </c>
      <c r="K119" s="352">
        <f>(L126+L138/L21)*L19</f>
        <v>6.8652020862201779E-11</v>
      </c>
      <c r="L119" s="634">
        <f t="shared" si="4"/>
        <v>6.8652020862201779E-11</v>
      </c>
      <c r="M119" s="29" t="s">
        <v>1488</v>
      </c>
      <c r="N119" s="29"/>
      <c r="O119" s="36"/>
    </row>
    <row r="120" spans="1:15" ht="12.75" customHeight="1" x14ac:dyDescent="0.3">
      <c r="A120" s="36" t="s">
        <v>71</v>
      </c>
      <c r="B120" s="29"/>
      <c r="C120" s="29"/>
      <c r="D120" s="29"/>
      <c r="E120" s="29"/>
      <c r="F120" s="29"/>
      <c r="G120" s="36" t="s">
        <v>349</v>
      </c>
      <c r="H120" s="36" t="s">
        <v>4036</v>
      </c>
      <c r="I120" s="632"/>
      <c r="J120" s="633" t="str">
        <f>IF(ISBLANK(HLOOKUP(CaseName,CaseData,MATCH($G120,cases!$G$3:$G$2464,0),FALSE)),"",HLOOKUP(CaseName,CaseData,MATCH($G120,cases!$G$3:$G$2464,0),FALSE))</f>
        <v/>
      </c>
      <c r="K120" s="352">
        <f>L139/L22</f>
        <v>5.123442414531955E-8</v>
      </c>
      <c r="L120" s="634">
        <f>IF(ISBLANK(I120),IF(ISNUMBER(J120)=FALSE,K120,J120),I120)</f>
        <v>5.123442414531955E-8</v>
      </c>
      <c r="M120" s="29" t="s">
        <v>1488</v>
      </c>
      <c r="N120" s="29"/>
      <c r="O120" s="36"/>
    </row>
    <row r="121" spans="1:15" ht="12.75" customHeight="1" x14ac:dyDescent="0.3">
      <c r="A121" s="36" t="s">
        <v>71</v>
      </c>
      <c r="B121" s="29"/>
      <c r="C121" s="29"/>
      <c r="D121" s="29"/>
      <c r="E121" s="29"/>
      <c r="F121" s="29"/>
      <c r="G121" s="36" t="s">
        <v>818</v>
      </c>
      <c r="H121" s="36" t="s">
        <v>4036</v>
      </c>
      <c r="I121" s="632"/>
      <c r="J121" s="633" t="str">
        <f>IF(ISBLANK(HLOOKUP(CaseName,CaseData,MATCH($G121,cases!$G$3:$G$2464,0),FALSE)),"",HLOOKUP(CaseName,CaseData,MATCH($G121,cases!$G$3:$G$2464,0),FALSE))</f>
        <v/>
      </c>
      <c r="K121" s="352">
        <f>L140/L23</f>
        <v>1.7059111232725971E-6</v>
      </c>
      <c r="L121" s="634">
        <f t="shared" si="4"/>
        <v>1.7059111232725971E-6</v>
      </c>
      <c r="M121" s="29" t="s">
        <v>1488</v>
      </c>
      <c r="N121" s="29"/>
      <c r="O121" s="36"/>
    </row>
    <row r="122" spans="1:15" ht="12.75" customHeight="1" x14ac:dyDescent="0.3">
      <c r="A122" s="36" t="s">
        <v>72</v>
      </c>
      <c r="B122" s="29"/>
      <c r="C122" s="29"/>
      <c r="D122" s="29"/>
      <c r="E122" s="29"/>
      <c r="F122" s="29"/>
      <c r="G122" s="36" t="s">
        <v>819</v>
      </c>
      <c r="H122" s="36" t="s">
        <v>4036</v>
      </c>
      <c r="I122" s="632"/>
      <c r="J122" s="633" t="str">
        <f>IF(ISBLANK(HLOOKUP(CaseName,CaseData,MATCH($G122,cases!$G$3:$G$2464,0),FALSE)),"",HLOOKUP(CaseName,CaseData,MATCH($G122,cases!$G$3:$G$2464,0),FALSE))</f>
        <v/>
      </c>
      <c r="K122" s="352">
        <f>L141/L24</f>
        <v>2.5608346397061995E-8</v>
      </c>
      <c r="L122" s="634">
        <f t="shared" si="4"/>
        <v>2.5608346397061995E-8</v>
      </c>
      <c r="M122" s="29" t="s">
        <v>1488</v>
      </c>
      <c r="N122" s="29"/>
      <c r="O122" s="36"/>
    </row>
    <row r="123" spans="1:15" ht="12.75" customHeight="1" x14ac:dyDescent="0.3">
      <c r="A123" s="36" t="s">
        <v>73</v>
      </c>
      <c r="B123" s="29"/>
      <c r="C123" s="29"/>
      <c r="D123" s="29"/>
      <c r="E123" s="29"/>
      <c r="F123" s="29"/>
      <c r="G123" s="36" t="s">
        <v>820</v>
      </c>
      <c r="H123" s="36" t="s">
        <v>4036</v>
      </c>
      <c r="I123" s="632"/>
      <c r="J123" s="633" t="str">
        <f>IF(ISBLANK(HLOOKUP(CaseName,CaseData,MATCH($G123,cases!$G$3:$G$2464,0),FALSE)),"",HLOOKUP(CaseName,CaseData,MATCH($G123,cases!$G$3:$G$2464,0),FALSE))</f>
        <v/>
      </c>
      <c r="K123" s="352">
        <f>L144/L27</f>
        <v>1.103232338463208E-7</v>
      </c>
      <c r="L123" s="634">
        <f t="shared" si="4"/>
        <v>1.103232338463208E-7</v>
      </c>
      <c r="M123" s="29" t="s">
        <v>1488</v>
      </c>
      <c r="N123" s="29"/>
      <c r="O123" s="36"/>
    </row>
    <row r="124" spans="1:15" ht="12.75" customHeight="1" x14ac:dyDescent="0.3">
      <c r="A124" s="36" t="s">
        <v>74</v>
      </c>
      <c r="B124" s="29"/>
      <c r="C124" s="29"/>
      <c r="D124" s="29"/>
      <c r="E124" s="29"/>
      <c r="F124" s="29"/>
      <c r="G124" s="36" t="s">
        <v>821</v>
      </c>
      <c r="H124" s="36" t="s">
        <v>4036</v>
      </c>
      <c r="I124" s="632"/>
      <c r="J124" s="633" t="str">
        <f>IF(ISBLANK(HLOOKUP(CaseName,CaseData,MATCH($G124,cases!$G$3:$G$2464,0),FALSE)),"",HLOOKUP(CaseName,CaseData,MATCH($G124,cases!$G$3:$G$2464,0),FALSE))</f>
        <v/>
      </c>
      <c r="K124" s="352">
        <f>L145/L28</f>
        <v>5.0203054661890868E-8</v>
      </c>
      <c r="L124" s="634">
        <f t="shared" si="4"/>
        <v>5.0203054661890868E-8</v>
      </c>
      <c r="M124" s="29" t="s">
        <v>1488</v>
      </c>
      <c r="N124" s="29"/>
      <c r="O124" s="36"/>
    </row>
    <row r="125" spans="1:15" ht="12.75" customHeight="1" x14ac:dyDescent="0.3">
      <c r="A125" s="36" t="s">
        <v>75</v>
      </c>
      <c r="B125" s="29"/>
      <c r="C125" s="29"/>
      <c r="D125" s="29"/>
      <c r="E125" s="29"/>
      <c r="F125" s="29"/>
      <c r="G125" s="36" t="s">
        <v>822</v>
      </c>
      <c r="H125" s="36" t="s">
        <v>4036</v>
      </c>
      <c r="I125" s="632"/>
      <c r="J125" s="633" t="str">
        <f>IF(ISBLANK(HLOOKUP(CaseName,CaseData,MATCH($G125,cases!$G$3:$G$2464,0),FALSE)),"",HLOOKUP(CaseName,CaseData,MATCH($G125,cases!$G$3:$G$2464,0),FALSE))</f>
        <v/>
      </c>
      <c r="K125" s="352">
        <f>L146/L29</f>
        <v>1.103232338463208E-7</v>
      </c>
      <c r="L125" s="634">
        <f t="shared" si="4"/>
        <v>1.103232338463208E-7</v>
      </c>
      <c r="M125" s="29" t="s">
        <v>1488</v>
      </c>
      <c r="N125" s="29"/>
      <c r="O125" s="36"/>
    </row>
    <row r="126" spans="1:15" ht="12.75" customHeight="1" x14ac:dyDescent="0.3">
      <c r="A126" s="36"/>
      <c r="B126" s="36" t="s">
        <v>3974</v>
      </c>
      <c r="C126" s="29"/>
      <c r="D126" s="29"/>
      <c r="E126" s="29"/>
      <c r="F126" s="29"/>
      <c r="G126" s="37" t="s">
        <v>2263</v>
      </c>
      <c r="H126" s="36" t="s">
        <v>4036</v>
      </c>
      <c r="I126" s="632"/>
      <c r="J126" s="633" t="str">
        <f>IF(ISBLANK(HLOOKUP(CaseName,CaseData,MATCH($G126,cases!$G$3:$G$2464,0),FALSE)),"",HLOOKUP(CaseName,CaseData,MATCH($G126,cases!$G$3:$G$2464,0),FALSE))</f>
        <v/>
      </c>
      <c r="K126" s="352">
        <f>L127-SUM((L137*(L15+L16+L20)+L138*(L17+L18+L19))/L21,L203,L44,L45)</f>
        <v>2.4721870736249382E-10</v>
      </c>
      <c r="L126" s="634">
        <f t="shared" si="4"/>
        <v>2.4721870736249382E-10</v>
      </c>
      <c r="M126" s="29" t="s">
        <v>1488</v>
      </c>
      <c r="N126" s="29"/>
      <c r="O126" s="36"/>
    </row>
    <row r="127" spans="1:15" ht="12.75" customHeight="1" x14ac:dyDescent="0.3">
      <c r="A127" s="36"/>
      <c r="B127" s="36"/>
      <c r="C127" s="29" t="s">
        <v>3975</v>
      </c>
      <c r="D127" s="29"/>
      <c r="E127" s="29"/>
      <c r="F127" s="29"/>
      <c r="G127" s="37" t="s">
        <v>2264</v>
      </c>
      <c r="H127" s="36" t="s">
        <v>4036</v>
      </c>
      <c r="I127" s="632"/>
      <c r="J127" s="633" t="str">
        <f>IF(ISBLANK(HLOOKUP(CaseName,CaseData,MATCH($G127,cases!$G$3:$G$2464,0),FALSE)),"",HLOOKUP(CaseName,CaseData,MATCH($G127,cases!$G$3:$G$2464,0),FALSE))</f>
        <v/>
      </c>
      <c r="K127" s="352">
        <f>((1/L128)*L130/(L130+L131)+(1/L129)*L131/(L130+L131)-((1/L129-1/L128)^2/(L130+L131))*(1-EXP(-L128*L130))*(1-EXP(-L129*L131))/(1-EXP(-L128*L130-L129*L131)))^-1</f>
        <v>1.9020842821629862E-6</v>
      </c>
      <c r="L127" s="634">
        <f t="shared" si="4"/>
        <v>1.9020842821629862E-6</v>
      </c>
      <c r="M127" s="29" t="s">
        <v>1488</v>
      </c>
      <c r="N127" s="29"/>
      <c r="O127" s="36"/>
    </row>
    <row r="128" spans="1:15" ht="12.75" customHeight="1" x14ac:dyDescent="0.3">
      <c r="A128" s="36"/>
      <c r="B128" s="36"/>
      <c r="C128" s="36"/>
      <c r="D128" s="36" t="s">
        <v>3976</v>
      </c>
      <c r="E128" s="29"/>
      <c r="F128" s="29"/>
      <c r="G128" s="37" t="s">
        <v>998</v>
      </c>
      <c r="H128" s="36" t="s">
        <v>4036</v>
      </c>
      <c r="I128" s="632"/>
      <c r="J128" s="633" t="str">
        <f>IF(ISBLANK(HLOOKUP(CaseName,CaseData,MATCH($G128,cases!$G$3:$G$2464,0),FALSE)),"",HLOOKUP(CaseName,CaseData,MATCH($G128,cases!$G$3:$G$2464,0),FALSE))</f>
        <v/>
      </c>
      <c r="K128" s="352">
        <f>L132/L21 + SUM((L137*(L15+L16+L20)+L138*(L17+L18+L19))/L21,L203,L44,L45)</f>
        <v>1.9018370987613035E-6</v>
      </c>
      <c r="L128" s="634">
        <f t="shared" si="4"/>
        <v>1.9018370987613035E-6</v>
      </c>
      <c r="M128" s="29" t="s">
        <v>1488</v>
      </c>
      <c r="N128" s="29"/>
      <c r="O128" s="36"/>
    </row>
    <row r="129" spans="1:15" ht="12.75" customHeight="1" x14ac:dyDescent="0.3">
      <c r="A129" s="36"/>
      <c r="B129" s="36"/>
      <c r="C129" s="36"/>
      <c r="D129" s="36" t="s">
        <v>3977</v>
      </c>
      <c r="E129" s="29"/>
      <c r="F129" s="29"/>
      <c r="G129" s="37" t="s">
        <v>999</v>
      </c>
      <c r="H129" s="36" t="s">
        <v>4036</v>
      </c>
      <c r="I129" s="632"/>
      <c r="J129" s="633" t="str">
        <f>IF(ISBLANK(HLOOKUP(CaseName,CaseData,MATCH($G129,cases!$G$3:$G$2464,0),FALSE)),"",HLOOKUP(CaseName,CaseData,MATCH($G129,cases!$G$3:$G$2464,0),FALSE))</f>
        <v/>
      </c>
      <c r="K129" s="352">
        <f>(L133+L134)/L21 + SUM((L137*(L15+L16+L20)+L138*(L17+L18+L19))/L21,L203,L44,L45)</f>
        <v>1.905956835164115E-6</v>
      </c>
      <c r="L129" s="634">
        <f t="shared" si="4"/>
        <v>1.905956835164115E-6</v>
      </c>
      <c r="M129" s="29" t="s">
        <v>1488</v>
      </c>
      <c r="N129" s="29"/>
      <c r="O129" s="36"/>
    </row>
    <row r="130" spans="1:15" ht="12.75" customHeight="1" x14ac:dyDescent="0.3">
      <c r="A130" s="36"/>
      <c r="B130" s="29" t="s">
        <v>929</v>
      </c>
      <c r="C130" s="29"/>
      <c r="D130" s="29"/>
      <c r="E130" s="29"/>
      <c r="F130" s="29"/>
      <c r="G130" s="29" t="s">
        <v>1000</v>
      </c>
      <c r="H130" s="29" t="s">
        <v>2191</v>
      </c>
      <c r="I130" s="632"/>
      <c r="J130" s="633" t="str">
        <f>IF(ISBLANK(HLOOKUP(CaseName,CaseData,MATCH($G130,cases!$G$3:$G$2464,0),FALSE)),"",HLOOKUP(CaseName,CaseData,MATCH($G130,cases!$G$3:$G$2464,0),FALSE))</f>
        <v/>
      </c>
      <c r="K130" s="352">
        <f>3.3*24</f>
        <v>79.199999999999989</v>
      </c>
      <c r="L130" s="634">
        <f>IF(ISBLANK(I130),IF(ISNUMBER(J130)=FALSE,K130*3600,J130*3600),I130*3600)</f>
        <v>285119.99999999994</v>
      </c>
      <c r="M130" s="29" t="s">
        <v>1488</v>
      </c>
      <c r="N130" s="29"/>
      <c r="O130" s="36"/>
    </row>
    <row r="131" spans="1:15" ht="12.75" customHeight="1" x14ac:dyDescent="0.3">
      <c r="A131" s="36"/>
      <c r="B131" s="29" t="s">
        <v>931</v>
      </c>
      <c r="C131" s="29"/>
      <c r="D131" s="29"/>
      <c r="E131" s="29"/>
      <c r="F131" s="29"/>
      <c r="G131" s="29" t="s">
        <v>1001</v>
      </c>
      <c r="H131" s="29" t="s">
        <v>2191</v>
      </c>
      <c r="I131" s="632"/>
      <c r="J131" s="633" t="str">
        <f>IF(ISBLANK(HLOOKUP(CaseName,CaseData,MATCH($G131,cases!$G$3:$G$2464,0),FALSE)),"",HLOOKUP(CaseName,CaseData,MATCH($G131,cases!$G$3:$G$2464,0),FALSE))</f>
        <v/>
      </c>
      <c r="K131" s="352">
        <f>3.3*24*(0.06/(1-0.06))</f>
        <v>5.0553191489361691</v>
      </c>
      <c r="L131" s="634">
        <f>IF(ISBLANK(I131),IF(ISNUMBER(J131)=FALSE,K131*3600,J131*3600),I131*3600)</f>
        <v>18199.148936170208</v>
      </c>
      <c r="M131" s="29" t="s">
        <v>1488</v>
      </c>
      <c r="N131" s="29"/>
      <c r="O131" s="36"/>
    </row>
    <row r="132" spans="1:15" ht="12.75" customHeight="1" x14ac:dyDescent="0.3">
      <c r="A132" s="36"/>
      <c r="B132" s="36" t="s">
        <v>493</v>
      </c>
      <c r="C132" s="29"/>
      <c r="D132" s="29"/>
      <c r="E132" s="29"/>
      <c r="F132" s="29"/>
      <c r="G132" s="94" t="s">
        <v>459</v>
      </c>
      <c r="H132" s="95" t="s">
        <v>4044</v>
      </c>
      <c r="I132" s="632"/>
      <c r="J132" s="633" t="str">
        <f>IF(ISBLANK(HLOOKUP(CaseName,CaseData,MATCH($G132,cases!$G$3:$G$2464,0),FALSE)),"",HLOOKUP(CaseName,CaseData,MATCH($G132,cases!$G$3:$G$2464,0),FALSE))</f>
        <v/>
      </c>
      <c r="K132" s="352">
        <f>L135*(L67+L68)</f>
        <v>3.5305679851056702E-11</v>
      </c>
      <c r="L132" s="634">
        <f t="shared" si="4"/>
        <v>3.5305679851056702E-11</v>
      </c>
      <c r="M132" s="29" t="s">
        <v>1490</v>
      </c>
      <c r="N132" s="29"/>
      <c r="O132" s="36"/>
    </row>
    <row r="133" spans="1:15" ht="12.75" customHeight="1" x14ac:dyDescent="0.3">
      <c r="A133" s="36"/>
      <c r="B133" s="36" t="s">
        <v>745</v>
      </c>
      <c r="C133" s="29"/>
      <c r="D133" s="29"/>
      <c r="E133" s="29"/>
      <c r="F133" s="29"/>
      <c r="G133" s="37" t="s">
        <v>1291</v>
      </c>
      <c r="H133" s="95" t="s">
        <v>4044</v>
      </c>
      <c r="I133" s="632"/>
      <c r="J133" s="633" t="str">
        <f>IF(ISBLANK(HLOOKUP(CaseName,CaseData,MATCH($G133,cases!$G$3:$G$2464,0),FALSE)),"",HLOOKUP(CaseName,CaseData,MATCH($G133,cases!$G$3:$G$2464,0),FALSE))</f>
        <v/>
      </c>
      <c r="K133" s="352">
        <f>L68*(L130+L131)/L131*RAINrate.C*L136</f>
        <v>2.595781412110609E-9</v>
      </c>
      <c r="L133" s="634">
        <f t="shared" si="4"/>
        <v>2.595781412110609E-9</v>
      </c>
      <c r="M133" s="29" t="s">
        <v>1490</v>
      </c>
      <c r="N133" s="29"/>
      <c r="O133" s="36"/>
    </row>
    <row r="134" spans="1:15" ht="12.75" customHeight="1" x14ac:dyDescent="0.3">
      <c r="A134" s="36"/>
      <c r="B134" s="36" t="s">
        <v>746</v>
      </c>
      <c r="C134" s="29"/>
      <c r="D134" s="29"/>
      <c r="E134" s="29"/>
      <c r="F134" s="29"/>
      <c r="G134" s="37" t="s">
        <v>934</v>
      </c>
      <c r="H134" s="95" t="s">
        <v>4044</v>
      </c>
      <c r="I134" s="632"/>
      <c r="J134" s="633" t="str">
        <f>IF(ISBLANK(HLOOKUP(CaseName,CaseData,MATCH($G134,cases!$G$3:$G$2464,0),FALSE)),"",HLOOKUP(CaseName,CaseData,MATCH($G134,cases!$G$3:$G$2464,0),FALSE))</f>
        <v/>
      </c>
      <c r="K134" s="352">
        <f>L66*(L130+L131)/L131*RAINrate.C/(L69*FRorig.aerw)</f>
        <v>4.1171759270791855E-6</v>
      </c>
      <c r="L134" s="634">
        <f t="shared" si="4"/>
        <v>4.1171759270791855E-6</v>
      </c>
      <c r="M134" s="29" t="s">
        <v>1490</v>
      </c>
      <c r="N134" s="29"/>
      <c r="O134" s="36"/>
    </row>
    <row r="135" spans="1:15" ht="12.75" customHeight="1" x14ac:dyDescent="0.3">
      <c r="A135" s="36"/>
      <c r="B135" s="29"/>
      <c r="C135" s="95" t="s">
        <v>747</v>
      </c>
      <c r="D135" s="95"/>
      <c r="E135" s="95"/>
      <c r="F135" s="95"/>
      <c r="G135" s="94" t="s">
        <v>460</v>
      </c>
      <c r="H135" s="95" t="s">
        <v>4044</v>
      </c>
      <c r="I135" s="632"/>
      <c r="J135" s="633" t="str">
        <f>IF(ISBLANK(HLOOKUP(CaseName,CaseData,MATCH($G135,cases!$G$3:$G$2464,0),FALSE)),"",HLOOKUP(CaseName,CaseData,MATCH($G135,cases!$G$3:$G$2464,0),FALSE))</f>
        <v/>
      </c>
      <c r="K135" s="352">
        <v>1E-3</v>
      </c>
      <c r="L135" s="634">
        <f t="shared" si="4"/>
        <v>1E-3</v>
      </c>
      <c r="M135" s="29" t="s">
        <v>1490</v>
      </c>
      <c r="N135" s="29"/>
      <c r="O135" s="36"/>
    </row>
    <row r="136" spans="1:15" ht="12.75" customHeight="1" x14ac:dyDescent="0.3">
      <c r="A136" s="36"/>
      <c r="B136" s="29"/>
      <c r="C136" s="36" t="s">
        <v>444</v>
      </c>
      <c r="D136" s="29"/>
      <c r="E136" s="29"/>
      <c r="F136" s="29"/>
      <c r="G136" s="94" t="s">
        <v>1064</v>
      </c>
      <c r="H136" s="36" t="s">
        <v>36</v>
      </c>
      <c r="I136" s="632"/>
      <c r="J136" s="633" t="str">
        <f>IF(ISBLANK(HLOOKUP(CaseName,CaseData,MATCH($G136,cases!$G$3:$G$2464,0),FALSE)),"",HLOOKUP(CaseName,CaseData,MATCH($G136,cases!$G$3:$G$2464,0),FALSE))</f>
        <v/>
      </c>
      <c r="K136" s="352">
        <v>200000</v>
      </c>
      <c r="L136" s="634">
        <f t="shared" si="4"/>
        <v>200000</v>
      </c>
      <c r="M136" s="36" t="s">
        <v>486</v>
      </c>
      <c r="N136" s="29"/>
      <c r="O136" s="36"/>
    </row>
    <row r="137" spans="1:15" ht="12.75" customHeight="1" x14ac:dyDescent="0.3">
      <c r="A137" s="36"/>
      <c r="B137" s="36" t="s">
        <v>2217</v>
      </c>
      <c r="C137" s="29"/>
      <c r="D137" s="29"/>
      <c r="E137" s="95"/>
      <c r="F137" s="95"/>
      <c r="G137" s="37" t="s">
        <v>2237</v>
      </c>
      <c r="H137" s="36" t="s">
        <v>4045</v>
      </c>
      <c r="I137" s="632"/>
      <c r="J137" s="633" t="str">
        <f>IF(ISBLANK(HLOOKUP(CaseName,CaseData,MATCH($G137,cases!$G$3:$G$2464,0),FALSE)),"",HLOOKUP(CaseName,CaseData,MATCH($G137,cases!$G$3:$G$2464,0),FALSE))</f>
        <v/>
      </c>
      <c r="K137" s="352">
        <f>L66*(L142*L143/(FRorig.w1*L142*L69+L143))</f>
        <v>5.703393574022636E-5</v>
      </c>
      <c r="L137" s="634">
        <f t="shared" ref="L137:L151" si="5">IF(ISBLANK(I137),IF(ISNUMBER(J137)=FALSE,K137,J137),I137)</f>
        <v>5.703393574022636E-5</v>
      </c>
      <c r="M137" s="36" t="s">
        <v>4046</v>
      </c>
      <c r="N137" s="29"/>
      <c r="O137" s="36"/>
    </row>
    <row r="138" spans="1:15" ht="12.75" customHeight="1" x14ac:dyDescent="0.3">
      <c r="A138" s="36"/>
      <c r="B138" s="36" t="s">
        <v>2218</v>
      </c>
      <c r="C138" s="29"/>
      <c r="D138" s="29"/>
      <c r="E138" s="95"/>
      <c r="F138" s="95"/>
      <c r="G138" s="37" t="s">
        <v>2238</v>
      </c>
      <c r="H138" s="36" t="s">
        <v>4045</v>
      </c>
      <c r="I138" s="632"/>
      <c r="J138" s="633" t="str">
        <f>IF(ISBLANK(HLOOKUP(CaseName,CaseData,MATCH($G138,cases!$G$3:$G$2464,0),FALSE)),"",HLOOKUP(CaseName,CaseData,MATCH($G138,cases!$G$3:$G$2464,0),FALSE))</f>
        <v/>
      </c>
      <c r="K138" s="352">
        <f>L66*(L147*L148)/(L147*((L69*FRorig.s1w)/L96)+L148)</f>
        <v>1.1258217098815417E-6</v>
      </c>
      <c r="L138" s="634">
        <f t="shared" si="5"/>
        <v>1.1258217098815417E-6</v>
      </c>
      <c r="M138" s="36" t="s">
        <v>4046</v>
      </c>
      <c r="N138" s="29"/>
      <c r="O138" s="36"/>
    </row>
    <row r="139" spans="1:15" ht="12.75" customHeight="1" x14ac:dyDescent="0.3">
      <c r="A139" s="36"/>
      <c r="B139" s="36" t="s">
        <v>2211</v>
      </c>
      <c r="C139" s="29"/>
      <c r="D139" s="29"/>
      <c r="E139" s="95"/>
      <c r="F139" s="95"/>
      <c r="G139" s="37" t="s">
        <v>2239</v>
      </c>
      <c r="H139" s="36" t="s">
        <v>4045</v>
      </c>
      <c r="I139" s="632"/>
      <c r="J139" s="633" t="str">
        <f>IF(ISBLANK(HLOOKUP(CaseName,CaseData,MATCH($G139,cases!$G$3:$G$2464,0),FALSE)),"",HLOOKUP(CaseName,CaseData,MATCH($G139,cases!$G$3:$G$2464,0),FALSE))</f>
        <v/>
      </c>
      <c r="K139" s="352">
        <f>(L142*L143/(FRorig.w1*L142*L69+L143))*L69*(L72*FRorig.w1)</f>
        <v>5.1234424145319552E-6</v>
      </c>
      <c r="L139" s="634">
        <f t="shared" si="5"/>
        <v>5.1234424145319552E-6</v>
      </c>
      <c r="M139" s="36" t="s">
        <v>4046</v>
      </c>
      <c r="N139" s="29"/>
      <c r="O139" s="36"/>
    </row>
    <row r="140" spans="1:15" ht="12.75" customHeight="1" x14ac:dyDescent="0.3">
      <c r="A140" s="36"/>
      <c r="B140" s="36" t="s">
        <v>2212</v>
      </c>
      <c r="C140" s="29"/>
      <c r="D140" s="29"/>
      <c r="E140" s="95"/>
      <c r="F140" s="95"/>
      <c r="G140" s="37" t="s">
        <v>2240</v>
      </c>
      <c r="H140" s="36" t="s">
        <v>4045</v>
      </c>
      <c r="I140" s="632"/>
      <c r="J140" s="633" t="str">
        <f>IF(ISBLANK(HLOOKUP(CaseName,CaseData,MATCH($G140,cases!$G$3:$G$2464,0),FALSE)),"",HLOOKUP(CaseName,CaseData,MATCH($G140,cases!$G$3:$G$2464,0),FALSE))</f>
        <v/>
      </c>
      <c r="K140" s="352">
        <f>(L142*L143/(FRorig.w1*L142*L69+L143))*L69*(L78*FRorig.w1)</f>
        <v>5.1177333698177912E-6</v>
      </c>
      <c r="L140" s="634">
        <f t="shared" si="5"/>
        <v>5.1177333698177912E-6</v>
      </c>
      <c r="M140" s="36" t="s">
        <v>4046</v>
      </c>
      <c r="N140" s="29"/>
      <c r="O140" s="36"/>
    </row>
    <row r="141" spans="1:15" ht="12.75" customHeight="1" x14ac:dyDescent="0.3">
      <c r="A141" s="36"/>
      <c r="B141" s="36" t="s">
        <v>2213</v>
      </c>
      <c r="C141" s="29"/>
      <c r="D141" s="29"/>
      <c r="E141" s="29"/>
      <c r="F141" s="29"/>
      <c r="G141" s="37" t="s">
        <v>2241</v>
      </c>
      <c r="H141" s="36" t="s">
        <v>4045</v>
      </c>
      <c r="I141" s="632"/>
      <c r="J141" s="633" t="str">
        <f>IF(ISBLANK(HLOOKUP(CaseName,CaseData,MATCH($G141,cases!$G$3:$G$2464,0),FALSE)),"",HLOOKUP(CaseName,CaseData,MATCH($G141,cases!$G$3:$G$2464,0),FALSE))</f>
        <v/>
      </c>
      <c r="K141" s="352">
        <f>(L142*L143/(FRorig.w2*L142*L69+L143))*L69*(L84*FRorig.w2)</f>
        <v>5.1216692794123988E-6</v>
      </c>
      <c r="L141" s="634">
        <f t="shared" si="5"/>
        <v>5.1216692794123988E-6</v>
      </c>
      <c r="M141" s="36" t="s">
        <v>4046</v>
      </c>
      <c r="N141" s="29"/>
      <c r="O141" s="36"/>
    </row>
    <row r="142" spans="1:15" ht="12.75" customHeight="1" x14ac:dyDescent="0.3">
      <c r="A142" s="36"/>
      <c r="B142" s="36"/>
      <c r="C142" s="29" t="s">
        <v>1077</v>
      </c>
      <c r="D142" s="29"/>
      <c r="E142" s="95"/>
      <c r="F142" s="95"/>
      <c r="G142" s="29" t="s">
        <v>3987</v>
      </c>
      <c r="H142" s="95" t="s">
        <v>4044</v>
      </c>
      <c r="I142" s="632"/>
      <c r="J142" s="633" t="str">
        <f>IF(ISBLANK(HLOOKUP(CaseName,CaseData,MATCH($G142,cases!$G$3:$G$2464,0),FALSE)),"",HLOOKUP(CaseName,CaseData,MATCH($G142,cases!$G$3:$G$2464,0),FALSE))</f>
        <v/>
      </c>
      <c r="K142" s="352">
        <f>0.01*(0.3+0.2*WINDspeed.C)*((0.018/Molweight)^(0.67*0.5))</f>
        <v>4.4535618852450994E-3</v>
      </c>
      <c r="L142" s="634">
        <f t="shared" si="5"/>
        <v>4.4535618852450994E-3</v>
      </c>
      <c r="M142" s="29" t="s">
        <v>1490</v>
      </c>
      <c r="N142" s="29"/>
      <c r="O142" s="36"/>
    </row>
    <row r="143" spans="1:15" ht="12.75" customHeight="1" x14ac:dyDescent="0.3">
      <c r="A143" s="36"/>
      <c r="B143" s="36"/>
      <c r="C143" s="29" t="s">
        <v>1048</v>
      </c>
      <c r="D143" s="29"/>
      <c r="E143" s="95"/>
      <c r="F143" s="95"/>
      <c r="G143" s="29" t="s">
        <v>3988</v>
      </c>
      <c r="H143" s="95" t="s">
        <v>4044</v>
      </c>
      <c r="I143" s="632"/>
      <c r="J143" s="633" t="str">
        <f>IF(ISBLANK(HLOOKUP(CaseName,CaseData,MATCH($G143,cases!$G$3:$G$2464,0),FALSE)),"",HLOOKUP(CaseName,CaseData,MATCH($G143,cases!$G$3:$G$2464,0),FALSE))</f>
        <v/>
      </c>
      <c r="K143" s="352">
        <f>0.01*(0.0004+0.00004*WINDspeed.C^2)*((0.032/Molweight)^(0.5*0.5))</f>
        <v>5.191247717588049E-6</v>
      </c>
      <c r="L143" s="634">
        <f t="shared" si="5"/>
        <v>5.191247717588049E-6</v>
      </c>
      <c r="M143" s="29" t="s">
        <v>1490</v>
      </c>
      <c r="N143" s="29"/>
      <c r="O143" s="36"/>
    </row>
    <row r="144" spans="1:15" ht="12.75" customHeight="1" x14ac:dyDescent="0.3">
      <c r="A144" s="36"/>
      <c r="B144" s="36" t="s">
        <v>2214</v>
      </c>
      <c r="C144" s="29"/>
      <c r="D144" s="29"/>
      <c r="E144" s="95"/>
      <c r="F144" s="95"/>
      <c r="G144" s="37" t="s">
        <v>2242</v>
      </c>
      <c r="H144" s="36" t="s">
        <v>4045</v>
      </c>
      <c r="I144" s="632"/>
      <c r="J144" s="633" t="str">
        <f>IF(ISBLANK(HLOOKUP(CaseName,CaseData,MATCH($G144,cases!$G$3:$G$2464,0),FALSE)),"",HLOOKUP(CaseName,CaseData,MATCH($G144,cases!$G$3:$G$2464,0),FALSE))</f>
        <v/>
      </c>
      <c r="K144" s="352">
        <f>(L147*L148)/(L147+L148/((L69*FRorig.s1w)/L96))*L149</f>
        <v>5.5161616923160404E-9</v>
      </c>
      <c r="L144" s="634">
        <f t="shared" si="5"/>
        <v>5.5161616923160404E-9</v>
      </c>
      <c r="M144" s="36" t="s">
        <v>4046</v>
      </c>
      <c r="N144" s="128"/>
      <c r="O144" s="36"/>
    </row>
    <row r="145" spans="1:15" ht="12.75" customHeight="1" x14ac:dyDescent="0.3">
      <c r="A145" s="36"/>
      <c r="B145" s="36" t="s">
        <v>2215</v>
      </c>
      <c r="C145" s="29"/>
      <c r="D145" s="29"/>
      <c r="E145" s="95"/>
      <c r="F145" s="95"/>
      <c r="G145" s="37" t="s">
        <v>2243</v>
      </c>
      <c r="H145" s="36" t="s">
        <v>4045</v>
      </c>
      <c r="I145" s="632"/>
      <c r="J145" s="633" t="str">
        <f>IF(ISBLANK(HLOOKUP(CaseName,CaseData,MATCH($G145,cases!$G$3:$G$2464,0),FALSE)),"",HLOOKUP(CaseName,CaseData,MATCH($G145,cases!$G$3:$G$2464,0),FALSE))</f>
        <v/>
      </c>
      <c r="K145" s="352">
        <f>(L147*L148)/(L147+L148/((L69*FRorig.s1w)/L96))*L150</f>
        <v>1.0040610932378174E-8</v>
      </c>
      <c r="L145" s="634">
        <f t="shared" si="5"/>
        <v>1.0040610932378174E-8</v>
      </c>
      <c r="M145" s="36" t="s">
        <v>4046</v>
      </c>
      <c r="N145" s="29"/>
      <c r="O145" s="36"/>
    </row>
    <row r="146" spans="1:15" ht="12.75" customHeight="1" x14ac:dyDescent="0.3">
      <c r="A146" s="36"/>
      <c r="B146" s="36" t="s">
        <v>2216</v>
      </c>
      <c r="C146" s="29"/>
      <c r="D146" s="29"/>
      <c r="E146" s="95"/>
      <c r="F146" s="95"/>
      <c r="G146" s="37" t="s">
        <v>2244</v>
      </c>
      <c r="H146" s="36" t="s">
        <v>4045</v>
      </c>
      <c r="I146" s="632"/>
      <c r="J146" s="633" t="str">
        <f>IF(ISBLANK(HLOOKUP(CaseName,CaseData,MATCH($G146,cases!$G$3:$G$2464,0),FALSE)),"",HLOOKUP(CaseName,CaseData,MATCH($G146,cases!$G$3:$G$2464,0),FALSE))</f>
        <v/>
      </c>
      <c r="K146" s="352">
        <f>(L147*L148)/(L147+L148/((L69*FRorig.s1w)/L96))*L151</f>
        <v>5.5161616923160404E-9</v>
      </c>
      <c r="L146" s="634">
        <f t="shared" si="5"/>
        <v>5.5161616923160404E-9</v>
      </c>
      <c r="M146" s="36" t="s">
        <v>4046</v>
      </c>
      <c r="N146" s="29"/>
      <c r="O146" s="36"/>
    </row>
    <row r="147" spans="1:15" ht="12.75" customHeight="1" x14ac:dyDescent="0.3">
      <c r="A147" s="36"/>
      <c r="B147" s="36"/>
      <c r="C147" s="29" t="s">
        <v>1049</v>
      </c>
      <c r="D147" s="29"/>
      <c r="E147" s="95"/>
      <c r="F147" s="95"/>
      <c r="G147" s="29" t="s">
        <v>3989</v>
      </c>
      <c r="H147" s="95" t="s">
        <v>4044</v>
      </c>
      <c r="I147" s="632"/>
      <c r="J147" s="633" t="str">
        <f>IF(ISBLANK(HLOOKUP(CaseName,CaseData,MATCH($G147,cases!$G$3:$G$2464,0),FALSE)),"",HLOOKUP(CaseName,CaseData,MATCH($G147,cases!$G$3:$G$2464,0),FALSE))</f>
        <v/>
      </c>
      <c r="K147" s="352">
        <f>0.43/(24*3600)/0.00475</f>
        <v>1.0477582846003899E-3</v>
      </c>
      <c r="L147" s="634">
        <f t="shared" si="5"/>
        <v>1.0477582846003899E-3</v>
      </c>
      <c r="M147" s="29" t="s">
        <v>1490</v>
      </c>
      <c r="N147" s="29"/>
      <c r="O147" s="36"/>
    </row>
    <row r="148" spans="1:15" ht="12.75" customHeight="1" x14ac:dyDescent="0.3">
      <c r="A148" s="36"/>
      <c r="B148" s="36"/>
      <c r="C148" s="29" t="s">
        <v>872</v>
      </c>
      <c r="D148" s="29"/>
      <c r="E148" s="29"/>
      <c r="F148" s="95"/>
      <c r="G148" s="29" t="s">
        <v>3990</v>
      </c>
      <c r="H148" s="95" t="s">
        <v>4044</v>
      </c>
      <c r="I148" s="632"/>
      <c r="J148" s="633" t="str">
        <f>IF(ISBLANK(HLOOKUP(CaseName,CaseData,MATCH($G148,cases!$G$3:$G$2464,0),FALSE)),"",HLOOKUP(CaseName,CaseData,MATCH($G148,cases!$G$3:$G$2464,0),FALSE))</f>
        <v/>
      </c>
      <c r="K148" s="352">
        <f>0.1*L215</f>
        <v>4.3455503205058606E-9</v>
      </c>
      <c r="L148" s="634">
        <f t="shared" si="5"/>
        <v>4.3455503205058606E-9</v>
      </c>
      <c r="M148" s="29" t="s">
        <v>1490</v>
      </c>
      <c r="N148" s="29" t="s">
        <v>1415</v>
      </c>
      <c r="O148" s="36"/>
    </row>
    <row r="149" spans="1:15" ht="12.75" customHeight="1" x14ac:dyDescent="0.3">
      <c r="A149" s="36"/>
      <c r="B149" s="36"/>
      <c r="C149" s="29" t="s">
        <v>185</v>
      </c>
      <c r="D149" s="29"/>
      <c r="E149" s="95"/>
      <c r="F149" s="95"/>
      <c r="G149" s="37" t="s">
        <v>1473</v>
      </c>
      <c r="H149" s="29" t="s">
        <v>36</v>
      </c>
      <c r="I149" s="632"/>
      <c r="J149" s="633" t="str">
        <f>IF(ISBLANK(HLOOKUP(CaseName,CaseData,MATCH($G149,cases!$G$3:$G$2464,0),FALSE)),"",HLOOKUP(CaseName,CaseData,MATCH($G149,cases!$G$3:$G$2464,0),FALSE))</f>
        <v/>
      </c>
      <c r="K149" s="352">
        <f>(EXP((-1/0.1)*0)*(1/0.1)*L27/(1-EXP((-1/0.1)*L27)))</f>
        <v>1.2707470412683992</v>
      </c>
      <c r="L149" s="634">
        <f t="shared" si="5"/>
        <v>1.2707470412683992</v>
      </c>
      <c r="M149" s="29" t="s">
        <v>486</v>
      </c>
      <c r="N149" s="29" t="s">
        <v>995</v>
      </c>
      <c r="O149" s="36"/>
    </row>
    <row r="150" spans="1:15" ht="12.75" customHeight="1" x14ac:dyDescent="0.3">
      <c r="A150" s="36"/>
      <c r="B150" s="36"/>
      <c r="C150" s="29" t="s">
        <v>185</v>
      </c>
      <c r="D150" s="29"/>
      <c r="E150" s="95"/>
      <c r="F150" s="95"/>
      <c r="G150" s="37" t="s">
        <v>1474</v>
      </c>
      <c r="H150" s="29" t="s">
        <v>36</v>
      </c>
      <c r="I150" s="632"/>
      <c r="J150" s="633" t="str">
        <f>IF(ISBLANK(HLOOKUP(CaseName,CaseData,MATCH($G150,cases!$G$3:$G$2464,0),FALSE)),"",HLOOKUP(CaseName,CaseData,MATCH($G150,cases!$G$3:$G$2464,0),FALSE))</f>
        <v/>
      </c>
      <c r="K150" s="352">
        <f>(EXP((-1/0.1)*0)*(1/0.1)*L28/(1-EXP((-1/0.1)*L28)))</f>
        <v>2.3130352854993315</v>
      </c>
      <c r="L150" s="634">
        <f t="shared" si="5"/>
        <v>2.3130352854993315</v>
      </c>
      <c r="M150" s="29" t="s">
        <v>486</v>
      </c>
      <c r="N150" s="29" t="s">
        <v>995</v>
      </c>
      <c r="O150" s="36"/>
    </row>
    <row r="151" spans="1:15" ht="12.75" customHeight="1" x14ac:dyDescent="0.3">
      <c r="A151" s="36"/>
      <c r="B151" s="36"/>
      <c r="C151" s="29" t="s">
        <v>185</v>
      </c>
      <c r="D151" s="29"/>
      <c r="E151" s="95"/>
      <c r="F151" s="95"/>
      <c r="G151" s="37" t="s">
        <v>907</v>
      </c>
      <c r="H151" s="29" t="s">
        <v>36</v>
      </c>
      <c r="I151" s="632"/>
      <c r="J151" s="633" t="str">
        <f>IF(ISBLANK(HLOOKUP(CaseName,CaseData,MATCH($G151,cases!$G$3:$G$2464,0),FALSE)),"",HLOOKUP(CaseName,CaseData,MATCH($G151,cases!$G$3:$G$2464,0),FALSE))</f>
        <v/>
      </c>
      <c r="K151" s="352">
        <f>(EXP((-1/0.1)*0)*(1/0.1)*L29/(1-EXP((-1/0.1)*L29)))</f>
        <v>1.2707470412683992</v>
      </c>
      <c r="L151" s="634">
        <f t="shared" si="5"/>
        <v>1.2707470412683992</v>
      </c>
      <c r="M151" s="29" t="s">
        <v>486</v>
      </c>
      <c r="N151" s="29" t="s">
        <v>995</v>
      </c>
      <c r="O151" s="36"/>
    </row>
    <row r="152" spans="1:15" ht="12.75" customHeight="1" x14ac:dyDescent="0.3">
      <c r="A152" s="36"/>
      <c r="B152" s="29"/>
      <c r="C152" s="36"/>
      <c r="D152" s="95"/>
      <c r="E152" s="95"/>
      <c r="F152" s="29"/>
      <c r="G152" s="94"/>
      <c r="H152" s="94"/>
      <c r="I152" s="633"/>
      <c r="J152" s="353"/>
      <c r="K152" s="353"/>
      <c r="L152" s="353"/>
      <c r="M152" s="29"/>
      <c r="N152" s="29"/>
      <c r="O152" s="36"/>
    </row>
    <row r="153" spans="1:15" ht="12.75" customHeight="1" x14ac:dyDescent="0.3">
      <c r="A153" s="36" t="s">
        <v>76</v>
      </c>
      <c r="B153" s="29"/>
      <c r="C153" s="29"/>
      <c r="D153" s="29"/>
      <c r="E153" s="29"/>
      <c r="F153" s="29"/>
      <c r="G153" s="37" t="s">
        <v>823</v>
      </c>
      <c r="H153" s="36" t="s">
        <v>4036</v>
      </c>
      <c r="I153" s="637"/>
      <c r="J153" s="633" t="str">
        <f>IF(ISBLANK(HLOOKUP(CaseName,CaseData,MATCH($G153,cases!$G$3:$G$2464,0),FALSE)),"",HLOOKUP(CaseName,CaseData,MATCH($G153,cases!$G$3:$G$2464,0),FALSE))</f>
        <v/>
      </c>
      <c r="K153" s="352">
        <f>(L157+L168)/L23</f>
        <v>2.2392816971501889E-8</v>
      </c>
      <c r="L153" s="634">
        <f t="shared" ref="L153:L173" si="6">IF(ISBLANK(I153),IF(ISNUMBER(J153)=FALSE,K153,J153),I153)</f>
        <v>2.2392816971501889E-8</v>
      </c>
      <c r="M153" s="29" t="s">
        <v>1488</v>
      </c>
      <c r="N153" s="29"/>
      <c r="O153" s="36"/>
    </row>
    <row r="154" spans="1:15" ht="12.75" customHeight="1" x14ac:dyDescent="0.3">
      <c r="A154" s="36" t="s">
        <v>77</v>
      </c>
      <c r="B154" s="29"/>
      <c r="C154" s="29"/>
      <c r="D154" s="29"/>
      <c r="E154" s="29"/>
      <c r="F154" s="29"/>
      <c r="G154" s="37" t="s">
        <v>824</v>
      </c>
      <c r="H154" s="36" t="s">
        <v>4036</v>
      </c>
      <c r="I154" s="637"/>
      <c r="J154" s="633" t="str">
        <f>IF(ISBLANK(HLOOKUP(CaseName,CaseData,MATCH($G154,cases!$G$3:$G$2464,0),FALSE)),"",HLOOKUP(CaseName,CaseData,MATCH($G154,cases!$G$3:$G$2464,0),FALSE))</f>
        <v/>
      </c>
      <c r="K154" s="352">
        <f>(L159+L170)/L24</f>
        <v>2.2488425896972215E-10</v>
      </c>
      <c r="L154" s="634">
        <f t="shared" si="6"/>
        <v>2.2488425896972215E-10</v>
      </c>
      <c r="M154" s="29" t="s">
        <v>1488</v>
      </c>
      <c r="N154" s="29"/>
      <c r="O154" s="36"/>
    </row>
    <row r="155" spans="1:15" ht="12.75" customHeight="1" x14ac:dyDescent="0.3">
      <c r="A155" s="36" t="s">
        <v>78</v>
      </c>
      <c r="B155" s="29"/>
      <c r="C155" s="29"/>
      <c r="D155" s="29"/>
      <c r="E155" s="29"/>
      <c r="F155" s="29"/>
      <c r="G155" s="37" t="s">
        <v>825</v>
      </c>
      <c r="H155" s="36" t="s">
        <v>4036</v>
      </c>
      <c r="I155" s="637"/>
      <c r="J155" s="633" t="str">
        <f>IF(ISBLANK(HLOOKUP(CaseName,CaseData,MATCH($G155,cases!$G$3:$G$2464,0),FALSE)),"",HLOOKUP(CaseName,CaseData,MATCH($G155,cases!$G$3:$G$2464,0),FALSE))</f>
        <v/>
      </c>
      <c r="K155" s="352">
        <f>(L158+L169)/L25</f>
        <v>7.1814583973920701E-8</v>
      </c>
      <c r="L155" s="634">
        <f t="shared" si="6"/>
        <v>7.1814583973920701E-8</v>
      </c>
      <c r="M155" s="29" t="s">
        <v>1488</v>
      </c>
      <c r="N155" s="29"/>
      <c r="O155" s="36"/>
    </row>
    <row r="156" spans="1:15" ht="12.75" customHeight="1" x14ac:dyDescent="0.3">
      <c r="A156" s="36" t="s">
        <v>79</v>
      </c>
      <c r="B156" s="29"/>
      <c r="C156" s="29"/>
      <c r="D156" s="29"/>
      <c r="E156" s="29"/>
      <c r="F156" s="29"/>
      <c r="G156" s="37" t="s">
        <v>826</v>
      </c>
      <c r="H156" s="36" t="s">
        <v>4036</v>
      </c>
      <c r="I156" s="637"/>
      <c r="J156" s="633" t="str">
        <f>IF(ISBLANK(HLOOKUP(CaseName,CaseData,MATCH($G156,cases!$G$3:$G$2464,0),FALSE)),"",HLOOKUP(CaseName,CaseData,MATCH($G156,cases!$G$3:$G$2464,0),FALSE))</f>
        <v/>
      </c>
      <c r="K156" s="352">
        <f>(L160+L171)/L26</f>
        <v>5.5398688912284135E-8</v>
      </c>
      <c r="L156" s="634">
        <f t="shared" si="6"/>
        <v>5.5398688912284135E-8</v>
      </c>
      <c r="M156" s="29" t="s">
        <v>1488</v>
      </c>
      <c r="N156" s="29"/>
      <c r="O156" s="36"/>
    </row>
    <row r="157" spans="1:15" ht="12.75" customHeight="1" x14ac:dyDescent="0.3">
      <c r="A157" s="36"/>
      <c r="B157" s="36" t="s">
        <v>2229</v>
      </c>
      <c r="C157" s="29"/>
      <c r="D157" s="29"/>
      <c r="E157" s="29"/>
      <c r="F157" s="29"/>
      <c r="G157" s="37" t="s">
        <v>2245</v>
      </c>
      <c r="H157" s="36" t="s">
        <v>4045</v>
      </c>
      <c r="I157" s="637"/>
      <c r="J157" s="633" t="str">
        <f>IF(ISBLANK(HLOOKUP(CaseName,CaseData,MATCH($G157,cases!$G$3:$G$2464,0),FALSE)),"",HLOOKUP(CaseName,CaseData,MATCH($G157,cases!$G$3:$G$2464,0),FALSE))</f>
        <v/>
      </c>
      <c r="K157" s="352">
        <f>L163*(1-L78)</f>
        <v>3.9711248784463084E-8</v>
      </c>
      <c r="L157" s="634">
        <f t="shared" si="6"/>
        <v>3.9711248784463084E-8</v>
      </c>
      <c r="M157" s="36" t="s">
        <v>4046</v>
      </c>
      <c r="N157" s="325"/>
      <c r="O157" s="36"/>
    </row>
    <row r="158" spans="1:15" ht="12.75" customHeight="1" x14ac:dyDescent="0.3">
      <c r="A158" s="36"/>
      <c r="B158" s="36" t="s">
        <v>2230</v>
      </c>
      <c r="C158" s="29"/>
      <c r="D158" s="29"/>
      <c r="E158" s="29"/>
      <c r="F158" s="29"/>
      <c r="G158" s="37" t="s">
        <v>2246</v>
      </c>
      <c r="H158" s="36" t="s">
        <v>4045</v>
      </c>
      <c r="I158" s="637"/>
      <c r="J158" s="633" t="str">
        <f>IF(ISBLANK(HLOOKUP(CaseName,CaseData,MATCH($G158,cases!$G$3:$G$2464,0),FALSE)),"",HLOOKUP(CaseName,CaseData,MATCH($G158,cases!$G$3:$G$2464,0),FALSE))</f>
        <v/>
      </c>
      <c r="K158" s="352">
        <f>L161-L164</f>
        <v>7.8182870370094893E-10</v>
      </c>
      <c r="L158" s="634">
        <f t="shared" si="6"/>
        <v>7.8182870370094893E-10</v>
      </c>
      <c r="M158" s="36" t="s">
        <v>4046</v>
      </c>
      <c r="N158" s="29"/>
      <c r="O158" s="36"/>
    </row>
    <row r="159" spans="1:15" ht="12.75" customHeight="1" x14ac:dyDescent="0.3">
      <c r="A159" s="36"/>
      <c r="B159" s="36" t="s">
        <v>2231</v>
      </c>
      <c r="C159" s="29"/>
      <c r="D159" s="29"/>
      <c r="E159" s="29"/>
      <c r="F159" s="29"/>
      <c r="G159" s="37" t="s">
        <v>2247</v>
      </c>
      <c r="H159" s="36" t="s">
        <v>4045</v>
      </c>
      <c r="I159" s="637"/>
      <c r="J159" s="633" t="str">
        <f>IF(ISBLANK(HLOOKUP(CaseName,CaseData,MATCH($G159,cases!$G$3:$G$2464,0),FALSE)),"",HLOOKUP(CaseName,CaseData,MATCH($G159,cases!$G$3:$G$2464,0),FALSE))</f>
        <v/>
      </c>
      <c r="K159" s="352">
        <f>L163*(1-L84)</f>
        <v>1.7488525385517546E-8</v>
      </c>
      <c r="L159" s="634">
        <f t="shared" si="6"/>
        <v>1.7488525385517546E-8</v>
      </c>
      <c r="M159" s="36" t="s">
        <v>4046</v>
      </c>
      <c r="N159" s="325"/>
      <c r="O159" s="36"/>
    </row>
    <row r="160" spans="1:15" ht="12.75" customHeight="1" x14ac:dyDescent="0.3">
      <c r="A160" s="36"/>
      <c r="B160" s="36" t="s">
        <v>2232</v>
      </c>
      <c r="C160" s="29"/>
      <c r="D160" s="29"/>
      <c r="E160" s="29"/>
      <c r="F160" s="29"/>
      <c r="G160" s="37" t="s">
        <v>2248</v>
      </c>
      <c r="H160" s="36" t="s">
        <v>4045</v>
      </c>
      <c r="I160" s="637"/>
      <c r="J160" s="633" t="str">
        <f>IF(ISBLANK(HLOOKUP(CaseName,CaseData,MATCH($G160,cases!$G$3:$G$2464,0),FALSE)),"",HLOOKUP(CaseName,CaseData,MATCH($G160,cases!$G$3:$G$2464,0),FALSE))</f>
        <v/>
      </c>
      <c r="K160" s="352">
        <f>L162-L165</f>
        <v>2.893518518518519E-10</v>
      </c>
      <c r="L160" s="634">
        <f t="shared" si="6"/>
        <v>2.893518518518519E-10</v>
      </c>
      <c r="M160" s="36" t="s">
        <v>4046</v>
      </c>
      <c r="N160" s="29"/>
      <c r="O160" s="36"/>
    </row>
    <row r="161" spans="1:15" ht="12.75" customHeight="1" x14ac:dyDescent="0.3">
      <c r="A161" s="36"/>
      <c r="B161" s="36"/>
      <c r="C161" s="36" t="s">
        <v>1228</v>
      </c>
      <c r="D161" s="29"/>
      <c r="E161" s="29"/>
      <c r="F161" s="29"/>
      <c r="G161" s="94" t="s">
        <v>1062</v>
      </c>
      <c r="H161" s="95" t="s">
        <v>4044</v>
      </c>
      <c r="I161" s="636"/>
      <c r="J161" s="633" t="str">
        <f>IF(ISBLANK(HLOOKUP(CaseName,CaseData,MATCH($G161,cases!$G$3:$G$2464,0),FALSE)),"",HLOOKUP(CaseName,CaseData,MATCH($G161,cases!$G$3:$G$2464,0),FALSE))</f>
        <v/>
      </c>
      <c r="K161" s="352">
        <f>IF(L163*L81/(L42*RHOsolid)&gt;L164,L163*L81/(L42*RHOsolid),L164)</f>
        <v>8.6805555555555575E-10</v>
      </c>
      <c r="L161" s="634">
        <f t="shared" si="6"/>
        <v>8.6805555555555575E-10</v>
      </c>
      <c r="M161" s="29" t="s">
        <v>1490</v>
      </c>
      <c r="N161" s="29"/>
      <c r="O161" s="36"/>
    </row>
    <row r="162" spans="1:15" ht="12.75" customHeight="1" x14ac:dyDescent="0.3">
      <c r="A162" s="36"/>
      <c r="B162" s="36"/>
      <c r="C162" s="36" t="s">
        <v>1229</v>
      </c>
      <c r="D162" s="29"/>
      <c r="E162" s="29"/>
      <c r="F162" s="29"/>
      <c r="G162" s="94" t="s">
        <v>498</v>
      </c>
      <c r="H162" s="95" t="s">
        <v>4044</v>
      </c>
      <c r="I162" s="636"/>
      <c r="J162" s="633" t="str">
        <f>IF(ISBLANK(HLOOKUP(CaseName,CaseData,MATCH($G162,cases!$G$3:$G$2464,0),FALSE)),"",HLOOKUP(CaseName,CaseData,MATCH($G162,cases!$G$3:$G$2464,0),FALSE))</f>
        <v/>
      </c>
      <c r="K162" s="352">
        <f>IF(L163*L87/(L42*RHOsolid)&gt;L165,L163*L87/(L42*RHOsolid),L165)</f>
        <v>2.893518518518519E-10</v>
      </c>
      <c r="L162" s="634">
        <f t="shared" si="6"/>
        <v>2.893518518518519E-10</v>
      </c>
      <c r="M162" s="29" t="s">
        <v>1490</v>
      </c>
      <c r="N162" s="29"/>
      <c r="O162" s="36"/>
    </row>
    <row r="163" spans="1:15" ht="12.75" customHeight="1" x14ac:dyDescent="0.3">
      <c r="A163" s="36"/>
      <c r="B163" s="36"/>
      <c r="C163" s="29"/>
      <c r="D163" s="36" t="s">
        <v>582</v>
      </c>
      <c r="E163" s="95"/>
      <c r="F163" s="95"/>
      <c r="G163" s="94" t="s">
        <v>500</v>
      </c>
      <c r="H163" s="95" t="s">
        <v>4044</v>
      </c>
      <c r="I163" s="636"/>
      <c r="J163" s="633" t="str">
        <f>IF(ISBLANK(HLOOKUP(CaseName,CaseData,MATCH($G163,cases!$G$3:$G$2464,0),FALSE)),"",HLOOKUP(CaseName,CaseData,MATCH($G163,cases!$G$3:$G$2464,0),FALSE))</f>
        <v/>
      </c>
      <c r="K163" s="352">
        <f>2.5/(24*3600)</f>
        <v>2.8935185185185186E-5</v>
      </c>
      <c r="L163" s="634">
        <f t="shared" si="6"/>
        <v>2.8935185185185186E-5</v>
      </c>
      <c r="M163" s="29" t="s">
        <v>1490</v>
      </c>
      <c r="N163" s="29"/>
      <c r="O163" s="36"/>
    </row>
    <row r="164" spans="1:15" ht="12.75" customHeight="1" x14ac:dyDescent="0.3">
      <c r="A164" s="36"/>
      <c r="B164" s="36"/>
      <c r="C164" s="29"/>
      <c r="D164" s="36" t="s">
        <v>1329</v>
      </c>
      <c r="E164" s="95"/>
      <c r="F164" s="95"/>
      <c r="G164" s="94" t="s">
        <v>503</v>
      </c>
      <c r="H164" s="95" t="s">
        <v>4044</v>
      </c>
      <c r="I164" s="636"/>
      <c r="J164" s="633" t="str">
        <f>IF(ISBLANK(HLOOKUP(CaseName,CaseData,MATCH($G164,cases!$G$3:$G$2464,0),FALSE)),"",HLOOKUP(CaseName,CaseData,MATCH($G164,cases!$G$3:$G$2464,0),FALSE))</f>
        <v/>
      </c>
      <c r="K164" s="352">
        <v>8.6226851854606775E-11</v>
      </c>
      <c r="L164" s="634">
        <f t="shared" si="6"/>
        <v>8.6226851854606775E-11</v>
      </c>
      <c r="M164" s="29" t="s">
        <v>1490</v>
      </c>
      <c r="N164" s="29" t="s">
        <v>923</v>
      </c>
      <c r="O164" s="36"/>
    </row>
    <row r="165" spans="1:15" ht="12.75" customHeight="1" x14ac:dyDescent="0.3">
      <c r="A165" s="36"/>
      <c r="B165" s="36"/>
      <c r="C165" s="29"/>
      <c r="D165" s="36" t="s">
        <v>436</v>
      </c>
      <c r="E165" s="95"/>
      <c r="F165" s="95"/>
      <c r="G165" s="94" t="s">
        <v>660</v>
      </c>
      <c r="H165" s="95" t="s">
        <v>4044</v>
      </c>
      <c r="I165" s="636"/>
      <c r="J165" s="633" t="str">
        <f>IF(ISBLANK(HLOOKUP(CaseName,CaseData,MATCH($G165,cases!$G$3:$G$2464,0),FALSE)),"",HLOOKUP(CaseName,CaseData,MATCH($G165,cases!$G$3:$G$2464,0),FALSE))</f>
        <v/>
      </c>
      <c r="K165" s="352">
        <v>0</v>
      </c>
      <c r="L165" s="634">
        <f t="shared" si="6"/>
        <v>0</v>
      </c>
      <c r="M165" s="29" t="s">
        <v>1490</v>
      </c>
      <c r="N165" s="29" t="s">
        <v>923</v>
      </c>
      <c r="O165" s="36"/>
    </row>
    <row r="166" spans="1:15" ht="12.75" customHeight="1" x14ac:dyDescent="0.3">
      <c r="A166" s="36"/>
      <c r="B166" s="36"/>
      <c r="C166" s="29"/>
      <c r="D166" s="29"/>
      <c r="E166" s="36" t="s">
        <v>440</v>
      </c>
      <c r="F166" s="36"/>
      <c r="G166" s="94" t="s">
        <v>501</v>
      </c>
      <c r="H166" s="36" t="s">
        <v>4047</v>
      </c>
      <c r="I166" s="636"/>
      <c r="J166" s="633" t="str">
        <f>IF(ISBLANK(HLOOKUP(CaseName,CaseData,MATCH($G166,cases!$G$3:$G$2464,0),FALSE)),"",HLOOKUP(CaseName,CaseData,MATCH($G166,cases!$G$3:$G$2464,0),FALSE))</f>
        <v/>
      </c>
      <c r="K166" s="352">
        <v>10</v>
      </c>
      <c r="L166" s="634">
        <f>IF(ISBLANK(I166),IF(ISNUMBER(J166)=FALSE,K166/(1000*3600*24*365)*L16*L14,J166/(1000*3600*24*365)*L16*L14),I166/(1000*3600*24*365)*L16*L14)</f>
        <v>32.390371321664134</v>
      </c>
      <c r="M166" s="29" t="s">
        <v>1499</v>
      </c>
      <c r="N166" s="29"/>
      <c r="O166" s="36"/>
    </row>
    <row r="167" spans="1:15" ht="12.75" customHeight="1" x14ac:dyDescent="0.3">
      <c r="A167" s="36"/>
      <c r="B167" s="36"/>
      <c r="C167" s="29"/>
      <c r="D167" s="29"/>
      <c r="E167" s="36" t="s">
        <v>1378</v>
      </c>
      <c r="F167" s="36"/>
      <c r="G167" s="94" t="s">
        <v>502</v>
      </c>
      <c r="H167" s="36" t="s">
        <v>4047</v>
      </c>
      <c r="I167" s="636"/>
      <c r="J167" s="633" t="str">
        <f>IF(ISBLANK(HLOOKUP(CaseName,CaseData,MATCH($G167,cases!$G$3:$G$2464,0),FALSE)),"",HLOOKUP(CaseName,CaseData,MATCH($G167,cases!$G$3:$G$2464,0),FALSE))</f>
        <v/>
      </c>
      <c r="K167" s="352">
        <v>5</v>
      </c>
      <c r="L167" s="634">
        <f>IF(ISBLANK(I167),IF(ISNUMBER(J167)=FALSE,K167/(1000*3600*24*365)*L20*L14,J167/(1000*3600*24*365)*L20*L14),I167/(1000*3600*24*365)*L20*#REF!)</f>
        <v>588.91584221207506</v>
      </c>
      <c r="M167" s="29" t="s">
        <v>1499</v>
      </c>
      <c r="N167" s="29"/>
      <c r="O167" s="36"/>
    </row>
    <row r="168" spans="1:15" ht="12.75" customHeight="1" x14ac:dyDescent="0.3">
      <c r="A168" s="29"/>
      <c r="B168" s="29" t="s">
        <v>2233</v>
      </c>
      <c r="C168" s="95"/>
      <c r="D168" s="95"/>
      <c r="E168" s="29"/>
      <c r="F168" s="29"/>
      <c r="G168" s="37" t="s">
        <v>2249</v>
      </c>
      <c r="H168" s="36" t="s">
        <v>4045</v>
      </c>
      <c r="I168" s="637"/>
      <c r="J168" s="633" t="str">
        <f>IF(ISBLANK(HLOOKUP(CaseName,CaseData,MATCH($G168,cases!$G$3:$G$2464,0),FALSE)),"",HLOOKUP(CaseName,CaseData,MATCH($G168,cases!$G$3:$G$2464,0),FALSE))</f>
        <v/>
      </c>
      <c r="K168" s="352">
        <f>(L172*L173)/(L172+L173)*L78</f>
        <v>2.7467202130042585E-8</v>
      </c>
      <c r="L168" s="634">
        <f t="shared" si="6"/>
        <v>2.7467202130042585E-8</v>
      </c>
      <c r="M168" s="36" t="s">
        <v>4046</v>
      </c>
      <c r="N168" s="29"/>
      <c r="O168" s="36"/>
    </row>
    <row r="169" spans="1:15" ht="12.75" customHeight="1" x14ac:dyDescent="0.3">
      <c r="A169" s="29"/>
      <c r="B169" s="29" t="s">
        <v>2234</v>
      </c>
      <c r="C169" s="95"/>
      <c r="D169" s="95"/>
      <c r="E169" s="29"/>
      <c r="F169" s="29"/>
      <c r="G169" s="37" t="s">
        <v>2250</v>
      </c>
      <c r="H169" s="36" t="s">
        <v>4045</v>
      </c>
      <c r="I169" s="637"/>
      <c r="J169" s="633" t="str">
        <f>IF(ISBLANK(HLOOKUP(CaseName,CaseData,MATCH($G169,cases!$G$3:$G$2464,0),FALSE)),"",HLOOKUP(CaseName,CaseData,MATCH($G169,cases!$G$3:$G$2464,0),FALSE))</f>
        <v/>
      </c>
      <c r="K169" s="352">
        <f>((L172*L173)/(L172+L173))/L90</f>
        <v>1.3726088155166722E-9</v>
      </c>
      <c r="L169" s="634">
        <f t="shared" si="6"/>
        <v>1.3726088155166722E-9</v>
      </c>
      <c r="M169" s="36" t="s">
        <v>4046</v>
      </c>
      <c r="N169" s="29"/>
      <c r="O169" s="36"/>
    </row>
    <row r="170" spans="1:15" ht="12.75" customHeight="1" x14ac:dyDescent="0.3">
      <c r="A170" s="29"/>
      <c r="B170" s="29" t="s">
        <v>2235</v>
      </c>
      <c r="C170" s="95"/>
      <c r="D170" s="95"/>
      <c r="E170" s="29"/>
      <c r="F170" s="95"/>
      <c r="G170" s="37" t="s">
        <v>2251</v>
      </c>
      <c r="H170" s="36" t="s">
        <v>4045</v>
      </c>
      <c r="I170" s="637"/>
      <c r="J170" s="633" t="str">
        <f>IF(ISBLANK(HLOOKUP(CaseName,CaseData,MATCH($G170,cases!$G$3:$G$2464,0),FALSE)),"",HLOOKUP(CaseName,CaseData,MATCH($G170,cases!$G$3:$G$2464,0),FALSE))</f>
        <v/>
      </c>
      <c r="K170" s="352">
        <f>(L172*L173)/(L172+L173)*L84</f>
        <v>2.7488326408426885E-8</v>
      </c>
      <c r="L170" s="634">
        <f t="shared" si="6"/>
        <v>2.7488326408426885E-8</v>
      </c>
      <c r="M170" s="36" t="s">
        <v>4046</v>
      </c>
      <c r="N170" s="29"/>
      <c r="O170" s="36"/>
    </row>
    <row r="171" spans="1:15" ht="12.75" customHeight="1" x14ac:dyDescent="0.3">
      <c r="A171" s="29"/>
      <c r="B171" s="29" t="s">
        <v>2236</v>
      </c>
      <c r="C171" s="95"/>
      <c r="D171" s="95"/>
      <c r="E171" s="29"/>
      <c r="F171" s="95"/>
      <c r="G171" s="37" t="s">
        <v>2252</v>
      </c>
      <c r="H171" s="36" t="s">
        <v>4045</v>
      </c>
      <c r="I171" s="637"/>
      <c r="J171" s="633" t="str">
        <f>IF(ISBLANK(HLOOKUP(CaseName,CaseData,MATCH($G171,cases!$G$3:$G$2464,0),FALSE)),"",HLOOKUP(CaseName,CaseData,MATCH($G171,cases!$G$3:$G$2464,0),FALSE))</f>
        <v/>
      </c>
      <c r="K171" s="352">
        <f>((L172*L173)/(L172+L173))/L93</f>
        <v>1.3726088155166722E-9</v>
      </c>
      <c r="L171" s="634">
        <f t="shared" si="6"/>
        <v>1.3726088155166722E-9</v>
      </c>
      <c r="M171" s="36" t="s">
        <v>4046</v>
      </c>
      <c r="N171" s="29"/>
      <c r="O171" s="36"/>
    </row>
    <row r="172" spans="1:15" ht="12.75" customHeight="1" x14ac:dyDescent="0.3">
      <c r="A172" s="36"/>
      <c r="B172" s="36"/>
      <c r="C172" s="29" t="s">
        <v>1076</v>
      </c>
      <c r="D172" s="29"/>
      <c r="E172" s="95"/>
      <c r="F172" s="95"/>
      <c r="G172" s="29" t="s">
        <v>665</v>
      </c>
      <c r="H172" s="95" t="s">
        <v>4044</v>
      </c>
      <c r="I172" s="636"/>
      <c r="J172" s="633" t="str">
        <f>IF(ISBLANK(HLOOKUP(CaseName,CaseData,MATCH($G172,cases!$G$3:$G$2464,0),FALSE)),"",HLOOKUP(CaseName,CaseData,MATCH($G172,cases!$G$3:$G$2464,0),FALSE))</f>
        <v/>
      </c>
      <c r="K172" s="352">
        <v>2.7779999999999999E-6</v>
      </c>
      <c r="L172" s="634">
        <f t="shared" si="6"/>
        <v>2.7779999999999999E-6</v>
      </c>
      <c r="M172" s="29" t="s">
        <v>1490</v>
      </c>
      <c r="N172" s="29"/>
      <c r="O172" s="36"/>
    </row>
    <row r="173" spans="1:15" ht="12.75" customHeight="1" x14ac:dyDescent="0.3">
      <c r="A173" s="36"/>
      <c r="B173" s="36"/>
      <c r="C173" s="29" t="s">
        <v>1230</v>
      </c>
      <c r="D173" s="29"/>
      <c r="E173" s="95"/>
      <c r="F173" s="95"/>
      <c r="G173" s="29" t="s">
        <v>666</v>
      </c>
      <c r="H173" s="95" t="s">
        <v>4044</v>
      </c>
      <c r="I173" s="636"/>
      <c r="J173" s="633" t="str">
        <f>IF(ISBLANK(HLOOKUP(CaseName,CaseData,MATCH($G173,cases!$G$3:$G$2464,0),FALSE)),"",HLOOKUP(CaseName,CaseData,MATCH($G173,cases!$G$3:$G$2464,0),FALSE))</f>
        <v/>
      </c>
      <c r="K173" s="352">
        <v>2.7779999999999998E-8</v>
      </c>
      <c r="L173" s="634">
        <f t="shared" si="6"/>
        <v>2.7779999999999998E-8</v>
      </c>
      <c r="M173" s="29" t="s">
        <v>1490</v>
      </c>
      <c r="N173" s="29"/>
      <c r="O173" s="36"/>
    </row>
    <row r="174" spans="1:15" ht="12.75" customHeight="1" x14ac:dyDescent="0.3">
      <c r="A174" s="36"/>
      <c r="B174" s="29"/>
      <c r="C174" s="36"/>
      <c r="D174" s="95"/>
      <c r="E174" s="95"/>
      <c r="F174" s="29"/>
      <c r="G174" s="94"/>
      <c r="H174" s="94"/>
      <c r="I174" s="633"/>
      <c r="J174" s="353"/>
      <c r="K174" s="353"/>
      <c r="L174" s="353"/>
      <c r="M174" s="29"/>
      <c r="N174" s="29"/>
      <c r="O174" s="36"/>
    </row>
    <row r="175" spans="1:15" ht="12.75" customHeight="1" x14ac:dyDescent="0.3">
      <c r="A175" s="36" t="s">
        <v>80</v>
      </c>
      <c r="B175" s="29"/>
      <c r="C175" s="29"/>
      <c r="D175" s="29"/>
      <c r="E175" s="29"/>
      <c r="F175" s="29"/>
      <c r="G175" s="37" t="s">
        <v>827</v>
      </c>
      <c r="H175" s="36" t="s">
        <v>4036</v>
      </c>
      <c r="I175" s="637"/>
      <c r="J175" s="633" t="str">
        <f>IF(ISBLANK(HLOOKUP(CaseName,CaseData,MATCH($G175,cases!$G$3:$G$2464,0),FALSE)),"",HLOOKUP(CaseName,CaseData,MATCH($G175,cases!$G$3:$G$2464,0),FALSE))</f>
        <v/>
      </c>
      <c r="K175" s="352">
        <f>(RAINrate.C*L184/L96+L181)*L187/L27*L16/(L16+L15)</f>
        <v>5.5696901203386607E-9</v>
      </c>
      <c r="L175" s="634">
        <f t="shared" ref="L175:L177" si="7">IF(ISBLANK(I175),IF(ISNUMBER(J175)=FALSE,K175,J175),I175)</f>
        <v>5.5696901203386607E-9</v>
      </c>
      <c r="M175" s="29" t="s">
        <v>1488</v>
      </c>
      <c r="N175" s="29"/>
      <c r="O175" s="36"/>
    </row>
    <row r="176" spans="1:15" ht="12.75" customHeight="1" x14ac:dyDescent="0.3">
      <c r="A176" s="36" t="s">
        <v>81</v>
      </c>
      <c r="B176" s="29"/>
      <c r="C176" s="29"/>
      <c r="D176" s="29"/>
      <c r="E176" s="29"/>
      <c r="F176" s="29"/>
      <c r="G176" s="37" t="s">
        <v>828</v>
      </c>
      <c r="H176" s="36" t="s">
        <v>4036</v>
      </c>
      <c r="I176" s="637"/>
      <c r="J176" s="633" t="str">
        <f>IF(ISBLANK(HLOOKUP(CaseName,CaseData,MATCH($G176,cases!$G$3:$G$2464,0),FALSE)),"",HLOOKUP(CaseName,CaseData,MATCH($G176,cases!$G$3:$G$2464,0),FALSE))</f>
        <v/>
      </c>
      <c r="K176" s="352">
        <f>(RAINrate.C*L185/L101+L182)*L188/L28*L16/(L16+L15)</f>
        <v>2.5345110709015009E-9</v>
      </c>
      <c r="L176" s="634">
        <f t="shared" si="7"/>
        <v>2.5345110709015009E-9</v>
      </c>
      <c r="M176" s="29" t="s">
        <v>1488</v>
      </c>
      <c r="N176" s="29"/>
      <c r="O176" s="36"/>
    </row>
    <row r="177" spans="1:15" ht="12.75" customHeight="1" x14ac:dyDescent="0.3">
      <c r="A177" s="36" t="s">
        <v>82</v>
      </c>
      <c r="B177" s="29"/>
      <c r="C177" s="29"/>
      <c r="D177" s="29"/>
      <c r="E177" s="29"/>
      <c r="F177" s="29"/>
      <c r="G177" s="37" t="s">
        <v>829</v>
      </c>
      <c r="H177" s="36" t="s">
        <v>4036</v>
      </c>
      <c r="I177" s="637"/>
      <c r="J177" s="633" t="str">
        <f>IF(ISBLANK(HLOOKUP(CaseName,CaseData,MATCH($G177,cases!$G$3:$G$2464,0),FALSE)),"",HLOOKUP(CaseName,CaseData,MATCH($G177,cases!$G$3:$G$2464,0),FALSE))</f>
        <v/>
      </c>
      <c r="K177" s="352">
        <f>(RAINrate.C*L186/L106+L183)*L189/L29*L16/(L16+L15)</f>
        <v>5.5696901203386607E-9</v>
      </c>
      <c r="L177" s="634">
        <f t="shared" si="7"/>
        <v>5.5696901203386607E-9</v>
      </c>
      <c r="M177" s="29" t="s">
        <v>1488</v>
      </c>
      <c r="N177" s="29"/>
      <c r="O177" s="36"/>
    </row>
    <row r="178" spans="1:15" ht="12.75" customHeight="1" x14ac:dyDescent="0.3">
      <c r="A178" s="36" t="s">
        <v>80</v>
      </c>
      <c r="B178" s="29"/>
      <c r="C178" s="29"/>
      <c r="D178" s="29"/>
      <c r="E178" s="29"/>
      <c r="F178" s="29"/>
      <c r="G178" s="37" t="s">
        <v>3932</v>
      </c>
      <c r="H178" s="36" t="s">
        <v>4036</v>
      </c>
      <c r="I178" s="637"/>
      <c r="J178" s="633" t="str">
        <f>IF(ISBLANK(HLOOKUP(CaseName,CaseData,MATCH($G178,cases!$G$3:$G$2464,0),FALSE)),"",HLOOKUP(CaseName,CaseData,MATCH($G178,cases!$G$3:$G$2464,0),FALSE))</f>
        <v/>
      </c>
      <c r="K178" s="352">
        <f>(RAINrate.C*L184/L96+L181)*L187/L27*L15/(L16+L15)</f>
        <v>5.0633546548533281E-10</v>
      </c>
      <c r="L178" s="634">
        <f t="shared" ref="L178:L180" si="8">IF(ISBLANK(I178),IF(ISNUMBER(J178)=FALSE,K178,J178),I178)</f>
        <v>5.0633546548533281E-10</v>
      </c>
      <c r="M178" s="29" t="s">
        <v>1488</v>
      </c>
      <c r="N178" s="29"/>
      <c r="O178" s="36"/>
    </row>
    <row r="179" spans="1:15" ht="12.75" customHeight="1" x14ac:dyDescent="0.3">
      <c r="A179" s="36" t="s">
        <v>81</v>
      </c>
      <c r="B179" s="29"/>
      <c r="C179" s="29"/>
      <c r="D179" s="29"/>
      <c r="E179" s="29"/>
      <c r="F179" s="29"/>
      <c r="G179" s="37" t="s">
        <v>3933</v>
      </c>
      <c r="H179" s="36" t="s">
        <v>4036</v>
      </c>
      <c r="I179" s="637"/>
      <c r="J179" s="633" t="str">
        <f>IF(ISBLANK(HLOOKUP(CaseName,CaseData,MATCH($G179,cases!$G$3:$G$2464,0),FALSE)),"",HLOOKUP(CaseName,CaseData,MATCH($G179,cases!$G$3:$G$2464,0),FALSE))</f>
        <v/>
      </c>
      <c r="K179" s="352">
        <f>(RAINrate.C*L185/L101+L182)*L188/L28*L15/(L16+L15)</f>
        <v>2.3041009735468192E-10</v>
      </c>
      <c r="L179" s="634">
        <f t="shared" si="8"/>
        <v>2.3041009735468192E-10</v>
      </c>
      <c r="M179" s="29" t="s">
        <v>1488</v>
      </c>
      <c r="N179" s="29"/>
      <c r="O179" s="36"/>
    </row>
    <row r="180" spans="1:15" ht="12.75" customHeight="1" x14ac:dyDescent="0.3">
      <c r="A180" s="36" t="s">
        <v>82</v>
      </c>
      <c r="B180" s="29"/>
      <c r="C180" s="29"/>
      <c r="D180" s="29"/>
      <c r="E180" s="29"/>
      <c r="F180" s="29"/>
      <c r="G180" s="37" t="s">
        <v>3934</v>
      </c>
      <c r="H180" s="36" t="s">
        <v>4036</v>
      </c>
      <c r="I180" s="637"/>
      <c r="J180" s="633" t="str">
        <f>IF(ISBLANK(HLOOKUP(CaseName,CaseData,MATCH($G180,cases!$G$3:$G$2464,0),FALSE)),"",HLOOKUP(CaseName,CaseData,MATCH($G180,cases!$G$3:$G$2464,0),FALSE))</f>
        <v/>
      </c>
      <c r="K180" s="352">
        <f>(RAINrate.C*L186/L106+L183)*L189/L29*L15/(L16+L15)</f>
        <v>5.0633546548533281E-10</v>
      </c>
      <c r="L180" s="634">
        <f t="shared" si="8"/>
        <v>5.0633546548533281E-10</v>
      </c>
      <c r="M180" s="29" t="s">
        <v>1488</v>
      </c>
      <c r="N180" s="29"/>
      <c r="O180" s="36"/>
    </row>
    <row r="181" spans="1:15" ht="12.75" customHeight="1" x14ac:dyDescent="0.3">
      <c r="A181" s="36"/>
      <c r="B181" s="95" t="s">
        <v>1087</v>
      </c>
      <c r="C181" s="29"/>
      <c r="D181" s="95"/>
      <c r="E181" s="95"/>
      <c r="F181" s="95"/>
      <c r="G181" s="94" t="s">
        <v>570</v>
      </c>
      <c r="H181" s="95" t="s">
        <v>4044</v>
      </c>
      <c r="I181" s="636"/>
      <c r="J181" s="633" t="str">
        <f>IF(ISBLANK(HLOOKUP(CaseName,CaseData,MATCH($G181,cases!$G$3:$G$2464,0),FALSE)),"",HLOOKUP(CaseName,CaseData,MATCH($G181,cases!$G$3:$G$2464,0),FALSE))</f>
        <v/>
      </c>
      <c r="K181" s="352">
        <f>EROSION.C</f>
        <v>9.5129375951293754E-13</v>
      </c>
      <c r="L181" s="634">
        <f>IF(ISBLANK(I181),IF(ISNUMBER(J181)=FALSE,K181,J181),I181)</f>
        <v>9.5129375951293754E-13</v>
      </c>
      <c r="M181" s="29" t="s">
        <v>1490</v>
      </c>
      <c r="N181" s="29"/>
      <c r="O181" s="36"/>
    </row>
    <row r="182" spans="1:15" ht="12.75" customHeight="1" x14ac:dyDescent="0.3">
      <c r="A182" s="36"/>
      <c r="B182" s="95" t="s">
        <v>1088</v>
      </c>
      <c r="C182" s="29"/>
      <c r="D182" s="95"/>
      <c r="E182" s="95"/>
      <c r="F182" s="95"/>
      <c r="G182" s="94" t="s">
        <v>571</v>
      </c>
      <c r="H182" s="95" t="s">
        <v>4044</v>
      </c>
      <c r="I182" s="636"/>
      <c r="J182" s="633" t="str">
        <f>IF(ISBLANK(HLOOKUP(CaseName,CaseData,MATCH($G182,cases!$G$3:$G$2464,0),FALSE)),"",HLOOKUP(CaseName,CaseData,MATCH($G182,cases!$G$3:$G$2464,0),FALSE))</f>
        <v/>
      </c>
      <c r="K182" s="352">
        <f>EROSION.C</f>
        <v>9.5129375951293754E-13</v>
      </c>
      <c r="L182" s="634">
        <f t="shared" ref="L182:L183" si="9">IF(ISBLANK(I182),IF(ISNUMBER(J182)=FALSE,K182,J182),I182)</f>
        <v>9.5129375951293754E-13</v>
      </c>
      <c r="M182" s="29" t="s">
        <v>1490</v>
      </c>
      <c r="N182" s="29"/>
      <c r="O182" s="36"/>
    </row>
    <row r="183" spans="1:15" ht="12.75" customHeight="1" x14ac:dyDescent="0.3">
      <c r="A183" s="36"/>
      <c r="B183" s="95" t="s">
        <v>461</v>
      </c>
      <c r="C183" s="29"/>
      <c r="D183" s="95"/>
      <c r="E183" s="95"/>
      <c r="F183" s="95"/>
      <c r="G183" s="94" t="s">
        <v>1541</v>
      </c>
      <c r="H183" s="95" t="s">
        <v>4044</v>
      </c>
      <c r="I183" s="637"/>
      <c r="J183" s="633" t="str">
        <f>IF(ISBLANK(HLOOKUP(CaseName,CaseData,MATCH($G183,cases!$G$3:$G$2464,0),FALSE)),"",HLOOKUP(CaseName,CaseData,MATCH($G183,cases!$G$3:$G$2464,0),FALSE))</f>
        <v/>
      </c>
      <c r="K183" s="352">
        <f>EROSION.C</f>
        <v>9.5129375951293754E-13</v>
      </c>
      <c r="L183" s="634">
        <f t="shared" si="9"/>
        <v>9.5129375951293754E-13</v>
      </c>
      <c r="M183" s="29" t="s">
        <v>1490</v>
      </c>
      <c r="N183" s="29"/>
      <c r="O183" s="36"/>
    </row>
    <row r="184" spans="1:15" ht="12.75" customHeight="1" x14ac:dyDescent="0.3">
      <c r="A184" s="36"/>
      <c r="B184" s="36" t="s">
        <v>17</v>
      </c>
      <c r="C184" s="29"/>
      <c r="D184" s="95"/>
      <c r="E184" s="95"/>
      <c r="F184" s="95"/>
      <c r="G184" s="94" t="s">
        <v>1009</v>
      </c>
      <c r="H184" s="36" t="s">
        <v>36</v>
      </c>
      <c r="I184" s="636"/>
      <c r="J184" s="633" t="str">
        <f>IF(ISBLANK(HLOOKUP(CaseName,CaseData,MATCH($G184,cases!$G$3:$G$2464,0),FALSE)),"",HLOOKUP(CaseName,CaseData,MATCH($G184,cases!$G$3:$G$2464,0),FALSE))</f>
        <v/>
      </c>
      <c r="K184" s="352">
        <f>FRACrun.C</f>
        <v>0.25</v>
      </c>
      <c r="L184" s="634">
        <f t="shared" ref="L184:L189" si="10">IF(ISBLANK(I184),IF(ISNUMBER(J184)=FALSE,K184,J184),I184)</f>
        <v>0.25</v>
      </c>
      <c r="M184" s="29" t="s">
        <v>486</v>
      </c>
      <c r="N184" s="29"/>
      <c r="O184" s="36"/>
    </row>
    <row r="185" spans="1:15" ht="12.75" customHeight="1" x14ac:dyDescent="0.3">
      <c r="A185" s="36"/>
      <c r="B185" s="36" t="s">
        <v>733</v>
      </c>
      <c r="C185" s="29"/>
      <c r="D185" s="95"/>
      <c r="E185" s="95"/>
      <c r="F185" s="95"/>
      <c r="G185" s="94" t="s">
        <v>1010</v>
      </c>
      <c r="H185" s="36" t="s">
        <v>36</v>
      </c>
      <c r="I185" s="636"/>
      <c r="J185" s="633" t="str">
        <f>IF(ISBLANK(HLOOKUP(CaseName,CaseData,MATCH($G185,cases!$G$3:$G$2464,0),FALSE)),"",HLOOKUP(CaseName,CaseData,MATCH($G185,cases!$G$3:$G$2464,0),FALSE))</f>
        <v/>
      </c>
      <c r="K185" s="352">
        <f>FRACrun.C</f>
        <v>0.25</v>
      </c>
      <c r="L185" s="634">
        <f t="shared" si="10"/>
        <v>0.25</v>
      </c>
      <c r="M185" s="29" t="s">
        <v>486</v>
      </c>
      <c r="N185" s="29"/>
      <c r="O185" s="36"/>
    </row>
    <row r="186" spans="1:15" ht="12.75" customHeight="1" x14ac:dyDescent="0.3">
      <c r="A186" s="36"/>
      <c r="B186" s="36" t="s">
        <v>870</v>
      </c>
      <c r="C186" s="29"/>
      <c r="D186" s="95"/>
      <c r="E186" s="95"/>
      <c r="F186" s="95"/>
      <c r="G186" s="94" t="s">
        <v>1011</v>
      </c>
      <c r="H186" s="36" t="s">
        <v>36</v>
      </c>
      <c r="I186" s="636"/>
      <c r="J186" s="633" t="str">
        <f>IF(ISBLANK(HLOOKUP(CaseName,CaseData,MATCH($G186,cases!$G$3:$G$2464,0),FALSE)),"",HLOOKUP(CaseName,CaseData,MATCH($G186,cases!$G$3:$G$2464,0),FALSE))</f>
        <v/>
      </c>
      <c r="K186" s="352">
        <f>FRACrun.C</f>
        <v>0.25</v>
      </c>
      <c r="L186" s="634">
        <f t="shared" si="10"/>
        <v>0.25</v>
      </c>
      <c r="M186" s="29" t="s">
        <v>486</v>
      </c>
      <c r="N186" s="29"/>
      <c r="O186" s="36"/>
    </row>
    <row r="187" spans="1:15" ht="12.75" customHeight="1" x14ac:dyDescent="0.3">
      <c r="A187" s="36"/>
      <c r="B187" s="29" t="s">
        <v>185</v>
      </c>
      <c r="C187" s="29"/>
      <c r="D187" s="95"/>
      <c r="E187" s="95"/>
      <c r="F187" s="95"/>
      <c r="G187" s="37" t="s">
        <v>908</v>
      </c>
      <c r="H187" s="29" t="s">
        <v>36</v>
      </c>
      <c r="I187" s="637"/>
      <c r="J187" s="633" t="str">
        <f>IF(ISBLANK(HLOOKUP(CaseName,CaseData,MATCH($G187,cases!$G$3:$G$2464,0),FALSE)),"",HLOOKUP(CaseName,CaseData,MATCH($G187,cases!$G$3:$G$2464,0),FALSE))</f>
        <v/>
      </c>
      <c r="K187" s="352">
        <f>(EXP((-1/0.1)*0)*(1/0.1)*L27/(1-EXP((-1/0.1)*L27)))</f>
        <v>1.2707470412683992</v>
      </c>
      <c r="L187" s="634">
        <f t="shared" si="10"/>
        <v>1.2707470412683992</v>
      </c>
      <c r="M187" s="29" t="s">
        <v>486</v>
      </c>
      <c r="N187" s="29" t="s">
        <v>995</v>
      </c>
      <c r="O187" s="36"/>
    </row>
    <row r="188" spans="1:15" ht="12.75" customHeight="1" x14ac:dyDescent="0.3">
      <c r="A188" s="36"/>
      <c r="B188" s="29" t="s">
        <v>185</v>
      </c>
      <c r="C188" s="29"/>
      <c r="D188" s="95"/>
      <c r="E188" s="95"/>
      <c r="F188" s="95"/>
      <c r="G188" s="37" t="s">
        <v>909</v>
      </c>
      <c r="H188" s="29" t="s">
        <v>36</v>
      </c>
      <c r="I188" s="637"/>
      <c r="J188" s="633" t="str">
        <f>IF(ISBLANK(HLOOKUP(CaseName,CaseData,MATCH($G188,cases!$G$3:$G$2464,0),FALSE)),"",HLOOKUP(CaseName,CaseData,MATCH($G188,cases!$G$3:$G$2464,0),FALSE))</f>
        <v/>
      </c>
      <c r="K188" s="352">
        <f>(EXP((-1/0.1)*0)*(1/0.1)*L28/(1-EXP((-1/0.1)*L28)))</f>
        <v>2.3130352854993315</v>
      </c>
      <c r="L188" s="634">
        <f t="shared" si="10"/>
        <v>2.3130352854993315</v>
      </c>
      <c r="M188" s="29" t="s">
        <v>486</v>
      </c>
      <c r="N188" s="29" t="s">
        <v>995</v>
      </c>
      <c r="O188" s="36"/>
    </row>
    <row r="189" spans="1:15" ht="12.75" customHeight="1" x14ac:dyDescent="0.3">
      <c r="A189" s="36"/>
      <c r="B189" s="29" t="s">
        <v>185</v>
      </c>
      <c r="C189" s="29"/>
      <c r="D189" s="95"/>
      <c r="E189" s="95"/>
      <c r="F189" s="95"/>
      <c r="G189" s="37" t="s">
        <v>910</v>
      </c>
      <c r="H189" s="29" t="s">
        <v>36</v>
      </c>
      <c r="I189" s="637"/>
      <c r="J189" s="633" t="str">
        <f>IF(ISBLANK(HLOOKUP(CaseName,CaseData,MATCH($G189,cases!$G$3:$G$2464,0),FALSE)),"",HLOOKUP(CaseName,CaseData,MATCH($G189,cases!$G$3:$G$2464,0),FALSE))</f>
        <v/>
      </c>
      <c r="K189" s="352">
        <f>(EXP((-1/0.1)*0)*(1/0.1)*L29/(1-EXP((-1/0.1)*L29)))</f>
        <v>1.2707470412683992</v>
      </c>
      <c r="L189" s="634">
        <f t="shared" si="10"/>
        <v>1.2707470412683992</v>
      </c>
      <c r="M189" s="29" t="s">
        <v>486</v>
      </c>
      <c r="N189" s="29" t="s">
        <v>995</v>
      </c>
      <c r="O189" s="36"/>
    </row>
    <row r="190" spans="1:15" ht="12.75" customHeight="1" x14ac:dyDescent="0.3">
      <c r="A190" s="29"/>
      <c r="B190" s="29"/>
      <c r="C190" s="29"/>
      <c r="D190" s="29"/>
      <c r="E190" s="29"/>
      <c r="F190" s="29"/>
      <c r="G190" s="29"/>
      <c r="H190" s="29"/>
      <c r="I190" s="633"/>
      <c r="J190" s="353"/>
      <c r="K190" s="353"/>
      <c r="L190" s="353"/>
      <c r="M190" s="29"/>
      <c r="N190" s="29"/>
      <c r="O190" s="36"/>
    </row>
    <row r="191" spans="1:15" ht="12.75" customHeight="1" x14ac:dyDescent="0.3">
      <c r="A191" s="98" t="s">
        <v>419</v>
      </c>
      <c r="B191" s="97"/>
      <c r="C191" s="97"/>
      <c r="D191" s="97"/>
      <c r="E191" s="97"/>
      <c r="F191" s="97"/>
      <c r="G191" s="98" t="s">
        <v>1008</v>
      </c>
      <c r="H191" s="98" t="s">
        <v>968</v>
      </c>
      <c r="I191" s="364" t="s">
        <v>754</v>
      </c>
      <c r="J191" s="340" t="s">
        <v>37</v>
      </c>
      <c r="K191" s="340" t="s">
        <v>753</v>
      </c>
      <c r="L191" s="340" t="s">
        <v>1358</v>
      </c>
      <c r="M191" s="97"/>
      <c r="N191" s="98" t="s">
        <v>1371</v>
      </c>
      <c r="O191" s="36"/>
    </row>
    <row r="192" spans="1:15" ht="12.75" customHeight="1" x14ac:dyDescent="0.3">
      <c r="A192" s="36"/>
      <c r="B192" s="29"/>
      <c r="C192" s="29"/>
      <c r="D192" s="29"/>
      <c r="E192" s="29"/>
      <c r="F192" s="29"/>
      <c r="G192" s="29"/>
      <c r="H192" s="29"/>
      <c r="I192" s="633"/>
      <c r="J192" s="353"/>
      <c r="K192" s="353"/>
      <c r="L192" s="353"/>
      <c r="M192" s="29"/>
      <c r="N192" s="29"/>
      <c r="O192" s="36"/>
    </row>
    <row r="193" spans="1:15" ht="12.75" customHeight="1" x14ac:dyDescent="0.3">
      <c r="A193" s="36" t="s">
        <v>224</v>
      </c>
      <c r="B193" s="29"/>
      <c r="C193" s="29"/>
      <c r="D193" s="29"/>
      <c r="E193" s="29"/>
      <c r="F193" s="29"/>
      <c r="G193" s="37" t="s">
        <v>830</v>
      </c>
      <c r="H193" s="36" t="s">
        <v>4036</v>
      </c>
      <c r="I193" s="637"/>
      <c r="J193" s="633" t="str">
        <f>IF(ISBLANK(HLOOKUP(CaseName,CaseData,MATCH($G193,cases!$G$3:$G$2464,0),FALSE)),"",HLOOKUP(CaseName,CaseData,MATCH($G193,cases!$G$3:$G$2464,0),FALSE))</f>
        <v/>
      </c>
      <c r="K193" s="352">
        <f>L202+L203</f>
        <v>2.1630471517752678E-7</v>
      </c>
      <c r="L193" s="634">
        <f t="shared" ref="L193:L217" si="11">IF(ISBLANK(I193),IF(ISNUMBER(J193)=FALSE,K193,J193),I193)</f>
        <v>2.1630471517752678E-7</v>
      </c>
      <c r="M193" s="29" t="s">
        <v>1488</v>
      </c>
      <c r="N193" s="29"/>
      <c r="O193" s="36"/>
    </row>
    <row r="194" spans="1:15" ht="12.75" customHeight="1" x14ac:dyDescent="0.3">
      <c r="A194" s="36" t="s">
        <v>304</v>
      </c>
      <c r="B194" s="29"/>
      <c r="C194" s="29"/>
      <c r="D194" s="29"/>
      <c r="E194" s="29"/>
      <c r="F194" s="29"/>
      <c r="G194" s="37" t="s">
        <v>353</v>
      </c>
      <c r="H194" s="36" t="s">
        <v>4036</v>
      </c>
      <c r="I194" s="637"/>
      <c r="J194" s="633" t="str">
        <f>IF(ISBLANK(HLOOKUP(CaseName,CaseData,MATCH($G194,cases!$G$3:$G$2464,0),FALSE)),"",HLOOKUP(CaseName,CaseData,MATCH($G194,cases!$G$3:$G$2464,0),FALSE))</f>
        <v/>
      </c>
      <c r="K194" s="352">
        <f>L206</f>
        <v>8.6888547727987207E-8</v>
      </c>
      <c r="L194" s="634">
        <f>IF(ISBLANK(I194),IF(ISNUMBER(J194)=FALSE,K194,J194),I194)</f>
        <v>8.6888547727987207E-8</v>
      </c>
      <c r="M194" s="29" t="s">
        <v>1488</v>
      </c>
      <c r="N194" s="29"/>
      <c r="O194" s="36"/>
    </row>
    <row r="195" spans="1:15" ht="12.75" customHeight="1" x14ac:dyDescent="0.3">
      <c r="A195" s="36" t="s">
        <v>253</v>
      </c>
      <c r="B195" s="29"/>
      <c r="C195" s="29"/>
      <c r="D195" s="29"/>
      <c r="E195" s="29"/>
      <c r="F195" s="29"/>
      <c r="G195" s="37" t="s">
        <v>831</v>
      </c>
      <c r="H195" s="36" t="s">
        <v>4036</v>
      </c>
      <c r="I195" s="637"/>
      <c r="J195" s="633" t="str">
        <f>IF(ISBLANK(HLOOKUP(CaseName,CaseData,MATCH($G195,cases!$G$3:$G$2464,0),FALSE)),"",HLOOKUP(CaseName,CaseData,MATCH($G195,cases!$G$3:$G$2464,0),FALSE))</f>
        <v/>
      </c>
      <c r="K195" s="352">
        <f>L207</f>
        <v>8.6791727940822063E-8</v>
      </c>
      <c r="L195" s="634">
        <f t="shared" si="11"/>
        <v>8.6791727940822063E-8</v>
      </c>
      <c r="M195" s="29" t="s">
        <v>1488</v>
      </c>
      <c r="N195" s="29"/>
      <c r="O195" s="36"/>
    </row>
    <row r="196" spans="1:15" ht="12.75" customHeight="1" x14ac:dyDescent="0.3">
      <c r="A196" s="36" t="s">
        <v>254</v>
      </c>
      <c r="B196" s="29"/>
      <c r="C196" s="29"/>
      <c r="D196" s="29"/>
      <c r="E196" s="29"/>
      <c r="F196" s="29"/>
      <c r="G196" s="37" t="s">
        <v>832</v>
      </c>
      <c r="H196" s="36" t="s">
        <v>4036</v>
      </c>
      <c r="I196" s="637"/>
      <c r="J196" s="633" t="str">
        <f>IF(ISBLANK(HLOOKUP(CaseName,CaseData,MATCH($G196,cases!$G$3:$G$2464,0),FALSE)),"",HLOOKUP(CaseName,CaseData,MATCH($G196,cases!$G$3:$G$2464,0),FALSE))</f>
        <v/>
      </c>
      <c r="K196" s="352">
        <f>L208</f>
        <v>8.6858477099101683E-8</v>
      </c>
      <c r="L196" s="634">
        <f t="shared" si="11"/>
        <v>8.6858477099101683E-8</v>
      </c>
      <c r="M196" s="29" t="s">
        <v>1488</v>
      </c>
      <c r="N196" s="29"/>
      <c r="O196" s="36"/>
    </row>
    <row r="197" spans="1:15" ht="12.75" customHeight="1" x14ac:dyDescent="0.3">
      <c r="A197" s="36" t="s">
        <v>256</v>
      </c>
      <c r="B197" s="29"/>
      <c r="C197" s="29"/>
      <c r="D197" s="29"/>
      <c r="E197" s="29"/>
      <c r="F197" s="29"/>
      <c r="G197" s="37" t="s">
        <v>833</v>
      </c>
      <c r="H197" s="36" t="s">
        <v>4036</v>
      </c>
      <c r="I197" s="637"/>
      <c r="J197" s="633" t="str">
        <f>IF(ISBLANK(HLOOKUP(CaseName,CaseData,MATCH($G197,cases!$G$3:$G$2464,0),FALSE)),"",HLOOKUP(CaseName,CaseData,MATCH($G197,cases!$G$3:$G$2464,0),FALSE))</f>
        <v/>
      </c>
      <c r="K197" s="352">
        <f>L213+L164/L25</f>
        <v>1.2540031911792764E-8</v>
      </c>
      <c r="L197" s="634">
        <f t="shared" si="11"/>
        <v>1.2540031911792764E-8</v>
      </c>
      <c r="M197" s="29" t="s">
        <v>1488</v>
      </c>
      <c r="N197" s="29"/>
      <c r="O197" s="36"/>
    </row>
    <row r="198" spans="1:15" ht="12.75" customHeight="1" x14ac:dyDescent="0.3">
      <c r="A198" s="36" t="s">
        <v>257</v>
      </c>
      <c r="B198" s="29"/>
      <c r="C198" s="29"/>
      <c r="D198" s="29"/>
      <c r="E198" s="29"/>
      <c r="F198" s="29"/>
      <c r="G198" s="37" t="s">
        <v>834</v>
      </c>
      <c r="H198" s="36" t="s">
        <v>4036</v>
      </c>
      <c r="I198" s="637"/>
      <c r="J198" s="633" t="str">
        <f>IF(ISBLANK(HLOOKUP(CaseName,CaseData,MATCH($G198,cases!$G$3:$G$2464,0),FALSE)),"",HLOOKUP(CaseName,CaseData,MATCH($G198,cases!$G$3:$G$2464,0),FALSE))</f>
        <v/>
      </c>
      <c r="K198" s="352">
        <f>L214+L165/L26</f>
        <v>9.6658035166392035E-9</v>
      </c>
      <c r="L198" s="634">
        <f t="shared" si="11"/>
        <v>9.6658035166392035E-9</v>
      </c>
      <c r="M198" s="29" t="s">
        <v>1488</v>
      </c>
      <c r="N198" s="29"/>
      <c r="O198" s="36"/>
    </row>
    <row r="199" spans="1:15" ht="12.75" customHeight="1" x14ac:dyDescent="0.3">
      <c r="A199" s="36" t="s">
        <v>226</v>
      </c>
      <c r="B199" s="29"/>
      <c r="C199" s="29"/>
      <c r="D199" s="29"/>
      <c r="E199" s="29"/>
      <c r="F199" s="29"/>
      <c r="G199" s="37" t="s">
        <v>835</v>
      </c>
      <c r="H199" s="36" t="s">
        <v>4036</v>
      </c>
      <c r="I199" s="637"/>
      <c r="J199" s="633" t="str">
        <f>IF(ISBLANK(HLOOKUP(CaseName,CaseData,MATCH($G199,cases!$G$3:$G$2464,0),FALSE)),"",HLOOKUP(CaseName,CaseData,MATCH($G199,cases!$G$3:$G$2464,0),FALSE))</f>
        <v/>
      </c>
      <c r="K199" s="352">
        <f>L215+L218*RAINrate.C/L96*L221/L27</f>
        <v>4.3496280239573685E-8</v>
      </c>
      <c r="L199" s="634">
        <f t="shared" si="11"/>
        <v>4.3496280239573685E-8</v>
      </c>
      <c r="M199" s="29" t="s">
        <v>1488</v>
      </c>
      <c r="N199" s="29"/>
      <c r="O199" s="36"/>
    </row>
    <row r="200" spans="1:15" ht="12.75" customHeight="1" x14ac:dyDescent="0.3">
      <c r="A200" s="36" t="s">
        <v>226</v>
      </c>
      <c r="B200" s="29"/>
      <c r="C200" s="29"/>
      <c r="D200" s="29"/>
      <c r="E200" s="29"/>
      <c r="F200" s="29"/>
      <c r="G200" s="37" t="s">
        <v>836</v>
      </c>
      <c r="H200" s="36" t="s">
        <v>4036</v>
      </c>
      <c r="I200" s="637"/>
      <c r="J200" s="633" t="str">
        <f>IF(ISBLANK(HLOOKUP(CaseName,CaseData,MATCH($G200,cases!$G$3:$G$2464,0),FALSE)),"",HLOOKUP(CaseName,CaseData,MATCH($G200,cases!$G$3:$G$2464,0),FALSE))</f>
        <v/>
      </c>
      <c r="K200" s="352">
        <f>L216+L219*RAINrate.C/L101*L222/L28</f>
        <v>4.3474058967261533E-8</v>
      </c>
      <c r="L200" s="634">
        <f t="shared" si="11"/>
        <v>4.3474058967261533E-8</v>
      </c>
      <c r="M200" s="29" t="s">
        <v>1488</v>
      </c>
      <c r="N200" s="29"/>
      <c r="O200" s="36"/>
    </row>
    <row r="201" spans="1:15" ht="12.75" customHeight="1" x14ac:dyDescent="0.3">
      <c r="A201" s="36" t="s">
        <v>226</v>
      </c>
      <c r="B201" s="29"/>
      <c r="C201" s="29"/>
      <c r="D201" s="29"/>
      <c r="E201" s="29"/>
      <c r="F201" s="29"/>
      <c r="G201" s="37" t="s">
        <v>837</v>
      </c>
      <c r="H201" s="36" t="s">
        <v>4036</v>
      </c>
      <c r="I201" s="637"/>
      <c r="J201" s="633" t="str">
        <f>IF(ISBLANK(HLOOKUP(CaseName,CaseData,MATCH($G201,cases!$G$3:$G$2464,0),FALSE)),"",HLOOKUP(CaseName,CaseData,MATCH($G201,cases!$G$3:$G$2464,0),FALSE))</f>
        <v/>
      </c>
      <c r="K201" s="352">
        <f>L217+L220*RAINrate.C/L106*L223/L29</f>
        <v>4.3496280239573685E-8</v>
      </c>
      <c r="L201" s="634">
        <f t="shared" si="11"/>
        <v>4.3496280239573685E-8</v>
      </c>
      <c r="M201" s="29" t="s">
        <v>1488</v>
      </c>
      <c r="N201" s="29"/>
      <c r="O201" s="36"/>
    </row>
    <row r="202" spans="1:15" ht="12.75" customHeight="1" x14ac:dyDescent="0.3">
      <c r="A202" s="36"/>
      <c r="B202" s="36" t="s">
        <v>796</v>
      </c>
      <c r="C202" s="95"/>
      <c r="D202" s="29"/>
      <c r="E202" s="29"/>
      <c r="F202" s="29"/>
      <c r="G202" s="94" t="s">
        <v>197</v>
      </c>
      <c r="H202" s="36" t="s">
        <v>4036</v>
      </c>
      <c r="I202" s="637"/>
      <c r="J202" s="633" t="str">
        <f>IF(ISBLANK(HLOOKUP(CaseName,CaseData,MATCH($G202,cases!$G$3:$G$2464,0),FALSE)),"",HLOOKUP(CaseName,CaseData,MATCH($G202,cases!$G$3:$G$2464,0),FALSE))</f>
        <v/>
      </c>
      <c r="K202" s="352">
        <f>LN(2)/(60*365*24*3600)</f>
        <v>3.663258818281463E-10</v>
      </c>
      <c r="L202" s="634">
        <f t="shared" si="11"/>
        <v>3.663258818281463E-10</v>
      </c>
      <c r="M202" s="36" t="s">
        <v>1488</v>
      </c>
      <c r="N202" s="29"/>
      <c r="O202" s="36"/>
    </row>
    <row r="203" spans="1:15" ht="12.75" customHeight="1" x14ac:dyDescent="0.3">
      <c r="A203" s="36"/>
      <c r="B203" s="36" t="s">
        <v>797</v>
      </c>
      <c r="C203" s="29"/>
      <c r="D203" s="29"/>
      <c r="E203" s="29"/>
      <c r="F203" s="29"/>
      <c r="G203" s="37" t="s">
        <v>1203</v>
      </c>
      <c r="H203" s="36" t="s">
        <v>4036</v>
      </c>
      <c r="I203" s="636"/>
      <c r="J203" s="633" t="str">
        <f>IF(ISBLANK(HLOOKUP(CaseName,CaseData,MATCH($G203,cases!$G$3:$G$2464,0),FALSE)),"",HLOOKUP(CaseName,CaseData,MATCH($G203,cases!$G$3:$G$2464,0),FALSE))</f>
        <v/>
      </c>
      <c r="K203" s="352">
        <f>L66*kdeg.air*(L204/C.OHrad)*L205</f>
        <v>2.1593838929569864E-7</v>
      </c>
      <c r="L203" s="634">
        <f t="shared" si="11"/>
        <v>2.1593838929569864E-7</v>
      </c>
      <c r="M203" s="36" t="s">
        <v>1488</v>
      </c>
      <c r="N203" s="29"/>
      <c r="O203" s="36"/>
    </row>
    <row r="204" spans="1:15" ht="12.75" customHeight="1" x14ac:dyDescent="0.3">
      <c r="A204" s="95"/>
      <c r="B204" s="95"/>
      <c r="C204" s="36" t="s">
        <v>187</v>
      </c>
      <c r="D204" s="29"/>
      <c r="E204" s="29"/>
      <c r="F204" s="29"/>
      <c r="G204" s="37" t="s">
        <v>188</v>
      </c>
      <c r="H204" s="36" t="s">
        <v>4048</v>
      </c>
      <c r="I204" s="636"/>
      <c r="J204" s="633" t="str">
        <f>IF(ISBLANK(HLOOKUP(CaseName,CaseData,MATCH($G204,cases!$G$3:$G$2464,0),FALSE)),"",HLOOKUP(CaseName,CaseData,MATCH($G204,cases!$G$3:$G$2464,0),FALSE))</f>
        <v/>
      </c>
      <c r="K204" s="352">
        <v>500000</v>
      </c>
      <c r="L204" s="634">
        <f t="shared" si="11"/>
        <v>500000</v>
      </c>
      <c r="M204" s="36" t="s">
        <v>1500</v>
      </c>
      <c r="N204" s="29"/>
      <c r="O204" s="36"/>
    </row>
    <row r="205" spans="1:15" ht="12.75" customHeight="1" x14ac:dyDescent="0.3">
      <c r="A205" s="95"/>
      <c r="B205" s="95"/>
      <c r="C205" s="36" t="s">
        <v>35</v>
      </c>
      <c r="D205" s="29"/>
      <c r="E205" s="29"/>
      <c r="F205" s="29"/>
      <c r="G205" s="37" t="s">
        <v>189</v>
      </c>
      <c r="H205" s="36" t="s">
        <v>36</v>
      </c>
      <c r="I205" s="636"/>
      <c r="J205" s="633" t="str">
        <f>IF(ISBLANK(HLOOKUP(CaseName,CaseData,MATCH($G205,cases!$G$3:$G$2464,0),FALSE)),"",HLOOKUP(CaseName,CaseData,MATCH($G205,cases!$G$3:$G$2464,0),FALSE))</f>
        <v/>
      </c>
      <c r="K205" s="352">
        <f>EXP((Ea.OHrad/8.314)*(TEMP.C-298)/298^2)</f>
        <v>0.89974332049812744</v>
      </c>
      <c r="L205" s="645">
        <f t="shared" si="11"/>
        <v>0.89974332049812744</v>
      </c>
      <c r="M205" s="36" t="s">
        <v>486</v>
      </c>
      <c r="N205" s="29"/>
      <c r="O205" s="36"/>
    </row>
    <row r="206" spans="1:15" ht="12.75" customHeight="1" x14ac:dyDescent="0.3">
      <c r="A206" s="36"/>
      <c r="B206" s="36" t="s">
        <v>325</v>
      </c>
      <c r="C206" s="29"/>
      <c r="D206" s="29"/>
      <c r="E206" s="29"/>
      <c r="F206" s="29"/>
      <c r="G206" s="37" t="s">
        <v>354</v>
      </c>
      <c r="H206" s="36" t="s">
        <v>4036</v>
      </c>
      <c r="I206" s="632"/>
      <c r="J206" s="633" t="str">
        <f>IF(ISBLANK(HLOOKUP(CaseName,CaseData,MATCH($G206,cases!$G$3:$G$2464,0),FALSE)),"",HLOOKUP(CaseName,CaseData,MATCH($G206,cases!$G$3:$G$2464,0),FALSE))</f>
        <v/>
      </c>
      <c r="K206" s="352">
        <f>kdeg.water*L212*(L209/BACT.test)*L72</f>
        <v>8.6888547727987207E-8</v>
      </c>
      <c r="L206" s="634">
        <f>IF(ISBLANK(I206),IF(ISNUMBER(J206)=FALSE,K206,J206),I206)</f>
        <v>8.6888547727987207E-8</v>
      </c>
      <c r="M206" s="36" t="s">
        <v>1488</v>
      </c>
      <c r="N206" s="29"/>
      <c r="O206" s="36"/>
    </row>
    <row r="207" spans="1:15" ht="12.75" customHeight="1" x14ac:dyDescent="0.3">
      <c r="A207" s="36"/>
      <c r="B207" s="36" t="s">
        <v>798</v>
      </c>
      <c r="C207" s="29"/>
      <c r="D207" s="29"/>
      <c r="E207" s="29"/>
      <c r="F207" s="29"/>
      <c r="G207" s="37" t="s">
        <v>1012</v>
      </c>
      <c r="H207" s="36" t="s">
        <v>4036</v>
      </c>
      <c r="I207" s="636"/>
      <c r="J207" s="633" t="str">
        <f>IF(ISBLANK(HLOOKUP(CaseName,CaseData,MATCH($G207,cases!$G$3:$G$2464,0),FALSE)),"",HLOOKUP(CaseName,CaseData,MATCH($G207,cases!$G$3:$G$2464,0),FALSE))</f>
        <v/>
      </c>
      <c r="K207" s="352">
        <f>kdeg.water*L212*(L210/BACT.test)*L78</f>
        <v>8.6791727940822063E-8</v>
      </c>
      <c r="L207" s="634">
        <f t="shared" si="11"/>
        <v>8.6791727940822063E-8</v>
      </c>
      <c r="M207" s="36" t="s">
        <v>1488</v>
      </c>
      <c r="N207" s="29"/>
      <c r="O207" s="36"/>
    </row>
    <row r="208" spans="1:15" ht="12.75" customHeight="1" x14ac:dyDescent="0.3">
      <c r="A208" s="36"/>
      <c r="B208" s="36" t="s">
        <v>799</v>
      </c>
      <c r="C208" s="29"/>
      <c r="D208" s="29"/>
      <c r="E208" s="29"/>
      <c r="F208" s="29"/>
      <c r="G208" s="37" t="s">
        <v>1013</v>
      </c>
      <c r="H208" s="36" t="s">
        <v>4036</v>
      </c>
      <c r="I208" s="636"/>
      <c r="J208" s="633" t="str">
        <f>IF(ISBLANK(HLOOKUP(CaseName,CaseData,MATCH($G208,cases!$G$3:$G$2464,0),FALSE)),"",HLOOKUP(CaseName,CaseData,MATCH($G208,cases!$G$3:$G$2464,0),FALSE))</f>
        <v/>
      </c>
      <c r="K208" s="352">
        <f>kdeg.water*L212*(L211/BACT.test)*L84</f>
        <v>8.6858477099101683E-8</v>
      </c>
      <c r="L208" s="634">
        <f t="shared" si="11"/>
        <v>8.6858477099101683E-8</v>
      </c>
      <c r="M208" s="36" t="s">
        <v>1488</v>
      </c>
      <c r="N208" s="29"/>
      <c r="O208" s="36"/>
    </row>
    <row r="209" spans="1:15" ht="12.75" customHeight="1" x14ac:dyDescent="0.3">
      <c r="A209" s="36"/>
      <c r="B209" s="36"/>
      <c r="C209" s="36" t="s">
        <v>326</v>
      </c>
      <c r="D209" s="29"/>
      <c r="E209" s="29"/>
      <c r="F209" s="29"/>
      <c r="G209" s="94" t="s">
        <v>355</v>
      </c>
      <c r="H209" s="36" t="s">
        <v>730</v>
      </c>
      <c r="I209" s="632"/>
      <c r="J209" s="633" t="str">
        <f>IF(ISBLANK(HLOOKUP(CaseName,CaseData,MATCH($G209,cases!$G$3:$G$2464,0),FALSE)),"",HLOOKUP(CaseName,CaseData,MATCH($G209,cases!$G$3:$G$2464,0),FALSE))</f>
        <v/>
      </c>
      <c r="K209" s="352">
        <v>40000</v>
      </c>
      <c r="L209" s="634">
        <f>IF(ISBLANK(I209),IF(ISNUMBER(J209)=FALSE,K209,J209),I209)</f>
        <v>40000</v>
      </c>
      <c r="M209" s="36" t="s">
        <v>1501</v>
      </c>
      <c r="N209" s="29"/>
      <c r="O209" s="36"/>
    </row>
    <row r="210" spans="1:15" ht="12.75" customHeight="1" x14ac:dyDescent="0.3">
      <c r="A210" s="36"/>
      <c r="B210" s="36"/>
      <c r="C210" s="36" t="s">
        <v>585</v>
      </c>
      <c r="D210" s="29"/>
      <c r="E210" s="29"/>
      <c r="F210" s="29"/>
      <c r="G210" s="94" t="s">
        <v>686</v>
      </c>
      <c r="H210" s="36" t="s">
        <v>730</v>
      </c>
      <c r="I210" s="636"/>
      <c r="J210" s="633" t="str">
        <f>IF(ISBLANK(HLOOKUP(CaseName,CaseData,MATCH($G210,cases!$G$3:$G$2464,0),FALSE)),"",HLOOKUP(CaseName,CaseData,MATCH($G210,cases!$G$3:$G$2464,0),FALSE))</f>
        <v/>
      </c>
      <c r="K210" s="352">
        <v>40000</v>
      </c>
      <c r="L210" s="634">
        <f t="shared" si="11"/>
        <v>40000</v>
      </c>
      <c r="M210" s="36" t="s">
        <v>731</v>
      </c>
      <c r="N210" s="29"/>
      <c r="O210" s="36"/>
    </row>
    <row r="211" spans="1:15" ht="12.75" customHeight="1" x14ac:dyDescent="0.3">
      <c r="A211" s="36"/>
      <c r="B211" s="36"/>
      <c r="C211" s="36" t="s">
        <v>1451</v>
      </c>
      <c r="D211" s="29"/>
      <c r="E211" s="29"/>
      <c r="F211" s="29"/>
      <c r="G211" s="94" t="s">
        <v>687</v>
      </c>
      <c r="H211" s="36" t="s">
        <v>730</v>
      </c>
      <c r="I211" s="636"/>
      <c r="J211" s="633" t="str">
        <f>IF(ISBLANK(HLOOKUP(CaseName,CaseData,MATCH($G211,cases!$G$3:$G$2464,0),FALSE)),"",HLOOKUP(CaseName,CaseData,MATCH($G211,cases!$G$3:$G$2464,0),FALSE))</f>
        <v/>
      </c>
      <c r="K211" s="352">
        <v>40000</v>
      </c>
      <c r="L211" s="634">
        <f t="shared" si="11"/>
        <v>40000</v>
      </c>
      <c r="M211" s="36" t="s">
        <v>731</v>
      </c>
      <c r="N211" s="29"/>
      <c r="O211" s="36"/>
    </row>
    <row r="212" spans="1:15" ht="12.75" customHeight="1" x14ac:dyDescent="0.3">
      <c r="A212" s="95"/>
      <c r="B212" s="95"/>
      <c r="C212" s="36" t="s">
        <v>766</v>
      </c>
      <c r="D212" s="29"/>
      <c r="E212" s="29"/>
      <c r="F212" s="29"/>
      <c r="G212" s="37" t="s">
        <v>540</v>
      </c>
      <c r="H212" s="36" t="s">
        <v>36</v>
      </c>
      <c r="I212" s="636"/>
      <c r="J212" s="633" t="str">
        <f>IF(ISBLANK(HLOOKUP(CaseName,CaseData,MATCH($G212,cases!$G$3:$G$2464,0),FALSE)),"",HLOOKUP(CaseName,CaseData,MATCH($G212,cases!$G$3:$G$2464,0),FALSE))</f>
        <v/>
      </c>
      <c r="K212" s="352">
        <f>Q.10^((TEMP.C-298)/10)</f>
        <v>0.40612619817811774</v>
      </c>
      <c r="L212" s="634">
        <f t="shared" si="11"/>
        <v>0.40612619817811774</v>
      </c>
      <c r="M212" s="36" t="s">
        <v>486</v>
      </c>
      <c r="N212" s="29"/>
      <c r="O212" s="36"/>
    </row>
    <row r="213" spans="1:15" ht="12.75" customHeight="1" x14ac:dyDescent="0.3">
      <c r="A213" s="36"/>
      <c r="B213" s="36" t="s">
        <v>800</v>
      </c>
      <c r="C213" s="29"/>
      <c r="D213" s="29"/>
      <c r="E213" s="29"/>
      <c r="F213" s="29"/>
      <c r="G213" s="37" t="s">
        <v>1014</v>
      </c>
      <c r="H213" s="36" t="s">
        <v>4036</v>
      </c>
      <c r="I213" s="636"/>
      <c r="J213" s="633" t="str">
        <f>IF(ISBLANK(HLOOKUP(CaseName,CaseData,MATCH($G213,cases!$G$3:$G$2464,0),FALSE)),"",HLOOKUP(CaseName,CaseData,MATCH($G213,cases!$G$3:$G$2464,0),FALSE))</f>
        <v/>
      </c>
      <c r="K213" s="366">
        <f>L212*kdeg.sed</f>
        <v>9.6658035166392035E-9</v>
      </c>
      <c r="L213" s="634">
        <f t="shared" si="11"/>
        <v>9.6658035166392035E-9</v>
      </c>
      <c r="M213" s="36" t="s">
        <v>1488</v>
      </c>
      <c r="N213" s="29"/>
      <c r="O213" s="36"/>
    </row>
    <row r="214" spans="1:15" ht="12.75" customHeight="1" x14ac:dyDescent="0.3">
      <c r="A214" s="36"/>
      <c r="B214" s="36" t="s">
        <v>801</v>
      </c>
      <c r="C214" s="29"/>
      <c r="D214" s="29"/>
      <c r="E214" s="29"/>
      <c r="F214" s="29"/>
      <c r="G214" s="37" t="s">
        <v>1292</v>
      </c>
      <c r="H214" s="36" t="s">
        <v>4036</v>
      </c>
      <c r="I214" s="636"/>
      <c r="J214" s="633" t="str">
        <f>IF(ISBLANK(HLOOKUP(CaseName,CaseData,MATCH($G214,cases!$G$3:$G$2464,0),FALSE)),"",HLOOKUP(CaseName,CaseData,MATCH($G214,cases!$G$3:$G$2464,0),FALSE))</f>
        <v/>
      </c>
      <c r="K214" s="366">
        <f>L212*kdeg.sed</f>
        <v>9.6658035166392035E-9</v>
      </c>
      <c r="L214" s="634">
        <f t="shared" si="11"/>
        <v>9.6658035166392035E-9</v>
      </c>
      <c r="M214" s="36" t="s">
        <v>1488</v>
      </c>
      <c r="N214" s="29"/>
      <c r="O214" s="36"/>
    </row>
    <row r="215" spans="1:15" ht="12.75" customHeight="1" x14ac:dyDescent="0.3">
      <c r="A215" s="36"/>
      <c r="B215" s="36" t="s">
        <v>802</v>
      </c>
      <c r="C215" s="29"/>
      <c r="D215" s="29"/>
      <c r="E215" s="29"/>
      <c r="F215" s="29"/>
      <c r="G215" s="37" t="s">
        <v>1293</v>
      </c>
      <c r="H215" s="36" t="s">
        <v>4036</v>
      </c>
      <c r="I215" s="636"/>
      <c r="J215" s="633" t="str">
        <f>IF(ISBLANK(HLOOKUP(CaseName,CaseData,MATCH($G215,cases!$G$3:$G$2464,0),FALSE)),"",HLOOKUP(CaseName,CaseData,MATCH($G215,cases!$G$3:$G$2464,0),FALSE))</f>
        <v/>
      </c>
      <c r="K215" s="366">
        <f>L212*kdeg.soil</f>
        <v>4.3455503205058602E-8</v>
      </c>
      <c r="L215" s="634">
        <f t="shared" si="11"/>
        <v>4.3455503205058602E-8</v>
      </c>
      <c r="M215" s="36" t="s">
        <v>1488</v>
      </c>
      <c r="N215" s="29"/>
      <c r="O215" s="36"/>
    </row>
    <row r="216" spans="1:15" ht="12.75" customHeight="1" x14ac:dyDescent="0.3">
      <c r="A216" s="36"/>
      <c r="B216" s="36" t="s">
        <v>426</v>
      </c>
      <c r="C216" s="29"/>
      <c r="D216" s="29"/>
      <c r="E216" s="29"/>
      <c r="F216" s="29"/>
      <c r="G216" s="37" t="s">
        <v>1294</v>
      </c>
      <c r="H216" s="36" t="s">
        <v>4036</v>
      </c>
      <c r="I216" s="636"/>
      <c r="J216" s="633" t="str">
        <f>IF(ISBLANK(HLOOKUP(CaseName,CaseData,MATCH($G216,cases!$G$3:$G$2464,0),FALSE)),"",HLOOKUP(CaseName,CaseData,MATCH($G216,cases!$G$3:$G$2464,0),FALSE))</f>
        <v/>
      </c>
      <c r="K216" s="366">
        <f>L212*kdeg.soil</f>
        <v>4.3455503205058602E-8</v>
      </c>
      <c r="L216" s="634">
        <f t="shared" si="11"/>
        <v>4.3455503205058602E-8</v>
      </c>
      <c r="M216" s="36" t="s">
        <v>1488</v>
      </c>
      <c r="N216" s="29"/>
      <c r="O216" s="36"/>
    </row>
    <row r="217" spans="1:15" ht="12.75" customHeight="1" x14ac:dyDescent="0.3">
      <c r="A217" s="36"/>
      <c r="B217" s="36" t="s">
        <v>433</v>
      </c>
      <c r="C217" s="29"/>
      <c r="D217" s="29"/>
      <c r="E217" s="29"/>
      <c r="F217" s="29"/>
      <c r="G217" s="37" t="s">
        <v>1202</v>
      </c>
      <c r="H217" s="36" t="s">
        <v>4036</v>
      </c>
      <c r="I217" s="636"/>
      <c r="J217" s="633" t="str">
        <f>IF(ISBLANK(HLOOKUP(CaseName,CaseData,MATCH($G217,cases!$G$3:$G$2464,0),FALSE)),"",HLOOKUP(CaseName,CaseData,MATCH($G217,cases!$G$3:$G$2464,0),FALSE))</f>
        <v/>
      </c>
      <c r="K217" s="366">
        <f>L212*kdeg.soil</f>
        <v>4.3455503205058602E-8</v>
      </c>
      <c r="L217" s="634">
        <f t="shared" si="11"/>
        <v>4.3455503205058602E-8</v>
      </c>
      <c r="M217" s="36" t="s">
        <v>1488</v>
      </c>
      <c r="N217" s="29"/>
      <c r="O217" s="36"/>
    </row>
    <row r="218" spans="1:15" ht="12.75" customHeight="1" x14ac:dyDescent="0.3">
      <c r="A218" s="36"/>
      <c r="B218" s="36" t="s">
        <v>1057</v>
      </c>
      <c r="C218" s="29"/>
      <c r="D218" s="29"/>
      <c r="E218" s="29"/>
      <c r="F218" s="29"/>
      <c r="G218" s="94" t="s">
        <v>423</v>
      </c>
      <c r="H218" s="36" t="s">
        <v>36</v>
      </c>
      <c r="I218" s="636"/>
      <c r="J218" s="633" t="str">
        <f>IF(ISBLANK(HLOOKUP(CaseName,CaseData,MATCH($G218,cases!$G$3:$G$2464,0),FALSE)),"",HLOOKUP(CaseName,CaseData,MATCH($G218,cases!$G$3:$G$2464,0),FALSE))</f>
        <v/>
      </c>
      <c r="K218" s="352">
        <f>FRACinf.C</f>
        <v>0.25</v>
      </c>
      <c r="L218" s="634">
        <f t="shared" ref="L218:L223" si="12">IF(ISBLANK(I218),IF(ISNUMBER(J218)=FALSE,K218,J218),I218)</f>
        <v>0.25</v>
      </c>
      <c r="M218" s="36" t="s">
        <v>486</v>
      </c>
      <c r="N218" s="29"/>
      <c r="O218" s="36"/>
    </row>
    <row r="219" spans="1:15" ht="12.75" customHeight="1" x14ac:dyDescent="0.3">
      <c r="A219" s="36"/>
      <c r="B219" s="36" t="s">
        <v>1058</v>
      </c>
      <c r="C219" s="29"/>
      <c r="D219" s="29"/>
      <c r="E219" s="29"/>
      <c r="F219" s="29"/>
      <c r="G219" s="94" t="s">
        <v>424</v>
      </c>
      <c r="H219" s="36" t="s">
        <v>36</v>
      </c>
      <c r="I219" s="636"/>
      <c r="J219" s="633" t="str">
        <f>IF(ISBLANK(HLOOKUP(CaseName,CaseData,MATCH($G219,cases!$G$3:$G$2464,0),FALSE)),"",HLOOKUP(CaseName,CaseData,MATCH($G219,cases!$G$3:$G$2464,0),FALSE))</f>
        <v/>
      </c>
      <c r="K219" s="352">
        <f>FRACinf.C</f>
        <v>0.25</v>
      </c>
      <c r="L219" s="634">
        <f t="shared" si="12"/>
        <v>0.25</v>
      </c>
      <c r="M219" s="36" t="s">
        <v>486</v>
      </c>
      <c r="N219" s="29"/>
      <c r="O219" s="36"/>
    </row>
    <row r="220" spans="1:15" ht="12.75" customHeight="1" x14ac:dyDescent="0.3">
      <c r="A220" s="29"/>
      <c r="B220" s="36" t="s">
        <v>584</v>
      </c>
      <c r="C220" s="29"/>
      <c r="D220" s="29"/>
      <c r="E220" s="29"/>
      <c r="F220" s="29"/>
      <c r="G220" s="94" t="s">
        <v>425</v>
      </c>
      <c r="H220" s="36" t="s">
        <v>36</v>
      </c>
      <c r="I220" s="636"/>
      <c r="J220" s="633" t="str">
        <f>IF(ISBLANK(HLOOKUP(CaseName,CaseData,MATCH($G220,cases!$G$3:$G$2464,0),FALSE)),"",HLOOKUP(CaseName,CaseData,MATCH($G220,cases!$G$3:$G$2464,0),FALSE))</f>
        <v/>
      </c>
      <c r="K220" s="352">
        <f>FRACinf.C</f>
        <v>0.25</v>
      </c>
      <c r="L220" s="634">
        <f t="shared" si="12"/>
        <v>0.25</v>
      </c>
      <c r="M220" s="36" t="s">
        <v>486</v>
      </c>
      <c r="N220" s="29"/>
      <c r="O220" s="36"/>
    </row>
    <row r="221" spans="1:15" ht="12.75" customHeight="1" x14ac:dyDescent="0.3">
      <c r="A221" s="36"/>
      <c r="B221" s="29" t="s">
        <v>185</v>
      </c>
      <c r="C221" s="29"/>
      <c r="D221" s="95"/>
      <c r="E221" s="95"/>
      <c r="F221" s="95"/>
      <c r="G221" s="37" t="s">
        <v>911</v>
      </c>
      <c r="H221" s="29" t="s">
        <v>36</v>
      </c>
      <c r="I221" s="637"/>
      <c r="J221" s="633" t="str">
        <f>IF(ISBLANK(HLOOKUP(CaseName,CaseData,MATCH($G221,cases!$G$3:$G$2464,0),FALSE)),"",HLOOKUP(CaseName,CaseData,MATCH($G221,cases!$G$3:$G$2464,0),FALSE))</f>
        <v/>
      </c>
      <c r="K221" s="352">
        <f>(EXP((-1/0.1)*0.5)*(1/0.1)*L27/(1-EXP((-1/0.1)*L27)))</f>
        <v>8.5622262133111474E-3</v>
      </c>
      <c r="L221" s="634">
        <f t="shared" si="12"/>
        <v>8.5622262133111474E-3</v>
      </c>
      <c r="M221" s="29" t="s">
        <v>486</v>
      </c>
      <c r="N221" s="29" t="s">
        <v>995</v>
      </c>
      <c r="O221" s="36"/>
    </row>
    <row r="222" spans="1:15" ht="12.75" customHeight="1" x14ac:dyDescent="0.3">
      <c r="A222" s="36"/>
      <c r="B222" s="29" t="s">
        <v>185</v>
      </c>
      <c r="C222" s="29"/>
      <c r="D222" s="95"/>
      <c r="E222" s="95"/>
      <c r="F222" s="95"/>
      <c r="G222" s="37" t="s">
        <v>912</v>
      </c>
      <c r="H222" s="29" t="s">
        <v>36</v>
      </c>
      <c r="I222" s="637"/>
      <c r="J222" s="633" t="str">
        <f>IF(ISBLANK(HLOOKUP(CaseName,CaseData,MATCH($G222,cases!$G$3:$G$2464,0),FALSE)),"",HLOOKUP(CaseName,CaseData,MATCH($G222,cases!$G$3:$G$2464,0),FALSE))</f>
        <v/>
      </c>
      <c r="K222" s="352">
        <f>(EXP((-1/0.1)*0.5)*(1/0.1)*L28/(1-EXP((-1/0.1)*L28)))</f>
        <v>1.5585109160709019E-2</v>
      </c>
      <c r="L222" s="634">
        <f t="shared" si="12"/>
        <v>1.5585109160709019E-2</v>
      </c>
      <c r="M222" s="29" t="s">
        <v>486</v>
      </c>
      <c r="N222" s="29" t="s">
        <v>995</v>
      </c>
      <c r="O222" s="36"/>
    </row>
    <row r="223" spans="1:15" ht="12.75" customHeight="1" x14ac:dyDescent="0.3">
      <c r="A223" s="36"/>
      <c r="B223" s="29" t="s">
        <v>185</v>
      </c>
      <c r="C223" s="29"/>
      <c r="D223" s="95"/>
      <c r="E223" s="95"/>
      <c r="F223" s="95"/>
      <c r="G223" s="37" t="s">
        <v>913</v>
      </c>
      <c r="H223" s="29" t="s">
        <v>36</v>
      </c>
      <c r="I223" s="637"/>
      <c r="J223" s="633" t="str">
        <f>IF(ISBLANK(HLOOKUP(CaseName,CaseData,MATCH($G223,cases!$G$3:$G$2464,0),FALSE)),"",HLOOKUP(CaseName,CaseData,MATCH($G223,cases!$G$3:$G$2464,0),FALSE))</f>
        <v/>
      </c>
      <c r="K223" s="352">
        <f>(EXP((-1/0.1)*0.5)*(1/0.1)*L29/(1-EXP((-1/0.1)*L29)))</f>
        <v>8.5622262133111474E-3</v>
      </c>
      <c r="L223" s="634">
        <f t="shared" si="12"/>
        <v>8.5622262133111474E-3</v>
      </c>
      <c r="M223" s="29" t="s">
        <v>486</v>
      </c>
      <c r="N223" s="29" t="s">
        <v>995</v>
      </c>
      <c r="O223" s="36"/>
    </row>
    <row r="224" spans="1:15" ht="12.75" customHeight="1" x14ac:dyDescent="0.3">
      <c r="A224" s="134"/>
      <c r="B224" s="134"/>
      <c r="C224" s="134"/>
      <c r="D224" s="134"/>
      <c r="E224" s="134"/>
      <c r="F224" s="134"/>
      <c r="G224" s="115"/>
      <c r="H224" s="115"/>
      <c r="I224" s="356"/>
      <c r="J224" s="367"/>
      <c r="K224" s="641"/>
      <c r="L224" s="641"/>
      <c r="M224" s="134"/>
      <c r="N224" s="134"/>
      <c r="O224" s="36"/>
    </row>
    <row r="225" spans="1:15" ht="12.75" customHeight="1" x14ac:dyDescent="0.3">
      <c r="A225" s="29"/>
      <c r="B225" s="29"/>
      <c r="C225" s="29"/>
      <c r="D225" s="29"/>
      <c r="E225" s="29"/>
      <c r="F225" s="29"/>
      <c r="G225" s="36"/>
      <c r="H225" s="36"/>
      <c r="I225" s="339"/>
      <c r="J225" s="363"/>
      <c r="K225" s="353"/>
      <c r="L225" s="353"/>
      <c r="M225" s="29"/>
      <c r="N225" s="29"/>
      <c r="O225" s="36"/>
    </row>
  </sheetData>
  <customSheetViews>
    <customSheetView guid="{E10D5407-7CBD-11D4-9F98-0000E22085C7}" scale="84" fitToPage="1" showRuler="0" topLeftCell="AF1">
      <selection activeCell="AE1" sqref="AE1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1"/>
      <headerFooter alignWithMargins="0">
        <oddHeader>&amp;L&amp;D, &amp;T&amp;C&amp;P&amp;R&amp;F</oddHeader>
      </headerFooter>
    </customSheetView>
    <customSheetView guid="{E10D53FB-7CBD-11D4-9F98-0000E22085C7}" scale="92" showPageBreaks="1" showRuler="0" topLeftCell="AA1">
      <selection activeCell="Z2" sqref="Z2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2"/>
      <headerFooter alignWithMargins="0">
        <oddHeader>&amp;L&amp;D, &amp;T&amp;C&amp;P&amp;R&amp;F</oddHeader>
      </headerFooter>
    </customSheetView>
    <customSheetView guid="{E10D53F6-7CBD-11D4-9F98-0000E22085C7}" scale="92" showPageBreaks="1" showRuler="0" topLeftCell="O1">
      <selection activeCell="N1" sqref="N1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3"/>
      <headerFooter alignWithMargins="0">
        <oddHeader>&amp;L&amp;D, &amp;T&amp;C&amp;P&amp;R&amp;F</oddHeader>
      </headerFooter>
    </customSheetView>
    <customSheetView guid="{E10D53F1-7CBD-11D4-9F98-0000E22085C7}" scale="51" fitToPage="1" showRuler="0" topLeftCell="AS5">
      <selection activeCell="AR5" sqref="AR5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4"/>
      <headerFooter alignWithMargins="0">
        <oddHeader>&amp;L&amp;D, &amp;T&amp;C&amp;P&amp;R&amp;F</oddHeader>
      </headerFooter>
    </customSheetView>
    <customSheetView guid="{E10D53EB-7CBD-11D4-9F98-0000E22085C7}" scale="92" showPageBreaks="1" showRuler="0">
      <selection activeCell="H9" sqref="H9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5"/>
      <headerFooter alignWithMargins="0">
        <oddHeader>&amp;L&amp;D, &amp;T&amp;C&amp;P&amp;R&amp;F</oddHeader>
      </headerFooter>
    </customSheetView>
    <customSheetView guid="{E10D53E0-7CBD-11D4-9F98-0000E22085C7}" scale="61" fitToPage="1" showRuler="0" topLeftCell="O58">
      <selection activeCell="N58" sqref="N58"/>
      <pageMargins left="0.98425196850393704" right="0.98425196850393704" top="0.98425196850393704" bottom="0.98425196850393704" header="0.51181102362204722" footer="0.51181102362204722"/>
      <printOptions gridLines="1"/>
      <pageSetup paperSize="9" scale="52" orientation="portrait" horizontalDpi="4294967292" verticalDpi="4294967292" r:id="rId6"/>
      <headerFooter alignWithMargins="0">
        <oddHeader>&amp;L&amp;D, &amp;T&amp;C&amp;P&amp;R&amp;F</oddHeader>
      </headerFooter>
    </customSheetView>
  </customSheetViews>
  <phoneticPr fontId="5" type="noConversion"/>
  <conditionalFormatting sqref="I30:I31">
    <cfRule type="cellIs" dxfId="92" priority="65" operator="equal">
      <formula>0</formula>
    </cfRule>
  </conditionalFormatting>
  <conditionalFormatting sqref="I66">
    <cfRule type="cellIs" dxfId="91" priority="64" operator="equal">
      <formula>0</formula>
    </cfRule>
  </conditionalFormatting>
  <conditionalFormatting sqref="I68">
    <cfRule type="cellIs" dxfId="90" priority="63" operator="equal">
      <formula>0</formula>
    </cfRule>
  </conditionalFormatting>
  <conditionalFormatting sqref="I72">
    <cfRule type="cellIs" dxfId="89" priority="62" operator="equal">
      <formula>0</formula>
    </cfRule>
  </conditionalFormatting>
  <conditionalFormatting sqref="I78">
    <cfRule type="cellIs" dxfId="88" priority="61" operator="equal">
      <formula>0</formula>
    </cfRule>
  </conditionalFormatting>
  <conditionalFormatting sqref="I84">
    <cfRule type="cellIs" dxfId="87" priority="60" operator="equal">
      <formula>0</formula>
    </cfRule>
  </conditionalFormatting>
  <conditionalFormatting sqref="I114:I120">
    <cfRule type="cellIs" dxfId="86" priority="41" operator="equal">
      <formula>0</formula>
    </cfRule>
  </conditionalFormatting>
  <conditionalFormatting sqref="I137">
    <cfRule type="cellIs" dxfId="85" priority="44" operator="equal">
      <formula>0</formula>
    </cfRule>
  </conditionalFormatting>
  <conditionalFormatting sqref="I149:I151">
    <cfRule type="cellIs" dxfId="84" priority="42" operator="equal">
      <formula>0</formula>
    </cfRule>
  </conditionalFormatting>
  <conditionalFormatting sqref="I188:I189">
    <cfRule type="cellIs" dxfId="83" priority="69" operator="equal">
      <formula>0</formula>
    </cfRule>
  </conditionalFormatting>
  <conditionalFormatting sqref="I197:I201">
    <cfRule type="cellIs" dxfId="82" priority="35" operator="equal">
      <formula>0</formula>
    </cfRule>
  </conditionalFormatting>
  <conditionalFormatting sqref="I221:I223">
    <cfRule type="cellIs" dxfId="81" priority="66" operator="equal">
      <formula>0</formula>
    </cfRule>
  </conditionalFormatting>
  <conditionalFormatting sqref="J1:J2 J4 J43 J47 J152 J174 J224:J1048576">
    <cfRule type="cellIs" dxfId="80" priority="31" operator="notEqual">
      <formula>""""""</formula>
    </cfRule>
  </conditionalFormatting>
  <conditionalFormatting sqref="J5:J42">
    <cfRule type="expression" dxfId="79" priority="8">
      <formula>"HLOOKUP(CaseName,CaseData,ROW()+157,FALSE)&lt;&gt;"""""</formula>
    </cfRule>
  </conditionalFormatting>
  <conditionalFormatting sqref="J44:J46">
    <cfRule type="expression" dxfId="78" priority="7">
      <formula>"HLOOKUP(CaseName,CaseData,ROW()+157,FALSE)&lt;&gt;"""""</formula>
    </cfRule>
  </conditionalFormatting>
  <conditionalFormatting sqref="J48:J62">
    <cfRule type="expression" dxfId="77" priority="6">
      <formula>"HLOOKUP(CaseName,CaseData,ROW()+157,FALSE)&lt;&gt;"""""</formula>
    </cfRule>
  </conditionalFormatting>
  <conditionalFormatting sqref="J63 J65">
    <cfRule type="cellIs" dxfId="76" priority="30" operator="notEqual">
      <formula>""""""</formula>
    </cfRule>
  </conditionalFormatting>
  <conditionalFormatting sqref="J66:J110">
    <cfRule type="expression" dxfId="75" priority="5">
      <formula>"HLOOKUP(CaseName,CaseData,ROW()+157,FALSE)&lt;&gt;"""""</formula>
    </cfRule>
  </conditionalFormatting>
  <conditionalFormatting sqref="J111 J113">
    <cfRule type="cellIs" dxfId="74" priority="29" operator="notEqual">
      <formula>""""""</formula>
    </cfRule>
  </conditionalFormatting>
  <conditionalFormatting sqref="J114:J151">
    <cfRule type="expression" dxfId="73" priority="4">
      <formula>"HLOOKUP(CaseName,CaseData,ROW()+157,FALSE)&lt;&gt;"""""</formula>
    </cfRule>
  </conditionalFormatting>
  <conditionalFormatting sqref="J153:J173">
    <cfRule type="expression" dxfId="72" priority="3">
      <formula>"HLOOKUP(CaseName,CaseData,ROW()+157,FALSE)&lt;&gt;"""""</formula>
    </cfRule>
  </conditionalFormatting>
  <conditionalFormatting sqref="J175:J189">
    <cfRule type="expression" dxfId="71" priority="2">
      <formula>"HLOOKUP(CaseName,CaseData,ROW()+157,FALSE)&lt;&gt;"""""</formula>
    </cfRule>
  </conditionalFormatting>
  <conditionalFormatting sqref="J190 J192">
    <cfRule type="cellIs" dxfId="70" priority="28" operator="notEqual">
      <formula>""""""</formula>
    </cfRule>
  </conditionalFormatting>
  <conditionalFormatting sqref="J193:J223">
    <cfRule type="expression" dxfId="69" priority="1">
      <formula>"HLOOKUP(CaseName,CaseData,ROW()+157,FALSE)&lt;&gt;"""""</formula>
    </cfRule>
  </conditionalFormatting>
  <conditionalFormatting sqref="K44:K45">
    <cfRule type="cellIs" dxfId="68" priority="50" operator="equal">
      <formula>0</formula>
    </cfRule>
  </conditionalFormatting>
  <conditionalFormatting sqref="K114:K119">
    <cfRule type="cellIs" dxfId="67" priority="40" operator="equal">
      <formula>0</formula>
    </cfRule>
  </conditionalFormatting>
  <conditionalFormatting sqref="K137">
    <cfRule type="cellIs" dxfId="66" priority="39" operator="equal">
      <formula>0</formula>
    </cfRule>
  </conditionalFormatting>
  <conditionalFormatting sqref="K157">
    <cfRule type="cellIs" dxfId="65" priority="10" operator="equal">
      <formula>0</formula>
    </cfRule>
  </conditionalFormatting>
  <conditionalFormatting sqref="K159">
    <cfRule type="cellIs" dxfId="64" priority="9" operator="equal">
      <formula>0</formula>
    </cfRule>
  </conditionalFormatting>
  <conditionalFormatting sqref="K197:K201">
    <cfRule type="cellIs" dxfId="63" priority="11" operator="equal">
      <formula>0</formula>
    </cfRule>
  </conditionalFormatting>
  <pageMargins left="0.98425196850393704" right="0.98425196850393704" top="0.98425196850393704" bottom="0.98425196850393704" header="0.51181102362204722" footer="0.51181102362204722"/>
  <pageSetup paperSize="9" scale="52" orientation="portrait" horizontalDpi="4294967292" verticalDpi="4294967292" r:id="rId7"/>
  <headerFooter alignWithMargins="0">
    <oddHeader>&amp;L&amp;D, &amp;T&amp;C&amp;P&amp;R&amp;F</oddHeader>
  </headerFooter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syncVertical="1" syncRef="A1" transitionEvaluation="1" transitionEntry="1" codeName="Sheet4"/>
  <dimension ref="A1:O414"/>
  <sheetViews>
    <sheetView zoomScaleNormal="100" workbookViewId="0"/>
  </sheetViews>
  <sheetFormatPr defaultColWidth="10.6640625" defaultRowHeight="12.75" customHeight="1" x14ac:dyDescent="0.3"/>
  <cols>
    <col min="1" max="5" width="1.6640625" customWidth="1"/>
    <col min="6" max="6" width="60.6640625" customWidth="1"/>
    <col min="7" max="7" width="22.6640625" customWidth="1"/>
    <col min="8" max="8" width="10.6640625" style="79" customWidth="1"/>
    <col min="9" max="12" width="9.109375" style="642" customWidth="1"/>
    <col min="13" max="13" width="9.109375" customWidth="1"/>
    <col min="14" max="14" width="83" bestFit="1" customWidth="1"/>
    <col min="15" max="15" width="2.6640625" customWidth="1"/>
  </cols>
  <sheetData>
    <row r="1" spans="1:15" ht="12.75" customHeight="1" x14ac:dyDescent="0.3">
      <c r="A1" s="62" t="s">
        <v>1326</v>
      </c>
      <c r="B1" s="29"/>
      <c r="C1" s="29"/>
      <c r="D1" s="29"/>
      <c r="E1" s="29"/>
      <c r="F1" s="29"/>
      <c r="G1" s="36"/>
      <c r="H1" s="36"/>
      <c r="I1" s="643"/>
      <c r="J1" s="643"/>
      <c r="K1" s="353"/>
      <c r="L1" s="353"/>
      <c r="M1" s="29"/>
      <c r="N1" s="29"/>
      <c r="O1" s="36"/>
    </row>
    <row r="2" spans="1:15" ht="12.75" customHeight="1" x14ac:dyDescent="0.3">
      <c r="A2" s="96"/>
      <c r="B2" s="29"/>
      <c r="C2" s="29"/>
      <c r="D2" s="29"/>
      <c r="E2" s="29"/>
      <c r="F2" s="29"/>
      <c r="G2" s="36"/>
      <c r="H2" s="36"/>
      <c r="I2" s="353"/>
      <c r="J2" s="353"/>
      <c r="K2" s="353"/>
      <c r="L2" s="353"/>
      <c r="M2" s="29"/>
      <c r="N2" s="29"/>
      <c r="O2" s="36"/>
    </row>
    <row r="3" spans="1:15" ht="12.75" customHeight="1" x14ac:dyDescent="0.3">
      <c r="A3" s="97" t="s">
        <v>1310</v>
      </c>
      <c r="B3" s="97"/>
      <c r="C3" s="97"/>
      <c r="D3" s="97"/>
      <c r="E3" s="97"/>
      <c r="F3" s="97"/>
      <c r="G3" s="98" t="s">
        <v>1008</v>
      </c>
      <c r="H3" s="98" t="s">
        <v>968</v>
      </c>
      <c r="I3" s="364" t="s">
        <v>754</v>
      </c>
      <c r="J3" s="340" t="s">
        <v>37</v>
      </c>
      <c r="K3" s="340" t="s">
        <v>753</v>
      </c>
      <c r="L3" s="340" t="s">
        <v>1358</v>
      </c>
      <c r="M3" s="97"/>
      <c r="N3" s="98" t="s">
        <v>1371</v>
      </c>
      <c r="O3" s="36"/>
    </row>
    <row r="4" spans="1:15" ht="12.75" customHeight="1" x14ac:dyDescent="0.3">
      <c r="A4" s="29"/>
      <c r="B4" s="29"/>
      <c r="C4" s="29"/>
      <c r="D4" s="29"/>
      <c r="E4" s="29"/>
      <c r="F4" s="29"/>
      <c r="G4" s="29"/>
      <c r="H4" s="36"/>
      <c r="I4" s="643"/>
      <c r="J4" s="643"/>
      <c r="K4" s="353"/>
      <c r="L4" s="353"/>
      <c r="M4" s="29"/>
      <c r="N4" s="29"/>
      <c r="O4" s="36"/>
    </row>
    <row r="5" spans="1:15" ht="12.75" customHeight="1" x14ac:dyDescent="0.3">
      <c r="A5" s="36" t="s">
        <v>1089</v>
      </c>
      <c r="B5" s="29"/>
      <c r="C5" s="29"/>
      <c r="D5" s="29"/>
      <c r="E5" s="29"/>
      <c r="F5" s="29"/>
      <c r="G5" s="37" t="s">
        <v>32</v>
      </c>
      <c r="H5" s="29" t="s">
        <v>4034</v>
      </c>
      <c r="I5" s="636"/>
      <c r="J5" s="633" t="str">
        <f>IF(ISBLANK(HLOOKUP(CaseName,CaseData,MATCH($G5,cases!$G$3:$G$2464,0),FALSE)),"",HLOOKUP(CaseName,CaseData,MATCH($G5,cases!$G$3:$G$2464,0),FALSE))</f>
        <v/>
      </c>
      <c r="K5" s="352">
        <f>L10*L13</f>
        <v>7.734161E+16</v>
      </c>
      <c r="L5" s="634">
        <f>IF(ISBLANK(I5),IF(ISNUMBER(J5)=FALSE,K5,J5),I5)</f>
        <v>7.734161E+16</v>
      </c>
      <c r="M5" s="36" t="s">
        <v>1496</v>
      </c>
      <c r="N5" s="29"/>
      <c r="O5" s="36"/>
    </row>
    <row r="6" spans="1:15" ht="12.75" customHeight="1" x14ac:dyDescent="0.3">
      <c r="A6" s="36" t="s">
        <v>937</v>
      </c>
      <c r="B6" s="29"/>
      <c r="C6" s="29"/>
      <c r="D6" s="29"/>
      <c r="E6" s="29"/>
      <c r="F6" s="29"/>
      <c r="G6" s="37" t="s">
        <v>936</v>
      </c>
      <c r="H6" s="29" t="s">
        <v>4034</v>
      </c>
      <c r="I6" s="636"/>
      <c r="J6" s="633" t="str">
        <f>IF(ISBLANK(HLOOKUP(CaseName,CaseData,MATCH($G6,cases!$G$3:$G$2464,0),FALSE)),"",HLOOKUP(CaseName,CaseData,MATCH($G6,cases!$G$3:$G$2464,0),FALSE))</f>
        <v/>
      </c>
      <c r="K6" s="352">
        <f>L10*L14*L11</f>
        <v>3867080500000000</v>
      </c>
      <c r="L6" s="634">
        <f>IF(ISBLANK(I6),IF(ISNUMBER(J6)=FALSE,K6,J6),I6)</f>
        <v>3867080500000000</v>
      </c>
      <c r="M6" s="36" t="s">
        <v>1496</v>
      </c>
      <c r="N6" s="29"/>
      <c r="O6" s="36"/>
    </row>
    <row r="7" spans="1:15" ht="12.75" customHeight="1" x14ac:dyDescent="0.3">
      <c r="A7" s="36" t="s">
        <v>939</v>
      </c>
      <c r="B7" s="29"/>
      <c r="C7" s="29"/>
      <c r="D7" s="29"/>
      <c r="E7" s="29"/>
      <c r="F7" s="29"/>
      <c r="G7" s="37" t="s">
        <v>938</v>
      </c>
      <c r="H7" s="29" t="s">
        <v>4034</v>
      </c>
      <c r="I7" s="636"/>
      <c r="J7" s="633" t="str">
        <f>IF(ISBLANK(HLOOKUP(CaseName,CaseData,MATCH($G7,cases!$G$3:$G$2464,0),FALSE)),"",HLOOKUP(CaseName,CaseData,MATCH($G7,cases!$G$3:$G$2464,0),FALSE))</f>
        <v/>
      </c>
      <c r="K7" s="352">
        <f>L10*L15*L11</f>
        <v>1.16012415E+17</v>
      </c>
      <c r="L7" s="634">
        <f>IF(ISBLANK(I7),IF(ISNUMBER(J7)=FALSE,K7,J7),I7)</f>
        <v>1.16012415E+17</v>
      </c>
      <c r="M7" s="36" t="s">
        <v>1496</v>
      </c>
      <c r="N7" s="29"/>
      <c r="O7" s="36"/>
    </row>
    <row r="8" spans="1:15" ht="12.75" customHeight="1" x14ac:dyDescent="0.3">
      <c r="A8" s="36" t="s">
        <v>734</v>
      </c>
      <c r="B8" s="29"/>
      <c r="C8" s="29"/>
      <c r="D8" s="29"/>
      <c r="E8" s="29"/>
      <c r="F8" s="29"/>
      <c r="G8" s="37" t="s">
        <v>33</v>
      </c>
      <c r="H8" s="29" t="s">
        <v>4034</v>
      </c>
      <c r="I8" s="636"/>
      <c r="J8" s="633" t="str">
        <f>IF(ISBLANK(HLOOKUP(CaseName,CaseData,MATCH($G8,cases!$G$3:$G$2464,0),FALSE)),"",HLOOKUP(CaseName,CaseData,MATCH($G8,cases!$G$3:$G$2464,0),FALSE))</f>
        <v/>
      </c>
      <c r="K8" s="352">
        <f>L10*L16*L11</f>
        <v>1160124150000</v>
      </c>
      <c r="L8" s="634">
        <f>IF(ISBLANK(I8),IF(ISNUMBER(J8)=FALSE,K8,J8),I8)</f>
        <v>1160124150000</v>
      </c>
      <c r="M8" s="36" t="s">
        <v>1496</v>
      </c>
      <c r="N8" s="29"/>
      <c r="O8" s="36"/>
    </row>
    <row r="9" spans="1:15" ht="12.75" customHeight="1" x14ac:dyDescent="0.3">
      <c r="A9" s="36" t="s">
        <v>735</v>
      </c>
      <c r="B9" s="29"/>
      <c r="C9" s="29"/>
      <c r="D9" s="29"/>
      <c r="E9" s="29"/>
      <c r="F9" s="29"/>
      <c r="G9" s="37" t="s">
        <v>1185</v>
      </c>
      <c r="H9" s="29" t="s">
        <v>4034</v>
      </c>
      <c r="I9" s="636"/>
      <c r="J9" s="633" t="str">
        <f>IF(ISBLANK(HLOOKUP(CaseName,CaseData,MATCH($G9,cases!$G$3:$G$2464,0),FALSE)),"",HLOOKUP(CaseName,CaseData,MATCH($G9,cases!$G$3:$G$2464,0),FALSE))</f>
        <v/>
      </c>
      <c r="K9" s="352">
        <f>L10*L12*L17</f>
        <v>1933540250000</v>
      </c>
      <c r="L9" s="634">
        <f>IF(ISBLANK(I9),IF(ISNUMBER(J9)=FALSE,K9,J9),I9)</f>
        <v>1933540250000</v>
      </c>
      <c r="M9" s="36" t="s">
        <v>1496</v>
      </c>
      <c r="N9" s="29"/>
      <c r="O9" s="36"/>
    </row>
    <row r="10" spans="1:15" ht="12.75" customHeight="1" x14ac:dyDescent="0.3">
      <c r="A10" s="29"/>
      <c r="B10" s="36" t="s">
        <v>1020</v>
      </c>
      <c r="C10" s="29"/>
      <c r="D10" s="29"/>
      <c r="E10" s="29"/>
      <c r="F10" s="29"/>
      <c r="G10" s="37" t="s">
        <v>1186</v>
      </c>
      <c r="H10" s="29" t="s">
        <v>4035</v>
      </c>
      <c r="I10" s="637"/>
      <c r="J10" s="633" t="str">
        <f>IF(ISBLANK(HLOOKUP(CaseName,CaseData,MATCH($G10,cases!$G$3:$G$2464,0),FALSE)),"",HLOOKUP(CaseName,CaseData,MATCH($G10,cases!$G$3:$G$2464,0),FALSE))</f>
        <v/>
      </c>
      <c r="K10" s="352">
        <f>85000000-((SYSTEMAREA.C+SYSTEMAREA.R)/1000000)</f>
        <v>77341610</v>
      </c>
      <c r="L10" s="634">
        <f>IF(ISBLANK(I10),IF(ISNUMBER(J10)=FALSE,K10*1000000,J10*1000000),I10*1000000)</f>
        <v>77341610000000</v>
      </c>
      <c r="M10" s="36" t="s">
        <v>1492</v>
      </c>
      <c r="N10" s="29"/>
      <c r="O10" s="36"/>
    </row>
    <row r="11" spans="1:15" ht="12.75" customHeight="1" x14ac:dyDescent="0.3">
      <c r="A11" s="29"/>
      <c r="B11" s="36" t="s">
        <v>3991</v>
      </c>
      <c r="C11" s="29"/>
      <c r="D11" s="29"/>
      <c r="E11" s="29"/>
      <c r="F11" s="29"/>
      <c r="G11" s="94" t="s">
        <v>1187</v>
      </c>
      <c r="H11" s="29" t="s">
        <v>36</v>
      </c>
      <c r="I11" s="637"/>
      <c r="J11" s="633" t="str">
        <f>IF(ISBLANK(HLOOKUP(CaseName,CaseData,MATCH($G11,cases!$G$3:$G$2464,0),FALSE)),"",HLOOKUP(CaseName,CaseData,MATCH($G11,cases!$G$3:$G$2464,0),FALSE))</f>
        <v/>
      </c>
      <c r="K11" s="352">
        <v>0.5</v>
      </c>
      <c r="L11" s="634">
        <f>IF(ISBLANK(I11),IF(ISNUMBER(J11)=FALSE,K11,J11),I11)</f>
        <v>0.5</v>
      </c>
      <c r="M11" s="29" t="s">
        <v>486</v>
      </c>
      <c r="N11" s="29"/>
      <c r="O11" s="36"/>
    </row>
    <row r="12" spans="1:15" ht="12.75" customHeight="1" x14ac:dyDescent="0.3">
      <c r="A12" s="29"/>
      <c r="B12" s="36" t="s">
        <v>3992</v>
      </c>
      <c r="C12" s="29"/>
      <c r="D12" s="29"/>
      <c r="E12" s="29"/>
      <c r="F12" s="29"/>
      <c r="G12" s="94" t="s">
        <v>1188</v>
      </c>
      <c r="H12" s="29" t="s">
        <v>36</v>
      </c>
      <c r="I12" s="637"/>
      <c r="J12" s="633" t="str">
        <f>IF(ISBLANK(HLOOKUP(CaseName,CaseData,MATCH($G12,cases!$G$3:$G$2464,0),FALSE)),"",HLOOKUP(CaseName,CaseData,MATCH($G12,cases!$G$3:$G$2464,0),FALSE))</f>
        <v/>
      </c>
      <c r="K12" s="352">
        <f>1-L11</f>
        <v>0.5</v>
      </c>
      <c r="L12" s="634">
        <f>IF(ISBLANK(I12),IF(ISNUMBER(J12)=FALSE,K12,J12),I12)</f>
        <v>0.5</v>
      </c>
      <c r="M12" s="29" t="s">
        <v>486</v>
      </c>
      <c r="N12" s="29"/>
      <c r="O12" s="36"/>
    </row>
    <row r="13" spans="1:15" ht="12.75" customHeight="1" x14ac:dyDescent="0.3">
      <c r="A13" s="29"/>
      <c r="B13" s="29"/>
      <c r="C13" s="36" t="s">
        <v>767</v>
      </c>
      <c r="D13" s="29"/>
      <c r="E13" s="29"/>
      <c r="F13" s="29"/>
      <c r="G13" s="94" t="s">
        <v>1189</v>
      </c>
      <c r="H13" s="36" t="s">
        <v>719</v>
      </c>
      <c r="I13" s="636"/>
      <c r="J13" s="633" t="str">
        <f>IF(ISBLANK(HLOOKUP(CaseName,CaseData,MATCH($G13,cases!$G$3:$G$2464,0),FALSE)),"",HLOOKUP(CaseName,CaseData,MATCH($G13,cases!$G$3:$G$2464,0),FALSE))</f>
        <v/>
      </c>
      <c r="K13" s="352">
        <v>1000</v>
      </c>
      <c r="L13" s="634">
        <f>IF(ISBLANK(I13),IF(ISNUMBER(J13)=FALSE,K13,J13),I13)</f>
        <v>1000</v>
      </c>
      <c r="M13" s="36" t="s">
        <v>720</v>
      </c>
      <c r="N13" s="29"/>
      <c r="O13" s="36"/>
    </row>
    <row r="14" spans="1:15" ht="12.75" customHeight="1" x14ac:dyDescent="0.3">
      <c r="A14" s="29"/>
      <c r="B14" s="29"/>
      <c r="C14" s="36" t="s">
        <v>946</v>
      </c>
      <c r="D14" s="29"/>
      <c r="E14" s="29"/>
      <c r="F14" s="29"/>
      <c r="G14" s="94" t="s">
        <v>941</v>
      </c>
      <c r="H14" s="36" t="s">
        <v>719</v>
      </c>
      <c r="I14" s="637"/>
      <c r="J14" s="633" t="str">
        <f>IF(ISBLANK(HLOOKUP(CaseName,CaseData,MATCH($G14,cases!$G$3:$G$2464,0),FALSE)),"",HLOOKUP(CaseName,CaseData,MATCH($G14,cases!$G$3:$G$2464,0),FALSE))</f>
        <v/>
      </c>
      <c r="K14" s="352">
        <v>100</v>
      </c>
      <c r="L14" s="634">
        <f>IF(ISBLANK(I14),IF(ISNUMBER(J14)=FALSE,K14,J14),I14)</f>
        <v>100</v>
      </c>
      <c r="M14" s="36" t="s">
        <v>720</v>
      </c>
      <c r="N14" s="29"/>
      <c r="O14" s="36"/>
    </row>
    <row r="15" spans="1:15" ht="12.75" customHeight="1" x14ac:dyDescent="0.3">
      <c r="A15" s="29"/>
      <c r="B15" s="29"/>
      <c r="C15" s="36" t="s">
        <v>949</v>
      </c>
      <c r="D15" s="29"/>
      <c r="E15" s="29"/>
      <c r="F15" s="29"/>
      <c r="G15" s="94" t="s">
        <v>940</v>
      </c>
      <c r="H15" s="36" t="s">
        <v>719</v>
      </c>
      <c r="I15" s="637"/>
      <c r="J15" s="633" t="str">
        <f>IF(ISBLANK(HLOOKUP(CaseName,CaseData,MATCH($G15,cases!$G$3:$G$2464,0),FALSE)),"",HLOOKUP(CaseName,CaseData,MATCH($G15,cases!$G$3:$G$2464,0),FALSE))</f>
        <v/>
      </c>
      <c r="K15" s="352">
        <v>3000</v>
      </c>
      <c r="L15" s="634">
        <f>IF(ISBLANK(I15),IF(ISNUMBER(J15)=FALSE,K15,J15),I15)</f>
        <v>3000</v>
      </c>
      <c r="M15" s="36" t="s">
        <v>720</v>
      </c>
      <c r="N15" s="29"/>
      <c r="O15" s="36"/>
    </row>
    <row r="16" spans="1:15" ht="12.75" customHeight="1" x14ac:dyDescent="0.3">
      <c r="A16" s="29"/>
      <c r="B16" s="29"/>
      <c r="C16" s="36" t="s">
        <v>1053</v>
      </c>
      <c r="D16" s="29"/>
      <c r="E16" s="29"/>
      <c r="F16" s="29"/>
      <c r="G16" s="94" t="s">
        <v>1353</v>
      </c>
      <c r="H16" s="36" t="s">
        <v>721</v>
      </c>
      <c r="I16" s="637"/>
      <c r="J16" s="633" t="str">
        <f>IF(ISBLANK(HLOOKUP(CaseName,CaseData,MATCH($G16,cases!$G$3:$G$2464,0),FALSE)),"",HLOOKUP(CaseName,CaseData,MATCH($G16,cases!$G$3:$G$2464,0),FALSE))</f>
        <v/>
      </c>
      <c r="K16" s="352">
        <v>3</v>
      </c>
      <c r="L16" s="634">
        <f>IF(ISBLANK(I16),IF(ISNUMBER(J16)=FALSE,K16/100,J16/100),I16/100)</f>
        <v>0.03</v>
      </c>
      <c r="M16" s="36" t="s">
        <v>720</v>
      </c>
      <c r="N16" s="29"/>
      <c r="O16" s="36"/>
    </row>
    <row r="17" spans="1:15" ht="12.75" customHeight="1" x14ac:dyDescent="0.3">
      <c r="A17" s="36"/>
      <c r="B17" s="29"/>
      <c r="C17" s="36" t="s">
        <v>3993</v>
      </c>
      <c r="D17" s="95"/>
      <c r="E17" s="95"/>
      <c r="F17" s="29"/>
      <c r="G17" s="94" t="s">
        <v>1354</v>
      </c>
      <c r="H17" s="36" t="s">
        <v>719</v>
      </c>
      <c r="I17" s="632"/>
      <c r="J17" s="633" t="str">
        <f>IF(ISBLANK(HLOOKUP(CaseName,CaseData,MATCH($G17,cases!$G$3:$G$2464,0),FALSE)),"",HLOOKUP(CaseName,CaseData,MATCH($G17,cases!$G$3:$G$2464,0),FALSE))</f>
        <v/>
      </c>
      <c r="K17" s="352">
        <v>0.05</v>
      </c>
      <c r="L17" s="634">
        <f t="shared" ref="L17:L24" si="0">IF(ISBLANK(I17),IF(ISNUMBER(J17)=FALSE,K17,J17),I17)</f>
        <v>0.05</v>
      </c>
      <c r="M17" s="29" t="s">
        <v>720</v>
      </c>
      <c r="N17" s="29"/>
      <c r="O17" s="36"/>
    </row>
    <row r="18" spans="1:15" ht="12.75" customHeight="1" x14ac:dyDescent="0.3">
      <c r="A18" s="29"/>
      <c r="B18" s="29"/>
      <c r="C18" s="29" t="s">
        <v>216</v>
      </c>
      <c r="D18" s="29"/>
      <c r="E18" s="29"/>
      <c r="F18" s="29"/>
      <c r="G18" s="36" t="s">
        <v>3994</v>
      </c>
      <c r="H18" s="36" t="s">
        <v>722</v>
      </c>
      <c r="I18" s="636"/>
      <c r="J18" s="633" t="str">
        <f>IF(ISBLANK(HLOOKUP(CaseName,CaseData,MATCH($G18,cases!$G$3:$G$2464,0),FALSE)),"",HLOOKUP(CaseName,CaseData,MATCH($G18,cases!$G$3:$G$2464,0),FALSE))</f>
        <v/>
      </c>
      <c r="K18" s="352">
        <v>1.9999999999999999E-11</v>
      </c>
      <c r="L18" s="634">
        <f t="shared" si="0"/>
        <v>1.9999999999999999E-11</v>
      </c>
      <c r="M18" s="36" t="s">
        <v>486</v>
      </c>
      <c r="N18" s="29" t="s">
        <v>2183</v>
      </c>
      <c r="O18" s="36"/>
    </row>
    <row r="19" spans="1:15" ht="12.75" customHeight="1" x14ac:dyDescent="0.3">
      <c r="A19" s="29"/>
      <c r="B19" s="29"/>
      <c r="C19" s="29" t="s">
        <v>217</v>
      </c>
      <c r="D19" s="29"/>
      <c r="E19" s="29"/>
      <c r="F19" s="29"/>
      <c r="G19" s="36" t="s">
        <v>3995</v>
      </c>
      <c r="H19" s="36" t="s">
        <v>722</v>
      </c>
      <c r="I19" s="636"/>
      <c r="J19" s="633" t="str">
        <f>IF(ISBLANK(HLOOKUP(CaseName,CaseData,MATCH($G19,cases!$G$3:$G$2464,0),FALSE)),"",HLOOKUP(CaseName,CaseData,MATCH($G19,cases!$G$3:$G$2464,0),FALSE))</f>
        <v/>
      </c>
      <c r="K19" s="352">
        <v>1.9999999999999999E-11</v>
      </c>
      <c r="L19" s="634">
        <f t="shared" si="0"/>
        <v>1.9999999999999999E-11</v>
      </c>
      <c r="M19" s="36" t="s">
        <v>486</v>
      </c>
      <c r="N19" s="29" t="s">
        <v>2183</v>
      </c>
      <c r="O19" s="36"/>
    </row>
    <row r="20" spans="1:15" ht="12.75" customHeight="1" x14ac:dyDescent="0.3">
      <c r="A20" s="36"/>
      <c r="B20" s="29"/>
      <c r="C20" s="36" t="s">
        <v>1054</v>
      </c>
      <c r="D20" s="95"/>
      <c r="E20" s="95"/>
      <c r="F20" s="29"/>
      <c r="G20" s="94" t="s">
        <v>659</v>
      </c>
      <c r="H20" s="36" t="s">
        <v>722</v>
      </c>
      <c r="I20" s="636"/>
      <c r="J20" s="633" t="str">
        <f>IF(ISBLANK(HLOOKUP(CaseName,CaseData,MATCH($G20,cases!$G$3:$G$2464,0),FALSE)),"",HLOOKUP(CaseName,CaseData,MATCH($G20,cases!$G$3:$G$2464,0),FALSE))</f>
        <v/>
      </c>
      <c r="K20" s="352">
        <v>0.2</v>
      </c>
      <c r="L20" s="634">
        <f t="shared" si="0"/>
        <v>0.2</v>
      </c>
      <c r="M20" s="29" t="s">
        <v>486</v>
      </c>
      <c r="N20" s="29"/>
      <c r="O20" s="36"/>
    </row>
    <row r="21" spans="1:15" ht="12.75" customHeight="1" x14ac:dyDescent="0.3">
      <c r="A21" s="29"/>
      <c r="B21" s="29"/>
      <c r="C21" s="36" t="s">
        <v>1055</v>
      </c>
      <c r="D21" s="29"/>
      <c r="E21" s="29"/>
      <c r="F21" s="29"/>
      <c r="G21" s="94" t="s">
        <v>590</v>
      </c>
      <c r="H21" s="36" t="s">
        <v>722</v>
      </c>
      <c r="I21" s="636"/>
      <c r="J21" s="633" t="str">
        <f>IF(ISBLANK(HLOOKUP(CaseName,CaseData,MATCH($G21,cases!$G$3:$G$2464,0),FALSE)),"",HLOOKUP(CaseName,CaseData,MATCH($G21,cases!$G$3:$G$2464,0),FALSE))</f>
        <v/>
      </c>
      <c r="K21" s="352">
        <v>0.2</v>
      </c>
      <c r="L21" s="634">
        <f t="shared" si="0"/>
        <v>0.2</v>
      </c>
      <c r="M21" s="29" t="s">
        <v>486</v>
      </c>
      <c r="N21" s="29"/>
      <c r="O21" s="36"/>
    </row>
    <row r="22" spans="1:15" ht="12.75" customHeight="1" x14ac:dyDescent="0.3">
      <c r="A22" s="29"/>
      <c r="B22" s="29"/>
      <c r="C22" s="36" t="s">
        <v>1056</v>
      </c>
      <c r="D22" s="29"/>
      <c r="E22" s="29"/>
      <c r="F22" s="29"/>
      <c r="G22" s="94" t="s">
        <v>591</v>
      </c>
      <c r="H22" s="36" t="s">
        <v>722</v>
      </c>
      <c r="I22" s="636"/>
      <c r="J22" s="633" t="str">
        <f>IF(ISBLANK(HLOOKUP(CaseName,CaseData,MATCH($G22,cases!$G$3:$G$2464,0),FALSE)),"",HLOOKUP(CaseName,CaseData,MATCH($G22,cases!$G$3:$G$2464,0),FALSE))</f>
        <v/>
      </c>
      <c r="K22" s="352">
        <f>1-L20-L21</f>
        <v>0.60000000000000009</v>
      </c>
      <c r="L22" s="634">
        <f t="shared" si="0"/>
        <v>0.60000000000000009</v>
      </c>
      <c r="M22" s="29" t="s">
        <v>486</v>
      </c>
      <c r="N22" s="29"/>
      <c r="O22" s="36"/>
    </row>
    <row r="23" spans="1:15" ht="12.75" customHeight="1" x14ac:dyDescent="0.3">
      <c r="A23" s="36"/>
      <c r="B23" s="29"/>
      <c r="C23" s="36" t="s">
        <v>434</v>
      </c>
      <c r="D23" s="95"/>
      <c r="E23" s="95"/>
      <c r="F23" s="29"/>
      <c r="G23" s="94" t="s">
        <v>592</v>
      </c>
      <c r="H23" s="36" t="s">
        <v>722</v>
      </c>
      <c r="I23" s="636"/>
      <c r="J23" s="633" t="str">
        <f>IF(ISBLANK(HLOOKUP(CaseName,CaseData,MATCH($G23,cases!$G$3:$G$2464,0),FALSE)),"",HLOOKUP(CaseName,CaseData,MATCH($G23,cases!$G$3:$G$2464,0),FALSE))</f>
        <v/>
      </c>
      <c r="K23" s="352">
        <v>0.8</v>
      </c>
      <c r="L23" s="634">
        <f t="shared" si="0"/>
        <v>0.8</v>
      </c>
      <c r="M23" s="36" t="s">
        <v>486</v>
      </c>
      <c r="N23" s="29"/>
      <c r="O23" s="36"/>
    </row>
    <row r="24" spans="1:15" ht="12.75" customHeight="1" x14ac:dyDescent="0.3">
      <c r="A24" s="36"/>
      <c r="B24" s="29"/>
      <c r="C24" s="36" t="s">
        <v>888</v>
      </c>
      <c r="D24" s="95"/>
      <c r="E24" s="95"/>
      <c r="F24" s="29"/>
      <c r="G24" s="94" t="s">
        <v>658</v>
      </c>
      <c r="H24" s="36" t="s">
        <v>722</v>
      </c>
      <c r="I24" s="636"/>
      <c r="J24" s="633" t="str">
        <f>IF(ISBLANK(HLOOKUP(CaseName,CaseData,MATCH($G24,cases!$G$3:$G$2464,0),FALSE)),"",HLOOKUP(CaseName,CaseData,MATCH($G24,cases!$G$3:$G$2464,0),FALSE))</f>
        <v/>
      </c>
      <c r="K24" s="345">
        <f>1-L23</f>
        <v>0.19999999999999996</v>
      </c>
      <c r="L24" s="634">
        <f t="shared" si="0"/>
        <v>0.19999999999999996</v>
      </c>
      <c r="M24" s="36" t="s">
        <v>486</v>
      </c>
      <c r="N24" s="29"/>
      <c r="O24" s="36"/>
    </row>
    <row r="25" spans="1:15" ht="12.75" customHeight="1" x14ac:dyDescent="0.3">
      <c r="A25" s="29"/>
      <c r="B25" s="29"/>
      <c r="C25" s="29"/>
      <c r="D25" s="29"/>
      <c r="E25" s="29"/>
      <c r="F25" s="29"/>
      <c r="G25" s="29"/>
      <c r="H25" s="29"/>
      <c r="I25" s="646"/>
      <c r="J25" s="633" t="str">
        <f>IF(ISBLANK(HLOOKUP(CaseName,CaseData,MATCH($G25,cases!$G$3:$G$2464,0),FALSE)),"",HLOOKUP(CaseName,CaseData,MATCH($G25,cases!$G$3:$G$2464,0),FALSE))</f>
        <v/>
      </c>
      <c r="K25" s="339"/>
      <c r="L25" s="339"/>
      <c r="M25" s="29"/>
      <c r="N25" s="29"/>
      <c r="O25" s="36"/>
    </row>
    <row r="26" spans="1:15" ht="12.75" customHeight="1" x14ac:dyDescent="0.3">
      <c r="A26" s="36" t="s">
        <v>90</v>
      </c>
      <c r="B26" s="29"/>
      <c r="C26" s="29"/>
      <c r="D26" s="29"/>
      <c r="E26" s="29"/>
      <c r="F26" s="29"/>
      <c r="G26" s="36" t="s">
        <v>838</v>
      </c>
      <c r="H26" s="36" t="s">
        <v>4036</v>
      </c>
      <c r="I26" s="637"/>
      <c r="J26" s="633" t="str">
        <f>IF(ISBLANK(HLOOKUP(CaseName,CaseData,MATCH($G26,cases!$G$3:$G$2464,0),FALSE)),"",HLOOKUP(CaseName,CaseData,MATCH($G26,cases!$G$3:$G$2464,0),FALSE))</f>
        <v/>
      </c>
      <c r="K26" s="345">
        <f>k.aC.aM*VOLUME.aC/L5</f>
        <v>1.3109885436088236E-7</v>
      </c>
      <c r="L26" s="634">
        <f t="shared" ref="L26:L41" si="1">IF(ISBLANK(I26),IF(ISNUMBER(J26)=FALSE,K26,J26),I26)</f>
        <v>1.3109885436088236E-7</v>
      </c>
      <c r="M26" s="29" t="s">
        <v>1488</v>
      </c>
      <c r="N26" s="29"/>
      <c r="O26" s="36"/>
    </row>
    <row r="27" spans="1:15" ht="12.75" customHeight="1" x14ac:dyDescent="0.3">
      <c r="A27" s="36" t="s">
        <v>91</v>
      </c>
      <c r="B27" s="29"/>
      <c r="C27" s="29"/>
      <c r="D27" s="29"/>
      <c r="E27" s="29"/>
      <c r="F27" s="29"/>
      <c r="G27" s="36" t="s">
        <v>839</v>
      </c>
      <c r="H27" s="36" t="s">
        <v>4036</v>
      </c>
      <c r="I27" s="637"/>
      <c r="J27" s="633" t="str">
        <f>IF(ISBLANK(HLOOKUP(CaseName,CaseData,MATCH($G27,cases!$G$3:$G$2464,0),FALSE)),"",HLOOKUP(CaseName,CaseData,MATCH($G27,cases!$G$3:$G$2464,0),FALSE))</f>
        <v/>
      </c>
      <c r="K27" s="345">
        <f>L169*L148/L5</f>
        <v>3.8044887765380768E-7</v>
      </c>
      <c r="L27" s="634">
        <f t="shared" si="1"/>
        <v>3.8044887765380768E-7</v>
      </c>
      <c r="M27" s="29" t="s">
        <v>1488</v>
      </c>
      <c r="N27" s="29"/>
      <c r="O27" s="36"/>
    </row>
    <row r="28" spans="1:15" ht="12.75" customHeight="1" x14ac:dyDescent="0.3">
      <c r="A28" s="36" t="s">
        <v>92</v>
      </c>
      <c r="B28" s="29"/>
      <c r="C28" s="29"/>
      <c r="D28" s="29"/>
      <c r="E28" s="29"/>
      <c r="F28" s="29"/>
      <c r="G28" s="36" t="s">
        <v>840</v>
      </c>
      <c r="H28" s="36" t="s">
        <v>4036</v>
      </c>
      <c r="I28" s="637"/>
      <c r="J28" s="633" t="str">
        <f>IF(ISBLANK(HLOOKUP(CaseName,CaseData,MATCH($G28,cases!$G$3:$G$2464,0),FALSE)),"",HLOOKUP(CaseName,CaseData,MATCH($G28,cases!$G$3:$G$2464,0),FALSE))</f>
        <v/>
      </c>
      <c r="K28" s="345">
        <f>L305*L284/L5</f>
        <v>6.5895678577895056E-7</v>
      </c>
      <c r="L28" s="634">
        <f t="shared" si="1"/>
        <v>6.5895678577895056E-7</v>
      </c>
      <c r="M28" s="29" t="s">
        <v>1488</v>
      </c>
      <c r="N28" s="29"/>
      <c r="O28" s="36"/>
    </row>
    <row r="29" spans="1:15" ht="12.75" customHeight="1" x14ac:dyDescent="0.3">
      <c r="A29" s="29"/>
      <c r="B29" s="29"/>
      <c r="C29" s="29"/>
      <c r="D29" s="95"/>
      <c r="E29" s="29"/>
      <c r="F29" s="29"/>
      <c r="G29" s="37"/>
      <c r="H29" s="29"/>
      <c r="I29" s="633"/>
      <c r="J29" s="633" t="str">
        <f>IF(ISBLANK(HLOOKUP(CaseName,CaseData,MATCH($G29,cases!$G$3:$G$2464,0),FALSE)),"",HLOOKUP(CaseName,CaseData,MATCH($G29,cases!$G$3:$G$2464,0),FALSE))</f>
        <v/>
      </c>
      <c r="K29" s="353"/>
      <c r="L29" s="353"/>
      <c r="M29" s="29"/>
      <c r="N29" s="29"/>
      <c r="O29" s="36"/>
    </row>
    <row r="30" spans="1:15" ht="12.75" customHeight="1" x14ac:dyDescent="0.3">
      <c r="A30" s="36" t="s">
        <v>3996</v>
      </c>
      <c r="B30" s="29"/>
      <c r="C30" s="29"/>
      <c r="D30" s="29"/>
      <c r="E30" s="29"/>
      <c r="F30" s="29"/>
      <c r="G30" s="36" t="s">
        <v>1252</v>
      </c>
      <c r="H30" s="36" t="s">
        <v>4036</v>
      </c>
      <c r="I30" s="637"/>
      <c r="J30" s="633" t="str">
        <f>IF(ISBLANK(HLOOKUP(CaseName,CaseData,MATCH($G30,cases!$G$3:$G$2464,0),FALSE)),"",HLOOKUP(CaseName,CaseData,MATCH($G30,cases!$G$3:$G$2464,0),FALSE))</f>
        <v/>
      </c>
      <c r="K30" s="639">
        <f>L35/L6</f>
        <v>6.0880385458648856E-9</v>
      </c>
      <c r="L30" s="634">
        <f t="shared" si="1"/>
        <v>6.0880385458648856E-9</v>
      </c>
      <c r="M30" s="29" t="s">
        <v>1488</v>
      </c>
      <c r="N30" s="29"/>
      <c r="O30" s="36"/>
    </row>
    <row r="31" spans="1:15" ht="12.75" customHeight="1" x14ac:dyDescent="0.3">
      <c r="A31" s="36" t="s">
        <v>3997</v>
      </c>
      <c r="B31" s="29"/>
      <c r="C31" s="29"/>
      <c r="D31" s="29"/>
      <c r="E31" s="29"/>
      <c r="F31" s="29"/>
      <c r="G31" s="36" t="s">
        <v>1271</v>
      </c>
      <c r="H31" s="36" t="s">
        <v>4036</v>
      </c>
      <c r="I31" s="637"/>
      <c r="J31" s="633" t="str">
        <f>IF(ISBLANK(HLOOKUP(CaseName,CaseData,MATCH($G31,cases!$G$3:$G$2464,0),FALSE)),"",HLOOKUP(CaseName,CaseData,MATCH($G31,cases!$G$3:$G$2464,0),FALSE))</f>
        <v/>
      </c>
      <c r="K31" s="639">
        <f>L36/L6</f>
        <v>3.8788952027246392E-8</v>
      </c>
      <c r="L31" s="634">
        <f t="shared" si="1"/>
        <v>3.8788952027246392E-8</v>
      </c>
      <c r="M31" s="29" t="s">
        <v>1488</v>
      </c>
      <c r="N31" s="29"/>
      <c r="O31" s="36"/>
    </row>
    <row r="32" spans="1:15" ht="12.75" customHeight="1" x14ac:dyDescent="0.3">
      <c r="A32" s="36" t="s">
        <v>3998</v>
      </c>
      <c r="B32" s="29"/>
      <c r="C32" s="29"/>
      <c r="D32" s="29"/>
      <c r="E32" s="29"/>
      <c r="F32" s="29"/>
      <c r="G32" s="36" t="s">
        <v>1272</v>
      </c>
      <c r="H32" s="36" t="s">
        <v>4036</v>
      </c>
      <c r="I32" s="637"/>
      <c r="J32" s="633" t="str">
        <f>IF(ISBLANK(HLOOKUP(CaseName,CaseData,MATCH($G32,cases!$G$3:$G$2464,0),FALSE)),"",HLOOKUP(CaseName,CaseData,MATCH($G32,cases!$G$3:$G$2464,0),FALSE))</f>
        <v/>
      </c>
      <c r="K32" s="639">
        <f>L37/L6</f>
        <v>0</v>
      </c>
      <c r="L32" s="634">
        <f t="shared" si="1"/>
        <v>0</v>
      </c>
      <c r="M32" s="29" t="s">
        <v>1488</v>
      </c>
      <c r="N32" s="29"/>
      <c r="O32" s="36"/>
    </row>
    <row r="33" spans="1:15" ht="12.75" customHeight="1" x14ac:dyDescent="0.3">
      <c r="A33" s="36" t="s">
        <v>1118</v>
      </c>
      <c r="B33" s="29"/>
      <c r="C33" s="29"/>
      <c r="D33" s="29"/>
      <c r="E33" s="29"/>
      <c r="F33" s="29"/>
      <c r="G33" s="36" t="s">
        <v>132</v>
      </c>
      <c r="H33" s="36" t="s">
        <v>4036</v>
      </c>
      <c r="I33" s="637"/>
      <c r="J33" s="633" t="str">
        <f>IF(ISBLANK(HLOOKUP(CaseName,CaseData,MATCH($G33,cases!$G$3:$G$2464,0),FALSE)),"",HLOOKUP(CaseName,CaseData,MATCH($G33,cases!$G$3:$G$2464,0),FALSE))</f>
        <v/>
      </c>
      <c r="K33" s="639">
        <v>0</v>
      </c>
      <c r="L33" s="634">
        <f t="shared" si="1"/>
        <v>0</v>
      </c>
      <c r="M33" s="29" t="s">
        <v>1488</v>
      </c>
      <c r="N33" s="29"/>
      <c r="O33" s="36"/>
    </row>
    <row r="34" spans="1:15" ht="12.75" customHeight="1" x14ac:dyDescent="0.3">
      <c r="A34" s="36" t="s">
        <v>131</v>
      </c>
      <c r="B34" s="29"/>
      <c r="C34" s="29"/>
      <c r="D34" s="29"/>
      <c r="E34" s="29"/>
      <c r="F34" s="29"/>
      <c r="G34" s="36" t="s">
        <v>133</v>
      </c>
      <c r="H34" s="36" t="s">
        <v>4036</v>
      </c>
      <c r="I34" s="637"/>
      <c r="J34" s="633" t="str">
        <f>IF(ISBLANK(HLOOKUP(CaseName,CaseData,MATCH($G34,cases!$G$3:$G$2464,0),FALSE)),"",HLOOKUP(CaseName,CaseData,MATCH($G34,cases!$G$3:$G$2464,0),FALSE))</f>
        <v/>
      </c>
      <c r="K34" s="639">
        <f>L38/L7</f>
        <v>1.2929650675748798E-9</v>
      </c>
      <c r="L34" s="634">
        <f t="shared" si="1"/>
        <v>1.2929650675748798E-9</v>
      </c>
      <c r="M34" s="29" t="s">
        <v>1488</v>
      </c>
      <c r="N34" s="29"/>
      <c r="O34" s="36"/>
    </row>
    <row r="35" spans="1:15" ht="12.75" customHeight="1" x14ac:dyDescent="0.3">
      <c r="A35" s="36"/>
      <c r="B35" s="36" t="s">
        <v>1430</v>
      </c>
      <c r="C35" s="29"/>
      <c r="D35" s="29"/>
      <c r="E35" s="29"/>
      <c r="F35" s="29"/>
      <c r="G35" s="94" t="s">
        <v>935</v>
      </c>
      <c r="H35" s="29" t="s">
        <v>4037</v>
      </c>
      <c r="I35" s="636"/>
      <c r="J35" s="633" t="str">
        <f>IF(ISBLANK(HLOOKUP(CaseName,CaseData,MATCH($G35,cases!$G$3:$G$2464,0),FALSE)),"",HLOOKUP(CaseName,CaseData,MATCH($G35,cases!$G$3:$G$2464,0),FALSE))</f>
        <v/>
      </c>
      <c r="K35" s="639">
        <f>WATERflow.w2C.w2M</f>
        <v>23542935.143962454</v>
      </c>
      <c r="L35" s="634">
        <f t="shared" si="1"/>
        <v>23542935.143962454</v>
      </c>
      <c r="M35" s="29" t="s">
        <v>4038</v>
      </c>
      <c r="N35" s="29"/>
      <c r="O35" s="36"/>
    </row>
    <row r="36" spans="1:15" ht="12.75" customHeight="1" x14ac:dyDescent="0.3">
      <c r="A36" s="36"/>
      <c r="B36" s="36" t="s">
        <v>1431</v>
      </c>
      <c r="C36" s="29"/>
      <c r="D36" s="29"/>
      <c r="E36" s="29"/>
      <c r="F36" s="29"/>
      <c r="G36" s="94" t="s">
        <v>1278</v>
      </c>
      <c r="H36" s="29" t="s">
        <v>4037</v>
      </c>
      <c r="I36" s="636"/>
      <c r="J36" s="633" t="str">
        <f>IF(ISBLANK(HLOOKUP(CaseName,CaseData,MATCH($G36,cases!$G$3:$G$2464,0),FALSE)),"",HLOOKUP(CaseName,CaseData,MATCH($G36,cases!$G$3:$G$2464,0),FALSE))</f>
        <v/>
      </c>
      <c r="K36" s="639">
        <f>L38</f>
        <v>150000000</v>
      </c>
      <c r="L36" s="634">
        <f t="shared" si="1"/>
        <v>150000000</v>
      </c>
      <c r="M36" s="29" t="s">
        <v>4038</v>
      </c>
      <c r="N36" s="29"/>
      <c r="O36" s="36"/>
    </row>
    <row r="37" spans="1:15" ht="12.75" customHeight="1" x14ac:dyDescent="0.3">
      <c r="A37" s="36"/>
      <c r="B37" s="36" t="s">
        <v>1432</v>
      </c>
      <c r="C37" s="29"/>
      <c r="D37" s="29"/>
      <c r="E37" s="29"/>
      <c r="F37" s="29"/>
      <c r="G37" s="94" t="s">
        <v>1279</v>
      </c>
      <c r="H37" s="29" t="s">
        <v>4037</v>
      </c>
      <c r="I37" s="636"/>
      <c r="J37" s="633" t="str">
        <f>IF(ISBLANK(HLOOKUP(CaseName,CaseData,MATCH($G37,cases!$G$3:$G$2464,0),FALSE)),"",HLOOKUP(CaseName,CaseData,MATCH($G37,cases!$G$3:$G$2464,0),FALSE))</f>
        <v/>
      </c>
      <c r="K37" s="639">
        <f>0</f>
        <v>0</v>
      </c>
      <c r="L37" s="634">
        <f t="shared" si="1"/>
        <v>0</v>
      </c>
      <c r="M37" s="29" t="s">
        <v>4038</v>
      </c>
      <c r="N37" s="29"/>
      <c r="O37" s="36"/>
    </row>
    <row r="38" spans="1:15" ht="12.75" customHeight="1" x14ac:dyDescent="0.3">
      <c r="A38" s="36"/>
      <c r="B38" s="36"/>
      <c r="C38" s="29" t="s">
        <v>1424</v>
      </c>
      <c r="D38" s="29"/>
      <c r="E38" s="29"/>
      <c r="F38" s="29"/>
      <c r="G38" s="37" t="s">
        <v>1277</v>
      </c>
      <c r="H38" s="29" t="s">
        <v>4037</v>
      </c>
      <c r="I38" s="637"/>
      <c r="J38" s="633" t="str">
        <f>IF(ISBLANK(HLOOKUP(CaseName,CaseData,MATCH($G38,cases!$G$3:$G$2464,0),FALSE)),"",HLOOKUP(CaseName,CaseData,MATCH($G38,cases!$G$3:$G$2464,0),FALSE))</f>
        <v/>
      </c>
      <c r="K38" s="639">
        <v>150000000</v>
      </c>
      <c r="L38" s="634">
        <f t="shared" si="1"/>
        <v>150000000</v>
      </c>
      <c r="M38" s="29" t="s">
        <v>4038</v>
      </c>
      <c r="N38" s="29"/>
      <c r="O38" s="36"/>
    </row>
    <row r="39" spans="1:15" ht="12.75" customHeight="1" x14ac:dyDescent="0.3">
      <c r="A39" s="36" t="s">
        <v>1113</v>
      </c>
      <c r="B39" s="29"/>
      <c r="C39" s="29"/>
      <c r="D39" s="29"/>
      <c r="E39" s="29"/>
      <c r="F39" s="29"/>
      <c r="G39" s="36" t="s">
        <v>1116</v>
      </c>
      <c r="H39" s="36" t="s">
        <v>4036</v>
      </c>
      <c r="I39" s="637"/>
      <c r="J39" s="633" t="str">
        <f>IF(ISBLANK(HLOOKUP(CaseName,CaseData,MATCH($G39,cases!$G$3:$G$2464,0),FALSE)),"",HLOOKUP(CaseName,CaseData,MATCH($G39,cases!$G$3:$G$2464,0),FALSE))</f>
        <v/>
      </c>
      <c r="K39" s="639">
        <f>(L38+L41)/L6</f>
        <v>2.4922666246495685E-7</v>
      </c>
      <c r="L39" s="634">
        <f t="shared" si="1"/>
        <v>2.4922666246495685E-7</v>
      </c>
      <c r="M39" s="29" t="s">
        <v>1488</v>
      </c>
      <c r="N39" s="29"/>
      <c r="O39" s="36"/>
    </row>
    <row r="40" spans="1:15" ht="12.75" customHeight="1" x14ac:dyDescent="0.3">
      <c r="A40" s="36" t="s">
        <v>1114</v>
      </c>
      <c r="B40" s="29"/>
      <c r="C40" s="29"/>
      <c r="D40" s="29"/>
      <c r="E40" s="29"/>
      <c r="F40" s="29"/>
      <c r="G40" s="36" t="s">
        <v>1117</v>
      </c>
      <c r="H40" s="36" t="s">
        <v>4036</v>
      </c>
      <c r="I40" s="637"/>
      <c r="J40" s="633" t="str">
        <f>IF(ISBLANK(HLOOKUP(CaseName,CaseData,MATCH($G40,cases!$G$3:$G$2464,0),FALSE)),"",HLOOKUP(CaseName,CaseData,MATCH($G40,cases!$G$3:$G$2464,0),FALSE))</f>
        <v/>
      </c>
      <c r="K40" s="639">
        <f>(L38+L41)/L7</f>
        <v>8.3075554154985618E-9</v>
      </c>
      <c r="L40" s="634">
        <f t="shared" si="1"/>
        <v>8.3075554154985618E-9</v>
      </c>
      <c r="M40" s="29" t="s">
        <v>1488</v>
      </c>
      <c r="N40" s="29"/>
      <c r="O40" s="36"/>
    </row>
    <row r="41" spans="1:15" ht="12.75" customHeight="1" x14ac:dyDescent="0.3">
      <c r="A41" s="36"/>
      <c r="B41" s="29" t="s">
        <v>693</v>
      </c>
      <c r="C41" s="29"/>
      <c r="D41" s="29"/>
      <c r="E41" s="29"/>
      <c r="F41" s="29"/>
      <c r="G41" s="37" t="s">
        <v>1280</v>
      </c>
      <c r="H41" s="29" t="s">
        <v>4037</v>
      </c>
      <c r="I41" s="637"/>
      <c r="J41" s="633" t="str">
        <f>IF(ISBLANK(HLOOKUP(CaseName,CaseData,MATCH($G41,cases!$G$3:$G$2464,0),FALSE)),"",HLOOKUP(CaseName,CaseData,MATCH($G41,cases!$G$3:$G$2464,0),FALSE))</f>
        <v/>
      </c>
      <c r="K41" s="352">
        <f>L6/L42</f>
        <v>813779566.49831653</v>
      </c>
      <c r="L41" s="634">
        <f t="shared" si="1"/>
        <v>813779566.49831653</v>
      </c>
      <c r="M41" s="29" t="s">
        <v>4038</v>
      </c>
      <c r="N41" s="29"/>
      <c r="O41" s="36"/>
    </row>
    <row r="42" spans="1:15" ht="12.75" customHeight="1" x14ac:dyDescent="0.3">
      <c r="A42" s="36"/>
      <c r="B42" s="36"/>
      <c r="C42" s="29" t="s">
        <v>1218</v>
      </c>
      <c r="D42" s="29"/>
      <c r="E42" s="29"/>
      <c r="F42" s="29"/>
      <c r="G42" s="37" t="s">
        <v>808</v>
      </c>
      <c r="H42" s="29" t="s">
        <v>723</v>
      </c>
      <c r="I42" s="637"/>
      <c r="J42" s="633" t="str">
        <f>IF(ISBLANK(HLOOKUP(CaseName,CaseData,MATCH($G42,cases!$G$3:$G$2464,0),FALSE)),"",HLOOKUP(CaseName,CaseData,MATCH($G42,cases!$G$3:$G$2464,0),FALSE))</f>
        <v/>
      </c>
      <c r="K42" s="352">
        <v>55</v>
      </c>
      <c r="L42" s="634">
        <f>IF(ISBLANK(I42),IF(ISNUMBER(J42)=FALSE,K42*(3600*24),J42*(3600*24)),I42*(3600*24))</f>
        <v>4752000</v>
      </c>
      <c r="M42" s="36" t="s">
        <v>115</v>
      </c>
      <c r="N42" s="29"/>
      <c r="O42" s="36"/>
    </row>
    <row r="43" spans="1:15" ht="12.75" customHeight="1" x14ac:dyDescent="0.3">
      <c r="A43" s="29"/>
      <c r="B43" s="29"/>
      <c r="C43" s="29"/>
      <c r="D43" s="29"/>
      <c r="E43" s="29"/>
      <c r="F43" s="29"/>
      <c r="G43" s="29"/>
      <c r="H43" s="36"/>
      <c r="I43" s="353"/>
      <c r="J43" s="353"/>
      <c r="K43" s="353"/>
      <c r="L43" s="353"/>
      <c r="M43" s="29"/>
      <c r="N43" s="29"/>
      <c r="O43" s="36"/>
    </row>
    <row r="44" spans="1:15" ht="12.75" customHeight="1" x14ac:dyDescent="0.3">
      <c r="A44" s="98" t="s">
        <v>209</v>
      </c>
      <c r="B44" s="97"/>
      <c r="C44" s="97"/>
      <c r="D44" s="97"/>
      <c r="E44" s="97"/>
      <c r="F44" s="97"/>
      <c r="G44" s="98" t="s">
        <v>1008</v>
      </c>
      <c r="H44" s="98" t="s">
        <v>968</v>
      </c>
      <c r="I44" s="364" t="s">
        <v>754</v>
      </c>
      <c r="J44" s="340" t="s">
        <v>37</v>
      </c>
      <c r="K44" s="340" t="s">
        <v>753</v>
      </c>
      <c r="L44" s="340" t="s">
        <v>1358</v>
      </c>
      <c r="M44" s="97"/>
      <c r="N44" s="98" t="s">
        <v>1371</v>
      </c>
      <c r="O44" s="36"/>
    </row>
    <row r="45" spans="1:15" ht="12.75" customHeight="1" x14ac:dyDescent="0.3">
      <c r="A45" s="29"/>
      <c r="B45" s="29"/>
      <c r="C45" s="29"/>
      <c r="D45" s="29"/>
      <c r="E45" s="29"/>
      <c r="F45" s="29"/>
      <c r="G45" s="29"/>
      <c r="H45" s="36"/>
      <c r="I45" s="353"/>
      <c r="J45" s="643"/>
      <c r="K45" s="353"/>
      <c r="L45" s="647"/>
      <c r="M45" s="29"/>
      <c r="N45" s="29"/>
      <c r="O45" s="36"/>
    </row>
    <row r="46" spans="1:15" ht="12.75" customHeight="1" x14ac:dyDescent="0.3">
      <c r="A46" s="29"/>
      <c r="B46" s="36" t="s">
        <v>986</v>
      </c>
      <c r="C46" s="36"/>
      <c r="D46" s="36"/>
      <c r="E46" s="36"/>
      <c r="F46" s="36"/>
      <c r="G46" s="36" t="s">
        <v>3999</v>
      </c>
      <c r="H46" s="36" t="s">
        <v>36</v>
      </c>
      <c r="I46" s="636"/>
      <c r="J46" s="633" t="str">
        <f>IF(ISBLANK(HLOOKUP(CaseName,CaseData,MATCH($G46,cases!$G$3:$G$2464,0),FALSE)),"",HLOOKUP(CaseName,CaseData,MATCH($G46,cases!$G$3:$G$2464,0),FALSE))</f>
        <v/>
      </c>
      <c r="K46" s="366">
        <f>1-L19 *L51/(1+L19*L51+L18*L52)-L18 *L52/(1+L19*L51+L18*L52)</f>
        <v>0.99999996469432006</v>
      </c>
      <c r="L46" s="634">
        <f>IF(ISBLANK(I46),IF(ISNUMBER(J46)=FALSE,K46,J46),I46)</f>
        <v>0.99999996469432006</v>
      </c>
      <c r="M46" s="36" t="s">
        <v>486</v>
      </c>
      <c r="N46" s="36"/>
      <c r="O46" s="36"/>
    </row>
    <row r="47" spans="1:15" ht="12.75" customHeight="1" x14ac:dyDescent="0.3">
      <c r="A47" s="29"/>
      <c r="B47" s="29" t="s">
        <v>615</v>
      </c>
      <c r="C47" s="29"/>
      <c r="D47" s="29"/>
      <c r="E47" s="29"/>
      <c r="F47" s="29"/>
      <c r="G47" s="29" t="s">
        <v>634</v>
      </c>
      <c r="H47" s="29" t="s">
        <v>36</v>
      </c>
      <c r="I47" s="518"/>
      <c r="J47" s="633" t="str">
        <f>IF(ISBLANK(HLOOKUP(CaseName,CaseData,MATCH($G47,cases!$G$3:$G$2464,0),FALSE)),"",HLOOKUP(CaseName,CaseData,MATCH($G47,cases!$G$3:$G$2464,0),FALSE))</f>
        <v/>
      </c>
      <c r="K47" s="366">
        <f>L19 *L51/(1+L19*L51+L18*L52)</f>
        <v>2.2258158863377581E-10</v>
      </c>
      <c r="L47" s="634">
        <f>IF(ISBLANK(I47),IF(ISNUMBER(J47)=FALSE,K47,J47),I47)</f>
        <v>2.2258158863377581E-10</v>
      </c>
      <c r="M47" s="36" t="s">
        <v>486</v>
      </c>
      <c r="N47" s="29" t="s">
        <v>2184</v>
      </c>
      <c r="O47" s="36"/>
    </row>
    <row r="48" spans="1:15" ht="12.75" customHeight="1" x14ac:dyDescent="0.3">
      <c r="A48" s="29"/>
      <c r="B48" s="29" t="s">
        <v>616</v>
      </c>
      <c r="C48" s="29"/>
      <c r="D48" s="29"/>
      <c r="E48" s="29"/>
      <c r="F48" s="29"/>
      <c r="G48" s="29" t="s">
        <v>635</v>
      </c>
      <c r="H48" s="29" t="s">
        <v>36</v>
      </c>
      <c r="I48" s="636"/>
      <c r="J48" s="633" t="str">
        <f>IF(ISBLANK(HLOOKUP(CaseName,CaseData,MATCH($G48,cases!$G$3:$G$2464,0),FALSE)),"",HLOOKUP(CaseName,CaseData,MATCH($G48,cases!$G$3:$G$2464,0),FALSE))</f>
        <v/>
      </c>
      <c r="K48" s="366">
        <f>L18 *L52/(1+L19*L51+L18*L52)</f>
        <v>3.5083098262422926E-8</v>
      </c>
      <c r="L48" s="634">
        <f>IF(ISBLANK(I48),IF(ISNUMBER(J48)=FALSE,K48,J48),I48)</f>
        <v>3.5083098262422926E-8</v>
      </c>
      <c r="M48" s="36" t="s">
        <v>486</v>
      </c>
      <c r="N48" s="29" t="s">
        <v>2184</v>
      </c>
      <c r="O48" s="36"/>
    </row>
    <row r="49" spans="1:15" ht="12.75" customHeight="1" x14ac:dyDescent="0.3">
      <c r="A49" s="29"/>
      <c r="B49" s="36" t="s">
        <v>1043</v>
      </c>
      <c r="C49" s="36"/>
      <c r="D49" s="36"/>
      <c r="E49" s="36"/>
      <c r="F49" s="36"/>
      <c r="G49" s="36" t="s">
        <v>4000</v>
      </c>
      <c r="H49" s="36" t="s">
        <v>36</v>
      </c>
      <c r="I49" s="636"/>
      <c r="J49" s="633" t="str">
        <f>IF(ISBLANK(HLOOKUP(CaseName,CaseData,MATCH($G49,cases!$G$3:$G$2464,0),FALSE)),"",HLOOKUP(CaseName,CaseData,MATCH($G49,cases!$G$3:$G$2464,0),FALSE))</f>
        <v/>
      </c>
      <c r="K49" s="352">
        <f>Kaw*EXP((H0vap/8.314)*(1/298-1/L50))*EXP(-(H0sol/8.314)*(1/298-1/L50))*(298/L50)</f>
        <v>8.9854688416270423E-2</v>
      </c>
      <c r="L49" s="634">
        <f>IF(ISBLANK(I49),IF(ISNUMBER(J49)=FALSE,K49,J49),I49)</f>
        <v>8.9854688416270423E-2</v>
      </c>
      <c r="M49" s="36" t="s">
        <v>486</v>
      </c>
      <c r="N49" s="29"/>
      <c r="O49" s="36"/>
    </row>
    <row r="50" spans="1:15" ht="12.75" customHeight="1" x14ac:dyDescent="0.3">
      <c r="A50" s="36"/>
      <c r="B50" s="36"/>
      <c r="C50" s="36" t="s">
        <v>543</v>
      </c>
      <c r="D50" s="36"/>
      <c r="E50" s="36"/>
      <c r="F50" s="36"/>
      <c r="G50" s="36" t="s">
        <v>792</v>
      </c>
      <c r="H50" s="36" t="s">
        <v>4049</v>
      </c>
      <c r="I50" s="636"/>
      <c r="J50" s="633" t="str">
        <f>IF(ISBLANK(HLOOKUP(CaseName,CaseData,MATCH($G50,cases!$G$3:$G$2464,0),FALSE)),"",HLOOKUP(CaseName,CaseData,MATCH($G50,cases!$G$3:$G$2464,0),FALSE))</f>
        <v/>
      </c>
      <c r="K50" s="352">
        <v>12</v>
      </c>
      <c r="L50" s="634">
        <f>IF(ISBLANK(I50),IF(ISNUMBER(J50)=FALSE,K50+273,J50+273),I50+273)</f>
        <v>285</v>
      </c>
      <c r="M50" s="36" t="s">
        <v>588</v>
      </c>
      <c r="N50" s="29"/>
      <c r="O50" s="36"/>
    </row>
    <row r="51" spans="1:15" ht="12.75" customHeight="1" x14ac:dyDescent="0.35">
      <c r="A51" s="29"/>
      <c r="B51" s="29"/>
      <c r="C51" s="29" t="s">
        <v>612</v>
      </c>
      <c r="D51" s="29"/>
      <c r="E51" s="29"/>
      <c r="F51" s="29"/>
      <c r="G51" s="29" t="s">
        <v>637</v>
      </c>
      <c r="H51" s="29" t="s">
        <v>4040</v>
      </c>
      <c r="I51" s="518"/>
      <c r="J51" s="633" t="str">
        <f>IF(ISBLANK(HLOOKUP(CaseName,CaseData,MATCH($G51,cases!$G$3:$G$2464,0),FALSE)),"",HLOOKUP(CaseName,CaseData,MATCH($G51,cases!$G$3:$G$2464,0),FALSE))</f>
        <v/>
      </c>
      <c r="K51" s="366">
        <f>1/(L49*FRorig.aerw)</f>
        <v>11.129079824608519</v>
      </c>
      <c r="L51" s="634">
        <f t="shared" ref="L51:L58" si="2">IF(ISBLANK(I51),IF(ISNUMBER(J51)=FALSE,K51,J51),I51)</f>
        <v>11.129079824608519</v>
      </c>
      <c r="M51" s="36" t="s">
        <v>4050</v>
      </c>
      <c r="N51" s="29"/>
      <c r="O51" s="36"/>
    </row>
    <row r="52" spans="1:15" ht="12.75" customHeight="1" x14ac:dyDescent="0.35">
      <c r="A52" s="29"/>
      <c r="B52" s="29"/>
      <c r="C52" s="29" t="s">
        <v>613</v>
      </c>
      <c r="D52" s="29"/>
      <c r="E52" s="29"/>
      <c r="F52" s="29"/>
      <c r="G52" s="29" t="s">
        <v>638</v>
      </c>
      <c r="H52" s="29" t="s">
        <v>4041</v>
      </c>
      <c r="I52" s="518"/>
      <c r="J52" s="633" t="str">
        <f>IF(ISBLANK(HLOOKUP(CaseName,CaseData,MATCH($G52,cases!$G$3:$G$2464,0),FALSE)),"",HLOOKUP(CaseName,CaseData,MATCH($G52,cases!$G$3:$G$2464,0),FALSE))</f>
        <v/>
      </c>
      <c r="K52" s="366">
        <f>0.54*(Kow/Kaw)*CORGaers*(RHOaers/1000)</f>
        <v>1754.1549750527802</v>
      </c>
      <c r="L52" s="634">
        <f t="shared" si="2"/>
        <v>1754.1549750527802</v>
      </c>
      <c r="M52" s="36" t="s">
        <v>4051</v>
      </c>
      <c r="N52" s="29" t="s">
        <v>924</v>
      </c>
      <c r="O52" s="36"/>
    </row>
    <row r="53" spans="1:15" ht="12.75" customHeight="1" x14ac:dyDescent="0.3">
      <c r="A53" s="36"/>
      <c r="B53" s="36" t="s">
        <v>4001</v>
      </c>
      <c r="C53" s="95"/>
      <c r="D53" s="29"/>
      <c r="E53" s="29"/>
      <c r="F53" s="29"/>
      <c r="G53" s="37" t="s">
        <v>134</v>
      </c>
      <c r="H53" s="36" t="s">
        <v>36</v>
      </c>
      <c r="I53" s="636"/>
      <c r="J53" s="633" t="str">
        <f>IF(ISBLANK(HLOOKUP(CaseName,CaseData,MATCH($G53,cases!$G$3:$G$2464,0),FALSE)),"",HLOOKUP(CaseName,CaseData,MATCH($G53,cases!$G$3:$G$2464,0),FALSE))</f>
        <v/>
      </c>
      <c r="K53" s="352">
        <f>1/(1+L55*L59/1000+L61*L63/1000)</f>
        <v>0.99939559656267651</v>
      </c>
      <c r="L53" s="634">
        <f t="shared" si="2"/>
        <v>0.99939559656267651</v>
      </c>
      <c r="M53" s="36" t="s">
        <v>486</v>
      </c>
      <c r="N53" s="29"/>
      <c r="O53" s="36"/>
    </row>
    <row r="54" spans="1:15" ht="12.75" customHeight="1" x14ac:dyDescent="0.3">
      <c r="A54" s="36"/>
      <c r="B54" s="36" t="s">
        <v>1119</v>
      </c>
      <c r="C54" s="95"/>
      <c r="D54" s="29"/>
      <c r="E54" s="29"/>
      <c r="F54" s="29"/>
      <c r="G54" s="37" t="s">
        <v>135</v>
      </c>
      <c r="H54" s="36" t="s">
        <v>36</v>
      </c>
      <c r="I54" s="636"/>
      <c r="J54" s="633" t="str">
        <f>IF(ISBLANK(HLOOKUP(CaseName,CaseData,MATCH($G54,cases!$G$3:$G$2464,0),FALSE)),"",HLOOKUP(CaseName,CaseData,MATCH($G54,cases!$G$3:$G$2464,0),FALSE))</f>
        <v/>
      </c>
      <c r="K54" s="352">
        <f>1/(1+L56*L60/1000+L62*L64/1000)</f>
        <v>0.99939559656267651</v>
      </c>
      <c r="L54" s="634">
        <f t="shared" si="2"/>
        <v>0.99939559656267651</v>
      </c>
      <c r="M54" s="36" t="s">
        <v>486</v>
      </c>
      <c r="N54" s="29"/>
      <c r="O54" s="36"/>
    </row>
    <row r="55" spans="1:15" ht="12.75" customHeight="1" x14ac:dyDescent="0.3">
      <c r="A55" s="36"/>
      <c r="B55" s="29"/>
      <c r="C55" s="36" t="s">
        <v>4002</v>
      </c>
      <c r="D55" s="29"/>
      <c r="E55" s="29"/>
      <c r="F55" s="29"/>
      <c r="G55" s="94" t="s">
        <v>136</v>
      </c>
      <c r="H55" s="36" t="s">
        <v>4042</v>
      </c>
      <c r="I55" s="636"/>
      <c r="J55" s="633" t="str">
        <f>IF(ISBLANK(HLOOKUP(CaseName,CaseData,MATCH($G55,cases!$G$3:$G$2464,0),FALSE)),"",HLOOKUP(CaseName,CaseData,MATCH($G55,cases!$G$3:$G$2464,0),FALSE))</f>
        <v/>
      </c>
      <c r="K55" s="352">
        <f>(FRorig.w2*Ksw+(1-FRorig.w2)*Ksw.alt)*(1000/RHOsolid/CORG)*L57</f>
        <v>76.953792352546415</v>
      </c>
      <c r="L55" s="634">
        <f t="shared" si="2"/>
        <v>76.953792352546415</v>
      </c>
      <c r="M55" s="36" t="s">
        <v>1498</v>
      </c>
      <c r="N55" s="29"/>
      <c r="O55" s="36"/>
    </row>
    <row r="56" spans="1:15" ht="12.75" customHeight="1" x14ac:dyDescent="0.3">
      <c r="A56" s="36"/>
      <c r="B56" s="29"/>
      <c r="C56" s="36" t="s">
        <v>1122</v>
      </c>
      <c r="D56" s="29"/>
      <c r="E56" s="29"/>
      <c r="F56" s="29"/>
      <c r="G56" s="94" t="s">
        <v>137</v>
      </c>
      <c r="H56" s="36" t="s">
        <v>1498</v>
      </c>
      <c r="I56" s="636"/>
      <c r="J56" s="633" t="str">
        <f>IF(ISBLANK(HLOOKUP(CaseName,CaseData,MATCH($G56,cases!$G$3:$G$2464,0),FALSE)),"",HLOOKUP(CaseName,CaseData,MATCH($G56,cases!$G$3:$G$2464,0),FALSE))</f>
        <v/>
      </c>
      <c r="K56" s="352">
        <f>(FRorig.w2*Ksw+(1-FRorig.w2)*Ksw.alt)*(1000/RHOsolid/CORG)*L58</f>
        <v>76.953792352546415</v>
      </c>
      <c r="L56" s="634">
        <f t="shared" si="2"/>
        <v>76.953792352546415</v>
      </c>
      <c r="M56" s="36" t="s">
        <v>1498</v>
      </c>
      <c r="N56" s="29"/>
      <c r="O56" s="36"/>
    </row>
    <row r="57" spans="1:15" ht="12.75" customHeight="1" x14ac:dyDescent="0.3">
      <c r="A57" s="36"/>
      <c r="B57" s="29"/>
      <c r="C57" s="36" t="s">
        <v>4003</v>
      </c>
      <c r="D57" s="29"/>
      <c r="E57" s="29"/>
      <c r="F57" s="29"/>
      <c r="G57" s="94" t="s">
        <v>1452</v>
      </c>
      <c r="H57" s="36" t="s">
        <v>36</v>
      </c>
      <c r="I57" s="636"/>
      <c r="J57" s="633" t="str">
        <f>IF(ISBLANK(HLOOKUP(CaseName,CaseData,MATCH($G57,cases!$G$3:$G$2464,0),FALSE)),"",HLOOKUP(CaseName,CaseData,MATCH($G57,cases!$G$3:$G$2464,0),FALSE))</f>
        <v/>
      </c>
      <c r="K57" s="352">
        <v>0.1</v>
      </c>
      <c r="L57" s="634">
        <f t="shared" si="2"/>
        <v>0.1</v>
      </c>
      <c r="M57" s="36" t="s">
        <v>486</v>
      </c>
      <c r="N57" s="29"/>
      <c r="O57" s="36"/>
    </row>
    <row r="58" spans="1:15" ht="12.75" customHeight="1" x14ac:dyDescent="0.3">
      <c r="A58" s="36"/>
      <c r="B58" s="29"/>
      <c r="C58" s="36" t="s">
        <v>1124</v>
      </c>
      <c r="D58" s="29"/>
      <c r="E58" s="29"/>
      <c r="F58" s="29"/>
      <c r="G58" s="94" t="s">
        <v>1453</v>
      </c>
      <c r="H58" s="36" t="s">
        <v>36</v>
      </c>
      <c r="I58" s="636"/>
      <c r="J58" s="633" t="str">
        <f>IF(ISBLANK(HLOOKUP(CaseName,CaseData,MATCH($G58,cases!$G$3:$G$2464,0),FALSE)),"",HLOOKUP(CaseName,CaseData,MATCH($G58,cases!$G$3:$G$2464,0),FALSE))</f>
        <v/>
      </c>
      <c r="K58" s="352">
        <v>0.1</v>
      </c>
      <c r="L58" s="634">
        <f t="shared" si="2"/>
        <v>0.1</v>
      </c>
      <c r="M58" s="36" t="s">
        <v>486</v>
      </c>
      <c r="N58" s="29"/>
      <c r="O58" s="36"/>
    </row>
    <row r="59" spans="1:15" ht="12.75" customHeight="1" x14ac:dyDescent="0.3">
      <c r="A59" s="36"/>
      <c r="B59" s="29"/>
      <c r="C59" s="36" t="s">
        <v>4004</v>
      </c>
      <c r="D59" s="29"/>
      <c r="E59" s="29"/>
      <c r="F59" s="29"/>
      <c r="G59" s="94" t="s">
        <v>138</v>
      </c>
      <c r="H59" s="36" t="s">
        <v>4043</v>
      </c>
      <c r="I59" s="636"/>
      <c r="J59" s="633" t="str">
        <f>IF(ISBLANK(HLOOKUP(CaseName,CaseData,MATCH($G59,cases!$G$3:$G$2464,0),FALSE)),"",HLOOKUP(CaseName,CaseData,MATCH($G59,cases!$G$3:$G$2464,0),FALSE))</f>
        <v/>
      </c>
      <c r="K59" s="352">
        <v>5</v>
      </c>
      <c r="L59" s="634">
        <f>IF(ISBLANK(I59),IF(ISNUMBER(J59)=FALSE,K59/1000,J59/1000),I59/1000)</f>
        <v>5.0000000000000001E-3</v>
      </c>
      <c r="M59" s="36" t="s">
        <v>1497</v>
      </c>
      <c r="N59" s="29"/>
      <c r="O59" s="36"/>
    </row>
    <row r="60" spans="1:15" ht="12.75" customHeight="1" x14ac:dyDescent="0.3">
      <c r="A60" s="36"/>
      <c r="B60" s="29"/>
      <c r="C60" s="36" t="s">
        <v>1126</v>
      </c>
      <c r="D60" s="29"/>
      <c r="E60" s="29"/>
      <c r="F60" s="29"/>
      <c r="G60" s="94" t="s">
        <v>139</v>
      </c>
      <c r="H60" s="36" t="s">
        <v>4043</v>
      </c>
      <c r="I60" s="636"/>
      <c r="J60" s="633" t="str">
        <f>IF(ISBLANK(HLOOKUP(CaseName,CaseData,MATCH($G60,cases!$G$3:$G$2464,0),FALSE)),"",HLOOKUP(CaseName,CaseData,MATCH($G60,cases!$G$3:$G$2464,0),FALSE))</f>
        <v/>
      </c>
      <c r="K60" s="352">
        <v>5</v>
      </c>
      <c r="L60" s="634">
        <f>IF(ISBLANK(I60),IF(ISNUMBER(J60)=FALSE,K60/1000,J60/1000),I60/1000)</f>
        <v>5.0000000000000001E-3</v>
      </c>
      <c r="M60" s="36" t="s">
        <v>1497</v>
      </c>
      <c r="N60" s="29"/>
      <c r="O60" s="36"/>
    </row>
    <row r="61" spans="1:15" ht="12.75" customHeight="1" x14ac:dyDescent="0.3">
      <c r="A61" s="36"/>
      <c r="B61" s="29"/>
      <c r="C61" s="36" t="s">
        <v>4005</v>
      </c>
      <c r="D61" s="29"/>
      <c r="E61" s="29"/>
      <c r="F61" s="29"/>
      <c r="G61" s="94" t="s">
        <v>140</v>
      </c>
      <c r="H61" s="36" t="s">
        <v>1039</v>
      </c>
      <c r="I61" s="632"/>
      <c r="J61" s="633" t="str">
        <f>IF(ISBLANK(HLOOKUP(CaseName,CaseData,MATCH($G61,cases!$G$3:$G$2464,0),FALSE)),"",HLOOKUP(CaseName,CaseData,MATCH($G61,cases!$G$3:$G$2464,0),FALSE))</f>
        <v/>
      </c>
      <c r="K61" s="352">
        <f>0.08*D</f>
        <v>220</v>
      </c>
      <c r="L61" s="634">
        <f>IF(ISBLANK(I61),IF(ISNUMBER(J61)=FALSE,K61,J61),I61)</f>
        <v>220</v>
      </c>
      <c r="M61" s="36" t="s">
        <v>1498</v>
      </c>
      <c r="N61" s="29"/>
      <c r="O61" s="36"/>
    </row>
    <row r="62" spans="1:15" ht="12.75" customHeight="1" x14ac:dyDescent="0.3">
      <c r="A62" s="36"/>
      <c r="B62" s="29"/>
      <c r="C62" s="36" t="s">
        <v>1143</v>
      </c>
      <c r="D62" s="29"/>
      <c r="E62" s="29"/>
      <c r="F62" s="29"/>
      <c r="G62" s="94" t="s">
        <v>141</v>
      </c>
      <c r="H62" s="36" t="s">
        <v>1039</v>
      </c>
      <c r="I62" s="632"/>
      <c r="J62" s="633" t="str">
        <f>IF(ISBLANK(HLOOKUP(CaseName,CaseData,MATCH($G62,cases!$G$3:$G$2464,0),FALSE)),"",HLOOKUP(CaseName,CaseData,MATCH($G62,cases!$G$3:$G$2464,0),FALSE))</f>
        <v/>
      </c>
      <c r="K62" s="352">
        <f>0.08*D</f>
        <v>220</v>
      </c>
      <c r="L62" s="634">
        <f>IF(ISBLANK(I62),IF(ISNUMBER(J62)=FALSE,K62,J62),I62)</f>
        <v>220</v>
      </c>
      <c r="M62" s="36" t="s">
        <v>1498</v>
      </c>
      <c r="N62" s="29"/>
      <c r="O62" s="36"/>
    </row>
    <row r="63" spans="1:15" ht="12.75" customHeight="1" x14ac:dyDescent="0.3">
      <c r="A63" s="36"/>
      <c r="B63" s="29"/>
      <c r="C63" s="36" t="s">
        <v>4006</v>
      </c>
      <c r="D63" s="29"/>
      <c r="E63" s="29"/>
      <c r="F63" s="29"/>
      <c r="G63" s="94" t="s">
        <v>142</v>
      </c>
      <c r="H63" s="36" t="s">
        <v>1038</v>
      </c>
      <c r="I63" s="632"/>
      <c r="J63" s="633" t="str">
        <f>IF(ISBLANK(HLOOKUP(CaseName,CaseData,MATCH($G63,cases!$G$3:$G$2464,0),FALSE)),"",HLOOKUP(CaseName,CaseData,MATCH($G63,cases!$G$3:$G$2464,0),FALSE))</f>
        <v/>
      </c>
      <c r="K63" s="352">
        <v>1</v>
      </c>
      <c r="L63" s="634">
        <f>IF(ISBLANK(I63),IF(ISNUMBER(J63)=FALSE,K63/1000,J63/1000),I63/1000)</f>
        <v>1E-3</v>
      </c>
      <c r="M63" s="36" t="s">
        <v>1497</v>
      </c>
      <c r="N63" s="29"/>
      <c r="O63" s="36"/>
    </row>
    <row r="64" spans="1:15" ht="12.75" customHeight="1" x14ac:dyDescent="0.3">
      <c r="A64" s="36"/>
      <c r="B64" s="29"/>
      <c r="C64" s="36" t="s">
        <v>1130</v>
      </c>
      <c r="D64" s="29"/>
      <c r="E64" s="29"/>
      <c r="F64" s="29"/>
      <c r="G64" s="94" t="s">
        <v>143</v>
      </c>
      <c r="H64" s="36" t="s">
        <v>1038</v>
      </c>
      <c r="I64" s="632"/>
      <c r="J64" s="633" t="str">
        <f>IF(ISBLANK(HLOOKUP(CaseName,CaseData,MATCH($G64,cases!$G$3:$G$2464,0),FALSE)),"",HLOOKUP(CaseName,CaseData,MATCH($G64,cases!$G$3:$G$2464,0),FALSE))</f>
        <v/>
      </c>
      <c r="K64" s="352">
        <v>1</v>
      </c>
      <c r="L64" s="634">
        <f>IF(ISBLANK(I64),IF(ISNUMBER(J64)=FALSE,K64/1000,J64/1000),I64/1000)</f>
        <v>1E-3</v>
      </c>
      <c r="M64" s="36" t="s">
        <v>1497</v>
      </c>
      <c r="N64" s="29"/>
      <c r="O64" s="36"/>
    </row>
    <row r="65" spans="1:15" ht="12.75" customHeight="1" x14ac:dyDescent="0.3">
      <c r="A65" s="36"/>
      <c r="B65" s="36" t="s">
        <v>1375</v>
      </c>
      <c r="C65" s="95"/>
      <c r="D65" s="29"/>
      <c r="E65" s="29"/>
      <c r="F65" s="29"/>
      <c r="G65" s="94" t="s">
        <v>438</v>
      </c>
      <c r="H65" s="36" t="s">
        <v>36</v>
      </c>
      <c r="I65" s="636"/>
      <c r="J65" s="633" t="str">
        <f>IF(ISBLANK(HLOOKUP(CaseName,CaseData,MATCH($G65,cases!$G$3:$G$2464,0),FALSE)),"",HLOOKUP(CaseName,CaseData,MATCH($G65,cases!$G$3:$G$2464,0),FALSE))</f>
        <v/>
      </c>
      <c r="K65" s="352">
        <f>L23+L24*L66*RHOsolid/1000</f>
        <v>20.038448088136601</v>
      </c>
      <c r="L65" s="634">
        <f t="shared" ref="L65:L72" si="3">IF(ISBLANK(I65),IF(ISNUMBER(J65)=FALSE,K65,J65),I65)</f>
        <v>20.038448088136601</v>
      </c>
      <c r="M65" s="36" t="s">
        <v>486</v>
      </c>
      <c r="N65" s="29"/>
      <c r="O65" s="36"/>
    </row>
    <row r="66" spans="1:15" ht="12.75" customHeight="1" x14ac:dyDescent="0.3">
      <c r="A66" s="36"/>
      <c r="B66" s="29"/>
      <c r="C66" s="36" t="s">
        <v>1376</v>
      </c>
      <c r="D66" s="29"/>
      <c r="E66" s="29"/>
      <c r="F66" s="29"/>
      <c r="G66" s="94" t="s">
        <v>177</v>
      </c>
      <c r="H66" s="36" t="s">
        <v>4042</v>
      </c>
      <c r="I66" s="636"/>
      <c r="J66" s="633" t="str">
        <f>IF(ISBLANK(HLOOKUP(CaseName,CaseData,MATCH($G66,cases!$G$3:$G$2464,0),FALSE)),"",HLOOKUP(CaseName,CaseData,MATCH($G66,cases!$G$3:$G$2464,0),FALSE))</f>
        <v/>
      </c>
      <c r="K66" s="352">
        <f>(FRorig.sd2*Ksw+(1-FRorig.sd2)*Ksw.alt)*(1000/RHOsolid/CORG)*L67</f>
        <v>38.476896176273208</v>
      </c>
      <c r="L66" s="634">
        <f t="shared" si="3"/>
        <v>38.476896176273208</v>
      </c>
      <c r="M66" s="36" t="s">
        <v>1498</v>
      </c>
      <c r="N66" s="29"/>
      <c r="O66" s="36"/>
    </row>
    <row r="67" spans="1:15" ht="12.75" customHeight="1" x14ac:dyDescent="0.3">
      <c r="A67" s="36"/>
      <c r="B67" s="29"/>
      <c r="C67" s="36" t="s">
        <v>546</v>
      </c>
      <c r="D67" s="29"/>
      <c r="E67" s="29"/>
      <c r="F67" s="29"/>
      <c r="G67" s="94" t="s">
        <v>437</v>
      </c>
      <c r="H67" s="36" t="s">
        <v>36</v>
      </c>
      <c r="I67" s="636"/>
      <c r="J67" s="633" t="str">
        <f>IF(ISBLANK(HLOOKUP(CaseName,CaseData,MATCH($G67,cases!$G$3:$G$2464,0),FALSE)),"",HLOOKUP(CaseName,CaseData,MATCH($G67,cases!$G$3:$G$2464,0),FALSE))</f>
        <v/>
      </c>
      <c r="K67" s="352">
        <v>0.05</v>
      </c>
      <c r="L67" s="634">
        <f t="shared" si="3"/>
        <v>0.05</v>
      </c>
      <c r="M67" s="36" t="s">
        <v>486</v>
      </c>
      <c r="N67" s="29"/>
      <c r="O67" s="36"/>
    </row>
    <row r="68" spans="1:15" ht="12.75" customHeight="1" x14ac:dyDescent="0.3">
      <c r="A68" s="36"/>
      <c r="B68" s="36" t="s">
        <v>1372</v>
      </c>
      <c r="C68" s="95"/>
      <c r="D68" s="29"/>
      <c r="E68" s="29"/>
      <c r="F68" s="29"/>
      <c r="G68" s="94" t="s">
        <v>4007</v>
      </c>
      <c r="H68" s="36" t="s">
        <v>36</v>
      </c>
      <c r="I68" s="636"/>
      <c r="J68" s="633" t="str">
        <f>IF(ISBLANK(HLOOKUP(CaseName,CaseData,MATCH($G68,cases!$G$3:$G$2464,0),FALSE)),"",HLOOKUP(CaseName,CaseData,MATCH($G68,cases!$G$3:$G$2464,0),FALSE))</f>
        <v/>
      </c>
      <c r="K68" s="352">
        <f>L20*(L49*FRorig.s1w)+L21+L22*L71*RHOsolid/1000</f>
        <v>23.304108643447179</v>
      </c>
      <c r="L68" s="634">
        <f t="shared" si="3"/>
        <v>23.304108643447179</v>
      </c>
      <c r="M68" s="29" t="s">
        <v>486</v>
      </c>
      <c r="N68" s="29"/>
      <c r="O68" s="36"/>
    </row>
    <row r="69" spans="1:15" ht="12.75" customHeight="1" x14ac:dyDescent="0.3">
      <c r="A69" s="36"/>
      <c r="B69" s="36" t="s">
        <v>48</v>
      </c>
      <c r="C69" s="95"/>
      <c r="D69" s="29"/>
      <c r="E69" s="29"/>
      <c r="F69" s="29"/>
      <c r="G69" s="94" t="s">
        <v>589</v>
      </c>
      <c r="H69" s="36" t="s">
        <v>36</v>
      </c>
      <c r="I69" s="636"/>
      <c r="J69" s="633" t="str">
        <f>IF(ISBLANK(HLOOKUP(CaseName,CaseData,MATCH($G69,cases!$G$3:$G$2464,0),FALSE)),"",HLOOKUP(CaseName,CaseData,MATCH($G69,cases!$G$3:$G$2464,0),FALSE))</f>
        <v/>
      </c>
      <c r="K69" s="352">
        <f>L21/(L20*(L49*FRorig.s1w)+L21+L22*L71*RHOsolid/1000)</f>
        <v>8.5821776348539939E-3</v>
      </c>
      <c r="L69" s="634">
        <f t="shared" si="3"/>
        <v>8.5821776348539939E-3</v>
      </c>
      <c r="M69" s="29" t="s">
        <v>486</v>
      </c>
      <c r="N69" s="29"/>
      <c r="O69" s="36"/>
    </row>
    <row r="70" spans="1:15" ht="12.75" customHeight="1" x14ac:dyDescent="0.3">
      <c r="A70" s="36"/>
      <c r="B70" s="36" t="s">
        <v>1301</v>
      </c>
      <c r="C70" s="95"/>
      <c r="D70" s="29"/>
      <c r="E70" s="29"/>
      <c r="F70" s="29"/>
      <c r="G70" s="94" t="s">
        <v>44</v>
      </c>
      <c r="H70" s="36" t="s">
        <v>36</v>
      </c>
      <c r="I70" s="636"/>
      <c r="J70" s="633" t="str">
        <f>IF(ISBLANK(HLOOKUP(CaseName,CaseData,MATCH($G70,cases!$G$3:$G$2464,0),FALSE)),"",HLOOKUP(CaseName,CaseData,MATCH($G70,cases!$G$3:$G$2464,0),FALSE))</f>
        <v/>
      </c>
      <c r="K70" s="352">
        <f>L22 / (L20*L49*FRorig.s1w/(L71*RHOsolid/1000)+L21/(L71*RHOsolid/1000)+L22 )</f>
        <v>0.99064667346783319</v>
      </c>
      <c r="L70" s="634">
        <f t="shared" si="3"/>
        <v>0.99064667346783319</v>
      </c>
      <c r="M70" s="5" t="s">
        <v>486</v>
      </c>
      <c r="N70" s="29"/>
      <c r="O70" s="36"/>
    </row>
    <row r="71" spans="1:15" ht="12.75" customHeight="1" x14ac:dyDescent="0.3">
      <c r="A71" s="36"/>
      <c r="B71" s="29"/>
      <c r="C71" s="36" t="s">
        <v>1373</v>
      </c>
      <c r="D71" s="29"/>
      <c r="E71" s="29"/>
      <c r="F71" s="29"/>
      <c r="G71" s="94" t="s">
        <v>179</v>
      </c>
      <c r="H71" s="36" t="s">
        <v>4042</v>
      </c>
      <c r="I71" s="636"/>
      <c r="J71" s="633" t="str">
        <f>IF(ISBLANK(HLOOKUP(CaseName,CaseData,MATCH($G71,cases!$G$3:$G$2464,0),FALSE)),"",HLOOKUP(CaseName,CaseData,MATCH($G71,cases!$G$3:$G$2464,0),FALSE))</f>
        <v/>
      </c>
      <c r="K71" s="352">
        <f>(FRorig.s1*Ksw+(1-FRorig.s1)*Ksw.alt)*(1000/RHOsolid/CORG)*L72</f>
        <v>15.390758470509281</v>
      </c>
      <c r="L71" s="634">
        <f t="shared" si="3"/>
        <v>15.390758470509281</v>
      </c>
      <c r="M71" s="36" t="s">
        <v>1498</v>
      </c>
      <c r="N71" s="29"/>
      <c r="O71" s="36"/>
    </row>
    <row r="72" spans="1:15" ht="12.75" customHeight="1" x14ac:dyDescent="0.3">
      <c r="A72" s="36"/>
      <c r="B72" s="29"/>
      <c r="C72" s="36" t="s">
        <v>1374</v>
      </c>
      <c r="D72" s="29"/>
      <c r="E72" s="29"/>
      <c r="F72" s="29"/>
      <c r="G72" s="94" t="s">
        <v>957</v>
      </c>
      <c r="H72" s="36" t="s">
        <v>36</v>
      </c>
      <c r="I72" s="636"/>
      <c r="J72" s="633" t="str">
        <f>IF(ISBLANK(HLOOKUP(CaseName,CaseData,MATCH($G72,cases!$G$3:$G$2464,0),FALSE)),"",HLOOKUP(CaseName,CaseData,MATCH($G72,cases!$G$3:$G$2464,0),FALSE))</f>
        <v/>
      </c>
      <c r="K72" s="352">
        <v>0.02</v>
      </c>
      <c r="L72" s="634">
        <f t="shared" si="3"/>
        <v>0.02</v>
      </c>
      <c r="M72" s="29" t="s">
        <v>486</v>
      </c>
      <c r="N72" s="29"/>
      <c r="O72" s="36"/>
    </row>
    <row r="73" spans="1:15" ht="12.75" customHeight="1" x14ac:dyDescent="0.3">
      <c r="A73" s="29"/>
      <c r="B73" s="29"/>
      <c r="C73" s="29"/>
      <c r="D73" s="29"/>
      <c r="E73" s="29"/>
      <c r="F73" s="29"/>
      <c r="G73" s="29"/>
      <c r="H73" s="36"/>
      <c r="I73" s="643"/>
      <c r="J73" s="353"/>
      <c r="K73" s="353"/>
      <c r="L73" s="353"/>
      <c r="M73" s="29"/>
      <c r="N73" s="29"/>
      <c r="O73" s="36"/>
    </row>
    <row r="74" spans="1:15" ht="12.75" customHeight="1" x14ac:dyDescent="0.3">
      <c r="A74" s="98" t="s">
        <v>1311</v>
      </c>
      <c r="B74" s="97"/>
      <c r="C74" s="97"/>
      <c r="D74" s="97"/>
      <c r="E74" s="97"/>
      <c r="F74" s="97"/>
      <c r="G74" s="98" t="s">
        <v>1008</v>
      </c>
      <c r="H74" s="98" t="s">
        <v>968</v>
      </c>
      <c r="I74" s="364" t="s">
        <v>754</v>
      </c>
      <c r="J74" s="340" t="s">
        <v>37</v>
      </c>
      <c r="K74" s="340" t="s">
        <v>753</v>
      </c>
      <c r="L74" s="340" t="s">
        <v>1358</v>
      </c>
      <c r="M74" s="97"/>
      <c r="N74" s="98" t="s">
        <v>1371</v>
      </c>
      <c r="O74" s="36"/>
    </row>
    <row r="75" spans="1:15" ht="12.75" customHeight="1" x14ac:dyDescent="0.3">
      <c r="A75" s="29"/>
      <c r="B75" s="29"/>
      <c r="C75" s="29"/>
      <c r="D75" s="29"/>
      <c r="E75" s="29"/>
      <c r="F75" s="29"/>
      <c r="G75" s="29"/>
      <c r="H75" s="36"/>
      <c r="I75" s="643"/>
      <c r="J75" s="643"/>
      <c r="K75" s="353"/>
      <c r="L75" s="353"/>
      <c r="M75" s="29"/>
      <c r="N75" s="29"/>
      <c r="O75" s="36"/>
    </row>
    <row r="76" spans="1:15" ht="12.75" customHeight="1" x14ac:dyDescent="0.3">
      <c r="A76" s="36" t="s">
        <v>93</v>
      </c>
      <c r="B76" s="29"/>
      <c r="C76" s="29"/>
      <c r="D76" s="29"/>
      <c r="E76" s="29"/>
      <c r="F76" s="29"/>
      <c r="G76" s="36" t="s">
        <v>1251</v>
      </c>
      <c r="H76" s="36" t="s">
        <v>4036</v>
      </c>
      <c r="I76" s="635"/>
      <c r="J76" s="633" t="str">
        <f>IF(ISBLANK(HLOOKUP(CaseName,CaseData,MATCH($G76,cases!$G$3:$G$2464,0),FALSE)),"",HLOOKUP(CaseName,CaseData,MATCH($G76,cases!$G$3:$G$2464,0),FALSE))</f>
        <v/>
      </c>
      <c r="K76" s="352">
        <f>(L80+L92/L13)*L11</f>
        <v>2.864057732302815E-8</v>
      </c>
      <c r="L76" s="634">
        <f t="shared" ref="L76:L89" si="4">IF(ISBLANK(I76),IF(ISNUMBER(J76)=FALSE,K76,J76),I76)</f>
        <v>2.864057732302815E-8</v>
      </c>
      <c r="M76" s="29" t="s">
        <v>1488</v>
      </c>
      <c r="N76" s="29"/>
      <c r="O76" s="36"/>
    </row>
    <row r="77" spans="1:15" ht="12.75" customHeight="1" x14ac:dyDescent="0.3">
      <c r="A77" s="36" t="s">
        <v>94</v>
      </c>
      <c r="B77" s="29"/>
      <c r="C77" s="29"/>
      <c r="D77" s="29"/>
      <c r="E77" s="29"/>
      <c r="F77" s="29"/>
      <c r="G77" s="36" t="s">
        <v>841</v>
      </c>
      <c r="H77" s="36" t="s">
        <v>4036</v>
      </c>
      <c r="I77" s="635"/>
      <c r="J77" s="633" t="str">
        <f>IF(ISBLANK(HLOOKUP(CaseName,CaseData,MATCH($G77,cases!$G$3:$G$2464,0),FALSE)),"",HLOOKUP(CaseName,CaseData,MATCH($G77,cases!$G$3:$G$2464,0),FALSE))</f>
        <v/>
      </c>
      <c r="K77" s="352">
        <f>(L80+L93/L13)*L12</f>
        <v>6.8652030785573915E-10</v>
      </c>
      <c r="L77" s="634">
        <f t="shared" si="4"/>
        <v>6.8652030785573915E-10</v>
      </c>
      <c r="M77" s="29" t="s">
        <v>1488</v>
      </c>
      <c r="N77" s="29"/>
      <c r="O77" s="36"/>
    </row>
    <row r="78" spans="1:15" ht="12.75" customHeight="1" x14ac:dyDescent="0.3">
      <c r="A78" s="36" t="s">
        <v>95</v>
      </c>
      <c r="B78" s="29"/>
      <c r="C78" s="29"/>
      <c r="D78" s="29"/>
      <c r="E78" s="29"/>
      <c r="F78" s="29"/>
      <c r="G78" s="36" t="s">
        <v>1253</v>
      </c>
      <c r="H78" s="36" t="s">
        <v>4036</v>
      </c>
      <c r="I78" s="635"/>
      <c r="J78" s="633" t="str">
        <f>IF(ISBLANK(HLOOKUP(CaseName,CaseData,MATCH($G78,cases!$G$3:$G$2464,0),FALSE)),"",HLOOKUP(CaseName,CaseData,MATCH($G78,cases!$G$3:$G$2464,0),FALSE))</f>
        <v/>
      </c>
      <c r="K78" s="352">
        <f>L94/L14</f>
        <v>5.1216692794123989E-8</v>
      </c>
      <c r="L78" s="634">
        <f t="shared" si="4"/>
        <v>5.1216692794123989E-8</v>
      </c>
      <c r="M78" s="29" t="s">
        <v>1488</v>
      </c>
      <c r="N78" s="29"/>
      <c r="O78" s="36"/>
    </row>
    <row r="79" spans="1:15" ht="12.75" customHeight="1" x14ac:dyDescent="0.3">
      <c r="A79" s="36" t="s">
        <v>96</v>
      </c>
      <c r="B79" s="29"/>
      <c r="C79" s="29"/>
      <c r="D79" s="29"/>
      <c r="E79" s="29"/>
      <c r="F79" s="29"/>
      <c r="G79" s="36" t="s">
        <v>842</v>
      </c>
      <c r="H79" s="36" t="s">
        <v>4036</v>
      </c>
      <c r="I79" s="635"/>
      <c r="J79" s="633" t="str">
        <f>IF(ISBLANK(HLOOKUP(CaseName,CaseData,MATCH($G79,cases!$G$3:$G$2464,0),FALSE)),"",HLOOKUP(CaseName,CaseData,MATCH($G79,cases!$G$3:$G$2464,0),FALSE))</f>
        <v/>
      </c>
      <c r="K79" s="352">
        <f>L95/L17</f>
        <v>1.103232338463208E-7</v>
      </c>
      <c r="L79" s="634">
        <f t="shared" si="4"/>
        <v>1.103232338463208E-7</v>
      </c>
      <c r="M79" s="29" t="s">
        <v>1488</v>
      </c>
      <c r="N79" s="29"/>
      <c r="O79" s="36"/>
    </row>
    <row r="80" spans="1:15" ht="12.75" customHeight="1" x14ac:dyDescent="0.3">
      <c r="A80" s="36"/>
      <c r="B80" s="36" t="s">
        <v>2265</v>
      </c>
      <c r="C80" s="29"/>
      <c r="D80" s="29"/>
      <c r="E80" s="29"/>
      <c r="F80" s="29"/>
      <c r="G80" s="37" t="s">
        <v>2280</v>
      </c>
      <c r="H80" s="36" t="s">
        <v>4036</v>
      </c>
      <c r="I80" s="635"/>
      <c r="J80" s="633" t="str">
        <f>IF(ISBLANK(HLOOKUP(CaseName,CaseData,MATCH($G80,cases!$G$3:$G$2464,0),FALSE)),"",HLOOKUP(CaseName,CaseData,MATCH($G80,cases!$G$3:$G$2464,0),FALSE))</f>
        <v/>
      </c>
      <c r="K80" s="352">
        <f>L81- SUM((L92*L11+L93*L12)/L13,L129,L26,L27,L28)</f>
        <v>2.4721890582993666E-10</v>
      </c>
      <c r="L80" s="634">
        <f t="shared" si="4"/>
        <v>2.4721890582993666E-10</v>
      </c>
      <c r="M80" s="29" t="s">
        <v>1488</v>
      </c>
      <c r="N80" s="29"/>
      <c r="O80" s="36"/>
    </row>
    <row r="81" spans="1:15" ht="12.75" customHeight="1" x14ac:dyDescent="0.3">
      <c r="A81" s="36"/>
      <c r="B81" s="36"/>
      <c r="C81" s="29" t="s">
        <v>2266</v>
      </c>
      <c r="D81" s="29"/>
      <c r="E81" s="29"/>
      <c r="F81" s="29"/>
      <c r="G81" s="37" t="s">
        <v>2281</v>
      </c>
      <c r="H81" s="36" t="s">
        <v>4036</v>
      </c>
      <c r="I81" s="635"/>
      <c r="J81" s="633" t="str">
        <f>IF(ISBLANK(HLOOKUP(CaseName,CaseData,MATCH($G81,cases!$G$3:$G$2464,0),FALSE)),"",HLOOKUP(CaseName,CaseData,MATCH($G81,cases!$G$3:$G$2464,0),FALSE))</f>
        <v/>
      </c>
      <c r="K81" s="352">
        <f>((1/L82)*L84/(L84+L85)+(1/L83)*L85/(L84+L85)-((1/L83-1/L82)^2/(L84+L85))*(1-EXP(-L82*L84))*(1-EXP(-L83*L85))/(1-EXP(-L82*L84-L83*L85)))^-1</f>
        <v>1.4157700047202231E-6</v>
      </c>
      <c r="L81" s="634">
        <f t="shared" si="4"/>
        <v>1.4157700047202231E-6</v>
      </c>
      <c r="M81" s="29" t="s">
        <v>1488</v>
      </c>
      <c r="N81" s="29"/>
      <c r="O81" s="36"/>
    </row>
    <row r="82" spans="1:15" ht="12.75" customHeight="1" x14ac:dyDescent="0.3">
      <c r="A82" s="36"/>
      <c r="B82" s="36"/>
      <c r="C82" s="36"/>
      <c r="D82" s="36" t="s">
        <v>3976</v>
      </c>
      <c r="E82" s="29"/>
      <c r="F82" s="29"/>
      <c r="G82" s="37" t="s">
        <v>751</v>
      </c>
      <c r="H82" s="36" t="s">
        <v>4036</v>
      </c>
      <c r="I82" s="635"/>
      <c r="J82" s="633" t="str">
        <f>IF(ISBLANK(HLOOKUP(CaseName,CaseData,MATCH($G82,cases!$G$3:$G$2464,0),FALSE)),"",HLOOKUP(CaseName,CaseData,MATCH($G82,cases!$G$3:$G$2464,0),FALSE))</f>
        <v/>
      </c>
      <c r="K82" s="352">
        <f>L86/L13 + SUM((L92*L11+L93*L12)/L13,L129,L26,L27,L28)</f>
        <v>1.415522821120073E-6</v>
      </c>
      <c r="L82" s="634">
        <f t="shared" si="4"/>
        <v>1.415522821120073E-6</v>
      </c>
      <c r="M82" s="29" t="s">
        <v>1488</v>
      </c>
      <c r="N82" s="29"/>
      <c r="O82" s="36"/>
    </row>
    <row r="83" spans="1:15" ht="12.75" customHeight="1" x14ac:dyDescent="0.3">
      <c r="A83" s="36"/>
      <c r="B83" s="36"/>
      <c r="C83" s="36"/>
      <c r="D83" s="36" t="s">
        <v>3977</v>
      </c>
      <c r="E83" s="29"/>
      <c r="F83" s="29"/>
      <c r="G83" s="37" t="s">
        <v>752</v>
      </c>
      <c r="H83" s="36" t="s">
        <v>4036</v>
      </c>
      <c r="I83" s="635"/>
      <c r="J83" s="633" t="str">
        <f>IF(ISBLANK(HLOOKUP(CaseName,CaseData,MATCH($G83,cases!$G$3:$G$2464,0),FALSE)),"",HLOOKUP(CaseName,CaseData,MATCH($G83,cases!$G$3:$G$2464,0),FALSE))</f>
        <v/>
      </c>
      <c r="K83" s="352">
        <f>(L87+L88)/L13 + SUM((L92*L11+L93*L12)/L13,L129,L26,L27,L28)</f>
        <v>1.4196425575228845E-6</v>
      </c>
      <c r="L83" s="634">
        <f t="shared" si="4"/>
        <v>1.4196425575228845E-6</v>
      </c>
      <c r="M83" s="29" t="s">
        <v>1488</v>
      </c>
      <c r="N83" s="29"/>
      <c r="O83" s="36"/>
    </row>
    <row r="84" spans="1:15" ht="12.75" customHeight="1" x14ac:dyDescent="0.3">
      <c r="A84" s="36"/>
      <c r="B84" s="29" t="s">
        <v>929</v>
      </c>
      <c r="C84" s="29"/>
      <c r="D84" s="29"/>
      <c r="E84" s="29"/>
      <c r="F84" s="29"/>
      <c r="G84" s="29" t="s">
        <v>755</v>
      </c>
      <c r="H84" s="29" t="s">
        <v>2191</v>
      </c>
      <c r="I84" s="635"/>
      <c r="J84" s="633" t="str">
        <f>IF(ISBLANK(HLOOKUP(CaseName,CaseData,MATCH($G84,cases!$G$3:$G$2464,0),FALSE)),"",HLOOKUP(CaseName,CaseData,MATCH($G84,cases!$G$3:$G$2464,0),FALSE))</f>
        <v/>
      </c>
      <c r="K84" s="352">
        <f>3.3*24</f>
        <v>79.199999999999989</v>
      </c>
      <c r="L84" s="648">
        <f>IF(ISBLANK(I84),IF(ISNUMBER(J84)=FALSE,K84*3600,J84*3600),I84*3600)</f>
        <v>285119.99999999994</v>
      </c>
      <c r="M84" s="29" t="s">
        <v>1488</v>
      </c>
      <c r="N84" s="29"/>
      <c r="O84" s="36"/>
    </row>
    <row r="85" spans="1:15" ht="12.75" customHeight="1" x14ac:dyDescent="0.3">
      <c r="A85" s="36"/>
      <c r="B85" s="29" t="s">
        <v>931</v>
      </c>
      <c r="C85" s="29"/>
      <c r="D85" s="29"/>
      <c r="E85" s="29"/>
      <c r="F85" s="29"/>
      <c r="G85" s="29" t="s">
        <v>756</v>
      </c>
      <c r="H85" s="29" t="s">
        <v>2191</v>
      </c>
      <c r="I85" s="635"/>
      <c r="J85" s="633" t="str">
        <f>IF(ISBLANK(HLOOKUP(CaseName,CaseData,MATCH($G85,cases!$G$3:$G$2464,0),FALSE)),"",HLOOKUP(CaseName,CaseData,MATCH($G85,cases!$G$3:$G$2464,0),FALSE))</f>
        <v/>
      </c>
      <c r="K85" s="352">
        <f>3.3*24*(0.06/(1-0.06))</f>
        <v>5.0553191489361691</v>
      </c>
      <c r="L85" s="648">
        <f>IF(ISBLANK(I85),IF(ISNUMBER(J85)=FALSE,K85*3600,J85*3600),I85*3600)</f>
        <v>18199.148936170208</v>
      </c>
      <c r="M85" s="29" t="s">
        <v>1488</v>
      </c>
      <c r="N85" s="29"/>
      <c r="O85" s="36"/>
    </row>
    <row r="86" spans="1:15" ht="12.75" customHeight="1" x14ac:dyDescent="0.3">
      <c r="A86" s="36"/>
      <c r="B86" s="36" t="s">
        <v>493</v>
      </c>
      <c r="C86" s="29"/>
      <c r="D86" s="29"/>
      <c r="E86" s="29"/>
      <c r="F86" s="29"/>
      <c r="G86" s="94" t="s">
        <v>959</v>
      </c>
      <c r="H86" s="30" t="s">
        <v>4044</v>
      </c>
      <c r="I86" s="636"/>
      <c r="J86" s="633" t="str">
        <f>IF(ISBLANK(HLOOKUP(CaseName,CaseData,MATCH($G86,cases!$G$3:$G$2464,0),FALSE)),"",HLOOKUP(CaseName,CaseData,MATCH($G86,cases!$G$3:$G$2464,0),FALSE))</f>
        <v/>
      </c>
      <c r="K86" s="352">
        <f>L89*(L47+L48)</f>
        <v>3.5305679851056702E-11</v>
      </c>
      <c r="L86" s="634">
        <f t="shared" si="4"/>
        <v>3.5305679851056702E-11</v>
      </c>
      <c r="M86" s="29" t="s">
        <v>1490</v>
      </c>
      <c r="N86" s="29"/>
      <c r="O86" s="36"/>
    </row>
    <row r="87" spans="1:15" ht="12.75" customHeight="1" x14ac:dyDescent="0.3">
      <c r="A87" s="36"/>
      <c r="B87" s="36" t="s">
        <v>745</v>
      </c>
      <c r="C87" s="29"/>
      <c r="D87" s="29"/>
      <c r="E87" s="29"/>
      <c r="F87" s="29"/>
      <c r="G87" s="37" t="s">
        <v>547</v>
      </c>
      <c r="H87" s="95" t="s">
        <v>4044</v>
      </c>
      <c r="I87" s="636"/>
      <c r="J87" s="633" t="str">
        <f>IF(ISBLANK(HLOOKUP(CaseName,CaseData,MATCH($G87,cases!$G$3:$G$2464,0),FALSE)),"",HLOOKUP(CaseName,CaseData,MATCH($G87,cases!$G$3:$G$2464,0),FALSE))</f>
        <v/>
      </c>
      <c r="K87" s="352">
        <f>L48*(L84+L85)/L85*L90*L91</f>
        <v>2.595781412110609E-9</v>
      </c>
      <c r="L87" s="634">
        <f t="shared" si="4"/>
        <v>2.595781412110609E-9</v>
      </c>
      <c r="M87" s="29" t="s">
        <v>1490</v>
      </c>
      <c r="N87" s="29"/>
      <c r="O87" s="36"/>
    </row>
    <row r="88" spans="1:15" ht="12.75" customHeight="1" x14ac:dyDescent="0.3">
      <c r="A88" s="36"/>
      <c r="B88" s="36" t="s">
        <v>746</v>
      </c>
      <c r="C88" s="29"/>
      <c r="D88" s="29"/>
      <c r="E88" s="29"/>
      <c r="F88" s="29"/>
      <c r="G88" s="37" t="s">
        <v>548</v>
      </c>
      <c r="H88" s="95" t="s">
        <v>4044</v>
      </c>
      <c r="I88" s="636"/>
      <c r="J88" s="633" t="str">
        <f>IF(ISBLANK(HLOOKUP(CaseName,CaseData,MATCH($G88,cases!$G$3:$G$2464,0),FALSE)),"",HLOOKUP(CaseName,CaseData,MATCH($G88,cases!$G$3:$G$2464,0),FALSE))</f>
        <v/>
      </c>
      <c r="K88" s="352">
        <f>L46*(L84+L85)/L85*L90/(L49*FRorig.aerw)</f>
        <v>4.1171759270791855E-6</v>
      </c>
      <c r="L88" s="634">
        <f t="shared" si="4"/>
        <v>4.1171759270791855E-6</v>
      </c>
      <c r="M88" s="29" t="s">
        <v>1490</v>
      </c>
      <c r="N88" s="29"/>
      <c r="O88" s="36"/>
    </row>
    <row r="89" spans="1:15" ht="12.75" customHeight="1" x14ac:dyDescent="0.3">
      <c r="A89" s="36"/>
      <c r="B89" s="29"/>
      <c r="C89" s="95" t="s">
        <v>747</v>
      </c>
      <c r="D89" s="95"/>
      <c r="E89" s="95"/>
      <c r="F89" s="95"/>
      <c r="G89" s="94" t="s">
        <v>960</v>
      </c>
      <c r="H89" s="30" t="s">
        <v>4044</v>
      </c>
      <c r="I89" s="636"/>
      <c r="J89" s="633" t="str">
        <f>IF(ISBLANK(HLOOKUP(CaseName,CaseData,MATCH($G89,cases!$G$3:$G$2464,0),FALSE)),"",HLOOKUP(CaseName,CaseData,MATCH($G89,cases!$G$3:$G$2464,0),FALSE))</f>
        <v/>
      </c>
      <c r="K89" s="352">
        <v>1E-3</v>
      </c>
      <c r="L89" s="634">
        <f t="shared" si="4"/>
        <v>1E-3</v>
      </c>
      <c r="M89" s="29" t="s">
        <v>1490</v>
      </c>
      <c r="N89" s="29"/>
      <c r="O89" s="36"/>
    </row>
    <row r="90" spans="1:15" ht="12.75" customHeight="1" x14ac:dyDescent="0.3">
      <c r="A90" s="36"/>
      <c r="B90" s="29"/>
      <c r="C90" s="36" t="s">
        <v>748</v>
      </c>
      <c r="D90" s="95"/>
      <c r="E90" s="95"/>
      <c r="F90" s="95"/>
      <c r="G90" s="94" t="s">
        <v>961</v>
      </c>
      <c r="H90" s="95" t="s">
        <v>4052</v>
      </c>
      <c r="I90" s="637"/>
      <c r="J90" s="633" t="str">
        <f>IF(ISBLANK(HLOOKUP(CaseName,CaseData,MATCH($G90,cases!$G$3:$G$2464,0),FALSE)),"",HLOOKUP(CaseName,CaseData,MATCH($G90,cases!$G$3:$G$2464,0),FALSE))</f>
        <v/>
      </c>
      <c r="K90" s="352">
        <v>700</v>
      </c>
      <c r="L90" s="634">
        <f>IF(ISBLANK(I90),IF(ISNUMBER(J90)=FALSE,K90/(1000*3600*24*365),J90/(1000*3600*24*365)),I90/(1000*3600*24*365))</f>
        <v>2.219685438863521E-8</v>
      </c>
      <c r="M90" s="29" t="s">
        <v>1490</v>
      </c>
      <c r="N90" s="29"/>
      <c r="O90" s="36"/>
    </row>
    <row r="91" spans="1:15" ht="12.75" customHeight="1" x14ac:dyDescent="0.3">
      <c r="A91" s="36"/>
      <c r="B91" s="29"/>
      <c r="C91" s="36" t="s">
        <v>444</v>
      </c>
      <c r="D91" s="29"/>
      <c r="E91" s="29"/>
      <c r="F91" s="29"/>
      <c r="G91" s="94" t="s">
        <v>962</v>
      </c>
      <c r="H91" s="36" t="s">
        <v>36</v>
      </c>
      <c r="I91" s="636"/>
      <c r="J91" s="633" t="str">
        <f>IF(ISBLANK(HLOOKUP(CaseName,CaseData,MATCH($G91,cases!$G$3:$G$2464,0),FALSE)),"",HLOOKUP(CaseName,CaseData,MATCH($G91,cases!$G$3:$G$2464,0),FALSE))</f>
        <v/>
      </c>
      <c r="K91" s="352">
        <v>200000</v>
      </c>
      <c r="L91" s="634">
        <f t="shared" ref="L91:L101" si="5">IF(ISBLANK(I91),IF(ISNUMBER(J91)=FALSE,K91,J91),I91)</f>
        <v>200000</v>
      </c>
      <c r="M91" s="36" t="s">
        <v>486</v>
      </c>
      <c r="N91" s="29"/>
      <c r="O91" s="36"/>
    </row>
    <row r="92" spans="1:15" ht="12.75" customHeight="1" x14ac:dyDescent="0.3">
      <c r="A92" s="36"/>
      <c r="B92" s="36" t="s">
        <v>2217</v>
      </c>
      <c r="C92" s="29"/>
      <c r="D92" s="29"/>
      <c r="E92" s="95"/>
      <c r="F92" s="95"/>
      <c r="G92" s="37" t="s">
        <v>2267</v>
      </c>
      <c r="H92" s="36" t="s">
        <v>4045</v>
      </c>
      <c r="I92" s="636"/>
      <c r="J92" s="633" t="str">
        <f>IF(ISBLANK(HLOOKUP(CaseName,CaseData,MATCH($G92,cases!$G$3:$G$2464,0),FALSE)),"",HLOOKUP(CaseName,CaseData,MATCH($G92,cases!$G$3:$G$2464,0),FALSE))</f>
        <v/>
      </c>
      <c r="K92" s="352">
        <f>L46*(L96*L97/(L96*(L49*FRorig.w2)+L97))</f>
        <v>5.703393574022636E-5</v>
      </c>
      <c r="L92" s="634">
        <f t="shared" si="5"/>
        <v>5.703393574022636E-5</v>
      </c>
      <c r="M92" s="36" t="s">
        <v>4046</v>
      </c>
      <c r="N92" s="29"/>
      <c r="O92" s="36"/>
    </row>
    <row r="93" spans="1:15" ht="12.75" customHeight="1" x14ac:dyDescent="0.3">
      <c r="A93" s="36"/>
      <c r="B93" s="36" t="s">
        <v>2218</v>
      </c>
      <c r="C93" s="29"/>
      <c r="D93" s="29"/>
      <c r="E93" s="95"/>
      <c r="F93" s="95"/>
      <c r="G93" s="37" t="s">
        <v>2268</v>
      </c>
      <c r="H93" s="36" t="s">
        <v>4045</v>
      </c>
      <c r="I93" s="636"/>
      <c r="J93" s="633" t="str">
        <f>IF(ISBLANK(HLOOKUP(CaseName,CaseData,MATCH($G93,cases!$G$3:$G$2464,0),FALSE)),"",HLOOKUP(CaseName,CaseData,MATCH($G93,cases!$G$3:$G$2464,0),FALSE))</f>
        <v/>
      </c>
      <c r="K93" s="352">
        <f>L46*(L99*L100)/(L99*((L49*FRorig.s1w)/L68)+L100)</f>
        <v>1.1258217098815417E-6</v>
      </c>
      <c r="L93" s="634">
        <f>IF(ISBLANK(I93),IF(ISNUMBER(J93)=FALSE,K93,J93),I93)</f>
        <v>1.1258217098815417E-6</v>
      </c>
      <c r="M93" s="36" t="s">
        <v>4046</v>
      </c>
      <c r="N93" s="29"/>
      <c r="O93" s="36"/>
    </row>
    <row r="94" spans="1:15" ht="12.75" customHeight="1" x14ac:dyDescent="0.3">
      <c r="A94" s="36"/>
      <c r="B94" s="36" t="s">
        <v>2269</v>
      </c>
      <c r="C94" s="29"/>
      <c r="D94" s="29"/>
      <c r="E94" s="29"/>
      <c r="F94" s="29"/>
      <c r="G94" s="37" t="s">
        <v>2270</v>
      </c>
      <c r="H94" s="36" t="s">
        <v>4045</v>
      </c>
      <c r="I94" s="636"/>
      <c r="J94" s="633" t="str">
        <f>IF(ISBLANK(HLOOKUP(CaseName,CaseData,MATCH($G94,cases!$G$3:$G$2464,0),FALSE)),"",HLOOKUP(CaseName,CaseData,MATCH($G94,cases!$G$3:$G$2464,0),FALSE))</f>
        <v/>
      </c>
      <c r="K94" s="352">
        <f>(L96*L97/(L96*(L49*FRorig.w2)+L97))*(L49*FRorig.w2)*L53</f>
        <v>5.1216692794123988E-6</v>
      </c>
      <c r="L94" s="634">
        <f>IF(ISBLANK(I94),IF(ISNUMBER(J94)=FALSE,K94,J94),I94)</f>
        <v>5.1216692794123988E-6</v>
      </c>
      <c r="M94" s="36" t="s">
        <v>4046</v>
      </c>
      <c r="N94" s="29"/>
      <c r="O94" s="36"/>
    </row>
    <row r="95" spans="1:15" ht="12.75" customHeight="1" x14ac:dyDescent="0.3">
      <c r="A95" s="36"/>
      <c r="B95" s="36" t="s">
        <v>2271</v>
      </c>
      <c r="C95" s="29"/>
      <c r="D95" s="29"/>
      <c r="E95" s="95"/>
      <c r="F95" s="95"/>
      <c r="G95" s="37" t="s">
        <v>2287</v>
      </c>
      <c r="H95" s="36" t="s">
        <v>4045</v>
      </c>
      <c r="I95" s="636"/>
      <c r="J95" s="633" t="str">
        <f>IF(ISBLANK(HLOOKUP(CaseName,CaseData,MATCH($G95,cases!$G$3:$G$2464,0),FALSE)),"",HLOOKUP(CaseName,CaseData,MATCH($G95,cases!$G$3:$G$2464,0),FALSE))</f>
        <v/>
      </c>
      <c r="K95" s="352">
        <f>(L99*L100)/(L99+L100/((L49*FRorig.s1w)/L68))*L101</f>
        <v>5.5161616923160404E-9</v>
      </c>
      <c r="L95" s="634">
        <f>IF(ISBLANK(I95),IF(ISNUMBER(J95)=FALSE,K95,J95),I95)</f>
        <v>5.5161616923160404E-9</v>
      </c>
      <c r="M95" s="36" t="s">
        <v>4046</v>
      </c>
      <c r="N95" s="29"/>
      <c r="O95" s="36"/>
    </row>
    <row r="96" spans="1:15" ht="12.75" customHeight="1" x14ac:dyDescent="0.3">
      <c r="A96" s="36"/>
      <c r="B96" s="36"/>
      <c r="C96" s="29" t="s">
        <v>1077</v>
      </c>
      <c r="D96" s="29"/>
      <c r="E96" s="29"/>
      <c r="F96" s="29"/>
      <c r="G96" s="29" t="s">
        <v>4008</v>
      </c>
      <c r="H96" s="30" t="s">
        <v>4044</v>
      </c>
      <c r="I96" s="636"/>
      <c r="J96" s="633" t="str">
        <f>IF(ISBLANK(HLOOKUP(CaseName,CaseData,MATCH($G96,cases!$G$3:$G$2464,0),FALSE)),"",HLOOKUP(CaseName,CaseData,MATCH($G96,cases!$G$3:$G$2464,0),FALSE))</f>
        <v/>
      </c>
      <c r="K96" s="352">
        <f>0.01*(0.3+0.2*L98)*((0.018/Molweight)^(0.67*0.5))</f>
        <v>4.4535618852450994E-3</v>
      </c>
      <c r="L96" s="634">
        <f t="shared" si="5"/>
        <v>4.4535618852450994E-3</v>
      </c>
      <c r="M96" s="29" t="s">
        <v>1490</v>
      </c>
      <c r="N96" s="29"/>
      <c r="O96" s="36"/>
    </row>
    <row r="97" spans="1:15" ht="12.75" customHeight="1" x14ac:dyDescent="0.3">
      <c r="A97" s="36"/>
      <c r="B97" s="36"/>
      <c r="C97" s="29" t="s">
        <v>1048</v>
      </c>
      <c r="D97" s="29"/>
      <c r="E97" s="29"/>
      <c r="F97" s="29"/>
      <c r="G97" s="29" t="s">
        <v>4009</v>
      </c>
      <c r="H97" s="30" t="s">
        <v>4044</v>
      </c>
      <c r="I97" s="636"/>
      <c r="J97" s="633" t="str">
        <f>IF(ISBLANK(HLOOKUP(CaseName,CaseData,MATCH($G97,cases!$G$3:$G$2464,0),FALSE)),"",HLOOKUP(CaseName,CaseData,MATCH($G97,cases!$G$3:$G$2464,0),FALSE))</f>
        <v/>
      </c>
      <c r="K97" s="352">
        <f>0.01*(0.0004+0.00004*L98^2)*((0.032/Molweight)^(0.5*0.5))</f>
        <v>5.191247717588049E-6</v>
      </c>
      <c r="L97" s="634">
        <f t="shared" si="5"/>
        <v>5.191247717588049E-6</v>
      </c>
      <c r="M97" s="29" t="s">
        <v>1490</v>
      </c>
      <c r="N97" s="29"/>
      <c r="O97" s="36"/>
    </row>
    <row r="98" spans="1:15" ht="12.75" customHeight="1" x14ac:dyDescent="0.3">
      <c r="A98" s="36"/>
      <c r="B98" s="36"/>
      <c r="C98" s="29"/>
      <c r="D98" s="95" t="s">
        <v>705</v>
      </c>
      <c r="E98" s="29"/>
      <c r="F98" s="29"/>
      <c r="G98" s="37" t="s">
        <v>567</v>
      </c>
      <c r="H98" s="30" t="s">
        <v>4044</v>
      </c>
      <c r="I98" s="636"/>
      <c r="J98" s="633" t="str">
        <f>IF(ISBLANK(HLOOKUP(CaseName,CaseData,MATCH($G98,cases!$G$3:$G$2464,0),FALSE)),"",HLOOKUP(CaseName,CaseData,MATCH($G98,cases!$G$3:$G$2464,0),FALSE))</f>
        <v/>
      </c>
      <c r="K98" s="352">
        <v>3</v>
      </c>
      <c r="L98" s="634">
        <f t="shared" si="5"/>
        <v>3</v>
      </c>
      <c r="M98" s="29" t="s">
        <v>1490</v>
      </c>
      <c r="N98" s="29"/>
      <c r="O98" s="36"/>
    </row>
    <row r="99" spans="1:15" ht="12.75" customHeight="1" x14ac:dyDescent="0.3">
      <c r="A99" s="36"/>
      <c r="B99" s="36"/>
      <c r="C99" s="29" t="s">
        <v>1049</v>
      </c>
      <c r="D99" s="29"/>
      <c r="E99" s="95"/>
      <c r="F99" s="95"/>
      <c r="G99" s="29" t="s">
        <v>4010</v>
      </c>
      <c r="H99" s="30" t="s">
        <v>4044</v>
      </c>
      <c r="I99" s="636"/>
      <c r="J99" s="633" t="str">
        <f>IF(ISBLANK(HLOOKUP(CaseName,CaseData,MATCH($G99,cases!$G$3:$G$2464,0),FALSE)),"",HLOOKUP(CaseName,CaseData,MATCH($G99,cases!$G$3:$G$2464,0),FALSE))</f>
        <v/>
      </c>
      <c r="K99" s="352">
        <f>0.43/(24*3600)/0.00475</f>
        <v>1.0477582846003899E-3</v>
      </c>
      <c r="L99" s="634">
        <f>IF(ISBLANK(I99),IF(ISNUMBER(J99)=FALSE,K99,J99),I99)</f>
        <v>1.0477582846003899E-3</v>
      </c>
      <c r="M99" s="29" t="s">
        <v>1490</v>
      </c>
      <c r="N99" s="29"/>
      <c r="O99" s="36"/>
    </row>
    <row r="100" spans="1:15" ht="12.75" customHeight="1" x14ac:dyDescent="0.3">
      <c r="A100" s="36"/>
      <c r="B100" s="36"/>
      <c r="C100" s="29" t="s">
        <v>872</v>
      </c>
      <c r="D100" s="29"/>
      <c r="E100" s="29"/>
      <c r="F100" s="95"/>
      <c r="G100" s="29" t="s">
        <v>4011</v>
      </c>
      <c r="H100" s="95" t="s">
        <v>4044</v>
      </c>
      <c r="I100" s="636"/>
      <c r="J100" s="633" t="str">
        <f>IF(ISBLANK(HLOOKUP(CaseName,CaseData,MATCH($G100,cases!$G$3:$G$2464,0),FALSE)),"",HLOOKUP(CaseName,CaseData,MATCH($G100,cases!$G$3:$G$2464,0),FALSE))</f>
        <v/>
      </c>
      <c r="K100" s="352">
        <f>0.1*L138</f>
        <v>4.3455503205058606E-9</v>
      </c>
      <c r="L100" s="634">
        <f>IF(ISBLANK(I100),IF(ISNUMBER(J100)=FALSE,K100,J100),I100)</f>
        <v>4.3455503205058606E-9</v>
      </c>
      <c r="M100" s="29" t="s">
        <v>1490</v>
      </c>
      <c r="N100" s="29" t="s">
        <v>1415</v>
      </c>
      <c r="O100" s="36"/>
    </row>
    <row r="101" spans="1:15" ht="12.75" customHeight="1" x14ac:dyDescent="0.3">
      <c r="A101" s="36"/>
      <c r="B101" s="36"/>
      <c r="C101" s="29" t="s">
        <v>185</v>
      </c>
      <c r="D101" s="29"/>
      <c r="E101" s="95"/>
      <c r="F101" s="95"/>
      <c r="G101" s="37" t="s">
        <v>914</v>
      </c>
      <c r="H101" s="29" t="s">
        <v>36</v>
      </c>
      <c r="I101" s="637"/>
      <c r="J101" s="633" t="str">
        <f>IF(ISBLANK(HLOOKUP(CaseName,CaseData,MATCH($G101,cases!$G$3:$G$2464,0),FALSE)),"",HLOOKUP(CaseName,CaseData,MATCH($G101,cases!$G$3:$G$2464,0),FALSE))</f>
        <v/>
      </c>
      <c r="K101" s="352">
        <f>(EXP((-1/0.1)*0)*(1/0.1)*L17/(1-EXP((-1/0.1)*L17)))</f>
        <v>1.2707470412683992</v>
      </c>
      <c r="L101" s="634">
        <f t="shared" si="5"/>
        <v>1.2707470412683992</v>
      </c>
      <c r="M101" s="36" t="s">
        <v>486</v>
      </c>
      <c r="N101" s="29" t="s">
        <v>995</v>
      </c>
      <c r="O101" s="36"/>
    </row>
    <row r="102" spans="1:15" ht="12.75" customHeight="1" x14ac:dyDescent="0.3">
      <c r="A102" s="29"/>
      <c r="B102" s="29"/>
      <c r="C102" s="29"/>
      <c r="D102" s="29"/>
      <c r="E102" s="29"/>
      <c r="F102" s="29"/>
      <c r="G102" s="29"/>
      <c r="H102" s="29"/>
      <c r="I102" s="646"/>
      <c r="J102" s="633"/>
      <c r="K102" s="339"/>
      <c r="L102" s="339"/>
      <c r="M102" s="29"/>
      <c r="N102" s="29"/>
      <c r="O102" s="36"/>
    </row>
    <row r="103" spans="1:15" ht="12.75" customHeight="1" x14ac:dyDescent="0.3">
      <c r="A103" s="36" t="s">
        <v>97</v>
      </c>
      <c r="B103" s="29"/>
      <c r="C103" s="29"/>
      <c r="D103" s="29"/>
      <c r="E103" s="29"/>
      <c r="F103" s="29"/>
      <c r="G103" s="37" t="s">
        <v>147</v>
      </c>
      <c r="H103" s="36" t="s">
        <v>4036</v>
      </c>
      <c r="I103" s="637"/>
      <c r="J103" s="633" t="str">
        <f>IF(ISBLANK(HLOOKUP(CaseName,CaseData,MATCH($G103,cases!$G$3:$G$2464,0),FALSE)),"",HLOOKUP(CaseName,CaseData,MATCH($G103,cases!$G$3:$G$2464,0),FALSE))</f>
        <v/>
      </c>
      <c r="K103" s="352">
        <f>(L105+L111)/L15</f>
        <v>1.4992283931314811E-11</v>
      </c>
      <c r="L103" s="634">
        <f t="shared" ref="L103:L109" si="6">IF(ISBLANK(I103),IF(ISNUMBER(J103)=FALSE,K103,J103),I103)</f>
        <v>1.4992283931314811E-11</v>
      </c>
      <c r="M103" s="29" t="s">
        <v>1488</v>
      </c>
      <c r="N103" s="29"/>
      <c r="O103" s="36"/>
    </row>
    <row r="104" spans="1:15" ht="12.75" customHeight="1" x14ac:dyDescent="0.3">
      <c r="A104" s="36" t="s">
        <v>98</v>
      </c>
      <c r="B104" s="29"/>
      <c r="C104" s="29"/>
      <c r="D104" s="29"/>
      <c r="E104" s="29"/>
      <c r="F104" s="29"/>
      <c r="G104" s="37" t="s">
        <v>148</v>
      </c>
      <c r="H104" s="36" t="s">
        <v>4036</v>
      </c>
      <c r="I104" s="637"/>
      <c r="J104" s="633" t="str">
        <f>IF(ISBLANK(HLOOKUP(CaseName,CaseData,MATCH($G104,cases!$G$3:$G$2464,0),FALSE)),"",HLOOKUP(CaseName,CaseData,MATCH($G104,cases!$G$3:$G$2464,0),FALSE))</f>
        <v/>
      </c>
      <c r="K104" s="352">
        <f>(L106+L112)/L16</f>
        <v>5.5395704977969484E-8</v>
      </c>
      <c r="L104" s="634">
        <f t="shared" si="6"/>
        <v>5.5395704977969484E-8</v>
      </c>
      <c r="M104" s="29" t="s">
        <v>1488</v>
      </c>
      <c r="N104" s="29"/>
      <c r="O104" s="36"/>
    </row>
    <row r="105" spans="1:15" ht="12.75" customHeight="1" x14ac:dyDescent="0.3">
      <c r="A105" s="36"/>
      <c r="B105" s="36" t="s">
        <v>2272</v>
      </c>
      <c r="C105" s="29"/>
      <c r="D105" s="29"/>
      <c r="E105" s="29"/>
      <c r="F105" s="29"/>
      <c r="G105" s="37" t="s">
        <v>2276</v>
      </c>
      <c r="H105" s="36" t="s">
        <v>4045</v>
      </c>
      <c r="I105" s="637"/>
      <c r="J105" s="633" t="str">
        <f>IF(ISBLANK(HLOOKUP(CaseName,CaseData,MATCH($G105,cases!$G$3:$G$2464,0),FALSE)),"",HLOOKUP(CaseName,CaseData,MATCH($G105,cases!$G$3:$G$2464,0),FALSE))</f>
        <v/>
      </c>
      <c r="K105" s="352">
        <f>L108*(1-L54)</f>
        <v>1.7488525385517546E-8</v>
      </c>
      <c r="L105" s="634">
        <f t="shared" si="6"/>
        <v>1.7488525385517546E-8</v>
      </c>
      <c r="M105" s="36" t="s">
        <v>4046</v>
      </c>
      <c r="N105" s="325"/>
      <c r="O105" s="36"/>
    </row>
    <row r="106" spans="1:15" ht="12.75" customHeight="1" x14ac:dyDescent="0.3">
      <c r="A106" s="36"/>
      <c r="B106" s="36" t="s">
        <v>2273</v>
      </c>
      <c r="C106" s="29"/>
      <c r="D106" s="29"/>
      <c r="E106" s="29"/>
      <c r="F106" s="29"/>
      <c r="G106" s="37" t="s">
        <v>2277</v>
      </c>
      <c r="H106" s="36" t="s">
        <v>4045</v>
      </c>
      <c r="I106" s="637"/>
      <c r="J106" s="633" t="str">
        <f>IF(ISBLANK(HLOOKUP(CaseName,CaseData,MATCH($G106,cases!$G$3:$G$2464,0),FALSE)),"",HLOOKUP(CaseName,CaseData,MATCH($G106,cases!$G$3:$G$2464,0),FALSE))</f>
        <v/>
      </c>
      <c r="K106" s="352">
        <f>L107-L109</f>
        <v>2.8926233382241219E-10</v>
      </c>
      <c r="L106" s="634">
        <f t="shared" si="6"/>
        <v>2.8926233382241219E-10</v>
      </c>
      <c r="M106" s="36" t="s">
        <v>4046</v>
      </c>
      <c r="N106" s="29"/>
      <c r="O106" s="36"/>
    </row>
    <row r="107" spans="1:15" ht="12.75" customHeight="1" x14ac:dyDescent="0.3">
      <c r="A107" s="36"/>
      <c r="B107" s="36"/>
      <c r="C107" s="36" t="s">
        <v>1228</v>
      </c>
      <c r="D107" s="36"/>
      <c r="E107" s="29"/>
      <c r="F107" s="29"/>
      <c r="G107" s="94" t="s">
        <v>154</v>
      </c>
      <c r="H107" s="30" t="s">
        <v>4044</v>
      </c>
      <c r="I107" s="637"/>
      <c r="J107" s="633" t="str">
        <f>IF(ISBLANK(HLOOKUP(CaseName,CaseData,MATCH($G107,cases!$G$3:$G$2464,0),FALSE)),"",HLOOKUP(CaseName,CaseData,MATCH($G107,cases!$G$3:$G$2464,0),FALSE))</f>
        <v/>
      </c>
      <c r="K107" s="352">
        <f>IF(L108*L60/(L24*RHOsolid)&gt;L109,L108*L60/(L24*RHOsolid),L109)</f>
        <v>2.893518518518519E-10</v>
      </c>
      <c r="L107" s="634">
        <f t="shared" si="6"/>
        <v>2.893518518518519E-10</v>
      </c>
      <c r="M107" s="29" t="s">
        <v>1490</v>
      </c>
      <c r="N107" s="29"/>
      <c r="O107" s="36"/>
    </row>
    <row r="108" spans="1:15" ht="12.75" customHeight="1" x14ac:dyDescent="0.3">
      <c r="A108" s="36"/>
      <c r="B108" s="36"/>
      <c r="C108" s="29"/>
      <c r="D108" s="36" t="s">
        <v>582</v>
      </c>
      <c r="E108" s="95"/>
      <c r="F108" s="95"/>
      <c r="G108" s="94" t="s">
        <v>200</v>
      </c>
      <c r="H108" s="30" t="s">
        <v>4044</v>
      </c>
      <c r="I108" s="637"/>
      <c r="J108" s="633" t="str">
        <f>IF(ISBLANK(HLOOKUP(CaseName,CaseData,MATCH($G108,cases!$G$3:$G$2464,0),FALSE)),"",HLOOKUP(CaseName,CaseData,MATCH($G108,cases!$G$3:$G$2464,0),FALSE))</f>
        <v/>
      </c>
      <c r="K108" s="352">
        <f>2.5/(24*3600)</f>
        <v>2.8935185185185186E-5</v>
      </c>
      <c r="L108" s="634">
        <f t="shared" si="6"/>
        <v>2.8935185185185186E-5</v>
      </c>
      <c r="M108" s="29" t="s">
        <v>1490</v>
      </c>
      <c r="N108" s="29"/>
      <c r="O108" s="36"/>
    </row>
    <row r="109" spans="1:15" ht="12.75" customHeight="1" x14ac:dyDescent="0.3">
      <c r="A109" s="36"/>
      <c r="B109" s="36"/>
      <c r="C109" s="29"/>
      <c r="D109" s="36" t="s">
        <v>565</v>
      </c>
      <c r="E109" s="95"/>
      <c r="F109" s="95"/>
      <c r="G109" s="94" t="s">
        <v>202</v>
      </c>
      <c r="H109" s="30" t="s">
        <v>4044</v>
      </c>
      <c r="I109" s="637"/>
      <c r="J109" s="633" t="str">
        <f>IF(ISBLANK(HLOOKUP(CaseName,CaseData,MATCH($G109,cases!$G$3:$G$2464,0),FALSE)),"",HLOOKUP(CaseName,CaseData,MATCH($G109,cases!$G$3:$G$2464,0),FALSE))</f>
        <v/>
      </c>
      <c r="K109" s="352">
        <v>8.9518029439684741E-14</v>
      </c>
      <c r="L109" s="634">
        <f t="shared" si="6"/>
        <v>8.9518029439684741E-14</v>
      </c>
      <c r="M109" s="29" t="s">
        <v>1490</v>
      </c>
      <c r="N109" s="29" t="s">
        <v>923</v>
      </c>
      <c r="O109" s="36"/>
    </row>
    <row r="110" spans="1:15" ht="12.75" customHeight="1" x14ac:dyDescent="0.3">
      <c r="A110" s="36"/>
      <c r="B110" s="36"/>
      <c r="C110" s="36"/>
      <c r="D110" s="29"/>
      <c r="E110" s="36" t="s">
        <v>803</v>
      </c>
      <c r="F110" s="36"/>
      <c r="G110" s="94" t="s">
        <v>201</v>
      </c>
      <c r="H110" s="36" t="s">
        <v>4047</v>
      </c>
      <c r="I110" s="637"/>
      <c r="J110" s="633" t="str">
        <f>IF(ISBLANK(HLOOKUP(CaseName,CaseData,MATCH($G110,cases!$G$3:$G$2464,0),FALSE)),"",HLOOKUP(CaseName,CaseData,MATCH($G110,cases!$G$3:$G$2464,0),FALSE))</f>
        <v/>
      </c>
      <c r="K110" s="352">
        <v>1</v>
      </c>
      <c r="L110" s="634">
        <f>IF(ISBLANK(I110),IF(ISNUMBER(J110)=FALSE,K110/(1000*3600*24*365)*L11*L10,J110/(1000*3600*24*365)*L11*L10),I110/(1000*3600*24*365)*L11*L10)</f>
        <v>1226.2431823947234</v>
      </c>
      <c r="M110" s="36" t="s">
        <v>1499</v>
      </c>
      <c r="N110" s="29"/>
      <c r="O110" s="36"/>
    </row>
    <row r="111" spans="1:15" ht="12.75" customHeight="1" x14ac:dyDescent="0.3">
      <c r="A111" s="29"/>
      <c r="B111" s="29" t="s">
        <v>2274</v>
      </c>
      <c r="C111" s="95"/>
      <c r="D111" s="95"/>
      <c r="E111" s="29"/>
      <c r="F111" s="29"/>
      <c r="G111" s="37" t="s">
        <v>2278</v>
      </c>
      <c r="H111" s="36" t="s">
        <v>4045</v>
      </c>
      <c r="I111" s="637"/>
      <c r="J111" s="633" t="str">
        <f>IF(ISBLANK(HLOOKUP(CaseName,CaseData,MATCH($G111,cases!$G$3:$G$2464,0),FALSE)),"",HLOOKUP(CaseName,CaseData,MATCH($G111,cases!$G$3:$G$2464,0),FALSE))</f>
        <v/>
      </c>
      <c r="K111" s="352">
        <f>(L113*L114)/(L113+L114)*L53</f>
        <v>2.7488326408426885E-8</v>
      </c>
      <c r="L111" s="634">
        <f>IF(ISBLANK(I111),IF(ISNUMBER(J111)=FALSE,K111,J111),I111)</f>
        <v>2.7488326408426885E-8</v>
      </c>
      <c r="M111" s="36" t="s">
        <v>4046</v>
      </c>
      <c r="N111" s="29"/>
      <c r="O111" s="36"/>
    </row>
    <row r="112" spans="1:15" ht="12.75" customHeight="1" x14ac:dyDescent="0.3">
      <c r="A112" s="29"/>
      <c r="B112" s="29" t="s">
        <v>2275</v>
      </c>
      <c r="C112" s="95"/>
      <c r="D112" s="95"/>
      <c r="E112" s="29"/>
      <c r="F112" s="29"/>
      <c r="G112" s="37" t="s">
        <v>2279</v>
      </c>
      <c r="H112" s="36" t="s">
        <v>4045</v>
      </c>
      <c r="I112" s="637"/>
      <c r="J112" s="633" t="str">
        <f>IF(ISBLANK(HLOOKUP(CaseName,CaseData,MATCH($G112,cases!$G$3:$G$2464,0),FALSE)),"",HLOOKUP(CaseName,CaseData,MATCH($G112,cases!$G$3:$G$2464,0),FALSE))</f>
        <v/>
      </c>
      <c r="K112" s="352">
        <f>(L113*L114/(L113+L114))/L65</f>
        <v>1.3726088155166722E-9</v>
      </c>
      <c r="L112" s="634">
        <f>IF(ISBLANK(I112),IF(ISNUMBER(J112)=FALSE,K112,J112),I112)</f>
        <v>1.3726088155166722E-9</v>
      </c>
      <c r="M112" s="36" t="s">
        <v>4046</v>
      </c>
      <c r="N112" s="29"/>
      <c r="O112" s="36"/>
    </row>
    <row r="113" spans="1:15" ht="12.75" customHeight="1" x14ac:dyDescent="0.3">
      <c r="A113" s="36"/>
      <c r="B113" s="36"/>
      <c r="C113" s="29" t="s">
        <v>1076</v>
      </c>
      <c r="D113" s="29"/>
      <c r="E113" s="29"/>
      <c r="F113" s="29"/>
      <c r="G113" s="29" t="s">
        <v>467</v>
      </c>
      <c r="H113" s="30" t="s">
        <v>4044</v>
      </c>
      <c r="I113" s="637"/>
      <c r="J113" s="633" t="str">
        <f>IF(ISBLANK(HLOOKUP(CaseName,CaseData,MATCH($G113,cases!$G$3:$G$2464,0),FALSE)),"",HLOOKUP(CaseName,CaseData,MATCH($G113,cases!$G$3:$G$2464,0),FALSE))</f>
        <v/>
      </c>
      <c r="K113" s="345">
        <v>2.7779999999999999E-6</v>
      </c>
      <c r="L113" s="634">
        <f>IF(ISBLANK(I113),IF(ISNUMBER(J113)=FALSE,K113,J113),I113)</f>
        <v>2.7779999999999999E-6</v>
      </c>
      <c r="M113" s="29" t="s">
        <v>1490</v>
      </c>
      <c r="N113" s="29"/>
      <c r="O113" s="36"/>
    </row>
    <row r="114" spans="1:15" ht="12.75" customHeight="1" x14ac:dyDescent="0.3">
      <c r="A114" s="36"/>
      <c r="B114" s="36"/>
      <c r="C114" s="29" t="s">
        <v>1230</v>
      </c>
      <c r="D114" s="29"/>
      <c r="E114" s="29"/>
      <c r="F114" s="29"/>
      <c r="G114" s="29" t="s">
        <v>468</v>
      </c>
      <c r="H114" s="30" t="s">
        <v>4044</v>
      </c>
      <c r="I114" s="637"/>
      <c r="J114" s="633" t="str">
        <f>IF(ISBLANK(HLOOKUP(CaseName,CaseData,MATCH($G114,cases!$G$3:$G$2464,0),FALSE)),"",HLOOKUP(CaseName,CaseData,MATCH($G114,cases!$G$3:$G$2464,0),FALSE))</f>
        <v/>
      </c>
      <c r="K114" s="345">
        <v>2.7779999999999998E-8</v>
      </c>
      <c r="L114" s="634">
        <f>IF(ISBLANK(I114),IF(ISNUMBER(J114)=FALSE,K114,J114),I114)</f>
        <v>2.7779999999999998E-8</v>
      </c>
      <c r="M114" s="29" t="s">
        <v>1490</v>
      </c>
      <c r="N114" s="29"/>
      <c r="O114" s="36"/>
    </row>
    <row r="115" spans="1:15" ht="12.75" customHeight="1" x14ac:dyDescent="0.3">
      <c r="A115" s="29"/>
      <c r="B115" s="29"/>
      <c r="C115" s="29"/>
      <c r="D115" s="29"/>
      <c r="E115" s="29"/>
      <c r="F115" s="29"/>
      <c r="G115" s="29"/>
      <c r="H115" s="29"/>
      <c r="I115" s="646"/>
      <c r="J115" s="633"/>
      <c r="K115" s="339"/>
      <c r="L115" s="339"/>
      <c r="M115" s="29"/>
      <c r="N115" s="29"/>
      <c r="O115" s="36"/>
    </row>
    <row r="116" spans="1:15" ht="12.75" customHeight="1" x14ac:dyDescent="0.3">
      <c r="A116" s="36" t="s">
        <v>99</v>
      </c>
      <c r="B116" s="29"/>
      <c r="C116" s="29"/>
      <c r="D116" s="29"/>
      <c r="E116" s="29"/>
      <c r="F116" s="29"/>
      <c r="G116" s="37" t="s">
        <v>1254</v>
      </c>
      <c r="H116" s="36" t="s">
        <v>4036</v>
      </c>
      <c r="I116" s="637"/>
      <c r="J116" s="633" t="str">
        <f>IF(ISBLANK(HLOOKUP(CaseName,CaseData,MATCH($G116,cases!$G$3:$G$2464,0),FALSE)),"",HLOOKUP(CaseName,CaseData,MATCH($G116,cases!$G$3:$G$2464,0),FALSE))</f>
        <v/>
      </c>
      <c r="K116" s="352">
        <f>(L90*L118/L68+L117)*L119/L17</f>
        <v>6.0760255858239929E-9</v>
      </c>
      <c r="L116" s="634">
        <f>IF(ISBLANK(I116),IF(ISNUMBER(J116)=FALSE,K116,J116),I116)</f>
        <v>6.0760255858239929E-9</v>
      </c>
      <c r="M116" s="29" t="s">
        <v>1488</v>
      </c>
      <c r="N116" s="29"/>
      <c r="O116" s="36"/>
    </row>
    <row r="117" spans="1:15" ht="12.75" customHeight="1" x14ac:dyDescent="0.3">
      <c r="A117" s="29"/>
      <c r="B117" s="95" t="s">
        <v>211</v>
      </c>
      <c r="C117" s="29"/>
      <c r="D117" s="29"/>
      <c r="E117" s="29"/>
      <c r="F117" s="29"/>
      <c r="G117" s="94" t="s">
        <v>190</v>
      </c>
      <c r="H117" s="30" t="s">
        <v>4044</v>
      </c>
      <c r="I117" s="636"/>
      <c r="J117" s="633" t="str">
        <f>IF(ISBLANK(HLOOKUP(CaseName,CaseData,MATCH($G117,cases!$G$3:$G$2464,0),FALSE)),"",HLOOKUP(CaseName,CaseData,MATCH($G117,cases!$G$3:$G$2464,0),FALSE))</f>
        <v/>
      </c>
      <c r="K117" s="352">
        <f>EROSION.C</f>
        <v>9.5129375951293754E-13</v>
      </c>
      <c r="L117" s="634">
        <f>IF(ISBLANK(I117),IF(ISNUMBER(J117)=FALSE,K117,J117),I117)</f>
        <v>9.5129375951293754E-13</v>
      </c>
      <c r="M117" s="29" t="s">
        <v>1490</v>
      </c>
      <c r="N117" s="29"/>
      <c r="O117" s="36"/>
    </row>
    <row r="118" spans="1:15" ht="12.75" customHeight="1" x14ac:dyDescent="0.3">
      <c r="A118" s="29"/>
      <c r="B118" s="36" t="s">
        <v>1002</v>
      </c>
      <c r="C118" s="29"/>
      <c r="D118" s="29"/>
      <c r="E118" s="29"/>
      <c r="F118" s="29"/>
      <c r="G118" s="94" t="s">
        <v>191</v>
      </c>
      <c r="H118" s="36" t="s">
        <v>36</v>
      </c>
      <c r="I118" s="636"/>
      <c r="J118" s="633" t="str">
        <f>IF(ISBLANK(HLOOKUP(CaseName,CaseData,MATCH($G118,cases!$G$3:$G$2464,0),FALSE)),"",HLOOKUP(CaseName,CaseData,MATCH($G118,cases!$G$3:$G$2464,0),FALSE))</f>
        <v/>
      </c>
      <c r="K118" s="352">
        <f>FRACrun.C</f>
        <v>0.25</v>
      </c>
      <c r="L118" s="634">
        <f>IF(ISBLANK(I118),IF(ISNUMBER(J118)=FALSE,K118,J118),I118)</f>
        <v>0.25</v>
      </c>
      <c r="M118" s="29" t="s">
        <v>486</v>
      </c>
      <c r="N118" s="29"/>
      <c r="O118" s="36"/>
    </row>
    <row r="119" spans="1:15" ht="12.75" customHeight="1" x14ac:dyDescent="0.3">
      <c r="A119" s="36"/>
      <c r="B119" s="29" t="s">
        <v>185</v>
      </c>
      <c r="C119" s="29"/>
      <c r="D119" s="95"/>
      <c r="E119" s="95"/>
      <c r="F119" s="29"/>
      <c r="G119" s="37" t="s">
        <v>915</v>
      </c>
      <c r="H119" s="29" t="s">
        <v>36</v>
      </c>
      <c r="I119" s="637"/>
      <c r="J119" s="633" t="str">
        <f>IF(ISBLANK(HLOOKUP(CaseName,CaseData,MATCH($G119,cases!$G$3:$G$2464,0),FALSE)),"",HLOOKUP(CaseName,CaseData,MATCH($G119,cases!$G$3:$G$2464,0),FALSE))</f>
        <v/>
      </c>
      <c r="K119" s="352">
        <f>(EXP((-1/0.1)*0)*(1/0.1)*L17/(1-EXP((-1/0.1)*L17)))</f>
        <v>1.2707470412683992</v>
      </c>
      <c r="L119" s="634">
        <f>IF(ISBLANK(I119),IF(ISNUMBER(J119)=FALSE,K119,J119),I119)</f>
        <v>1.2707470412683992</v>
      </c>
      <c r="M119" s="36" t="s">
        <v>486</v>
      </c>
      <c r="N119" s="29" t="s">
        <v>995</v>
      </c>
      <c r="O119" s="36"/>
    </row>
    <row r="120" spans="1:15" ht="12.75" customHeight="1" x14ac:dyDescent="0.3">
      <c r="A120" s="29"/>
      <c r="B120" s="29"/>
      <c r="C120" s="29"/>
      <c r="D120" s="29"/>
      <c r="E120" s="29"/>
      <c r="F120" s="29"/>
      <c r="G120" s="29"/>
      <c r="H120" s="36"/>
      <c r="I120" s="643"/>
      <c r="J120" s="353"/>
      <c r="K120" s="339"/>
      <c r="L120" s="339"/>
      <c r="M120" s="29"/>
      <c r="N120" s="29"/>
      <c r="O120" s="36"/>
    </row>
    <row r="121" spans="1:15" ht="12.75" customHeight="1" x14ac:dyDescent="0.3">
      <c r="A121" s="98" t="s">
        <v>419</v>
      </c>
      <c r="B121" s="97"/>
      <c r="C121" s="97"/>
      <c r="D121" s="97"/>
      <c r="E121" s="97"/>
      <c r="F121" s="97"/>
      <c r="G121" s="98" t="s">
        <v>1008</v>
      </c>
      <c r="H121" s="98" t="s">
        <v>968</v>
      </c>
      <c r="I121" s="364" t="s">
        <v>754</v>
      </c>
      <c r="J121" s="340" t="s">
        <v>37</v>
      </c>
      <c r="K121" s="340" t="s">
        <v>753</v>
      </c>
      <c r="L121" s="340" t="s">
        <v>1358</v>
      </c>
      <c r="M121" s="97"/>
      <c r="N121" s="98" t="s">
        <v>1371</v>
      </c>
      <c r="O121" s="36"/>
    </row>
    <row r="122" spans="1:15" ht="12.75" customHeight="1" x14ac:dyDescent="0.3">
      <c r="A122" s="36"/>
      <c r="B122" s="29"/>
      <c r="C122" s="29"/>
      <c r="D122" s="29"/>
      <c r="E122" s="29"/>
      <c r="F122" s="29"/>
      <c r="G122" s="29"/>
      <c r="H122" s="36"/>
      <c r="I122" s="643"/>
      <c r="J122" s="643"/>
      <c r="K122" s="649"/>
      <c r="L122" s="342"/>
      <c r="M122" s="29"/>
      <c r="N122" s="29"/>
      <c r="O122" s="36"/>
    </row>
    <row r="123" spans="1:15" ht="12.75" customHeight="1" x14ac:dyDescent="0.3">
      <c r="A123" s="36" t="s">
        <v>224</v>
      </c>
      <c r="B123" s="29"/>
      <c r="C123" s="29"/>
      <c r="D123" s="29"/>
      <c r="E123" s="29"/>
      <c r="F123" s="29"/>
      <c r="G123" s="37" t="s">
        <v>843</v>
      </c>
      <c r="H123" s="36" t="s">
        <v>4036</v>
      </c>
      <c r="I123" s="637"/>
      <c r="J123" s="633" t="str">
        <f>IF(ISBLANK(HLOOKUP(CaseName,CaseData,MATCH($G123,cases!$G$3:$G$2464,0),FALSE)),"",HLOOKUP(CaseName,CaseData,MATCH($G123,cases!$G$3:$G$2464,0),FALSE))</f>
        <v/>
      </c>
      <c r="K123" s="352">
        <f>L128+L129</f>
        <v>2.1630471517752678E-7</v>
      </c>
      <c r="L123" s="634">
        <f t="shared" ref="L123:L138" si="7">IF(ISBLANK(I123),IF(ISNUMBER(J123)=FALSE,K123,J123),I123)</f>
        <v>2.1630471517752678E-7</v>
      </c>
      <c r="M123" s="29" t="s">
        <v>1488</v>
      </c>
      <c r="N123" s="29"/>
      <c r="O123" s="36"/>
    </row>
    <row r="124" spans="1:15" ht="12.75" customHeight="1" x14ac:dyDescent="0.3">
      <c r="A124" s="36" t="s">
        <v>4012</v>
      </c>
      <c r="B124" s="29"/>
      <c r="C124" s="29"/>
      <c r="D124" s="29"/>
      <c r="E124" s="29"/>
      <c r="F124" s="29"/>
      <c r="G124" s="37" t="s">
        <v>1045</v>
      </c>
      <c r="H124" s="36" t="s">
        <v>4036</v>
      </c>
      <c r="I124" s="637"/>
      <c r="J124" s="633" t="str">
        <f>IF(ISBLANK(HLOOKUP(CaseName,CaseData,MATCH($G124,cases!$G$3:$G$2464,0),FALSE)),"",HLOOKUP(CaseName,CaseData,MATCH($G124,cases!$G$3:$G$2464,0),FALSE))</f>
        <v/>
      </c>
      <c r="K124" s="352">
        <f>L132</f>
        <v>8.6858477099101683E-8</v>
      </c>
      <c r="L124" s="634">
        <f t="shared" si="7"/>
        <v>8.6858477099101683E-8</v>
      </c>
      <c r="M124" s="29" t="s">
        <v>1488</v>
      </c>
      <c r="N124" s="29"/>
      <c r="O124" s="36"/>
    </row>
    <row r="125" spans="1:15" ht="12.75" customHeight="1" x14ac:dyDescent="0.3">
      <c r="A125" s="36" t="s">
        <v>1168</v>
      </c>
      <c r="B125" s="29"/>
      <c r="C125" s="29"/>
      <c r="D125" s="29"/>
      <c r="E125" s="29"/>
      <c r="F125" s="29"/>
      <c r="G125" s="37" t="s">
        <v>1169</v>
      </c>
      <c r="H125" s="36" t="s">
        <v>4036</v>
      </c>
      <c r="I125" s="637"/>
      <c r="J125" s="633" t="str">
        <f>IF(ISBLANK(HLOOKUP(CaseName,CaseData,MATCH($G125,cases!$G$3:$G$2464,0),FALSE)),"",HLOOKUP(CaseName,CaseData,MATCH($G125,cases!$G$3:$G$2464,0),FALSE))</f>
        <v/>
      </c>
      <c r="K125" s="352">
        <f>L133</f>
        <v>8.6858477099101683E-8</v>
      </c>
      <c r="L125" s="634">
        <f t="shared" si="7"/>
        <v>8.6858477099101683E-8</v>
      </c>
      <c r="M125" s="29" t="s">
        <v>1488</v>
      </c>
      <c r="N125" s="29"/>
      <c r="O125" s="36"/>
    </row>
    <row r="126" spans="1:15" ht="12.75" customHeight="1" x14ac:dyDescent="0.3">
      <c r="A126" s="36" t="s">
        <v>225</v>
      </c>
      <c r="B126" s="29"/>
      <c r="C126" s="29"/>
      <c r="D126" s="29"/>
      <c r="E126" s="29"/>
      <c r="F126" s="29"/>
      <c r="G126" s="37" t="s">
        <v>1255</v>
      </c>
      <c r="H126" s="36" t="s">
        <v>4036</v>
      </c>
      <c r="I126" s="637"/>
      <c r="J126" s="633" t="str">
        <f>IF(ISBLANK(HLOOKUP(CaseName,CaseData,MATCH($G126,cases!$G$3:$G$2464,0),FALSE)),"",HLOOKUP(CaseName,CaseData,MATCH($G126,cases!$G$3:$G$2464,0),FALSE))</f>
        <v/>
      </c>
      <c r="K126" s="352">
        <f>L137+L109/L16</f>
        <v>9.6687874509538597E-9</v>
      </c>
      <c r="L126" s="634">
        <f t="shared" si="7"/>
        <v>9.6687874509538597E-9</v>
      </c>
      <c r="M126" s="29" t="s">
        <v>1488</v>
      </c>
      <c r="N126" s="29"/>
      <c r="O126" s="36"/>
    </row>
    <row r="127" spans="1:15" ht="12.75" customHeight="1" x14ac:dyDescent="0.3">
      <c r="A127" s="36" t="s">
        <v>844</v>
      </c>
      <c r="B127" s="29"/>
      <c r="C127" s="29"/>
      <c r="D127" s="29"/>
      <c r="E127" s="29"/>
      <c r="F127" s="29"/>
      <c r="G127" s="37" t="s">
        <v>845</v>
      </c>
      <c r="H127" s="36" t="s">
        <v>4036</v>
      </c>
      <c r="I127" s="637"/>
      <c r="J127" s="633" t="str">
        <f>IF(ISBLANK(HLOOKUP(CaseName,CaseData,MATCH($G127,cases!$G$3:$G$2464,0),FALSE)),"",HLOOKUP(CaseName,CaseData,MATCH($G127,cases!$G$3:$G$2464,0),FALSE))</f>
        <v/>
      </c>
      <c r="K127" s="352">
        <f>L138+L139*L90/L68*L140/L17</f>
        <v>4.3496280239573685E-8</v>
      </c>
      <c r="L127" s="634">
        <f t="shared" si="7"/>
        <v>4.3496280239573685E-8</v>
      </c>
      <c r="M127" s="29" t="s">
        <v>1488</v>
      </c>
      <c r="N127" s="29"/>
      <c r="O127" s="36"/>
    </row>
    <row r="128" spans="1:15" ht="12.75" customHeight="1" x14ac:dyDescent="0.3">
      <c r="A128" s="36"/>
      <c r="B128" s="36" t="s">
        <v>796</v>
      </c>
      <c r="C128" s="95"/>
      <c r="D128" s="29"/>
      <c r="E128" s="29"/>
      <c r="F128" s="29"/>
      <c r="G128" s="94" t="s">
        <v>777</v>
      </c>
      <c r="H128" s="36" t="s">
        <v>4036</v>
      </c>
      <c r="I128" s="637"/>
      <c r="J128" s="633" t="str">
        <f>IF(ISBLANK(HLOOKUP(CaseName,CaseData,MATCH($G128,cases!$G$3:$G$2464,0),FALSE)),"",HLOOKUP(CaseName,CaseData,MATCH($G128,cases!$G$3:$G$2464,0),FALSE))</f>
        <v/>
      </c>
      <c r="K128" s="352">
        <f>LN(2)/(60*365*24*3600)</f>
        <v>3.663258818281463E-10</v>
      </c>
      <c r="L128" s="634">
        <f t="shared" si="7"/>
        <v>3.663258818281463E-10</v>
      </c>
      <c r="M128" s="36" t="s">
        <v>1488</v>
      </c>
      <c r="N128" s="29"/>
      <c r="O128" s="36"/>
    </row>
    <row r="129" spans="1:15" ht="12.75" customHeight="1" x14ac:dyDescent="0.3">
      <c r="A129" s="36"/>
      <c r="B129" s="36" t="s">
        <v>797</v>
      </c>
      <c r="C129" s="29"/>
      <c r="D129" s="29"/>
      <c r="E129" s="29"/>
      <c r="F129" s="29"/>
      <c r="G129" s="37" t="s">
        <v>192</v>
      </c>
      <c r="H129" s="36" t="s">
        <v>4036</v>
      </c>
      <c r="I129" s="636"/>
      <c r="J129" s="633" t="str">
        <f>IF(ISBLANK(HLOOKUP(CaseName,CaseData,MATCH($G129,cases!$G$3:$G$2464,0),FALSE)),"",HLOOKUP(CaseName,CaseData,MATCH($G129,cases!$G$3:$G$2464,0),FALSE))</f>
        <v/>
      </c>
      <c r="K129" s="352">
        <f>L46*kdeg.air*(L130/C.OHrad)*L131</f>
        <v>2.1593838929569864E-7</v>
      </c>
      <c r="L129" s="634">
        <f t="shared" si="7"/>
        <v>2.1593838929569864E-7</v>
      </c>
      <c r="M129" s="36" t="s">
        <v>1488</v>
      </c>
      <c r="N129" s="29"/>
      <c r="O129" s="36"/>
    </row>
    <row r="130" spans="1:15" ht="12.75" customHeight="1" x14ac:dyDescent="0.3">
      <c r="A130" s="95"/>
      <c r="B130" s="95"/>
      <c r="C130" s="36" t="s">
        <v>1018</v>
      </c>
      <c r="D130" s="29"/>
      <c r="E130" s="29"/>
      <c r="F130" s="29"/>
      <c r="G130" s="37" t="s">
        <v>1003</v>
      </c>
      <c r="H130" s="36" t="s">
        <v>4048</v>
      </c>
      <c r="I130" s="636"/>
      <c r="J130" s="633" t="str">
        <f>IF(ISBLANK(HLOOKUP(CaseName,CaseData,MATCH($G130,cases!$G$3:$G$2464,0),FALSE)),"",HLOOKUP(CaseName,CaseData,MATCH($G130,cases!$G$3:$G$2464,0),FALSE))</f>
        <v/>
      </c>
      <c r="K130" s="352">
        <v>500000</v>
      </c>
      <c r="L130" s="634">
        <f t="shared" si="7"/>
        <v>500000</v>
      </c>
      <c r="M130" s="36" t="s">
        <v>1500</v>
      </c>
      <c r="N130" s="29"/>
      <c r="O130" s="36"/>
    </row>
    <row r="131" spans="1:15" ht="12.75" customHeight="1" x14ac:dyDescent="0.3">
      <c r="A131" s="95"/>
      <c r="B131" s="95"/>
      <c r="C131" s="36" t="s">
        <v>35</v>
      </c>
      <c r="D131" s="29"/>
      <c r="E131" s="29"/>
      <c r="F131" s="29"/>
      <c r="G131" s="37" t="s">
        <v>1004</v>
      </c>
      <c r="H131" s="36" t="s">
        <v>36</v>
      </c>
      <c r="I131" s="636"/>
      <c r="J131" s="633" t="str">
        <f>IF(ISBLANK(HLOOKUP(CaseName,CaseData,MATCH($G131,cases!$G$3:$G$2464,0),FALSE)),"",HLOOKUP(CaseName,CaseData,MATCH($G131,cases!$G$3:$G$2464,0),FALSE))</f>
        <v/>
      </c>
      <c r="K131" s="352">
        <f>EXP((Ea.OHrad/8.314)*(L50-298)/298^2)</f>
        <v>0.89974332049812744</v>
      </c>
      <c r="L131" s="634">
        <f t="shared" si="7"/>
        <v>0.89974332049812744</v>
      </c>
      <c r="M131" s="36" t="s">
        <v>486</v>
      </c>
      <c r="N131" s="29"/>
      <c r="O131" s="36"/>
    </row>
    <row r="132" spans="1:15" ht="12.75" customHeight="1" x14ac:dyDescent="0.3">
      <c r="A132" s="36"/>
      <c r="B132" s="36" t="s">
        <v>4013</v>
      </c>
      <c r="C132" s="29"/>
      <c r="D132" s="29"/>
      <c r="E132" s="29"/>
      <c r="F132" s="29"/>
      <c r="G132" s="37" t="s">
        <v>149</v>
      </c>
      <c r="H132" s="36" t="s">
        <v>4036</v>
      </c>
      <c r="I132" s="636"/>
      <c r="J132" s="633" t="str">
        <f>IF(ISBLANK(HLOOKUP(CaseName,CaseData,MATCH($G132,cases!$G$3:$G$2464,0),FALSE)),"",HLOOKUP(CaseName,CaseData,MATCH($G132,cases!$G$3:$G$2464,0),FALSE))</f>
        <v/>
      </c>
      <c r="K132" s="352">
        <f>kdeg.water*L136*(L134/BACT.test)*L53</f>
        <v>8.6858477099101683E-8</v>
      </c>
      <c r="L132" s="634">
        <f t="shared" si="7"/>
        <v>8.6858477099101683E-8</v>
      </c>
      <c r="M132" s="36" t="s">
        <v>1488</v>
      </c>
      <c r="N132" s="29"/>
      <c r="O132" s="36"/>
    </row>
    <row r="133" spans="1:15" ht="12.75" customHeight="1" x14ac:dyDescent="0.3">
      <c r="A133" s="36"/>
      <c r="B133" s="36" t="s">
        <v>1138</v>
      </c>
      <c r="C133" s="29"/>
      <c r="D133" s="29"/>
      <c r="E133" s="29"/>
      <c r="F133" s="29"/>
      <c r="G133" s="37" t="s">
        <v>150</v>
      </c>
      <c r="H133" s="36" t="s">
        <v>4036</v>
      </c>
      <c r="I133" s="636"/>
      <c r="J133" s="633" t="str">
        <f>IF(ISBLANK(HLOOKUP(CaseName,CaseData,MATCH($G133,cases!$G$3:$G$2464,0),FALSE)),"",HLOOKUP(CaseName,CaseData,MATCH($G133,cases!$G$3:$G$2464,0),FALSE))</f>
        <v/>
      </c>
      <c r="K133" s="352">
        <f>kdeg.water*L136*(L135/BACT.test)*L54</f>
        <v>8.6858477099101683E-8</v>
      </c>
      <c r="L133" s="634">
        <f t="shared" si="7"/>
        <v>8.6858477099101683E-8</v>
      </c>
      <c r="M133" s="36" t="s">
        <v>1488</v>
      </c>
      <c r="N133" s="29"/>
      <c r="O133" s="36"/>
    </row>
    <row r="134" spans="1:15" ht="12.75" customHeight="1" x14ac:dyDescent="0.3">
      <c r="A134" s="36"/>
      <c r="B134" s="36"/>
      <c r="C134" s="36" t="s">
        <v>4014</v>
      </c>
      <c r="D134" s="29"/>
      <c r="E134" s="29"/>
      <c r="F134" s="29"/>
      <c r="G134" s="94" t="s">
        <v>684</v>
      </c>
      <c r="H134" s="36" t="s">
        <v>730</v>
      </c>
      <c r="I134" s="636"/>
      <c r="J134" s="633" t="str">
        <f>IF(ISBLANK(HLOOKUP(CaseName,CaseData,MATCH($G134,cases!$G$3:$G$2464,0),FALSE)),"",HLOOKUP(CaseName,CaseData,MATCH($G134,cases!$G$3:$G$2464,0),FALSE))</f>
        <v/>
      </c>
      <c r="K134" s="352">
        <v>40000</v>
      </c>
      <c r="L134" s="634">
        <f t="shared" si="7"/>
        <v>40000</v>
      </c>
      <c r="M134" s="36" t="s">
        <v>731</v>
      </c>
      <c r="N134" s="29"/>
      <c r="O134" s="36"/>
    </row>
    <row r="135" spans="1:15" ht="12.75" customHeight="1" x14ac:dyDescent="0.3">
      <c r="A135" s="36"/>
      <c r="B135" s="36"/>
      <c r="C135" s="36" t="s">
        <v>683</v>
      </c>
      <c r="D135" s="29"/>
      <c r="E135" s="29"/>
      <c r="F135" s="29"/>
      <c r="G135" s="94" t="s">
        <v>685</v>
      </c>
      <c r="H135" s="36" t="s">
        <v>730</v>
      </c>
      <c r="I135" s="636"/>
      <c r="J135" s="633" t="str">
        <f>IF(ISBLANK(HLOOKUP(CaseName,CaseData,MATCH($G135,cases!$G$3:$G$2464,0),FALSE)),"",HLOOKUP(CaseName,CaseData,MATCH($G135,cases!$G$3:$G$2464,0),FALSE))</f>
        <v/>
      </c>
      <c r="K135" s="352">
        <v>40000</v>
      </c>
      <c r="L135" s="634">
        <f t="shared" si="7"/>
        <v>40000</v>
      </c>
      <c r="M135" s="36" t="s">
        <v>731</v>
      </c>
      <c r="N135" s="29"/>
      <c r="O135" s="36"/>
    </row>
    <row r="136" spans="1:15" ht="12.75" customHeight="1" x14ac:dyDescent="0.3">
      <c r="A136" s="95"/>
      <c r="B136" s="95"/>
      <c r="C136" s="36" t="s">
        <v>766</v>
      </c>
      <c r="D136" s="29"/>
      <c r="E136" s="29"/>
      <c r="F136" s="29"/>
      <c r="G136" s="37" t="s">
        <v>541</v>
      </c>
      <c r="H136" s="36" t="s">
        <v>36</v>
      </c>
      <c r="I136" s="636"/>
      <c r="J136" s="633" t="str">
        <f>IF(ISBLANK(HLOOKUP(CaseName,CaseData,MATCH($G136,cases!$G$3:$G$2464,0),FALSE)),"",HLOOKUP(CaseName,CaseData,MATCH($G136,cases!$G$3:$G$2464,0),FALSE))</f>
        <v/>
      </c>
      <c r="K136" s="352">
        <f>Q.10^((L50-298)/10)</f>
        <v>0.40612619817811774</v>
      </c>
      <c r="L136" s="634">
        <f t="shared" si="7"/>
        <v>0.40612619817811774</v>
      </c>
      <c r="M136" s="36" t="s">
        <v>486</v>
      </c>
      <c r="N136" s="29"/>
      <c r="O136" s="36"/>
    </row>
    <row r="137" spans="1:15" ht="12.75" customHeight="1" x14ac:dyDescent="0.3">
      <c r="A137" s="36"/>
      <c r="B137" s="36" t="s">
        <v>772</v>
      </c>
      <c r="C137" s="29"/>
      <c r="D137" s="29"/>
      <c r="E137" s="29"/>
      <c r="F137" s="29"/>
      <c r="G137" s="37" t="s">
        <v>193</v>
      </c>
      <c r="H137" s="36" t="s">
        <v>4036</v>
      </c>
      <c r="I137" s="636"/>
      <c r="J137" s="633" t="str">
        <f>IF(ISBLANK(HLOOKUP(CaseName,CaseData,MATCH($G137,cases!$G$3:$G$2464,0),FALSE)),"",HLOOKUP(CaseName,CaseData,MATCH($G137,cases!$G$3:$G$2464,0),FALSE))</f>
        <v/>
      </c>
      <c r="K137" s="352">
        <f>L136*kdeg.sed</f>
        <v>9.6658035166392035E-9</v>
      </c>
      <c r="L137" s="634">
        <f t="shared" si="7"/>
        <v>9.6658035166392035E-9</v>
      </c>
      <c r="M137" s="36" t="s">
        <v>1488</v>
      </c>
      <c r="N137" s="29"/>
      <c r="O137" s="36"/>
    </row>
    <row r="138" spans="1:15" ht="12.75" customHeight="1" x14ac:dyDescent="0.3">
      <c r="A138" s="36"/>
      <c r="B138" s="36" t="s">
        <v>773</v>
      </c>
      <c r="C138" s="29"/>
      <c r="D138" s="29"/>
      <c r="E138" s="29"/>
      <c r="F138" s="29"/>
      <c r="G138" s="37" t="s">
        <v>194</v>
      </c>
      <c r="H138" s="36" t="s">
        <v>4036</v>
      </c>
      <c r="I138" s="636"/>
      <c r="J138" s="633" t="str">
        <f>IF(ISBLANK(HLOOKUP(CaseName,CaseData,MATCH($G138,cases!$G$3:$G$2464,0),FALSE)),"",HLOOKUP(CaseName,CaseData,MATCH($G138,cases!$G$3:$G$2464,0),FALSE))</f>
        <v/>
      </c>
      <c r="K138" s="352">
        <f>L136*kdeg.soil</f>
        <v>4.3455503205058602E-8</v>
      </c>
      <c r="L138" s="634">
        <f t="shared" si="7"/>
        <v>4.3455503205058602E-8</v>
      </c>
      <c r="M138" s="36" t="s">
        <v>1488</v>
      </c>
      <c r="N138" s="29"/>
      <c r="O138" s="36"/>
    </row>
    <row r="139" spans="1:15" ht="12.75" customHeight="1" x14ac:dyDescent="0.3">
      <c r="A139" s="29"/>
      <c r="B139" s="36" t="s">
        <v>1036</v>
      </c>
      <c r="C139" s="29"/>
      <c r="D139" s="29"/>
      <c r="E139" s="29"/>
      <c r="F139" s="29"/>
      <c r="G139" s="94" t="s">
        <v>272</v>
      </c>
      <c r="H139" s="36" t="s">
        <v>36</v>
      </c>
      <c r="I139" s="636"/>
      <c r="J139" s="633" t="str">
        <f>IF(ISBLANK(HLOOKUP(CaseName,CaseData,MATCH($G139,cases!$G$3:$G$2464,0),FALSE)),"",HLOOKUP(CaseName,CaseData,MATCH($G139,cases!$G$3:$G$2464,0),FALSE))</f>
        <v/>
      </c>
      <c r="K139" s="352">
        <f>FRACinf.C</f>
        <v>0.25</v>
      </c>
      <c r="L139" s="634">
        <f>IF(ISBLANK(I139),IF(ISNUMBER(J139)=FALSE,K139,J139),I139)</f>
        <v>0.25</v>
      </c>
      <c r="M139" s="29" t="s">
        <v>486</v>
      </c>
      <c r="N139" s="29"/>
      <c r="O139" s="36"/>
    </row>
    <row r="140" spans="1:15" ht="12.75" customHeight="1" x14ac:dyDescent="0.3">
      <c r="A140" s="36"/>
      <c r="B140" s="29" t="s">
        <v>185</v>
      </c>
      <c r="C140" s="29"/>
      <c r="D140" s="95"/>
      <c r="E140" s="95"/>
      <c r="F140" s="95"/>
      <c r="G140" s="37" t="s">
        <v>916</v>
      </c>
      <c r="H140" s="29" t="s">
        <v>36</v>
      </c>
      <c r="I140" s="637"/>
      <c r="J140" s="633" t="str">
        <f>IF(ISBLANK(HLOOKUP(CaseName,CaseData,MATCH($G140,cases!$G$3:$G$2464,0),FALSE)),"",HLOOKUP(CaseName,CaseData,MATCH($G140,cases!$G$3:$G$2464,0),FALSE))</f>
        <v/>
      </c>
      <c r="K140" s="352">
        <f>(EXP((-1/0.1)*0.5)*(1/0.1)*L17/(1-EXP((-1/0.1)*L17)))</f>
        <v>8.5622262133111474E-3</v>
      </c>
      <c r="L140" s="634">
        <f>IF(ISBLANK(I140),IF(ISNUMBER(J140)=FALSE,K140,J140),I140)</f>
        <v>8.5622262133111474E-3</v>
      </c>
      <c r="M140" s="36" t="s">
        <v>486</v>
      </c>
      <c r="N140" s="29" t="s">
        <v>995</v>
      </c>
      <c r="O140" s="36"/>
    </row>
    <row r="141" spans="1:15" ht="12.75" customHeight="1" x14ac:dyDescent="0.3">
      <c r="A141" s="134"/>
      <c r="B141" s="134"/>
      <c r="C141" s="134"/>
      <c r="D141" s="134"/>
      <c r="E141" s="134"/>
      <c r="F141" s="134"/>
      <c r="G141" s="134"/>
      <c r="H141" s="115"/>
      <c r="I141" s="641"/>
      <c r="J141" s="650"/>
      <c r="K141" s="641"/>
      <c r="L141" s="641"/>
      <c r="M141" s="134"/>
      <c r="N141" s="134"/>
      <c r="O141" s="36"/>
    </row>
    <row r="142" spans="1:15" ht="12.75" customHeight="1" x14ac:dyDescent="0.3">
      <c r="A142" s="44"/>
      <c r="B142" s="29"/>
      <c r="C142" s="29"/>
      <c r="D142" s="29"/>
      <c r="E142" s="29"/>
      <c r="F142" s="29"/>
      <c r="G142" s="29"/>
      <c r="H142" s="29"/>
      <c r="I142" s="643"/>
      <c r="J142" s="633"/>
      <c r="K142" s="353"/>
      <c r="L142" s="353"/>
      <c r="M142" s="29"/>
      <c r="N142" s="29"/>
      <c r="O142" s="36"/>
    </row>
    <row r="143" spans="1:15" ht="12.75" customHeight="1" x14ac:dyDescent="0.3">
      <c r="A143" s="44"/>
      <c r="B143" s="29"/>
      <c r="C143" s="29"/>
      <c r="D143" s="29"/>
      <c r="E143" s="29"/>
      <c r="F143" s="29"/>
      <c r="G143" s="29"/>
      <c r="H143" s="29"/>
      <c r="I143" s="643"/>
      <c r="J143" s="633"/>
      <c r="K143" s="353"/>
      <c r="L143" s="353"/>
      <c r="M143" s="29"/>
      <c r="N143" s="29"/>
      <c r="O143" s="36"/>
    </row>
    <row r="144" spans="1:15" ht="12.75" customHeight="1" x14ac:dyDescent="0.3">
      <c r="A144" s="62" t="s">
        <v>1308</v>
      </c>
      <c r="B144" s="29"/>
      <c r="C144" s="29"/>
      <c r="D144" s="29"/>
      <c r="E144" s="29"/>
      <c r="F144" s="29"/>
      <c r="G144" s="29"/>
      <c r="H144" s="29"/>
      <c r="I144" s="643"/>
      <c r="J144" s="633"/>
      <c r="K144" s="353"/>
      <c r="L144" s="353"/>
      <c r="M144" s="29"/>
      <c r="N144" s="29"/>
      <c r="O144" s="36"/>
    </row>
    <row r="145" spans="1:15" ht="12.75" customHeight="1" x14ac:dyDescent="0.3">
      <c r="A145" s="29"/>
      <c r="B145" s="29"/>
      <c r="C145" s="29"/>
      <c r="D145" s="29"/>
      <c r="E145" s="29"/>
      <c r="F145" s="29"/>
      <c r="G145" s="29"/>
      <c r="H145" s="29"/>
      <c r="I145" s="643"/>
      <c r="J145" s="353"/>
      <c r="K145" s="353"/>
      <c r="L145" s="339"/>
      <c r="M145" s="29"/>
      <c r="N145" s="29"/>
      <c r="O145" s="36"/>
    </row>
    <row r="146" spans="1:15" ht="12.75" customHeight="1" x14ac:dyDescent="0.3">
      <c r="A146" s="97" t="s">
        <v>1310</v>
      </c>
      <c r="B146" s="97"/>
      <c r="C146" s="97"/>
      <c r="D146" s="97"/>
      <c r="E146" s="97"/>
      <c r="F146" s="97"/>
      <c r="G146" s="98" t="s">
        <v>1008</v>
      </c>
      <c r="H146" s="98" t="s">
        <v>968</v>
      </c>
      <c r="I146" s="364" t="s">
        <v>754</v>
      </c>
      <c r="J146" s="340" t="s">
        <v>37</v>
      </c>
      <c r="K146" s="340" t="s">
        <v>753</v>
      </c>
      <c r="L146" s="340" t="s">
        <v>1358</v>
      </c>
      <c r="M146" s="97"/>
      <c r="N146" s="98" t="s">
        <v>1371</v>
      </c>
      <c r="O146" s="36"/>
    </row>
    <row r="147" spans="1:15" ht="12.75" customHeight="1" x14ac:dyDescent="0.3">
      <c r="A147" s="36"/>
      <c r="B147" s="36"/>
      <c r="C147" s="29"/>
      <c r="D147" s="29"/>
      <c r="E147" s="29"/>
      <c r="F147" s="29"/>
      <c r="G147" s="29"/>
      <c r="H147" s="29"/>
      <c r="I147" s="643"/>
      <c r="J147" s="643"/>
      <c r="K147" s="353"/>
      <c r="L147" s="339"/>
      <c r="M147" s="29"/>
      <c r="N147" s="29"/>
      <c r="O147" s="36"/>
    </row>
    <row r="148" spans="1:15" ht="12.75" customHeight="1" x14ac:dyDescent="0.3">
      <c r="A148" s="36" t="s">
        <v>1089</v>
      </c>
      <c r="B148" s="29"/>
      <c r="C148" s="29"/>
      <c r="D148" s="29"/>
      <c r="E148" s="29"/>
      <c r="F148" s="29"/>
      <c r="G148" s="37" t="s">
        <v>273</v>
      </c>
      <c r="H148" s="29" t="s">
        <v>4034</v>
      </c>
      <c r="I148" s="636"/>
      <c r="J148" s="633" t="str">
        <f>IF(ISBLANK(HLOOKUP(CaseName,CaseData,MATCH($G148,cases!$G$3:$G$2464,0),FALSE)),"",HLOOKUP(CaseName,CaseData,MATCH($G148,cases!$G$3:$G$2464,0),FALSE))</f>
        <v/>
      </c>
      <c r="K148" s="352">
        <f>L153*L156</f>
        <v>4.25E+16</v>
      </c>
      <c r="L148" s="634">
        <f>IF(ISBLANK(I148),IF(ISNUMBER(J148)=FALSE,K148,J148),I148)</f>
        <v>4.25E+16</v>
      </c>
      <c r="M148" s="36" t="s">
        <v>1496</v>
      </c>
      <c r="N148" s="29"/>
      <c r="O148" s="36"/>
    </row>
    <row r="149" spans="1:15" ht="12.75" customHeight="1" x14ac:dyDescent="0.3">
      <c r="A149" s="29" t="s">
        <v>4015</v>
      </c>
      <c r="B149" s="29"/>
      <c r="C149" s="29"/>
      <c r="D149" s="29"/>
      <c r="E149" s="29"/>
      <c r="F149" s="29"/>
      <c r="G149" s="37" t="s">
        <v>943</v>
      </c>
      <c r="H149" s="29" t="s">
        <v>4034</v>
      </c>
      <c r="I149" s="636"/>
      <c r="J149" s="633" t="str">
        <f>IF(ISBLANK(HLOOKUP(CaseName,CaseData,MATCH($G149,cases!$G$3:$G$2464,0),FALSE)),"",HLOOKUP(CaseName,CaseData,MATCH($G149,cases!$G$3:$G$2464,0),FALSE))</f>
        <v/>
      </c>
      <c r="K149" s="352">
        <f>L153*L157*L154</f>
        <v>2550000000000000</v>
      </c>
      <c r="L149" s="634">
        <f>IF(ISBLANK(I149),IF(ISNUMBER(J149)=FALSE,K149,J149),I149)</f>
        <v>2550000000000000</v>
      </c>
      <c r="M149" s="36" t="s">
        <v>1496</v>
      </c>
      <c r="N149" s="29"/>
      <c r="O149" s="36"/>
    </row>
    <row r="150" spans="1:15" ht="12.75" customHeight="1" x14ac:dyDescent="0.3">
      <c r="A150" s="36" t="s">
        <v>104</v>
      </c>
      <c r="B150" s="29"/>
      <c r="C150" s="29"/>
      <c r="D150" s="29"/>
      <c r="E150" s="29"/>
      <c r="F150" s="29"/>
      <c r="G150" s="37" t="s">
        <v>942</v>
      </c>
      <c r="H150" s="29" t="s">
        <v>4034</v>
      </c>
      <c r="I150" s="636"/>
      <c r="J150" s="633" t="str">
        <f>IF(ISBLANK(HLOOKUP(CaseName,CaseData,MATCH($G150,cases!$G$3:$G$2464,0),FALSE)),"",HLOOKUP(CaseName,CaseData,MATCH($G150,cases!$G$3:$G$2464,0),FALSE))</f>
        <v/>
      </c>
      <c r="K150" s="352">
        <f>L153*L158*L154</f>
        <v>7.65E+16</v>
      </c>
      <c r="L150" s="634">
        <f>IF(ISBLANK(I150),IF(ISNUMBER(J150)=FALSE,K150,J150),I150)</f>
        <v>7.65E+16</v>
      </c>
      <c r="M150" s="36" t="s">
        <v>1496</v>
      </c>
      <c r="N150" s="29"/>
      <c r="O150" s="36"/>
    </row>
    <row r="151" spans="1:15" ht="12.75" customHeight="1" x14ac:dyDescent="0.3">
      <c r="A151" s="36" t="s">
        <v>734</v>
      </c>
      <c r="B151" s="29"/>
      <c r="C151" s="29"/>
      <c r="D151" s="29"/>
      <c r="E151" s="29"/>
      <c r="F151" s="29"/>
      <c r="G151" s="37" t="s">
        <v>274</v>
      </c>
      <c r="H151" s="29" t="s">
        <v>4034</v>
      </c>
      <c r="I151" s="636"/>
      <c r="J151" s="633" t="str">
        <f>IF(ISBLANK(HLOOKUP(CaseName,CaseData,MATCH($G151,cases!$G$3:$G$2464,0),FALSE)),"",HLOOKUP(CaseName,CaseData,MATCH($G151,cases!$G$3:$G$2464,0),FALSE))</f>
        <v/>
      </c>
      <c r="K151" s="352">
        <f>L153*L159*L154</f>
        <v>765000000000</v>
      </c>
      <c r="L151" s="634">
        <f>IF(ISBLANK(I151),IF(ISNUMBER(J151)=FALSE,K151,J151),I151)</f>
        <v>765000000000</v>
      </c>
      <c r="M151" s="36" t="s">
        <v>1496</v>
      </c>
      <c r="N151" s="29"/>
      <c r="O151" s="36"/>
    </row>
    <row r="152" spans="1:15" ht="12.75" customHeight="1" x14ac:dyDescent="0.3">
      <c r="A152" s="36" t="s">
        <v>735</v>
      </c>
      <c r="B152" s="29"/>
      <c r="C152" s="29"/>
      <c r="D152" s="29"/>
      <c r="E152" s="29"/>
      <c r="F152" s="29"/>
      <c r="G152" s="37" t="s">
        <v>275</v>
      </c>
      <c r="H152" s="29" t="s">
        <v>4034</v>
      </c>
      <c r="I152" s="636"/>
      <c r="J152" s="633" t="str">
        <f>IF(ISBLANK(HLOOKUP(CaseName,CaseData,MATCH($G152,cases!$G$3:$G$2464,0),FALSE)),"",HLOOKUP(CaseName,CaseData,MATCH($G152,cases!$G$3:$G$2464,0),FALSE))</f>
        <v/>
      </c>
      <c r="K152" s="352">
        <f>L153*L155*L160</f>
        <v>850000000000</v>
      </c>
      <c r="L152" s="634">
        <f>IF(ISBLANK(I152),IF(ISNUMBER(J152)=FALSE,K152,J152),I152)</f>
        <v>850000000000</v>
      </c>
      <c r="M152" s="36" t="s">
        <v>1496</v>
      </c>
      <c r="N152" s="29"/>
      <c r="O152" s="36"/>
    </row>
    <row r="153" spans="1:15" ht="12.75" customHeight="1" x14ac:dyDescent="0.3">
      <c r="A153" s="29"/>
      <c r="B153" s="36" t="s">
        <v>1019</v>
      </c>
      <c r="C153" s="29"/>
      <c r="D153" s="29"/>
      <c r="E153" s="29"/>
      <c r="F153" s="29"/>
      <c r="G153" s="37" t="s">
        <v>276</v>
      </c>
      <c r="H153" s="29" t="s">
        <v>4035</v>
      </c>
      <c r="I153" s="637"/>
      <c r="J153" s="633" t="str">
        <f>IF(ISBLANK(HLOOKUP(CaseName,CaseData,MATCH($G153,cases!$G$3:$G$2464,0),FALSE)),"",HLOOKUP(CaseName,CaseData,MATCH($G153,cases!$G$3:$G$2464,0),FALSE))</f>
        <v/>
      </c>
      <c r="K153" s="352">
        <v>42500000</v>
      </c>
      <c r="L153" s="634">
        <f>IF(ISBLANK(I153),IF(ISNUMBER(J153)=FALSE,K153*1000000,J153*1000000),I153*1000000)</f>
        <v>42500000000000</v>
      </c>
      <c r="M153" s="36" t="s">
        <v>1492</v>
      </c>
      <c r="N153" s="29"/>
      <c r="O153" s="36"/>
    </row>
    <row r="154" spans="1:15" ht="12.75" customHeight="1" x14ac:dyDescent="0.3">
      <c r="A154" s="29"/>
      <c r="B154" s="36" t="s">
        <v>3991</v>
      </c>
      <c r="C154" s="29"/>
      <c r="D154" s="29"/>
      <c r="E154" s="29"/>
      <c r="F154" s="29"/>
      <c r="G154" s="94" t="s">
        <v>18</v>
      </c>
      <c r="H154" s="29" t="s">
        <v>36</v>
      </c>
      <c r="I154" s="636"/>
      <c r="J154" s="633" t="str">
        <f>IF(ISBLANK(HLOOKUP(CaseName,CaseData,MATCH($G154,cases!$G$3:$G$2464,0),FALSE)),"",HLOOKUP(CaseName,CaseData,MATCH($G154,cases!$G$3:$G$2464,0),FALSE))</f>
        <v/>
      </c>
      <c r="K154" s="352">
        <v>0.6</v>
      </c>
      <c r="L154" s="634">
        <f>IF(ISBLANK(I154),IF(ISNUMBER(J154)=FALSE,K154,J154),I154)</f>
        <v>0.6</v>
      </c>
      <c r="M154" s="29" t="s">
        <v>486</v>
      </c>
      <c r="N154" s="29"/>
      <c r="O154" s="36"/>
    </row>
    <row r="155" spans="1:15" ht="12.75" customHeight="1" x14ac:dyDescent="0.3">
      <c r="A155" s="29"/>
      <c r="B155" s="36" t="s">
        <v>3992</v>
      </c>
      <c r="C155" s="29"/>
      <c r="D155" s="29"/>
      <c r="E155" s="29"/>
      <c r="F155" s="29"/>
      <c r="G155" s="94" t="s">
        <v>19</v>
      </c>
      <c r="H155" s="29" t="s">
        <v>36</v>
      </c>
      <c r="I155" s="636"/>
      <c r="J155" s="633" t="str">
        <f>IF(ISBLANK(HLOOKUP(CaseName,CaseData,MATCH($G155,cases!$G$3:$G$2464,0),FALSE)),"",HLOOKUP(CaseName,CaseData,MATCH($G155,cases!$G$3:$G$2464,0),FALSE))</f>
        <v/>
      </c>
      <c r="K155" s="352">
        <f>1-L154</f>
        <v>0.4</v>
      </c>
      <c r="L155" s="634">
        <f>IF(ISBLANK(I155),IF(ISNUMBER(J155)=FALSE,K155,J155),I155)</f>
        <v>0.4</v>
      </c>
      <c r="M155" s="29" t="s">
        <v>486</v>
      </c>
      <c r="N155" s="29"/>
      <c r="O155" s="36"/>
    </row>
    <row r="156" spans="1:15" ht="12.75" customHeight="1" x14ac:dyDescent="0.3">
      <c r="A156" s="29"/>
      <c r="B156" s="29"/>
      <c r="C156" s="36" t="s">
        <v>767</v>
      </c>
      <c r="D156" s="29"/>
      <c r="E156" s="29"/>
      <c r="F156" s="29"/>
      <c r="G156" s="94" t="s">
        <v>20</v>
      </c>
      <c r="H156" s="36" t="s">
        <v>719</v>
      </c>
      <c r="I156" s="636"/>
      <c r="J156" s="633" t="str">
        <f>IF(ISBLANK(HLOOKUP(CaseName,CaseData,MATCH($G156,cases!$G$3:$G$2464,0),FALSE)),"",HLOOKUP(CaseName,CaseData,MATCH($G156,cases!$G$3:$G$2464,0),FALSE))</f>
        <v/>
      </c>
      <c r="K156" s="352">
        <v>1000</v>
      </c>
      <c r="L156" s="634">
        <f>IF(ISBLANK(I156),IF(ISNUMBER(J156)=FALSE,K156,J156),I156)</f>
        <v>1000</v>
      </c>
      <c r="M156" s="36" t="s">
        <v>720</v>
      </c>
      <c r="N156" s="29"/>
      <c r="O156" s="36"/>
    </row>
    <row r="157" spans="1:15" ht="12.75" customHeight="1" x14ac:dyDescent="0.3">
      <c r="A157" s="29"/>
      <c r="B157" s="29"/>
      <c r="C157" s="36" t="s">
        <v>106</v>
      </c>
      <c r="D157" s="29"/>
      <c r="E157" s="29"/>
      <c r="F157" s="29"/>
      <c r="G157" s="94" t="s">
        <v>950</v>
      </c>
      <c r="H157" s="36" t="s">
        <v>719</v>
      </c>
      <c r="I157" s="637"/>
      <c r="J157" s="633" t="str">
        <f>IF(ISBLANK(HLOOKUP(CaseName,CaseData,MATCH($G157,cases!$G$3:$G$2464,0),FALSE)),"",HLOOKUP(CaseName,CaseData,MATCH($G157,cases!$G$3:$G$2464,0),FALSE))</f>
        <v/>
      </c>
      <c r="K157" s="352">
        <v>100</v>
      </c>
      <c r="L157" s="634">
        <f>IF(ISBLANK(I157),IF(ISNUMBER(J157)=FALSE,K157,J157),I157)</f>
        <v>100</v>
      </c>
      <c r="M157" s="36" t="s">
        <v>720</v>
      </c>
      <c r="N157" s="29"/>
      <c r="O157" s="36"/>
    </row>
    <row r="158" spans="1:15" ht="12.75" customHeight="1" x14ac:dyDescent="0.3">
      <c r="A158" s="29"/>
      <c r="B158" s="29"/>
      <c r="C158" s="36" t="s">
        <v>105</v>
      </c>
      <c r="D158" s="29"/>
      <c r="E158" s="29"/>
      <c r="F158" s="29"/>
      <c r="G158" s="94" t="s">
        <v>951</v>
      </c>
      <c r="H158" s="36" t="s">
        <v>719</v>
      </c>
      <c r="I158" s="637"/>
      <c r="J158" s="633" t="str">
        <f>IF(ISBLANK(HLOOKUP(CaseName,CaseData,MATCH($G158,cases!$G$3:$G$2464,0),FALSE)),"",HLOOKUP(CaseName,CaseData,MATCH($G158,cases!$G$3:$G$2464,0),FALSE))</f>
        <v/>
      </c>
      <c r="K158" s="352">
        <v>3000</v>
      </c>
      <c r="L158" s="634">
        <f>IF(ISBLANK(I158),IF(ISNUMBER(J158)=FALSE,K158,J158),I158)</f>
        <v>3000</v>
      </c>
      <c r="M158" s="36" t="s">
        <v>720</v>
      </c>
      <c r="N158" s="29"/>
      <c r="O158" s="36"/>
    </row>
    <row r="159" spans="1:15" ht="12.75" customHeight="1" x14ac:dyDescent="0.3">
      <c r="A159" s="29"/>
      <c r="B159" s="29"/>
      <c r="C159" s="36" t="s">
        <v>1053</v>
      </c>
      <c r="D159" s="29"/>
      <c r="E159" s="29"/>
      <c r="F159" s="29"/>
      <c r="G159" s="94" t="s">
        <v>21</v>
      </c>
      <c r="H159" s="36" t="s">
        <v>721</v>
      </c>
      <c r="I159" s="636"/>
      <c r="J159" s="633" t="str">
        <f>IF(ISBLANK(HLOOKUP(CaseName,CaseData,MATCH($G159,cases!$G$3:$G$2464,0),FALSE)),"",HLOOKUP(CaseName,CaseData,MATCH($G159,cases!$G$3:$G$2464,0),FALSE))</f>
        <v/>
      </c>
      <c r="K159" s="352">
        <v>3</v>
      </c>
      <c r="L159" s="634">
        <f>IF(ISBLANK(I159),IF(ISNUMBER(J159)=FALSE,K159/100,J159/100),I159/100)</f>
        <v>0.03</v>
      </c>
      <c r="M159" s="36" t="s">
        <v>720</v>
      </c>
      <c r="N159" s="29"/>
      <c r="O159" s="36"/>
    </row>
    <row r="160" spans="1:15" ht="12.75" customHeight="1" x14ac:dyDescent="0.3">
      <c r="A160" s="36"/>
      <c r="B160" s="29"/>
      <c r="C160" s="36" t="s">
        <v>3993</v>
      </c>
      <c r="D160" s="95"/>
      <c r="E160" s="95"/>
      <c r="F160" s="95"/>
      <c r="G160" s="94" t="s">
        <v>22</v>
      </c>
      <c r="H160" s="36" t="s">
        <v>719</v>
      </c>
      <c r="I160" s="632"/>
      <c r="J160" s="633" t="str">
        <f>IF(ISBLANK(HLOOKUP(CaseName,CaseData,MATCH($G160,cases!$G$3:$G$2464,0),FALSE)),"",HLOOKUP(CaseName,CaseData,MATCH($G160,cases!$G$3:$G$2464,0),FALSE))</f>
        <v/>
      </c>
      <c r="K160" s="352">
        <v>0.05</v>
      </c>
      <c r="L160" s="634">
        <f t="shared" ref="L160:L167" si="8">IF(ISBLANK(I160),IF(ISNUMBER(J160)=FALSE,K160,J160),I160)</f>
        <v>0.05</v>
      </c>
      <c r="M160" s="29" t="s">
        <v>720</v>
      </c>
      <c r="N160" s="29"/>
      <c r="O160" s="36"/>
    </row>
    <row r="161" spans="1:15" ht="12.75" customHeight="1" x14ac:dyDescent="0.3">
      <c r="A161" s="29"/>
      <c r="B161" s="29"/>
      <c r="C161" s="29" t="s">
        <v>216</v>
      </c>
      <c r="D161" s="29"/>
      <c r="E161" s="29"/>
      <c r="F161" s="29"/>
      <c r="G161" s="36" t="s">
        <v>4016</v>
      </c>
      <c r="H161" s="36" t="s">
        <v>722</v>
      </c>
      <c r="I161" s="636"/>
      <c r="J161" s="633" t="str">
        <f>IF(ISBLANK(HLOOKUP(CaseName,CaseData,MATCH($G161,cases!$G$3:$G$2464,0),FALSE)),"",HLOOKUP(CaseName,CaseData,MATCH($G161,cases!$G$3:$G$2464,0),FALSE))</f>
        <v/>
      </c>
      <c r="K161" s="352">
        <v>1.9999999999999999E-11</v>
      </c>
      <c r="L161" s="634">
        <f t="shared" si="8"/>
        <v>1.9999999999999999E-11</v>
      </c>
      <c r="M161" s="36" t="s">
        <v>486</v>
      </c>
      <c r="N161" s="29" t="s">
        <v>2183</v>
      </c>
      <c r="O161" s="36"/>
    </row>
    <row r="162" spans="1:15" ht="12.75" customHeight="1" x14ac:dyDescent="0.3">
      <c r="A162" s="29"/>
      <c r="B162" s="29"/>
      <c r="C162" s="29" t="s">
        <v>217</v>
      </c>
      <c r="D162" s="29"/>
      <c r="E162" s="29"/>
      <c r="F162" s="29"/>
      <c r="G162" s="36" t="s">
        <v>4017</v>
      </c>
      <c r="H162" s="36" t="s">
        <v>722</v>
      </c>
      <c r="I162" s="636"/>
      <c r="J162" s="633" t="str">
        <f>IF(ISBLANK(HLOOKUP(CaseName,CaseData,MATCH($G162,cases!$G$3:$G$2464,0),FALSE)),"",HLOOKUP(CaseName,CaseData,MATCH($G162,cases!$G$3:$G$2464,0),FALSE))</f>
        <v/>
      </c>
      <c r="K162" s="352">
        <v>1.9999999999999999E-11</v>
      </c>
      <c r="L162" s="634">
        <f t="shared" si="8"/>
        <v>1.9999999999999999E-11</v>
      </c>
      <c r="M162" s="36" t="s">
        <v>486</v>
      </c>
      <c r="N162" s="29" t="s">
        <v>2183</v>
      </c>
      <c r="O162" s="36"/>
    </row>
    <row r="163" spans="1:15" ht="12.75" customHeight="1" x14ac:dyDescent="0.3">
      <c r="A163" s="29"/>
      <c r="B163" s="29"/>
      <c r="C163" s="36" t="s">
        <v>1054</v>
      </c>
      <c r="D163" s="95"/>
      <c r="E163" s="95"/>
      <c r="F163" s="95"/>
      <c r="G163" s="94" t="s">
        <v>474</v>
      </c>
      <c r="H163" s="36" t="s">
        <v>722</v>
      </c>
      <c r="I163" s="636"/>
      <c r="J163" s="633" t="str">
        <f>IF(ISBLANK(HLOOKUP(CaseName,CaseData,MATCH($G163,cases!$G$3:$G$2464,0),FALSE)),"",HLOOKUP(CaseName,CaseData,MATCH($G163,cases!$G$3:$G$2464,0),FALSE))</f>
        <v/>
      </c>
      <c r="K163" s="352">
        <v>0.2</v>
      </c>
      <c r="L163" s="634">
        <f t="shared" si="8"/>
        <v>0.2</v>
      </c>
      <c r="M163" s="29" t="s">
        <v>486</v>
      </c>
      <c r="N163" s="29"/>
      <c r="O163" s="36"/>
    </row>
    <row r="164" spans="1:15" ht="12.75" customHeight="1" x14ac:dyDescent="0.3">
      <c r="A164" s="29"/>
      <c r="B164" s="29"/>
      <c r="C164" s="36" t="s">
        <v>1055</v>
      </c>
      <c r="D164" s="29"/>
      <c r="E164" s="29"/>
      <c r="F164" s="29"/>
      <c r="G164" s="94" t="s">
        <v>1304</v>
      </c>
      <c r="H164" s="36" t="s">
        <v>722</v>
      </c>
      <c r="I164" s="636"/>
      <c r="J164" s="633" t="str">
        <f>IF(ISBLANK(HLOOKUP(CaseName,CaseData,MATCH($G164,cases!$G$3:$G$2464,0),FALSE)),"",HLOOKUP(CaseName,CaseData,MATCH($G164,cases!$G$3:$G$2464,0),FALSE))</f>
        <v/>
      </c>
      <c r="K164" s="352">
        <v>0.2</v>
      </c>
      <c r="L164" s="634">
        <f t="shared" si="8"/>
        <v>0.2</v>
      </c>
      <c r="M164" s="29" t="s">
        <v>486</v>
      </c>
      <c r="N164" s="29"/>
      <c r="O164" s="36"/>
    </row>
    <row r="165" spans="1:15" ht="12.75" customHeight="1" x14ac:dyDescent="0.3">
      <c r="A165" s="29"/>
      <c r="B165" s="29"/>
      <c r="C165" s="36" t="s">
        <v>1056</v>
      </c>
      <c r="D165" s="29"/>
      <c r="E165" s="29"/>
      <c r="F165" s="29"/>
      <c r="G165" s="94" t="s">
        <v>1305</v>
      </c>
      <c r="H165" s="36" t="s">
        <v>722</v>
      </c>
      <c r="I165" s="636"/>
      <c r="J165" s="633" t="str">
        <f>IF(ISBLANK(HLOOKUP(CaseName,CaseData,MATCH($G165,cases!$G$3:$G$2464,0),FALSE)),"",HLOOKUP(CaseName,CaseData,MATCH($G165,cases!$G$3:$G$2464,0),FALSE))</f>
        <v/>
      </c>
      <c r="K165" s="352">
        <f>1-L163-L164</f>
        <v>0.60000000000000009</v>
      </c>
      <c r="L165" s="634">
        <f t="shared" si="8"/>
        <v>0.60000000000000009</v>
      </c>
      <c r="M165" s="29" t="s">
        <v>486</v>
      </c>
      <c r="N165" s="29"/>
      <c r="O165" s="36"/>
    </row>
    <row r="166" spans="1:15" ht="12.75" customHeight="1" x14ac:dyDescent="0.3">
      <c r="A166" s="36"/>
      <c r="B166" s="29"/>
      <c r="C166" s="36" t="s">
        <v>434</v>
      </c>
      <c r="D166" s="95"/>
      <c r="E166" s="95"/>
      <c r="F166" s="95"/>
      <c r="G166" s="94" t="s">
        <v>1306</v>
      </c>
      <c r="H166" s="36" t="s">
        <v>722</v>
      </c>
      <c r="I166" s="636"/>
      <c r="J166" s="633" t="str">
        <f>IF(ISBLANK(HLOOKUP(CaseName,CaseData,MATCH($G166,cases!$G$3:$G$2464,0),FALSE)),"",HLOOKUP(CaseName,CaseData,MATCH($G166,cases!$G$3:$G$2464,0),FALSE))</f>
        <v/>
      </c>
      <c r="K166" s="352">
        <v>0.8</v>
      </c>
      <c r="L166" s="634">
        <f t="shared" si="8"/>
        <v>0.8</v>
      </c>
      <c r="M166" s="36" t="s">
        <v>486</v>
      </c>
      <c r="N166" s="29"/>
      <c r="O166" s="36"/>
    </row>
    <row r="167" spans="1:15" ht="12.75" customHeight="1" x14ac:dyDescent="0.3">
      <c r="A167" s="36"/>
      <c r="B167" s="29"/>
      <c r="C167" s="36" t="s">
        <v>475</v>
      </c>
      <c r="D167" s="95"/>
      <c r="E167" s="95"/>
      <c r="F167" s="95"/>
      <c r="G167" s="94" t="s">
        <v>476</v>
      </c>
      <c r="H167" s="36" t="s">
        <v>722</v>
      </c>
      <c r="I167" s="636"/>
      <c r="J167" s="633" t="str">
        <f>IF(ISBLANK(HLOOKUP(CaseName,CaseData,MATCH($G167,cases!$G$3:$G$2464,0),FALSE)),"",HLOOKUP(CaseName,CaseData,MATCH($G167,cases!$G$3:$G$2464,0),FALSE))</f>
        <v/>
      </c>
      <c r="K167" s="352">
        <f>1-L166</f>
        <v>0.19999999999999996</v>
      </c>
      <c r="L167" s="634">
        <f t="shared" si="8"/>
        <v>0.19999999999999996</v>
      </c>
      <c r="M167" s="36" t="s">
        <v>486</v>
      </c>
      <c r="N167" s="29"/>
      <c r="O167" s="36"/>
    </row>
    <row r="168" spans="1:15" ht="12.75" customHeight="1" x14ac:dyDescent="0.3">
      <c r="A168" s="29"/>
      <c r="B168" s="29"/>
      <c r="C168" s="29"/>
      <c r="D168" s="29"/>
      <c r="E168" s="29"/>
      <c r="F168" s="29"/>
      <c r="G168" s="29"/>
      <c r="H168" s="29"/>
      <c r="I168" s="646"/>
      <c r="J168" s="633"/>
      <c r="K168" s="339"/>
      <c r="L168" s="339"/>
      <c r="M168" s="29"/>
      <c r="N168" s="29"/>
      <c r="O168" s="36"/>
    </row>
    <row r="169" spans="1:15" ht="12.75" customHeight="1" x14ac:dyDescent="0.3">
      <c r="A169" s="36" t="s">
        <v>100</v>
      </c>
      <c r="B169" s="29"/>
      <c r="C169" s="29"/>
      <c r="D169" s="29"/>
      <c r="E169" s="29"/>
      <c r="F169" s="29"/>
      <c r="G169" s="36" t="s">
        <v>1258</v>
      </c>
      <c r="H169" s="36" t="s">
        <v>4036</v>
      </c>
      <c r="I169" s="637"/>
      <c r="J169" s="633" t="str">
        <f>IF(ISBLANK(HLOOKUP(CaseName,CaseData,MATCH($G169,cases!$G$3:$G$2464,0),FALSE)),"",HLOOKUP(CaseName,CaseData,MATCH($G169,cases!$G$3:$G$2464,0),FALSE))</f>
        <v/>
      </c>
      <c r="K169" s="352">
        <f>1/L170</f>
        <v>6.9234185224561193E-7</v>
      </c>
      <c r="L169" s="634">
        <f>IF(ISBLANK(I169),IF(ISNUMBER(J169)=FALSE,K169,J169),I169)</f>
        <v>6.9234185224561193E-7</v>
      </c>
      <c r="M169" s="29" t="s">
        <v>1488</v>
      </c>
      <c r="N169" s="29"/>
      <c r="O169" s="36"/>
    </row>
    <row r="170" spans="1:15" ht="12.75" customHeight="1" x14ac:dyDescent="0.3">
      <c r="A170" s="36"/>
      <c r="B170" s="36" t="s">
        <v>544</v>
      </c>
      <c r="C170" s="29"/>
      <c r="D170" s="29"/>
      <c r="E170" s="29"/>
      <c r="F170" s="29"/>
      <c r="G170" s="37" t="s">
        <v>406</v>
      </c>
      <c r="H170" s="29" t="s">
        <v>723</v>
      </c>
      <c r="I170" s="636"/>
      <c r="J170" s="633" t="str">
        <f>IF(ISBLANK(HLOOKUP(CaseName,CaseData,MATCH($G170,cases!$G$3:$G$2464,0),FALSE)),"",HLOOKUP(CaseName,CaseData,MATCH($G170,cases!$G$3:$G$2464,0),FALSE))</f>
        <v/>
      </c>
      <c r="K170" s="352">
        <f>1.5*(0.5*SQRT(L153*PI()/4)/L234)/(3600*24)</f>
        <v>16.717282129534052</v>
      </c>
      <c r="L170" s="634">
        <f>IF(ISBLANK(I170),IF(ISNUMBER(J170)=FALSE,K170*(3600*24),J170*(3600*24)),I170*(3600*24))</f>
        <v>1444373.1759917422</v>
      </c>
      <c r="M170" s="36" t="s">
        <v>115</v>
      </c>
      <c r="N170" s="29"/>
      <c r="O170" s="36"/>
    </row>
    <row r="171" spans="1:15" ht="12.75" customHeight="1" x14ac:dyDescent="0.3">
      <c r="A171" s="29"/>
      <c r="B171" s="29"/>
      <c r="C171" s="29"/>
      <c r="D171" s="29"/>
      <c r="E171" s="29"/>
      <c r="F171" s="29"/>
      <c r="G171" s="29"/>
      <c r="H171" s="29"/>
      <c r="I171" s="646"/>
      <c r="J171" s="633"/>
      <c r="K171" s="339"/>
      <c r="L171" s="339"/>
      <c r="M171" s="29"/>
      <c r="N171" s="29"/>
      <c r="O171" s="36"/>
    </row>
    <row r="172" spans="1:15" ht="12.75" customHeight="1" x14ac:dyDescent="0.3">
      <c r="A172" s="36" t="s">
        <v>1146</v>
      </c>
      <c r="B172" s="29"/>
      <c r="C172" s="29"/>
      <c r="D172" s="29"/>
      <c r="E172" s="29"/>
      <c r="F172" s="29"/>
      <c r="G172" s="36" t="s">
        <v>1257</v>
      </c>
      <c r="H172" s="36" t="s">
        <v>4036</v>
      </c>
      <c r="I172" s="637"/>
      <c r="J172" s="633" t="str">
        <f>IF(ISBLANK(HLOOKUP(CaseName,CaseData,MATCH($G172,cases!$G$3:$G$2464,0),FALSE)),"",HLOOKUP(CaseName,CaseData,MATCH($G172,cases!$G$3:$G$2464,0),FALSE))</f>
        <v/>
      </c>
      <c r="K172" s="639">
        <f>L174/L149</f>
        <v>0</v>
      </c>
      <c r="L172" s="634">
        <f t="shared" ref="L172:L177" si="9">IF(ISBLANK(I172),IF(ISNUMBER(J172)=FALSE,K172,J172),I172)</f>
        <v>0</v>
      </c>
      <c r="M172" s="29" t="s">
        <v>1488</v>
      </c>
      <c r="N172" s="29"/>
      <c r="O172" s="36"/>
    </row>
    <row r="173" spans="1:15" ht="12.75" customHeight="1" x14ac:dyDescent="0.3">
      <c r="A173" s="36" t="s">
        <v>1145</v>
      </c>
      <c r="B173" s="29"/>
      <c r="C173" s="29"/>
      <c r="D173" s="29"/>
      <c r="E173" s="29"/>
      <c r="F173" s="29"/>
      <c r="G173" s="36" t="s">
        <v>1115</v>
      </c>
      <c r="H173" s="36" t="s">
        <v>4036</v>
      </c>
      <c r="I173" s="637"/>
      <c r="J173" s="633" t="str">
        <f>IF(ISBLANK(HLOOKUP(CaseName,CaseData,MATCH($G173,cases!$G$3:$G$2464,0),FALSE)),"",HLOOKUP(CaseName,CaseData,MATCH($G173,cases!$G$3:$G$2464,0),FALSE))</f>
        <v/>
      </c>
      <c r="K173" s="639">
        <f>L38/L150</f>
        <v>1.9607843137254903E-9</v>
      </c>
      <c r="L173" s="634">
        <f t="shared" si="9"/>
        <v>1.9607843137254903E-9</v>
      </c>
      <c r="M173" s="29" t="s">
        <v>1488</v>
      </c>
      <c r="N173" s="29"/>
      <c r="O173" s="36"/>
    </row>
    <row r="174" spans="1:15" ht="12.75" customHeight="1" x14ac:dyDescent="0.3">
      <c r="A174" s="36"/>
      <c r="B174" s="36" t="s">
        <v>545</v>
      </c>
      <c r="C174" s="29"/>
      <c r="D174" s="29"/>
      <c r="E174" s="29"/>
      <c r="F174" s="29"/>
      <c r="G174" s="94" t="s">
        <v>1282</v>
      </c>
      <c r="H174" s="29" t="s">
        <v>4037</v>
      </c>
      <c r="I174" s="636"/>
      <c r="J174" s="633" t="str">
        <f>IF(ISBLANK(HLOOKUP(CaseName,CaseData,MATCH($G174,cases!$G$3:$G$2464,0),FALSE)),"",HLOOKUP(CaseName,CaseData,MATCH($G174,cases!$G$3:$G$2464,0),FALSE))</f>
        <v/>
      </c>
      <c r="K174" s="639">
        <f>0</f>
        <v>0</v>
      </c>
      <c r="L174" s="634">
        <f t="shared" si="9"/>
        <v>0</v>
      </c>
      <c r="M174" s="29" t="s">
        <v>4038</v>
      </c>
      <c r="N174" s="29"/>
      <c r="O174" s="36"/>
    </row>
    <row r="175" spans="1:15" ht="12.75" customHeight="1" x14ac:dyDescent="0.3">
      <c r="A175" s="36" t="s">
        <v>129</v>
      </c>
      <c r="B175" s="29"/>
      <c r="C175" s="29"/>
      <c r="D175" s="29"/>
      <c r="E175" s="29"/>
      <c r="F175" s="29"/>
      <c r="G175" s="36" t="s">
        <v>127</v>
      </c>
      <c r="H175" s="36" t="s">
        <v>4036</v>
      </c>
      <c r="I175" s="636"/>
      <c r="J175" s="633" t="str">
        <f>IF(ISBLANK(HLOOKUP(CaseName,CaseData,MATCH($G175,cases!$G$3:$G$2464,0),FALSE)),"",HLOOKUP(CaseName,CaseData,MATCH($G175,cases!$G$3:$G$2464,0),FALSE))</f>
        <v/>
      </c>
      <c r="K175" s="639">
        <f>(L38+L177)/L149</f>
        <v>2.6926123984947511E-7</v>
      </c>
      <c r="L175" s="634">
        <f t="shared" si="9"/>
        <v>2.6926123984947511E-7</v>
      </c>
      <c r="M175" s="29" t="s">
        <v>1488</v>
      </c>
      <c r="N175" s="29"/>
      <c r="O175" s="36"/>
    </row>
    <row r="176" spans="1:15" ht="12.75" customHeight="1" x14ac:dyDescent="0.3">
      <c r="A176" s="36" t="s">
        <v>130</v>
      </c>
      <c r="B176" s="29"/>
      <c r="C176" s="29"/>
      <c r="D176" s="29"/>
      <c r="E176" s="29"/>
      <c r="F176" s="29"/>
      <c r="G176" s="36" t="s">
        <v>128</v>
      </c>
      <c r="H176" s="36" t="s">
        <v>4036</v>
      </c>
      <c r="I176" s="637"/>
      <c r="J176" s="633" t="str">
        <f>IF(ISBLANK(HLOOKUP(CaseName,CaseData,MATCH($G176,cases!$G$3:$G$2464,0),FALSE)),"",HLOOKUP(CaseName,CaseData,MATCH($G176,cases!$G$3:$G$2464,0),FALSE))</f>
        <v/>
      </c>
      <c r="K176" s="639">
        <f>(L38+L177)/L150</f>
        <v>8.9753746616491718E-9</v>
      </c>
      <c r="L176" s="634">
        <f t="shared" si="9"/>
        <v>8.9753746616491718E-9</v>
      </c>
      <c r="M176" s="29" t="s">
        <v>1488</v>
      </c>
      <c r="N176" s="29"/>
      <c r="O176" s="36"/>
    </row>
    <row r="177" spans="1:15" ht="12.75" customHeight="1" x14ac:dyDescent="0.3">
      <c r="A177" s="36"/>
      <c r="B177" s="29" t="s">
        <v>693</v>
      </c>
      <c r="C177" s="29"/>
      <c r="D177" s="29"/>
      <c r="E177" s="29"/>
      <c r="F177" s="29"/>
      <c r="G177" s="37" t="s">
        <v>1281</v>
      </c>
      <c r="H177" s="29" t="s">
        <v>4037</v>
      </c>
      <c r="I177" s="637"/>
      <c r="J177" s="633" t="str">
        <f>IF(ISBLANK(HLOOKUP(CaseName,CaseData,MATCH($G177,cases!$G$3:$G$2464,0),FALSE)),"",HLOOKUP(CaseName,CaseData,MATCH($G177,cases!$G$3:$G$2464,0),FALSE))</f>
        <v/>
      </c>
      <c r="K177" s="349">
        <f>L149/L178</f>
        <v>536616161.61616164</v>
      </c>
      <c r="L177" s="634">
        <f t="shared" si="9"/>
        <v>536616161.61616164</v>
      </c>
      <c r="M177" s="29" t="s">
        <v>4038</v>
      </c>
      <c r="N177" s="29"/>
      <c r="O177" s="36"/>
    </row>
    <row r="178" spans="1:15" ht="12.75" customHeight="1" x14ac:dyDescent="0.3">
      <c r="A178" s="36"/>
      <c r="B178" s="36"/>
      <c r="C178" s="29" t="s">
        <v>1218</v>
      </c>
      <c r="D178" s="29"/>
      <c r="E178" s="29"/>
      <c r="F178" s="29"/>
      <c r="G178" s="37" t="s">
        <v>806</v>
      </c>
      <c r="H178" s="29" t="s">
        <v>723</v>
      </c>
      <c r="I178" s="637"/>
      <c r="J178" s="633" t="str">
        <f>IF(ISBLANK(HLOOKUP(CaseName,CaseData,MATCH($G178,cases!$G$3:$G$2464,0),FALSE)),"",HLOOKUP(CaseName,CaseData,MATCH($G178,cases!$G$3:$G$2464,0),FALSE))</f>
        <v/>
      </c>
      <c r="K178" s="352">
        <v>55</v>
      </c>
      <c r="L178" s="634">
        <f>IF(ISBLANK(I178),IF(ISNUMBER(J178)=FALSE,K178*(3600*24),J178*(3600*24)),I178*(3600*24))</f>
        <v>4752000</v>
      </c>
      <c r="M178" s="36" t="s">
        <v>115</v>
      </c>
      <c r="N178" s="29"/>
      <c r="O178" s="36"/>
    </row>
    <row r="179" spans="1:15" ht="12.75" customHeight="1" x14ac:dyDescent="0.3">
      <c r="A179" s="29"/>
      <c r="B179" s="29"/>
      <c r="C179" s="29"/>
      <c r="D179" s="29"/>
      <c r="E179" s="29"/>
      <c r="F179" s="29"/>
      <c r="G179" s="29"/>
      <c r="H179" s="29"/>
      <c r="I179" s="353"/>
      <c r="J179" s="353"/>
      <c r="K179" s="353"/>
      <c r="L179" s="339"/>
      <c r="M179" s="29"/>
      <c r="N179" s="29"/>
      <c r="O179" s="36"/>
    </row>
    <row r="180" spans="1:15" ht="12.75" customHeight="1" x14ac:dyDescent="0.3">
      <c r="A180" s="98" t="s">
        <v>209</v>
      </c>
      <c r="B180" s="97"/>
      <c r="C180" s="97"/>
      <c r="D180" s="97"/>
      <c r="E180" s="97"/>
      <c r="F180" s="97"/>
      <c r="G180" s="98" t="s">
        <v>1008</v>
      </c>
      <c r="H180" s="98" t="s">
        <v>968</v>
      </c>
      <c r="I180" s="364" t="s">
        <v>754</v>
      </c>
      <c r="J180" s="340" t="s">
        <v>37</v>
      </c>
      <c r="K180" s="340" t="s">
        <v>753</v>
      </c>
      <c r="L180" s="340" t="s">
        <v>1358</v>
      </c>
      <c r="M180" s="97"/>
      <c r="N180" s="98" t="s">
        <v>1371</v>
      </c>
      <c r="O180" s="36"/>
    </row>
    <row r="181" spans="1:15" ht="12.75" customHeight="1" x14ac:dyDescent="0.3">
      <c r="A181" s="36"/>
      <c r="B181" s="36"/>
      <c r="C181" s="29"/>
      <c r="D181" s="29"/>
      <c r="E181" s="29"/>
      <c r="F181" s="29"/>
      <c r="G181" s="29"/>
      <c r="H181" s="29"/>
      <c r="I181" s="353"/>
      <c r="J181" s="643"/>
      <c r="K181" s="353"/>
      <c r="L181" s="339"/>
      <c r="M181" s="29"/>
      <c r="N181" s="29"/>
      <c r="O181" s="36"/>
    </row>
    <row r="182" spans="1:15" ht="12.75" customHeight="1" x14ac:dyDescent="0.3">
      <c r="A182" s="29"/>
      <c r="B182" s="29" t="s">
        <v>986</v>
      </c>
      <c r="C182" s="29"/>
      <c r="D182" s="29"/>
      <c r="E182" s="29"/>
      <c r="F182" s="29"/>
      <c r="G182" s="36" t="s">
        <v>4018</v>
      </c>
      <c r="H182" s="36" t="s">
        <v>36</v>
      </c>
      <c r="I182" s="636"/>
      <c r="J182" s="633" t="str">
        <f>IF(ISBLANK(HLOOKUP(CaseName,CaseData,MATCH($G182,cases!$G$3:$G$2464,0),FALSE)),"",HLOOKUP(CaseName,CaseData,MATCH($G182,cases!$G$3:$G$2464,0),FALSE))</f>
        <v/>
      </c>
      <c r="K182" s="366">
        <f>1-L162 *L187/(1+L162*L187+L161*L188)-L161 *L188/(1+L162*L187+L161*L188)</f>
        <v>0.99999996416294512</v>
      </c>
      <c r="L182" s="634">
        <f>IF(ISBLANK(I182),IF(ISNUMBER(J182)=FALSE,K182,J182),I182)</f>
        <v>0.99999996416294512</v>
      </c>
      <c r="M182" s="36" t="s">
        <v>486</v>
      </c>
      <c r="N182" s="36"/>
      <c r="O182" s="36"/>
    </row>
    <row r="183" spans="1:15" ht="12.75" customHeight="1" x14ac:dyDescent="0.3">
      <c r="A183" s="29"/>
      <c r="B183" s="29" t="s">
        <v>615</v>
      </c>
      <c r="C183" s="29"/>
      <c r="D183" s="29"/>
      <c r="E183" s="29"/>
      <c r="F183" s="29"/>
      <c r="G183" s="36" t="s">
        <v>639</v>
      </c>
      <c r="H183" s="36" t="s">
        <v>36</v>
      </c>
      <c r="I183" s="636"/>
      <c r="J183" s="633" t="str">
        <f>IF(ISBLANK(HLOOKUP(CaseName,CaseData,MATCH($G183,cases!$G$3:$G$2464,0),FALSE)),"",HLOOKUP(CaseName,CaseData,MATCH($G183,cases!$G$3:$G$2464,0),FALSE))</f>
        <v/>
      </c>
      <c r="K183" s="366">
        <f>L162*L187/(1+L162*L187+L161*L188)</f>
        <v>7.5395671451565307E-10</v>
      </c>
      <c r="L183" s="634">
        <f>IF(ISBLANK(I183),IF(ISNUMBER(J183)=FALSE,K183,J183),I183)</f>
        <v>7.5395671451565307E-10</v>
      </c>
      <c r="M183" s="36" t="s">
        <v>486</v>
      </c>
      <c r="N183" s="36" t="s">
        <v>2184</v>
      </c>
      <c r="O183" s="36"/>
    </row>
    <row r="184" spans="1:15" ht="12.75" customHeight="1" x14ac:dyDescent="0.3">
      <c r="A184" s="29"/>
      <c r="B184" s="29" t="s">
        <v>616</v>
      </c>
      <c r="C184" s="29"/>
      <c r="D184" s="29"/>
      <c r="E184" s="29"/>
      <c r="F184" s="29"/>
      <c r="G184" s="36" t="s">
        <v>640</v>
      </c>
      <c r="H184" s="36" t="s">
        <v>36</v>
      </c>
      <c r="I184" s="636"/>
      <c r="J184" s="633" t="str">
        <f>IF(ISBLANK(HLOOKUP(CaseName,CaseData,MATCH($G184,cases!$G$3:$G$2464,0),FALSE)),"",HLOOKUP(CaseName,CaseData,MATCH($G184,cases!$G$3:$G$2464,0),FALSE))</f>
        <v/>
      </c>
      <c r="K184" s="366">
        <f>L161*L188/(1+L162*L187+L161*L188)</f>
        <v>3.5083098243780637E-8</v>
      </c>
      <c r="L184" s="634">
        <f>IF(ISBLANK(I184),IF(ISNUMBER(J184)=FALSE,K184,J184),I184)</f>
        <v>3.5083098243780637E-8</v>
      </c>
      <c r="M184" s="36" t="s">
        <v>486</v>
      </c>
      <c r="N184" s="36" t="s">
        <v>2184</v>
      </c>
      <c r="O184" s="36"/>
    </row>
    <row r="185" spans="1:15" ht="12.75" customHeight="1" x14ac:dyDescent="0.3">
      <c r="A185" s="29"/>
      <c r="B185" s="29"/>
      <c r="C185" s="36" t="s">
        <v>1043</v>
      </c>
      <c r="D185" s="36"/>
      <c r="E185" s="36"/>
      <c r="F185" s="36"/>
      <c r="G185" s="36" t="s">
        <v>4019</v>
      </c>
      <c r="H185" s="36" t="s">
        <v>36</v>
      </c>
      <c r="I185" s="636"/>
      <c r="J185" s="633" t="str">
        <f>IF(ISBLANK(HLOOKUP(CaseName,CaseData,MATCH($G185,cases!$G$3:$G$2464,0),FALSE)),"",HLOOKUP(CaseName,CaseData,MATCH($G185,cases!$G$3:$G$2464,0),FALSE))</f>
        <v/>
      </c>
      <c r="K185" s="366">
        <f>Kaw*EXP((H0vap/8.314)*(1/298-1/L186))*EXP(-(H0sol/8.314)*(1/298-1/L186))*(298/L186)</f>
        <v>2.6526720829201759E-2</v>
      </c>
      <c r="L185" s="634">
        <f>IF(ISBLANK(I185),IF(ISNUMBER(J185)=FALSE,K185,J185),I185)</f>
        <v>2.6526720829201759E-2</v>
      </c>
      <c r="M185" s="36" t="s">
        <v>486</v>
      </c>
      <c r="N185" s="29"/>
      <c r="O185" s="36"/>
    </row>
    <row r="186" spans="1:15" ht="12.75" customHeight="1" x14ac:dyDescent="0.3">
      <c r="A186" s="36"/>
      <c r="B186" s="29"/>
      <c r="C186" s="29" t="s">
        <v>1017</v>
      </c>
      <c r="D186" s="29"/>
      <c r="E186" s="29"/>
      <c r="F186" s="29"/>
      <c r="G186" s="29" t="s">
        <v>408</v>
      </c>
      <c r="H186" s="29" t="s">
        <v>4049</v>
      </c>
      <c r="I186" s="636"/>
      <c r="J186" s="633" t="str">
        <f>IF(ISBLANK(HLOOKUP(CaseName,CaseData,MATCH($G186,cases!$G$3:$G$2464,0),FALSE)),"",HLOOKUP(CaseName,CaseData,MATCH($G186,cases!$G$3:$G$2464,0),FALSE))</f>
        <v/>
      </c>
      <c r="K186" s="352">
        <v>-10</v>
      </c>
      <c r="L186" s="634">
        <f>IF(ISBLANK(I186),IF(ISNUMBER(J186)=FALSE,K186+273,J186+273),I186+273)</f>
        <v>263</v>
      </c>
      <c r="M186" s="36" t="s">
        <v>588</v>
      </c>
      <c r="N186" s="29"/>
      <c r="O186" s="36"/>
    </row>
    <row r="187" spans="1:15" ht="12.75" customHeight="1" x14ac:dyDescent="0.35">
      <c r="A187" s="29"/>
      <c r="B187" s="29"/>
      <c r="C187" s="29" t="s">
        <v>612</v>
      </c>
      <c r="D187" s="29"/>
      <c r="E187" s="29"/>
      <c r="F187" s="29"/>
      <c r="G187" s="29" t="s">
        <v>642</v>
      </c>
      <c r="H187" s="29" t="s">
        <v>4040</v>
      </c>
      <c r="I187" s="518"/>
      <c r="J187" s="633" t="str">
        <f>IF(ISBLANK(HLOOKUP(CaseName,CaseData,MATCH($G187,cases!$G$3:$G$2464,0),FALSE)),"",HLOOKUP(CaseName,CaseData,MATCH($G187,cases!$G$3:$G$2464,0),FALSE))</f>
        <v/>
      </c>
      <c r="K187" s="366">
        <f>1/(L185*FRorig.aerw)</f>
        <v>37.697837076762113</v>
      </c>
      <c r="L187" s="634">
        <f t="shared" ref="L187:L194" si="10">IF(ISBLANK(I187),IF(ISNUMBER(J187)=FALSE,K187,J187),I187)</f>
        <v>37.697837076762113</v>
      </c>
      <c r="M187" s="36" t="s">
        <v>4050</v>
      </c>
      <c r="N187" s="29"/>
      <c r="O187" s="36"/>
    </row>
    <row r="188" spans="1:15" ht="12.75" customHeight="1" x14ac:dyDescent="0.35">
      <c r="A188" s="29"/>
      <c r="B188" s="29"/>
      <c r="C188" s="29" t="s">
        <v>613</v>
      </c>
      <c r="D188" s="29"/>
      <c r="E188" s="29"/>
      <c r="F188" s="29"/>
      <c r="G188" s="29" t="s">
        <v>643</v>
      </c>
      <c r="H188" s="29" t="s">
        <v>4041</v>
      </c>
      <c r="I188" s="518"/>
      <c r="J188" s="633" t="str">
        <f>IF(ISBLANK(HLOOKUP(CaseName,CaseData,MATCH($G188,cases!$G$3:$G$2464,0),FALSE)),"",HLOOKUP(CaseName,CaseData,MATCH($G188,cases!$G$3:$G$2464,0),FALSE))</f>
        <v/>
      </c>
      <c r="K188" s="366">
        <f>0.54*(Kow/Kaw)*CORGaers*(RHOaers/1000)</f>
        <v>1754.1549750527802</v>
      </c>
      <c r="L188" s="634">
        <f t="shared" si="10"/>
        <v>1754.1549750527802</v>
      </c>
      <c r="M188" s="36" t="s">
        <v>4051</v>
      </c>
      <c r="N188" s="29" t="s">
        <v>924</v>
      </c>
      <c r="O188" s="36"/>
    </row>
    <row r="189" spans="1:15" ht="12.75" customHeight="1" x14ac:dyDescent="0.3">
      <c r="A189" s="36"/>
      <c r="B189" s="36" t="s">
        <v>4001</v>
      </c>
      <c r="C189" s="95"/>
      <c r="D189" s="29"/>
      <c r="E189" s="29"/>
      <c r="F189" s="29"/>
      <c r="G189" s="37" t="s">
        <v>1147</v>
      </c>
      <c r="H189" s="36" t="s">
        <v>36</v>
      </c>
      <c r="I189" s="636"/>
      <c r="J189" s="633" t="str">
        <f>IF(ISBLANK(HLOOKUP(CaseName,CaseData,MATCH($G189,cases!$G$3:$G$2464,0),FALSE)),"",HLOOKUP(CaseName,CaseData,MATCH($G189,cases!$G$3:$G$2464,0),FALSE))</f>
        <v/>
      </c>
      <c r="K189" s="352">
        <f>1/(1+L191*L195/1000+L197*L199/1000)</f>
        <v>0.99939559656267651</v>
      </c>
      <c r="L189" s="634">
        <f t="shared" si="10"/>
        <v>0.99939559656267651</v>
      </c>
      <c r="M189" s="36" t="s">
        <v>486</v>
      </c>
      <c r="N189" s="29"/>
      <c r="O189" s="36"/>
    </row>
    <row r="190" spans="1:15" ht="12.75" customHeight="1" x14ac:dyDescent="0.3">
      <c r="A190" s="36"/>
      <c r="B190" s="36" t="s">
        <v>1119</v>
      </c>
      <c r="C190" s="95"/>
      <c r="D190" s="29"/>
      <c r="E190" s="29"/>
      <c r="F190" s="29"/>
      <c r="G190" s="37" t="s">
        <v>1148</v>
      </c>
      <c r="H190" s="36" t="s">
        <v>36</v>
      </c>
      <c r="I190" s="636"/>
      <c r="J190" s="633" t="str">
        <f>IF(ISBLANK(HLOOKUP(CaseName,CaseData,MATCH($G190,cases!$G$3:$G$2464,0),FALSE)),"",HLOOKUP(CaseName,CaseData,MATCH($G190,cases!$G$3:$G$2464,0),FALSE))</f>
        <v/>
      </c>
      <c r="K190" s="352">
        <f>1/(1+L192*L196/1000+L198*L200/1000)</f>
        <v>0.99939559656267651</v>
      </c>
      <c r="L190" s="634">
        <f t="shared" si="10"/>
        <v>0.99939559656267651</v>
      </c>
      <c r="M190" s="36" t="s">
        <v>486</v>
      </c>
      <c r="N190" s="29"/>
      <c r="O190" s="36"/>
    </row>
    <row r="191" spans="1:15" ht="12.75" customHeight="1" x14ac:dyDescent="0.3">
      <c r="A191" s="36"/>
      <c r="B191" s="29"/>
      <c r="C191" s="36" t="s">
        <v>4002</v>
      </c>
      <c r="D191" s="29"/>
      <c r="E191" s="29"/>
      <c r="F191" s="29"/>
      <c r="G191" s="94" t="s">
        <v>1149</v>
      </c>
      <c r="H191" s="36" t="s">
        <v>4042</v>
      </c>
      <c r="I191" s="636"/>
      <c r="J191" s="633" t="str">
        <f>IF(ISBLANK(HLOOKUP(CaseName,CaseData,MATCH($G191,cases!$G$3:$G$2464,0),FALSE)),"",HLOOKUP(CaseName,CaseData,MATCH($G191,cases!$G$3:$G$2464,0),FALSE))</f>
        <v/>
      </c>
      <c r="K191" s="352">
        <f>(FRorig.w2*Ksw+(1-FRorig.w2)*Ksw.alt)*(1000/RHOsolid/CORG)*L193</f>
        <v>76.953792352546415</v>
      </c>
      <c r="L191" s="634">
        <f t="shared" si="10"/>
        <v>76.953792352546415</v>
      </c>
      <c r="M191" s="36" t="s">
        <v>1498</v>
      </c>
      <c r="N191" s="29"/>
      <c r="O191" s="36"/>
    </row>
    <row r="192" spans="1:15" ht="12.75" customHeight="1" x14ac:dyDescent="0.3">
      <c r="A192" s="36"/>
      <c r="B192" s="29"/>
      <c r="C192" s="36" t="s">
        <v>1122</v>
      </c>
      <c r="D192" s="29"/>
      <c r="E192" s="29"/>
      <c r="F192" s="29"/>
      <c r="G192" s="94" t="s">
        <v>1150</v>
      </c>
      <c r="H192" s="36" t="s">
        <v>4042</v>
      </c>
      <c r="I192" s="636"/>
      <c r="J192" s="633" t="str">
        <f>IF(ISBLANK(HLOOKUP(CaseName,CaseData,MATCH($G192,cases!$G$3:$G$2464,0),FALSE)),"",HLOOKUP(CaseName,CaseData,MATCH($G192,cases!$G$3:$G$2464,0),FALSE))</f>
        <v/>
      </c>
      <c r="K192" s="352">
        <f>(FRorig.w2*Ksw+(1-FRorig.w2)*Ksw.alt)*(1000/RHOsolid/CORG)*L194</f>
        <v>76.953792352546415</v>
      </c>
      <c r="L192" s="634">
        <f t="shared" si="10"/>
        <v>76.953792352546415</v>
      </c>
      <c r="M192" s="36" t="s">
        <v>1498</v>
      </c>
      <c r="N192" s="29"/>
      <c r="O192" s="36"/>
    </row>
    <row r="193" spans="1:15" ht="12.75" customHeight="1" x14ac:dyDescent="0.3">
      <c r="A193" s="36"/>
      <c r="B193" s="29"/>
      <c r="C193" s="36" t="s">
        <v>4003</v>
      </c>
      <c r="D193" s="29"/>
      <c r="E193" s="29"/>
      <c r="F193" s="29"/>
      <c r="G193" s="94" t="s">
        <v>1458</v>
      </c>
      <c r="H193" s="36" t="s">
        <v>36</v>
      </c>
      <c r="I193" s="636"/>
      <c r="J193" s="633" t="str">
        <f>IF(ISBLANK(HLOOKUP(CaseName,CaseData,MATCH($G193,cases!$G$3:$G$2464,0),FALSE)),"",HLOOKUP(CaseName,CaseData,MATCH($G193,cases!$G$3:$G$2464,0),FALSE))</f>
        <v/>
      </c>
      <c r="K193" s="352">
        <v>0.1</v>
      </c>
      <c r="L193" s="634">
        <f t="shared" si="10"/>
        <v>0.1</v>
      </c>
      <c r="M193" s="36" t="s">
        <v>486</v>
      </c>
      <c r="N193" s="29"/>
      <c r="O193" s="36"/>
    </row>
    <row r="194" spans="1:15" ht="12.75" customHeight="1" x14ac:dyDescent="0.3">
      <c r="A194" s="36"/>
      <c r="B194" s="29"/>
      <c r="C194" s="36" t="s">
        <v>1124</v>
      </c>
      <c r="D194" s="29"/>
      <c r="E194" s="29"/>
      <c r="F194" s="29"/>
      <c r="G194" s="94" t="s">
        <v>1459</v>
      </c>
      <c r="H194" s="36" t="s">
        <v>36</v>
      </c>
      <c r="I194" s="636"/>
      <c r="J194" s="633" t="str">
        <f>IF(ISBLANK(HLOOKUP(CaseName,CaseData,MATCH($G194,cases!$G$3:$G$2464,0),FALSE)),"",HLOOKUP(CaseName,CaseData,MATCH($G194,cases!$G$3:$G$2464,0),FALSE))</f>
        <v/>
      </c>
      <c r="K194" s="352">
        <v>0.1</v>
      </c>
      <c r="L194" s="634">
        <f t="shared" si="10"/>
        <v>0.1</v>
      </c>
      <c r="M194" s="36" t="s">
        <v>486</v>
      </c>
      <c r="N194" s="29"/>
      <c r="O194" s="36"/>
    </row>
    <row r="195" spans="1:15" ht="12.75" customHeight="1" x14ac:dyDescent="0.3">
      <c r="A195" s="36"/>
      <c r="B195" s="29"/>
      <c r="C195" s="36" t="s">
        <v>4004</v>
      </c>
      <c r="D195" s="29"/>
      <c r="E195" s="29"/>
      <c r="F195" s="29"/>
      <c r="G195" s="94" t="s">
        <v>1151</v>
      </c>
      <c r="H195" s="36" t="s">
        <v>4043</v>
      </c>
      <c r="I195" s="636"/>
      <c r="J195" s="633" t="str">
        <f>IF(ISBLANK(HLOOKUP(CaseName,CaseData,MATCH($G195,cases!$G$3:$G$2464,0),FALSE)),"",HLOOKUP(CaseName,CaseData,MATCH($G195,cases!$G$3:$G$2464,0),FALSE))</f>
        <v/>
      </c>
      <c r="K195" s="352">
        <v>5</v>
      </c>
      <c r="L195" s="634">
        <f>IF(ISBLANK(I195),IF(ISNUMBER(J195)=FALSE,K195/1000,J195/1000),I195/1000)</f>
        <v>5.0000000000000001E-3</v>
      </c>
      <c r="M195" s="36" t="s">
        <v>1497</v>
      </c>
      <c r="N195" s="29"/>
      <c r="O195" s="36"/>
    </row>
    <row r="196" spans="1:15" ht="12.75" customHeight="1" x14ac:dyDescent="0.3">
      <c r="A196" s="36"/>
      <c r="B196" s="29"/>
      <c r="C196" s="36" t="s">
        <v>1126</v>
      </c>
      <c r="D196" s="29"/>
      <c r="E196" s="29"/>
      <c r="F196" s="29"/>
      <c r="G196" s="94" t="s">
        <v>1152</v>
      </c>
      <c r="H196" s="36" t="s">
        <v>4043</v>
      </c>
      <c r="I196" s="636"/>
      <c r="J196" s="633" t="str">
        <f>IF(ISBLANK(HLOOKUP(CaseName,CaseData,MATCH($G196,cases!$G$3:$G$2464,0),FALSE)),"",HLOOKUP(CaseName,CaseData,MATCH($G196,cases!$G$3:$G$2464,0),FALSE))</f>
        <v/>
      </c>
      <c r="K196" s="352">
        <v>5</v>
      </c>
      <c r="L196" s="634">
        <f>IF(ISBLANK(I196),IF(ISNUMBER(J196)=FALSE,K196/1000,J196/1000),I196/1000)</f>
        <v>5.0000000000000001E-3</v>
      </c>
      <c r="M196" s="36" t="s">
        <v>1497</v>
      </c>
      <c r="N196" s="29"/>
      <c r="O196" s="36"/>
    </row>
    <row r="197" spans="1:15" ht="12.75" customHeight="1" x14ac:dyDescent="0.3">
      <c r="A197" s="36"/>
      <c r="B197" s="29"/>
      <c r="C197" s="36" t="s">
        <v>4005</v>
      </c>
      <c r="D197" s="29"/>
      <c r="E197" s="29"/>
      <c r="F197" s="29"/>
      <c r="G197" s="94" t="s">
        <v>1153</v>
      </c>
      <c r="H197" s="36" t="s">
        <v>1039</v>
      </c>
      <c r="I197" s="632"/>
      <c r="J197" s="633" t="str">
        <f>IF(ISBLANK(HLOOKUP(CaseName,CaseData,MATCH($G197,cases!$G$3:$G$2464,0),FALSE)),"",HLOOKUP(CaseName,CaseData,MATCH($G197,cases!$G$3:$G$2464,0),FALSE))</f>
        <v/>
      </c>
      <c r="K197" s="352">
        <f>0.08*D</f>
        <v>220</v>
      </c>
      <c r="L197" s="634">
        <f>IF(ISBLANK(I197),IF(ISNUMBER(J197)=FALSE,K197,J197),I197)</f>
        <v>220</v>
      </c>
      <c r="M197" s="36" t="s">
        <v>1498</v>
      </c>
      <c r="N197" s="29"/>
      <c r="O197" s="36"/>
    </row>
    <row r="198" spans="1:15" ht="12.75" customHeight="1" x14ac:dyDescent="0.3">
      <c r="A198" s="36"/>
      <c r="B198" s="29"/>
      <c r="C198" s="36" t="s">
        <v>1143</v>
      </c>
      <c r="D198" s="29"/>
      <c r="E198" s="29"/>
      <c r="F198" s="29"/>
      <c r="G198" s="94" t="s">
        <v>1154</v>
      </c>
      <c r="H198" s="36" t="s">
        <v>1039</v>
      </c>
      <c r="I198" s="632"/>
      <c r="J198" s="633" t="str">
        <f>IF(ISBLANK(HLOOKUP(CaseName,CaseData,MATCH($G198,cases!$G$3:$G$2464,0),FALSE)),"",HLOOKUP(CaseName,CaseData,MATCH($G198,cases!$G$3:$G$2464,0),FALSE))</f>
        <v/>
      </c>
      <c r="K198" s="352">
        <f>0.08*D</f>
        <v>220</v>
      </c>
      <c r="L198" s="634">
        <f>IF(ISBLANK(I198),IF(ISNUMBER(J198)=FALSE,K198,J198),I198)</f>
        <v>220</v>
      </c>
      <c r="M198" s="36" t="s">
        <v>1498</v>
      </c>
      <c r="N198" s="29"/>
      <c r="O198" s="36"/>
    </row>
    <row r="199" spans="1:15" ht="12.75" customHeight="1" x14ac:dyDescent="0.3">
      <c r="A199" s="36"/>
      <c r="B199" s="29"/>
      <c r="C199" s="36" t="s">
        <v>4006</v>
      </c>
      <c r="D199" s="29"/>
      <c r="E199" s="29"/>
      <c r="F199" s="29"/>
      <c r="G199" s="94" t="s">
        <v>1155</v>
      </c>
      <c r="H199" s="36" t="s">
        <v>1038</v>
      </c>
      <c r="I199" s="632"/>
      <c r="J199" s="633" t="str">
        <f>IF(ISBLANK(HLOOKUP(CaseName,CaseData,MATCH($G199,cases!$G$3:$G$2464,0),FALSE)),"",HLOOKUP(CaseName,CaseData,MATCH($G199,cases!$G$3:$G$2464,0),FALSE))</f>
        <v/>
      </c>
      <c r="K199" s="352">
        <v>1</v>
      </c>
      <c r="L199" s="634">
        <f>IF(ISBLANK(I199),IF(ISNUMBER(J199)=FALSE,K199/1000,J199/1000),I199/1000)</f>
        <v>1E-3</v>
      </c>
      <c r="M199" s="36" t="s">
        <v>1497</v>
      </c>
      <c r="N199" s="29"/>
      <c r="O199" s="36"/>
    </row>
    <row r="200" spans="1:15" ht="12.75" customHeight="1" x14ac:dyDescent="0.3">
      <c r="A200" s="36"/>
      <c r="B200" s="29"/>
      <c r="C200" s="36" t="s">
        <v>1130</v>
      </c>
      <c r="D200" s="29"/>
      <c r="E200" s="29"/>
      <c r="F200" s="29"/>
      <c r="G200" s="94" t="s">
        <v>1156</v>
      </c>
      <c r="H200" s="36" t="s">
        <v>1038</v>
      </c>
      <c r="I200" s="632"/>
      <c r="J200" s="633" t="str">
        <f>IF(ISBLANK(HLOOKUP(CaseName,CaseData,MATCH($G200,cases!$G$3:$G$2464,0),FALSE)),"",HLOOKUP(CaseName,CaseData,MATCH($G200,cases!$G$3:$G$2464,0),FALSE))</f>
        <v/>
      </c>
      <c r="K200" s="352">
        <v>1</v>
      </c>
      <c r="L200" s="634">
        <f>IF(ISBLANK(I200),IF(ISNUMBER(J200)=FALSE,K200/1000,J200/1000),I200/1000)</f>
        <v>1E-3</v>
      </c>
      <c r="M200" s="36" t="s">
        <v>1497</v>
      </c>
      <c r="N200" s="29"/>
      <c r="O200" s="36"/>
    </row>
    <row r="201" spans="1:15" ht="12.75" customHeight="1" x14ac:dyDescent="0.3">
      <c r="A201" s="36"/>
      <c r="B201" s="36" t="s">
        <v>1375</v>
      </c>
      <c r="C201" s="95"/>
      <c r="D201" s="29"/>
      <c r="E201" s="29"/>
      <c r="F201" s="29"/>
      <c r="G201" s="94" t="s">
        <v>411</v>
      </c>
      <c r="H201" s="36" t="s">
        <v>36</v>
      </c>
      <c r="I201" s="636"/>
      <c r="J201" s="633" t="str">
        <f>IF(ISBLANK(HLOOKUP(CaseName,CaseData,MATCH($G201,cases!$G$3:$G$2464,0),FALSE)),"",HLOOKUP(CaseName,CaseData,MATCH($G201,cases!$G$3:$G$2464,0),FALSE))</f>
        <v/>
      </c>
      <c r="K201" s="352">
        <f>L166+L167*L202*RHOsolid/1000</f>
        <v>20.038448088136601</v>
      </c>
      <c r="L201" s="634">
        <f t="shared" ref="L201:L208" si="11">IF(ISBLANK(I201),IF(ISNUMBER(J201)=FALSE,K201,J201),I201)</f>
        <v>20.038448088136601</v>
      </c>
      <c r="M201" s="36" t="s">
        <v>486</v>
      </c>
      <c r="N201" s="29"/>
      <c r="O201" s="36"/>
    </row>
    <row r="202" spans="1:15" ht="12.75" customHeight="1" x14ac:dyDescent="0.3">
      <c r="A202" s="36"/>
      <c r="B202" s="29"/>
      <c r="C202" s="36" t="s">
        <v>1376</v>
      </c>
      <c r="D202" s="29"/>
      <c r="E202" s="29"/>
      <c r="F202" s="29"/>
      <c r="G202" s="94" t="s">
        <v>176</v>
      </c>
      <c r="H202" s="36" t="s">
        <v>4042</v>
      </c>
      <c r="I202" s="636"/>
      <c r="J202" s="633" t="str">
        <f>IF(ISBLANK(HLOOKUP(CaseName,CaseData,MATCH($G202,cases!$G$3:$G$2464,0),FALSE)),"",HLOOKUP(CaseName,CaseData,MATCH($G202,cases!$G$3:$G$2464,0),FALSE))</f>
        <v/>
      </c>
      <c r="K202" s="352">
        <f>(FRorig.sd2*Ksw+(1-FRorig.sd2)*Ksw.alt)*(1000/RHOsolid/CORG)*L203</f>
        <v>38.476896176273208</v>
      </c>
      <c r="L202" s="634">
        <f t="shared" si="11"/>
        <v>38.476896176273208</v>
      </c>
      <c r="M202" s="36" t="s">
        <v>1498</v>
      </c>
      <c r="N202" s="29"/>
      <c r="O202" s="36"/>
    </row>
    <row r="203" spans="1:15" ht="12.75" customHeight="1" x14ac:dyDescent="0.3">
      <c r="A203" s="36"/>
      <c r="B203" s="29"/>
      <c r="C203" s="36" t="s">
        <v>546</v>
      </c>
      <c r="D203" s="29"/>
      <c r="E203" s="29"/>
      <c r="F203" s="29"/>
      <c r="G203" s="94" t="s">
        <v>409</v>
      </c>
      <c r="H203" s="36" t="s">
        <v>36</v>
      </c>
      <c r="I203" s="636"/>
      <c r="J203" s="633" t="str">
        <f>IF(ISBLANK(HLOOKUP(CaseName,CaseData,MATCH($G203,cases!$G$3:$G$2464,0),FALSE)),"",HLOOKUP(CaseName,CaseData,MATCH($G203,cases!$G$3:$G$2464,0),FALSE))</f>
        <v/>
      </c>
      <c r="K203" s="352">
        <v>0.05</v>
      </c>
      <c r="L203" s="634">
        <f t="shared" si="11"/>
        <v>0.05</v>
      </c>
      <c r="M203" s="36" t="s">
        <v>486</v>
      </c>
      <c r="N203" s="29"/>
      <c r="O203" s="36"/>
    </row>
    <row r="204" spans="1:15" ht="12.75" customHeight="1" x14ac:dyDescent="0.3">
      <c r="A204" s="36"/>
      <c r="B204" s="36" t="s">
        <v>1372</v>
      </c>
      <c r="C204" s="95"/>
      <c r="D204" s="29"/>
      <c r="E204" s="29"/>
      <c r="F204" s="29"/>
      <c r="G204" s="94" t="s">
        <v>4020</v>
      </c>
      <c r="H204" s="36" t="s">
        <v>36</v>
      </c>
      <c r="I204" s="636"/>
      <c r="J204" s="633" t="str">
        <f>IF(ISBLANK(HLOOKUP(CaseName,CaseData,MATCH($G204,cases!$G$3:$G$2464,0),FALSE)),"",HLOOKUP(CaseName,CaseData,MATCH($G204,cases!$G$3:$G$2464,0),FALSE))</f>
        <v/>
      </c>
      <c r="K204" s="352">
        <f>L163*(L185*FRorig.s1w)+L164+L165*L207*RHOsolid/1000</f>
        <v>23.291443049929764</v>
      </c>
      <c r="L204" s="634">
        <f t="shared" si="11"/>
        <v>23.291443049929764</v>
      </c>
      <c r="M204" s="29" t="s">
        <v>486</v>
      </c>
      <c r="N204" s="29"/>
      <c r="O204" s="36"/>
    </row>
    <row r="205" spans="1:15" ht="12.75" customHeight="1" x14ac:dyDescent="0.3">
      <c r="A205" s="36"/>
      <c r="B205" s="36" t="s">
        <v>48</v>
      </c>
      <c r="C205" s="95"/>
      <c r="D205" s="29"/>
      <c r="E205" s="29"/>
      <c r="F205" s="29"/>
      <c r="G205" s="94" t="s">
        <v>1302</v>
      </c>
      <c r="H205" s="36" t="s">
        <v>36</v>
      </c>
      <c r="I205" s="636"/>
      <c r="J205" s="633" t="str">
        <f>IF(ISBLANK(HLOOKUP(CaseName,CaseData,MATCH($G205,cases!$G$3:$G$2464,0),FALSE)),"",HLOOKUP(CaseName,CaseData,MATCH($G205,cases!$G$3:$G$2464,0),FALSE))</f>
        <v/>
      </c>
      <c r="K205" s="352">
        <f>L164/(L163*(L185*FRorig.s1w)+L164+L165*L207*RHOsolid/1000)</f>
        <v>8.5868445150118385E-3</v>
      </c>
      <c r="L205" s="634">
        <f t="shared" si="11"/>
        <v>8.5868445150118385E-3</v>
      </c>
      <c r="M205" s="29" t="s">
        <v>486</v>
      </c>
      <c r="N205" s="29"/>
      <c r="O205" s="36"/>
    </row>
    <row r="206" spans="1:15" ht="12.75" customHeight="1" x14ac:dyDescent="0.3">
      <c r="A206" s="36"/>
      <c r="B206" s="36" t="s">
        <v>1301</v>
      </c>
      <c r="C206" s="95"/>
      <c r="D206" s="29"/>
      <c r="E206" s="29"/>
      <c r="F206" s="29"/>
      <c r="G206" s="94" t="s">
        <v>1303</v>
      </c>
      <c r="H206" s="36" t="s">
        <v>36</v>
      </c>
      <c r="I206" s="636"/>
      <c r="J206" s="633" t="str">
        <f>IF(ISBLANK(HLOOKUP(CaseName,CaseData,MATCH($G206,cases!$G$3:$G$2464,0),FALSE)),"",HLOOKUP(CaseName,CaseData,MATCH($G206,cases!$G$3:$G$2464,0),FALSE))</f>
        <v/>
      </c>
      <c r="K206" s="352">
        <f>L165 / (L163*L185*FRorig.s1w/(L207*RHOsolid/1000)+L164/(L207*RHOsolid/1000)+L165 )</f>
        <v>0.99118537465773471</v>
      </c>
      <c r="L206" s="634">
        <f t="shared" si="11"/>
        <v>0.99118537465773471</v>
      </c>
      <c r="M206" s="5" t="s">
        <v>486</v>
      </c>
      <c r="N206" s="29"/>
      <c r="O206" s="36"/>
    </row>
    <row r="207" spans="1:15" ht="12.75" customHeight="1" x14ac:dyDescent="0.3">
      <c r="A207" s="36"/>
      <c r="B207" s="29"/>
      <c r="C207" s="36" t="s">
        <v>1373</v>
      </c>
      <c r="D207" s="29"/>
      <c r="E207" s="29"/>
      <c r="F207" s="29"/>
      <c r="G207" s="94" t="s">
        <v>171</v>
      </c>
      <c r="H207" s="36" t="s">
        <v>4042</v>
      </c>
      <c r="I207" s="636"/>
      <c r="J207" s="633" t="str">
        <f>IF(ISBLANK(HLOOKUP(CaseName,CaseData,MATCH($G207,cases!$G$3:$G$2464,0),FALSE)),"",HLOOKUP(CaseName,CaseData,MATCH($G207,cases!$G$3:$G$2464,0),FALSE))</f>
        <v/>
      </c>
      <c r="K207" s="352">
        <f>(FRorig.s1*Ksw+(1-FRorig.s1)*Ksw.alt)*(1000/RHOsolid/CORG)*L208</f>
        <v>15.390758470509281</v>
      </c>
      <c r="L207" s="634">
        <f t="shared" si="11"/>
        <v>15.390758470509281</v>
      </c>
      <c r="M207" s="36" t="s">
        <v>1498</v>
      </c>
      <c r="N207" s="29"/>
      <c r="O207" s="36"/>
    </row>
    <row r="208" spans="1:15" ht="12.75" customHeight="1" x14ac:dyDescent="0.3">
      <c r="A208" s="36"/>
      <c r="B208" s="29"/>
      <c r="C208" s="36" t="s">
        <v>1374</v>
      </c>
      <c r="D208" s="29"/>
      <c r="E208" s="29"/>
      <c r="F208" s="29"/>
      <c r="G208" s="94" t="s">
        <v>410</v>
      </c>
      <c r="H208" s="36" t="s">
        <v>36</v>
      </c>
      <c r="I208" s="636"/>
      <c r="J208" s="633" t="str">
        <f>IF(ISBLANK(HLOOKUP(CaseName,CaseData,MATCH($G208,cases!$G$3:$G$2464,0),FALSE)),"",HLOOKUP(CaseName,CaseData,MATCH($G208,cases!$G$3:$G$2464,0),FALSE))</f>
        <v/>
      </c>
      <c r="K208" s="352">
        <v>0.02</v>
      </c>
      <c r="L208" s="634">
        <f t="shared" si="11"/>
        <v>0.02</v>
      </c>
      <c r="M208" s="29" t="s">
        <v>486</v>
      </c>
      <c r="N208" s="29"/>
      <c r="O208" s="36"/>
    </row>
    <row r="209" spans="1:15" ht="12.75" customHeight="1" x14ac:dyDescent="0.3">
      <c r="A209" s="29"/>
      <c r="B209" s="29"/>
      <c r="C209" s="29"/>
      <c r="D209" s="29"/>
      <c r="E209" s="29"/>
      <c r="F209" s="29"/>
      <c r="G209" s="29"/>
      <c r="H209" s="29"/>
      <c r="I209" s="643"/>
      <c r="J209" s="353"/>
      <c r="K209" s="353"/>
      <c r="L209" s="339"/>
      <c r="M209" s="29"/>
      <c r="N209" s="29"/>
      <c r="O209" s="36"/>
    </row>
    <row r="210" spans="1:15" ht="12.75" customHeight="1" x14ac:dyDescent="0.3">
      <c r="A210" s="98" t="s">
        <v>1311</v>
      </c>
      <c r="B210" s="97"/>
      <c r="C210" s="97"/>
      <c r="D210" s="97"/>
      <c r="E210" s="97"/>
      <c r="F210" s="97"/>
      <c r="G210" s="98" t="s">
        <v>1008</v>
      </c>
      <c r="H210" s="98" t="s">
        <v>968</v>
      </c>
      <c r="I210" s="364" t="s">
        <v>754</v>
      </c>
      <c r="J210" s="340" t="s">
        <v>37</v>
      </c>
      <c r="K210" s="340" t="s">
        <v>753</v>
      </c>
      <c r="L210" s="340" t="s">
        <v>1358</v>
      </c>
      <c r="M210" s="97"/>
      <c r="N210" s="98" t="s">
        <v>1371</v>
      </c>
      <c r="O210" s="36"/>
    </row>
    <row r="211" spans="1:15" ht="12.75" customHeight="1" x14ac:dyDescent="0.3">
      <c r="A211" s="29"/>
      <c r="B211" s="29"/>
      <c r="C211" s="29"/>
      <c r="D211" s="29"/>
      <c r="E211" s="29"/>
      <c r="F211" s="29"/>
      <c r="G211" s="29"/>
      <c r="H211" s="96"/>
      <c r="I211" s="643"/>
      <c r="J211" s="643"/>
      <c r="K211" s="353"/>
      <c r="L211" s="339"/>
      <c r="M211" s="29"/>
      <c r="N211" s="29"/>
      <c r="O211" s="36"/>
    </row>
    <row r="212" spans="1:15" ht="12.75" customHeight="1" x14ac:dyDescent="0.3">
      <c r="A212" s="36" t="s">
        <v>93</v>
      </c>
      <c r="B212" s="29"/>
      <c r="C212" s="29"/>
      <c r="D212" s="29"/>
      <c r="E212" s="29"/>
      <c r="F212" s="29"/>
      <c r="G212" s="36" t="s">
        <v>1259</v>
      </c>
      <c r="H212" s="36" t="s">
        <v>4036</v>
      </c>
      <c r="I212" s="635"/>
      <c r="J212" s="633" t="str">
        <f>IF(ISBLANK(HLOOKUP(CaseName,CaseData,MATCH($G212,cases!$G$3:$G$2464,0),FALSE)),"",HLOOKUP(CaseName,CaseData,MATCH($G212,cases!$G$3:$G$2464,0),FALSE))</f>
        <v/>
      </c>
      <c r="K212" s="352">
        <f>(L216+L228/L156)*L154</f>
        <v>1.1265617780280159E-7</v>
      </c>
      <c r="L212" s="634">
        <f t="shared" ref="L212:L225" si="12">IF(ISBLANK(I212),IF(ISNUMBER(J212)=FALSE,K212,J212),I212)</f>
        <v>1.1265617780280159E-7</v>
      </c>
      <c r="M212" s="29" t="s">
        <v>1488</v>
      </c>
      <c r="N212" s="29"/>
      <c r="O212" s="36"/>
    </row>
    <row r="213" spans="1:15" ht="12.75" customHeight="1" x14ac:dyDescent="0.3">
      <c r="A213" s="36" t="s">
        <v>94</v>
      </c>
      <c r="B213" s="29"/>
      <c r="C213" s="29"/>
      <c r="D213" s="29"/>
      <c r="E213" s="29"/>
      <c r="F213" s="29"/>
      <c r="G213" s="36" t="s">
        <v>847</v>
      </c>
      <c r="H213" s="36" t="s">
        <v>4036</v>
      </c>
      <c r="I213" s="635"/>
      <c r="J213" s="633" t="str">
        <f>IF(ISBLANK(HLOOKUP(CaseName,CaseData,MATCH($G213,cases!$G$3:$G$2464,0),FALSE)),"",HLOOKUP(CaseName,CaseData,MATCH($G213,cases!$G$3:$G$2464,0),FALSE))</f>
        <v/>
      </c>
      <c r="K213" s="352">
        <f>(L216+L229/L156)*L155</f>
        <v>4.5147475223446605E-10</v>
      </c>
      <c r="L213" s="634">
        <f t="shared" si="12"/>
        <v>4.5147475223446605E-10</v>
      </c>
      <c r="M213" s="29" t="s">
        <v>1488</v>
      </c>
      <c r="N213" s="29"/>
      <c r="O213" s="36"/>
    </row>
    <row r="214" spans="1:15" ht="12.75" customHeight="1" x14ac:dyDescent="0.3">
      <c r="A214" s="36" t="s">
        <v>95</v>
      </c>
      <c r="B214" s="29"/>
      <c r="C214" s="29"/>
      <c r="D214" s="29"/>
      <c r="E214" s="29"/>
      <c r="F214" s="29"/>
      <c r="G214" s="36" t="s">
        <v>1260</v>
      </c>
      <c r="H214" s="36" t="s">
        <v>4036</v>
      </c>
      <c r="I214" s="635"/>
      <c r="J214" s="633" t="str">
        <f>IF(ISBLANK(HLOOKUP(CaseName,CaseData,MATCH($G214,cases!$G$3:$G$2464,0),FALSE)),"",HLOOKUP(CaseName,CaseData,MATCH($G214,cases!$G$3:$G$2464,0),FALSE))</f>
        <v/>
      </c>
      <c r="K214" s="352">
        <f>L230/L157</f>
        <v>4.9697298026139259E-8</v>
      </c>
      <c r="L214" s="634">
        <f t="shared" si="12"/>
        <v>4.9697298026139259E-8</v>
      </c>
      <c r="M214" s="29" t="s">
        <v>1488</v>
      </c>
      <c r="N214" s="29"/>
      <c r="O214" s="36"/>
    </row>
    <row r="215" spans="1:15" ht="12.75" customHeight="1" x14ac:dyDescent="0.3">
      <c r="A215" s="36" t="s">
        <v>96</v>
      </c>
      <c r="B215" s="29"/>
      <c r="C215" s="29"/>
      <c r="D215" s="29"/>
      <c r="E215" s="29"/>
      <c r="F215" s="29"/>
      <c r="G215" s="36" t="s">
        <v>848</v>
      </c>
      <c r="H215" s="36" t="s">
        <v>4036</v>
      </c>
      <c r="I215" s="635"/>
      <c r="J215" s="633" t="str">
        <f>IF(ISBLANK(HLOOKUP(CaseName,CaseData,MATCH($G215,cases!$G$3:$G$2464,0),FALSE)),"",HLOOKUP(CaseName,CaseData,MATCH($G215,cases!$G$3:$G$2464,0),FALSE))</f>
        <v/>
      </c>
      <c r="K215" s="352">
        <f>L231/L160</f>
        <v>2.4017280424639986E-8</v>
      </c>
      <c r="L215" s="634">
        <f t="shared" si="12"/>
        <v>2.4017280424639986E-8</v>
      </c>
      <c r="M215" s="29" t="s">
        <v>1488</v>
      </c>
      <c r="N215" s="29"/>
      <c r="O215" s="36"/>
    </row>
    <row r="216" spans="1:15" ht="12.75" customHeight="1" x14ac:dyDescent="0.3">
      <c r="A216" s="36"/>
      <c r="B216" s="36" t="s">
        <v>2265</v>
      </c>
      <c r="C216" s="29"/>
      <c r="D216" s="29"/>
      <c r="E216" s="29"/>
      <c r="F216" s="29"/>
      <c r="G216" s="37" t="s">
        <v>2282</v>
      </c>
      <c r="H216" s="36" t="s">
        <v>4036</v>
      </c>
      <c r="I216" s="635"/>
      <c r="J216" s="633" t="str">
        <f>IF(ISBLANK(HLOOKUP(CaseName,CaseData,MATCH($G216,cases!$G$3:$G$2464,0),FALSE)),"",HLOOKUP(CaseName,CaseData,MATCH($G216,cases!$G$3:$G$2464,0),FALSE))</f>
        <v/>
      </c>
      <c r="K216" s="352">
        <f>L217 - SUM((L228*L154+L229*L155)/L156,L265,L169)</f>
        <v>2.9893634719285038E-10</v>
      </c>
      <c r="L216" s="634">
        <f t="shared" si="12"/>
        <v>2.9893634719285038E-10</v>
      </c>
      <c r="M216" s="29" t="s">
        <v>1555</v>
      </c>
      <c r="N216" s="29"/>
      <c r="O216" s="36"/>
    </row>
    <row r="217" spans="1:15" ht="12.75" customHeight="1" x14ac:dyDescent="0.3">
      <c r="A217" s="36"/>
      <c r="B217" s="36"/>
      <c r="C217" s="29" t="s">
        <v>2266</v>
      </c>
      <c r="D217" s="29"/>
      <c r="E217" s="29"/>
      <c r="F217" s="29"/>
      <c r="G217" s="37" t="s">
        <v>2283</v>
      </c>
      <c r="H217" s="36" t="s">
        <v>4036</v>
      </c>
      <c r="I217" s="635"/>
      <c r="J217" s="633" t="str">
        <f>IF(ISBLANK(HLOOKUP(CaseName,CaseData,MATCH($G217,cases!$G$3:$G$2464,0),FALSE)),"",HLOOKUP(CaseName,CaseData,MATCH($G217,cases!$G$3:$G$2464,0),FALSE))</f>
        <v/>
      </c>
      <c r="K217" s="352">
        <f>((1/L218)*L220/(L220+L221)+(1/L219)*L221/(L220+L221)-((1/L219-1/L218)^2/(L220+L221))*(1-EXP(-L218*L220))*(1-EXP(-L219*L221))/(1-EXP(-L218*L220-L219*L221)))^-1</f>
        <v>9.8603566515325458E-7</v>
      </c>
      <c r="L217" s="634">
        <f t="shared" si="12"/>
        <v>9.8603566515325458E-7</v>
      </c>
      <c r="M217" s="29" t="s">
        <v>1488</v>
      </c>
      <c r="N217" s="29"/>
      <c r="O217" s="36"/>
    </row>
    <row r="218" spans="1:15" ht="12.75" customHeight="1" x14ac:dyDescent="0.3">
      <c r="A218" s="36"/>
      <c r="B218" s="36"/>
      <c r="C218" s="36"/>
      <c r="D218" s="36" t="s">
        <v>3976</v>
      </c>
      <c r="E218" s="29"/>
      <c r="F218" s="29"/>
      <c r="G218" s="37" t="s">
        <v>759</v>
      </c>
      <c r="H218" s="36" t="s">
        <v>4036</v>
      </c>
      <c r="I218" s="635"/>
      <c r="J218" s="633" t="str">
        <f>IF(ISBLANK(HLOOKUP(CaseName,CaseData,MATCH($G218,cases!$G$3:$G$2464,0),FALSE)),"",HLOOKUP(CaseName,CaseData,MATCH($G218,cases!$G$3:$G$2464,0),FALSE))</f>
        <v/>
      </c>
      <c r="K218" s="352">
        <f>L222/L156 + SUM((L228*L154+L229*L155)/L156,L265,L169)</f>
        <v>9.8573676464311665E-7</v>
      </c>
      <c r="L218" s="634">
        <f t="shared" si="12"/>
        <v>9.8573676464311665E-7</v>
      </c>
      <c r="M218" s="29" t="s">
        <v>1488</v>
      </c>
      <c r="N218" s="29"/>
      <c r="O218" s="36"/>
    </row>
    <row r="219" spans="1:15" ht="12.75" customHeight="1" x14ac:dyDescent="0.3">
      <c r="A219" s="36"/>
      <c r="B219" s="36"/>
      <c r="C219" s="36"/>
      <c r="D219" s="36" t="s">
        <v>3977</v>
      </c>
      <c r="E219" s="29"/>
      <c r="F219" s="29"/>
      <c r="G219" s="37" t="s">
        <v>760</v>
      </c>
      <c r="H219" s="36" t="s">
        <v>4036</v>
      </c>
      <c r="I219" s="635"/>
      <c r="J219" s="633" t="str">
        <f>IF(ISBLANK(HLOOKUP(CaseName,CaseData,MATCH($G219,cases!$G$3:$G$2464,0),FALSE)),"",HLOOKUP(CaseName,CaseData,MATCH($G219,cases!$G$3:$G$2464,0),FALSE))</f>
        <v/>
      </c>
      <c r="K219" s="352">
        <f>(L223+L224)/L156 + SUM((L228*L154+L229*L155)/L156,L265,L169)</f>
        <v>9.9071844974211246E-7</v>
      </c>
      <c r="L219" s="634">
        <f t="shared" si="12"/>
        <v>9.9071844974211246E-7</v>
      </c>
      <c r="M219" s="29" t="s">
        <v>1488</v>
      </c>
      <c r="N219" s="29"/>
      <c r="O219" s="36"/>
    </row>
    <row r="220" spans="1:15" ht="12.75" customHeight="1" x14ac:dyDescent="0.3">
      <c r="A220" s="36"/>
      <c r="B220" s="29" t="s">
        <v>929</v>
      </c>
      <c r="C220" s="29"/>
      <c r="D220" s="29"/>
      <c r="E220" s="29"/>
      <c r="F220" s="29"/>
      <c r="G220" s="29" t="s">
        <v>761</v>
      </c>
      <c r="H220" s="29" t="s">
        <v>2191</v>
      </c>
      <c r="I220" s="635"/>
      <c r="J220" s="633" t="str">
        <f>IF(ISBLANK(HLOOKUP(CaseName,CaseData,MATCH($G220,cases!$G$3:$G$2464,0),FALSE)),"",HLOOKUP(CaseName,CaseData,MATCH($G220,cases!$G$3:$G$2464,0),FALSE))</f>
        <v/>
      </c>
      <c r="K220" s="352">
        <f>3.3*24</f>
        <v>79.199999999999989</v>
      </c>
      <c r="L220" s="648">
        <f>IF(ISBLANK(I220),IF(ISNUMBER(J220)=FALSE,K220*3600,J220*3600),I220*3600)</f>
        <v>285119.99999999994</v>
      </c>
      <c r="M220" s="36" t="s">
        <v>115</v>
      </c>
      <c r="N220" s="29"/>
      <c r="O220" s="36"/>
    </row>
    <row r="221" spans="1:15" ht="12.75" customHeight="1" x14ac:dyDescent="0.3">
      <c r="A221" s="36"/>
      <c r="B221" s="29" t="s">
        <v>931</v>
      </c>
      <c r="C221" s="29"/>
      <c r="D221" s="29"/>
      <c r="E221" s="29"/>
      <c r="F221" s="29"/>
      <c r="G221" s="29" t="s">
        <v>762</v>
      </c>
      <c r="H221" s="29" t="s">
        <v>2191</v>
      </c>
      <c r="I221" s="635"/>
      <c r="J221" s="633" t="str">
        <f>IF(ISBLANK(HLOOKUP(CaseName,CaseData,MATCH($G221,cases!$G$3:$G$2464,0),FALSE)),"",HLOOKUP(CaseName,CaseData,MATCH($G221,cases!$G$3:$G$2464,0),FALSE))</f>
        <v/>
      </c>
      <c r="K221" s="352">
        <f>3.3*24*(0.06/(1-0.06))</f>
        <v>5.0553191489361691</v>
      </c>
      <c r="L221" s="648">
        <f>IF(ISBLANK(I221),IF(ISNUMBER(J221)=FALSE,K221*3600,J221*3600),I221*3600)</f>
        <v>18199.148936170208</v>
      </c>
      <c r="M221" s="36" t="s">
        <v>763</v>
      </c>
      <c r="N221" s="29"/>
      <c r="O221" s="36"/>
    </row>
    <row r="222" spans="1:15" ht="12.75" customHeight="1" x14ac:dyDescent="0.3">
      <c r="A222" s="36"/>
      <c r="B222" s="36" t="s">
        <v>493</v>
      </c>
      <c r="C222" s="29"/>
      <c r="D222" s="29"/>
      <c r="E222" s="29"/>
      <c r="F222" s="29"/>
      <c r="G222" s="94" t="s">
        <v>413</v>
      </c>
      <c r="H222" s="30" t="s">
        <v>4044</v>
      </c>
      <c r="I222" s="636"/>
      <c r="J222" s="633" t="str">
        <f>IF(ISBLANK(HLOOKUP(CaseName,CaseData,MATCH($G222,cases!$G$3:$G$2464,0),FALSE)),"",HLOOKUP(CaseName,CaseData,MATCH($G222,cases!$G$3:$G$2464,0),FALSE))</f>
        <v/>
      </c>
      <c r="K222" s="352">
        <f>L225*(L183+L184)</f>
        <v>3.5837054958296295E-11</v>
      </c>
      <c r="L222" s="634">
        <f t="shared" si="12"/>
        <v>3.5837054958296295E-11</v>
      </c>
      <c r="M222" s="29" t="s">
        <v>1490</v>
      </c>
      <c r="N222" s="29"/>
      <c r="O222" s="36"/>
    </row>
    <row r="223" spans="1:15" ht="12.75" customHeight="1" x14ac:dyDescent="0.3">
      <c r="A223" s="36"/>
      <c r="B223" s="36" t="s">
        <v>745</v>
      </c>
      <c r="C223" s="29"/>
      <c r="D223" s="29"/>
      <c r="E223" s="29"/>
      <c r="F223" s="29"/>
      <c r="G223" s="37" t="s">
        <v>1023</v>
      </c>
      <c r="H223" s="95" t="s">
        <v>4044</v>
      </c>
      <c r="I223" s="636"/>
      <c r="J223" s="633" t="str">
        <f>IF(ISBLANK(HLOOKUP(CaseName,CaseData,MATCH($G223,cases!$G$3:$G$2464,0),FALSE)),"",HLOOKUP(CaseName,CaseData,MATCH($G223,cases!$G$3:$G$2464,0),FALSE))</f>
        <v/>
      </c>
      <c r="K223" s="352">
        <f>L184*(L220+L221)/L221*L226*L227</f>
        <v>9.2706478954688394E-10</v>
      </c>
      <c r="L223" s="634">
        <f t="shared" si="12"/>
        <v>9.2706478954688394E-10</v>
      </c>
      <c r="M223" s="29" t="s">
        <v>1490</v>
      </c>
      <c r="N223" s="29"/>
      <c r="O223" s="36"/>
    </row>
    <row r="224" spans="1:15" ht="12.75" customHeight="1" x14ac:dyDescent="0.3">
      <c r="A224" s="36"/>
      <c r="B224" s="36" t="s">
        <v>746</v>
      </c>
      <c r="C224" s="29"/>
      <c r="D224" s="29"/>
      <c r="E224" s="29"/>
      <c r="F224" s="29"/>
      <c r="G224" s="37" t="s">
        <v>1024</v>
      </c>
      <c r="H224" s="95" t="s">
        <v>4044</v>
      </c>
      <c r="I224" s="636"/>
      <c r="J224" s="633" t="str">
        <f>IF(ISBLANK(HLOOKUP(CaseName,CaseData,MATCH($G224,cases!$G$3:$G$2464,0),FALSE)),"",HLOOKUP(CaseName,CaseData,MATCH($G224,cases!$G$3:$G$2464,0),FALSE))</f>
        <v/>
      </c>
      <c r="K224" s="352">
        <f>L182*(L220+L221)/L221*L226/(L185*FRorig.aerw)</f>
        <v>4.9807938712612395E-6</v>
      </c>
      <c r="L224" s="634">
        <f t="shared" si="12"/>
        <v>4.9807938712612395E-6</v>
      </c>
      <c r="M224" s="29" t="s">
        <v>1490</v>
      </c>
      <c r="N224" s="29"/>
      <c r="O224" s="36"/>
    </row>
    <row r="225" spans="1:15" ht="12.75" customHeight="1" x14ac:dyDescent="0.3">
      <c r="A225" s="36"/>
      <c r="B225" s="29"/>
      <c r="C225" s="95" t="s">
        <v>747</v>
      </c>
      <c r="D225" s="95"/>
      <c r="E225" s="95"/>
      <c r="F225" s="95"/>
      <c r="G225" s="94" t="s">
        <v>494</v>
      </c>
      <c r="H225" s="30" t="s">
        <v>4044</v>
      </c>
      <c r="I225" s="636"/>
      <c r="J225" s="633" t="str">
        <f>IF(ISBLANK(HLOOKUP(CaseName,CaseData,MATCH($G225,cases!$G$3:$G$2464,0),FALSE)),"",HLOOKUP(CaseName,CaseData,MATCH($G225,cases!$G$3:$G$2464,0),FALSE))</f>
        <v/>
      </c>
      <c r="K225" s="352">
        <v>1E-3</v>
      </c>
      <c r="L225" s="634">
        <f t="shared" si="12"/>
        <v>1E-3</v>
      </c>
      <c r="M225" s="29" t="s">
        <v>1490</v>
      </c>
      <c r="N225" s="29"/>
      <c r="O225" s="36"/>
    </row>
    <row r="226" spans="1:15" ht="12.75" customHeight="1" x14ac:dyDescent="0.3">
      <c r="A226" s="36"/>
      <c r="B226" s="29"/>
      <c r="C226" s="36" t="s">
        <v>748</v>
      </c>
      <c r="D226" s="95"/>
      <c r="E226" s="95"/>
      <c r="F226" s="95"/>
      <c r="G226" s="94" t="s">
        <v>495</v>
      </c>
      <c r="H226" s="95" t="s">
        <v>4052</v>
      </c>
      <c r="I226" s="636"/>
      <c r="J226" s="633" t="str">
        <f>IF(ISBLANK(HLOOKUP(CaseName,CaseData,MATCH($G226,cases!$G$3:$G$2464,0),FALSE)),"",HLOOKUP(CaseName,CaseData,MATCH($G226,cases!$G$3:$G$2464,0),FALSE))</f>
        <v/>
      </c>
      <c r="K226" s="352">
        <v>250</v>
      </c>
      <c r="L226" s="634">
        <f>IF(ISBLANK(I226),IF(ISNUMBER(J226)=FALSE,K226/(1000*3600*24*365),J226/(1000*3600*24*365)),I226/(1000*3600*24*365))</f>
        <v>7.9274479959411465E-9</v>
      </c>
      <c r="M226" s="29" t="s">
        <v>1490</v>
      </c>
      <c r="N226" s="29"/>
      <c r="O226" s="36"/>
    </row>
    <row r="227" spans="1:15" ht="12.75" customHeight="1" x14ac:dyDescent="0.3">
      <c r="A227" s="36"/>
      <c r="B227" s="29"/>
      <c r="C227" s="36" t="s">
        <v>444</v>
      </c>
      <c r="D227" s="29"/>
      <c r="E227" s="29"/>
      <c r="F227" s="29"/>
      <c r="G227" s="94" t="s">
        <v>496</v>
      </c>
      <c r="H227" s="36" t="s">
        <v>36</v>
      </c>
      <c r="I227" s="636"/>
      <c r="J227" s="633" t="str">
        <f>IF(ISBLANK(HLOOKUP(CaseName,CaseData,MATCH($G227,cases!$G$3:$G$2464,0),FALSE)),"",HLOOKUP(CaseName,CaseData,MATCH($G227,cases!$G$3:$G$2464,0),FALSE))</f>
        <v/>
      </c>
      <c r="K227" s="352">
        <v>200000</v>
      </c>
      <c r="L227" s="634">
        <f t="shared" ref="L227:L237" si="13">IF(ISBLANK(I227),IF(ISNUMBER(J227)=FALSE,K227,J227),I227)</f>
        <v>200000</v>
      </c>
      <c r="M227" s="36" t="s">
        <v>486</v>
      </c>
      <c r="N227" s="29"/>
      <c r="O227" s="36"/>
    </row>
    <row r="228" spans="1:15" ht="12.75" customHeight="1" x14ac:dyDescent="0.3">
      <c r="A228" s="36"/>
      <c r="B228" s="36" t="s">
        <v>2217</v>
      </c>
      <c r="C228" s="29"/>
      <c r="D228" s="29"/>
      <c r="E228" s="95"/>
      <c r="F228" s="95"/>
      <c r="G228" s="37" t="s">
        <v>2284</v>
      </c>
      <c r="H228" s="36" t="s">
        <v>4045</v>
      </c>
      <c r="I228" s="636"/>
      <c r="J228" s="633" t="str">
        <f>IF(ISBLANK(HLOOKUP(CaseName,CaseData,MATCH($G228,cases!$G$3:$G$2464,0),FALSE)),"",HLOOKUP(CaseName,CaseData,MATCH($G228,cases!$G$3:$G$2464,0),FALSE))</f>
        <v/>
      </c>
      <c r="K228" s="352">
        <f>L182*(L232*L233/(L232*(L185*FRorig.w2)+L233))</f>
        <v>1.8746135999080983E-4</v>
      </c>
      <c r="L228" s="634">
        <f t="shared" si="13"/>
        <v>1.8746135999080983E-4</v>
      </c>
      <c r="M228" s="36" t="s">
        <v>4046</v>
      </c>
      <c r="N228" s="29"/>
      <c r="O228" s="36"/>
    </row>
    <row r="229" spans="1:15" ht="12.75" customHeight="1" x14ac:dyDescent="0.3">
      <c r="A229" s="36"/>
      <c r="B229" s="36" t="s">
        <v>2218</v>
      </c>
      <c r="C229" s="29"/>
      <c r="D229" s="29"/>
      <c r="E229" s="95"/>
      <c r="F229" s="95"/>
      <c r="G229" s="37" t="s">
        <v>2285</v>
      </c>
      <c r="H229" s="36" t="s">
        <v>4045</v>
      </c>
      <c r="I229" s="636"/>
      <c r="J229" s="633" t="str">
        <f>IF(ISBLANK(HLOOKUP(CaseName,CaseData,MATCH($G229,cases!$G$3:$G$2464,0),FALSE)),"",HLOOKUP(CaseName,CaseData,MATCH($G229,cases!$G$3:$G$2464,0),FALSE))</f>
        <v/>
      </c>
      <c r="K229" s="352">
        <f>L182*(L235*L236)/(L235*((L185*FRorig.s1w)/L204)+L236)</f>
        <v>8.2975053339331478E-7</v>
      </c>
      <c r="L229" s="634">
        <f>IF(ISBLANK(I229),IF(ISNUMBER(J229)=FALSE,K229,J229),I229)</f>
        <v>8.2975053339331478E-7</v>
      </c>
      <c r="M229" s="36" t="s">
        <v>4046</v>
      </c>
      <c r="N229" s="29"/>
      <c r="O229" s="36"/>
    </row>
    <row r="230" spans="1:15" ht="12.75" customHeight="1" x14ac:dyDescent="0.3">
      <c r="A230" s="36"/>
      <c r="B230" s="36" t="s">
        <v>2269</v>
      </c>
      <c r="C230" s="29"/>
      <c r="D230" s="29"/>
      <c r="E230" s="29"/>
      <c r="F230" s="29"/>
      <c r="G230" s="37" t="s">
        <v>2286</v>
      </c>
      <c r="H230" s="36" t="s">
        <v>4045</v>
      </c>
      <c r="I230" s="636"/>
      <c r="J230" s="633" t="str">
        <f>IF(ISBLANK(HLOOKUP(CaseName,CaseData,MATCH($G230,cases!$G$3:$G$2464,0),FALSE)),"",HLOOKUP(CaseName,CaseData,MATCH($G230,cases!$G$3:$G$2464,0),FALSE))</f>
        <v/>
      </c>
      <c r="K230" s="352">
        <f>(L232*L233/(L232*(L185*FRorig.w2)+L233))*(L185*FRorig.w2)*L189</f>
        <v>4.9697298026139256E-6</v>
      </c>
      <c r="L230" s="634">
        <f t="shared" si="13"/>
        <v>4.9697298026139256E-6</v>
      </c>
      <c r="M230" s="36" t="s">
        <v>4046</v>
      </c>
      <c r="N230" s="29"/>
      <c r="O230" s="36"/>
    </row>
    <row r="231" spans="1:15" ht="12.75" customHeight="1" x14ac:dyDescent="0.3">
      <c r="A231" s="36"/>
      <c r="B231" s="36" t="s">
        <v>2271</v>
      </c>
      <c r="C231" s="29"/>
      <c r="D231" s="29"/>
      <c r="E231" s="95"/>
      <c r="F231" s="95"/>
      <c r="G231" s="37" t="s">
        <v>2288</v>
      </c>
      <c r="H231" s="36" t="s">
        <v>4045</v>
      </c>
      <c r="I231" s="636"/>
      <c r="J231" s="633" t="str">
        <f>IF(ISBLANK(HLOOKUP(CaseName,CaseData,MATCH($G231,cases!$G$3:$G$2464,0),FALSE)),"",HLOOKUP(CaseName,CaseData,MATCH($G231,cases!$G$3:$G$2464,0),FALSE))</f>
        <v/>
      </c>
      <c r="K231" s="352">
        <f>(L235*L236)/(L235+L236/((L185*FRorig.s1w)/L204))*L237</f>
        <v>1.2008640212319993E-9</v>
      </c>
      <c r="L231" s="634">
        <f>IF(ISBLANK(I231),IF(ISNUMBER(J231)=FALSE,K231,J231),I231)</f>
        <v>1.2008640212319993E-9</v>
      </c>
      <c r="M231" s="36" t="s">
        <v>4046</v>
      </c>
      <c r="N231" s="29"/>
      <c r="O231" s="36"/>
    </row>
    <row r="232" spans="1:15" ht="12.75" customHeight="1" x14ac:dyDescent="0.3">
      <c r="A232" s="29"/>
      <c r="B232" s="36"/>
      <c r="C232" s="29" t="s">
        <v>1077</v>
      </c>
      <c r="D232" s="29"/>
      <c r="E232" s="29"/>
      <c r="F232" s="29"/>
      <c r="G232" s="29" t="s">
        <v>4021</v>
      </c>
      <c r="H232" s="30" t="s">
        <v>4044</v>
      </c>
      <c r="I232" s="636"/>
      <c r="J232" s="633" t="str">
        <f>IF(ISBLANK(HLOOKUP(CaseName,CaseData,MATCH($G232,cases!$G$3:$G$2464,0),FALSE)),"",HLOOKUP(CaseName,CaseData,MATCH($G232,cases!$G$3:$G$2464,0),FALSE))</f>
        <v/>
      </c>
      <c r="K232" s="352">
        <f>0.01*(0.3+0.2*L234)*((0.018/Molweight)^(0.67*0.5))</f>
        <v>4.4535618852450994E-3</v>
      </c>
      <c r="L232" s="634">
        <f t="shared" si="13"/>
        <v>4.4535618852450994E-3</v>
      </c>
      <c r="M232" s="29" t="s">
        <v>1490</v>
      </c>
      <c r="N232" s="29"/>
      <c r="O232" s="36"/>
    </row>
    <row r="233" spans="1:15" ht="12.75" customHeight="1" x14ac:dyDescent="0.3">
      <c r="A233" s="29"/>
      <c r="B233" s="36"/>
      <c r="C233" s="29" t="s">
        <v>1048</v>
      </c>
      <c r="D233" s="29"/>
      <c r="E233" s="29"/>
      <c r="F233" s="29"/>
      <c r="G233" s="29" t="s">
        <v>4022</v>
      </c>
      <c r="H233" s="30" t="s">
        <v>4044</v>
      </c>
      <c r="I233" s="636"/>
      <c r="J233" s="633" t="str">
        <f>IF(ISBLANK(HLOOKUP(CaseName,CaseData,MATCH($G233,cases!$G$3:$G$2464,0),FALSE)),"",HLOOKUP(CaseName,CaseData,MATCH($G233,cases!$G$3:$G$2464,0),FALSE))</f>
        <v/>
      </c>
      <c r="K233" s="352">
        <f>0.01*(0.0004+0.00004*L234^2)*((0.032/Molweight)^(0.5*0.5))</f>
        <v>5.191247717588049E-6</v>
      </c>
      <c r="L233" s="634">
        <f t="shared" si="13"/>
        <v>5.191247717588049E-6</v>
      </c>
      <c r="M233" s="29" t="s">
        <v>1490</v>
      </c>
      <c r="N233" s="29"/>
      <c r="O233" s="36"/>
    </row>
    <row r="234" spans="1:15" ht="12.75" customHeight="1" x14ac:dyDescent="0.3">
      <c r="A234" s="36"/>
      <c r="B234" s="29"/>
      <c r="C234" s="29"/>
      <c r="D234" s="95" t="s">
        <v>705</v>
      </c>
      <c r="E234" s="29"/>
      <c r="F234" s="29"/>
      <c r="G234" s="37" t="s">
        <v>407</v>
      </c>
      <c r="H234" s="30" t="s">
        <v>4044</v>
      </c>
      <c r="I234" s="636"/>
      <c r="J234" s="633" t="str">
        <f>IF(ISBLANK(HLOOKUP(CaseName,CaseData,MATCH($G234,cases!$G$3:$G$2464,0),FALSE)),"",HLOOKUP(CaseName,CaseData,MATCH($G234,cases!$G$3:$G$2464,0),FALSE))</f>
        <v/>
      </c>
      <c r="K234" s="352">
        <v>3</v>
      </c>
      <c r="L234" s="634">
        <f t="shared" si="13"/>
        <v>3</v>
      </c>
      <c r="M234" s="29" t="s">
        <v>1490</v>
      </c>
      <c r="N234" s="29"/>
      <c r="O234" s="36"/>
    </row>
    <row r="235" spans="1:15" ht="12.75" customHeight="1" x14ac:dyDescent="0.3">
      <c r="A235" s="36"/>
      <c r="B235" s="36"/>
      <c r="C235" s="29" t="s">
        <v>1049</v>
      </c>
      <c r="D235" s="29"/>
      <c r="E235" s="95"/>
      <c r="F235" s="95"/>
      <c r="G235" s="29" t="s">
        <v>4023</v>
      </c>
      <c r="H235" s="30" t="s">
        <v>4044</v>
      </c>
      <c r="I235" s="636"/>
      <c r="J235" s="633" t="str">
        <f>IF(ISBLANK(HLOOKUP(CaseName,CaseData,MATCH($G235,cases!$G$3:$G$2464,0),FALSE)),"",HLOOKUP(CaseName,CaseData,MATCH($G235,cases!$G$3:$G$2464,0),FALSE))</f>
        <v/>
      </c>
      <c r="K235" s="352">
        <f>0.43/(24*3600)/0.00475</f>
        <v>1.0477582846003899E-3</v>
      </c>
      <c r="L235" s="634">
        <f>IF(ISBLANK(I235),IF(ISNUMBER(J235)=FALSE,K235,J235),I235)</f>
        <v>1.0477582846003899E-3</v>
      </c>
      <c r="M235" s="29" t="s">
        <v>1490</v>
      </c>
      <c r="N235" s="29"/>
      <c r="O235" s="36"/>
    </row>
    <row r="236" spans="1:15" ht="12.75" customHeight="1" x14ac:dyDescent="0.3">
      <c r="A236" s="36"/>
      <c r="B236" s="36"/>
      <c r="C236" s="29" t="s">
        <v>872</v>
      </c>
      <c r="D236" s="29"/>
      <c r="E236" s="29"/>
      <c r="F236" s="29"/>
      <c r="G236" s="29" t="s">
        <v>4024</v>
      </c>
      <c r="H236" s="95" t="s">
        <v>4044</v>
      </c>
      <c r="I236" s="636"/>
      <c r="J236" s="633" t="str">
        <f>IF(ISBLANK(HLOOKUP(CaseName,CaseData,MATCH($G236,cases!$G$3:$G$2464,0),FALSE)),"",HLOOKUP(CaseName,CaseData,MATCH($G236,cases!$G$3:$G$2464,0),FALSE))</f>
        <v/>
      </c>
      <c r="K236" s="352">
        <f>0.1*L274</f>
        <v>9.4575531983700746E-10</v>
      </c>
      <c r="L236" s="634">
        <f>IF(ISBLANK(I236),IF(ISNUMBER(J236)=FALSE,K236,J236),I236)</f>
        <v>9.4575531983700746E-10</v>
      </c>
      <c r="M236" s="29" t="s">
        <v>1490</v>
      </c>
      <c r="N236" s="29" t="s">
        <v>1415</v>
      </c>
      <c r="O236" s="36"/>
    </row>
    <row r="237" spans="1:15" ht="12.75" customHeight="1" x14ac:dyDescent="0.3">
      <c r="A237" s="36"/>
      <c r="B237" s="36"/>
      <c r="C237" s="29" t="s">
        <v>185</v>
      </c>
      <c r="D237" s="29"/>
      <c r="E237" s="95"/>
      <c r="F237" s="29"/>
      <c r="G237" s="37" t="s">
        <v>917</v>
      </c>
      <c r="H237" s="29" t="s">
        <v>36</v>
      </c>
      <c r="I237" s="636"/>
      <c r="J237" s="633" t="str">
        <f>IF(ISBLANK(HLOOKUP(CaseName,CaseData,MATCH($G237,cases!$G$3:$G$2464,0),FALSE)),"",HLOOKUP(CaseName,CaseData,MATCH($G237,cases!$G$3:$G$2464,0),FALSE))</f>
        <v/>
      </c>
      <c r="K237" s="352">
        <f>(EXP((-1/0.1)*0)*(1/0.1)*L160/(1-EXP((-1/0.1)*L160)))</f>
        <v>1.2707470412683992</v>
      </c>
      <c r="L237" s="634">
        <f t="shared" si="13"/>
        <v>1.2707470412683992</v>
      </c>
      <c r="M237" s="36" t="s">
        <v>486</v>
      </c>
      <c r="N237" s="29" t="s">
        <v>995</v>
      </c>
      <c r="O237" s="36"/>
    </row>
    <row r="238" spans="1:15" ht="12.75" customHeight="1" x14ac:dyDescent="0.3">
      <c r="A238" s="29"/>
      <c r="B238" s="29"/>
      <c r="C238" s="29"/>
      <c r="D238" s="29"/>
      <c r="E238" s="29"/>
      <c r="F238" s="29"/>
      <c r="G238" s="29"/>
      <c r="H238" s="29"/>
      <c r="I238" s="646"/>
      <c r="J238" s="633"/>
      <c r="K238" s="339"/>
      <c r="L238" s="339"/>
      <c r="M238" s="29"/>
      <c r="N238" s="29"/>
      <c r="O238" s="36"/>
    </row>
    <row r="239" spans="1:15" ht="12.75" customHeight="1" x14ac:dyDescent="0.3">
      <c r="A239" s="36" t="s">
        <v>97</v>
      </c>
      <c r="B239" s="29"/>
      <c r="C239" s="29"/>
      <c r="D239" s="29"/>
      <c r="E239" s="29"/>
      <c r="F239" s="29"/>
      <c r="G239" s="37" t="s">
        <v>1164</v>
      </c>
      <c r="H239" s="36" t="s">
        <v>4036</v>
      </c>
      <c r="I239" s="637"/>
      <c r="J239" s="633" t="str">
        <f>IF(ISBLANK(HLOOKUP(CaseName,CaseData,MATCH($G239,cases!$G$3:$G$2464,0),FALSE)),"",HLOOKUP(CaseName,CaseData,MATCH($G239,cases!$G$3:$G$2464,0),FALSE))</f>
        <v/>
      </c>
      <c r="K239" s="352">
        <f>(L241+L247)/L158</f>
        <v>1.4992283931314811E-11</v>
      </c>
      <c r="L239" s="634">
        <f t="shared" ref="L239:L245" si="14">IF(ISBLANK(I239),IF(ISNUMBER(J239)=FALSE,K239,J239),I239)</f>
        <v>1.4992283931314811E-11</v>
      </c>
      <c r="M239" s="29" t="s">
        <v>1488</v>
      </c>
      <c r="N239" s="29"/>
      <c r="O239" s="36"/>
    </row>
    <row r="240" spans="1:15" ht="12.75" customHeight="1" x14ac:dyDescent="0.3">
      <c r="A240" s="36" t="s">
        <v>98</v>
      </c>
      <c r="B240" s="29"/>
      <c r="C240" s="29"/>
      <c r="D240" s="29"/>
      <c r="E240" s="29"/>
      <c r="F240" s="29"/>
      <c r="G240" s="37" t="s">
        <v>1165</v>
      </c>
      <c r="H240" s="36" t="s">
        <v>4036</v>
      </c>
      <c r="I240" s="637"/>
      <c r="J240" s="633" t="str">
        <f>IF(ISBLANK(HLOOKUP(CaseName,CaseData,MATCH($G240,cases!$G$3:$G$2464,0),FALSE)),"",HLOOKUP(CaseName,CaseData,MATCH($G240,cases!$G$3:$G$2464,0),FALSE))</f>
        <v/>
      </c>
      <c r="K240" s="352">
        <f>(L242+L248)/L159</f>
        <v>5.5396574926151886E-8</v>
      </c>
      <c r="L240" s="634">
        <f t="shared" si="14"/>
        <v>5.5396574926151886E-8</v>
      </c>
      <c r="M240" s="29" t="s">
        <v>1488</v>
      </c>
      <c r="N240" s="29"/>
      <c r="O240" s="36"/>
    </row>
    <row r="241" spans="1:15" ht="12.75" customHeight="1" x14ac:dyDescent="0.3">
      <c r="A241" s="36"/>
      <c r="B241" s="36" t="s">
        <v>2272</v>
      </c>
      <c r="C241" s="29"/>
      <c r="D241" s="29"/>
      <c r="E241" s="29"/>
      <c r="F241" s="29"/>
      <c r="G241" s="37" t="s">
        <v>2289</v>
      </c>
      <c r="H241" s="36" t="s">
        <v>4045</v>
      </c>
      <c r="I241" s="636"/>
      <c r="J241" s="633" t="str">
        <f>IF(ISBLANK(HLOOKUP(CaseName,CaseData,MATCH($G241,cases!$G$3:$G$2464,0),FALSE)),"",HLOOKUP(CaseName,CaseData,MATCH($G241,cases!$G$3:$G$2464,0),FALSE))</f>
        <v/>
      </c>
      <c r="K241" s="352">
        <f>L244*(1-L190)</f>
        <v>1.7488525385517546E-8</v>
      </c>
      <c r="L241" s="634">
        <f t="shared" si="14"/>
        <v>1.7488525385517546E-8</v>
      </c>
      <c r="M241" s="36" t="s">
        <v>4046</v>
      </c>
      <c r="N241" s="325"/>
      <c r="O241" s="36"/>
    </row>
    <row r="242" spans="1:15" ht="12.75" customHeight="1" x14ac:dyDescent="0.3">
      <c r="A242" s="36"/>
      <c r="B242" s="36" t="s">
        <v>2273</v>
      </c>
      <c r="C242" s="29"/>
      <c r="D242" s="29"/>
      <c r="E242" s="29"/>
      <c r="F242" s="29"/>
      <c r="G242" s="37" t="s">
        <v>2290</v>
      </c>
      <c r="H242" s="36" t="s">
        <v>4045</v>
      </c>
      <c r="I242" s="636"/>
      <c r="J242" s="633" t="str">
        <f>IF(ISBLANK(HLOOKUP(CaseName,CaseData,MATCH($G242,cases!$G$3:$G$2464,0),FALSE)),"",HLOOKUP(CaseName,CaseData,MATCH($G242,cases!$G$3:$G$2464,0),FALSE))</f>
        <v/>
      </c>
      <c r="K242" s="352">
        <f>L243-L245</f>
        <v>2.8928843226788437E-10</v>
      </c>
      <c r="L242" s="634">
        <f t="shared" si="14"/>
        <v>2.8928843226788437E-10</v>
      </c>
      <c r="M242" s="36" t="s">
        <v>4046</v>
      </c>
      <c r="N242" s="29"/>
      <c r="O242" s="36"/>
    </row>
    <row r="243" spans="1:15" ht="12.75" customHeight="1" x14ac:dyDescent="0.3">
      <c r="A243" s="36"/>
      <c r="B243" s="36"/>
      <c r="C243" s="36" t="s">
        <v>1228</v>
      </c>
      <c r="D243" s="36"/>
      <c r="E243" s="29"/>
      <c r="F243" s="29"/>
      <c r="G243" s="94" t="s">
        <v>162</v>
      </c>
      <c r="H243" s="30" t="s">
        <v>4044</v>
      </c>
      <c r="I243" s="636"/>
      <c r="J243" s="633" t="str">
        <f>IF(ISBLANK(HLOOKUP(CaseName,CaseData,MATCH($G243,cases!$G$3:$G$2464,0),FALSE)),"",HLOOKUP(CaseName,CaseData,MATCH($G243,cases!$G$3:$G$2464,0),FALSE))</f>
        <v/>
      </c>
      <c r="K243" s="352">
        <f>IF(L244*L195/(L167*RHOsolid)&gt;L245,L244*L195/(L167*RHOsolid),L245)</f>
        <v>2.893518518518519E-10</v>
      </c>
      <c r="L243" s="651">
        <f t="shared" si="14"/>
        <v>2.893518518518519E-10</v>
      </c>
      <c r="M243" s="29" t="s">
        <v>1490</v>
      </c>
      <c r="N243" s="29"/>
      <c r="O243" s="36"/>
    </row>
    <row r="244" spans="1:15" ht="12.75" customHeight="1" x14ac:dyDescent="0.3">
      <c r="A244" s="36"/>
      <c r="B244" s="36"/>
      <c r="C244" s="29"/>
      <c r="D244" s="36" t="s">
        <v>582</v>
      </c>
      <c r="E244" s="95"/>
      <c r="F244" s="95"/>
      <c r="G244" s="94" t="s">
        <v>1285</v>
      </c>
      <c r="H244" s="30" t="s">
        <v>4044</v>
      </c>
      <c r="I244" s="636"/>
      <c r="J244" s="633" t="str">
        <f>IF(ISBLANK(HLOOKUP(CaseName,CaseData,MATCH($G244,cases!$G$3:$G$2464,0),FALSE)),"",HLOOKUP(CaseName,CaseData,MATCH($G244,cases!$G$3:$G$2464,0),FALSE))</f>
        <v/>
      </c>
      <c r="K244" s="352">
        <f>2.5/(24*3600)</f>
        <v>2.8935185185185186E-5</v>
      </c>
      <c r="L244" s="651">
        <f t="shared" si="14"/>
        <v>2.8935185185185186E-5</v>
      </c>
      <c r="M244" s="29" t="s">
        <v>1490</v>
      </c>
      <c r="N244" s="29"/>
      <c r="O244" s="36"/>
    </row>
    <row r="245" spans="1:15" ht="12.75" customHeight="1" x14ac:dyDescent="0.3">
      <c r="A245" s="36"/>
      <c r="B245" s="36"/>
      <c r="C245" s="29"/>
      <c r="D245" s="36" t="s">
        <v>565</v>
      </c>
      <c r="E245" s="95"/>
      <c r="F245" s="95"/>
      <c r="G245" s="94" t="s">
        <v>1287</v>
      </c>
      <c r="H245" s="30" t="s">
        <v>4044</v>
      </c>
      <c r="I245" s="636"/>
      <c r="J245" s="633" t="str">
        <f>IF(ISBLANK(HLOOKUP(CaseName,CaseData,MATCH($G245,cases!$G$3:$G$2464,0),FALSE)),"",HLOOKUP(CaseName,CaseData,MATCH($G245,cases!$G$3:$G$2464,0),FALSE))</f>
        <v/>
      </c>
      <c r="K245" s="352">
        <v>6.3419583967528499E-14</v>
      </c>
      <c r="L245" s="634">
        <f t="shared" si="14"/>
        <v>6.3419583967528499E-14</v>
      </c>
      <c r="M245" s="29" t="s">
        <v>1490</v>
      </c>
      <c r="N245" s="29" t="s">
        <v>923</v>
      </c>
      <c r="O245" s="36"/>
    </row>
    <row r="246" spans="1:15" ht="12.75" customHeight="1" x14ac:dyDescent="0.3">
      <c r="A246" s="36"/>
      <c r="B246" s="36"/>
      <c r="C246" s="36"/>
      <c r="D246" s="29"/>
      <c r="E246" s="36" t="s">
        <v>803</v>
      </c>
      <c r="F246" s="36"/>
      <c r="G246" s="94" t="s">
        <v>1286</v>
      </c>
      <c r="H246" s="36" t="s">
        <v>4047</v>
      </c>
      <c r="I246" s="636"/>
      <c r="J246" s="633" t="str">
        <f>IF(ISBLANK(HLOOKUP(CaseName,CaseData,MATCH($G246,cases!$G$3:$G$2464,0),FALSE)),"",HLOOKUP(CaseName,CaseData,MATCH($G246,cases!$G$3:$G$2464,0),FALSE))</f>
        <v/>
      </c>
      <c r="K246" s="352">
        <v>1</v>
      </c>
      <c r="L246" s="634">
        <f>IF(ISBLANK(I246),IF(ISNUMBER(J246)=FALSE,K246/(1000*3600*24*365)*L154*L153,J246/(1000*3600*24*365)*L154*L153),I246/(1000*3600*24*365)*L154*L153)</f>
        <v>808.59969558599687</v>
      </c>
      <c r="M246" s="36" t="s">
        <v>1499</v>
      </c>
      <c r="N246" s="29"/>
      <c r="O246" s="36"/>
    </row>
    <row r="247" spans="1:15" ht="12.75" customHeight="1" x14ac:dyDescent="0.3">
      <c r="A247" s="29"/>
      <c r="B247" s="29" t="s">
        <v>2274</v>
      </c>
      <c r="C247" s="95"/>
      <c r="D247" s="95"/>
      <c r="E247" s="29"/>
      <c r="F247" s="29"/>
      <c r="G247" s="37" t="s">
        <v>2291</v>
      </c>
      <c r="H247" s="36" t="s">
        <v>4045</v>
      </c>
      <c r="I247" s="636"/>
      <c r="J247" s="633" t="str">
        <f>IF(ISBLANK(HLOOKUP(CaseName,CaseData,MATCH($G247,cases!$G$3:$G$2464,0),FALSE)),"",HLOOKUP(CaseName,CaseData,MATCH($G247,cases!$G$3:$G$2464,0),FALSE))</f>
        <v/>
      </c>
      <c r="K247" s="352">
        <f>(L249*L250)/(L249+L250)*L190</f>
        <v>2.7488326408426885E-8</v>
      </c>
      <c r="L247" s="634">
        <f>IF(ISBLANK(I247),IF(ISNUMBER(J247)=FALSE,K247,J247),I247)</f>
        <v>2.7488326408426885E-8</v>
      </c>
      <c r="M247" s="36" t="s">
        <v>4046</v>
      </c>
      <c r="N247" s="29"/>
      <c r="O247" s="36"/>
    </row>
    <row r="248" spans="1:15" ht="12.75" customHeight="1" x14ac:dyDescent="0.3">
      <c r="A248" s="29"/>
      <c r="B248" s="29" t="s">
        <v>2275</v>
      </c>
      <c r="C248" s="95"/>
      <c r="D248" s="95"/>
      <c r="E248" s="29"/>
      <c r="F248" s="29"/>
      <c r="G248" s="37" t="s">
        <v>2292</v>
      </c>
      <c r="H248" s="36" t="s">
        <v>4045</v>
      </c>
      <c r="I248" s="636"/>
      <c r="J248" s="633" t="str">
        <f>IF(ISBLANK(HLOOKUP(CaseName,CaseData,MATCH($G248,cases!$G$3:$G$2464,0),FALSE)),"",HLOOKUP(CaseName,CaseData,MATCH($G248,cases!$G$3:$G$2464,0),FALSE))</f>
        <v/>
      </c>
      <c r="K248" s="352">
        <f>(L249*L250/(L249+L250))/L201</f>
        <v>1.3726088155166722E-9</v>
      </c>
      <c r="L248" s="634">
        <f>IF(ISBLANK(I248),IF(ISNUMBER(J248)=FALSE,K248,J248),I248)</f>
        <v>1.3726088155166722E-9</v>
      </c>
      <c r="M248" s="36" t="s">
        <v>4046</v>
      </c>
      <c r="N248" s="29"/>
      <c r="O248" s="36"/>
    </row>
    <row r="249" spans="1:15" ht="12.75" customHeight="1" x14ac:dyDescent="0.3">
      <c r="A249" s="36"/>
      <c r="B249" s="36"/>
      <c r="C249" s="29" t="s">
        <v>1076</v>
      </c>
      <c r="D249" s="29"/>
      <c r="E249" s="29"/>
      <c r="F249" s="29"/>
      <c r="G249" s="29" t="s">
        <v>1288</v>
      </c>
      <c r="H249" s="30" t="s">
        <v>4044</v>
      </c>
      <c r="I249" s="636"/>
      <c r="J249" s="633" t="str">
        <f>IF(ISBLANK(HLOOKUP(CaseName,CaseData,MATCH($G249,cases!$G$3:$G$2464,0),FALSE)),"",HLOOKUP(CaseName,CaseData,MATCH($G249,cases!$G$3:$G$2464,0),FALSE))</f>
        <v/>
      </c>
      <c r="K249" s="345">
        <v>2.7779999999999999E-6</v>
      </c>
      <c r="L249" s="634">
        <f>IF(ISBLANK(I249),IF(ISNUMBER(J249)=FALSE,K249,J249),I249)</f>
        <v>2.7779999999999999E-6</v>
      </c>
      <c r="M249" s="29" t="s">
        <v>1490</v>
      </c>
      <c r="N249" s="29"/>
      <c r="O249" s="36"/>
    </row>
    <row r="250" spans="1:15" ht="12.75" customHeight="1" x14ac:dyDescent="0.3">
      <c r="A250" s="36"/>
      <c r="B250" s="36"/>
      <c r="C250" s="29" t="s">
        <v>1230</v>
      </c>
      <c r="D250" s="29"/>
      <c r="E250" s="29"/>
      <c r="F250" s="29"/>
      <c r="G250" s="29" t="s">
        <v>1289</v>
      </c>
      <c r="H250" s="30" t="s">
        <v>4044</v>
      </c>
      <c r="I250" s="636"/>
      <c r="J250" s="633" t="str">
        <f>IF(ISBLANK(HLOOKUP(CaseName,CaseData,MATCH($G250,cases!$G$3:$G$2464,0),FALSE)),"",HLOOKUP(CaseName,CaseData,MATCH($G250,cases!$G$3:$G$2464,0),FALSE))</f>
        <v/>
      </c>
      <c r="K250" s="345">
        <v>2.7779999999999998E-8</v>
      </c>
      <c r="L250" s="634">
        <f>IF(ISBLANK(I250),IF(ISNUMBER(J250)=FALSE,K250,J250),I250)</f>
        <v>2.7779999999999998E-8</v>
      </c>
      <c r="M250" s="29" t="s">
        <v>1490</v>
      </c>
      <c r="N250" s="29"/>
      <c r="O250" s="36"/>
    </row>
    <row r="251" spans="1:15" ht="12.75" customHeight="1" x14ac:dyDescent="0.3">
      <c r="A251" s="29"/>
      <c r="B251" s="29"/>
      <c r="C251" s="29"/>
      <c r="D251" s="29"/>
      <c r="E251" s="29"/>
      <c r="F251" s="29"/>
      <c r="G251" s="29"/>
      <c r="H251" s="29"/>
      <c r="I251" s="646"/>
      <c r="J251" s="633"/>
      <c r="K251" s="339"/>
      <c r="L251" s="339"/>
      <c r="M251" s="29"/>
      <c r="N251" s="29"/>
      <c r="O251" s="36"/>
    </row>
    <row r="252" spans="1:15" ht="12.75" customHeight="1" x14ac:dyDescent="0.3">
      <c r="A252" s="36" t="s">
        <v>89</v>
      </c>
      <c r="B252" s="29"/>
      <c r="C252" s="29"/>
      <c r="D252" s="29"/>
      <c r="E252" s="29"/>
      <c r="F252" s="29"/>
      <c r="G252" s="37" t="s">
        <v>1261</v>
      </c>
      <c r="H252" s="36" t="s">
        <v>4036</v>
      </c>
      <c r="I252" s="637"/>
      <c r="J252" s="633" t="str">
        <f>IF(ISBLANK(HLOOKUP(CaseName,CaseData,MATCH($G252,cases!$G$3:$G$2464,0),FALSE)),"",HLOOKUP(CaseName,CaseData,MATCH($G252,cases!$G$3:$G$2464,0),FALSE))</f>
        <v/>
      </c>
      <c r="K252" s="352">
        <f>(L226*L254/L204+L253)*L255/L160</f>
        <v>2.1867268711244373E-9</v>
      </c>
      <c r="L252" s="634">
        <f>IF(ISBLANK(I252),IF(ISNUMBER(J252)=FALSE,K252,J252),I252)</f>
        <v>2.1867268711244373E-9</v>
      </c>
      <c r="M252" s="29" t="s">
        <v>1488</v>
      </c>
      <c r="N252" s="29"/>
      <c r="O252" s="36"/>
    </row>
    <row r="253" spans="1:15" ht="12.75" customHeight="1" x14ac:dyDescent="0.3">
      <c r="A253" s="29"/>
      <c r="B253" s="29"/>
      <c r="C253" s="95" t="s">
        <v>211</v>
      </c>
      <c r="D253" s="29"/>
      <c r="E253" s="29"/>
      <c r="F253" s="29"/>
      <c r="G253" s="94" t="s">
        <v>669</v>
      </c>
      <c r="H253" s="30" t="s">
        <v>4044</v>
      </c>
      <c r="I253" s="636"/>
      <c r="J253" s="633" t="str">
        <f>IF(ISBLANK(HLOOKUP(CaseName,CaseData,MATCH($G253,cases!$G$3:$G$2464,0),FALSE)),"",HLOOKUP(CaseName,CaseData,MATCH($G253,cases!$G$3:$G$2464,0),FALSE))</f>
        <v/>
      </c>
      <c r="K253" s="352">
        <f>EROSION.C</f>
        <v>9.5129375951293754E-13</v>
      </c>
      <c r="L253" s="634">
        <f>IF(ISBLANK(I253),IF(ISNUMBER(J253)=FALSE,K253,J253),I253)</f>
        <v>9.5129375951293754E-13</v>
      </c>
      <c r="M253" s="29" t="s">
        <v>1490</v>
      </c>
      <c r="N253" s="29"/>
      <c r="O253" s="36"/>
    </row>
    <row r="254" spans="1:15" ht="12.75" customHeight="1" x14ac:dyDescent="0.3">
      <c r="A254" s="29"/>
      <c r="B254" s="29"/>
      <c r="C254" s="36" t="s">
        <v>1002</v>
      </c>
      <c r="D254" s="29"/>
      <c r="E254" s="29"/>
      <c r="F254" s="29"/>
      <c r="G254" s="94" t="s">
        <v>670</v>
      </c>
      <c r="H254" s="36" t="s">
        <v>36</v>
      </c>
      <c r="I254" s="636"/>
      <c r="J254" s="633" t="str">
        <f>IF(ISBLANK(HLOOKUP(CaseName,CaseData,MATCH($G254,cases!$G$3:$G$2464,0),FALSE)),"",HLOOKUP(CaseName,CaseData,MATCH($G254,cases!$G$3:$G$2464,0),FALSE))</f>
        <v/>
      </c>
      <c r="K254" s="352">
        <f>FRACrun.C</f>
        <v>0.25</v>
      </c>
      <c r="L254" s="634">
        <f>IF(ISBLANK(I254),IF(ISNUMBER(J254)=FALSE,K254,J254),I254)</f>
        <v>0.25</v>
      </c>
      <c r="M254" s="29" t="s">
        <v>486</v>
      </c>
      <c r="N254" s="29"/>
      <c r="O254" s="36"/>
    </row>
    <row r="255" spans="1:15" ht="12.75" customHeight="1" x14ac:dyDescent="0.3">
      <c r="A255" s="36"/>
      <c r="B255" s="36"/>
      <c r="C255" s="29" t="s">
        <v>185</v>
      </c>
      <c r="D255" s="29"/>
      <c r="E255" s="95"/>
      <c r="F255" s="95"/>
      <c r="G255" s="37" t="s">
        <v>918</v>
      </c>
      <c r="H255" s="29" t="s">
        <v>36</v>
      </c>
      <c r="I255" s="637"/>
      <c r="J255" s="633" t="str">
        <f>IF(ISBLANK(HLOOKUP(CaseName,CaseData,MATCH($G255,cases!$G$3:$G$2464,0),FALSE)),"",HLOOKUP(CaseName,CaseData,MATCH($G255,cases!$G$3:$G$2464,0),FALSE))</f>
        <v/>
      </c>
      <c r="K255" s="352">
        <f>(EXP((-1/0.1)*0)*(1/0.1)*L160/(1-EXP((-1/0.1)*L160)))</f>
        <v>1.2707470412683992</v>
      </c>
      <c r="L255" s="634">
        <f>IF(ISBLANK(I255),IF(ISNUMBER(J255)=FALSE,K255,J255),I255)</f>
        <v>1.2707470412683992</v>
      </c>
      <c r="M255" s="36" t="s">
        <v>486</v>
      </c>
      <c r="N255" s="29" t="s">
        <v>995</v>
      </c>
      <c r="O255" s="36"/>
    </row>
    <row r="256" spans="1:15" ht="12.75" customHeight="1" x14ac:dyDescent="0.3">
      <c r="A256" s="29"/>
      <c r="B256" s="29"/>
      <c r="C256" s="29"/>
      <c r="D256" s="95"/>
      <c r="E256" s="29"/>
      <c r="F256" s="29"/>
      <c r="G256" s="29"/>
      <c r="H256" s="29"/>
      <c r="I256" s="652"/>
      <c r="J256" s="353"/>
      <c r="K256" s="353"/>
      <c r="L256" s="339"/>
      <c r="M256" s="29"/>
      <c r="N256" s="29"/>
      <c r="O256" s="36"/>
    </row>
    <row r="257" spans="1:15" ht="12.75" customHeight="1" x14ac:dyDescent="0.3">
      <c r="A257" s="98" t="s">
        <v>419</v>
      </c>
      <c r="B257" s="97"/>
      <c r="C257" s="97"/>
      <c r="D257" s="97"/>
      <c r="E257" s="97"/>
      <c r="F257" s="97"/>
      <c r="G257" s="98" t="s">
        <v>1008</v>
      </c>
      <c r="H257" s="98" t="s">
        <v>968</v>
      </c>
      <c r="I257" s="364" t="s">
        <v>754</v>
      </c>
      <c r="J257" s="340" t="s">
        <v>37</v>
      </c>
      <c r="K257" s="340" t="s">
        <v>753</v>
      </c>
      <c r="L257" s="340" t="s">
        <v>1358</v>
      </c>
      <c r="M257" s="97"/>
      <c r="N257" s="98" t="s">
        <v>1371</v>
      </c>
      <c r="O257" s="36"/>
    </row>
    <row r="258" spans="1:15" ht="12.75" customHeight="1" x14ac:dyDescent="0.3">
      <c r="A258" s="36"/>
      <c r="B258" s="29"/>
      <c r="C258" s="29"/>
      <c r="D258" s="29"/>
      <c r="E258" s="29"/>
      <c r="F258" s="29"/>
      <c r="G258" s="29"/>
      <c r="H258" s="29"/>
      <c r="I258" s="643"/>
      <c r="J258" s="643"/>
      <c r="K258" s="649"/>
      <c r="L258" s="342"/>
      <c r="M258" s="29"/>
      <c r="N258" s="29"/>
      <c r="O258" s="36"/>
    </row>
    <row r="259" spans="1:15" ht="12.75" customHeight="1" x14ac:dyDescent="0.3">
      <c r="A259" s="36" t="s">
        <v>224</v>
      </c>
      <c r="B259" s="29"/>
      <c r="C259" s="29"/>
      <c r="D259" s="29"/>
      <c r="E259" s="29"/>
      <c r="F259" s="29"/>
      <c r="G259" s="37" t="s">
        <v>1365</v>
      </c>
      <c r="H259" s="36" t="s">
        <v>4036</v>
      </c>
      <c r="I259" s="637"/>
      <c r="J259" s="633" t="str">
        <f>IF(ISBLANK(HLOOKUP(CaseName,CaseData,MATCH($G259,cases!$G$3:$G$2464,0),FALSE)),"",HLOOKUP(CaseName,CaseData,MATCH($G259,cases!$G$3:$G$2464,0),FALSE))</f>
        <v/>
      </c>
      <c r="K259" s="352">
        <f>L264+L265</f>
        <v>1.8095248623443467E-7</v>
      </c>
      <c r="L259" s="634">
        <f t="shared" ref="L259:L274" si="15">IF(ISBLANK(I259),IF(ISNUMBER(J259)=FALSE,K259,J259),I259)</f>
        <v>1.8095248623443467E-7</v>
      </c>
      <c r="M259" s="29" t="s">
        <v>1488</v>
      </c>
      <c r="N259" s="29"/>
      <c r="O259" s="36"/>
    </row>
    <row r="260" spans="1:15" ht="12.75" customHeight="1" x14ac:dyDescent="0.3">
      <c r="A260" s="36" t="s">
        <v>4012</v>
      </c>
      <c r="B260" s="29"/>
      <c r="C260" s="29"/>
      <c r="D260" s="29"/>
      <c r="E260" s="29"/>
      <c r="F260" s="29"/>
      <c r="G260" s="37" t="s">
        <v>1046</v>
      </c>
      <c r="H260" s="36" t="s">
        <v>4036</v>
      </c>
      <c r="I260" s="637"/>
      <c r="J260" s="633" t="str">
        <f>IF(ISBLANK(HLOOKUP(CaseName,CaseData,MATCH($G260,cases!$G$3:$G$2464,0),FALSE)),"",HLOOKUP(CaseName,CaseData,MATCH($G260,cases!$G$3:$G$2464,0),FALSE))</f>
        <v/>
      </c>
      <c r="K260" s="352">
        <f>L268</f>
        <v>1.8903674041416619E-8</v>
      </c>
      <c r="L260" s="634">
        <f t="shared" si="15"/>
        <v>1.8903674041416619E-8</v>
      </c>
      <c r="M260" s="29" t="s">
        <v>1488</v>
      </c>
      <c r="N260" s="29"/>
      <c r="O260" s="36"/>
    </row>
    <row r="261" spans="1:15" ht="12.75" customHeight="1" x14ac:dyDescent="0.3">
      <c r="A261" s="36" t="s">
        <v>1168</v>
      </c>
      <c r="B261" s="29"/>
      <c r="C261" s="29"/>
      <c r="D261" s="29"/>
      <c r="E261" s="29"/>
      <c r="F261" s="29"/>
      <c r="G261" s="37" t="s">
        <v>1170</v>
      </c>
      <c r="H261" s="36" t="s">
        <v>4036</v>
      </c>
      <c r="I261" s="637"/>
      <c r="J261" s="633" t="str">
        <f>IF(ISBLANK(HLOOKUP(CaseName,CaseData,MATCH($G261,cases!$G$3:$G$2464,0),FALSE)),"",HLOOKUP(CaseName,CaseData,MATCH($G261,cases!$G$3:$G$2464,0),FALSE))</f>
        <v/>
      </c>
      <c r="K261" s="352">
        <f>L269</f>
        <v>1.8903674041416619E-8</v>
      </c>
      <c r="L261" s="634">
        <f t="shared" si="15"/>
        <v>1.8903674041416619E-8</v>
      </c>
      <c r="M261" s="29" t="s">
        <v>1488</v>
      </c>
      <c r="N261" s="29"/>
      <c r="O261" s="36"/>
    </row>
    <row r="262" spans="1:15" ht="12.75" customHeight="1" x14ac:dyDescent="0.3">
      <c r="A262" s="36" t="s">
        <v>225</v>
      </c>
      <c r="B262" s="29"/>
      <c r="C262" s="29"/>
      <c r="D262" s="29"/>
      <c r="E262" s="29"/>
      <c r="F262" s="29"/>
      <c r="G262" s="37" t="s">
        <v>1262</v>
      </c>
      <c r="H262" s="36" t="s">
        <v>4036</v>
      </c>
      <c r="I262" s="637"/>
      <c r="J262" s="633" t="str">
        <f>IF(ISBLANK(HLOOKUP(CaseName,CaseData,MATCH($G262,cases!$G$3:$G$2464,0),FALSE)),"",HLOOKUP(CaseName,CaseData,MATCH($G262,cases!$G$3:$G$2464,0),FALSE))</f>
        <v/>
      </c>
      <c r="K262" s="352">
        <f>L273+L245/L159</f>
        <v>2.10575666016223E-9</v>
      </c>
      <c r="L262" s="634">
        <f t="shared" si="15"/>
        <v>2.10575666016223E-9</v>
      </c>
      <c r="M262" s="29" t="s">
        <v>1488</v>
      </c>
      <c r="N262" s="29"/>
      <c r="O262" s="36"/>
    </row>
    <row r="263" spans="1:15" ht="12.75" customHeight="1" x14ac:dyDescent="0.3">
      <c r="A263" s="36" t="s">
        <v>844</v>
      </c>
      <c r="B263" s="29"/>
      <c r="C263" s="29"/>
      <c r="D263" s="29"/>
      <c r="E263" s="29"/>
      <c r="F263" s="29"/>
      <c r="G263" s="37" t="s">
        <v>1366</v>
      </c>
      <c r="H263" s="36" t="s">
        <v>4036</v>
      </c>
      <c r="I263" s="637"/>
      <c r="J263" s="633" t="str">
        <f>IF(ISBLANK(HLOOKUP(CaseName,CaseData,MATCH($G263,cases!$G$3:$G$2464,0),FALSE)),"",HLOOKUP(CaseName,CaseData,MATCH($G263,cases!$G$3:$G$2464,0),FALSE))</f>
        <v/>
      </c>
      <c r="K263" s="352">
        <f>L274+L275*L226/L204*L276/L160</f>
        <v>9.4721243442819017E-9</v>
      </c>
      <c r="L263" s="634">
        <f t="shared" si="15"/>
        <v>9.4721243442819017E-9</v>
      </c>
      <c r="M263" s="29" t="s">
        <v>1488</v>
      </c>
      <c r="N263" s="29"/>
      <c r="O263" s="36"/>
    </row>
    <row r="264" spans="1:15" ht="12.75" customHeight="1" x14ac:dyDescent="0.3">
      <c r="A264" s="36"/>
      <c r="B264" s="36" t="s">
        <v>796</v>
      </c>
      <c r="C264" s="95"/>
      <c r="D264" s="29"/>
      <c r="E264" s="29"/>
      <c r="F264" s="29"/>
      <c r="G264" s="94" t="s">
        <v>674</v>
      </c>
      <c r="H264" s="36" t="s">
        <v>4036</v>
      </c>
      <c r="I264" s="637"/>
      <c r="J264" s="633" t="str">
        <f>IF(ISBLANK(HLOOKUP(CaseName,CaseData,MATCH($G264,cases!$G$3:$G$2464,0),FALSE)),"",HLOOKUP(CaseName,CaseData,MATCH($G264,cases!$G$3:$G$2464,0),FALSE))</f>
        <v/>
      </c>
      <c r="K264" s="352">
        <f>LN(2)/(60*365*24*3600)</f>
        <v>3.663258818281463E-10</v>
      </c>
      <c r="L264" s="634">
        <f t="shared" si="15"/>
        <v>3.663258818281463E-10</v>
      </c>
      <c r="M264" s="36" t="s">
        <v>1488</v>
      </c>
      <c r="N264" s="29"/>
      <c r="O264" s="36"/>
    </row>
    <row r="265" spans="1:15" ht="12.75" customHeight="1" x14ac:dyDescent="0.3">
      <c r="A265" s="36"/>
      <c r="B265" s="36" t="s">
        <v>797</v>
      </c>
      <c r="C265" s="29"/>
      <c r="D265" s="29"/>
      <c r="E265" s="29"/>
      <c r="F265" s="29"/>
      <c r="G265" s="37" t="s">
        <v>671</v>
      </c>
      <c r="H265" s="36" t="s">
        <v>4036</v>
      </c>
      <c r="I265" s="636"/>
      <c r="J265" s="633" t="str">
        <f>IF(ISBLANK(HLOOKUP(CaseName,CaseData,MATCH($G265,cases!$G$3:$G$2464,0),FALSE)),"",HLOOKUP(CaseName,CaseData,MATCH($G265,cases!$G$3:$G$2464,0),FALSE))</f>
        <v/>
      </c>
      <c r="K265" s="352">
        <f>L182*kdeg.air*(L266/C.OHrad)*L267</f>
        <v>1.8058616035260653E-7</v>
      </c>
      <c r="L265" s="634">
        <f t="shared" si="15"/>
        <v>1.8058616035260653E-7</v>
      </c>
      <c r="M265" s="36" t="s">
        <v>1488</v>
      </c>
      <c r="N265" s="29"/>
      <c r="O265" s="36"/>
    </row>
    <row r="266" spans="1:15" ht="12.75" customHeight="1" x14ac:dyDescent="0.3">
      <c r="A266" s="95"/>
      <c r="B266" s="95"/>
      <c r="C266" s="36" t="s">
        <v>1021</v>
      </c>
      <c r="D266" s="29"/>
      <c r="E266" s="29"/>
      <c r="F266" s="29"/>
      <c r="G266" s="37" t="s">
        <v>804</v>
      </c>
      <c r="H266" s="36" t="s">
        <v>4048</v>
      </c>
      <c r="I266" s="636"/>
      <c r="J266" s="633" t="str">
        <f>IF(ISBLANK(HLOOKUP(CaseName,CaseData,MATCH($G266,cases!$G$3:$G$2464,0),FALSE)),"",HLOOKUP(CaseName,CaseData,MATCH($G266,cases!$G$3:$G$2464,0),FALSE))</f>
        <v/>
      </c>
      <c r="K266" s="352">
        <v>500000</v>
      </c>
      <c r="L266" s="634">
        <f t="shared" si="15"/>
        <v>500000</v>
      </c>
      <c r="M266" s="36" t="s">
        <v>1500</v>
      </c>
      <c r="N266" s="29"/>
      <c r="O266" s="36"/>
    </row>
    <row r="267" spans="1:15" ht="12.75" customHeight="1" x14ac:dyDescent="0.3">
      <c r="A267" s="95"/>
      <c r="B267" s="95"/>
      <c r="C267" s="36" t="s">
        <v>35</v>
      </c>
      <c r="D267" s="29"/>
      <c r="E267" s="29"/>
      <c r="F267" s="29"/>
      <c r="G267" s="37" t="s">
        <v>805</v>
      </c>
      <c r="H267" s="36" t="s">
        <v>36</v>
      </c>
      <c r="I267" s="636"/>
      <c r="J267" s="633" t="str">
        <f>IF(ISBLANK(HLOOKUP(CaseName,CaseData,MATCH($G267,cases!$G$3:$G$2464,0),FALSE)),"",HLOOKUP(CaseName,CaseData,MATCH($G267,cases!$G$3:$G$2464,0),FALSE))</f>
        <v/>
      </c>
      <c r="K267" s="352">
        <f>EXP((Ea.OHrad/8.314)*(L186-298)/298^2)</f>
        <v>0.75244236176784551</v>
      </c>
      <c r="L267" s="634">
        <f t="shared" si="15"/>
        <v>0.75244236176784551</v>
      </c>
      <c r="M267" s="36" t="s">
        <v>486</v>
      </c>
      <c r="N267" s="29"/>
      <c r="O267" s="36"/>
    </row>
    <row r="268" spans="1:15" ht="12.75" customHeight="1" x14ac:dyDescent="0.3">
      <c r="A268" s="36"/>
      <c r="B268" s="36" t="s">
        <v>4013</v>
      </c>
      <c r="C268" s="29"/>
      <c r="D268" s="29"/>
      <c r="E268" s="29"/>
      <c r="F268" s="29"/>
      <c r="G268" s="37" t="s">
        <v>1158</v>
      </c>
      <c r="H268" s="36" t="s">
        <v>4036</v>
      </c>
      <c r="I268" s="636"/>
      <c r="J268" s="633" t="str">
        <f>IF(ISBLANK(HLOOKUP(CaseName,CaseData,MATCH($G268,cases!$G$3:$G$2464,0),FALSE)),"",HLOOKUP(CaseName,CaseData,MATCH($G268,cases!$G$3:$G$2464,0),FALSE))</f>
        <v/>
      </c>
      <c r="K268" s="366">
        <f>kdeg.water*L272*(L270/BACT.test)*L189</f>
        <v>1.8903674041416619E-8</v>
      </c>
      <c r="L268" s="634">
        <f t="shared" si="15"/>
        <v>1.8903674041416619E-8</v>
      </c>
      <c r="M268" s="36" t="s">
        <v>1488</v>
      </c>
      <c r="N268" s="29"/>
      <c r="O268" s="36"/>
    </row>
    <row r="269" spans="1:15" ht="12.75" customHeight="1" x14ac:dyDescent="0.3">
      <c r="A269" s="36"/>
      <c r="B269" s="36" t="s">
        <v>1138</v>
      </c>
      <c r="C269" s="29"/>
      <c r="D269" s="29"/>
      <c r="E269" s="29"/>
      <c r="F269" s="29"/>
      <c r="G269" s="37" t="s">
        <v>1159</v>
      </c>
      <c r="H269" s="36" t="s">
        <v>4036</v>
      </c>
      <c r="I269" s="636"/>
      <c r="J269" s="633" t="str">
        <f>IF(ISBLANK(HLOOKUP(CaseName,CaseData,MATCH($G269,cases!$G$3:$G$2464,0),FALSE)),"",HLOOKUP(CaseName,CaseData,MATCH($G269,cases!$G$3:$G$2464,0),FALSE))</f>
        <v/>
      </c>
      <c r="K269" s="366">
        <f>kdeg.water*L272*(L271/BACT.test)*L190</f>
        <v>1.8903674041416619E-8</v>
      </c>
      <c r="L269" s="634">
        <f t="shared" si="15"/>
        <v>1.8903674041416619E-8</v>
      </c>
      <c r="M269" s="36" t="s">
        <v>1488</v>
      </c>
      <c r="N269" s="29"/>
      <c r="O269" s="36"/>
    </row>
    <row r="270" spans="1:15" ht="12.75" customHeight="1" x14ac:dyDescent="0.3">
      <c r="A270" s="36"/>
      <c r="B270" s="36"/>
      <c r="C270" s="36" t="s">
        <v>4014</v>
      </c>
      <c r="D270" s="29"/>
      <c r="E270" s="29"/>
      <c r="F270" s="29"/>
      <c r="G270" s="94" t="s">
        <v>1160</v>
      </c>
      <c r="H270" s="36" t="s">
        <v>730</v>
      </c>
      <c r="I270" s="636"/>
      <c r="J270" s="633" t="str">
        <f>IF(ISBLANK(HLOOKUP(CaseName,CaseData,MATCH($G270,cases!$G$3:$G$2464,0),FALSE)),"",HLOOKUP(CaseName,CaseData,MATCH($G270,cases!$G$3:$G$2464,0),FALSE))</f>
        <v/>
      </c>
      <c r="K270" s="352">
        <v>40000</v>
      </c>
      <c r="L270" s="634">
        <f t="shared" si="15"/>
        <v>40000</v>
      </c>
      <c r="M270" s="36" t="s">
        <v>731</v>
      </c>
      <c r="N270" s="29"/>
      <c r="O270" s="36"/>
    </row>
    <row r="271" spans="1:15" ht="12.75" customHeight="1" x14ac:dyDescent="0.3">
      <c r="A271" s="36"/>
      <c r="B271" s="36"/>
      <c r="C271" s="36" t="s">
        <v>1140</v>
      </c>
      <c r="D271" s="29"/>
      <c r="E271" s="29"/>
      <c r="F271" s="29"/>
      <c r="G271" s="94" t="s">
        <v>1161</v>
      </c>
      <c r="H271" s="36" t="s">
        <v>730</v>
      </c>
      <c r="I271" s="636"/>
      <c r="J271" s="633" t="str">
        <f>IF(ISBLANK(HLOOKUP(CaseName,CaseData,MATCH($G271,cases!$G$3:$G$2464,0),FALSE)),"",HLOOKUP(CaseName,CaseData,MATCH($G271,cases!$G$3:$G$2464,0),FALSE))</f>
        <v/>
      </c>
      <c r="K271" s="352">
        <v>40000</v>
      </c>
      <c r="L271" s="634">
        <f t="shared" si="15"/>
        <v>40000</v>
      </c>
      <c r="M271" s="36" t="s">
        <v>731</v>
      </c>
      <c r="N271" s="29"/>
      <c r="O271" s="36"/>
    </row>
    <row r="272" spans="1:15" ht="12.75" customHeight="1" x14ac:dyDescent="0.3">
      <c r="A272" s="95"/>
      <c r="B272" s="95"/>
      <c r="C272" s="36" t="s">
        <v>766</v>
      </c>
      <c r="D272" s="29"/>
      <c r="E272" s="29"/>
      <c r="F272" s="29"/>
      <c r="G272" s="37" t="s">
        <v>542</v>
      </c>
      <c r="H272" s="36" t="s">
        <v>36</v>
      </c>
      <c r="I272" s="636"/>
      <c r="J272" s="633" t="str">
        <f>IF(ISBLANK(HLOOKUP(CaseName,CaseData,MATCH($G272,cases!$G$3:$G$2464,0),FALSE)),"",HLOOKUP(CaseName,CaseData,MATCH($G272,cases!$G$3:$G$2464,0),FALSE))</f>
        <v/>
      </c>
      <c r="K272" s="366">
        <f>Q.10^((L186-298)/10)</f>
        <v>8.8388347648318447E-2</v>
      </c>
      <c r="L272" s="634">
        <f t="shared" si="15"/>
        <v>8.8388347648318447E-2</v>
      </c>
      <c r="M272" s="36" t="s">
        <v>486</v>
      </c>
      <c r="N272" s="29"/>
      <c r="O272" s="36"/>
    </row>
    <row r="273" spans="1:15" ht="12.75" customHeight="1" x14ac:dyDescent="0.3">
      <c r="A273" s="36"/>
      <c r="B273" s="36" t="s">
        <v>772</v>
      </c>
      <c r="C273" s="29"/>
      <c r="D273" s="29"/>
      <c r="E273" s="29"/>
      <c r="F273" s="29"/>
      <c r="G273" s="37" t="s">
        <v>672</v>
      </c>
      <c r="H273" s="36" t="s">
        <v>4036</v>
      </c>
      <c r="I273" s="636"/>
      <c r="J273" s="633" t="str">
        <f>IF(ISBLANK(HLOOKUP(CaseName,CaseData,MATCH($G273,cases!$G$3:$G$2464,0),FALSE)),"",HLOOKUP(CaseName,CaseData,MATCH($G273,cases!$G$3:$G$2464,0),FALSE))</f>
        <v/>
      </c>
      <c r="K273" s="366">
        <f>L272*kdeg.sed</f>
        <v>2.103642674029979E-9</v>
      </c>
      <c r="L273" s="634">
        <f t="shared" si="15"/>
        <v>2.103642674029979E-9</v>
      </c>
      <c r="M273" s="36" t="s">
        <v>1488</v>
      </c>
      <c r="N273" s="29"/>
      <c r="O273" s="36"/>
    </row>
    <row r="274" spans="1:15" ht="12.75" customHeight="1" x14ac:dyDescent="0.3">
      <c r="A274" s="36"/>
      <c r="B274" s="36" t="s">
        <v>773</v>
      </c>
      <c r="C274" s="29"/>
      <c r="D274" s="29"/>
      <c r="E274" s="29"/>
      <c r="F274" s="29"/>
      <c r="G274" s="37" t="s">
        <v>673</v>
      </c>
      <c r="H274" s="36" t="s">
        <v>4036</v>
      </c>
      <c r="I274" s="636"/>
      <c r="J274" s="633" t="str">
        <f>IF(ISBLANK(HLOOKUP(CaseName,CaseData,MATCH($G274,cases!$G$3:$G$2464,0),FALSE)),"",HLOOKUP(CaseName,CaseData,MATCH($G274,cases!$G$3:$G$2464,0),FALSE))</f>
        <v/>
      </c>
      <c r="K274" s="366">
        <f>L272*kdeg.soil</f>
        <v>9.4575531983700746E-9</v>
      </c>
      <c r="L274" s="634">
        <f t="shared" si="15"/>
        <v>9.4575531983700746E-9</v>
      </c>
      <c r="M274" s="36" t="s">
        <v>1488</v>
      </c>
      <c r="N274" s="29"/>
      <c r="O274" s="36"/>
    </row>
    <row r="275" spans="1:15" ht="12.75" customHeight="1" x14ac:dyDescent="0.3">
      <c r="A275" s="29"/>
      <c r="B275" s="36" t="s">
        <v>1036</v>
      </c>
      <c r="C275" s="29"/>
      <c r="D275" s="29"/>
      <c r="E275" s="29"/>
      <c r="F275" s="29"/>
      <c r="G275" s="94" t="s">
        <v>877</v>
      </c>
      <c r="H275" s="36" t="s">
        <v>36</v>
      </c>
      <c r="I275" s="636"/>
      <c r="J275" s="633" t="str">
        <f>IF(ISBLANK(HLOOKUP(CaseName,CaseData,MATCH($G275,cases!$G$3:$G$2464,0),FALSE)),"",HLOOKUP(CaseName,CaseData,MATCH($G275,cases!$G$3:$G$2464,0),FALSE))</f>
        <v/>
      </c>
      <c r="K275" s="352">
        <f>FRACinf.C</f>
        <v>0.25</v>
      </c>
      <c r="L275" s="634">
        <f>IF(ISBLANK(I275),IF(ISNUMBER(J275)=FALSE,K275,J275),I275)</f>
        <v>0.25</v>
      </c>
      <c r="M275" s="29" t="s">
        <v>486</v>
      </c>
      <c r="N275" s="29"/>
      <c r="O275" s="36"/>
    </row>
    <row r="276" spans="1:15" ht="12.75" customHeight="1" x14ac:dyDescent="0.3">
      <c r="A276" s="36"/>
      <c r="B276" s="29" t="s">
        <v>185</v>
      </c>
      <c r="C276" s="29"/>
      <c r="D276" s="29"/>
      <c r="E276" s="95"/>
      <c r="F276" s="95"/>
      <c r="G276" s="37" t="s">
        <v>919</v>
      </c>
      <c r="H276" s="29" t="s">
        <v>36</v>
      </c>
      <c r="I276" s="637"/>
      <c r="J276" s="633" t="str">
        <f>IF(ISBLANK(HLOOKUP(CaseName,CaseData,MATCH($G276,cases!$G$3:$G$2464,0),FALSE)),"",HLOOKUP(CaseName,CaseData,MATCH($G276,cases!$G$3:$G$2464,0),FALSE))</f>
        <v/>
      </c>
      <c r="K276" s="352">
        <f>(EXP((-1/0.1)*0.5)*(1/0.1)*L160/(1-EXP((-1/0.1)*L160)))</f>
        <v>8.5622262133111474E-3</v>
      </c>
      <c r="L276" s="634">
        <f>IF(ISBLANK(I276),IF(ISNUMBER(J276)=FALSE,K276,J276),I276)</f>
        <v>8.5622262133111474E-3</v>
      </c>
      <c r="M276" s="36" t="s">
        <v>486</v>
      </c>
      <c r="N276" s="29" t="s">
        <v>995</v>
      </c>
      <c r="O276" s="36"/>
    </row>
    <row r="277" spans="1:15" ht="12.75" customHeight="1" x14ac:dyDescent="0.3">
      <c r="A277" s="134"/>
      <c r="B277" s="134"/>
      <c r="C277" s="134"/>
      <c r="D277" s="134"/>
      <c r="E277" s="134"/>
      <c r="F277" s="134"/>
      <c r="G277" s="134"/>
      <c r="H277" s="134"/>
      <c r="I277" s="641"/>
      <c r="J277" s="650"/>
      <c r="K277" s="641"/>
      <c r="L277" s="356"/>
      <c r="M277" s="134"/>
      <c r="N277" s="134"/>
      <c r="O277" s="36"/>
    </row>
    <row r="278" spans="1:15" ht="12.75" customHeight="1" x14ac:dyDescent="0.3">
      <c r="A278" s="44"/>
      <c r="B278" s="5"/>
      <c r="C278" s="29"/>
      <c r="D278" s="29"/>
      <c r="E278" s="29"/>
      <c r="F278" s="29"/>
      <c r="G278" s="29"/>
      <c r="H278" s="36"/>
      <c r="I278" s="643"/>
      <c r="J278" s="633"/>
      <c r="K278" s="353"/>
      <c r="L278" s="353"/>
      <c r="M278" s="29"/>
      <c r="N278" s="29"/>
      <c r="O278" s="36"/>
    </row>
    <row r="279" spans="1:15" ht="12.75" customHeight="1" x14ac:dyDescent="0.3">
      <c r="A279" s="44"/>
      <c r="B279" s="5"/>
      <c r="C279" s="29"/>
      <c r="D279" s="29"/>
      <c r="E279" s="29"/>
      <c r="F279" s="29"/>
      <c r="G279" s="29"/>
      <c r="H279" s="36"/>
      <c r="I279" s="643"/>
      <c r="J279" s="633"/>
      <c r="K279" s="353"/>
      <c r="L279" s="353"/>
      <c r="M279" s="29"/>
      <c r="N279" s="29"/>
      <c r="O279" s="36"/>
    </row>
    <row r="280" spans="1:15" ht="12.75" customHeight="1" x14ac:dyDescent="0.3">
      <c r="A280" s="62" t="s">
        <v>1404</v>
      </c>
      <c r="B280" s="5"/>
      <c r="C280" s="29"/>
      <c r="D280" s="29"/>
      <c r="E280" s="29"/>
      <c r="F280" s="29"/>
      <c r="G280" s="29"/>
      <c r="H280" s="36"/>
      <c r="I280" s="643"/>
      <c r="J280" s="633"/>
      <c r="K280" s="353"/>
      <c r="L280" s="353"/>
      <c r="M280" s="29"/>
      <c r="N280" s="29"/>
      <c r="O280" s="36"/>
    </row>
    <row r="281" spans="1:15" ht="12.75" customHeight="1" x14ac:dyDescent="0.3">
      <c r="A281" s="29"/>
      <c r="B281" s="29"/>
      <c r="C281" s="29"/>
      <c r="D281" s="29"/>
      <c r="E281" s="29"/>
      <c r="F281" s="29"/>
      <c r="G281" s="29"/>
      <c r="H281" s="36"/>
      <c r="I281" s="643"/>
      <c r="J281" s="353"/>
      <c r="K281" s="353"/>
      <c r="L281" s="339"/>
      <c r="M281" s="29"/>
      <c r="N281" s="29"/>
      <c r="O281" s="36"/>
    </row>
    <row r="282" spans="1:15" ht="12.75" customHeight="1" x14ac:dyDescent="0.3">
      <c r="A282" s="97" t="s">
        <v>1310</v>
      </c>
      <c r="B282" s="97"/>
      <c r="C282" s="97"/>
      <c r="D282" s="97"/>
      <c r="E282" s="97"/>
      <c r="F282" s="97"/>
      <c r="G282" s="98" t="s">
        <v>1008</v>
      </c>
      <c r="H282" s="98" t="s">
        <v>968</v>
      </c>
      <c r="I282" s="364" t="s">
        <v>754</v>
      </c>
      <c r="J282" s="340" t="s">
        <v>37</v>
      </c>
      <c r="K282" s="340" t="s">
        <v>753</v>
      </c>
      <c r="L282" s="340" t="s">
        <v>1358</v>
      </c>
      <c r="M282" s="97"/>
      <c r="N282" s="98" t="s">
        <v>1371</v>
      </c>
      <c r="O282" s="36"/>
    </row>
    <row r="283" spans="1:15" ht="12.75" customHeight="1" x14ac:dyDescent="0.3">
      <c r="A283" s="29"/>
      <c r="B283" s="29"/>
      <c r="C283" s="29"/>
      <c r="D283" s="29"/>
      <c r="E283" s="29"/>
      <c r="F283" s="29"/>
      <c r="G283" s="29"/>
      <c r="H283" s="36"/>
      <c r="I283" s="643"/>
      <c r="J283" s="643"/>
      <c r="K283" s="353"/>
      <c r="L283" s="339"/>
      <c r="M283" s="29"/>
      <c r="N283" s="29"/>
      <c r="O283" s="36"/>
    </row>
    <row r="284" spans="1:15" ht="12.75" customHeight="1" x14ac:dyDescent="0.3">
      <c r="A284" s="36" t="s">
        <v>1089</v>
      </c>
      <c r="B284" s="29"/>
      <c r="C284" s="29"/>
      <c r="D284" s="29"/>
      <c r="E284" s="29"/>
      <c r="F284" s="29"/>
      <c r="G284" s="37" t="s">
        <v>1406</v>
      </c>
      <c r="H284" s="36" t="s">
        <v>4034</v>
      </c>
      <c r="I284" s="636"/>
      <c r="J284" s="633" t="str">
        <f>IF(ISBLANK(HLOOKUP(CaseName,CaseData,MATCH($G284,cases!$G$3:$G$2464,0),FALSE)),"",HLOOKUP(CaseName,CaseData,MATCH($G284,cases!$G$3:$G$2464,0),FALSE))</f>
        <v/>
      </c>
      <c r="K284" s="352">
        <f>L289*L292</f>
        <v>1.275E+17</v>
      </c>
      <c r="L284" s="634">
        <f>IF(ISBLANK(I284),IF(ISNUMBER(J284)=FALSE,K284,J284),I284)</f>
        <v>1.275E+17</v>
      </c>
      <c r="M284" s="36" t="s">
        <v>1496</v>
      </c>
      <c r="N284" s="29"/>
      <c r="O284" s="36"/>
    </row>
    <row r="285" spans="1:15" ht="12.75" customHeight="1" x14ac:dyDescent="0.3">
      <c r="A285" s="29" t="s">
        <v>4015</v>
      </c>
      <c r="B285" s="29"/>
      <c r="C285" s="29"/>
      <c r="D285" s="29"/>
      <c r="E285" s="29"/>
      <c r="F285" s="29"/>
      <c r="G285" s="37" t="s">
        <v>944</v>
      </c>
      <c r="H285" s="29" t="s">
        <v>4034</v>
      </c>
      <c r="I285" s="636"/>
      <c r="J285" s="633" t="str">
        <f>IF(ISBLANK(HLOOKUP(CaseName,CaseData,MATCH($G285,cases!$G$3:$G$2464,0),FALSE)),"",HLOOKUP(CaseName,CaseData,MATCH($G285,cases!$G$3:$G$2464,0),FALSE))</f>
        <v/>
      </c>
      <c r="K285" s="352">
        <f>L289*L293*L290</f>
        <v>8924999999999999</v>
      </c>
      <c r="L285" s="634">
        <f>IF(ISBLANK(I285),IF(ISNUMBER(J285)=FALSE,K285,J285),I285)</f>
        <v>8924999999999999</v>
      </c>
      <c r="M285" s="36" t="s">
        <v>1496</v>
      </c>
      <c r="N285" s="29"/>
      <c r="O285" s="36"/>
    </row>
    <row r="286" spans="1:15" ht="12.75" customHeight="1" x14ac:dyDescent="0.3">
      <c r="A286" s="36" t="s">
        <v>104</v>
      </c>
      <c r="B286" s="29"/>
      <c r="C286" s="29"/>
      <c r="D286" s="29"/>
      <c r="E286" s="29"/>
      <c r="F286" s="29"/>
      <c r="G286" s="37" t="s">
        <v>945</v>
      </c>
      <c r="H286" s="29" t="s">
        <v>4034</v>
      </c>
      <c r="I286" s="636"/>
      <c r="J286" s="633" t="str">
        <f>IF(ISBLANK(HLOOKUP(CaseName,CaseData,MATCH($G286,cases!$G$3:$G$2464,0),FALSE)),"",HLOOKUP(CaseName,CaseData,MATCH($G286,cases!$G$3:$G$2464,0),FALSE))</f>
        <v/>
      </c>
      <c r="K286" s="352">
        <f>L289*L294*L290</f>
        <v>2.6774999999999997E+17</v>
      </c>
      <c r="L286" s="634">
        <f>IF(ISBLANK(I286),IF(ISNUMBER(J286)=FALSE,K286,J286),I286)</f>
        <v>2.6774999999999997E+17</v>
      </c>
      <c r="M286" s="36" t="s">
        <v>1496</v>
      </c>
      <c r="N286" s="29"/>
      <c r="O286" s="36"/>
    </row>
    <row r="287" spans="1:15" ht="12.75" customHeight="1" x14ac:dyDescent="0.3">
      <c r="A287" s="36" t="s">
        <v>734</v>
      </c>
      <c r="B287" s="29"/>
      <c r="C287" s="29"/>
      <c r="D287" s="29"/>
      <c r="E287" s="29"/>
      <c r="F287" s="29"/>
      <c r="G287" s="37" t="s">
        <v>1407</v>
      </c>
      <c r="H287" s="36" t="s">
        <v>4034</v>
      </c>
      <c r="I287" s="636"/>
      <c r="J287" s="633" t="str">
        <f>IF(ISBLANK(HLOOKUP(CaseName,CaseData,MATCH($G287,cases!$G$3:$G$2464,0),FALSE)),"",HLOOKUP(CaseName,CaseData,MATCH($G287,cases!$G$3:$G$2464,0),FALSE))</f>
        <v/>
      </c>
      <c r="K287" s="352">
        <f>L289*L295*L290</f>
        <v>2677500000000</v>
      </c>
      <c r="L287" s="634">
        <f>IF(ISBLANK(I287),IF(ISNUMBER(J287)=FALSE,K287,J287),I287)</f>
        <v>2677500000000</v>
      </c>
      <c r="M287" s="36" t="s">
        <v>1496</v>
      </c>
      <c r="N287" s="29"/>
      <c r="O287" s="36"/>
    </row>
    <row r="288" spans="1:15" ht="12.75" customHeight="1" x14ac:dyDescent="0.3">
      <c r="A288" s="36" t="s">
        <v>735</v>
      </c>
      <c r="B288" s="29"/>
      <c r="C288" s="29"/>
      <c r="D288" s="29"/>
      <c r="E288" s="29"/>
      <c r="F288" s="29"/>
      <c r="G288" s="37" t="s">
        <v>1408</v>
      </c>
      <c r="H288" s="36" t="s">
        <v>4034</v>
      </c>
      <c r="I288" s="636"/>
      <c r="J288" s="633" t="str">
        <f>IF(ISBLANK(HLOOKUP(CaseName,CaseData,MATCH($G288,cases!$G$3:$G$2464,0),FALSE)),"",HLOOKUP(CaseName,CaseData,MATCH($G288,cases!$G$3:$G$2464,0),FALSE))</f>
        <v/>
      </c>
      <c r="K288" s="352">
        <f>L289*L291*L296</f>
        <v>1912500000000.0005</v>
      </c>
      <c r="L288" s="634">
        <f>IF(ISBLANK(I288),IF(ISNUMBER(J288)=FALSE,K288,J288),I288)</f>
        <v>1912500000000.0005</v>
      </c>
      <c r="M288" s="36" t="s">
        <v>1496</v>
      </c>
      <c r="N288" s="29"/>
      <c r="O288" s="36"/>
    </row>
    <row r="289" spans="1:15" ht="12.75" customHeight="1" x14ac:dyDescent="0.3">
      <c r="A289" s="29"/>
      <c r="B289" s="36" t="s">
        <v>1022</v>
      </c>
      <c r="C289" s="29"/>
      <c r="D289" s="29"/>
      <c r="E289" s="29"/>
      <c r="F289" s="29"/>
      <c r="G289" s="37" t="s">
        <v>1409</v>
      </c>
      <c r="H289" s="36" t="s">
        <v>4035</v>
      </c>
      <c r="I289" s="636"/>
      <c r="J289" s="633" t="str">
        <f>IF(ISBLANK(HLOOKUP(CaseName,CaseData,MATCH($G289,cases!$G$3:$G$2464,0),FALSE)),"",HLOOKUP(CaseName,CaseData,MATCH($G289,cases!$G$3:$G$2464,0),FALSE))</f>
        <v/>
      </c>
      <c r="K289" s="345">
        <v>127500000</v>
      </c>
      <c r="L289" s="634">
        <f>IF(ISBLANK(I289),IF(ISNUMBER(J289)=FALSE,K289*1000000,J289*1000000),I289*1000000)</f>
        <v>127500000000000</v>
      </c>
      <c r="M289" s="36" t="s">
        <v>1492</v>
      </c>
      <c r="N289" s="29"/>
      <c r="O289" s="36"/>
    </row>
    <row r="290" spans="1:15" ht="12.75" customHeight="1" x14ac:dyDescent="0.3">
      <c r="A290" s="29"/>
      <c r="B290" s="36" t="s">
        <v>3991</v>
      </c>
      <c r="C290" s="29"/>
      <c r="D290" s="29"/>
      <c r="E290" s="29"/>
      <c r="F290" s="29"/>
      <c r="G290" s="94" t="s">
        <v>1410</v>
      </c>
      <c r="H290" s="36" t="s">
        <v>36</v>
      </c>
      <c r="I290" s="636"/>
      <c r="J290" s="633" t="str">
        <f>IF(ISBLANK(HLOOKUP(CaseName,CaseData,MATCH($G290,cases!$G$3:$G$2464,0),FALSE)),"",HLOOKUP(CaseName,CaseData,MATCH($G290,cases!$G$3:$G$2464,0),FALSE))</f>
        <v/>
      </c>
      <c r="K290" s="345">
        <v>0.7</v>
      </c>
      <c r="L290" s="634">
        <f>IF(ISBLANK(I290),IF(ISNUMBER(J290)=FALSE,K290,J290),I290)</f>
        <v>0.7</v>
      </c>
      <c r="M290" s="29" t="s">
        <v>486</v>
      </c>
      <c r="N290" s="29"/>
      <c r="O290" s="36"/>
    </row>
    <row r="291" spans="1:15" ht="12.75" customHeight="1" x14ac:dyDescent="0.3">
      <c r="A291" s="29"/>
      <c r="B291" s="36" t="s">
        <v>3992</v>
      </c>
      <c r="C291" s="29"/>
      <c r="D291" s="29"/>
      <c r="E291" s="29"/>
      <c r="F291" s="29"/>
      <c r="G291" s="94" t="s">
        <v>1411</v>
      </c>
      <c r="H291" s="36" t="s">
        <v>36</v>
      </c>
      <c r="I291" s="636"/>
      <c r="J291" s="633" t="str">
        <f>IF(ISBLANK(HLOOKUP(CaseName,CaseData,MATCH($G291,cases!$G$3:$G$2464,0),FALSE)),"",HLOOKUP(CaseName,CaseData,MATCH($G291,cases!$G$3:$G$2464,0),FALSE))</f>
        <v/>
      </c>
      <c r="K291" s="352">
        <f>1-L290</f>
        <v>0.30000000000000004</v>
      </c>
      <c r="L291" s="634">
        <f>IF(ISBLANK(I291),IF(ISNUMBER(J291)=FALSE,K291,J291),I291)</f>
        <v>0.30000000000000004</v>
      </c>
      <c r="M291" s="29" t="s">
        <v>486</v>
      </c>
      <c r="N291" s="29"/>
      <c r="O291" s="36"/>
    </row>
    <row r="292" spans="1:15" ht="12.75" customHeight="1" x14ac:dyDescent="0.3">
      <c r="A292" s="29"/>
      <c r="B292" s="29"/>
      <c r="C292" s="36" t="s">
        <v>767</v>
      </c>
      <c r="D292" s="29"/>
      <c r="E292" s="29"/>
      <c r="F292" s="29"/>
      <c r="G292" s="94" t="s">
        <v>1412</v>
      </c>
      <c r="H292" s="36" t="s">
        <v>719</v>
      </c>
      <c r="I292" s="636"/>
      <c r="J292" s="633" t="str">
        <f>IF(ISBLANK(HLOOKUP(CaseName,CaseData,MATCH($G292,cases!$G$3:$G$2464,0),FALSE)),"",HLOOKUP(CaseName,CaseData,MATCH($G292,cases!$G$3:$G$2464,0),FALSE))</f>
        <v/>
      </c>
      <c r="K292" s="345">
        <v>1000</v>
      </c>
      <c r="L292" s="634">
        <f>IF(ISBLANK(I292),IF(ISNUMBER(J292)=FALSE,K292,J292),I292)</f>
        <v>1000</v>
      </c>
      <c r="M292" s="36" t="s">
        <v>720</v>
      </c>
      <c r="N292" s="29"/>
      <c r="O292" s="36"/>
    </row>
    <row r="293" spans="1:15" ht="12.75" customHeight="1" x14ac:dyDescent="0.3">
      <c r="A293" s="29"/>
      <c r="B293" s="29"/>
      <c r="C293" s="36" t="s">
        <v>106</v>
      </c>
      <c r="D293" s="29"/>
      <c r="E293" s="29"/>
      <c r="F293" s="29"/>
      <c r="G293" s="94" t="s">
        <v>947</v>
      </c>
      <c r="H293" s="36" t="s">
        <v>719</v>
      </c>
      <c r="I293" s="637"/>
      <c r="J293" s="633" t="str">
        <f>IF(ISBLANK(HLOOKUP(CaseName,CaseData,MATCH($G293,cases!$G$3:$G$2464,0),FALSE)),"",HLOOKUP(CaseName,CaseData,MATCH($G293,cases!$G$3:$G$2464,0),FALSE))</f>
        <v/>
      </c>
      <c r="K293" s="345">
        <v>100</v>
      </c>
      <c r="L293" s="634">
        <f>IF(ISBLANK(I293),IF(ISNUMBER(J293)=FALSE,K293,J293),I293)</f>
        <v>100</v>
      </c>
      <c r="M293" s="36" t="s">
        <v>720</v>
      </c>
      <c r="N293" s="29"/>
      <c r="O293" s="36"/>
    </row>
    <row r="294" spans="1:15" ht="12.75" customHeight="1" x14ac:dyDescent="0.3">
      <c r="A294" s="29"/>
      <c r="B294" s="29"/>
      <c r="C294" s="36" t="s">
        <v>105</v>
      </c>
      <c r="D294" s="29"/>
      <c r="E294" s="29"/>
      <c r="F294" s="29"/>
      <c r="G294" s="94" t="s">
        <v>948</v>
      </c>
      <c r="H294" s="36" t="s">
        <v>719</v>
      </c>
      <c r="I294" s="637"/>
      <c r="J294" s="633" t="str">
        <f>IF(ISBLANK(HLOOKUP(CaseName,CaseData,MATCH($G294,cases!$G$3:$G$2464,0),FALSE)),"",HLOOKUP(CaseName,CaseData,MATCH($G294,cases!$G$3:$G$2464,0),FALSE))</f>
        <v/>
      </c>
      <c r="K294" s="352">
        <v>3000</v>
      </c>
      <c r="L294" s="634">
        <f>IF(ISBLANK(I294),IF(ISNUMBER(J294)=FALSE,K294,J294),I294)</f>
        <v>3000</v>
      </c>
      <c r="M294" s="36" t="s">
        <v>720</v>
      </c>
      <c r="N294" s="29"/>
      <c r="O294" s="36"/>
    </row>
    <row r="295" spans="1:15" ht="12.75" customHeight="1" x14ac:dyDescent="0.3">
      <c r="A295" s="29"/>
      <c r="B295" s="29"/>
      <c r="C295" s="36" t="s">
        <v>1053</v>
      </c>
      <c r="D295" s="29"/>
      <c r="E295" s="29"/>
      <c r="F295" s="29"/>
      <c r="G295" s="94" t="s">
        <v>1413</v>
      </c>
      <c r="H295" s="36" t="s">
        <v>721</v>
      </c>
      <c r="I295" s="636"/>
      <c r="J295" s="633" t="str">
        <f>IF(ISBLANK(HLOOKUP(CaseName,CaseData,MATCH($G295,cases!$G$3:$G$2464,0),FALSE)),"",HLOOKUP(CaseName,CaseData,MATCH($G295,cases!$G$3:$G$2464,0),FALSE))</f>
        <v/>
      </c>
      <c r="K295" s="345">
        <v>3</v>
      </c>
      <c r="L295" s="634">
        <f>IF(ISBLANK(I295),IF(ISNUMBER(J295)=FALSE,K295/100,J295/100),I295/100)</f>
        <v>0.03</v>
      </c>
      <c r="M295" s="36" t="s">
        <v>720</v>
      </c>
      <c r="N295" s="29"/>
      <c r="O295" s="36"/>
    </row>
    <row r="296" spans="1:15" ht="12.75" customHeight="1" x14ac:dyDescent="0.3">
      <c r="A296" s="36"/>
      <c r="B296" s="29"/>
      <c r="C296" s="36" t="s">
        <v>3993</v>
      </c>
      <c r="D296" s="95"/>
      <c r="E296" s="95"/>
      <c r="F296" s="95"/>
      <c r="G296" s="94" t="s">
        <v>1414</v>
      </c>
      <c r="H296" s="36" t="s">
        <v>719</v>
      </c>
      <c r="I296" s="632"/>
      <c r="J296" s="633" t="str">
        <f>IF(ISBLANK(HLOOKUP(CaseName,CaseData,MATCH($G296,cases!$G$3:$G$2464,0),FALSE)),"",HLOOKUP(CaseName,CaseData,MATCH($G296,cases!$G$3:$G$2464,0),FALSE))</f>
        <v/>
      </c>
      <c r="K296" s="352">
        <v>0.05</v>
      </c>
      <c r="L296" s="634">
        <f t="shared" ref="L296:L303" si="16">IF(ISBLANK(I296),IF(ISNUMBER(J296)=FALSE,K296,J296),I296)</f>
        <v>0.05</v>
      </c>
      <c r="M296" s="29" t="s">
        <v>720</v>
      </c>
      <c r="N296" s="29"/>
      <c r="O296" s="36"/>
    </row>
    <row r="297" spans="1:15" ht="12.75" customHeight="1" x14ac:dyDescent="0.3">
      <c r="A297" s="29"/>
      <c r="B297" s="29"/>
      <c r="C297" s="29" t="s">
        <v>216</v>
      </c>
      <c r="D297" s="29"/>
      <c r="E297" s="29"/>
      <c r="F297" s="29"/>
      <c r="G297" s="36" t="s">
        <v>4025</v>
      </c>
      <c r="H297" s="36" t="s">
        <v>722</v>
      </c>
      <c r="I297" s="636"/>
      <c r="J297" s="633" t="str">
        <f>IF(ISBLANK(HLOOKUP(CaseName,CaseData,MATCH($G297,cases!$G$3:$G$2464,0),FALSE)),"",HLOOKUP(CaseName,CaseData,MATCH($G297,cases!$G$3:$G$2464,0),FALSE))</f>
        <v/>
      </c>
      <c r="K297" s="352">
        <v>1.9999999999999999E-11</v>
      </c>
      <c r="L297" s="634">
        <f t="shared" si="16"/>
        <v>1.9999999999999999E-11</v>
      </c>
      <c r="M297" s="36" t="s">
        <v>486</v>
      </c>
      <c r="N297" s="29" t="s">
        <v>2183</v>
      </c>
      <c r="O297" s="36"/>
    </row>
    <row r="298" spans="1:15" ht="12.75" customHeight="1" x14ac:dyDescent="0.3">
      <c r="A298" s="29"/>
      <c r="B298" s="29"/>
      <c r="C298" s="29" t="s">
        <v>217</v>
      </c>
      <c r="D298" s="29"/>
      <c r="E298" s="29"/>
      <c r="F298" s="29"/>
      <c r="G298" s="36" t="s">
        <v>4026</v>
      </c>
      <c r="H298" s="36" t="s">
        <v>722</v>
      </c>
      <c r="I298" s="636"/>
      <c r="J298" s="633" t="str">
        <f>IF(ISBLANK(HLOOKUP(CaseName,CaseData,MATCH($G298,cases!$G$3:$G$2464,0),FALSE)),"",HLOOKUP(CaseName,CaseData,MATCH($G298,cases!$G$3:$G$2464,0),FALSE))</f>
        <v/>
      </c>
      <c r="K298" s="352">
        <v>1.9999999999999999E-11</v>
      </c>
      <c r="L298" s="634">
        <f t="shared" si="16"/>
        <v>1.9999999999999999E-11</v>
      </c>
      <c r="M298" s="36" t="s">
        <v>486</v>
      </c>
      <c r="N298" s="29" t="s">
        <v>2183</v>
      </c>
      <c r="O298" s="36"/>
    </row>
    <row r="299" spans="1:15" ht="12.75" customHeight="1" x14ac:dyDescent="0.3">
      <c r="A299" s="29"/>
      <c r="B299" s="29"/>
      <c r="C299" s="36" t="s">
        <v>1054</v>
      </c>
      <c r="D299" s="95"/>
      <c r="E299" s="95"/>
      <c r="F299" s="95"/>
      <c r="G299" s="94" t="s">
        <v>1081</v>
      </c>
      <c r="H299" s="36" t="s">
        <v>722</v>
      </c>
      <c r="I299" s="636"/>
      <c r="J299" s="633" t="str">
        <f>IF(ISBLANK(HLOOKUP(CaseName,CaseData,MATCH($G299,cases!$G$3:$G$2464,0),FALSE)),"",HLOOKUP(CaseName,CaseData,MATCH($G299,cases!$G$3:$G$2464,0),FALSE))</f>
        <v/>
      </c>
      <c r="K299" s="345">
        <v>0.2</v>
      </c>
      <c r="L299" s="634">
        <f t="shared" si="16"/>
        <v>0.2</v>
      </c>
      <c r="M299" s="29" t="s">
        <v>486</v>
      </c>
      <c r="N299" s="29"/>
      <c r="O299" s="36"/>
    </row>
    <row r="300" spans="1:15" ht="12.75" customHeight="1" x14ac:dyDescent="0.3">
      <c r="A300" s="29"/>
      <c r="B300" s="29"/>
      <c r="C300" s="36" t="s">
        <v>1055</v>
      </c>
      <c r="D300" s="29"/>
      <c r="E300" s="29"/>
      <c r="F300" s="29"/>
      <c r="G300" s="94" t="s">
        <v>1079</v>
      </c>
      <c r="H300" s="36" t="s">
        <v>722</v>
      </c>
      <c r="I300" s="636"/>
      <c r="J300" s="633" t="str">
        <f>IF(ISBLANK(HLOOKUP(CaseName,CaseData,MATCH($G300,cases!$G$3:$G$2464,0),FALSE)),"",HLOOKUP(CaseName,CaseData,MATCH($G300,cases!$G$3:$G$2464,0),FALSE))</f>
        <v/>
      </c>
      <c r="K300" s="345">
        <v>0.2</v>
      </c>
      <c r="L300" s="634">
        <f t="shared" si="16"/>
        <v>0.2</v>
      </c>
      <c r="M300" s="29" t="s">
        <v>486</v>
      </c>
      <c r="N300" s="29"/>
      <c r="O300" s="36"/>
    </row>
    <row r="301" spans="1:15" ht="12.75" customHeight="1" x14ac:dyDescent="0.3">
      <c r="A301" s="29"/>
      <c r="B301" s="29"/>
      <c r="C301" s="36" t="s">
        <v>1056</v>
      </c>
      <c r="D301" s="29"/>
      <c r="E301" s="29"/>
      <c r="F301" s="29"/>
      <c r="G301" s="94" t="s">
        <v>1080</v>
      </c>
      <c r="H301" s="36" t="s">
        <v>722</v>
      </c>
      <c r="I301" s="636"/>
      <c r="J301" s="633" t="str">
        <f>IF(ISBLANK(HLOOKUP(CaseName,CaseData,MATCH($G301,cases!$G$3:$G$2464,0),FALSE)),"",HLOOKUP(CaseName,CaseData,MATCH($G301,cases!$G$3:$G$2464,0),FALSE))</f>
        <v/>
      </c>
      <c r="K301" s="352">
        <f>1-L299-L300</f>
        <v>0.60000000000000009</v>
      </c>
      <c r="L301" s="634">
        <f t="shared" si="16"/>
        <v>0.60000000000000009</v>
      </c>
      <c r="M301" s="29" t="s">
        <v>486</v>
      </c>
      <c r="N301" s="29"/>
      <c r="O301" s="36"/>
    </row>
    <row r="302" spans="1:15" ht="12.75" customHeight="1" x14ac:dyDescent="0.3">
      <c r="A302" s="36"/>
      <c r="B302" s="29"/>
      <c r="C302" s="36" t="s">
        <v>434</v>
      </c>
      <c r="D302" s="95"/>
      <c r="E302" s="95"/>
      <c r="F302" s="95"/>
      <c r="G302" s="94" t="s">
        <v>1078</v>
      </c>
      <c r="H302" s="36" t="s">
        <v>722</v>
      </c>
      <c r="I302" s="636"/>
      <c r="J302" s="633" t="str">
        <f>IF(ISBLANK(HLOOKUP(CaseName,CaseData,MATCH($G302,cases!$G$3:$G$2464,0),FALSE)),"",HLOOKUP(CaseName,CaseData,MATCH($G302,cases!$G$3:$G$2464,0),FALSE))</f>
        <v/>
      </c>
      <c r="K302" s="345">
        <v>0.8</v>
      </c>
      <c r="L302" s="634">
        <f t="shared" si="16"/>
        <v>0.8</v>
      </c>
      <c r="M302" s="36" t="s">
        <v>486</v>
      </c>
      <c r="N302" s="29"/>
      <c r="O302" s="36"/>
    </row>
    <row r="303" spans="1:15" ht="12.75" customHeight="1" x14ac:dyDescent="0.3">
      <c r="A303" s="36"/>
      <c r="B303" s="29"/>
      <c r="C303" s="36" t="s">
        <v>888</v>
      </c>
      <c r="D303" s="95"/>
      <c r="E303" s="95"/>
      <c r="F303" s="95"/>
      <c r="G303" s="94" t="s">
        <v>1082</v>
      </c>
      <c r="H303" s="36" t="s">
        <v>722</v>
      </c>
      <c r="I303" s="636"/>
      <c r="J303" s="633" t="str">
        <f>IF(ISBLANK(HLOOKUP(CaseName,CaseData,MATCH($G303,cases!$G$3:$G$2464,0),FALSE)),"",HLOOKUP(CaseName,CaseData,MATCH($G303,cases!$G$3:$G$2464,0),FALSE))</f>
        <v/>
      </c>
      <c r="K303" s="352">
        <f>1-L302</f>
        <v>0.19999999999999996</v>
      </c>
      <c r="L303" s="634">
        <f t="shared" si="16"/>
        <v>0.19999999999999996</v>
      </c>
      <c r="M303" s="36" t="s">
        <v>486</v>
      </c>
      <c r="N303" s="29"/>
      <c r="O303" s="36"/>
    </row>
    <row r="304" spans="1:15" ht="12.75" customHeight="1" x14ac:dyDescent="0.3">
      <c r="A304" s="29"/>
      <c r="B304" s="29"/>
      <c r="C304" s="29"/>
      <c r="D304" s="29"/>
      <c r="E304" s="29"/>
      <c r="F304" s="29"/>
      <c r="G304" s="29"/>
      <c r="H304" s="29"/>
      <c r="I304" s="646"/>
      <c r="J304" s="633"/>
      <c r="K304" s="339"/>
      <c r="L304" s="339"/>
      <c r="M304" s="29"/>
      <c r="N304" s="29"/>
      <c r="O304" s="36"/>
    </row>
    <row r="305" spans="1:15" ht="12.75" customHeight="1" x14ac:dyDescent="0.3">
      <c r="A305" s="36" t="s">
        <v>101</v>
      </c>
      <c r="B305" s="29"/>
      <c r="C305" s="29"/>
      <c r="D305" s="29"/>
      <c r="E305" s="29"/>
      <c r="F305" s="29"/>
      <c r="G305" s="36" t="s">
        <v>846</v>
      </c>
      <c r="H305" s="36" t="s">
        <v>4036</v>
      </c>
      <c r="I305" s="637"/>
      <c r="J305" s="633" t="str">
        <f>IF(ISBLANK(HLOOKUP(CaseName,CaseData,MATCH($G305,cases!$G$3:$G$2464,0),FALSE)),"",HLOOKUP(CaseName,CaseData,MATCH($G305,cases!$G$3:$G$2464,0),FALSE))</f>
        <v/>
      </c>
      <c r="K305" s="352">
        <f>1/L306</f>
        <v>3.9972375476524815E-7</v>
      </c>
      <c r="L305" s="634">
        <f>IF(ISBLANK(I305),IF(ISNUMBER(J305)=FALSE,K305,J305),I305)</f>
        <v>3.9972375476524815E-7</v>
      </c>
      <c r="M305" s="29" t="s">
        <v>1488</v>
      </c>
      <c r="N305" s="29"/>
      <c r="O305" s="36"/>
    </row>
    <row r="306" spans="1:15" ht="12.75" customHeight="1" x14ac:dyDescent="0.3">
      <c r="A306" s="36"/>
      <c r="B306" s="36" t="s">
        <v>511</v>
      </c>
      <c r="C306" s="29"/>
      <c r="D306" s="29"/>
      <c r="E306" s="29"/>
      <c r="F306" s="29"/>
      <c r="G306" s="37" t="s">
        <v>1205</v>
      </c>
      <c r="H306" s="29" t="s">
        <v>723</v>
      </c>
      <c r="I306" s="636"/>
      <c r="J306" s="633" t="str">
        <f>IF(ISBLANK(HLOOKUP(CaseName,CaseData,MATCH($G306,cases!$G$3:$G$2464,0),FALSE)),"",HLOOKUP(CaseName,CaseData,MATCH($G306,cases!$G$3:$G$2464,0),FALSE))</f>
        <v/>
      </c>
      <c r="K306" s="352">
        <f>1.5*(0.5*SQRT(L289*PI()/4)/L370)/(3600*24)</f>
        <v>28.955182012816216</v>
      </c>
      <c r="L306" s="634">
        <f>IF(ISBLANK(I306),IF(ISNUMBER(J306)=FALSE,K306*(3600*24),J306*(3600*24)),I306*(3600*24))</f>
        <v>2501727.7259073211</v>
      </c>
      <c r="M306" s="36" t="s">
        <v>115</v>
      </c>
      <c r="N306" s="29"/>
      <c r="O306" s="36"/>
    </row>
    <row r="307" spans="1:15" ht="12.75" customHeight="1" x14ac:dyDescent="0.3">
      <c r="A307" s="29"/>
      <c r="B307" s="29"/>
      <c r="C307" s="29"/>
      <c r="D307" s="29"/>
      <c r="E307" s="29"/>
      <c r="F307" s="29"/>
      <c r="G307" s="29"/>
      <c r="H307" s="29"/>
      <c r="I307" s="646"/>
      <c r="J307" s="633"/>
      <c r="K307" s="339"/>
      <c r="L307" s="339"/>
      <c r="M307" s="29"/>
      <c r="N307" s="29"/>
      <c r="O307" s="36"/>
    </row>
    <row r="308" spans="1:15" ht="12.75" customHeight="1" x14ac:dyDescent="0.3">
      <c r="A308" s="36" t="s">
        <v>102</v>
      </c>
      <c r="B308" s="29"/>
      <c r="C308" s="29"/>
      <c r="D308" s="29"/>
      <c r="E308" s="29"/>
      <c r="F308" s="29"/>
      <c r="G308" s="36" t="s">
        <v>1263</v>
      </c>
      <c r="H308" s="36" t="s">
        <v>4036</v>
      </c>
      <c r="I308" s="637"/>
      <c r="J308" s="633" t="str">
        <f>IF(ISBLANK(HLOOKUP(CaseName,CaseData,MATCH($G308,cases!$G$3:$G$2464,0),FALSE)),"",HLOOKUP(CaseName,CaseData,MATCH($G308,cases!$G$3:$G$2464,0),FALSE))</f>
        <v/>
      </c>
      <c r="K308" s="639">
        <f>L310/L285</f>
        <v>1.6806722689075633E-8</v>
      </c>
      <c r="L308" s="634">
        <f t="shared" ref="L308:L313" si="17">IF(ISBLANK(I308),IF(ISNUMBER(J308)=FALSE,K308,J308),I308)</f>
        <v>1.6806722689075633E-8</v>
      </c>
      <c r="M308" s="29" t="s">
        <v>1488</v>
      </c>
      <c r="N308" s="29"/>
      <c r="O308" s="36"/>
    </row>
    <row r="309" spans="1:15" ht="12.75" customHeight="1" x14ac:dyDescent="0.3">
      <c r="A309" s="36" t="s">
        <v>103</v>
      </c>
      <c r="B309" s="29"/>
      <c r="C309" s="29"/>
      <c r="D309" s="29"/>
      <c r="E309" s="29"/>
      <c r="F309" s="29"/>
      <c r="G309" s="36" t="s">
        <v>59</v>
      </c>
      <c r="H309" s="36" t="s">
        <v>4036</v>
      </c>
      <c r="I309" s="637"/>
      <c r="J309" s="633" t="str">
        <f>IF(ISBLANK(HLOOKUP(CaseName,CaseData,MATCH($G309,cases!$G$3:$G$2464,0),FALSE)),"",HLOOKUP(CaseName,CaseData,MATCH($G309,cases!$G$3:$G$2464,0),FALSE))</f>
        <v/>
      </c>
      <c r="K309" s="639">
        <v>0</v>
      </c>
      <c r="L309" s="634">
        <f t="shared" si="17"/>
        <v>0</v>
      </c>
      <c r="M309" s="29" t="s">
        <v>1488</v>
      </c>
      <c r="N309" s="29"/>
      <c r="O309" s="36"/>
    </row>
    <row r="310" spans="1:15" ht="12.75" customHeight="1" x14ac:dyDescent="0.3">
      <c r="A310" s="36"/>
      <c r="B310" s="36" t="s">
        <v>512</v>
      </c>
      <c r="C310" s="29"/>
      <c r="D310" s="29"/>
      <c r="E310" s="29"/>
      <c r="F310" s="29"/>
      <c r="G310" s="94" t="s">
        <v>62</v>
      </c>
      <c r="H310" s="29" t="s">
        <v>4037</v>
      </c>
      <c r="I310" s="636"/>
      <c r="J310" s="633" t="str">
        <f>IF(ISBLANK(HLOOKUP(CaseName,CaseData,MATCH($G310,cases!$G$3:$G$2464,0),FALSE)),"",HLOOKUP(CaseName,CaseData,MATCH($G310,cases!$G$3:$G$2464,0),FALSE))</f>
        <v/>
      </c>
      <c r="K310" s="639">
        <f>L38</f>
        <v>150000000</v>
      </c>
      <c r="L310" s="634">
        <f t="shared" si="17"/>
        <v>150000000</v>
      </c>
      <c r="M310" s="29" t="s">
        <v>4038</v>
      </c>
      <c r="N310" s="29"/>
      <c r="O310" s="36"/>
    </row>
    <row r="311" spans="1:15" ht="12.75" customHeight="1" x14ac:dyDescent="0.3">
      <c r="A311" s="36" t="s">
        <v>129</v>
      </c>
      <c r="B311" s="29"/>
      <c r="C311" s="29"/>
      <c r="D311" s="29"/>
      <c r="E311" s="29"/>
      <c r="F311" s="29"/>
      <c r="G311" s="36" t="s">
        <v>60</v>
      </c>
      <c r="H311" s="36" t="s">
        <v>4036</v>
      </c>
      <c r="I311" s="637"/>
      <c r="J311" s="633" t="str">
        <f>IF(ISBLANK(HLOOKUP(CaseName,CaseData,MATCH($G311,cases!$G$3:$G$2464,0),FALSE)),"",HLOOKUP(CaseName,CaseData,MATCH($G311,cases!$G$3:$G$2464,0),FALSE))</f>
        <v/>
      </c>
      <c r="K311" s="639">
        <f>(L38+L313)/L285</f>
        <v>2.2724443312678606E-7</v>
      </c>
      <c r="L311" s="634">
        <f t="shared" si="17"/>
        <v>2.2724443312678606E-7</v>
      </c>
      <c r="M311" s="29" t="s">
        <v>1488</v>
      </c>
      <c r="N311" s="29"/>
      <c r="O311" s="36"/>
    </row>
    <row r="312" spans="1:15" ht="12.75" customHeight="1" x14ac:dyDescent="0.3">
      <c r="A312" s="36" t="s">
        <v>130</v>
      </c>
      <c r="B312" s="29"/>
      <c r="C312" s="29"/>
      <c r="D312" s="29"/>
      <c r="E312" s="29"/>
      <c r="F312" s="29"/>
      <c r="G312" s="36" t="s">
        <v>61</v>
      </c>
      <c r="H312" s="36" t="s">
        <v>4036</v>
      </c>
      <c r="I312" s="637"/>
      <c r="J312" s="633" t="str">
        <f>IF(ISBLANK(HLOOKUP(CaseName,CaseData,MATCH($G312,cases!$G$3:$G$2464,0),FALSE)),"",HLOOKUP(CaseName,CaseData,MATCH($G312,cases!$G$3:$G$2464,0),FALSE))</f>
        <v/>
      </c>
      <c r="K312" s="639">
        <f>(L38+L313)/L286</f>
        <v>7.5748144375595357E-9</v>
      </c>
      <c r="L312" s="634">
        <f t="shared" si="17"/>
        <v>7.5748144375595357E-9</v>
      </c>
      <c r="M312" s="29" t="s">
        <v>1488</v>
      </c>
      <c r="N312" s="29"/>
      <c r="O312" s="36"/>
    </row>
    <row r="313" spans="1:15" ht="12.75" customHeight="1" x14ac:dyDescent="0.3">
      <c r="A313" s="36"/>
      <c r="B313" s="29" t="s">
        <v>693</v>
      </c>
      <c r="C313" s="29"/>
      <c r="D313" s="29"/>
      <c r="E313" s="29"/>
      <c r="F313" s="29"/>
      <c r="G313" s="37" t="s">
        <v>1283</v>
      </c>
      <c r="H313" s="29" t="s">
        <v>4037</v>
      </c>
      <c r="I313" s="637"/>
      <c r="J313" s="633" t="str">
        <f>IF(ISBLANK(HLOOKUP(CaseName,CaseData,MATCH($G313,cases!$G$3:$G$2464,0),FALSE)),"",HLOOKUP(CaseName,CaseData,MATCH($G313,cases!$G$3:$G$2464,0),FALSE))</f>
        <v/>
      </c>
      <c r="K313" s="352">
        <f>L285/L314</f>
        <v>1878156565.6565654</v>
      </c>
      <c r="L313" s="634">
        <f t="shared" si="17"/>
        <v>1878156565.6565654</v>
      </c>
      <c r="M313" s="29" t="s">
        <v>4038</v>
      </c>
      <c r="N313" s="29"/>
      <c r="O313" s="36"/>
    </row>
    <row r="314" spans="1:15" ht="12.75" customHeight="1" x14ac:dyDescent="0.3">
      <c r="A314" s="36"/>
      <c r="B314" s="36"/>
      <c r="C314" s="29" t="s">
        <v>1218</v>
      </c>
      <c r="D314" s="29"/>
      <c r="E314" s="29"/>
      <c r="F314" s="29"/>
      <c r="G314" s="37" t="s">
        <v>807</v>
      </c>
      <c r="H314" s="29" t="s">
        <v>723</v>
      </c>
      <c r="I314" s="637"/>
      <c r="J314" s="633" t="str">
        <f>IF(ISBLANK(HLOOKUP(CaseName,CaseData,MATCH($G314,cases!$G$3:$G$2464,0),FALSE)),"",HLOOKUP(CaseName,CaseData,MATCH($G314,cases!$G$3:$G$2464,0),FALSE))</f>
        <v/>
      </c>
      <c r="K314" s="352">
        <v>55</v>
      </c>
      <c r="L314" s="634">
        <f>IF(ISBLANK(I314),IF(ISNUMBER(J314)=FALSE,K314*(3600*24),J314*(3600*24)),I314*(3600*24))</f>
        <v>4752000</v>
      </c>
      <c r="M314" s="36" t="s">
        <v>115</v>
      </c>
      <c r="N314" s="29"/>
      <c r="O314" s="36"/>
    </row>
    <row r="315" spans="1:15" ht="12.75" customHeight="1" x14ac:dyDescent="0.3">
      <c r="A315" s="29"/>
      <c r="B315" s="29"/>
      <c r="C315" s="29"/>
      <c r="D315" s="29"/>
      <c r="E315" s="29"/>
      <c r="F315" s="29"/>
      <c r="G315" s="29"/>
      <c r="H315" s="36"/>
      <c r="I315" s="353"/>
      <c r="J315" s="353"/>
      <c r="K315" s="353"/>
      <c r="L315" s="339"/>
      <c r="M315" s="29"/>
      <c r="N315" s="29"/>
      <c r="O315" s="36"/>
    </row>
    <row r="316" spans="1:15" ht="12.75" customHeight="1" x14ac:dyDescent="0.3">
      <c r="A316" s="98" t="s">
        <v>2228</v>
      </c>
      <c r="B316" s="97"/>
      <c r="C316" s="97"/>
      <c r="D316" s="97"/>
      <c r="E316" s="97"/>
      <c r="F316" s="97"/>
      <c r="G316" s="98" t="s">
        <v>1008</v>
      </c>
      <c r="H316" s="98" t="s">
        <v>968</v>
      </c>
      <c r="I316" s="364" t="s">
        <v>754</v>
      </c>
      <c r="J316" s="340" t="s">
        <v>37</v>
      </c>
      <c r="K316" s="340" t="s">
        <v>753</v>
      </c>
      <c r="L316" s="340" t="s">
        <v>1358</v>
      </c>
      <c r="M316" s="97"/>
      <c r="N316" s="98" t="s">
        <v>1371</v>
      </c>
      <c r="O316" s="36"/>
    </row>
    <row r="317" spans="1:15" ht="12.75" customHeight="1" x14ac:dyDescent="0.3">
      <c r="A317" s="29"/>
      <c r="B317" s="29"/>
      <c r="C317" s="29"/>
      <c r="D317" s="29"/>
      <c r="E317" s="29"/>
      <c r="F317" s="29"/>
      <c r="G317" s="29"/>
      <c r="H317" s="36"/>
      <c r="I317" s="353"/>
      <c r="J317" s="643"/>
      <c r="K317" s="353"/>
      <c r="L317" s="339"/>
      <c r="M317" s="29"/>
      <c r="N317" s="29"/>
      <c r="O317" s="36"/>
    </row>
    <row r="318" spans="1:15" ht="12.75" customHeight="1" x14ac:dyDescent="0.3">
      <c r="A318" s="29"/>
      <c r="B318" s="36" t="s">
        <v>986</v>
      </c>
      <c r="C318" s="36"/>
      <c r="D318" s="36"/>
      <c r="E318" s="36"/>
      <c r="F318" s="36"/>
      <c r="G318" s="36" t="s">
        <v>4027</v>
      </c>
      <c r="H318" s="36" t="s">
        <v>36</v>
      </c>
      <c r="I318" s="636"/>
      <c r="J318" s="633" t="str">
        <f>IF(ISBLANK(HLOOKUP(CaseName,CaseData,MATCH($G318,cases!$G$3:$G$2464,0),FALSE)),"",HLOOKUP(CaseName,CaseData,MATCH($G318,cases!$G$3:$G$2464,0),FALSE))</f>
        <v/>
      </c>
      <c r="K318" s="366">
        <f>1-L298 *L323/(1+L298*L323+L297*L324)-L297 *L324/(1+L298*L323+L297*L324)</f>
        <v>0.99999996479877673</v>
      </c>
      <c r="L318" s="634">
        <f>IF(ISBLANK(I318),IF(ISNUMBER(J318)=FALSE,K318,J318),I318)</f>
        <v>0.99999996479877673</v>
      </c>
      <c r="M318" s="20" t="s">
        <v>486</v>
      </c>
      <c r="N318" s="36"/>
      <c r="O318" s="36"/>
    </row>
    <row r="319" spans="1:15" ht="12.75" customHeight="1" x14ac:dyDescent="0.3">
      <c r="A319" s="29"/>
      <c r="B319" s="29" t="s">
        <v>615</v>
      </c>
      <c r="C319" s="29"/>
      <c r="D319" s="29"/>
      <c r="E319" s="29"/>
      <c r="F319" s="29"/>
      <c r="G319" s="29" t="s">
        <v>629</v>
      </c>
      <c r="H319" s="29" t="s">
        <v>36</v>
      </c>
      <c r="I319" s="518"/>
      <c r="J319" s="633" t="str">
        <f>IF(ISBLANK(HLOOKUP(CaseName,CaseData,MATCH($G319,cases!$G$3:$G$2464,0),FALSE)),"",HLOOKUP(CaseName,CaseData,MATCH($G319,cases!$G$3:$G$2464,0),FALSE))</f>
        <v/>
      </c>
      <c r="K319" s="366">
        <f>L298 *L323/(1+L298*L323+L297*L324)</f>
        <v>1.1812490998682687E-10</v>
      </c>
      <c r="L319" s="634">
        <f>IF(ISBLANK(I319),IF(ISNUMBER(J319)=FALSE,K319,J319),I319)</f>
        <v>1.1812490998682687E-10</v>
      </c>
      <c r="M319" s="36" t="s">
        <v>486</v>
      </c>
      <c r="N319" s="29" t="s">
        <v>2184</v>
      </c>
      <c r="O319" s="36"/>
    </row>
    <row r="320" spans="1:15" ht="12.75" customHeight="1" x14ac:dyDescent="0.3">
      <c r="A320" s="29"/>
      <c r="B320" s="29" t="s">
        <v>616</v>
      </c>
      <c r="C320" s="29"/>
      <c r="D320" s="29"/>
      <c r="E320" s="29"/>
      <c r="F320" s="29"/>
      <c r="G320" s="29" t="s">
        <v>630</v>
      </c>
      <c r="H320" s="29" t="s">
        <v>36</v>
      </c>
      <c r="I320" s="636"/>
      <c r="J320" s="633" t="str">
        <f>IF(ISBLANK(HLOOKUP(CaseName,CaseData,MATCH($G320,cases!$G$3:$G$2464,0),FALSE)),"",HLOOKUP(CaseName,CaseData,MATCH($G320,cases!$G$3:$G$2464,0),FALSE))</f>
        <v/>
      </c>
      <c r="K320" s="366">
        <f>L297 *L324/(1+L298*L323+L297*L324)</f>
        <v>3.5083098266087587E-8</v>
      </c>
      <c r="L320" s="634">
        <f>IF(ISBLANK(I320),IF(ISNUMBER(J320)=FALSE,K320,J320),I320)</f>
        <v>3.5083098266087587E-8</v>
      </c>
      <c r="M320" s="36" t="s">
        <v>486</v>
      </c>
      <c r="N320" s="29" t="s">
        <v>2184</v>
      </c>
      <c r="O320" s="36"/>
    </row>
    <row r="321" spans="1:15" ht="12.75" customHeight="1" x14ac:dyDescent="0.3">
      <c r="A321" s="29"/>
      <c r="B321" s="29"/>
      <c r="C321" s="36" t="s">
        <v>1043</v>
      </c>
      <c r="D321" s="36"/>
      <c r="E321" s="36"/>
      <c r="F321" s="36"/>
      <c r="G321" s="36" t="s">
        <v>4028</v>
      </c>
      <c r="H321" s="36" t="s">
        <v>36</v>
      </c>
      <c r="I321" s="636"/>
      <c r="J321" s="633" t="str">
        <f>IF(ISBLANK(HLOOKUP(CaseName,CaseData,MATCH($G321,cases!$G$3:$G$2464,0),FALSE)),"",HLOOKUP(CaseName,CaseData,MATCH($G321,cases!$G$3:$G$2464,0),FALSE))</f>
        <v/>
      </c>
      <c r="K321" s="366">
        <f>Kaw*EXP((H0vap/8.314)*(1/298-1/L322))*EXP(-(H0sol/8.314)*(1/298-1/L322))*(298/L322)</f>
        <v>0.16931229237089712</v>
      </c>
      <c r="L321" s="634">
        <f>IF(ISBLANK(I321),IF(ISNUMBER(J321)=FALSE,K321,J321),I321)</f>
        <v>0.16931229237089712</v>
      </c>
      <c r="M321" s="36" t="s">
        <v>486</v>
      </c>
      <c r="N321" s="29"/>
      <c r="O321" s="36"/>
    </row>
    <row r="322" spans="1:15" ht="12.75" customHeight="1" x14ac:dyDescent="0.3">
      <c r="A322" s="36"/>
      <c r="B322" s="36"/>
      <c r="C322" s="36" t="s">
        <v>513</v>
      </c>
      <c r="D322" s="36"/>
      <c r="E322" s="36"/>
      <c r="F322" s="36"/>
      <c r="G322" s="36" t="s">
        <v>1052</v>
      </c>
      <c r="H322" s="36" t="s">
        <v>4049</v>
      </c>
      <c r="I322" s="636"/>
      <c r="J322" s="633" t="str">
        <f>IF(ISBLANK(HLOOKUP(CaseName,CaseData,MATCH($G322,cases!$G$3:$G$2464,0),FALSE)),"",HLOOKUP(CaseName,CaseData,MATCH($G322,cases!$G$3:$G$2464,0),FALSE))</f>
        <v/>
      </c>
      <c r="K322" s="366">
        <v>25</v>
      </c>
      <c r="L322" s="634">
        <f>IF(ISBLANK(I322),IF(ISNUMBER(J322)=FALSE,K322+273,J322+273),I322+273)</f>
        <v>298</v>
      </c>
      <c r="M322" s="36" t="s">
        <v>588</v>
      </c>
      <c r="N322" s="29"/>
      <c r="O322" s="36"/>
    </row>
    <row r="323" spans="1:15" ht="12.75" customHeight="1" x14ac:dyDescent="0.35">
      <c r="A323" s="29"/>
      <c r="B323" s="29"/>
      <c r="C323" s="29" t="s">
        <v>612</v>
      </c>
      <c r="D323" s="29"/>
      <c r="E323" s="29"/>
      <c r="F323" s="29"/>
      <c r="G323" s="29" t="s">
        <v>632</v>
      </c>
      <c r="H323" s="29" t="s">
        <v>4040</v>
      </c>
      <c r="I323" s="518"/>
      <c r="J323" s="633" t="str">
        <f>IF(ISBLANK(HLOOKUP(CaseName,CaseData,MATCH($G323,cases!$G$3:$G$2464,0),FALSE)),"",HLOOKUP(CaseName,CaseData,MATCH($G323,cases!$G$3:$G$2464,0),FALSE))</f>
        <v/>
      </c>
      <c r="K323" s="366">
        <f>1/(L321*FRorig.aerw)</f>
        <v>5.9062457072484165</v>
      </c>
      <c r="L323" s="634">
        <f t="shared" ref="L323:L330" si="18">IF(ISBLANK(I323),IF(ISNUMBER(J323)=FALSE,K323,J323),I323)</f>
        <v>5.9062457072484165</v>
      </c>
      <c r="M323" s="36" t="s">
        <v>4050</v>
      </c>
      <c r="N323" s="29"/>
      <c r="O323" s="36"/>
    </row>
    <row r="324" spans="1:15" ht="12.75" customHeight="1" x14ac:dyDescent="0.35">
      <c r="A324" s="29"/>
      <c r="B324" s="29"/>
      <c r="C324" s="29" t="s">
        <v>613</v>
      </c>
      <c r="D324" s="29"/>
      <c r="E324" s="29"/>
      <c r="F324" s="29"/>
      <c r="G324" s="29" t="s">
        <v>633</v>
      </c>
      <c r="H324" s="29" t="s">
        <v>4041</v>
      </c>
      <c r="I324" s="518"/>
      <c r="J324" s="633" t="str">
        <f>IF(ISBLANK(HLOOKUP(CaseName,CaseData,MATCH($G324,cases!$G$3:$G$2464,0),FALSE)),"",HLOOKUP(CaseName,CaseData,MATCH($G324,cases!$G$3:$G$2464,0),FALSE))</f>
        <v/>
      </c>
      <c r="K324" s="366">
        <f>0.54*(Kow/Kaw)*CORGaers*(RHOaers/1000)</f>
        <v>1754.1549750527802</v>
      </c>
      <c r="L324" s="634">
        <f t="shared" si="18"/>
        <v>1754.1549750527802</v>
      </c>
      <c r="M324" s="36" t="s">
        <v>4051</v>
      </c>
      <c r="N324" s="29" t="s">
        <v>924</v>
      </c>
      <c r="O324" s="36"/>
    </row>
    <row r="325" spans="1:15" ht="12.75" customHeight="1" x14ac:dyDescent="0.3">
      <c r="A325" s="36"/>
      <c r="B325" s="36" t="s">
        <v>4001</v>
      </c>
      <c r="C325" s="95"/>
      <c r="D325" s="29"/>
      <c r="E325" s="29"/>
      <c r="F325" s="29"/>
      <c r="G325" s="37" t="s">
        <v>107</v>
      </c>
      <c r="H325" s="36" t="s">
        <v>36</v>
      </c>
      <c r="I325" s="636"/>
      <c r="J325" s="633" t="str">
        <f>IF(ISBLANK(HLOOKUP(CaseName,CaseData,MATCH($G325,cases!$G$3:$G$2464,0),FALSE)),"",HLOOKUP(CaseName,CaseData,MATCH($G325,cases!$G$3:$G$2464,0),FALSE))</f>
        <v/>
      </c>
      <c r="K325" s="366">
        <f>1/(1+L327*L331/1000+L333*L335/1000)</f>
        <v>0.99939559656267651</v>
      </c>
      <c r="L325" s="634">
        <f t="shared" si="18"/>
        <v>0.99939559656267651</v>
      </c>
      <c r="M325" s="36" t="s">
        <v>486</v>
      </c>
      <c r="N325" s="29"/>
      <c r="O325" s="36"/>
    </row>
    <row r="326" spans="1:15" ht="12.75" customHeight="1" x14ac:dyDescent="0.3">
      <c r="A326" s="36"/>
      <c r="B326" s="36" t="s">
        <v>1119</v>
      </c>
      <c r="C326" s="95"/>
      <c r="D326" s="29"/>
      <c r="E326" s="29"/>
      <c r="F326" s="29"/>
      <c r="G326" s="37" t="s">
        <v>1120</v>
      </c>
      <c r="H326" s="36" t="s">
        <v>36</v>
      </c>
      <c r="I326" s="636"/>
      <c r="J326" s="633" t="str">
        <f>IF(ISBLANK(HLOOKUP(CaseName,CaseData,MATCH($G326,cases!$G$3:$G$2464,0),FALSE)),"",HLOOKUP(CaseName,CaseData,MATCH($G326,cases!$G$3:$G$2464,0),FALSE))</f>
        <v/>
      </c>
      <c r="K326" s="366">
        <f>1/(1+L328*L332/1000+L334*L336/1000)</f>
        <v>0.99939559656267651</v>
      </c>
      <c r="L326" s="634">
        <f t="shared" si="18"/>
        <v>0.99939559656267651</v>
      </c>
      <c r="M326" s="36" t="s">
        <v>486</v>
      </c>
      <c r="N326" s="29"/>
      <c r="O326" s="36"/>
    </row>
    <row r="327" spans="1:15" ht="12.75" customHeight="1" x14ac:dyDescent="0.3">
      <c r="A327" s="36"/>
      <c r="B327" s="29"/>
      <c r="C327" s="36" t="s">
        <v>4002</v>
      </c>
      <c r="D327" s="29"/>
      <c r="E327" s="29"/>
      <c r="F327" s="29"/>
      <c r="G327" s="94" t="s">
        <v>1121</v>
      </c>
      <c r="H327" s="36" t="s">
        <v>4042</v>
      </c>
      <c r="I327" s="636"/>
      <c r="J327" s="633" t="str">
        <f>IF(ISBLANK(HLOOKUP(CaseName,CaseData,MATCH($G327,cases!$G$3:$G$2464,0),FALSE)),"",HLOOKUP(CaseName,CaseData,MATCH($G327,cases!$G$3:$G$2464,0),FALSE))</f>
        <v/>
      </c>
      <c r="K327" s="352">
        <f>(FRorig.w2*Ksw+(1-FRorig.w2)*Ksw.alt)*(1000/RHOsolid/CORG)*L329</f>
        <v>76.953792352546415</v>
      </c>
      <c r="L327" s="634">
        <f t="shared" si="18"/>
        <v>76.953792352546415</v>
      </c>
      <c r="M327" s="36" t="s">
        <v>1498</v>
      </c>
      <c r="N327" s="29"/>
      <c r="O327" s="36"/>
    </row>
    <row r="328" spans="1:15" ht="12.75" customHeight="1" x14ac:dyDescent="0.3">
      <c r="A328" s="36"/>
      <c r="B328" s="29"/>
      <c r="C328" s="36" t="s">
        <v>1122</v>
      </c>
      <c r="D328" s="29"/>
      <c r="E328" s="29"/>
      <c r="F328" s="29"/>
      <c r="G328" s="94" t="s">
        <v>1123</v>
      </c>
      <c r="H328" s="36" t="s">
        <v>4042</v>
      </c>
      <c r="I328" s="636"/>
      <c r="J328" s="633" t="str">
        <f>IF(ISBLANK(HLOOKUP(CaseName,CaseData,MATCH($G328,cases!$G$3:$G$2464,0),FALSE)),"",HLOOKUP(CaseName,CaseData,MATCH($G328,cases!$G$3:$G$2464,0),FALSE))</f>
        <v/>
      </c>
      <c r="K328" s="352">
        <f>(FRorig.w2*Ksw+(1-FRorig.w2)*Ksw.alt)*(1000/RHOsolid/CORG)*L330</f>
        <v>76.953792352546415</v>
      </c>
      <c r="L328" s="634">
        <f t="shared" si="18"/>
        <v>76.953792352546415</v>
      </c>
      <c r="M328" s="36" t="s">
        <v>1498</v>
      </c>
      <c r="N328" s="29"/>
      <c r="O328" s="36"/>
    </row>
    <row r="329" spans="1:15" ht="12.75" customHeight="1" x14ac:dyDescent="0.3">
      <c r="A329" s="36"/>
      <c r="B329" s="29"/>
      <c r="C329" s="36" t="s">
        <v>4003</v>
      </c>
      <c r="D329" s="29"/>
      <c r="E329" s="29"/>
      <c r="F329" s="29"/>
      <c r="G329" s="94" t="s">
        <v>1460</v>
      </c>
      <c r="H329" s="36" t="s">
        <v>36</v>
      </c>
      <c r="I329" s="636"/>
      <c r="J329" s="633" t="str">
        <f>IF(ISBLANK(HLOOKUP(CaseName,CaseData,MATCH($G329,cases!$G$3:$G$2464,0),FALSE)),"",HLOOKUP(CaseName,CaseData,MATCH($G329,cases!$G$3:$G$2464,0),FALSE))</f>
        <v/>
      </c>
      <c r="K329" s="366">
        <v>0.1</v>
      </c>
      <c r="L329" s="634">
        <f t="shared" si="18"/>
        <v>0.1</v>
      </c>
      <c r="M329" s="36" t="s">
        <v>486</v>
      </c>
      <c r="N329" s="29"/>
      <c r="O329" s="36"/>
    </row>
    <row r="330" spans="1:15" ht="12.75" customHeight="1" x14ac:dyDescent="0.3">
      <c r="A330" s="36"/>
      <c r="B330" s="29"/>
      <c r="C330" s="36" t="s">
        <v>1124</v>
      </c>
      <c r="D330" s="29"/>
      <c r="E330" s="29"/>
      <c r="F330" s="29"/>
      <c r="G330" s="94" t="s">
        <v>1461</v>
      </c>
      <c r="H330" s="36" t="s">
        <v>36</v>
      </c>
      <c r="I330" s="636"/>
      <c r="J330" s="633" t="str">
        <f>IF(ISBLANK(HLOOKUP(CaseName,CaseData,MATCH($G330,cases!$G$3:$G$2464,0),FALSE)),"",HLOOKUP(CaseName,CaseData,MATCH($G330,cases!$G$3:$G$2464,0),FALSE))</f>
        <v/>
      </c>
      <c r="K330" s="366">
        <v>0.1</v>
      </c>
      <c r="L330" s="634">
        <f t="shared" si="18"/>
        <v>0.1</v>
      </c>
      <c r="M330" s="36" t="s">
        <v>486</v>
      </c>
      <c r="N330" s="29"/>
      <c r="O330" s="36"/>
    </row>
    <row r="331" spans="1:15" ht="12.75" customHeight="1" x14ac:dyDescent="0.3">
      <c r="A331" s="36"/>
      <c r="B331" s="29"/>
      <c r="C331" s="36" t="s">
        <v>4004</v>
      </c>
      <c r="D331" s="29"/>
      <c r="E331" s="29"/>
      <c r="F331" s="29"/>
      <c r="G331" s="94" t="s">
        <v>1125</v>
      </c>
      <c r="H331" s="36" t="s">
        <v>4043</v>
      </c>
      <c r="I331" s="636"/>
      <c r="J331" s="633" t="str">
        <f>IF(ISBLANK(HLOOKUP(CaseName,CaseData,MATCH($G331,cases!$G$3:$G$2464,0),FALSE)),"",HLOOKUP(CaseName,CaseData,MATCH($G331,cases!$G$3:$G$2464,0),FALSE))</f>
        <v/>
      </c>
      <c r="K331" s="366">
        <v>5</v>
      </c>
      <c r="L331" s="634">
        <f>IF(ISBLANK(I331),IF(ISNUMBER(J331)=FALSE,K331/1000,J331/1000),I331/1000)</f>
        <v>5.0000000000000001E-3</v>
      </c>
      <c r="M331" s="36" t="s">
        <v>1497</v>
      </c>
      <c r="N331" s="29"/>
      <c r="O331" s="36"/>
    </row>
    <row r="332" spans="1:15" ht="12.75" customHeight="1" x14ac:dyDescent="0.3">
      <c r="A332" s="36"/>
      <c r="B332" s="29"/>
      <c r="C332" s="36" t="s">
        <v>1126</v>
      </c>
      <c r="D332" s="29"/>
      <c r="E332" s="29"/>
      <c r="F332" s="29"/>
      <c r="G332" s="94" t="s">
        <v>1127</v>
      </c>
      <c r="H332" s="36" t="s">
        <v>4043</v>
      </c>
      <c r="I332" s="636"/>
      <c r="J332" s="633" t="str">
        <f>IF(ISBLANK(HLOOKUP(CaseName,CaseData,MATCH($G332,cases!$G$3:$G$2464,0),FALSE)),"",HLOOKUP(CaseName,CaseData,MATCH($G332,cases!$G$3:$G$2464,0),FALSE))</f>
        <v/>
      </c>
      <c r="K332" s="366">
        <v>5</v>
      </c>
      <c r="L332" s="634">
        <f>IF(ISBLANK(I332),IF(ISNUMBER(J332)=FALSE,K332/1000,J332/1000),I332/1000)</f>
        <v>5.0000000000000001E-3</v>
      </c>
      <c r="M332" s="36" t="s">
        <v>1497</v>
      </c>
      <c r="N332" s="29"/>
      <c r="O332" s="36"/>
    </row>
    <row r="333" spans="1:15" ht="12.75" customHeight="1" x14ac:dyDescent="0.3">
      <c r="A333" s="36"/>
      <c r="B333" s="29"/>
      <c r="C333" s="36" t="s">
        <v>4005</v>
      </c>
      <c r="D333" s="29"/>
      <c r="E333" s="29"/>
      <c r="F333" s="29"/>
      <c r="G333" s="94" t="s">
        <v>1128</v>
      </c>
      <c r="H333" s="36" t="s">
        <v>1039</v>
      </c>
      <c r="I333" s="632"/>
      <c r="J333" s="633" t="str">
        <f>IF(ISBLANK(HLOOKUP(CaseName,CaseData,MATCH($G333,cases!$G$3:$G$2464,0),FALSE)),"",HLOOKUP(CaseName,CaseData,MATCH($G333,cases!$G$3:$G$2464,0),FALSE))</f>
        <v/>
      </c>
      <c r="K333" s="352">
        <f>0.08*D</f>
        <v>220</v>
      </c>
      <c r="L333" s="634">
        <f>IF(ISBLANK(I333),IF(ISNUMBER(J333)=FALSE,K333,J333),I333)</f>
        <v>220</v>
      </c>
      <c r="M333" s="36" t="s">
        <v>1498</v>
      </c>
      <c r="N333" s="29"/>
      <c r="O333" s="36"/>
    </row>
    <row r="334" spans="1:15" ht="12.75" customHeight="1" x14ac:dyDescent="0.3">
      <c r="A334" s="36"/>
      <c r="B334" s="29"/>
      <c r="C334" s="36" t="s">
        <v>1143</v>
      </c>
      <c r="D334" s="29"/>
      <c r="E334" s="29"/>
      <c r="F334" s="29"/>
      <c r="G334" s="94" t="s">
        <v>1129</v>
      </c>
      <c r="H334" s="36" t="s">
        <v>1039</v>
      </c>
      <c r="I334" s="632"/>
      <c r="J334" s="633" t="str">
        <f>IF(ISBLANK(HLOOKUP(CaseName,CaseData,MATCH($G334,cases!$G$3:$G$2464,0),FALSE)),"",HLOOKUP(CaseName,CaseData,MATCH($G334,cases!$G$3:$G$2464,0),FALSE))</f>
        <v/>
      </c>
      <c r="K334" s="352">
        <f>0.08*D</f>
        <v>220</v>
      </c>
      <c r="L334" s="634">
        <f>IF(ISBLANK(I334),IF(ISNUMBER(J334)=FALSE,K334,J334),I334)</f>
        <v>220</v>
      </c>
      <c r="M334" s="36" t="s">
        <v>1498</v>
      </c>
      <c r="N334" s="29"/>
      <c r="O334" s="36"/>
    </row>
    <row r="335" spans="1:15" ht="12.75" customHeight="1" x14ac:dyDescent="0.3">
      <c r="A335" s="36"/>
      <c r="B335" s="29"/>
      <c r="C335" s="36" t="s">
        <v>4006</v>
      </c>
      <c r="D335" s="29"/>
      <c r="E335" s="29"/>
      <c r="F335" s="29"/>
      <c r="G335" s="94" t="s">
        <v>1144</v>
      </c>
      <c r="H335" s="36" t="s">
        <v>1038</v>
      </c>
      <c r="I335" s="632"/>
      <c r="J335" s="633" t="str">
        <f>IF(ISBLANK(HLOOKUP(CaseName,CaseData,MATCH($G335,cases!$G$3:$G$2464,0),FALSE)),"",HLOOKUP(CaseName,CaseData,MATCH($G335,cases!$G$3:$G$2464,0),FALSE))</f>
        <v/>
      </c>
      <c r="K335" s="352">
        <v>1</v>
      </c>
      <c r="L335" s="634">
        <f>IF(ISBLANK(I335),IF(ISNUMBER(J335)=FALSE,K335/1000,J335/1000),I335/1000)</f>
        <v>1E-3</v>
      </c>
      <c r="M335" s="36" t="s">
        <v>1497</v>
      </c>
      <c r="N335" s="29"/>
      <c r="O335" s="36"/>
    </row>
    <row r="336" spans="1:15" ht="12.75" customHeight="1" x14ac:dyDescent="0.3">
      <c r="A336" s="36"/>
      <c r="B336" s="29"/>
      <c r="C336" s="36" t="s">
        <v>1130</v>
      </c>
      <c r="D336" s="29"/>
      <c r="E336" s="29"/>
      <c r="F336" s="29"/>
      <c r="G336" s="94" t="s">
        <v>1131</v>
      </c>
      <c r="H336" s="36" t="s">
        <v>1038</v>
      </c>
      <c r="I336" s="632"/>
      <c r="J336" s="633" t="str">
        <f>IF(ISBLANK(HLOOKUP(CaseName,CaseData,MATCH($G336,cases!$G$3:$G$2464,0),FALSE)),"",HLOOKUP(CaseName,CaseData,MATCH($G336,cases!$G$3:$G$2464,0),FALSE))</f>
        <v/>
      </c>
      <c r="K336" s="352">
        <v>1</v>
      </c>
      <c r="L336" s="634">
        <f>IF(ISBLANK(I336),IF(ISNUMBER(J336)=FALSE,K336/1000,J336/1000),I336/1000)</f>
        <v>1E-3</v>
      </c>
      <c r="M336" s="36" t="s">
        <v>1497</v>
      </c>
      <c r="N336" s="29"/>
      <c r="O336" s="36"/>
    </row>
    <row r="337" spans="1:15" ht="12.75" customHeight="1" x14ac:dyDescent="0.3">
      <c r="A337" s="36"/>
      <c r="B337" s="36" t="s">
        <v>1375</v>
      </c>
      <c r="C337" s="95"/>
      <c r="D337" s="29"/>
      <c r="E337" s="29"/>
      <c r="F337" s="29"/>
      <c r="G337" s="94" t="s">
        <v>113</v>
      </c>
      <c r="H337" s="36" t="s">
        <v>36</v>
      </c>
      <c r="I337" s="636"/>
      <c r="J337" s="633" t="str">
        <f>IF(ISBLANK(HLOOKUP(CaseName,CaseData,MATCH($G337,cases!$G$3:$G$2464,0),FALSE)),"",HLOOKUP(CaseName,CaseData,MATCH($G337,cases!$G$3:$G$2464,0),FALSE))</f>
        <v/>
      </c>
      <c r="K337" s="352">
        <f>L302+L303*L338*RHOsolid/1000</f>
        <v>20.038448088136601</v>
      </c>
      <c r="L337" s="634">
        <f t="shared" ref="L337:L344" si="19">IF(ISBLANK(I337),IF(ISNUMBER(J337)=FALSE,K337,J337),I337)</f>
        <v>20.038448088136601</v>
      </c>
      <c r="M337" s="36" t="s">
        <v>486</v>
      </c>
      <c r="N337" s="29"/>
      <c r="O337" s="36"/>
    </row>
    <row r="338" spans="1:15" ht="12.75" customHeight="1" x14ac:dyDescent="0.3">
      <c r="A338" s="36"/>
      <c r="B338" s="29"/>
      <c r="C338" s="36" t="s">
        <v>1376</v>
      </c>
      <c r="D338" s="29"/>
      <c r="E338" s="29"/>
      <c r="F338" s="29"/>
      <c r="G338" s="94" t="s">
        <v>178</v>
      </c>
      <c r="H338" s="36" t="s">
        <v>4042</v>
      </c>
      <c r="I338" s="636"/>
      <c r="J338" s="633" t="str">
        <f>IF(ISBLANK(HLOOKUP(CaseName,CaseData,MATCH($G338,cases!$G$3:$G$2464,0),FALSE)),"",HLOOKUP(CaseName,CaseData,MATCH($G338,cases!$G$3:$G$2464,0),FALSE))</f>
        <v/>
      </c>
      <c r="K338" s="352">
        <f>(FRorig.sd2*Ksw+(1-FRorig.sd2)*Ksw.alt)*(1000/RHOsolid/CORG)*L339</f>
        <v>38.476896176273208</v>
      </c>
      <c r="L338" s="634">
        <f t="shared" si="19"/>
        <v>38.476896176273208</v>
      </c>
      <c r="M338" s="36" t="s">
        <v>1498</v>
      </c>
      <c r="N338" s="29"/>
      <c r="O338" s="36"/>
    </row>
    <row r="339" spans="1:15" ht="12.75" customHeight="1" x14ac:dyDescent="0.3">
      <c r="A339" s="36"/>
      <c r="B339" s="29"/>
      <c r="C339" s="36" t="s">
        <v>546</v>
      </c>
      <c r="D339" s="29"/>
      <c r="E339" s="29"/>
      <c r="F339" s="29"/>
      <c r="G339" s="94" t="s">
        <v>114</v>
      </c>
      <c r="H339" s="36" t="s">
        <v>36</v>
      </c>
      <c r="I339" s="636"/>
      <c r="J339" s="633" t="str">
        <f>IF(ISBLANK(HLOOKUP(CaseName,CaseData,MATCH($G339,cases!$G$3:$G$2464,0),FALSE)),"",HLOOKUP(CaseName,CaseData,MATCH($G339,cases!$G$3:$G$2464,0),FALSE))</f>
        <v/>
      </c>
      <c r="K339" s="352">
        <v>0.05</v>
      </c>
      <c r="L339" s="634">
        <f t="shared" si="19"/>
        <v>0.05</v>
      </c>
      <c r="M339" s="36" t="s">
        <v>486</v>
      </c>
      <c r="N339" s="29"/>
      <c r="O339" s="36"/>
    </row>
    <row r="340" spans="1:15" ht="12.75" customHeight="1" x14ac:dyDescent="0.3">
      <c r="A340" s="36"/>
      <c r="B340" s="36" t="s">
        <v>1372</v>
      </c>
      <c r="C340" s="95"/>
      <c r="D340" s="29"/>
      <c r="E340" s="29"/>
      <c r="F340" s="29"/>
      <c r="G340" s="94" t="s">
        <v>4029</v>
      </c>
      <c r="H340" s="36" t="s">
        <v>36</v>
      </c>
      <c r="I340" s="636"/>
      <c r="J340" s="633" t="str">
        <f>IF(ISBLANK(HLOOKUP(CaseName,CaseData,MATCH($G340,cases!$G$3:$G$2464,0),FALSE)),"",HLOOKUP(CaseName,CaseData,MATCH($G340,cases!$G$3:$G$2464,0),FALSE))</f>
        <v/>
      </c>
      <c r="K340" s="352">
        <f>L299*(L321*FRorig.s1w)+L300+L301*L343*RHOsolid/1000</f>
        <v>23.320000164238103</v>
      </c>
      <c r="L340" s="634">
        <f t="shared" si="19"/>
        <v>23.320000164238103</v>
      </c>
      <c r="M340" s="29" t="s">
        <v>486</v>
      </c>
      <c r="N340" s="29"/>
      <c r="O340" s="36"/>
    </row>
    <row r="341" spans="1:15" ht="12.75" customHeight="1" x14ac:dyDescent="0.3">
      <c r="A341" s="36"/>
      <c r="B341" s="36" t="s">
        <v>48</v>
      </c>
      <c r="C341" s="95"/>
      <c r="D341" s="29"/>
      <c r="E341" s="29"/>
      <c r="F341" s="29"/>
      <c r="G341" s="94" t="s">
        <v>478</v>
      </c>
      <c r="H341" s="36" t="s">
        <v>36</v>
      </c>
      <c r="I341" s="636"/>
      <c r="J341" s="633" t="str">
        <f>IF(ISBLANK(HLOOKUP(CaseName,CaseData,MATCH($G341,cases!$G$3:$G$2464,0),FALSE)),"",HLOOKUP(CaseName,CaseData,MATCH($G341,cases!$G$3:$G$2464,0),FALSE))</f>
        <v/>
      </c>
      <c r="K341" s="352">
        <f>L300/(L299*(L321*FRorig.s1w)+L300+L301*L343*RHOsolid/1000)</f>
        <v>8.5763292706449376E-3</v>
      </c>
      <c r="L341" s="634">
        <f t="shared" si="19"/>
        <v>8.5763292706449376E-3</v>
      </c>
      <c r="M341" s="29" t="s">
        <v>486</v>
      </c>
      <c r="N341" s="29"/>
      <c r="O341" s="36"/>
    </row>
    <row r="342" spans="1:15" ht="12.75" customHeight="1" x14ac:dyDescent="0.3">
      <c r="A342" s="36"/>
      <c r="B342" s="36" t="s">
        <v>1301</v>
      </c>
      <c r="C342" s="95"/>
      <c r="D342" s="29"/>
      <c r="E342" s="29"/>
      <c r="F342" s="29"/>
      <c r="G342" s="94" t="s">
        <v>477</v>
      </c>
      <c r="H342" s="36" t="s">
        <v>36</v>
      </c>
      <c r="I342" s="636"/>
      <c r="J342" s="633" t="str">
        <f>IF(ISBLANK(HLOOKUP(CaseName,CaseData,MATCH($G342,cases!$G$3:$G$2464,0),FALSE)),"",HLOOKUP(CaseName,CaseData,MATCH($G342,cases!$G$3:$G$2464,0),FALSE))</f>
        <v/>
      </c>
      <c r="K342" s="352">
        <f>L301 / (L299*L321*FRorig.s1w/(L343*RHOsolid/1000)+L300/(L343*RHOsolid/1000)+L301 )</f>
        <v>0.98997159276041458</v>
      </c>
      <c r="L342" s="634">
        <f t="shared" si="19"/>
        <v>0.98997159276041458</v>
      </c>
      <c r="M342" s="5" t="s">
        <v>486</v>
      </c>
      <c r="N342" s="29"/>
      <c r="O342" s="36"/>
    </row>
    <row r="343" spans="1:15" ht="12.75" customHeight="1" x14ac:dyDescent="0.3">
      <c r="A343" s="36"/>
      <c r="B343" s="29"/>
      <c r="C343" s="36" t="s">
        <v>1373</v>
      </c>
      <c r="D343" s="29"/>
      <c r="E343" s="29"/>
      <c r="F343" s="29"/>
      <c r="G343" s="94" t="s">
        <v>180</v>
      </c>
      <c r="H343" s="36" t="s">
        <v>4042</v>
      </c>
      <c r="I343" s="636"/>
      <c r="J343" s="633" t="str">
        <f>IF(ISBLANK(HLOOKUP(CaseName,CaseData,MATCH($G343,cases!$G$3:$G$2464,0),FALSE)),"",HLOOKUP(CaseName,CaseData,MATCH($G343,cases!$G$3:$G$2464,0),FALSE))</f>
        <v/>
      </c>
      <c r="K343" s="352">
        <f>(FRorig.s1*Ksw+(1-FRorig.s1)*Ksw.alt)*(1000/RHOsolid/CORG)*L344</f>
        <v>15.390758470509281</v>
      </c>
      <c r="L343" s="634">
        <f t="shared" si="19"/>
        <v>15.390758470509281</v>
      </c>
      <c r="M343" s="36" t="s">
        <v>1498</v>
      </c>
      <c r="N343" s="29"/>
      <c r="O343" s="36"/>
    </row>
    <row r="344" spans="1:15" ht="12.75" customHeight="1" x14ac:dyDescent="0.3">
      <c r="A344" s="36"/>
      <c r="B344" s="29"/>
      <c r="C344" s="36" t="s">
        <v>1374</v>
      </c>
      <c r="D344" s="29"/>
      <c r="E344" s="29"/>
      <c r="F344" s="29"/>
      <c r="G344" s="94" t="s">
        <v>1044</v>
      </c>
      <c r="H344" s="36" t="s">
        <v>36</v>
      </c>
      <c r="I344" s="636"/>
      <c r="J344" s="633" t="str">
        <f>IF(ISBLANK(HLOOKUP(CaseName,CaseData,MATCH($G344,cases!$G$3:$G$2464,0),FALSE)),"",HLOOKUP(CaseName,CaseData,MATCH($G344,cases!$G$3:$G$2464,0),FALSE))</f>
        <v/>
      </c>
      <c r="K344" s="352">
        <v>0.02</v>
      </c>
      <c r="L344" s="634">
        <f t="shared" si="19"/>
        <v>0.02</v>
      </c>
      <c r="M344" s="29" t="s">
        <v>486</v>
      </c>
      <c r="N344" s="29"/>
      <c r="O344" s="36"/>
    </row>
    <row r="345" spans="1:15" ht="12.75" customHeight="1" x14ac:dyDescent="0.3">
      <c r="A345" s="29"/>
      <c r="B345" s="29"/>
      <c r="C345" s="29"/>
      <c r="D345" s="29"/>
      <c r="E345" s="29"/>
      <c r="F345" s="29"/>
      <c r="G345" s="29"/>
      <c r="H345" s="36"/>
      <c r="I345" s="643"/>
      <c r="J345" s="353"/>
      <c r="K345" s="353"/>
      <c r="L345" s="339"/>
      <c r="M345" s="29"/>
      <c r="N345" s="29"/>
      <c r="O345" s="36"/>
    </row>
    <row r="346" spans="1:15" ht="12.75" customHeight="1" x14ac:dyDescent="0.3">
      <c r="A346" s="98" t="s">
        <v>1311</v>
      </c>
      <c r="B346" s="97"/>
      <c r="C346" s="97"/>
      <c r="D346" s="97"/>
      <c r="E346" s="97"/>
      <c r="F346" s="97"/>
      <c r="G346" s="98" t="s">
        <v>1008</v>
      </c>
      <c r="H346" s="98" t="s">
        <v>968</v>
      </c>
      <c r="I346" s="364" t="s">
        <v>754</v>
      </c>
      <c r="J346" s="340" t="s">
        <v>37</v>
      </c>
      <c r="K346" s="340" t="s">
        <v>753</v>
      </c>
      <c r="L346" s="340" t="s">
        <v>1358</v>
      </c>
      <c r="M346" s="97"/>
      <c r="N346" s="98" t="s">
        <v>1371</v>
      </c>
      <c r="O346" s="36"/>
    </row>
    <row r="347" spans="1:15" ht="12.75" customHeight="1" x14ac:dyDescent="0.3">
      <c r="A347" s="29"/>
      <c r="B347" s="29"/>
      <c r="C347" s="29"/>
      <c r="D347" s="29"/>
      <c r="E347" s="29"/>
      <c r="F347" s="29"/>
      <c r="G347" s="29"/>
      <c r="H347" s="36"/>
      <c r="I347" s="643"/>
      <c r="J347" s="643"/>
      <c r="K347" s="353"/>
      <c r="L347" s="339"/>
      <c r="M347" s="29"/>
      <c r="N347" s="29"/>
      <c r="O347" s="36"/>
    </row>
    <row r="348" spans="1:15" ht="12.75" customHeight="1" x14ac:dyDescent="0.3">
      <c r="A348" s="36" t="s">
        <v>93</v>
      </c>
      <c r="B348" s="29"/>
      <c r="C348" s="29"/>
      <c r="D348" s="29"/>
      <c r="E348" s="29"/>
      <c r="F348" s="29"/>
      <c r="G348" s="36" t="s">
        <v>1264</v>
      </c>
      <c r="H348" s="36" t="s">
        <v>4036</v>
      </c>
      <c r="I348" s="636"/>
      <c r="J348" s="633" t="str">
        <f>IF(ISBLANK(HLOOKUP(CaseName,CaseData,MATCH($G348,cases!$G$3:$G$2464,0),FALSE)),"",HLOOKUP(CaseName,CaseData,MATCH($G348,cases!$G$3:$G$2464,0),FALSE))</f>
        <v/>
      </c>
      <c r="K348" s="352">
        <f>(L352+L364/L292)*L290</f>
        <v>2.1486454213464019E-8</v>
      </c>
      <c r="L348" s="634">
        <f t="shared" ref="L348:L361" si="20">IF(ISBLANK(I348),IF(ISNUMBER(J348)=FALSE,K348,J348),I348)</f>
        <v>2.1486454213464019E-8</v>
      </c>
      <c r="M348" s="29" t="s">
        <v>1488</v>
      </c>
      <c r="N348" s="29"/>
      <c r="O348" s="36"/>
    </row>
    <row r="349" spans="1:15" ht="12.75" customHeight="1" x14ac:dyDescent="0.3">
      <c r="A349" s="36" t="s">
        <v>94</v>
      </c>
      <c r="B349" s="29"/>
      <c r="C349" s="29"/>
      <c r="D349" s="29"/>
      <c r="E349" s="29"/>
      <c r="F349" s="29"/>
      <c r="G349" s="36" t="s">
        <v>1367</v>
      </c>
      <c r="H349" s="36" t="s">
        <v>4036</v>
      </c>
      <c r="I349" s="636"/>
      <c r="J349" s="633" t="str">
        <f>IF(ISBLANK(HLOOKUP(CaseName,CaseData,MATCH($G349,cases!$G$3:$G$2464,0),FALSE)),"",HLOOKUP(CaseName,CaseData,MATCH($G349,cases!$G$3:$G$2464,0),FALSE))</f>
        <v/>
      </c>
      <c r="K349" s="352">
        <f>(L352+L365/L292)*L291</f>
        <v>5.1464208392854672E-10</v>
      </c>
      <c r="L349" s="634">
        <f t="shared" si="20"/>
        <v>5.1464208392854672E-10</v>
      </c>
      <c r="M349" s="29" t="s">
        <v>1488</v>
      </c>
      <c r="N349" s="29"/>
      <c r="O349" s="36"/>
    </row>
    <row r="350" spans="1:15" ht="12.75" customHeight="1" x14ac:dyDescent="0.3">
      <c r="A350" s="36" t="s">
        <v>95</v>
      </c>
      <c r="B350" s="29"/>
      <c r="C350" s="29"/>
      <c r="D350" s="29"/>
      <c r="E350" s="29"/>
      <c r="F350" s="29"/>
      <c r="G350" s="36" t="s">
        <v>1265</v>
      </c>
      <c r="H350" s="36" t="s">
        <v>4036</v>
      </c>
      <c r="I350" s="636"/>
      <c r="J350" s="633" t="str">
        <f>IF(ISBLANK(HLOOKUP(CaseName,CaseData,MATCH($G350,cases!$G$3:$G$2464,0),FALSE)),"",HLOOKUP(CaseName,CaseData,MATCH($G350,cases!$G$3:$G$2464,0),FALSE))</f>
        <v/>
      </c>
      <c r="K350" s="352">
        <f>L366/L293</f>
        <v>5.1526365085130869E-8</v>
      </c>
      <c r="L350" s="634">
        <f t="shared" si="20"/>
        <v>5.1526365085130869E-8</v>
      </c>
      <c r="M350" s="29" t="s">
        <v>1488</v>
      </c>
      <c r="N350" s="29"/>
      <c r="O350" s="36"/>
    </row>
    <row r="351" spans="1:15" ht="12.75" customHeight="1" x14ac:dyDescent="0.3">
      <c r="A351" s="36" t="s">
        <v>96</v>
      </c>
      <c r="B351" s="29"/>
      <c r="C351" s="29"/>
      <c r="D351" s="29"/>
      <c r="E351" s="29"/>
      <c r="F351" s="29"/>
      <c r="G351" s="36" t="s">
        <v>1368</v>
      </c>
      <c r="H351" s="36" t="s">
        <v>4036</v>
      </c>
      <c r="I351" s="636"/>
      <c r="J351" s="633" t="str">
        <f>IF(ISBLANK(HLOOKUP(CaseName,CaseData,MATCH($G351,cases!$G$3:$G$2464,0),FALSE)),"",HLOOKUP(CaseName,CaseData,MATCH($G351,cases!$G$3:$G$2464,0),FALSE))</f>
        <v/>
      </c>
      <c r="K351" s="352">
        <f>L367/L296</f>
        <v>2.7155790041888986E-7</v>
      </c>
      <c r="L351" s="634">
        <f t="shared" si="20"/>
        <v>2.7155790041888986E-7</v>
      </c>
      <c r="M351" s="29" t="s">
        <v>1488</v>
      </c>
      <c r="N351" s="29"/>
      <c r="O351" s="36"/>
    </row>
    <row r="352" spans="1:15" ht="12.75" customHeight="1" x14ac:dyDescent="0.3">
      <c r="A352" s="36"/>
      <c r="B352" s="36" t="s">
        <v>2265</v>
      </c>
      <c r="C352" s="29"/>
      <c r="D352" s="29"/>
      <c r="E352" s="29"/>
      <c r="F352" s="29"/>
      <c r="G352" s="37" t="s">
        <v>2293</v>
      </c>
      <c r="H352" s="36" t="s">
        <v>4036</v>
      </c>
      <c r="I352" s="636"/>
      <c r="J352" s="633" t="str">
        <f>IF(ISBLANK(HLOOKUP(CaseName,CaseData,MATCH($G352,cases!$G$3:$G$2464,0),FALSE)),"",HLOOKUP(CaseName,CaseData,MATCH($G352,cases!$G$3:$G$2464,0),FALSE))</f>
        <v/>
      </c>
      <c r="K352" s="352">
        <f>L353 - SUM((L364*L290+L365*L291)/L292,L401,L305)</f>
        <v>2.4379362824746265E-10</v>
      </c>
      <c r="L352" s="634">
        <f t="shared" si="20"/>
        <v>2.4379362824746265E-10</v>
      </c>
      <c r="M352" s="29" t="s">
        <v>1555</v>
      </c>
      <c r="N352" s="29"/>
      <c r="O352" s="36"/>
    </row>
    <row r="353" spans="1:15" ht="12.75" customHeight="1" x14ac:dyDescent="0.3">
      <c r="A353" s="36"/>
      <c r="B353" s="36"/>
      <c r="C353" s="29" t="s">
        <v>2266</v>
      </c>
      <c r="D353" s="29"/>
      <c r="E353" s="29"/>
      <c r="F353" s="29"/>
      <c r="G353" s="37" t="s">
        <v>2294</v>
      </c>
      <c r="H353" s="36" t="s">
        <v>4036</v>
      </c>
      <c r="I353" s="636"/>
      <c r="J353" s="633" t="str">
        <f>IF(ISBLANK(HLOOKUP(CaseName,CaseData,MATCH($G353,cases!$G$3:$G$2464,0),FALSE)),"",HLOOKUP(CaseName,CaseData,MATCH($G353,cases!$G$3:$G$2464,0),FALSE))</f>
        <v/>
      </c>
      <c r="K353" s="352">
        <f>((1/L354)*L356/(L356+L357)+(1/L355)*L357/(L356+L357)-((1/L355-1/L354)^2/(L356+L357))*(1-EXP(-L354*L356))*(1-EXP(-L355*L357))/(1-EXP(-L354*L356-L355*L357)))^-1</f>
        <v>6.6172484261434713E-7</v>
      </c>
      <c r="L353" s="634">
        <f t="shared" si="20"/>
        <v>6.6172484261434713E-7</v>
      </c>
      <c r="M353" s="29" t="s">
        <v>1488</v>
      </c>
      <c r="N353" s="29"/>
      <c r="O353" s="36"/>
    </row>
    <row r="354" spans="1:15" ht="12.75" customHeight="1" x14ac:dyDescent="0.3">
      <c r="A354" s="36"/>
      <c r="B354" s="36"/>
      <c r="C354" s="36"/>
      <c r="D354" s="36" t="s">
        <v>3976</v>
      </c>
      <c r="E354" s="29"/>
      <c r="F354" s="29"/>
      <c r="G354" s="37" t="s">
        <v>428</v>
      </c>
      <c r="H354" s="36" t="s">
        <v>4036</v>
      </c>
      <c r="I354" s="636"/>
      <c r="J354" s="633" t="str">
        <f>IF(ISBLANK(HLOOKUP(CaseName,CaseData,MATCH($G354,cases!$G$3:$G$2464,0),FALSE)),"",HLOOKUP(CaseName,CaseData,MATCH($G354,cases!$G$3:$G$2464,0),FALSE))</f>
        <v/>
      </c>
      <c r="K354" s="352">
        <f>L358/L292 + SUM((L364*L290+L365*L291)/L292,L401,L305)</f>
        <v>6.6148108418732285E-7</v>
      </c>
      <c r="L354" s="634">
        <f t="shared" si="20"/>
        <v>6.6148108418732285E-7</v>
      </c>
      <c r="M354" s="29" t="s">
        <v>1488</v>
      </c>
      <c r="N354" s="29"/>
      <c r="O354" s="36"/>
    </row>
    <row r="355" spans="1:15" ht="12.75" customHeight="1" x14ac:dyDescent="0.3">
      <c r="A355" s="36"/>
      <c r="B355" s="36"/>
      <c r="C355" s="36"/>
      <c r="D355" s="36" t="s">
        <v>3977</v>
      </c>
      <c r="E355" s="29"/>
      <c r="F355" s="29"/>
      <c r="G355" s="37" t="s">
        <v>429</v>
      </c>
      <c r="H355" s="36" t="s">
        <v>4036</v>
      </c>
      <c r="I355" s="636"/>
      <c r="J355" s="633" t="str">
        <f>IF(ISBLANK(HLOOKUP(CaseName,CaseData,MATCH($G355,cases!$G$3:$G$2464,0),FALSE)),"",HLOOKUP(CaseName,CaseData,MATCH($G355,cases!$G$3:$G$2464,0),FALSE))</f>
        <v/>
      </c>
      <c r="K355" s="352">
        <f>(L359+L360)/L292 + SUM((L364*L290+L365*L291)/L292,L401,L305)</f>
        <v>6.6554372907377354E-7</v>
      </c>
      <c r="L355" s="634">
        <f t="shared" si="20"/>
        <v>6.6554372907377354E-7</v>
      </c>
      <c r="M355" s="29" t="s">
        <v>1488</v>
      </c>
      <c r="N355" s="29"/>
      <c r="O355" s="36"/>
    </row>
    <row r="356" spans="1:15" ht="12.75" customHeight="1" x14ac:dyDescent="0.3">
      <c r="A356" s="36"/>
      <c r="B356" s="29" t="s">
        <v>929</v>
      </c>
      <c r="C356" s="29"/>
      <c r="D356" s="29"/>
      <c r="E356" s="29"/>
      <c r="F356" s="29"/>
      <c r="G356" s="29" t="s">
        <v>430</v>
      </c>
      <c r="H356" s="29" t="s">
        <v>2191</v>
      </c>
      <c r="I356" s="636"/>
      <c r="J356" s="633" t="str">
        <f>IF(ISBLANK(HLOOKUP(CaseName,CaseData,MATCH($G356,cases!$G$3:$G$2464,0),FALSE)),"",HLOOKUP(CaseName,CaseData,MATCH($G356,cases!$G$3:$G$2464,0),FALSE))</f>
        <v/>
      </c>
      <c r="K356" s="352">
        <f>3.3*24</f>
        <v>79.199999999999989</v>
      </c>
      <c r="L356" s="648">
        <f>IF(ISBLANK(I356),IF(ISNUMBER(J356)=FALSE,K356*3600,J356*3600),I356*3600)</f>
        <v>285119.99999999994</v>
      </c>
      <c r="M356" s="36" t="s">
        <v>115</v>
      </c>
      <c r="N356" s="29"/>
      <c r="O356" s="36"/>
    </row>
    <row r="357" spans="1:15" ht="12.75" customHeight="1" x14ac:dyDescent="0.3">
      <c r="A357" s="36"/>
      <c r="B357" s="29" t="s">
        <v>931</v>
      </c>
      <c r="C357" s="29"/>
      <c r="D357" s="29"/>
      <c r="E357" s="29"/>
      <c r="F357" s="29"/>
      <c r="G357" s="29" t="s">
        <v>431</v>
      </c>
      <c r="H357" s="29" t="s">
        <v>2191</v>
      </c>
      <c r="I357" s="636"/>
      <c r="J357" s="633" t="str">
        <f>IF(ISBLANK(HLOOKUP(CaseName,CaseData,MATCH($G357,cases!$G$3:$G$2464,0),FALSE)),"",HLOOKUP(CaseName,CaseData,MATCH($G357,cases!$G$3:$G$2464,0),FALSE))</f>
        <v/>
      </c>
      <c r="K357" s="352">
        <f>3.3*24*(0.06/(1-0.06))</f>
        <v>5.0553191489361691</v>
      </c>
      <c r="L357" s="648">
        <f>IF(ISBLANK(I357),IF(ISNUMBER(J357)=FALSE,K357*3600,J357*3600),I357*3600)</f>
        <v>18199.148936170208</v>
      </c>
      <c r="M357" s="36" t="s">
        <v>763</v>
      </c>
      <c r="N357" s="29"/>
      <c r="O357" s="36"/>
    </row>
    <row r="358" spans="1:15" ht="12.75" customHeight="1" x14ac:dyDescent="0.3">
      <c r="A358" s="36"/>
      <c r="B358" s="36" t="s">
        <v>493</v>
      </c>
      <c r="C358" s="29"/>
      <c r="D358" s="29"/>
      <c r="E358" s="29"/>
      <c r="F358" s="29"/>
      <c r="G358" s="94" t="s">
        <v>953</v>
      </c>
      <c r="H358" s="30" t="s">
        <v>4044</v>
      </c>
      <c r="I358" s="636"/>
      <c r="J358" s="633" t="str">
        <f>IF(ISBLANK(HLOOKUP(CaseName,CaseData,MATCH($G358,cases!$G$3:$G$2464,0),FALSE)),"",HLOOKUP(CaseName,CaseData,MATCH($G358,cases!$G$3:$G$2464,0),FALSE))</f>
        <v/>
      </c>
      <c r="K358" s="352">
        <f>L361*(L319+L320)</f>
        <v>3.5201223176074415E-11</v>
      </c>
      <c r="L358" s="634">
        <f t="shared" si="20"/>
        <v>3.5201223176074415E-11</v>
      </c>
      <c r="M358" s="29" t="s">
        <v>1490</v>
      </c>
      <c r="N358" s="29"/>
      <c r="O358" s="36"/>
    </row>
    <row r="359" spans="1:15" ht="12.75" customHeight="1" x14ac:dyDescent="0.3">
      <c r="A359" s="36"/>
      <c r="B359" s="36" t="s">
        <v>745</v>
      </c>
      <c r="C359" s="29"/>
      <c r="D359" s="29"/>
      <c r="E359" s="29"/>
      <c r="F359" s="29"/>
      <c r="G359" s="37" t="s">
        <v>1400</v>
      </c>
      <c r="H359" s="95" t="s">
        <v>4044</v>
      </c>
      <c r="I359" s="636"/>
      <c r="J359" s="633" t="str">
        <f>IF(ISBLANK(HLOOKUP(CaseName,CaseData,MATCH($G359,cases!$G$3:$G$2464,0),FALSE)),"",HLOOKUP(CaseName,CaseData,MATCH($G359,cases!$G$3:$G$2464,0),FALSE))</f>
        <v/>
      </c>
      <c r="K359" s="352">
        <f>(L320)*(L356+L357)/L357*L362*L363</f>
        <v>4.8207369087089747E-9</v>
      </c>
      <c r="L359" s="634">
        <f t="shared" si="20"/>
        <v>4.8207369087089747E-9</v>
      </c>
      <c r="M359" s="29" t="s">
        <v>1490</v>
      </c>
      <c r="N359" s="29" t="s">
        <v>3909</v>
      </c>
      <c r="O359" s="36"/>
    </row>
    <row r="360" spans="1:15" ht="12.75" customHeight="1" x14ac:dyDescent="0.3">
      <c r="A360" s="36"/>
      <c r="B360" s="36" t="s">
        <v>746</v>
      </c>
      <c r="C360" s="29"/>
      <c r="D360" s="29"/>
      <c r="E360" s="29"/>
      <c r="F360" s="29"/>
      <c r="G360" s="37" t="s">
        <v>1401</v>
      </c>
      <c r="H360" s="95" t="s">
        <v>4044</v>
      </c>
      <c r="I360" s="636"/>
      <c r="J360" s="633" t="str">
        <f>IF(ISBLANK(HLOOKUP(CaseName,CaseData,MATCH($G360,cases!$G$3:$G$2464,0),FALSE)),"",HLOOKUP(CaseName,CaseData,MATCH($G360,cases!$G$3:$G$2464,0),FALSE))</f>
        <v/>
      </c>
      <c r="K360" s="352">
        <f>L318*(L356+L357)/L357*L362/(L321*FRorig.aerw)</f>
        <v>4.057859350765129E-6</v>
      </c>
      <c r="L360" s="634">
        <f t="shared" si="20"/>
        <v>4.057859350765129E-6</v>
      </c>
      <c r="M360" s="29" t="s">
        <v>1490</v>
      </c>
      <c r="N360" s="29"/>
      <c r="O360" s="36"/>
    </row>
    <row r="361" spans="1:15" ht="12.75" customHeight="1" x14ac:dyDescent="0.3">
      <c r="A361" s="36"/>
      <c r="B361" s="29"/>
      <c r="C361" s="95" t="s">
        <v>747</v>
      </c>
      <c r="D361" s="95"/>
      <c r="E361" s="95"/>
      <c r="F361" s="95"/>
      <c r="G361" s="94" t="s">
        <v>954</v>
      </c>
      <c r="H361" s="30" t="s">
        <v>4044</v>
      </c>
      <c r="I361" s="636"/>
      <c r="J361" s="633" t="str">
        <f>IF(ISBLANK(HLOOKUP(CaseName,CaseData,MATCH($G361,cases!$G$3:$G$2464,0),FALSE)),"",HLOOKUP(CaseName,CaseData,MATCH($G361,cases!$G$3:$G$2464,0),FALSE))</f>
        <v/>
      </c>
      <c r="K361" s="345">
        <v>1E-3</v>
      </c>
      <c r="L361" s="634">
        <f t="shared" si="20"/>
        <v>1E-3</v>
      </c>
      <c r="M361" s="29" t="s">
        <v>1490</v>
      </c>
      <c r="N361" s="29"/>
      <c r="O361" s="36"/>
    </row>
    <row r="362" spans="1:15" ht="12.75" customHeight="1" x14ac:dyDescent="0.3">
      <c r="A362" s="36"/>
      <c r="B362" s="29"/>
      <c r="C362" s="36" t="s">
        <v>748</v>
      </c>
      <c r="D362" s="95"/>
      <c r="E362" s="95"/>
      <c r="F362" s="95"/>
      <c r="G362" s="94" t="s">
        <v>955</v>
      </c>
      <c r="H362" s="95" t="s">
        <v>4052</v>
      </c>
      <c r="I362" s="636"/>
      <c r="J362" s="633" t="str">
        <f>IF(ISBLANK(HLOOKUP(CaseName,CaseData,MATCH($G362,cases!$G$3:$G$2464,0),FALSE)),"",HLOOKUP(CaseName,CaseData,MATCH($G362,cases!$G$3:$G$2464,0),FALSE))</f>
        <v/>
      </c>
      <c r="K362" s="345">
        <v>1300</v>
      </c>
      <c r="L362" s="634">
        <f>IF(ISBLANK(I362),IF(ISNUMBER(J362)=FALSE,K362/(1000*3600*24*365),J362/(1000*3600*24*365)),I362/(1000*3600*24*365))</f>
        <v>4.1222729578893962E-8</v>
      </c>
      <c r="M362" s="29" t="s">
        <v>1490</v>
      </c>
      <c r="N362" s="29"/>
      <c r="O362" s="36"/>
    </row>
    <row r="363" spans="1:15" ht="12.75" customHeight="1" x14ac:dyDescent="0.3">
      <c r="A363" s="36"/>
      <c r="B363" s="29"/>
      <c r="C363" s="36" t="s">
        <v>444</v>
      </c>
      <c r="D363" s="29"/>
      <c r="E363" s="29"/>
      <c r="F363" s="29"/>
      <c r="G363" s="94" t="s">
        <v>956</v>
      </c>
      <c r="H363" s="36" t="s">
        <v>36</v>
      </c>
      <c r="I363" s="636"/>
      <c r="J363" s="633" t="str">
        <f>IF(ISBLANK(HLOOKUP(CaseName,CaseData,MATCH($G363,cases!$G$3:$G$2464,0),FALSE)),"",HLOOKUP(CaseName,CaseData,MATCH($G363,cases!$G$3:$G$2464,0),FALSE))</f>
        <v/>
      </c>
      <c r="K363" s="345">
        <v>200000</v>
      </c>
      <c r="L363" s="634">
        <f t="shared" ref="L363:L373" si="21">IF(ISBLANK(I363),IF(ISNUMBER(J363)=FALSE,K363,J363),I363)</f>
        <v>200000</v>
      </c>
      <c r="M363" s="36" t="s">
        <v>486</v>
      </c>
      <c r="N363" s="29"/>
      <c r="O363" s="36"/>
    </row>
    <row r="364" spans="1:15" ht="12.75" customHeight="1" x14ac:dyDescent="0.3">
      <c r="A364" s="36"/>
      <c r="B364" s="36" t="s">
        <v>2217</v>
      </c>
      <c r="C364" s="29"/>
      <c r="D364" s="29"/>
      <c r="E364" s="95"/>
      <c r="F364" s="95"/>
      <c r="G364" s="37" t="s">
        <v>2295</v>
      </c>
      <c r="H364" s="36" t="s">
        <v>4045</v>
      </c>
      <c r="I364" s="636"/>
      <c r="J364" s="633" t="str">
        <f>IF(ISBLANK(HLOOKUP(CaseName,CaseData,MATCH($G364,cases!$G$3:$G$2464,0),FALSE)),"",HLOOKUP(CaseName,CaseData,MATCH($G364,cases!$G$3:$G$2464,0),FALSE))</f>
        <v/>
      </c>
      <c r="K364" s="352">
        <f>L318*(L368*L369/(L368*(L321*FRorig.w2)+L369))</f>
        <v>3.045114096241542E-5</v>
      </c>
      <c r="L364" s="634">
        <f t="shared" si="21"/>
        <v>3.045114096241542E-5</v>
      </c>
      <c r="M364" s="36" t="s">
        <v>4046</v>
      </c>
      <c r="N364" s="29"/>
      <c r="O364" s="36"/>
    </row>
    <row r="365" spans="1:15" ht="12.75" customHeight="1" x14ac:dyDescent="0.3">
      <c r="A365" s="36"/>
      <c r="B365" s="36" t="s">
        <v>2218</v>
      </c>
      <c r="C365" s="29"/>
      <c r="D365" s="29"/>
      <c r="E365" s="95"/>
      <c r="F365" s="95"/>
      <c r="G365" s="37" t="s">
        <v>2296</v>
      </c>
      <c r="H365" s="36" t="s">
        <v>4045</v>
      </c>
      <c r="I365" s="636"/>
      <c r="J365" s="633" t="str">
        <f>IF(ISBLANK(HLOOKUP(CaseName,CaseData,MATCH($G365,cases!$G$3:$G$2464,0),FALSE)),"",HLOOKUP(CaseName,CaseData,MATCH($G365,cases!$G$3:$G$2464,0),FALSE))</f>
        <v/>
      </c>
      <c r="K365" s="352">
        <f>L318*(L371*L372)/(L371*((L321*FRorig.s1w)/L340)+L372)</f>
        <v>1.4716799848476931E-6</v>
      </c>
      <c r="L365" s="634">
        <f>IF(ISBLANK(I365),IF(ISNUMBER(J365)=FALSE,K365,J365),I365)</f>
        <v>1.4716799848476931E-6</v>
      </c>
      <c r="M365" s="36" t="s">
        <v>4046</v>
      </c>
      <c r="N365" s="29"/>
      <c r="O365" s="36"/>
    </row>
    <row r="366" spans="1:15" ht="12.75" customHeight="1" x14ac:dyDescent="0.3">
      <c r="A366" s="36"/>
      <c r="B366" s="36" t="s">
        <v>2269</v>
      </c>
      <c r="C366" s="29"/>
      <c r="D366" s="29"/>
      <c r="E366" s="29"/>
      <c r="F366" s="29"/>
      <c r="G366" s="37" t="s">
        <v>2297</v>
      </c>
      <c r="H366" s="36" t="s">
        <v>4045</v>
      </c>
      <c r="I366" s="636"/>
      <c r="J366" s="633" t="str">
        <f>IF(ISBLANK(HLOOKUP(CaseName,CaseData,MATCH($G366,cases!$G$3:$G$2464,0),FALSE)),"",HLOOKUP(CaseName,CaseData,MATCH($G366,cases!$G$3:$G$2464,0),FALSE))</f>
        <v/>
      </c>
      <c r="K366" s="352">
        <f>(L368*L369/(L368*(L321*FRorig.w2)+L369))*(L321*FRorig.w2)*L325</f>
        <v>5.1526365085130871E-6</v>
      </c>
      <c r="L366" s="634">
        <f t="shared" si="21"/>
        <v>5.1526365085130871E-6</v>
      </c>
      <c r="M366" s="36" t="s">
        <v>4046</v>
      </c>
      <c r="N366" s="29"/>
      <c r="O366" s="36"/>
    </row>
    <row r="367" spans="1:15" ht="12.75" customHeight="1" x14ac:dyDescent="0.3">
      <c r="A367" s="36"/>
      <c r="B367" s="36" t="s">
        <v>2271</v>
      </c>
      <c r="C367" s="29"/>
      <c r="D367" s="29"/>
      <c r="E367" s="95"/>
      <c r="F367" s="95"/>
      <c r="G367" s="37" t="s">
        <v>2298</v>
      </c>
      <c r="H367" s="36" t="s">
        <v>4045</v>
      </c>
      <c r="I367" s="636"/>
      <c r="J367" s="633" t="str">
        <f>IF(ISBLANK(HLOOKUP(CaseName,CaseData,MATCH($G367,cases!$G$3:$G$2464,0),FALSE)),"",HLOOKUP(CaseName,CaseData,MATCH($G367,cases!$G$3:$G$2464,0),FALSE))</f>
        <v/>
      </c>
      <c r="K367" s="352">
        <f>(L371*L372)/(L371+L372/((L321*FRorig.s1w)/L340))*L373</f>
        <v>1.3577895020944495E-8</v>
      </c>
      <c r="L367" s="634">
        <f>IF(ISBLANK(I367),IF(ISNUMBER(J367)=FALSE,K367,J367),I367)</f>
        <v>1.3577895020944495E-8</v>
      </c>
      <c r="M367" s="36" t="s">
        <v>4046</v>
      </c>
      <c r="N367" s="29"/>
      <c r="O367" s="36"/>
    </row>
    <row r="368" spans="1:15" ht="12.75" customHeight="1" x14ac:dyDescent="0.3">
      <c r="A368" s="29"/>
      <c r="B368" s="36"/>
      <c r="C368" s="29" t="s">
        <v>1077</v>
      </c>
      <c r="D368" s="29"/>
      <c r="E368" s="29"/>
      <c r="F368" s="29"/>
      <c r="G368" s="29" t="s">
        <v>4030</v>
      </c>
      <c r="H368" s="30" t="s">
        <v>4044</v>
      </c>
      <c r="I368" s="636"/>
      <c r="J368" s="633" t="str">
        <f>IF(ISBLANK(HLOOKUP(CaseName,CaseData,MATCH($G368,cases!$G$3:$G$2464,0),FALSE)),"",HLOOKUP(CaseName,CaseData,MATCH($G368,cases!$G$3:$G$2464,0),FALSE))</f>
        <v/>
      </c>
      <c r="K368" s="352">
        <f>0.01*(0.3+0.2*L370)*((0.018/Molweight)^(0.67*0.5))</f>
        <v>4.4535618852450994E-3</v>
      </c>
      <c r="L368" s="634">
        <f t="shared" si="21"/>
        <v>4.4535618852450994E-3</v>
      </c>
      <c r="M368" s="29" t="s">
        <v>1490</v>
      </c>
      <c r="N368" s="29"/>
      <c r="O368" s="36"/>
    </row>
    <row r="369" spans="1:15" ht="12.75" customHeight="1" x14ac:dyDescent="0.3">
      <c r="A369" s="29"/>
      <c r="B369" s="36"/>
      <c r="C369" s="29" t="s">
        <v>1048</v>
      </c>
      <c r="D369" s="29"/>
      <c r="E369" s="29"/>
      <c r="F369" s="29"/>
      <c r="G369" s="29" t="s">
        <v>4031</v>
      </c>
      <c r="H369" s="30" t="s">
        <v>4044</v>
      </c>
      <c r="I369" s="636"/>
      <c r="J369" s="633" t="str">
        <f>IF(ISBLANK(HLOOKUP(CaseName,CaseData,MATCH($G369,cases!$G$3:$G$2464,0),FALSE)),"",HLOOKUP(CaseName,CaseData,MATCH($G369,cases!$G$3:$G$2464,0),FALSE))</f>
        <v/>
      </c>
      <c r="K369" s="352">
        <f>0.01*(0.0004+0.00004*L370^2)*((0.032/Molweight)^(0.5*0.5))</f>
        <v>5.191247717588049E-6</v>
      </c>
      <c r="L369" s="634">
        <f t="shared" si="21"/>
        <v>5.191247717588049E-6</v>
      </c>
      <c r="M369" s="29" t="s">
        <v>1490</v>
      </c>
      <c r="N369" s="29"/>
      <c r="O369" s="36"/>
    </row>
    <row r="370" spans="1:15" ht="12.75" customHeight="1" x14ac:dyDescent="0.3">
      <c r="A370" s="36"/>
      <c r="B370" s="29"/>
      <c r="C370" s="29"/>
      <c r="D370" s="95" t="s">
        <v>705</v>
      </c>
      <c r="E370" s="29"/>
      <c r="F370" s="29"/>
      <c r="G370" s="37" t="s">
        <v>1051</v>
      </c>
      <c r="H370" s="30" t="s">
        <v>4044</v>
      </c>
      <c r="I370" s="636"/>
      <c r="J370" s="633" t="str">
        <f>IF(ISBLANK(HLOOKUP(CaseName,CaseData,MATCH($G370,cases!$G$3:$G$2464,0),FALSE)),"",HLOOKUP(CaseName,CaseData,MATCH($G370,cases!$G$3:$G$2464,0),FALSE))</f>
        <v/>
      </c>
      <c r="K370" s="345">
        <v>3</v>
      </c>
      <c r="L370" s="634">
        <f t="shared" si="21"/>
        <v>3</v>
      </c>
      <c r="M370" s="29" t="s">
        <v>1490</v>
      </c>
      <c r="N370" s="29"/>
      <c r="O370" s="36"/>
    </row>
    <row r="371" spans="1:15" ht="12.75" customHeight="1" x14ac:dyDescent="0.3">
      <c r="A371" s="29"/>
      <c r="B371" s="36"/>
      <c r="C371" s="29" t="s">
        <v>1049</v>
      </c>
      <c r="D371" s="29"/>
      <c r="E371" s="95"/>
      <c r="F371" s="95"/>
      <c r="G371" s="29" t="s">
        <v>4032</v>
      </c>
      <c r="H371" s="30" t="s">
        <v>4044</v>
      </c>
      <c r="I371" s="636"/>
      <c r="J371" s="633" t="str">
        <f>IF(ISBLANK(HLOOKUP(CaseName,CaseData,MATCH($G371,cases!$G$3:$G$2464,0),FALSE)),"",HLOOKUP(CaseName,CaseData,MATCH($G371,cases!$G$3:$G$2464,0),FALSE))</f>
        <v/>
      </c>
      <c r="K371" s="352">
        <f>0.43/(24*3600)/0.00475</f>
        <v>1.0477582846003899E-3</v>
      </c>
      <c r="L371" s="634">
        <f>IF(ISBLANK(I371),IF(ISNUMBER(J371)=FALSE,K371,J371),I371)</f>
        <v>1.0477582846003899E-3</v>
      </c>
      <c r="M371" s="29" t="s">
        <v>1490</v>
      </c>
      <c r="N371" s="29"/>
      <c r="O371" s="36"/>
    </row>
    <row r="372" spans="1:15" ht="12.75" customHeight="1" x14ac:dyDescent="0.3">
      <c r="A372" s="29"/>
      <c r="B372" s="36"/>
      <c r="C372" s="29" t="s">
        <v>872</v>
      </c>
      <c r="D372" s="29"/>
      <c r="E372" s="29"/>
      <c r="F372" s="29"/>
      <c r="G372" s="29" t="s">
        <v>4033</v>
      </c>
      <c r="H372" s="95" t="s">
        <v>4044</v>
      </c>
      <c r="I372" s="636"/>
      <c r="J372" s="633" t="str">
        <f>IF(ISBLANK(HLOOKUP(CaseName,CaseData,MATCH($G372,cases!$G$3:$G$2464,0),FALSE)),"",HLOOKUP(CaseName,CaseData,MATCH($G372,cases!$G$3:$G$2464,0),FALSE))</f>
        <v/>
      </c>
      <c r="K372" s="352">
        <f>0.1*L410</f>
        <v>1.0700000000000002E-8</v>
      </c>
      <c r="L372" s="634">
        <f>IF(ISBLANK(I372),IF(ISNUMBER(J372)=FALSE,K372,J372),I372)</f>
        <v>1.0700000000000002E-8</v>
      </c>
      <c r="M372" s="29" t="s">
        <v>1490</v>
      </c>
      <c r="N372" s="29" t="s">
        <v>1415</v>
      </c>
      <c r="O372" s="36"/>
    </row>
    <row r="373" spans="1:15" ht="12.75" customHeight="1" x14ac:dyDescent="0.3">
      <c r="A373" s="29"/>
      <c r="B373" s="36"/>
      <c r="C373" s="29" t="s">
        <v>185</v>
      </c>
      <c r="D373" s="29"/>
      <c r="E373" s="95"/>
      <c r="F373" s="29"/>
      <c r="G373" s="37" t="s">
        <v>811</v>
      </c>
      <c r="H373" s="29" t="s">
        <v>36</v>
      </c>
      <c r="I373" s="637"/>
      <c r="J373" s="633" t="str">
        <f>IF(ISBLANK(HLOOKUP(CaseName,CaseData,MATCH($G373,cases!$G$3:$G$2464,0),FALSE)),"",HLOOKUP(CaseName,CaseData,MATCH($G373,cases!$G$3:$G$2464,0),FALSE))</f>
        <v/>
      </c>
      <c r="K373" s="352">
        <f>(EXP((-1/0.1)*0)*(1/0.1)*L296/(1-EXP((-1/0.1)*L296)))</f>
        <v>1.2707470412683992</v>
      </c>
      <c r="L373" s="634">
        <f t="shared" si="21"/>
        <v>1.2707470412683992</v>
      </c>
      <c r="M373" s="36" t="s">
        <v>486</v>
      </c>
      <c r="N373" s="29" t="s">
        <v>995</v>
      </c>
      <c r="O373" s="36"/>
    </row>
    <row r="374" spans="1:15" ht="12.75" customHeight="1" x14ac:dyDescent="0.3">
      <c r="A374" s="29"/>
      <c r="B374" s="29"/>
      <c r="C374" s="29"/>
      <c r="D374" s="29"/>
      <c r="E374" s="29"/>
      <c r="F374" s="29"/>
      <c r="G374" s="29"/>
      <c r="H374" s="29"/>
      <c r="I374" s="646"/>
      <c r="J374" s="633"/>
      <c r="K374" s="339"/>
      <c r="L374" s="339"/>
      <c r="M374" s="29"/>
      <c r="N374" s="29"/>
      <c r="O374" s="36"/>
    </row>
    <row r="375" spans="1:15" ht="12.75" customHeight="1" x14ac:dyDescent="0.3">
      <c r="A375" s="36" t="s">
        <v>97</v>
      </c>
      <c r="B375" s="29"/>
      <c r="C375" s="29"/>
      <c r="D375" s="29"/>
      <c r="E375" s="29"/>
      <c r="F375" s="29"/>
      <c r="G375" s="37" t="s">
        <v>1135</v>
      </c>
      <c r="H375" s="36" t="s">
        <v>4036</v>
      </c>
      <c r="I375" s="637"/>
      <c r="J375" s="633" t="str">
        <f>IF(ISBLANK(HLOOKUP(CaseName,CaseData,MATCH($G375,cases!$G$3:$G$2464,0),FALSE)),"",HLOOKUP(CaseName,CaseData,MATCH($G375,cases!$G$3:$G$2464,0),FALSE))</f>
        <v/>
      </c>
      <c r="K375" s="352">
        <f>(L377+L383)/L294</f>
        <v>1.4992283931314811E-11</v>
      </c>
      <c r="L375" s="634">
        <f t="shared" ref="L375:L381" si="22">IF(ISBLANK(I375),IF(ISNUMBER(J375)=FALSE,K375,J375),I375)</f>
        <v>1.4992283931314811E-11</v>
      </c>
      <c r="M375" s="29" t="s">
        <v>1488</v>
      </c>
      <c r="N375" s="29"/>
      <c r="O375" s="36"/>
    </row>
    <row r="376" spans="1:15" ht="12.75" customHeight="1" x14ac:dyDescent="0.3">
      <c r="A376" s="36" t="s">
        <v>98</v>
      </c>
      <c r="B376" s="29"/>
      <c r="C376" s="29"/>
      <c r="D376" s="29"/>
      <c r="E376" s="29"/>
      <c r="F376" s="29"/>
      <c r="G376" s="37" t="s">
        <v>1136</v>
      </c>
      <c r="H376" s="36" t="s">
        <v>4036</v>
      </c>
      <c r="I376" s="637"/>
      <c r="J376" s="633" t="str">
        <f>IF(ISBLANK(HLOOKUP(CaseName,CaseData,MATCH($G376,cases!$G$3:$G$2464,0),FALSE)),"",HLOOKUP(CaseName,CaseData,MATCH($G376,cases!$G$3:$G$2464,0),FALSE))</f>
        <v/>
      </c>
      <c r="K376" s="352">
        <f>(L378+L384)/L295</f>
        <v>5.5396574926151886E-8</v>
      </c>
      <c r="L376" s="634">
        <f t="shared" si="22"/>
        <v>5.5396574926151886E-8</v>
      </c>
      <c r="M376" s="29" t="s">
        <v>1488</v>
      </c>
      <c r="N376" s="29"/>
      <c r="O376" s="36"/>
    </row>
    <row r="377" spans="1:15" ht="12.75" customHeight="1" x14ac:dyDescent="0.3">
      <c r="A377" s="36"/>
      <c r="B377" s="36" t="s">
        <v>2272</v>
      </c>
      <c r="C377" s="29"/>
      <c r="D377" s="29"/>
      <c r="E377" s="29"/>
      <c r="F377" s="29"/>
      <c r="G377" s="37" t="s">
        <v>2299</v>
      </c>
      <c r="H377" s="36" t="s">
        <v>4045</v>
      </c>
      <c r="I377" s="637"/>
      <c r="J377" s="633" t="str">
        <f>IF(ISBLANK(HLOOKUP(CaseName,CaseData,MATCH($G377,cases!$G$3:$G$2464,0),FALSE)),"",HLOOKUP(CaseName,CaseData,MATCH($G377,cases!$G$3:$G$2464,0),FALSE))</f>
        <v/>
      </c>
      <c r="K377" s="352">
        <f>L380*(1-L326)</f>
        <v>1.7488525385517546E-8</v>
      </c>
      <c r="L377" s="634">
        <f t="shared" si="22"/>
        <v>1.7488525385517546E-8</v>
      </c>
      <c r="M377" s="36" t="s">
        <v>4046</v>
      </c>
      <c r="N377" s="325"/>
      <c r="O377" s="36"/>
    </row>
    <row r="378" spans="1:15" ht="12.75" customHeight="1" x14ac:dyDescent="0.3">
      <c r="A378" s="36"/>
      <c r="B378" s="36" t="s">
        <v>2273</v>
      </c>
      <c r="C378" s="29"/>
      <c r="D378" s="29"/>
      <c r="E378" s="29"/>
      <c r="F378" s="29"/>
      <c r="G378" s="37" t="s">
        <v>2300</v>
      </c>
      <c r="H378" s="36" t="s">
        <v>4045</v>
      </c>
      <c r="I378" s="637"/>
      <c r="J378" s="633" t="str">
        <f>IF(ISBLANK(HLOOKUP(CaseName,CaseData,MATCH($G378,cases!$G$3:$G$2464,0),FALSE)),"",HLOOKUP(CaseName,CaseData,MATCH($G378,cases!$G$3:$G$2464,0),FALSE))</f>
        <v/>
      </c>
      <c r="K378" s="352">
        <f>L379-L381</f>
        <v>2.8928843226788437E-10</v>
      </c>
      <c r="L378" s="634">
        <f t="shared" si="22"/>
        <v>2.8928843226788437E-10</v>
      </c>
      <c r="M378" s="36" t="s">
        <v>4046</v>
      </c>
      <c r="N378" s="29"/>
      <c r="O378" s="36"/>
    </row>
    <row r="379" spans="1:15" ht="12.75" customHeight="1" x14ac:dyDescent="0.3">
      <c r="A379" s="29"/>
      <c r="B379" s="36"/>
      <c r="C379" s="36" t="s">
        <v>1228</v>
      </c>
      <c r="D379" s="29"/>
      <c r="E379" s="29"/>
      <c r="F379" s="29"/>
      <c r="G379" s="94" t="s">
        <v>157</v>
      </c>
      <c r="H379" s="30" t="s">
        <v>4044</v>
      </c>
      <c r="I379" s="637"/>
      <c r="J379" s="633" t="str">
        <f>IF(ISBLANK(HLOOKUP(CaseName,CaseData,MATCH($G379,cases!$G$3:$G$2464,0),FALSE)),"",HLOOKUP(CaseName,CaseData,MATCH($G379,cases!$G$3:$G$2464,0),FALSE))</f>
        <v/>
      </c>
      <c r="K379" s="352">
        <f>IF(L380*L331/(L303*RHOsolid)&gt;L381,L380*L331/(L303*RHOsolid),L381)</f>
        <v>2.893518518518519E-10</v>
      </c>
      <c r="L379" s="651">
        <f t="shared" si="22"/>
        <v>2.893518518518519E-10</v>
      </c>
      <c r="M379" s="29" t="s">
        <v>1490</v>
      </c>
      <c r="N379" s="29"/>
      <c r="O379" s="36"/>
    </row>
    <row r="380" spans="1:15" ht="12.75" customHeight="1" x14ac:dyDescent="0.3">
      <c r="A380" s="36"/>
      <c r="B380" s="29"/>
      <c r="C380" s="36"/>
      <c r="D380" s="36" t="s">
        <v>582</v>
      </c>
      <c r="E380" s="95"/>
      <c r="F380" s="95"/>
      <c r="G380" s="94" t="s">
        <v>778</v>
      </c>
      <c r="H380" s="30" t="s">
        <v>4044</v>
      </c>
      <c r="I380" s="637"/>
      <c r="J380" s="633" t="str">
        <f>IF(ISBLANK(HLOOKUP(CaseName,CaseData,MATCH($G380,cases!$G$3:$G$2464,0),FALSE)),"",HLOOKUP(CaseName,CaseData,MATCH($G380,cases!$G$3:$G$2464,0),FALSE))</f>
        <v/>
      </c>
      <c r="K380" s="345">
        <f>2.5/(24*3600)</f>
        <v>2.8935185185185186E-5</v>
      </c>
      <c r="L380" s="651">
        <f t="shared" si="22"/>
        <v>2.8935185185185186E-5</v>
      </c>
      <c r="M380" s="29" t="s">
        <v>1490</v>
      </c>
      <c r="N380" s="29"/>
      <c r="O380" s="36"/>
    </row>
    <row r="381" spans="1:15" ht="12.75" customHeight="1" x14ac:dyDescent="0.3">
      <c r="A381" s="36"/>
      <c r="B381" s="29"/>
      <c r="C381" s="36"/>
      <c r="D381" s="36" t="s">
        <v>565</v>
      </c>
      <c r="E381" s="95"/>
      <c r="F381" s="95"/>
      <c r="G381" s="94" t="s">
        <v>780</v>
      </c>
      <c r="H381" s="30" t="s">
        <v>4044</v>
      </c>
      <c r="I381" s="637"/>
      <c r="J381" s="633" t="str">
        <f>IF(ISBLANK(HLOOKUP(CaseName,CaseData,MATCH($G381,cases!$G$3:$G$2464,0),FALSE)),"",HLOOKUP(CaseName,CaseData,MATCH($G381,cases!$G$3:$G$2464,0),FALSE))</f>
        <v/>
      </c>
      <c r="K381" s="352">
        <v>6.3419583967529484E-14</v>
      </c>
      <c r="L381" s="634">
        <f t="shared" si="22"/>
        <v>6.3419583967529484E-14</v>
      </c>
      <c r="M381" s="29" t="s">
        <v>1490</v>
      </c>
      <c r="N381" s="29" t="s">
        <v>923</v>
      </c>
      <c r="O381" s="36"/>
    </row>
    <row r="382" spans="1:15" ht="12.75" customHeight="1" x14ac:dyDescent="0.3">
      <c r="A382" s="29"/>
      <c r="B382" s="36"/>
      <c r="C382" s="36"/>
      <c r="D382" s="36"/>
      <c r="E382" s="36" t="s">
        <v>803</v>
      </c>
      <c r="F382" s="36"/>
      <c r="G382" s="94" t="s">
        <v>779</v>
      </c>
      <c r="H382" s="36" t="s">
        <v>4047</v>
      </c>
      <c r="I382" s="637"/>
      <c r="J382" s="633" t="str">
        <f>IF(ISBLANK(HLOOKUP(CaseName,CaseData,MATCH($G382,cases!$G$3:$G$2464,0),FALSE)),"",HLOOKUP(CaseName,CaseData,MATCH($G382,cases!$G$3:$G$2464,0),FALSE))</f>
        <v/>
      </c>
      <c r="K382" s="345">
        <v>1</v>
      </c>
      <c r="L382" s="634">
        <f>IF(ISBLANK(I382),IF(ISNUMBER(J382)=FALSE,K382/(1000*3600*24*365)*L290*L289,J382/(1000*3600*24*365)*L290*L289),I382/(1000*3600*24*365)*L290*L289)</f>
        <v>2830.0989345509893</v>
      </c>
      <c r="M382" s="36" t="s">
        <v>1499</v>
      </c>
      <c r="N382" s="29"/>
      <c r="O382" s="36"/>
    </row>
    <row r="383" spans="1:15" ht="12.75" customHeight="1" x14ac:dyDescent="0.3">
      <c r="A383" s="29"/>
      <c r="B383" s="29" t="s">
        <v>2274</v>
      </c>
      <c r="C383" s="95"/>
      <c r="D383" s="95"/>
      <c r="E383" s="29"/>
      <c r="F383" s="29"/>
      <c r="G383" s="37" t="s">
        <v>2301</v>
      </c>
      <c r="H383" s="36" t="s">
        <v>4045</v>
      </c>
      <c r="I383" s="637"/>
      <c r="J383" s="633" t="str">
        <f>IF(ISBLANK(HLOOKUP(CaseName,CaseData,MATCH($G383,cases!$G$3:$G$2464,0),FALSE)),"",HLOOKUP(CaseName,CaseData,MATCH($G383,cases!$G$3:$G$2464,0),FALSE))</f>
        <v/>
      </c>
      <c r="K383" s="352">
        <f>(L385*L386)/(L385+L386)*L325</f>
        <v>2.7488326408426885E-8</v>
      </c>
      <c r="L383" s="634">
        <f>IF(ISBLANK(I383),IF(ISNUMBER(J383)=FALSE,K383,J383),I383)</f>
        <v>2.7488326408426885E-8</v>
      </c>
      <c r="M383" s="36" t="s">
        <v>4046</v>
      </c>
      <c r="N383" s="29"/>
      <c r="O383" s="36"/>
    </row>
    <row r="384" spans="1:15" ht="12.75" customHeight="1" x14ac:dyDescent="0.3">
      <c r="A384" s="29"/>
      <c r="B384" s="29" t="s">
        <v>2275</v>
      </c>
      <c r="C384" s="95"/>
      <c r="D384" s="95"/>
      <c r="E384" s="29"/>
      <c r="F384" s="29"/>
      <c r="G384" s="37" t="s">
        <v>2302</v>
      </c>
      <c r="H384" s="36" t="s">
        <v>4045</v>
      </c>
      <c r="I384" s="637"/>
      <c r="J384" s="633" t="str">
        <f>IF(ISBLANK(HLOOKUP(CaseName,CaseData,MATCH($G384,cases!$G$3:$G$2464,0),FALSE)),"",HLOOKUP(CaseName,CaseData,MATCH($G384,cases!$G$3:$G$2464,0),FALSE))</f>
        <v/>
      </c>
      <c r="K384" s="352">
        <f>(L385*L386/(L385+L386))/L337</f>
        <v>1.3726088155166722E-9</v>
      </c>
      <c r="L384" s="634">
        <f>IF(ISBLANK(I384),IF(ISNUMBER(J384)=FALSE,K384,J384),I384)</f>
        <v>1.3726088155166722E-9</v>
      </c>
      <c r="M384" s="36" t="s">
        <v>4046</v>
      </c>
      <c r="N384" s="29"/>
      <c r="O384" s="36"/>
    </row>
    <row r="385" spans="1:15" ht="12.75" customHeight="1" x14ac:dyDescent="0.3">
      <c r="A385" s="29"/>
      <c r="B385" s="36"/>
      <c r="C385" s="29" t="s">
        <v>1076</v>
      </c>
      <c r="D385" s="29"/>
      <c r="E385" s="29"/>
      <c r="F385" s="29"/>
      <c r="G385" s="29" t="s">
        <v>1173</v>
      </c>
      <c r="H385" s="30" t="s">
        <v>4044</v>
      </c>
      <c r="I385" s="636"/>
      <c r="J385" s="633" t="str">
        <f>IF(ISBLANK(HLOOKUP(CaseName,CaseData,MATCH($G385,cases!$G$3:$G$2464,0),FALSE)),"",HLOOKUP(CaseName,CaseData,MATCH($G385,cases!$G$3:$G$2464,0),FALSE))</f>
        <v/>
      </c>
      <c r="K385" s="345">
        <v>2.7779999999999999E-6</v>
      </c>
      <c r="L385" s="634">
        <f>IF(ISBLANK(I385),IF(ISNUMBER(J385)=FALSE,K385,J385),I385)</f>
        <v>2.7779999999999999E-6</v>
      </c>
      <c r="M385" s="29" t="s">
        <v>1490</v>
      </c>
      <c r="N385" s="29"/>
      <c r="O385" s="36"/>
    </row>
    <row r="386" spans="1:15" ht="12.75" customHeight="1" x14ac:dyDescent="0.3">
      <c r="A386" s="29"/>
      <c r="B386" s="36"/>
      <c r="C386" s="29" t="s">
        <v>1230</v>
      </c>
      <c r="D386" s="29"/>
      <c r="E386" s="29"/>
      <c r="F386" s="29"/>
      <c r="G386" s="29" t="s">
        <v>49</v>
      </c>
      <c r="H386" s="30" t="s">
        <v>4044</v>
      </c>
      <c r="I386" s="636"/>
      <c r="J386" s="633" t="str">
        <f>IF(ISBLANK(HLOOKUP(CaseName,CaseData,MATCH($G386,cases!$G$3:$G$2464,0),FALSE)),"",HLOOKUP(CaseName,CaseData,MATCH($G386,cases!$G$3:$G$2464,0),FALSE))</f>
        <v/>
      </c>
      <c r="K386" s="345">
        <v>2.7779999999999998E-8</v>
      </c>
      <c r="L386" s="634">
        <f>IF(ISBLANK(I386),IF(ISNUMBER(J386)=FALSE,K386,J386),I386)</f>
        <v>2.7779999999999998E-8</v>
      </c>
      <c r="M386" s="29" t="s">
        <v>1490</v>
      </c>
      <c r="N386" s="29"/>
      <c r="O386" s="36"/>
    </row>
    <row r="387" spans="1:15" ht="12.75" customHeight="1" x14ac:dyDescent="0.3">
      <c r="A387" s="29"/>
      <c r="B387" s="29"/>
      <c r="C387" s="29"/>
      <c r="D387" s="29"/>
      <c r="E387" s="29"/>
      <c r="F387" s="29"/>
      <c r="G387" s="29"/>
      <c r="H387" s="29"/>
      <c r="I387" s="646"/>
      <c r="J387" s="633"/>
      <c r="K387" s="339"/>
      <c r="L387" s="339"/>
      <c r="M387" s="29"/>
      <c r="N387" s="29"/>
      <c r="O387" s="36"/>
    </row>
    <row r="388" spans="1:15" ht="12.75" customHeight="1" x14ac:dyDescent="0.3">
      <c r="A388" s="36" t="s">
        <v>99</v>
      </c>
      <c r="B388" s="29"/>
      <c r="C388" s="29"/>
      <c r="D388" s="29"/>
      <c r="E388" s="29"/>
      <c r="F388" s="29"/>
      <c r="G388" s="37" t="s">
        <v>1266</v>
      </c>
      <c r="H388" s="36" t="s">
        <v>4036</v>
      </c>
      <c r="I388" s="637"/>
      <c r="J388" s="633" t="str">
        <f>IF(ISBLANK(HLOOKUP(CaseName,CaseData,MATCH($G388,cases!$G$3:$G$2464,0),FALSE)),"",HLOOKUP(CaseName,CaseData,MATCH($G388,cases!$G$3:$G$2464,0),FALSE))</f>
        <v/>
      </c>
      <c r="K388" s="352">
        <f>(L362*L390/L340+L389)*L391/L296</f>
        <v>1.1255665341427853E-8</v>
      </c>
      <c r="L388" s="634">
        <f>IF(ISBLANK(I388),IF(ISNUMBER(J388)=FALSE,K388,J388),I388)</f>
        <v>1.1255665341427853E-8</v>
      </c>
      <c r="M388" s="29" t="s">
        <v>1488</v>
      </c>
      <c r="N388" s="29"/>
      <c r="O388" s="36"/>
    </row>
    <row r="389" spans="1:15" ht="12.75" customHeight="1" x14ac:dyDescent="0.3">
      <c r="A389" s="29"/>
      <c r="B389" s="95" t="s">
        <v>211</v>
      </c>
      <c r="C389" s="29"/>
      <c r="D389" s="29"/>
      <c r="E389" s="29"/>
      <c r="F389" s="29"/>
      <c r="G389" s="94" t="s">
        <v>50</v>
      </c>
      <c r="H389" s="30" t="s">
        <v>4044</v>
      </c>
      <c r="I389" s="636"/>
      <c r="J389" s="633" t="str">
        <f>IF(ISBLANK(HLOOKUP(CaseName,CaseData,MATCH($G389,cases!$G$3:$G$2464,0),FALSE)),"",HLOOKUP(CaseName,CaseData,MATCH($G389,cases!$G$3:$G$2464,0),FALSE))</f>
        <v/>
      </c>
      <c r="K389" s="352">
        <f>EROSION.C</f>
        <v>9.5129375951293754E-13</v>
      </c>
      <c r="L389" s="634">
        <f>IF(ISBLANK(I389),IF(ISNUMBER(J389)=FALSE,K389,J389),I389)</f>
        <v>9.5129375951293754E-13</v>
      </c>
      <c r="M389" s="29" t="s">
        <v>1490</v>
      </c>
      <c r="N389" s="29"/>
      <c r="O389" s="36"/>
    </row>
    <row r="390" spans="1:15" ht="12.75" customHeight="1" x14ac:dyDescent="0.3">
      <c r="A390" s="29"/>
      <c r="B390" s="36" t="s">
        <v>1002</v>
      </c>
      <c r="C390" s="29"/>
      <c r="D390" s="29"/>
      <c r="E390" s="29"/>
      <c r="F390" s="29"/>
      <c r="G390" s="94" t="s">
        <v>51</v>
      </c>
      <c r="H390" s="36" t="s">
        <v>36</v>
      </c>
      <c r="I390" s="636"/>
      <c r="J390" s="633" t="str">
        <f>IF(ISBLANK(HLOOKUP(CaseName,CaseData,MATCH($G390,cases!$G$3:$G$2464,0),FALSE)),"",HLOOKUP(CaseName,CaseData,MATCH($G390,cases!$G$3:$G$2464,0),FALSE))</f>
        <v/>
      </c>
      <c r="K390" s="352">
        <f>FRACrun.C</f>
        <v>0.25</v>
      </c>
      <c r="L390" s="634">
        <f>IF(ISBLANK(I390),IF(ISNUMBER(J390)=FALSE,K390,J390),I390)</f>
        <v>0.25</v>
      </c>
      <c r="M390" s="29" t="s">
        <v>486</v>
      </c>
      <c r="N390" s="29"/>
      <c r="O390" s="36"/>
    </row>
    <row r="391" spans="1:15" ht="12.75" customHeight="1" x14ac:dyDescent="0.3">
      <c r="A391" s="36"/>
      <c r="B391" s="29" t="s">
        <v>185</v>
      </c>
      <c r="C391" s="29"/>
      <c r="D391" s="95"/>
      <c r="E391" s="95"/>
      <c r="F391" s="95"/>
      <c r="G391" s="37" t="s">
        <v>874</v>
      </c>
      <c r="H391" s="29" t="s">
        <v>36</v>
      </c>
      <c r="I391" s="637"/>
      <c r="J391" s="633" t="str">
        <f>IF(ISBLANK(HLOOKUP(CaseName,CaseData,MATCH($G391,cases!$G$3:$G$2464,0),FALSE)),"",HLOOKUP(CaseName,CaseData,MATCH($G391,cases!$G$3:$G$2464,0),FALSE))</f>
        <v/>
      </c>
      <c r="K391" s="352">
        <f>(EXP((-1/0.1)*0)*(1/0.1)*L296/(1-EXP((-1/0.1)*L296)))</f>
        <v>1.2707470412683992</v>
      </c>
      <c r="L391" s="634">
        <f>IF(ISBLANK(I391),IF(ISNUMBER(J391)=FALSE,K391,J391),I391)</f>
        <v>1.2707470412683992</v>
      </c>
      <c r="M391" s="36" t="s">
        <v>486</v>
      </c>
      <c r="N391" s="29" t="s">
        <v>995</v>
      </c>
      <c r="O391" s="36"/>
    </row>
    <row r="392" spans="1:15" ht="12.75" customHeight="1" x14ac:dyDescent="0.3">
      <c r="A392" s="29"/>
      <c r="B392" s="29"/>
      <c r="C392" s="29"/>
      <c r="D392" s="29"/>
      <c r="E392" s="29"/>
      <c r="F392" s="29"/>
      <c r="G392" s="29"/>
      <c r="H392" s="36"/>
      <c r="I392" s="353"/>
      <c r="J392" s="353"/>
      <c r="K392" s="353"/>
      <c r="L392" s="339"/>
      <c r="M392" s="29"/>
      <c r="N392" s="29"/>
      <c r="O392" s="36"/>
    </row>
    <row r="393" spans="1:15" ht="12.75" customHeight="1" x14ac:dyDescent="0.3">
      <c r="A393" s="98" t="s">
        <v>419</v>
      </c>
      <c r="B393" s="97"/>
      <c r="C393" s="97"/>
      <c r="D393" s="97"/>
      <c r="E393" s="97"/>
      <c r="F393" s="97"/>
      <c r="G393" s="98" t="s">
        <v>1008</v>
      </c>
      <c r="H393" s="98" t="s">
        <v>968</v>
      </c>
      <c r="I393" s="364" t="s">
        <v>754</v>
      </c>
      <c r="J393" s="340" t="s">
        <v>37</v>
      </c>
      <c r="K393" s="340" t="s">
        <v>753</v>
      </c>
      <c r="L393" s="340" t="s">
        <v>1358</v>
      </c>
      <c r="M393" s="97"/>
      <c r="N393" s="98" t="s">
        <v>1371</v>
      </c>
      <c r="O393" s="36"/>
    </row>
    <row r="394" spans="1:15" ht="12.75" customHeight="1" x14ac:dyDescent="0.3">
      <c r="A394" s="36"/>
      <c r="B394" s="29"/>
      <c r="C394" s="29"/>
      <c r="D394" s="29"/>
      <c r="E394" s="29"/>
      <c r="F394" s="29"/>
      <c r="G394" s="29"/>
      <c r="H394" s="36"/>
      <c r="I394" s="643"/>
      <c r="J394" s="643"/>
      <c r="K394" s="649"/>
      <c r="L394" s="342"/>
      <c r="M394" s="29"/>
      <c r="N394" s="29"/>
      <c r="O394" s="36"/>
    </row>
    <row r="395" spans="1:15" ht="12.75" customHeight="1" x14ac:dyDescent="0.3">
      <c r="A395" s="36" t="s">
        <v>224</v>
      </c>
      <c r="B395" s="29"/>
      <c r="C395" s="29"/>
      <c r="D395" s="29"/>
      <c r="E395" s="29"/>
      <c r="F395" s="29"/>
      <c r="G395" s="37" t="s">
        <v>1369</v>
      </c>
      <c r="H395" s="36" t="s">
        <v>4036</v>
      </c>
      <c r="I395" s="637"/>
      <c r="J395" s="633" t="str">
        <f>IF(ISBLANK(HLOOKUP(CaseName,CaseData,MATCH($G395,cases!$G$3:$G$2464,0),FALSE)),"",HLOOKUP(CaseName,CaseData,MATCH($G395,cases!$G$3:$G$2464,0),FALSE))</f>
        <v/>
      </c>
      <c r="K395" s="352">
        <f>L400+L401</f>
        <v>2.4036631743353455E-7</v>
      </c>
      <c r="L395" s="634">
        <f t="shared" ref="L395:L410" si="23">IF(ISBLANK(I395),IF(ISNUMBER(J395)=FALSE,K395,J395),I395)</f>
        <v>2.4036631743353455E-7</v>
      </c>
      <c r="M395" s="29" t="s">
        <v>1488</v>
      </c>
      <c r="N395" s="29"/>
      <c r="O395" s="36"/>
    </row>
    <row r="396" spans="1:15" ht="12.75" customHeight="1" x14ac:dyDescent="0.3">
      <c r="A396" s="36" t="s">
        <v>4012</v>
      </c>
      <c r="B396" s="29"/>
      <c r="C396" s="29"/>
      <c r="D396" s="29"/>
      <c r="E396" s="29"/>
      <c r="F396" s="29"/>
      <c r="G396" s="37" t="s">
        <v>1047</v>
      </c>
      <c r="H396" s="36" t="s">
        <v>4036</v>
      </c>
      <c r="I396" s="637"/>
      <c r="J396" s="633" t="str">
        <f>IF(ISBLANK(HLOOKUP(CaseName,CaseData,MATCH($G396,cases!$G$3:$G$2464,0),FALSE)),"",HLOOKUP(CaseName,CaseData,MATCH($G396,cases!$G$3:$G$2464,0),FALSE))</f>
        <v/>
      </c>
      <c r="K396" s="352">
        <f>L404</f>
        <v>2.1387065766441277E-7</v>
      </c>
      <c r="L396" s="634">
        <f t="shared" si="23"/>
        <v>2.1387065766441277E-7</v>
      </c>
      <c r="M396" s="29" t="s">
        <v>1488</v>
      </c>
      <c r="N396" s="29"/>
      <c r="O396" s="36"/>
    </row>
    <row r="397" spans="1:15" ht="12.75" customHeight="1" x14ac:dyDescent="0.3">
      <c r="A397" s="36" t="s">
        <v>1168</v>
      </c>
      <c r="B397" s="29"/>
      <c r="C397" s="29"/>
      <c r="D397" s="29"/>
      <c r="E397" s="29"/>
      <c r="F397" s="29"/>
      <c r="G397" s="37" t="s">
        <v>1171</v>
      </c>
      <c r="H397" s="36" t="s">
        <v>4036</v>
      </c>
      <c r="I397" s="637"/>
      <c r="J397" s="633" t="str">
        <f>IF(ISBLANK(HLOOKUP(CaseName,CaseData,MATCH($G397,cases!$G$3:$G$2464,0),FALSE)),"",HLOOKUP(CaseName,CaseData,MATCH($G397,cases!$G$3:$G$2464,0),FALSE))</f>
        <v/>
      </c>
      <c r="K397" s="352">
        <f>L405</f>
        <v>2.1387065766441277E-7</v>
      </c>
      <c r="L397" s="634">
        <f t="shared" si="23"/>
        <v>2.1387065766441277E-7</v>
      </c>
      <c r="M397" s="29" t="s">
        <v>1488</v>
      </c>
      <c r="N397" s="29"/>
      <c r="O397" s="36"/>
    </row>
    <row r="398" spans="1:15" ht="12.75" customHeight="1" x14ac:dyDescent="0.3">
      <c r="A398" s="36" t="s">
        <v>225</v>
      </c>
      <c r="B398" s="29"/>
      <c r="C398" s="29"/>
      <c r="D398" s="29"/>
      <c r="E398" s="29"/>
      <c r="F398" s="29"/>
      <c r="G398" s="37" t="s">
        <v>1267</v>
      </c>
      <c r="H398" s="36" t="s">
        <v>4036</v>
      </c>
      <c r="I398" s="637"/>
      <c r="J398" s="633" t="str">
        <f>IF(ISBLANK(HLOOKUP(CaseName,CaseData,MATCH($G398,cases!$G$3:$G$2464,0),FALSE)),"",HLOOKUP(CaseName,CaseData,MATCH($G398,cases!$G$3:$G$2464,0),FALSE))</f>
        <v/>
      </c>
      <c r="K398" s="352">
        <f>L409+L381/L295</f>
        <v>2.3802113986132251E-8</v>
      </c>
      <c r="L398" s="634">
        <f t="shared" si="23"/>
        <v>2.3802113986132251E-8</v>
      </c>
      <c r="M398" s="29" t="s">
        <v>1488</v>
      </c>
      <c r="N398" s="29"/>
      <c r="O398" s="36"/>
    </row>
    <row r="399" spans="1:15" ht="12.75" customHeight="1" x14ac:dyDescent="0.3">
      <c r="A399" s="36" t="s">
        <v>844</v>
      </c>
      <c r="B399" s="29"/>
      <c r="C399" s="29"/>
      <c r="D399" s="29"/>
      <c r="E399" s="29"/>
      <c r="F399" s="29"/>
      <c r="G399" s="37" t="s">
        <v>1370</v>
      </c>
      <c r="H399" s="36" t="s">
        <v>4036</v>
      </c>
      <c r="I399" s="637"/>
      <c r="J399" s="633" t="str">
        <f>IF(ISBLANK(HLOOKUP(CaseName,CaseData,MATCH($G399,cases!$G$3:$G$2464,0),FALSE)),"",HLOOKUP(CaseName,CaseData,MATCH($G399,cases!$G$3:$G$2464,0),FALSE))</f>
        <v/>
      </c>
      <c r="K399" s="352">
        <f>L410+L411*L362/L340*L412/L296</f>
        <v>1.0707567717266271E-7</v>
      </c>
      <c r="L399" s="634">
        <f t="shared" si="23"/>
        <v>1.0707567717266271E-7</v>
      </c>
      <c r="M399" s="29" t="s">
        <v>1488</v>
      </c>
      <c r="N399" s="29"/>
      <c r="O399" s="36"/>
    </row>
    <row r="400" spans="1:15" ht="12.75" customHeight="1" x14ac:dyDescent="0.3">
      <c r="A400" s="36"/>
      <c r="B400" s="36" t="s">
        <v>796</v>
      </c>
      <c r="C400" s="95"/>
      <c r="D400" s="29"/>
      <c r="E400" s="29"/>
      <c r="F400" s="29"/>
      <c r="G400" s="94" t="s">
        <v>1390</v>
      </c>
      <c r="H400" s="36" t="s">
        <v>4036</v>
      </c>
      <c r="I400" s="637"/>
      <c r="J400" s="633" t="str">
        <f>IF(ISBLANK(HLOOKUP(CaseName,CaseData,MATCH($G400,cases!$G$3:$G$2464,0),FALSE)),"",HLOOKUP(CaseName,CaseData,MATCH($G400,cases!$G$3:$G$2464,0),FALSE))</f>
        <v/>
      </c>
      <c r="K400" s="352">
        <f>LN(2)/(60*365*24*3600)</f>
        <v>3.663258818281463E-10</v>
      </c>
      <c r="L400" s="634">
        <f t="shared" si="23"/>
        <v>3.663258818281463E-10</v>
      </c>
      <c r="M400" s="36" t="s">
        <v>1488</v>
      </c>
      <c r="N400" s="29"/>
      <c r="O400" s="36"/>
    </row>
    <row r="401" spans="1:15" ht="12.75" customHeight="1" x14ac:dyDescent="0.3">
      <c r="A401" s="36"/>
      <c r="B401" s="36" t="s">
        <v>797</v>
      </c>
      <c r="C401" s="29"/>
      <c r="D401" s="29"/>
      <c r="E401" s="29"/>
      <c r="F401" s="29"/>
      <c r="G401" s="37" t="s">
        <v>52</v>
      </c>
      <c r="H401" s="36" t="s">
        <v>4036</v>
      </c>
      <c r="I401" s="636"/>
      <c r="J401" s="633" t="str">
        <f>IF(ISBLANK(HLOOKUP(CaseName,CaseData,MATCH($G401,cases!$G$3:$G$2464,0),FALSE)),"",HLOOKUP(CaseName,CaseData,MATCH($G401,cases!$G$3:$G$2464,0),FALSE))</f>
        <v/>
      </c>
      <c r="K401" s="352">
        <f>L318*kdeg.air*(L402/C.OHrad)*L403</f>
        <v>2.3999999155170639E-7</v>
      </c>
      <c r="L401" s="634">
        <f t="shared" si="23"/>
        <v>2.3999999155170639E-7</v>
      </c>
      <c r="M401" s="36" t="s">
        <v>1488</v>
      </c>
      <c r="N401" s="29"/>
      <c r="O401" s="36"/>
    </row>
    <row r="402" spans="1:15" ht="12.75" customHeight="1" x14ac:dyDescent="0.3">
      <c r="A402" s="95"/>
      <c r="B402" s="95"/>
      <c r="C402" s="36" t="s">
        <v>514</v>
      </c>
      <c r="D402" s="29"/>
      <c r="E402" s="29"/>
      <c r="F402" s="29"/>
      <c r="G402" s="37" t="s">
        <v>1402</v>
      </c>
      <c r="H402" s="36" t="s">
        <v>4048</v>
      </c>
      <c r="I402" s="636"/>
      <c r="J402" s="633" t="str">
        <f>IF(ISBLANK(HLOOKUP(CaseName,CaseData,MATCH($G402,cases!$G$3:$G$2464,0),FALSE)),"",HLOOKUP(CaseName,CaseData,MATCH($G402,cases!$G$3:$G$2464,0),FALSE))</f>
        <v/>
      </c>
      <c r="K402" s="352">
        <f>C.OHrad</f>
        <v>500000</v>
      </c>
      <c r="L402" s="634">
        <f t="shared" si="23"/>
        <v>500000</v>
      </c>
      <c r="M402" s="36" t="s">
        <v>1500</v>
      </c>
      <c r="N402" s="29"/>
      <c r="O402" s="36"/>
    </row>
    <row r="403" spans="1:15" ht="12.75" customHeight="1" x14ac:dyDescent="0.3">
      <c r="A403" s="95"/>
      <c r="B403" s="95"/>
      <c r="C403" s="36" t="s">
        <v>35</v>
      </c>
      <c r="D403" s="29"/>
      <c r="E403" s="29"/>
      <c r="F403" s="29"/>
      <c r="G403" s="37" t="s">
        <v>1403</v>
      </c>
      <c r="H403" s="36" t="s">
        <v>36</v>
      </c>
      <c r="I403" s="636"/>
      <c r="J403" s="633" t="str">
        <f>IF(ISBLANK(HLOOKUP(CaseName,CaseData,MATCH($G403,cases!$G$3:$G$2464,0),FALSE)),"",HLOOKUP(CaseName,CaseData,MATCH($G403,cases!$G$3:$G$2464,0),FALSE))</f>
        <v/>
      </c>
      <c r="K403" s="352">
        <f>EXP((Ea.OHrad/8.314)*(L322-298)/298^2)</f>
        <v>1</v>
      </c>
      <c r="L403" s="634">
        <f t="shared" si="23"/>
        <v>1</v>
      </c>
      <c r="M403" s="36" t="s">
        <v>486</v>
      </c>
      <c r="N403" s="29"/>
      <c r="O403" s="36"/>
    </row>
    <row r="404" spans="1:15" ht="12.75" customHeight="1" x14ac:dyDescent="0.3">
      <c r="A404" s="36"/>
      <c r="B404" s="36" t="s">
        <v>4013</v>
      </c>
      <c r="C404" s="29"/>
      <c r="D404" s="29"/>
      <c r="E404" s="29"/>
      <c r="F404" s="29"/>
      <c r="G404" s="37" t="s">
        <v>1137</v>
      </c>
      <c r="H404" s="36" t="s">
        <v>4036</v>
      </c>
      <c r="I404" s="636"/>
      <c r="J404" s="633" t="str">
        <f>IF(ISBLANK(HLOOKUP(CaseName,CaseData,MATCH($G404,cases!$G$3:$G$2464,0),FALSE)),"",HLOOKUP(CaseName,CaseData,MATCH($G404,cases!$G$3:$G$2464,0),FALSE))</f>
        <v/>
      </c>
      <c r="K404" s="352">
        <f>kdeg.water*L408*(L406/BACT.test)*L325</f>
        <v>2.1387065766441277E-7</v>
      </c>
      <c r="L404" s="634">
        <f t="shared" si="23"/>
        <v>2.1387065766441277E-7</v>
      </c>
      <c r="M404" s="36" t="s">
        <v>1488</v>
      </c>
      <c r="N404" s="29"/>
      <c r="O404" s="36"/>
    </row>
    <row r="405" spans="1:15" ht="12.75" customHeight="1" x14ac:dyDescent="0.3">
      <c r="A405" s="36"/>
      <c r="B405" s="36" t="s">
        <v>1138</v>
      </c>
      <c r="C405" s="29"/>
      <c r="D405" s="29"/>
      <c r="E405" s="29"/>
      <c r="F405" s="29"/>
      <c r="G405" s="37" t="s">
        <v>1139</v>
      </c>
      <c r="H405" s="36" t="s">
        <v>4036</v>
      </c>
      <c r="I405" s="636"/>
      <c r="J405" s="633" t="str">
        <f>IF(ISBLANK(HLOOKUP(CaseName,CaseData,MATCH($G405,cases!$G$3:$G$2464,0),FALSE)),"",HLOOKUP(CaseName,CaseData,MATCH($G405,cases!$G$3:$G$2464,0),FALSE))</f>
        <v/>
      </c>
      <c r="K405" s="352">
        <f>kdeg.water*L408*(L407/BACT.test)*L326</f>
        <v>2.1387065766441277E-7</v>
      </c>
      <c r="L405" s="634">
        <f t="shared" si="23"/>
        <v>2.1387065766441277E-7</v>
      </c>
      <c r="M405" s="36" t="s">
        <v>1488</v>
      </c>
      <c r="N405" s="29"/>
      <c r="O405" s="36"/>
    </row>
    <row r="406" spans="1:15" ht="12.75" customHeight="1" x14ac:dyDescent="0.3">
      <c r="A406" s="36"/>
      <c r="B406" s="36"/>
      <c r="C406" s="36" t="s">
        <v>4014</v>
      </c>
      <c r="D406" s="29"/>
      <c r="E406" s="29"/>
      <c r="F406" s="29"/>
      <c r="G406" s="94" t="s">
        <v>1141</v>
      </c>
      <c r="H406" s="36" t="s">
        <v>730</v>
      </c>
      <c r="I406" s="636"/>
      <c r="J406" s="633" t="str">
        <f>IF(ISBLANK(HLOOKUP(CaseName,CaseData,MATCH($G406,cases!$G$3:$G$2464,0),FALSE)),"",HLOOKUP(CaseName,CaseData,MATCH($G406,cases!$G$3:$G$2464,0),FALSE))</f>
        <v/>
      </c>
      <c r="K406" s="345">
        <v>40000</v>
      </c>
      <c r="L406" s="634">
        <f t="shared" si="23"/>
        <v>40000</v>
      </c>
      <c r="M406" s="36" t="s">
        <v>731</v>
      </c>
      <c r="N406" s="29"/>
      <c r="O406" s="36"/>
    </row>
    <row r="407" spans="1:15" ht="12.75" customHeight="1" x14ac:dyDescent="0.3">
      <c r="A407" s="36"/>
      <c r="B407" s="36"/>
      <c r="C407" s="36" t="s">
        <v>1140</v>
      </c>
      <c r="D407" s="29"/>
      <c r="E407" s="29"/>
      <c r="F407" s="29"/>
      <c r="G407" s="94" t="s">
        <v>1142</v>
      </c>
      <c r="H407" s="36" t="s">
        <v>730</v>
      </c>
      <c r="I407" s="636"/>
      <c r="J407" s="633" t="str">
        <f>IF(ISBLANK(HLOOKUP(CaseName,CaseData,MATCH($G407,cases!$G$3:$G$2464,0),FALSE)),"",HLOOKUP(CaseName,CaseData,MATCH($G407,cases!$G$3:$G$2464,0),FALSE))</f>
        <v/>
      </c>
      <c r="K407" s="345">
        <v>40000</v>
      </c>
      <c r="L407" s="634">
        <f t="shared" si="23"/>
        <v>40000</v>
      </c>
      <c r="M407" s="36" t="s">
        <v>731</v>
      </c>
      <c r="N407" s="29"/>
      <c r="O407" s="36"/>
    </row>
    <row r="408" spans="1:15" ht="12.75" customHeight="1" x14ac:dyDescent="0.3">
      <c r="A408" s="95"/>
      <c r="B408" s="95"/>
      <c r="C408" s="36" t="s">
        <v>766</v>
      </c>
      <c r="D408" s="29"/>
      <c r="E408" s="29"/>
      <c r="F408" s="29"/>
      <c r="G408" s="37" t="s">
        <v>1016</v>
      </c>
      <c r="H408" s="36" t="s">
        <v>36</v>
      </c>
      <c r="I408" s="636"/>
      <c r="J408" s="633" t="str">
        <f>IF(ISBLANK(HLOOKUP(CaseName,CaseData,MATCH($G408,cases!$G$3:$G$2464,0),FALSE)),"",HLOOKUP(CaseName,CaseData,MATCH($G408,cases!$G$3:$G$2464,0),FALSE))</f>
        <v/>
      </c>
      <c r="K408" s="352">
        <f>Q.10^((L322-298)/10)</f>
        <v>1</v>
      </c>
      <c r="L408" s="634">
        <f t="shared" si="23"/>
        <v>1</v>
      </c>
      <c r="M408" s="36" t="s">
        <v>486</v>
      </c>
      <c r="N408" s="29"/>
      <c r="O408" s="36"/>
    </row>
    <row r="409" spans="1:15" ht="12.75" customHeight="1" x14ac:dyDescent="0.3">
      <c r="A409" s="36"/>
      <c r="B409" s="36" t="s">
        <v>772</v>
      </c>
      <c r="C409" s="29"/>
      <c r="D409" s="29"/>
      <c r="E409" s="29"/>
      <c r="F409" s="29"/>
      <c r="G409" s="37" t="s">
        <v>53</v>
      </c>
      <c r="H409" s="36" t="s">
        <v>4036</v>
      </c>
      <c r="I409" s="636"/>
      <c r="J409" s="633" t="str">
        <f>IF(ISBLANK(HLOOKUP(CaseName,CaseData,MATCH($G409,cases!$G$3:$G$2464,0),FALSE)),"",HLOOKUP(CaseName,CaseData,MATCH($G409,cases!$G$3:$G$2464,0),FALSE))</f>
        <v/>
      </c>
      <c r="K409" s="352">
        <f>L408*kdeg.sed</f>
        <v>2.3800000000000001E-8</v>
      </c>
      <c r="L409" s="634">
        <f t="shared" si="23"/>
        <v>2.3800000000000001E-8</v>
      </c>
      <c r="M409" s="36" t="s">
        <v>1488</v>
      </c>
      <c r="N409" s="29"/>
      <c r="O409" s="36"/>
    </row>
    <row r="410" spans="1:15" ht="12.75" customHeight="1" x14ac:dyDescent="0.3">
      <c r="A410" s="36"/>
      <c r="B410" s="36" t="s">
        <v>773</v>
      </c>
      <c r="C410" s="29"/>
      <c r="D410" s="29"/>
      <c r="E410" s="29"/>
      <c r="F410" s="29"/>
      <c r="G410" s="37" t="s">
        <v>54</v>
      </c>
      <c r="H410" s="36" t="s">
        <v>4036</v>
      </c>
      <c r="I410" s="636"/>
      <c r="J410" s="633" t="str">
        <f>IF(ISBLANK(HLOOKUP(CaseName,CaseData,MATCH($G410,cases!$G$3:$G$2464,0),FALSE)),"",HLOOKUP(CaseName,CaseData,MATCH($G410,cases!$G$3:$G$2464,0),FALSE))</f>
        <v/>
      </c>
      <c r="K410" s="352">
        <f>L408*kdeg.soil</f>
        <v>1.0700000000000001E-7</v>
      </c>
      <c r="L410" s="634">
        <f t="shared" si="23"/>
        <v>1.0700000000000001E-7</v>
      </c>
      <c r="M410" s="36" t="s">
        <v>1488</v>
      </c>
      <c r="N410" s="29"/>
      <c r="O410" s="36"/>
    </row>
    <row r="411" spans="1:15" ht="12.75" customHeight="1" x14ac:dyDescent="0.3">
      <c r="A411" s="29"/>
      <c r="B411" s="36" t="s">
        <v>1036</v>
      </c>
      <c r="C411" s="29"/>
      <c r="D411" s="29"/>
      <c r="E411" s="29"/>
      <c r="F411" s="29"/>
      <c r="G411" s="94" t="s">
        <v>1393</v>
      </c>
      <c r="H411" s="36" t="s">
        <v>36</v>
      </c>
      <c r="I411" s="636"/>
      <c r="J411" s="633" t="str">
        <f>IF(ISBLANK(HLOOKUP(CaseName,CaseData,MATCH($G411,cases!$G$3:$G$2464,0),FALSE)),"",HLOOKUP(CaseName,CaseData,MATCH($G411,cases!$G$3:$G$2464,0),FALSE))</f>
        <v/>
      </c>
      <c r="K411" s="345">
        <f>FRACinf.C</f>
        <v>0.25</v>
      </c>
      <c r="L411" s="634">
        <f>IF(ISBLANK(I411),IF(ISNUMBER(J411)=FALSE,K411,J411),I411)</f>
        <v>0.25</v>
      </c>
      <c r="M411" s="29" t="s">
        <v>486</v>
      </c>
      <c r="N411" s="29"/>
      <c r="O411" s="36"/>
    </row>
    <row r="412" spans="1:15" ht="12.75" customHeight="1" x14ac:dyDescent="0.3">
      <c r="A412" s="36"/>
      <c r="B412" s="29" t="s">
        <v>185</v>
      </c>
      <c r="C412" s="29"/>
      <c r="D412" s="95"/>
      <c r="E412" s="95"/>
      <c r="F412" s="95"/>
      <c r="G412" s="37" t="s">
        <v>873</v>
      </c>
      <c r="H412" s="29" t="s">
        <v>36</v>
      </c>
      <c r="I412" s="637"/>
      <c r="J412" s="633" t="str">
        <f>IF(ISBLANK(HLOOKUP(CaseName,CaseData,MATCH($G412,cases!$G$3:$G$2464,0),FALSE)),"",HLOOKUP(CaseName,CaseData,MATCH($G412,cases!$G$3:$G$2464,0),FALSE))</f>
        <v/>
      </c>
      <c r="K412" s="352">
        <f>(EXP((-1/0.1)*0.5)*(1/0.1)*L296/(1-EXP((-1/0.1)*L296)))</f>
        <v>8.5622262133111474E-3</v>
      </c>
      <c r="L412" s="634">
        <f>IF(ISBLANK(I412),IF(ISNUMBER(J412)=FALSE,K412,J412),I412)</f>
        <v>8.5622262133111474E-3</v>
      </c>
      <c r="M412" s="36" t="s">
        <v>486</v>
      </c>
      <c r="N412" s="29" t="s">
        <v>995</v>
      </c>
      <c r="O412" s="36"/>
    </row>
    <row r="413" spans="1:15" ht="12.75" customHeight="1" x14ac:dyDescent="0.3">
      <c r="A413" s="134"/>
      <c r="B413" s="134"/>
      <c r="C413" s="134"/>
      <c r="D413" s="134"/>
      <c r="E413" s="134"/>
      <c r="F413" s="134"/>
      <c r="G413" s="115"/>
      <c r="H413" s="115"/>
      <c r="I413" s="356"/>
      <c r="J413" s="356"/>
      <c r="K413" s="641"/>
      <c r="L413" s="641"/>
      <c r="M413" s="134"/>
      <c r="N413" s="134"/>
      <c r="O413" s="36"/>
    </row>
    <row r="414" spans="1:15" ht="12.75" customHeight="1" x14ac:dyDescent="0.3">
      <c r="A414" s="29"/>
      <c r="B414" s="29"/>
      <c r="C414" s="29"/>
      <c r="D414" s="29"/>
      <c r="E414" s="29"/>
      <c r="F414" s="29"/>
      <c r="G414" s="36"/>
      <c r="H414" s="36"/>
      <c r="I414" s="339"/>
      <c r="J414" s="339"/>
      <c r="K414" s="353"/>
      <c r="L414" s="353"/>
      <c r="M414" s="29"/>
      <c r="N414" s="29"/>
      <c r="O414" s="36"/>
    </row>
  </sheetData>
  <customSheetViews>
    <customSheetView guid="{E10D5408-7CBD-11D4-9F98-0000E22085C7}" scale="84" showPageBreaks="1" showRuler="0" topLeftCell="AF1">
      <selection activeCell="AE2" sqref="AE2"/>
      <pageMargins left="0.98425196850393704" right="0.98425196850393704" top="0.98425196850393704" bottom="0.98425196850393704" header="0.51181102362204722" footer="0.51181102362204722"/>
      <pageSetup paperSize="9" scale="63" orientation="portrait" horizontalDpi="4294967292" verticalDpi="4294967292" r:id="rId1"/>
      <headerFooter alignWithMargins="0">
        <oddHeader>&amp;L&amp;D, &amp;T&amp;C&amp;P&amp;R&amp;F</oddHeader>
      </headerFooter>
    </customSheetView>
    <customSheetView guid="{E10D53FC-7CBD-11D4-9F98-0000E22085C7}" scale="92" showPageBreaks="1" showRuler="0" topLeftCell="AA1">
      <selection activeCell="Z2" sqref="Z2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2"/>
      <headerFooter alignWithMargins="0">
        <oddHeader>&amp;L&amp;D, &amp;T&amp;C&amp;P&amp;R&amp;F</oddHeader>
      </headerFooter>
    </customSheetView>
    <customSheetView guid="{E10D53F7-7CBD-11D4-9F98-0000E22085C7}" scale="92" fitToPage="1" showRuler="0" topLeftCell="O1">
      <selection activeCell="N2" sqref="N2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3"/>
      <headerFooter alignWithMargins="0">
        <oddHeader>&amp;L&amp;D, &amp;T&amp;C&amp;P&amp;R&amp;F</oddHeader>
      </headerFooter>
    </customSheetView>
    <customSheetView guid="{E10D53F2-7CBD-11D4-9F98-0000E22085C7}" scale="51" showPageBreaks="1" showRuler="0" topLeftCell="AN7">
      <selection activeCell="AM7" sqref="AM7"/>
      <pageMargins left="0.98425196850393704" right="0.98425196850393704" top="0.98425196850393704" bottom="0.98425196850393704" header="0.51181102362204722" footer="0.51181102362204722"/>
      <pageSetup paperSize="9" scale="59" orientation="portrait" horizontalDpi="4294967292" verticalDpi="4294967292" r:id="rId4"/>
      <headerFooter alignWithMargins="0">
        <oddHeader>&amp;L&amp;D, &amp;T&amp;C&amp;P&amp;R&amp;F</oddHeader>
      </headerFooter>
    </customSheetView>
    <customSheetView guid="{E10D53ED-7CBD-11D4-9F98-0000E22085C7}" scale="92" showPageBreaks="1" showRuler="0">
      <selection activeCell="H9" sqref="H9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5"/>
      <headerFooter alignWithMargins="0">
        <oddHeader>&amp;L&amp;D, &amp;T&amp;C&amp;P&amp;R&amp;F</oddHeader>
      </headerFooter>
    </customSheetView>
    <customSheetView guid="{E10D53E1-7CBD-11D4-9F98-0000E22085C7}" scale="92" fitToPage="1" showRuler="0" topLeftCell="O48">
      <selection activeCell="N48" sqref="N48"/>
      <pageMargins left="0.98425196850393704" right="0.98425196850393704" top="0.98425196850393704" bottom="0.98425196850393704" header="0.51181102362204722" footer="0.51181102362204722"/>
      <printOptions gridLines="1"/>
      <pageSetup paperSize="9" scale="52" orientation="portrait" horizontalDpi="4294967292" verticalDpi="4294967292" r:id="rId6"/>
      <headerFooter alignWithMargins="0">
        <oddHeader>&amp;L&amp;D, &amp;T&amp;C&amp;P&amp;R&amp;F</oddHeader>
      </headerFooter>
    </customSheetView>
  </customSheetViews>
  <phoneticPr fontId="5" type="noConversion"/>
  <conditionalFormatting sqref="I2:I101">
    <cfRule type="cellIs" dxfId="62" priority="153" operator="equal">
      <formula>0</formula>
    </cfRule>
  </conditionalFormatting>
  <conditionalFormatting sqref="I116:I140">
    <cfRule type="cellIs" dxfId="61" priority="165" operator="equal">
      <formula>0</formula>
    </cfRule>
  </conditionalFormatting>
  <conditionalFormatting sqref="I145:I167">
    <cfRule type="cellIs" dxfId="60" priority="152" operator="equal">
      <formula>0</formula>
    </cfRule>
  </conditionalFormatting>
  <conditionalFormatting sqref="I172:I237">
    <cfRule type="cellIs" dxfId="59" priority="149" operator="equal">
      <formula>0</formula>
    </cfRule>
  </conditionalFormatting>
  <conditionalFormatting sqref="I239:I250">
    <cfRule type="cellIs" dxfId="58" priority="78" operator="equal">
      <formula>0</formula>
    </cfRule>
  </conditionalFormatting>
  <conditionalFormatting sqref="I252:I276 K252:L276">
    <cfRule type="cellIs" dxfId="57" priority="38" operator="equal">
      <formula>0</formula>
    </cfRule>
  </conditionalFormatting>
  <conditionalFormatting sqref="I281:I303">
    <cfRule type="cellIs" dxfId="56" priority="146" operator="equal">
      <formula>0</formula>
    </cfRule>
  </conditionalFormatting>
  <conditionalFormatting sqref="I308:I373">
    <cfRule type="cellIs" dxfId="55" priority="77" operator="equal">
      <formula>0</formula>
    </cfRule>
  </conditionalFormatting>
  <conditionalFormatting sqref="I375:I386">
    <cfRule type="cellIs" dxfId="54" priority="76" operator="equal">
      <formula>0</formula>
    </cfRule>
  </conditionalFormatting>
  <conditionalFormatting sqref="I388:I412 K388:L412">
    <cfRule type="cellIs" dxfId="53" priority="35" operator="equal">
      <formula>0</formula>
    </cfRule>
  </conditionalFormatting>
  <conditionalFormatting sqref="I1:L1 K2:L75 L76:L79 K80:L81 L82:L85 I102:L102 L103:L106 I103:I114 I115:L115 I141:L144 K145:L167 I168:L168 I169:I170 K169:L170 I171:L171 L218:L221 I238:L238 I251:L251 I277:L280 K281:L303 I304:L304 I305:I306 K305:L306 I307:L307 K308:L347 L348:L351 K352:L355 L356:L357 I374:L374 I387:L387 I413:L1048576">
    <cfRule type="cellIs" dxfId="52" priority="195" operator="equal">
      <formula>0</formula>
    </cfRule>
  </conditionalFormatting>
  <conditionalFormatting sqref="J1 J102 J115 J141:J144 J168 J171 J238 J251 J277:J280 J304 J307 J374 J387 J416:J1048576">
    <cfRule type="expression" dxfId="51" priority="194">
      <formula>"HLOOKUP(CaseName,CaseData,ROW()+682,FALSE)&lt;&gt;"""""</formula>
    </cfRule>
  </conditionalFormatting>
  <conditionalFormatting sqref="J5:J42">
    <cfRule type="expression" dxfId="50" priority="22">
      <formula>"HLOOKUP(CaseName,CaseData,ROW()+157,FALSE)&lt;&gt;"""""</formula>
    </cfRule>
  </conditionalFormatting>
  <conditionalFormatting sqref="J46:J72">
    <cfRule type="expression" dxfId="49" priority="21">
      <formula>"HLOOKUP(CaseName,CaseData,ROW()+157,FALSE)&lt;&gt;"""""</formula>
    </cfRule>
  </conditionalFormatting>
  <conditionalFormatting sqref="J76:J101">
    <cfRule type="expression" dxfId="48" priority="20">
      <formula>"HLOOKUP(CaseName,CaseData,ROW()+157,FALSE)&lt;&gt;"""""</formula>
    </cfRule>
  </conditionalFormatting>
  <conditionalFormatting sqref="J102 J115 J141:J144 J168 J171 J238 J251 J277:J280 J304 J307 J374 J387">
    <cfRule type="cellIs" dxfId="47" priority="40" operator="notEqual">
      <formula>""""""</formula>
    </cfRule>
  </conditionalFormatting>
  <conditionalFormatting sqref="J103:J114">
    <cfRule type="expression" dxfId="46" priority="19">
      <formula>"HLOOKUP(CaseName,CaseData,ROW()+157,FALSE)&lt;&gt;"""""</formula>
    </cfRule>
  </conditionalFormatting>
  <conditionalFormatting sqref="J116:J119">
    <cfRule type="expression" dxfId="45" priority="18">
      <formula>"HLOOKUP(CaseName,CaseData,ROW()+157,FALSE)&lt;&gt;"""""</formula>
    </cfRule>
  </conditionalFormatting>
  <conditionalFormatting sqref="J123:J140">
    <cfRule type="expression" dxfId="44" priority="17">
      <formula>"HLOOKUP(CaseName,CaseData,ROW()+157,FALSE)&lt;&gt;"""""</formula>
    </cfRule>
  </conditionalFormatting>
  <conditionalFormatting sqref="J148:J167">
    <cfRule type="expression" dxfId="43" priority="16">
      <formula>"HLOOKUP(CaseName,CaseData,ROW()+157,FALSE)&lt;&gt;"""""</formula>
    </cfRule>
  </conditionalFormatting>
  <conditionalFormatting sqref="J169:J170">
    <cfRule type="expression" dxfId="42" priority="15">
      <formula>"HLOOKUP(CaseName,CaseData,ROW()+157,FALSE)&lt;&gt;"""""</formula>
    </cfRule>
  </conditionalFormatting>
  <conditionalFormatting sqref="J172:J178">
    <cfRule type="expression" dxfId="41" priority="14">
      <formula>"HLOOKUP(CaseName,CaseData,ROW()+157,FALSE)&lt;&gt;"""""</formula>
    </cfRule>
  </conditionalFormatting>
  <conditionalFormatting sqref="J182:J208">
    <cfRule type="expression" dxfId="40" priority="13">
      <formula>"HLOOKUP(CaseName,CaseData,ROW()+157,FALSE)&lt;&gt;"""""</formula>
    </cfRule>
  </conditionalFormatting>
  <conditionalFormatting sqref="J212:J237">
    <cfRule type="expression" dxfId="39" priority="12">
      <formula>"HLOOKUP(CaseName,CaseData,ROW()+157,FALSE)&lt;&gt;"""""</formula>
    </cfRule>
  </conditionalFormatting>
  <conditionalFormatting sqref="J239:J250">
    <cfRule type="expression" dxfId="38" priority="11">
      <formula>"HLOOKUP(CaseName,CaseData,ROW()+157,FALSE)&lt;&gt;"""""</formula>
    </cfRule>
  </conditionalFormatting>
  <conditionalFormatting sqref="J252:J255">
    <cfRule type="expression" dxfId="37" priority="10">
      <formula>"HLOOKUP(CaseName,CaseData,ROW()+157,FALSE)&lt;&gt;"""""</formula>
    </cfRule>
  </conditionalFormatting>
  <conditionalFormatting sqref="J259:J276">
    <cfRule type="expression" dxfId="36" priority="9">
      <formula>"HLOOKUP(CaseName,CaseData,ROW()+157,FALSE)&lt;&gt;"""""</formula>
    </cfRule>
  </conditionalFormatting>
  <conditionalFormatting sqref="J284:J303">
    <cfRule type="expression" dxfId="35" priority="8">
      <formula>"HLOOKUP(CaseName,CaseData,ROW()+157,FALSE)&lt;&gt;"""""</formula>
    </cfRule>
  </conditionalFormatting>
  <conditionalFormatting sqref="J305:J306">
    <cfRule type="expression" dxfId="34" priority="7">
      <formula>"HLOOKUP(CaseName,CaseData,ROW()+157,FALSE)&lt;&gt;"""""</formula>
    </cfRule>
  </conditionalFormatting>
  <conditionalFormatting sqref="J308:J314">
    <cfRule type="expression" dxfId="33" priority="6">
      <formula>"HLOOKUP(CaseName,CaseData,ROW()+157,FALSE)&lt;&gt;"""""</formula>
    </cfRule>
  </conditionalFormatting>
  <conditionalFormatting sqref="J318:J344">
    <cfRule type="expression" dxfId="32" priority="5">
      <formula>"HLOOKUP(CaseName,CaseData,ROW()+157,FALSE)&lt;&gt;"""""</formula>
    </cfRule>
  </conditionalFormatting>
  <conditionalFormatting sqref="J348:J373">
    <cfRule type="expression" dxfId="31" priority="4">
      <formula>"HLOOKUP(CaseName,CaseData,ROW()+157,FALSE)&lt;&gt;"""""</formula>
    </cfRule>
  </conditionalFormatting>
  <conditionalFormatting sqref="J375:J386">
    <cfRule type="expression" dxfId="30" priority="3">
      <formula>"HLOOKUP(CaseName,CaseData,ROW()+157,FALSE)&lt;&gt;"""""</formula>
    </cfRule>
  </conditionalFormatting>
  <conditionalFormatting sqref="J388:J391">
    <cfRule type="expression" dxfId="29" priority="2">
      <formula>"HLOOKUP(CaseName,CaseData,ROW()+157,FALSE)&lt;&gt;"""""</formula>
    </cfRule>
  </conditionalFormatting>
  <conditionalFormatting sqref="J395:J412">
    <cfRule type="expression" dxfId="28" priority="1">
      <formula>"HLOOKUP(CaseName,CaseData,ROW()+157,FALSE)&lt;&gt;"""""</formula>
    </cfRule>
  </conditionalFormatting>
  <conditionalFormatting sqref="J414">
    <cfRule type="cellIs" dxfId="27" priority="39" operator="equal">
      <formula>0</formula>
    </cfRule>
  </conditionalFormatting>
  <conditionalFormatting sqref="K76:K80">
    <cfRule type="cellIs" dxfId="26" priority="74" operator="equal">
      <formula>0</formula>
    </cfRule>
  </conditionalFormatting>
  <conditionalFormatting sqref="K82:K83">
    <cfRule type="cellIs" dxfId="25" priority="71" operator="equal">
      <formula>0</formula>
    </cfRule>
  </conditionalFormatting>
  <conditionalFormatting sqref="K103:K105">
    <cfRule type="cellIs" dxfId="24" priority="68" operator="equal">
      <formula>0</formula>
    </cfRule>
  </conditionalFormatting>
  <conditionalFormatting sqref="K348:K352">
    <cfRule type="cellIs" dxfId="23" priority="48" operator="equal">
      <formula>0</formula>
    </cfRule>
  </conditionalFormatting>
  <conditionalFormatting sqref="K354:K355">
    <cfRule type="cellIs" dxfId="22" priority="55" operator="equal">
      <formula>0</formula>
    </cfRule>
  </conditionalFormatting>
  <conditionalFormatting sqref="K364:K367">
    <cfRule type="cellIs" dxfId="21" priority="54" operator="equal">
      <formula>0</formula>
    </cfRule>
  </conditionalFormatting>
  <conditionalFormatting sqref="K86:L101">
    <cfRule type="cellIs" dxfId="20" priority="70" operator="equal">
      <formula>0</formula>
    </cfRule>
  </conditionalFormatting>
  <conditionalFormatting sqref="K106:L114">
    <cfRule type="cellIs" dxfId="19" priority="66" operator="equal">
      <formula>0</formula>
    </cfRule>
  </conditionalFormatting>
  <conditionalFormatting sqref="K116:L140">
    <cfRule type="cellIs" dxfId="18" priority="138" operator="equal">
      <formula>0</formula>
    </cfRule>
  </conditionalFormatting>
  <conditionalFormatting sqref="K172:L217 K218:K219 K222:L237">
    <cfRule type="cellIs" dxfId="17" priority="51" operator="equal">
      <formula>0</formula>
    </cfRule>
  </conditionalFormatting>
  <conditionalFormatting sqref="K239:L250">
    <cfRule type="cellIs" dxfId="16" priority="25" operator="equal">
      <formula>0</formula>
    </cfRule>
  </conditionalFormatting>
  <conditionalFormatting sqref="K358:L373">
    <cfRule type="cellIs" dxfId="15" priority="134" operator="equal">
      <formula>0</formula>
    </cfRule>
  </conditionalFormatting>
  <conditionalFormatting sqref="K375:L386">
    <cfRule type="cellIs" dxfId="14" priority="23" operator="equal">
      <formula>0</formula>
    </cfRule>
  </conditionalFormatting>
  <pageMargins left="0.98425196850393704" right="0.98425196850393704" top="0.98425196850393704" bottom="0.98425196850393704" header="0.51181102362204722" footer="0.51181102362204722"/>
  <pageSetup paperSize="9" scale="52" orientation="landscape" horizontalDpi="4294967292" verticalDpi="4294967292" r:id="rId7"/>
  <headerFooter alignWithMargins="0">
    <oddHeader>&amp;L&amp;D, &amp;T&amp;C&amp;P&amp;R&amp;F</oddHeader>
  </headerFooter>
  <legacy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syncVertical="1" syncRef="A1" transitionEvaluation="1" transitionEntry="1" codeName="Sheet7"/>
  <dimension ref="A1:AJ95"/>
  <sheetViews>
    <sheetView zoomScaleNormal="100" workbookViewId="0">
      <selection activeCell="B1" sqref="B1"/>
    </sheetView>
  </sheetViews>
  <sheetFormatPr defaultColWidth="9.109375" defaultRowHeight="12.75" customHeight="1" x14ac:dyDescent="0.3"/>
  <cols>
    <col min="1" max="1" width="2.33203125" customWidth="1"/>
    <col min="2" max="2" width="31.44140625" customWidth="1"/>
    <col min="3" max="4" width="9.109375" customWidth="1"/>
    <col min="5" max="5" width="9.109375" style="137" customWidth="1"/>
    <col min="6" max="13" width="9.109375" customWidth="1"/>
    <col min="14" max="14" width="9.109375" style="137" customWidth="1"/>
    <col min="15" max="36" width="9.109375" customWidth="1"/>
    <col min="37" max="16384" width="9.109375" style="26"/>
  </cols>
  <sheetData>
    <row r="1" spans="2:36" ht="12.75" customHeight="1" x14ac:dyDescent="0.3">
      <c r="B1" s="418" t="s">
        <v>271</v>
      </c>
    </row>
    <row r="2" spans="2:36" ht="12.75" customHeight="1" x14ac:dyDescent="0.3">
      <c r="B2" s="61"/>
    </row>
    <row r="3" spans="2:36" ht="12.75" customHeight="1" x14ac:dyDescent="0.3">
      <c r="B3" s="138"/>
      <c r="C3" s="139"/>
      <c r="D3" s="368" t="s">
        <v>1312</v>
      </c>
      <c r="E3" s="368" t="s">
        <v>278</v>
      </c>
      <c r="F3" s="368" t="s">
        <v>1313</v>
      </c>
      <c r="G3" s="368" t="s">
        <v>1314</v>
      </c>
      <c r="H3" s="368" t="s">
        <v>1315</v>
      </c>
      <c r="I3" s="368" t="s">
        <v>1316</v>
      </c>
      <c r="J3" s="368" t="s">
        <v>1317</v>
      </c>
      <c r="K3" s="368" t="s">
        <v>1318</v>
      </c>
      <c r="L3" s="368" t="s">
        <v>1319</v>
      </c>
      <c r="M3" s="368" t="s">
        <v>519</v>
      </c>
      <c r="N3" s="368" t="s">
        <v>279</v>
      </c>
      <c r="O3" s="368" t="s">
        <v>1320</v>
      </c>
      <c r="P3" s="368" t="s">
        <v>1321</v>
      </c>
      <c r="Q3" s="368" t="s">
        <v>1322</v>
      </c>
      <c r="R3" s="368" t="s">
        <v>1323</v>
      </c>
      <c r="S3" s="368" t="s">
        <v>1324</v>
      </c>
      <c r="T3" s="368" t="s">
        <v>1325</v>
      </c>
      <c r="U3" s="368" t="s">
        <v>518</v>
      </c>
      <c r="V3" s="368" t="s">
        <v>520</v>
      </c>
      <c r="W3" s="368" t="s">
        <v>1478</v>
      </c>
      <c r="X3" s="368" t="s">
        <v>1479</v>
      </c>
      <c r="Y3" s="368" t="s">
        <v>521</v>
      </c>
      <c r="Z3" s="368" t="s">
        <v>526</v>
      </c>
      <c r="AA3" s="368" t="s">
        <v>522</v>
      </c>
      <c r="AB3" s="368" t="s">
        <v>1480</v>
      </c>
      <c r="AC3" s="368" t="s">
        <v>1481</v>
      </c>
      <c r="AD3" s="368" t="s">
        <v>523</v>
      </c>
      <c r="AE3" s="368" t="s">
        <v>527</v>
      </c>
      <c r="AF3" s="368" t="s">
        <v>524</v>
      </c>
      <c r="AG3" s="368" t="s">
        <v>1482</v>
      </c>
      <c r="AH3" s="368" t="s">
        <v>1483</v>
      </c>
      <c r="AI3" s="368" t="s">
        <v>525</v>
      </c>
      <c r="AJ3" s="369" t="s">
        <v>528</v>
      </c>
    </row>
    <row r="4" spans="2:36" ht="12.75" customHeight="1" x14ac:dyDescent="0.3">
      <c r="B4" s="140" t="s">
        <v>531</v>
      </c>
      <c r="C4" s="71" t="s">
        <v>1050</v>
      </c>
      <c r="D4" s="370">
        <f>VOLUME.aR</f>
        <v>229570000000000</v>
      </c>
      <c r="E4" s="370">
        <f>VOLUME.w0R</f>
        <v>57142500000</v>
      </c>
      <c r="F4" s="370">
        <f>VOLUME.w1R</f>
        <v>18857025000</v>
      </c>
      <c r="G4" s="370">
        <f>VOLUME.w2R</f>
        <v>10000000000.000011</v>
      </c>
      <c r="H4" s="370">
        <f>VOLUME.sd1R</f>
        <v>188570250</v>
      </c>
      <c r="I4" s="370">
        <f>VOLUME.sd2R</f>
        <v>30000000.00000003</v>
      </c>
      <c r="J4" s="370">
        <f>VOLUME.s1R</f>
        <v>3085695000.0000005</v>
      </c>
      <c r="K4" s="370">
        <f>VOLUME.s2R</f>
        <v>27428400000</v>
      </c>
      <c r="L4" s="370">
        <f>VOLUME.s3R</f>
        <v>1142850000</v>
      </c>
      <c r="M4" s="370">
        <f>VOLUME.aC</f>
        <v>7428820000000000</v>
      </c>
      <c r="N4" s="370">
        <f>VOLUME.w0C</f>
        <v>928602500000</v>
      </c>
      <c r="O4" s="370">
        <f>VOLUME.w1C</f>
        <v>306438825000</v>
      </c>
      <c r="P4" s="370">
        <f>VOLUME.w2C</f>
        <v>742882000000000</v>
      </c>
      <c r="Q4" s="370">
        <f>VOLUME.sd1C</f>
        <v>3064388250</v>
      </c>
      <c r="R4" s="370">
        <f>VOLUME.sd2C</f>
        <v>111432300000</v>
      </c>
      <c r="S4" s="370">
        <f>VOLUME.s1C</f>
        <v>50144535000.000008</v>
      </c>
      <c r="T4" s="370">
        <f>VOLUME.s2C</f>
        <v>445729200000</v>
      </c>
      <c r="U4" s="370">
        <f>VOLUME.s3C</f>
        <v>18572050000</v>
      </c>
      <c r="V4" s="370">
        <f>VOLUME.aM</f>
        <v>7.734161E+16</v>
      </c>
      <c r="W4" s="370">
        <f>VOLUME.w2M</f>
        <v>3867080500000000</v>
      </c>
      <c r="X4" s="370">
        <f>VOLUME.w3M</f>
        <v>1.16012415E+17</v>
      </c>
      <c r="Y4" s="370">
        <f>VOLUME.sdM</f>
        <v>1160124150000</v>
      </c>
      <c r="Z4" s="370">
        <f>VOLUME.sM</f>
        <v>1933540250000</v>
      </c>
      <c r="AA4" s="370">
        <f>VOLUME.aA</f>
        <v>4.25E+16</v>
      </c>
      <c r="AB4" s="370">
        <f>VOLUME.w2A</f>
        <v>2550000000000000</v>
      </c>
      <c r="AC4" s="370">
        <f>VOLUME.w3A</f>
        <v>7.65E+16</v>
      </c>
      <c r="AD4" s="370">
        <f>VOLUME.sdA</f>
        <v>765000000000</v>
      </c>
      <c r="AE4" s="370">
        <f>VOLUME.sA</f>
        <v>850000000000</v>
      </c>
      <c r="AF4" s="370">
        <f>VOLUME.aT</f>
        <v>1.275E+17</v>
      </c>
      <c r="AG4" s="370">
        <f>VOLUME.w2T</f>
        <v>8924999999999999</v>
      </c>
      <c r="AH4" s="370">
        <f>VOLUME.w3T</f>
        <v>2.6774999999999997E+17</v>
      </c>
      <c r="AI4" s="370">
        <f>VOLUME.sdT</f>
        <v>2677500000000</v>
      </c>
      <c r="AJ4" s="371">
        <f>VOLUME.sT</f>
        <v>1912500000000.0005</v>
      </c>
    </row>
    <row r="5" spans="2:36" ht="12.75" customHeight="1" x14ac:dyDescent="0.3">
      <c r="B5" s="141" t="s">
        <v>1209</v>
      </c>
      <c r="C5" s="72" t="s">
        <v>532</v>
      </c>
      <c r="D5" s="372">
        <f>E.aR</f>
        <v>2.1571287063785434</v>
      </c>
      <c r="E5" s="372">
        <v>0</v>
      </c>
      <c r="F5" s="372">
        <f>E.w1R</f>
        <v>2.1571287063785434</v>
      </c>
      <c r="G5" s="372">
        <f>E.w2R</f>
        <v>0</v>
      </c>
      <c r="H5" s="372">
        <v>0</v>
      </c>
      <c r="I5" s="372">
        <v>0</v>
      </c>
      <c r="J5" s="372">
        <f>E.s1R</f>
        <v>0</v>
      </c>
      <c r="K5" s="372">
        <f>E.s2R</f>
        <v>2.1571287063785434</v>
      </c>
      <c r="L5" s="372">
        <f>E.s3R</f>
        <v>0</v>
      </c>
      <c r="M5" s="372">
        <f>E.aC</f>
        <v>0</v>
      </c>
      <c r="N5" s="372">
        <v>0</v>
      </c>
      <c r="O5" s="372">
        <f>E.w1C</f>
        <v>0</v>
      </c>
      <c r="P5" s="372">
        <f>E.w2C</f>
        <v>0</v>
      </c>
      <c r="Q5" s="372">
        <v>0</v>
      </c>
      <c r="R5" s="372">
        <v>0</v>
      </c>
      <c r="S5" s="372">
        <f>E.s1C</f>
        <v>0</v>
      </c>
      <c r="T5" s="372">
        <f>E.s2C</f>
        <v>0</v>
      </c>
      <c r="U5" s="372">
        <f>E.s3C</f>
        <v>0</v>
      </c>
      <c r="V5" s="372">
        <f>E.aM</f>
        <v>0</v>
      </c>
      <c r="W5" s="372">
        <f>E.w2M</f>
        <v>0</v>
      </c>
      <c r="X5" s="372">
        <v>0</v>
      </c>
      <c r="Y5" s="373">
        <v>0</v>
      </c>
      <c r="Z5" s="372">
        <f>E.sM</f>
        <v>0</v>
      </c>
      <c r="AA5" s="372">
        <f>E.aA</f>
        <v>0</v>
      </c>
      <c r="AB5" s="372">
        <f>E.w2A</f>
        <v>0</v>
      </c>
      <c r="AC5" s="372">
        <v>0</v>
      </c>
      <c r="AD5" s="373">
        <v>0</v>
      </c>
      <c r="AE5" s="372">
        <f>E.sA</f>
        <v>0</v>
      </c>
      <c r="AF5" s="372">
        <f>E.aT</f>
        <v>0</v>
      </c>
      <c r="AG5" s="372">
        <f>E.w2T</f>
        <v>0</v>
      </c>
      <c r="AH5" s="372">
        <v>0</v>
      </c>
      <c r="AI5" s="373">
        <v>0</v>
      </c>
      <c r="AJ5" s="374">
        <f>E.sT</f>
        <v>0</v>
      </c>
    </row>
    <row r="6" spans="2:36" ht="12.75" customHeight="1" x14ac:dyDescent="0.3">
      <c r="B6" s="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375"/>
      <c r="AJ6" s="375"/>
    </row>
    <row r="7" spans="2:36" ht="12.75" customHeight="1" x14ac:dyDescent="0.3">
      <c r="B7" s="143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  <c r="P7" s="376"/>
      <c r="Q7" s="376"/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179"/>
      <c r="AE7" s="376"/>
      <c r="AF7" s="376"/>
      <c r="AG7" s="376"/>
      <c r="AH7" s="376"/>
      <c r="AI7" s="375"/>
      <c r="AJ7" s="375"/>
    </row>
    <row r="8" spans="2:36" ht="12.75" customHeight="1" x14ac:dyDescent="0.3">
      <c r="B8" s="145" t="s">
        <v>2335</v>
      </c>
      <c r="C8" s="508" t="s">
        <v>588</v>
      </c>
      <c r="D8" s="377" t="s">
        <v>1507</v>
      </c>
      <c r="E8" s="377" t="s">
        <v>281</v>
      </c>
      <c r="F8" s="377" t="s">
        <v>1508</v>
      </c>
      <c r="G8" s="377" t="s">
        <v>1509</v>
      </c>
      <c r="H8" s="377" t="s">
        <v>1510</v>
      </c>
      <c r="I8" s="377" t="s">
        <v>1511</v>
      </c>
      <c r="J8" s="377" t="s">
        <v>1512</v>
      </c>
      <c r="K8" s="377" t="s">
        <v>1513</v>
      </c>
      <c r="L8" s="377" t="s">
        <v>1514</v>
      </c>
      <c r="M8" s="377" t="s">
        <v>1515</v>
      </c>
      <c r="N8" s="377" t="s">
        <v>280</v>
      </c>
      <c r="O8" s="377" t="s">
        <v>1516</v>
      </c>
      <c r="P8" s="377" t="s">
        <v>1517</v>
      </c>
      <c r="Q8" s="377" t="s">
        <v>1518</v>
      </c>
      <c r="R8" s="377" t="s">
        <v>1519</v>
      </c>
      <c r="S8" s="377" t="s">
        <v>1520</v>
      </c>
      <c r="T8" s="377" t="s">
        <v>1521</v>
      </c>
      <c r="U8" s="377" t="s">
        <v>1522</v>
      </c>
      <c r="V8" s="377" t="s">
        <v>1523</v>
      </c>
      <c r="W8" s="377" t="s">
        <v>1484</v>
      </c>
      <c r="X8" s="377" t="s">
        <v>1268</v>
      </c>
      <c r="Y8" s="377" t="s">
        <v>1524</v>
      </c>
      <c r="Z8" s="377" t="s">
        <v>1525</v>
      </c>
      <c r="AA8" s="377" t="s">
        <v>1526</v>
      </c>
      <c r="AB8" s="377" t="s">
        <v>1502</v>
      </c>
      <c r="AC8" s="377" t="s">
        <v>1269</v>
      </c>
      <c r="AD8" s="377" t="s">
        <v>1527</v>
      </c>
      <c r="AE8" s="377" t="s">
        <v>1528</v>
      </c>
      <c r="AF8" s="377" t="s">
        <v>1529</v>
      </c>
      <c r="AG8" s="377" t="s">
        <v>1503</v>
      </c>
      <c r="AH8" s="377" t="s">
        <v>1270</v>
      </c>
      <c r="AI8" s="377" t="s">
        <v>1530</v>
      </c>
      <c r="AJ8" s="390" t="s">
        <v>1531</v>
      </c>
    </row>
    <row r="9" spans="2:36" ht="12.75" customHeight="1" x14ac:dyDescent="0.3">
      <c r="B9" s="146" t="s">
        <v>2336</v>
      </c>
      <c r="C9" s="144"/>
      <c r="D9" s="378">
        <f>-k.aR-SUM(D10:D42)</f>
        <v>-9.6397339640211116E-6</v>
      </c>
      <c r="E9" s="179">
        <f>k.w0R.aR</f>
        <v>5.123442414531955E-8</v>
      </c>
      <c r="F9" s="179">
        <f>k.w1R.aR</f>
        <v>1.7059111232725971E-6</v>
      </c>
      <c r="G9" s="179">
        <f>k.w2R.aR</f>
        <v>5.1216692794123988E-7</v>
      </c>
      <c r="H9" s="376">
        <v>0</v>
      </c>
      <c r="I9" s="376">
        <v>0</v>
      </c>
      <c r="J9" s="179">
        <f>k.s1R.aR</f>
        <v>1.103232338463208E-7</v>
      </c>
      <c r="K9" s="179">
        <f>k.s2R.aR</f>
        <v>5.0203054661890868E-8</v>
      </c>
      <c r="L9" s="179">
        <f>k.s3R.aR</f>
        <v>1.103232338463208E-7</v>
      </c>
      <c r="M9" s="179">
        <f>k.aC.aR</f>
        <v>2.9110708951640401E-7</v>
      </c>
      <c r="N9" s="179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9">
        <v>0</v>
      </c>
    </row>
    <row r="10" spans="2:36" ht="12.75" customHeight="1" x14ac:dyDescent="0.3">
      <c r="B10" s="146" t="s">
        <v>2337</v>
      </c>
      <c r="C10" s="144"/>
      <c r="D10" s="179">
        <f>k.aR.w0R</f>
        <v>1.425790919893887E-10</v>
      </c>
      <c r="E10" s="378">
        <f>-k.w0R-SUM(E9,E11:E41)</f>
        <v>-1.4052023214727937E-7</v>
      </c>
      <c r="F10" s="179">
        <f>k.w1R.w0R</f>
        <v>0</v>
      </c>
      <c r="G10" s="179">
        <v>0</v>
      </c>
      <c r="H10" s="376">
        <v>0</v>
      </c>
      <c r="I10" s="376">
        <v>0</v>
      </c>
      <c r="J10" s="653">
        <f>k.s1R.w0R</f>
        <v>5.0633546548533271E-10</v>
      </c>
      <c r="K10" s="653">
        <f>k.s2R.w0R</f>
        <v>2.304100973546819E-10</v>
      </c>
      <c r="L10" s="653">
        <f>k.s3R.w0R</f>
        <v>5.0633546548533271E-10</v>
      </c>
      <c r="M10" s="376">
        <v>0</v>
      </c>
      <c r="N10" s="179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9">
        <v>0</v>
      </c>
    </row>
    <row r="11" spans="2:36" ht="12.75" customHeight="1" x14ac:dyDescent="0.3">
      <c r="B11" s="146" t="s">
        <v>2338</v>
      </c>
      <c r="C11" s="144"/>
      <c r="D11" s="179">
        <f>k.aR.w1R</f>
        <v>1.5683700118832757E-9</v>
      </c>
      <c r="E11" s="179">
        <f>k.w0R.w1R</f>
        <v>2.3972602739726025E-9</v>
      </c>
      <c r="F11" s="378">
        <f>-k.w1R-SUM(F9:F10,F12:F41)</f>
        <v>-1.8877399189113635E-6</v>
      </c>
      <c r="G11" s="376">
        <v>0</v>
      </c>
      <c r="H11" s="179">
        <f>k.sd1R.w1R</f>
        <v>7.1793444112690027E-8</v>
      </c>
      <c r="I11" s="376">
        <v>0</v>
      </c>
      <c r="J11" s="179">
        <f>k.s1R.w1R</f>
        <v>5.5696901203386607E-9</v>
      </c>
      <c r="K11" s="179">
        <f>k.s2R.w1R</f>
        <v>2.5345110709015009E-9</v>
      </c>
      <c r="L11" s="179">
        <f>k.s3R.w1R</f>
        <v>5.5696901203386607E-9</v>
      </c>
      <c r="M11" s="376">
        <v>0</v>
      </c>
      <c r="N11" s="179">
        <v>0</v>
      </c>
      <c r="O11" s="179">
        <f>k.w1C.w1R</f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9">
        <v>0</v>
      </c>
    </row>
    <row r="12" spans="2:36" ht="12.75" customHeight="1" x14ac:dyDescent="0.3">
      <c r="B12" s="146" t="s">
        <v>2339</v>
      </c>
      <c r="C12" s="144"/>
      <c r="D12" s="179">
        <f>k.aR.w2R</f>
        <v>2.4951497044999583E-10</v>
      </c>
      <c r="E12" s="179">
        <f>k.w0R.w2R</f>
        <v>0</v>
      </c>
      <c r="F12" s="179">
        <f>k.w1R.w2R</f>
        <v>7.26442507264425E-8</v>
      </c>
      <c r="G12" s="378">
        <f>-k.w2R-SUM(G9:G11,G13:G41)</f>
        <v>-1.973377542274529E-6</v>
      </c>
      <c r="H12" s="376">
        <v>0</v>
      </c>
      <c r="I12" s="179">
        <f>k.sd2R.w2R</f>
        <v>5.4484395670697645E-8</v>
      </c>
      <c r="J12" s="376">
        <v>0</v>
      </c>
      <c r="K12" s="376">
        <v>0</v>
      </c>
      <c r="L12" s="376">
        <v>0</v>
      </c>
      <c r="M12" s="376">
        <v>0</v>
      </c>
      <c r="N12" s="179">
        <v>0</v>
      </c>
      <c r="O12" s="376">
        <v>0</v>
      </c>
      <c r="P12" s="179">
        <f>k.w2C.w2R</f>
        <v>1.6595758234138329E-11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</v>
      </c>
      <c r="AG12" s="376">
        <v>0</v>
      </c>
      <c r="AH12" s="376">
        <v>0</v>
      </c>
      <c r="AI12" s="376">
        <v>0</v>
      </c>
      <c r="AJ12" s="379">
        <v>0</v>
      </c>
    </row>
    <row r="13" spans="2:36" ht="12.75" customHeight="1" x14ac:dyDescent="0.3">
      <c r="B13" s="146" t="s">
        <v>2340</v>
      </c>
      <c r="C13" s="144"/>
      <c r="D13" s="376">
        <v>0</v>
      </c>
      <c r="E13" s="179">
        <v>0</v>
      </c>
      <c r="F13" s="179">
        <f>k.w1R.sd1R</f>
        <v>2.2392816971501889E-8</v>
      </c>
      <c r="G13" s="376">
        <v>0</v>
      </c>
      <c r="H13" s="378">
        <f>-k.sd1R-SUM(H9:H12,H14:H41)</f>
        <v>-8.4354615885713471E-8</v>
      </c>
      <c r="I13" s="376">
        <v>0</v>
      </c>
      <c r="J13" s="376">
        <v>0</v>
      </c>
      <c r="K13" s="376">
        <v>0</v>
      </c>
      <c r="L13" s="376">
        <v>0</v>
      </c>
      <c r="M13" s="376">
        <v>0</v>
      </c>
      <c r="N13" s="179">
        <v>0</v>
      </c>
      <c r="O13" s="376">
        <v>0</v>
      </c>
      <c r="P13" s="376">
        <v>0</v>
      </c>
      <c r="Q13" s="376">
        <v>0</v>
      </c>
      <c r="R13" s="376">
        <v>0</v>
      </c>
      <c r="S13" s="376">
        <v>0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</v>
      </c>
      <c r="AG13" s="376">
        <v>0</v>
      </c>
      <c r="AH13" s="376">
        <v>0</v>
      </c>
      <c r="AI13" s="376">
        <v>0</v>
      </c>
      <c r="AJ13" s="379">
        <v>0</v>
      </c>
    </row>
    <row r="14" spans="2:36" ht="12.75" customHeight="1" x14ac:dyDescent="0.3">
      <c r="B14" s="146" t="s">
        <v>2341</v>
      </c>
      <c r="C14" s="144"/>
      <c r="D14" s="376">
        <v>0</v>
      </c>
      <c r="E14" s="179">
        <v>0</v>
      </c>
      <c r="F14" s="376">
        <v>0</v>
      </c>
      <c r="G14" s="179">
        <f>k.w2R.sd2R</f>
        <v>4.4976851793944434E-9</v>
      </c>
      <c r="H14" s="376">
        <v>0</v>
      </c>
      <c r="I14" s="378">
        <f>-k.sd2R-SUM(I9:I13,I15:I41)</f>
        <v>-6.5064492428923354E-8</v>
      </c>
      <c r="J14" s="376">
        <v>0</v>
      </c>
      <c r="K14" s="376">
        <v>0</v>
      </c>
      <c r="L14" s="376">
        <v>0</v>
      </c>
      <c r="M14" s="376">
        <v>0</v>
      </c>
      <c r="N14" s="179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9">
        <v>0</v>
      </c>
    </row>
    <row r="15" spans="2:36" ht="12.75" customHeight="1" x14ac:dyDescent="0.3">
      <c r="B15" s="146" t="s">
        <v>2342</v>
      </c>
      <c r="C15" s="144"/>
      <c r="D15" s="179">
        <f>k.aR.s1R</f>
        <v>3.691053427152108E-10</v>
      </c>
      <c r="E15" s="179">
        <v>0</v>
      </c>
      <c r="F15" s="376">
        <v>0</v>
      </c>
      <c r="G15" s="376">
        <v>0</v>
      </c>
      <c r="H15" s="376">
        <v>0</v>
      </c>
      <c r="I15" s="376">
        <v>0</v>
      </c>
      <c r="J15" s="378">
        <f>-k.s1R-SUM(J9:J14,J16:J41)</f>
        <v>-1.5989553967171847E-7</v>
      </c>
      <c r="K15" s="376">
        <v>0</v>
      </c>
      <c r="L15" s="376">
        <v>0</v>
      </c>
      <c r="M15" s="376">
        <v>0</v>
      </c>
      <c r="N15" s="179">
        <v>0</v>
      </c>
      <c r="O15" s="376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9">
        <v>0</v>
      </c>
    </row>
    <row r="16" spans="2:36" ht="12.75" customHeight="1" x14ac:dyDescent="0.3">
      <c r="B16" s="146" t="s">
        <v>2343</v>
      </c>
      <c r="C16" s="144"/>
      <c r="D16" s="179">
        <f>k.aR.s2R</f>
        <v>8.2023409492269047E-10</v>
      </c>
      <c r="E16" s="179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8">
        <f>-k.s2R-SUM(K9:K15,K17:K41)</f>
        <v>-9.6442034797408584E-8</v>
      </c>
      <c r="L16" s="376">
        <v>0</v>
      </c>
      <c r="M16" s="376">
        <v>0</v>
      </c>
      <c r="N16" s="179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9">
        <v>0</v>
      </c>
    </row>
    <row r="17" spans="2:36" ht="12.75" customHeight="1" x14ac:dyDescent="0.3">
      <c r="B17" s="146" t="s">
        <v>2344</v>
      </c>
      <c r="C17" s="144"/>
      <c r="D17" s="179">
        <f>k.aR.s3R</f>
        <v>1.367056824871151E-10</v>
      </c>
      <c r="E17" s="179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8">
        <f>-k.s3R-SUM(L9:L16,L18:L41)</f>
        <v>-1.5989553967171847E-7</v>
      </c>
      <c r="M17" s="376">
        <v>0</v>
      </c>
      <c r="N17" s="179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9">
        <v>0</v>
      </c>
    </row>
    <row r="18" spans="2:36" ht="12.75" customHeight="1" x14ac:dyDescent="0.3">
      <c r="B18" s="146" t="s">
        <v>2345</v>
      </c>
      <c r="C18" s="144"/>
      <c r="D18" s="179">
        <f>k.aR.aC</f>
        <v>9.4201427396491372E-6</v>
      </c>
      <c r="E18" s="179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</v>
      </c>
      <c r="M18" s="378">
        <f>-k.aC-SUM(M9:M17,M19:M41)</f>
        <v>-1.9024506080448144E-6</v>
      </c>
      <c r="N18" s="179">
        <f>k.w0C.aC</f>
        <v>5.123442414531955E-8</v>
      </c>
      <c r="O18" s="179">
        <f>k.w1C.aC</f>
        <v>1.7059111232725971E-6</v>
      </c>
      <c r="P18" s="179">
        <f>k.w2C.aC</f>
        <v>2.5608346397061995E-8</v>
      </c>
      <c r="Q18" s="376">
        <v>0</v>
      </c>
      <c r="R18" s="376">
        <v>0</v>
      </c>
      <c r="S18" s="179">
        <f>k.s1C.aC</f>
        <v>1.103232338463208E-7</v>
      </c>
      <c r="T18" s="179">
        <f>k.s2C.aC</f>
        <v>5.0203054661890868E-8</v>
      </c>
      <c r="U18" s="179">
        <f>k.s3C.aC</f>
        <v>1.103232338463208E-7</v>
      </c>
      <c r="V18" s="179">
        <f>k.aM.aC</f>
        <v>1.3109885436088236E-7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9">
        <v>0</v>
      </c>
    </row>
    <row r="19" spans="2:36" ht="12.75" customHeight="1" x14ac:dyDescent="0.3">
      <c r="B19" s="146" t="s">
        <v>2346</v>
      </c>
      <c r="C19" s="144"/>
      <c r="D19" s="376">
        <v>0</v>
      </c>
      <c r="E19" s="179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179">
        <f>k.aC.w0C</f>
        <v>7.1601443059486076E-11</v>
      </c>
      <c r="N19" s="378">
        <f>-k.w0C-SUM(N9:N18,N20:N41)</f>
        <v>-1.4052023214727937E-7</v>
      </c>
      <c r="O19" s="179">
        <f>k.w1C.w0C</f>
        <v>0</v>
      </c>
      <c r="P19" s="179">
        <v>0</v>
      </c>
      <c r="Q19" s="376">
        <v>0</v>
      </c>
      <c r="R19" s="376">
        <v>0</v>
      </c>
      <c r="S19" s="179">
        <f>k.s1C.w0C</f>
        <v>5.0633546548533281E-10</v>
      </c>
      <c r="T19" s="179">
        <f>k.s2C.w0C</f>
        <v>2.3041009735468192E-10</v>
      </c>
      <c r="U19" s="179">
        <f>k.s3C.w0C</f>
        <v>5.0633546548533281E-10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9">
        <v>0</v>
      </c>
    </row>
    <row r="20" spans="2:36" ht="12.75" customHeight="1" x14ac:dyDescent="0.3">
      <c r="B20" s="146" t="s">
        <v>2347</v>
      </c>
      <c r="C20" s="144"/>
      <c r="D20" s="376">
        <v>0</v>
      </c>
      <c r="E20" s="179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179">
        <f>k.aC.w1C</f>
        <v>7.8761587365434676E-10</v>
      </c>
      <c r="N20" s="179">
        <f>k.w0C.w1C</f>
        <v>2.3972602739726025E-9</v>
      </c>
      <c r="O20" s="378">
        <f>-k.w1C-SUM(O9:O19,O21:O41)</f>
        <v>-1.8877399189113635E-6</v>
      </c>
      <c r="P20" s="376">
        <v>0</v>
      </c>
      <c r="Q20" s="179">
        <f>k.sd1C.w1C</f>
        <v>7.1814583973920701E-8</v>
      </c>
      <c r="R20" s="376">
        <v>0</v>
      </c>
      <c r="S20" s="179">
        <f>k.s1C.w1C</f>
        <v>5.5696901203386607E-9</v>
      </c>
      <c r="T20" s="179">
        <f>k.s2C.w1C</f>
        <v>2.5345110709015009E-9</v>
      </c>
      <c r="U20" s="179">
        <f>k.s3C.w1C</f>
        <v>5.5696901203386607E-9</v>
      </c>
      <c r="V20" s="376">
        <v>0</v>
      </c>
      <c r="W20" s="376">
        <v>0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9">
        <v>0</v>
      </c>
    </row>
    <row r="21" spans="2:36" ht="12.75" customHeight="1" x14ac:dyDescent="0.3">
      <c r="B21" s="146" t="s">
        <v>2348</v>
      </c>
      <c r="C21" s="144"/>
      <c r="D21" s="376">
        <v>0</v>
      </c>
      <c r="E21" s="179">
        <v>0</v>
      </c>
      <c r="F21" s="376">
        <v>0</v>
      </c>
      <c r="G21" s="179">
        <f>k.w2R.w2C</f>
        <v>1.3698544520547928E-6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179">
        <f>k.aC.w2C</f>
        <v>2.8640577223794428E-8</v>
      </c>
      <c r="N21" s="179">
        <f>k.w0C.w2C</f>
        <v>0</v>
      </c>
      <c r="O21" s="179">
        <f>k.w1C.w2C</f>
        <v>7.26442507264425E-8</v>
      </c>
      <c r="P21" s="378">
        <f>-k.w2C-SUM(P9:P20,P22:P41)</f>
        <v>-1.4439965576576087E-7</v>
      </c>
      <c r="Q21" s="376">
        <v>0</v>
      </c>
      <c r="R21" s="179">
        <f>k.sd2C.w2C</f>
        <v>5.5398688912284135E-8</v>
      </c>
      <c r="S21" s="376">
        <v>0</v>
      </c>
      <c r="T21" s="376">
        <v>0</v>
      </c>
      <c r="U21" s="376">
        <v>0</v>
      </c>
      <c r="V21" s="376">
        <v>0</v>
      </c>
      <c r="W21" s="179">
        <f>k.w2M.w2C</f>
        <v>6.0880385458648856E-9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9">
        <v>0</v>
      </c>
    </row>
    <row r="22" spans="2:36" ht="12.75" customHeight="1" x14ac:dyDescent="0.3">
      <c r="B22" s="146" t="s">
        <v>2349</v>
      </c>
      <c r="C22" s="144"/>
      <c r="D22" s="376">
        <v>0</v>
      </c>
      <c r="E22" s="179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179">
        <v>0</v>
      </c>
      <c r="O22" s="179">
        <f>k.w1C.sd1C</f>
        <v>2.2392816971501889E-8</v>
      </c>
      <c r="P22" s="376">
        <v>0</v>
      </c>
      <c r="Q22" s="378">
        <f>-k.sd1C-SUM(Q9:Q21,Q23:Q41)</f>
        <v>-8.4354615885713471E-8</v>
      </c>
      <c r="R22" s="376">
        <v>0</v>
      </c>
      <c r="S22" s="376">
        <v>0</v>
      </c>
      <c r="T22" s="376">
        <v>0</v>
      </c>
      <c r="U22" s="376">
        <v>0</v>
      </c>
      <c r="V22" s="376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9">
        <v>0</v>
      </c>
    </row>
    <row r="23" spans="2:36" ht="12.75" customHeight="1" x14ac:dyDescent="0.3">
      <c r="B23" s="146" t="s">
        <v>2350</v>
      </c>
      <c r="C23" s="144"/>
      <c r="D23" s="376">
        <v>0</v>
      </c>
      <c r="E23" s="179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179">
        <v>0</v>
      </c>
      <c r="O23" s="376">
        <v>0</v>
      </c>
      <c r="P23" s="179">
        <f>k.w2C.sd2C</f>
        <v>2.2488425896972215E-10</v>
      </c>
      <c r="Q23" s="376">
        <v>0</v>
      </c>
      <c r="R23" s="378">
        <f>-k.sd2C-SUM(R9:R22,R24:R41)</f>
        <v>-6.5064492428923341E-8</v>
      </c>
      <c r="S23" s="376">
        <v>0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9">
        <v>0</v>
      </c>
    </row>
    <row r="24" spans="2:36" ht="12.75" customHeight="1" x14ac:dyDescent="0.3">
      <c r="B24" s="146" t="s">
        <v>2351</v>
      </c>
      <c r="C24" s="144"/>
      <c r="D24" s="376">
        <v>0</v>
      </c>
      <c r="E24" s="179">
        <v>0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179">
        <f>k.aC.s1C</f>
        <v>1.853604563279448E-10</v>
      </c>
      <c r="N24" s="179">
        <v>0</v>
      </c>
      <c r="O24" s="376">
        <v>0</v>
      </c>
      <c r="P24" s="376">
        <v>0</v>
      </c>
      <c r="Q24" s="376">
        <v>0</v>
      </c>
      <c r="R24" s="376">
        <v>0</v>
      </c>
      <c r="S24" s="378">
        <f>-k.s1C-SUM(S9:S23,S25:S41)</f>
        <v>-1.5989553967171847E-7</v>
      </c>
      <c r="T24" s="376">
        <v>0</v>
      </c>
      <c r="U24" s="376">
        <v>0</v>
      </c>
      <c r="V24" s="376">
        <v>0</v>
      </c>
      <c r="W24" s="376">
        <v>0</v>
      </c>
      <c r="X24" s="376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9">
        <v>0</v>
      </c>
    </row>
    <row r="25" spans="2:36" ht="12.75" customHeight="1" x14ac:dyDescent="0.3">
      <c r="B25" s="146" t="s">
        <v>2352</v>
      </c>
      <c r="C25" s="144"/>
      <c r="D25" s="376">
        <v>0</v>
      </c>
      <c r="E25" s="179">
        <v>0</v>
      </c>
      <c r="F25" s="376">
        <v>0</v>
      </c>
      <c r="G25" s="376">
        <v>0</v>
      </c>
      <c r="H25" s="376">
        <v>0</v>
      </c>
      <c r="I25" s="376">
        <v>0</v>
      </c>
      <c r="J25" s="376">
        <v>0</v>
      </c>
      <c r="K25" s="376">
        <v>0</v>
      </c>
      <c r="L25" s="376">
        <v>0</v>
      </c>
      <c r="M25" s="179">
        <f>k.aC.s2C</f>
        <v>4.1191212517321062E-10</v>
      </c>
      <c r="N25" s="179">
        <v>0</v>
      </c>
      <c r="O25" s="376">
        <v>0</v>
      </c>
      <c r="P25" s="376">
        <v>0</v>
      </c>
      <c r="Q25" s="376">
        <v>0</v>
      </c>
      <c r="R25" s="376">
        <v>0</v>
      </c>
      <c r="S25" s="376">
        <v>0</v>
      </c>
      <c r="T25" s="378">
        <f>-k.s2C-SUM(T9:T24,T26:T41)</f>
        <v>-9.6442034797408584E-8</v>
      </c>
      <c r="U25" s="376">
        <v>0</v>
      </c>
      <c r="V25" s="376">
        <v>0</v>
      </c>
      <c r="W25" s="376">
        <v>0</v>
      </c>
      <c r="X25" s="376">
        <v>0</v>
      </c>
      <c r="Y25" s="376">
        <v>0</v>
      </c>
      <c r="Z25" s="376">
        <v>0</v>
      </c>
      <c r="AA25" s="376">
        <v>0</v>
      </c>
      <c r="AB25" s="376">
        <v>0</v>
      </c>
      <c r="AC25" s="376">
        <v>0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0</v>
      </c>
      <c r="AJ25" s="379">
        <v>0</v>
      </c>
    </row>
    <row r="26" spans="2:36" ht="12.75" customHeight="1" x14ac:dyDescent="0.3">
      <c r="B26" s="146" t="s">
        <v>2353</v>
      </c>
      <c r="C26" s="144"/>
      <c r="D26" s="376">
        <v>0</v>
      </c>
      <c r="E26" s="179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179">
        <f>k.aC.s3C</f>
        <v>6.8652020862201779E-11</v>
      </c>
      <c r="N26" s="179">
        <v>0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8">
        <f>-k.s3C-SUM(U9:U25,U27:U41)</f>
        <v>-1.5989553967171847E-7</v>
      </c>
      <c r="V26" s="376">
        <v>0</v>
      </c>
      <c r="W26" s="376">
        <v>0</v>
      </c>
      <c r="X26" s="376">
        <v>0</v>
      </c>
      <c r="Y26" s="376">
        <v>0</v>
      </c>
      <c r="Z26" s="376">
        <v>0</v>
      </c>
      <c r="AA26" s="376">
        <v>0</v>
      </c>
      <c r="AB26" s="376">
        <v>0</v>
      </c>
      <c r="AC26" s="376">
        <v>0</v>
      </c>
      <c r="AD26" s="376">
        <v>0</v>
      </c>
      <c r="AE26" s="376">
        <v>0</v>
      </c>
      <c r="AF26" s="376">
        <v>0</v>
      </c>
      <c r="AG26" s="376">
        <v>0</v>
      </c>
      <c r="AH26" s="376">
        <v>0</v>
      </c>
      <c r="AI26" s="376">
        <v>0</v>
      </c>
      <c r="AJ26" s="379">
        <v>0</v>
      </c>
    </row>
    <row r="27" spans="2:36" ht="12.75" customHeight="1" x14ac:dyDescent="0.3">
      <c r="B27" s="146" t="s">
        <v>2354</v>
      </c>
      <c r="C27" s="144"/>
      <c r="D27" s="376">
        <v>0</v>
      </c>
      <c r="E27" s="179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179">
        <f>k.aC.aM</f>
        <v>1.3648730842080118E-6</v>
      </c>
      <c r="N27" s="179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8">
        <f>-k.aM-SUM(V9:V26,V28:V41)</f>
        <v>-1.4161363306020513E-6</v>
      </c>
      <c r="W27" s="179">
        <f>k.w2M.aM</f>
        <v>5.1216692794123989E-8</v>
      </c>
      <c r="X27" s="376">
        <v>0</v>
      </c>
      <c r="Y27" s="376">
        <v>0</v>
      </c>
      <c r="Z27" s="179">
        <f>k.sM.aM</f>
        <v>1.103232338463208E-7</v>
      </c>
      <c r="AA27" s="179">
        <f>k.aA.aM</f>
        <v>6.9234185224561193E-7</v>
      </c>
      <c r="AB27" s="376">
        <v>0</v>
      </c>
      <c r="AC27" s="376">
        <v>0</v>
      </c>
      <c r="AD27" s="376">
        <v>0</v>
      </c>
      <c r="AE27" s="376">
        <v>0</v>
      </c>
      <c r="AF27" s="179">
        <f>k.aT.aM</f>
        <v>3.9972375476524815E-7</v>
      </c>
      <c r="AG27" s="376">
        <v>0</v>
      </c>
      <c r="AH27" s="376">
        <v>0</v>
      </c>
      <c r="AI27" s="376">
        <v>0</v>
      </c>
      <c r="AJ27" s="379">
        <v>0</v>
      </c>
    </row>
    <row r="28" spans="2:36" ht="12.75" customHeight="1" x14ac:dyDescent="0.3">
      <c r="B28" s="147" t="s">
        <v>2355</v>
      </c>
      <c r="C28" s="144"/>
      <c r="D28" s="376">
        <v>0</v>
      </c>
      <c r="E28" s="179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179">
        <v>0</v>
      </c>
      <c r="O28" s="376">
        <v>0</v>
      </c>
      <c r="P28" s="179">
        <f>k.w2C.w2M</f>
        <v>3.1691352252393321E-8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179">
        <f>k.aM.w2M</f>
        <v>2.864057732302815E-8</v>
      </c>
      <c r="W28" s="378">
        <f>-k.w2M-SUM(W9:W27,W29:W41)</f>
        <v>-4.3217882293129384E-7</v>
      </c>
      <c r="X28" s="376">
        <f>k.w3M.w2M</f>
        <v>8.3075554154985618E-9</v>
      </c>
      <c r="Y28" s="179">
        <v>0</v>
      </c>
      <c r="Z28" s="179">
        <f>k.sM.w2M</f>
        <v>6.0760255858239929E-9</v>
      </c>
      <c r="AA28" s="376">
        <v>0</v>
      </c>
      <c r="AB28" s="179">
        <f>k.w2A.w2M</f>
        <v>0</v>
      </c>
      <c r="AC28" s="376">
        <v>0</v>
      </c>
      <c r="AD28" s="376">
        <v>0</v>
      </c>
      <c r="AE28" s="376">
        <v>0</v>
      </c>
      <c r="AF28" s="376">
        <v>0</v>
      </c>
      <c r="AG28" s="179">
        <f>k.w2T.w2M</f>
        <v>1.6806722689075633E-8</v>
      </c>
      <c r="AH28" s="376">
        <v>0</v>
      </c>
      <c r="AI28" s="376">
        <v>0</v>
      </c>
      <c r="AJ28" s="379">
        <v>0</v>
      </c>
    </row>
    <row r="29" spans="2:36" ht="12.75" customHeight="1" x14ac:dyDescent="0.3">
      <c r="B29" s="147" t="s">
        <v>2356</v>
      </c>
      <c r="C29" s="144"/>
      <c r="D29" s="376">
        <v>0</v>
      </c>
      <c r="E29" s="179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179">
        <v>0</v>
      </c>
      <c r="O29" s="376">
        <v>0</v>
      </c>
      <c r="P29" s="376">
        <v>0</v>
      </c>
      <c r="Q29" s="376">
        <v>0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f>k.w2M.w3M</f>
        <v>2.4922666246495685E-7</v>
      </c>
      <c r="X29" s="378">
        <f>-k.w3M-SUM(X9:X28,X30:X41)</f>
        <v>-9.6473989866106442E-8</v>
      </c>
      <c r="Y29" s="376">
        <f>k.sdM.w3M</f>
        <v>5.5395704977969484E-8</v>
      </c>
      <c r="Z29" s="376">
        <v>0</v>
      </c>
      <c r="AA29" s="376">
        <v>0</v>
      </c>
      <c r="AB29" s="376">
        <v>0</v>
      </c>
      <c r="AC29" s="376">
        <f>k.w3A.w3M</f>
        <v>1.9607843137254903E-9</v>
      </c>
      <c r="AD29" s="376">
        <v>0</v>
      </c>
      <c r="AE29" s="376">
        <v>0</v>
      </c>
      <c r="AF29" s="376">
        <v>0</v>
      </c>
      <c r="AG29" s="376">
        <v>0</v>
      </c>
      <c r="AH29" s="376">
        <f>k.w3T.w3M</f>
        <v>0</v>
      </c>
      <c r="AI29" s="376">
        <v>0</v>
      </c>
      <c r="AJ29" s="379">
        <v>0</v>
      </c>
    </row>
    <row r="30" spans="2:36" ht="12.75" customHeight="1" x14ac:dyDescent="0.3">
      <c r="B30" s="146" t="s">
        <v>2357</v>
      </c>
      <c r="C30" s="144"/>
      <c r="D30" s="376">
        <v>0</v>
      </c>
      <c r="E30" s="179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179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179">
        <v>0</v>
      </c>
      <c r="X30" s="376">
        <f>k.w3M.sdM</f>
        <v>1.4992283931314811E-11</v>
      </c>
      <c r="Y30" s="378">
        <f>-k.sdM-SUM(Y9:Y29,Y31:Y41)</f>
        <v>-6.5064492428923341E-8</v>
      </c>
      <c r="Z30" s="376">
        <v>0</v>
      </c>
      <c r="AA30" s="376">
        <v>0</v>
      </c>
      <c r="AB30" s="376">
        <v>0</v>
      </c>
      <c r="AC30" s="376">
        <v>0</v>
      </c>
      <c r="AD30" s="376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9">
        <v>0</v>
      </c>
    </row>
    <row r="31" spans="2:36" ht="12.75" customHeight="1" x14ac:dyDescent="0.3">
      <c r="B31" s="147" t="s">
        <v>2358</v>
      </c>
      <c r="C31" s="144"/>
      <c r="D31" s="376">
        <v>0</v>
      </c>
      <c r="E31" s="179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179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</v>
      </c>
      <c r="U31" s="376">
        <v>0</v>
      </c>
      <c r="V31" s="179">
        <f>k.aM.sM</f>
        <v>6.8652030785573915E-10</v>
      </c>
      <c r="W31" s="376">
        <v>0</v>
      </c>
      <c r="X31" s="376">
        <v>0</v>
      </c>
      <c r="Y31" s="376">
        <v>0</v>
      </c>
      <c r="Z31" s="378">
        <f>-k.sM-SUM(Z9:Z30,Z32:Z41)</f>
        <v>-1.5989553967171847E-7</v>
      </c>
      <c r="AA31" s="376">
        <v>0</v>
      </c>
      <c r="AB31" s="376">
        <v>0</v>
      </c>
      <c r="AC31" s="376">
        <v>0</v>
      </c>
      <c r="AD31" s="376">
        <v>0</v>
      </c>
      <c r="AE31" s="376">
        <v>0</v>
      </c>
      <c r="AF31" s="376">
        <v>0</v>
      </c>
      <c r="AG31" s="376">
        <v>0</v>
      </c>
      <c r="AH31" s="376">
        <v>0</v>
      </c>
      <c r="AI31" s="376">
        <v>0</v>
      </c>
      <c r="AJ31" s="379">
        <v>0</v>
      </c>
    </row>
    <row r="32" spans="2:36" ht="12.75" customHeight="1" x14ac:dyDescent="0.3">
      <c r="B32" s="146" t="s">
        <v>2359</v>
      </c>
      <c r="C32" s="144"/>
      <c r="D32" s="376">
        <v>0</v>
      </c>
      <c r="E32" s="179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179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</v>
      </c>
      <c r="V32" s="179">
        <f>k.aM.aA</f>
        <v>3.8044887765380768E-7</v>
      </c>
      <c r="W32" s="376">
        <v>0</v>
      </c>
      <c r="X32" s="376">
        <v>0</v>
      </c>
      <c r="Y32" s="376">
        <v>0</v>
      </c>
      <c r="Z32" s="376">
        <v>0</v>
      </c>
      <c r="AA32" s="378">
        <f>-k.aA-SUM(AA9:AA31,AA33:AA41)</f>
        <v>-9.8640199103508274E-7</v>
      </c>
      <c r="AB32" s="179">
        <f>k.w2A.aA</f>
        <v>4.9697298026139259E-8</v>
      </c>
      <c r="AC32" s="376">
        <v>0</v>
      </c>
      <c r="AD32" s="376">
        <v>0</v>
      </c>
      <c r="AE32" s="179">
        <f>k.sA.aA</f>
        <v>2.4017280424639986E-8</v>
      </c>
      <c r="AF32" s="376">
        <v>0</v>
      </c>
      <c r="AG32" s="376">
        <v>0</v>
      </c>
      <c r="AH32" s="376">
        <v>0</v>
      </c>
      <c r="AI32" s="376">
        <v>0</v>
      </c>
      <c r="AJ32" s="379">
        <v>0</v>
      </c>
    </row>
    <row r="33" spans="1:36" ht="12.75" customHeight="1" x14ac:dyDescent="0.3">
      <c r="B33" s="147" t="s">
        <v>2360</v>
      </c>
      <c r="C33" s="144"/>
      <c r="D33" s="376">
        <v>0</v>
      </c>
      <c r="E33" s="179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179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179">
        <f>k.w2M.w2A</f>
        <v>3.8788952027246392E-8</v>
      </c>
      <c r="X33" s="376">
        <v>0</v>
      </c>
      <c r="Y33" s="376">
        <v>0</v>
      </c>
      <c r="Z33" s="376">
        <v>0</v>
      </c>
      <c r="AA33" s="179">
        <f>k.aA.w2A</f>
        <v>1.1265617780280159E-7</v>
      </c>
      <c r="AB33" s="378">
        <f>-k.w2A-SUM(AB9:AB32,AB34:AB41)</f>
        <v>-3.3786221191703097E-7</v>
      </c>
      <c r="AC33" s="376">
        <f>k.w3A.w2A</f>
        <v>8.9753746616491718E-9</v>
      </c>
      <c r="AD33" s="179">
        <v>0</v>
      </c>
      <c r="AE33" s="179">
        <f>k.sA.w2A</f>
        <v>2.1867268711244373E-9</v>
      </c>
      <c r="AF33" s="376">
        <v>0</v>
      </c>
      <c r="AG33" s="376">
        <v>0</v>
      </c>
      <c r="AH33" s="376">
        <v>0</v>
      </c>
      <c r="AI33" s="376">
        <v>0</v>
      </c>
      <c r="AJ33" s="379">
        <v>0</v>
      </c>
    </row>
    <row r="34" spans="1:36" ht="12.75" customHeight="1" x14ac:dyDescent="0.3">
      <c r="B34" s="147" t="s">
        <v>2361</v>
      </c>
      <c r="C34" s="144"/>
      <c r="D34" s="376">
        <v>0</v>
      </c>
      <c r="E34" s="179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</v>
      </c>
      <c r="M34" s="376">
        <v>0</v>
      </c>
      <c r="N34" s="179">
        <v>0</v>
      </c>
      <c r="O34" s="376">
        <v>0</v>
      </c>
      <c r="P34" s="376">
        <v>0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6">
        <v>0</v>
      </c>
      <c r="X34" s="376">
        <f>k.w3M.w3A</f>
        <v>0</v>
      </c>
      <c r="Y34" s="376">
        <v>0</v>
      </c>
      <c r="Z34" s="376">
        <v>0</v>
      </c>
      <c r="AA34" s="376">
        <v>0</v>
      </c>
      <c r="AB34" s="376">
        <f>k.w2A.w3A</f>
        <v>2.6926123984947511E-7</v>
      </c>
      <c r="AC34" s="378">
        <f>-k.w3A-SUM(AC9:AC33,AC35:AC41)</f>
        <v>-2.9854825300722596E-8</v>
      </c>
      <c r="AD34" s="376">
        <f>k.sdA.w3A</f>
        <v>5.5396574926151886E-8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9">
        <v>0</v>
      </c>
    </row>
    <row r="35" spans="1:36" ht="12.75" customHeight="1" x14ac:dyDescent="0.3">
      <c r="B35" s="146" t="s">
        <v>2362</v>
      </c>
      <c r="C35" s="144"/>
      <c r="D35" s="376">
        <v>0</v>
      </c>
      <c r="E35" s="179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0</v>
      </c>
      <c r="M35" s="376">
        <v>0</v>
      </c>
      <c r="N35" s="179">
        <v>0</v>
      </c>
      <c r="O35" s="376">
        <v>0</v>
      </c>
      <c r="P35" s="376">
        <v>0</v>
      </c>
      <c r="Q35" s="376">
        <v>0</v>
      </c>
      <c r="R35" s="376">
        <v>0</v>
      </c>
      <c r="S35" s="376">
        <v>0</v>
      </c>
      <c r="T35" s="376">
        <v>0</v>
      </c>
      <c r="U35" s="376">
        <v>0</v>
      </c>
      <c r="V35" s="376">
        <v>0</v>
      </c>
      <c r="W35" s="376">
        <v>0</v>
      </c>
      <c r="X35" s="376">
        <v>0</v>
      </c>
      <c r="Y35" s="376">
        <v>0</v>
      </c>
      <c r="Z35" s="376">
        <v>0</v>
      </c>
      <c r="AA35" s="376">
        <v>0</v>
      </c>
      <c r="AB35" s="179">
        <v>0</v>
      </c>
      <c r="AC35" s="376">
        <f>k.w3A.sdA</f>
        <v>1.4992283931314811E-11</v>
      </c>
      <c r="AD35" s="378">
        <f>-k.sdA-SUM(AD9:AD34,AD36:AD41)</f>
        <v>-5.7502331586314119E-8</v>
      </c>
      <c r="AE35" s="376">
        <v>0</v>
      </c>
      <c r="AF35" s="376">
        <v>0</v>
      </c>
      <c r="AG35" s="376">
        <v>0</v>
      </c>
      <c r="AH35" s="376">
        <v>0</v>
      </c>
      <c r="AI35" s="376">
        <v>0</v>
      </c>
      <c r="AJ35" s="379">
        <v>0</v>
      </c>
    </row>
    <row r="36" spans="1:36" ht="12.75" customHeight="1" x14ac:dyDescent="0.3">
      <c r="B36" s="147" t="s">
        <v>2363</v>
      </c>
      <c r="C36" s="144"/>
      <c r="D36" s="376">
        <v>0</v>
      </c>
      <c r="E36" s="179">
        <v>0</v>
      </c>
      <c r="F36" s="376">
        <v>0</v>
      </c>
      <c r="G36" s="376">
        <v>0</v>
      </c>
      <c r="H36" s="376">
        <v>0</v>
      </c>
      <c r="I36" s="376">
        <v>0</v>
      </c>
      <c r="J36" s="376">
        <v>0</v>
      </c>
      <c r="K36" s="376">
        <v>0</v>
      </c>
      <c r="L36" s="376">
        <v>0</v>
      </c>
      <c r="M36" s="376">
        <v>0</v>
      </c>
      <c r="N36" s="179">
        <v>0</v>
      </c>
      <c r="O36" s="376">
        <v>0</v>
      </c>
      <c r="P36" s="376">
        <v>0</v>
      </c>
      <c r="Q36" s="376">
        <v>0</v>
      </c>
      <c r="R36" s="376">
        <v>0</v>
      </c>
      <c r="S36" s="376">
        <v>0</v>
      </c>
      <c r="T36" s="376">
        <v>0</v>
      </c>
      <c r="U36" s="376">
        <v>0</v>
      </c>
      <c r="V36" s="376">
        <v>0</v>
      </c>
      <c r="W36" s="376">
        <v>0</v>
      </c>
      <c r="X36" s="376">
        <v>0</v>
      </c>
      <c r="Y36" s="376">
        <v>0</v>
      </c>
      <c r="Z36" s="376">
        <v>0</v>
      </c>
      <c r="AA36" s="179">
        <f>k.aA.sA</f>
        <v>4.5147475223446605E-10</v>
      </c>
      <c r="AB36" s="376">
        <v>0</v>
      </c>
      <c r="AC36" s="376">
        <v>0</v>
      </c>
      <c r="AD36" s="376">
        <v>0</v>
      </c>
      <c r="AE36" s="378">
        <f>-k.sA-SUM(AE9:AE35,AE37:AE41)</f>
        <v>-3.5676131640046325E-8</v>
      </c>
      <c r="AF36" s="376">
        <v>0</v>
      </c>
      <c r="AG36" s="376">
        <v>0</v>
      </c>
      <c r="AH36" s="376">
        <v>0</v>
      </c>
      <c r="AI36" s="376">
        <v>0</v>
      </c>
      <c r="AJ36" s="379">
        <v>0</v>
      </c>
    </row>
    <row r="37" spans="1:36" ht="12.75" customHeight="1" x14ac:dyDescent="0.3">
      <c r="B37" s="146" t="s">
        <v>2364</v>
      </c>
      <c r="C37" s="144"/>
      <c r="D37" s="376">
        <v>0</v>
      </c>
      <c r="E37" s="179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179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179">
        <f>k.aM.aT</f>
        <v>6.5895678577895056E-7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8">
        <f>-k.aT-SUM(AF9:AF36,AF38:AF41)</f>
        <v>-6.620911684961753E-7</v>
      </c>
      <c r="AG37" s="179">
        <f>k.w2T.aT</f>
        <v>5.1526365085130869E-8</v>
      </c>
      <c r="AH37" s="376">
        <v>0</v>
      </c>
      <c r="AI37" s="376">
        <v>0</v>
      </c>
      <c r="AJ37" s="380">
        <f>k.sT.aT</f>
        <v>2.7155790041888986E-7</v>
      </c>
    </row>
    <row r="38" spans="1:36" ht="12.75" customHeight="1" x14ac:dyDescent="0.3">
      <c r="B38" s="147" t="s">
        <v>2365</v>
      </c>
      <c r="C38" s="144"/>
      <c r="D38" s="376">
        <v>0</v>
      </c>
      <c r="E38" s="179">
        <v>0</v>
      </c>
      <c r="F38" s="376">
        <v>0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0</v>
      </c>
      <c r="M38" s="376">
        <v>0</v>
      </c>
      <c r="N38" s="179">
        <v>0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179">
        <f>k.w2M.w2T</f>
        <v>0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6">
        <v>0</v>
      </c>
      <c r="AF38" s="179">
        <f>k.aT.w2T</f>
        <v>2.1486454213464019E-8</v>
      </c>
      <c r="AG38" s="378">
        <f>-k.w2T-SUM(AG9:AG37,AG39:AG41)</f>
        <v>-5.094481785654053E-7</v>
      </c>
      <c r="AH38" s="376">
        <f>k.w3T.w2T</f>
        <v>7.5748144375595357E-9</v>
      </c>
      <c r="AI38" s="179">
        <v>0</v>
      </c>
      <c r="AJ38" s="380">
        <f>k.sT.w2T</f>
        <v>1.1255665341427853E-8</v>
      </c>
    </row>
    <row r="39" spans="1:36" ht="12.75" customHeight="1" x14ac:dyDescent="0.3">
      <c r="B39" s="147" t="s">
        <v>2366</v>
      </c>
      <c r="C39" s="144"/>
      <c r="D39" s="376">
        <v>0</v>
      </c>
      <c r="E39" s="179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179">
        <v>0</v>
      </c>
      <c r="O39" s="376">
        <v>0</v>
      </c>
      <c r="P39" s="376">
        <v>0</v>
      </c>
      <c r="Q39" s="376">
        <v>0</v>
      </c>
      <c r="R39" s="376">
        <v>0</v>
      </c>
      <c r="S39" s="376">
        <v>0</v>
      </c>
      <c r="T39" s="376">
        <v>0</v>
      </c>
      <c r="U39" s="376">
        <v>0</v>
      </c>
      <c r="V39" s="376">
        <v>0</v>
      </c>
      <c r="W39" s="376">
        <v>0</v>
      </c>
      <c r="X39" s="376">
        <f>k.w3M.w3T</f>
        <v>1.2929650675748798E-9</v>
      </c>
      <c r="Y39" s="376">
        <v>0</v>
      </c>
      <c r="Z39" s="376">
        <v>0</v>
      </c>
      <c r="AA39" s="376">
        <v>0</v>
      </c>
      <c r="AB39" s="376">
        <v>0</v>
      </c>
      <c r="AC39" s="376">
        <v>0</v>
      </c>
      <c r="AD39" s="376">
        <v>0</v>
      </c>
      <c r="AE39" s="376">
        <v>0</v>
      </c>
      <c r="AF39" s="376">
        <v>0</v>
      </c>
      <c r="AG39" s="376">
        <f>k.w2T.w3T</f>
        <v>2.2724443312678606E-7</v>
      </c>
      <c r="AH39" s="378">
        <f>-k.w3T-SUM(AH9:AH38,AH40:AH41)</f>
        <v>-2.2146046438590362E-7</v>
      </c>
      <c r="AI39" s="376">
        <f>k.sdT.w3T</f>
        <v>5.5396574926151886E-8</v>
      </c>
      <c r="AJ39" s="379">
        <v>0</v>
      </c>
    </row>
    <row r="40" spans="1:36" ht="12.75" customHeight="1" x14ac:dyDescent="0.3">
      <c r="B40" s="146" t="s">
        <v>2367</v>
      </c>
      <c r="C40" s="144"/>
      <c r="D40" s="376">
        <v>0</v>
      </c>
      <c r="E40" s="179">
        <v>0</v>
      </c>
      <c r="F40" s="376">
        <v>0</v>
      </c>
      <c r="G40" s="376">
        <v>0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179">
        <v>0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76">
        <v>0</v>
      </c>
      <c r="Z40" s="376">
        <v>0</v>
      </c>
      <c r="AA40" s="376">
        <v>0</v>
      </c>
      <c r="AB40" s="376">
        <v>0</v>
      </c>
      <c r="AC40" s="376">
        <v>0</v>
      </c>
      <c r="AD40" s="376">
        <v>0</v>
      </c>
      <c r="AE40" s="376">
        <v>0</v>
      </c>
      <c r="AF40" s="376">
        <v>0</v>
      </c>
      <c r="AG40" s="179">
        <v>0</v>
      </c>
      <c r="AH40" s="376">
        <f>k.w3T.sdT</f>
        <v>1.4992283931314811E-11</v>
      </c>
      <c r="AI40" s="378">
        <f>-k.sdT-SUM(AI9:AI39,AI41)</f>
        <v>-7.919868891228413E-8</v>
      </c>
      <c r="AJ40" s="379">
        <v>0</v>
      </c>
    </row>
    <row r="41" spans="1:36" ht="12.75" customHeight="1" x14ac:dyDescent="0.3">
      <c r="B41" s="148" t="s">
        <v>2368</v>
      </c>
      <c r="C41" s="142"/>
      <c r="D41" s="372">
        <v>0</v>
      </c>
      <c r="E41" s="372">
        <v>0</v>
      </c>
      <c r="F41" s="373">
        <v>0</v>
      </c>
      <c r="G41" s="373">
        <v>0</v>
      </c>
      <c r="H41" s="373">
        <v>0</v>
      </c>
      <c r="I41" s="373">
        <v>0</v>
      </c>
      <c r="J41" s="373">
        <v>0</v>
      </c>
      <c r="K41" s="373">
        <v>0</v>
      </c>
      <c r="L41" s="373">
        <v>0</v>
      </c>
      <c r="M41" s="373">
        <v>0</v>
      </c>
      <c r="N41" s="372">
        <v>0</v>
      </c>
      <c r="O41" s="373">
        <v>0</v>
      </c>
      <c r="P41" s="373">
        <v>0</v>
      </c>
      <c r="Q41" s="373">
        <v>0</v>
      </c>
      <c r="R41" s="373">
        <v>0</v>
      </c>
      <c r="S41" s="373">
        <v>0</v>
      </c>
      <c r="T41" s="373">
        <v>0</v>
      </c>
      <c r="U41" s="373">
        <v>0</v>
      </c>
      <c r="V41" s="373">
        <v>0</v>
      </c>
      <c r="W41" s="373">
        <v>0</v>
      </c>
      <c r="X41" s="373">
        <v>0</v>
      </c>
      <c r="Y41" s="373">
        <v>0</v>
      </c>
      <c r="Z41" s="373">
        <v>0</v>
      </c>
      <c r="AA41" s="373">
        <v>0</v>
      </c>
      <c r="AB41" s="373">
        <v>0</v>
      </c>
      <c r="AC41" s="373">
        <v>0</v>
      </c>
      <c r="AD41" s="373">
        <v>0</v>
      </c>
      <c r="AE41" s="373">
        <v>0</v>
      </c>
      <c r="AF41" s="372">
        <f>k.aT.sT</f>
        <v>5.1464208392854672E-10</v>
      </c>
      <c r="AG41" s="373">
        <v>0</v>
      </c>
      <c r="AH41" s="373">
        <v>0</v>
      </c>
      <c r="AI41" s="373">
        <v>0</v>
      </c>
      <c r="AJ41" s="381">
        <f>-k.sT-SUM(AJ9:AJ40)</f>
        <v>-3.8988924293298044E-7</v>
      </c>
    </row>
    <row r="42" spans="1:36" ht="12.75" customHeight="1" x14ac:dyDescent="0.3">
      <c r="B42" s="143"/>
      <c r="C42" s="144"/>
      <c r="D42" s="376"/>
      <c r="F42" s="179"/>
      <c r="G42" s="376"/>
      <c r="H42" s="376"/>
      <c r="I42" s="376"/>
      <c r="J42" s="376"/>
      <c r="K42" s="376"/>
      <c r="L42" s="376"/>
      <c r="M42" s="179"/>
      <c r="O42" s="376"/>
      <c r="P42" s="376"/>
      <c r="Q42" s="376"/>
      <c r="R42" s="376"/>
      <c r="S42" s="376"/>
      <c r="T42" s="376"/>
      <c r="U42" s="376"/>
      <c r="V42" s="376"/>
      <c r="W42" s="376"/>
      <c r="Y42" s="376"/>
      <c r="Z42" s="376"/>
      <c r="AA42" s="376"/>
      <c r="AB42" s="376"/>
      <c r="AD42" s="376"/>
      <c r="AE42" s="376"/>
      <c r="AF42" s="179"/>
      <c r="AG42" s="376"/>
      <c r="AI42" s="376"/>
      <c r="AJ42" s="376"/>
    </row>
    <row r="43" spans="1:36" s="219" customFormat="1" ht="12.75" customHeight="1" x14ac:dyDescent="0.3">
      <c r="A43" s="218"/>
      <c r="B43" s="218"/>
      <c r="C43" s="218"/>
      <c r="D43" s="179"/>
      <c r="F43" s="220"/>
      <c r="G43" s="8"/>
      <c r="H43" s="8"/>
      <c r="I43" s="8"/>
      <c r="J43" s="179"/>
      <c r="K43" s="179"/>
      <c r="L43" s="179"/>
      <c r="O43" s="179"/>
      <c r="P43" s="179"/>
      <c r="Q43" s="179"/>
      <c r="R43" s="179"/>
      <c r="S43" s="179"/>
      <c r="T43" s="179"/>
      <c r="U43" s="179"/>
      <c r="W43" s="179"/>
      <c r="Y43" s="8"/>
      <c r="Z43" s="8"/>
      <c r="AA43" s="8"/>
      <c r="AD43" s="179"/>
      <c r="AE43" s="179"/>
      <c r="AF43" s="179"/>
      <c r="AG43" s="179"/>
      <c r="AJ43" s="8"/>
    </row>
    <row r="44" spans="1:36" ht="12.75" customHeight="1" x14ac:dyDescent="0.3">
      <c r="B44" s="251" t="s">
        <v>1462</v>
      </c>
      <c r="C44" s="139"/>
      <c r="D44" s="368" t="s">
        <v>1312</v>
      </c>
      <c r="E44" s="368" t="s">
        <v>278</v>
      </c>
      <c r="F44" s="368" t="s">
        <v>1313</v>
      </c>
      <c r="G44" s="368" t="s">
        <v>1314</v>
      </c>
      <c r="H44" s="368" t="s">
        <v>1315</v>
      </c>
      <c r="I44" s="368" t="s">
        <v>1316</v>
      </c>
      <c r="J44" s="368" t="s">
        <v>1317</v>
      </c>
      <c r="K44" s="368" t="s">
        <v>1318</v>
      </c>
      <c r="L44" s="368" t="s">
        <v>1319</v>
      </c>
      <c r="M44" s="368" t="s">
        <v>519</v>
      </c>
      <c r="N44" s="368" t="s">
        <v>279</v>
      </c>
      <c r="O44" s="368" t="s">
        <v>1320</v>
      </c>
      <c r="P44" s="368" t="s">
        <v>1321</v>
      </c>
      <c r="Q44" s="368" t="s">
        <v>1322</v>
      </c>
      <c r="R44" s="368" t="s">
        <v>1323</v>
      </c>
      <c r="S44" s="368" t="s">
        <v>1324</v>
      </c>
      <c r="T44" s="368" t="s">
        <v>1325</v>
      </c>
      <c r="U44" s="368" t="s">
        <v>518</v>
      </c>
      <c r="V44" s="368" t="s">
        <v>520</v>
      </c>
      <c r="W44" s="368" t="s">
        <v>1478</v>
      </c>
      <c r="X44" s="368" t="s">
        <v>1479</v>
      </c>
      <c r="Y44" s="368" t="s">
        <v>521</v>
      </c>
      <c r="Z44" s="368" t="s">
        <v>526</v>
      </c>
      <c r="AA44" s="368" t="s">
        <v>522</v>
      </c>
      <c r="AB44" s="368" t="s">
        <v>1480</v>
      </c>
      <c r="AC44" s="368" t="s">
        <v>1481</v>
      </c>
      <c r="AD44" s="368" t="s">
        <v>523</v>
      </c>
      <c r="AE44" s="368" t="s">
        <v>527</v>
      </c>
      <c r="AF44" s="368" t="s">
        <v>524</v>
      </c>
      <c r="AG44" s="368" t="s">
        <v>1482</v>
      </c>
      <c r="AH44" s="368" t="s">
        <v>1483</v>
      </c>
      <c r="AI44" s="368" t="s">
        <v>525</v>
      </c>
      <c r="AJ44" s="369" t="s">
        <v>528</v>
      </c>
    </row>
    <row r="45" spans="1:36" ht="12.75" customHeight="1" x14ac:dyDescent="0.3">
      <c r="B45" s="233" t="s">
        <v>1364</v>
      </c>
      <c r="C45" s="391">
        <f>SUM(D45:AJ45)</f>
        <v>62773476.142387696</v>
      </c>
      <c r="D45" s="370">
        <f t="array" ref="D45:AJ45">TRANSPOSE(MMULT(MINVERSE(D9:AJ41),-TRANSPOSE(D5:AJ5)))</f>
        <v>667651.06849922077</v>
      </c>
      <c r="E45" s="370">
        <v>37369.541760426218</v>
      </c>
      <c r="F45" s="370">
        <v>1185317.6262797334</v>
      </c>
      <c r="G45" s="370">
        <v>43812.198826802509</v>
      </c>
      <c r="H45" s="370">
        <v>314654.9881080364</v>
      </c>
      <c r="I45" s="370">
        <v>3028.5870216424737</v>
      </c>
      <c r="J45" s="370">
        <v>1541.2160774373965</v>
      </c>
      <c r="K45" s="370">
        <v>22372779.059265718</v>
      </c>
      <c r="L45" s="370">
        <v>570.82076942125775</v>
      </c>
      <c r="M45" s="370">
        <v>3809714.2542672427</v>
      </c>
      <c r="N45" s="370">
        <v>1989.7107070472816</v>
      </c>
      <c r="O45" s="370">
        <v>1648.3920136322045</v>
      </c>
      <c r="P45" s="370">
        <v>1199025.559628234</v>
      </c>
      <c r="Q45" s="370">
        <v>437.58293806424581</v>
      </c>
      <c r="R45" s="370">
        <v>4144.2262038286035</v>
      </c>
      <c r="S45" s="370">
        <v>4416.4482267603616</v>
      </c>
      <c r="T45" s="370">
        <v>16271.613286409631</v>
      </c>
      <c r="U45" s="370">
        <v>1635.7215654668003</v>
      </c>
      <c r="V45" s="370">
        <v>7042939.0478565656</v>
      </c>
      <c r="W45" s="370">
        <v>601309.63675219798</v>
      </c>
      <c r="X45" s="370">
        <v>1794210.6685767961</v>
      </c>
      <c r="Y45" s="370">
        <v>413.42543024188501</v>
      </c>
      <c r="Z45" s="370">
        <v>30239.246781184025</v>
      </c>
      <c r="AA45" s="370">
        <v>2783364.8051974215</v>
      </c>
      <c r="AB45" s="370">
        <v>1311789.0182934674</v>
      </c>
      <c r="AC45" s="370">
        <v>11836776.654394045</v>
      </c>
      <c r="AD45" s="370">
        <v>3086.1412318186885</v>
      </c>
      <c r="AE45" s="370">
        <v>35222.959385935472</v>
      </c>
      <c r="AF45" s="370">
        <v>7036890.4900965383</v>
      </c>
      <c r="AG45" s="370">
        <v>301752.48190265067</v>
      </c>
      <c r="AH45" s="370">
        <v>320123.86773017631</v>
      </c>
      <c r="AI45" s="370">
        <v>60.599335470275186</v>
      </c>
      <c r="AJ45" s="371">
        <v>9288.4839780582624</v>
      </c>
    </row>
    <row r="46" spans="1:36" ht="12.75" customHeight="1" x14ac:dyDescent="0.3">
      <c r="B46" s="255" t="s">
        <v>2409</v>
      </c>
      <c r="C46" s="530">
        <f>SUM(D46:AJ46)</f>
        <v>78900079.217569575</v>
      </c>
      <c r="D46" s="383">
        <f>D45</f>
        <v>667651.06849922077</v>
      </c>
      <c r="E46" s="383"/>
      <c r="F46" s="383">
        <f t="shared" ref="F46:AJ46" si="0">F45</f>
        <v>1185317.6262797334</v>
      </c>
      <c r="G46" s="383">
        <f t="shared" si="0"/>
        <v>43812.198826802509</v>
      </c>
      <c r="H46" s="383">
        <f t="shared" si="0"/>
        <v>314654.9881080364</v>
      </c>
      <c r="I46" s="383">
        <f t="shared" si="0"/>
        <v>3028.5870216424737</v>
      </c>
      <c r="J46" s="383">
        <f t="shared" si="0"/>
        <v>1541.2160774373965</v>
      </c>
      <c r="K46" s="383">
        <f t="shared" si="0"/>
        <v>22372779.059265718</v>
      </c>
      <c r="L46" s="383">
        <f t="shared" si="0"/>
        <v>570.82076942125775</v>
      </c>
      <c r="M46" s="383">
        <f t="shared" si="0"/>
        <v>3809714.2542672427</v>
      </c>
      <c r="N46" s="383"/>
      <c r="O46" s="383">
        <f t="shared" si="0"/>
        <v>1648.3920136322045</v>
      </c>
      <c r="P46" s="383">
        <f t="shared" si="0"/>
        <v>1199025.559628234</v>
      </c>
      <c r="Q46" s="383">
        <f t="shared" si="0"/>
        <v>437.58293806424581</v>
      </c>
      <c r="R46" s="383">
        <f t="shared" si="0"/>
        <v>4144.2262038286035</v>
      </c>
      <c r="S46" s="383">
        <f t="shared" si="0"/>
        <v>4416.4482267603616</v>
      </c>
      <c r="T46" s="383">
        <f t="shared" si="0"/>
        <v>16271.613286409631</v>
      </c>
      <c r="U46" s="383">
        <f t="shared" si="0"/>
        <v>1635.7215654668003</v>
      </c>
      <c r="V46" s="383">
        <f t="shared" si="0"/>
        <v>7042939.0478565656</v>
      </c>
      <c r="W46" s="383">
        <f>SUM(W45:X45)</f>
        <v>2395520.3053289941</v>
      </c>
      <c r="X46" s="383">
        <f>SUM(W45:X45)</f>
        <v>2395520.3053289941</v>
      </c>
      <c r="Y46" s="383">
        <f t="shared" si="0"/>
        <v>413.42543024188501</v>
      </c>
      <c r="Z46" s="383">
        <f t="shared" si="0"/>
        <v>30239.246781184025</v>
      </c>
      <c r="AA46" s="383">
        <f t="shared" si="0"/>
        <v>2783364.8051974215</v>
      </c>
      <c r="AB46" s="383">
        <f>SUM(AB45:AC45)</f>
        <v>13148565.672687512</v>
      </c>
      <c r="AC46" s="383">
        <f>SUM(AB45:AC45)</f>
        <v>13148565.672687512</v>
      </c>
      <c r="AD46" s="383">
        <f t="shared" si="0"/>
        <v>3086.1412318186885</v>
      </c>
      <c r="AE46" s="383">
        <f t="shared" si="0"/>
        <v>35222.959385935472</v>
      </c>
      <c r="AF46" s="383">
        <f t="shared" si="0"/>
        <v>7036890.4900965383</v>
      </c>
      <c r="AG46" s="383">
        <f>SUM(AG45:AH45)</f>
        <v>621876.34963282698</v>
      </c>
      <c r="AH46" s="383">
        <f>SUM(AG45:AH45)</f>
        <v>621876.34963282698</v>
      </c>
      <c r="AI46" s="383">
        <f t="shared" si="0"/>
        <v>60.599335470275186</v>
      </c>
      <c r="AJ46" s="384">
        <f t="shared" si="0"/>
        <v>9288.4839780582624</v>
      </c>
    </row>
    <row r="47" spans="1:36" ht="12.75" customHeight="1" x14ac:dyDescent="0.3">
      <c r="A47" s="144"/>
      <c r="B47" s="255" t="s">
        <v>2410</v>
      </c>
      <c r="C47" s="392">
        <v>94848790.180466175</v>
      </c>
      <c r="D47" s="382">
        <v>672203.44310876029</v>
      </c>
      <c r="E47" s="383"/>
      <c r="F47" s="382">
        <v>1192413.4279021176</v>
      </c>
      <c r="G47" s="382">
        <v>40706.266369707671</v>
      </c>
      <c r="H47" s="382">
        <v>161890.14747019636</v>
      </c>
      <c r="I47" s="382">
        <v>1442.3993395609757</v>
      </c>
      <c r="J47" s="382">
        <v>2270.4375380030715</v>
      </c>
      <c r="K47" s="382">
        <v>20615732.059493951</v>
      </c>
      <c r="L47" s="382">
        <v>840.90279185298948</v>
      </c>
      <c r="M47" s="382">
        <v>3694400.652155336</v>
      </c>
      <c r="N47" s="383"/>
      <c r="O47" s="382">
        <v>3298.251090131871</v>
      </c>
      <c r="P47" s="382">
        <v>1698666.4276036457</v>
      </c>
      <c r="Q47" s="382">
        <v>447.43148911006091</v>
      </c>
      <c r="R47" s="382">
        <v>3008.4697805139695</v>
      </c>
      <c r="S47" s="382">
        <v>6466.232392756443</v>
      </c>
      <c r="T47" s="382">
        <v>39586.620973587647</v>
      </c>
      <c r="U47" s="382">
        <v>2394.90088620609</v>
      </c>
      <c r="V47" s="382">
        <v>6446410.5210585026</v>
      </c>
      <c r="W47" s="382">
        <v>4463791.9109629784</v>
      </c>
      <c r="X47" s="382">
        <v>4463791.9109629784</v>
      </c>
      <c r="Y47" s="382">
        <v>1574.7362222078063</v>
      </c>
      <c r="Z47" s="382">
        <v>40497.566836166894</v>
      </c>
      <c r="AA47" s="382">
        <v>2322311.8566106982</v>
      </c>
      <c r="AB47" s="382">
        <v>20223139.80358804</v>
      </c>
      <c r="AC47" s="383">
        <v>20223139.80358804</v>
      </c>
      <c r="AD47" s="382">
        <v>7769.9364376198755</v>
      </c>
      <c r="AE47" s="382">
        <v>46295.587059469988</v>
      </c>
      <c r="AF47" s="382">
        <v>6262041.3273817878</v>
      </c>
      <c r="AG47" s="382">
        <v>1100213.9292697469</v>
      </c>
      <c r="AH47" s="382">
        <v>1100213.9292697469</v>
      </c>
      <c r="AI47" s="382">
        <v>336.23848145109645</v>
      </c>
      <c r="AJ47" s="384">
        <v>11493.052351307666</v>
      </c>
    </row>
    <row r="48" spans="1:36" s="220" customFormat="1" ht="12.75" customHeight="1" x14ac:dyDescent="0.3">
      <c r="A48"/>
      <c r="B48" s="255" t="s">
        <v>2407</v>
      </c>
      <c r="C48" s="514" t="e">
        <f>IF(ABS(MIN(D48:AJ48))&lt;MAX(D48:AJ48),MAX(D48:AJ48),MIN(D48:AJ48))</f>
        <v>#DIV/0!</v>
      </c>
      <c r="D48" s="514">
        <f>IF(D49&gt;0.0001,LOG(D46/D47),"")</f>
        <v>-2.9511842715013435E-3</v>
      </c>
      <c r="E48" s="514" t="e">
        <f t="shared" ref="E48:AJ48" si="1">IF(E49&gt;0.0001,LOG(E46/E47),"")</f>
        <v>#DIV/0!</v>
      </c>
      <c r="F48" s="514">
        <f t="shared" si="1"/>
        <v>-2.5921153969404331E-3</v>
      </c>
      <c r="G48" s="514">
        <f t="shared" si="1"/>
        <v>3.193377973367726E-2</v>
      </c>
      <c r="H48" s="514">
        <f t="shared" si="1"/>
        <v>0.28861420217035028</v>
      </c>
      <c r="I48" s="514" t="str">
        <f t="shared" si="1"/>
        <v/>
      </c>
      <c r="J48" s="514" t="str">
        <f t="shared" si="1"/>
        <v/>
      </c>
      <c r="K48" s="514">
        <f t="shared" si="1"/>
        <v>3.5521172712632089E-2</v>
      </c>
      <c r="L48" s="514" t="str">
        <f t="shared" si="1"/>
        <v/>
      </c>
      <c r="M48" s="514">
        <f t="shared" si="1"/>
        <v>1.3348410617323869E-2</v>
      </c>
      <c r="N48" s="514" t="str">
        <f t="shared" si="1"/>
        <v/>
      </c>
      <c r="O48" s="514" t="str">
        <f t="shared" si="1"/>
        <v/>
      </c>
      <c r="P48" s="514">
        <f t="shared" si="1"/>
        <v>-0.15127966243376173</v>
      </c>
      <c r="Q48" s="514" t="str">
        <f t="shared" si="1"/>
        <v/>
      </c>
      <c r="R48" s="514" t="str">
        <f t="shared" si="1"/>
        <v/>
      </c>
      <c r="S48" s="514" t="str">
        <f t="shared" si="1"/>
        <v/>
      </c>
      <c r="T48" s="514">
        <f t="shared" si="1"/>
        <v>-0.38611781872396445</v>
      </c>
      <c r="U48" s="514" t="str">
        <f t="shared" si="1"/>
        <v/>
      </c>
      <c r="V48" s="514">
        <f t="shared" si="1"/>
        <v>3.843597101869866E-2</v>
      </c>
      <c r="W48" s="514">
        <f t="shared" si="1"/>
        <v>-0.27030408439904757</v>
      </c>
      <c r="X48" s="514">
        <f t="shared" si="1"/>
        <v>-0.27030408439904757</v>
      </c>
      <c r="Y48" s="514" t="str">
        <f t="shared" si="1"/>
        <v/>
      </c>
      <c r="Z48" s="514">
        <f t="shared" si="1"/>
        <v>-0.12685796156053594</v>
      </c>
      <c r="AA48" s="514">
        <f t="shared" si="1"/>
        <v>7.8649591933939125E-2</v>
      </c>
      <c r="AB48" s="514">
        <f t="shared" si="1"/>
        <v>-0.18697020430184327</v>
      </c>
      <c r="AC48" s="514">
        <f t="shared" si="1"/>
        <v>-0.18697020430184327</v>
      </c>
      <c r="AD48" s="514" t="str">
        <f t="shared" si="1"/>
        <v/>
      </c>
      <c r="AE48" s="514">
        <f t="shared" si="1"/>
        <v>-0.11871375361138334</v>
      </c>
      <c r="AF48" s="514">
        <f t="shared" si="1"/>
        <v>5.0664862988405328E-2</v>
      </c>
      <c r="AG48" s="514">
        <f t="shared" si="1"/>
        <v>-0.24777309841591155</v>
      </c>
      <c r="AH48" s="514">
        <f t="shared" si="1"/>
        <v>-0.24777309841591155</v>
      </c>
      <c r="AI48" s="514" t="str">
        <f t="shared" si="1"/>
        <v/>
      </c>
      <c r="AJ48" s="515">
        <f t="shared" si="1"/>
        <v>-9.2490548626875516E-2</v>
      </c>
    </row>
    <row r="49" spans="1:36" s="220" customFormat="1" ht="12.75" customHeight="1" x14ac:dyDescent="0.3">
      <c r="A49"/>
      <c r="B49" s="146" t="s">
        <v>1307</v>
      </c>
      <c r="C49" s="252">
        <f>SUM(D49:AJ49)</f>
        <v>0.99999999999999978</v>
      </c>
      <c r="D49" s="151">
        <f t="shared" ref="D49:AJ49" si="2">D45/SUM($D45:$AJ45)</f>
        <v>1.0635878551393307E-2</v>
      </c>
      <c r="E49" s="151">
        <f t="shared" si="2"/>
        <v>5.9530782835192535E-4</v>
      </c>
      <c r="F49" s="151">
        <f t="shared" si="2"/>
        <v>1.88824595851774E-2</v>
      </c>
      <c r="G49" s="151">
        <f t="shared" si="2"/>
        <v>6.9794125670887268E-4</v>
      </c>
      <c r="H49" s="151">
        <f t="shared" si="2"/>
        <v>5.012546818250297E-3</v>
      </c>
      <c r="I49" s="151">
        <f t="shared" si="2"/>
        <v>4.8246285019692017E-5</v>
      </c>
      <c r="J49" s="151">
        <f t="shared" si="2"/>
        <v>2.4552026941147722E-5</v>
      </c>
      <c r="K49" s="151">
        <f t="shared" si="2"/>
        <v>0.35640497283467359</v>
      </c>
      <c r="L49" s="151">
        <f t="shared" si="2"/>
        <v>9.0933433115361896E-6</v>
      </c>
      <c r="M49" s="151">
        <f t="shared" si="2"/>
        <v>6.0689872353504079E-2</v>
      </c>
      <c r="N49" s="151">
        <f t="shared" si="2"/>
        <v>3.1696678745877709E-5</v>
      </c>
      <c r="O49" s="151">
        <f t="shared" si="2"/>
        <v>2.6259371233372405E-5</v>
      </c>
      <c r="P49" s="151">
        <f t="shared" si="2"/>
        <v>1.9100831008760942E-2</v>
      </c>
      <c r="Q49" s="151">
        <f t="shared" si="2"/>
        <v>6.9708253382636649E-6</v>
      </c>
      <c r="R49" s="151">
        <f t="shared" si="2"/>
        <v>6.6018746427684626E-5</v>
      </c>
      <c r="S49" s="151">
        <f t="shared" si="2"/>
        <v>7.0355323588303911E-5</v>
      </c>
      <c r="T49" s="151">
        <f t="shared" si="2"/>
        <v>2.5921160156084218E-4</v>
      </c>
      <c r="U49" s="151">
        <f t="shared" si="2"/>
        <v>2.6057527254927369E-5</v>
      </c>
      <c r="V49" s="151">
        <f t="shared" si="2"/>
        <v>0.11219609747086846</v>
      </c>
      <c r="W49" s="151">
        <f t="shared" si="2"/>
        <v>9.5790399656737277E-3</v>
      </c>
      <c r="X49" s="151">
        <f t="shared" si="2"/>
        <v>2.8582305439116155E-2</v>
      </c>
      <c r="Y49" s="151">
        <f t="shared" si="2"/>
        <v>6.5859891095423996E-6</v>
      </c>
      <c r="Z49" s="151">
        <f t="shared" si="2"/>
        <v>4.8172012511451504E-4</v>
      </c>
      <c r="AA49" s="151">
        <f t="shared" si="2"/>
        <v>4.4339822744306472E-2</v>
      </c>
      <c r="AB49" s="151">
        <f t="shared" si="2"/>
        <v>2.0897186182870696E-2</v>
      </c>
      <c r="AC49" s="151">
        <f t="shared" si="2"/>
        <v>0.18856334525022869</v>
      </c>
      <c r="AD49" s="151">
        <f t="shared" si="2"/>
        <v>4.9163140572595695E-5</v>
      </c>
      <c r="AE49" s="151">
        <f t="shared" si="2"/>
        <v>5.6111213764934744E-4</v>
      </c>
      <c r="AF49" s="151">
        <f t="shared" si="2"/>
        <v>0.11209974216076411</v>
      </c>
      <c r="AG49" s="151">
        <f t="shared" si="2"/>
        <v>4.8070060867458119E-3</v>
      </c>
      <c r="AH49" s="151">
        <f t="shared" si="2"/>
        <v>5.0996676845495442E-3</v>
      </c>
      <c r="AI49" s="151">
        <f t="shared" si="2"/>
        <v>9.653652974835907E-7</v>
      </c>
      <c r="AJ49" s="253">
        <f t="shared" si="2"/>
        <v>1.479682908907163E-4</v>
      </c>
    </row>
    <row r="50" spans="1:36" ht="12.75" customHeight="1" x14ac:dyDescent="0.3">
      <c r="B50" s="146" t="s">
        <v>1037</v>
      </c>
      <c r="C50" s="179"/>
      <c r="D50" s="179">
        <f t="shared" ref="D50:AJ50" si="3">D45/D4</f>
        <v>2.9082679291685358E-9</v>
      </c>
      <c r="E50" s="179">
        <f t="shared" si="3"/>
        <v>6.5397106812663458E-7</v>
      </c>
      <c r="F50" s="179">
        <f t="shared" si="3"/>
        <v>6.285814577218481E-5</v>
      </c>
      <c r="G50" s="179">
        <f t="shared" si="3"/>
        <v>4.3812198826802458E-6</v>
      </c>
      <c r="H50" s="179">
        <f t="shared" si="3"/>
        <v>1.6686353659075936E-3</v>
      </c>
      <c r="I50" s="179">
        <f t="shared" si="3"/>
        <v>1.0095290072141568E-4</v>
      </c>
      <c r="J50" s="179">
        <f t="shared" si="3"/>
        <v>4.9947129493919404E-7</v>
      </c>
      <c r="K50" s="179">
        <f t="shared" si="3"/>
        <v>8.1567933453157012E-4</v>
      </c>
      <c r="L50" s="179">
        <f t="shared" si="3"/>
        <v>4.9947129493919394E-7</v>
      </c>
      <c r="M50" s="179">
        <f t="shared" si="3"/>
        <v>5.1282898956593948E-10</v>
      </c>
      <c r="N50" s="179">
        <f t="shared" si="3"/>
        <v>2.1426936789931984E-9</v>
      </c>
      <c r="O50" s="179">
        <f t="shared" si="3"/>
        <v>5.3791878807530491E-9</v>
      </c>
      <c r="P50" s="179">
        <f t="shared" si="3"/>
        <v>1.6140188611761142E-9</v>
      </c>
      <c r="Q50" s="179">
        <f t="shared" si="3"/>
        <v>1.4279618062895452E-7</v>
      </c>
      <c r="R50" s="179">
        <f t="shared" si="3"/>
        <v>3.7190529171780569E-8</v>
      </c>
      <c r="S50" s="179">
        <f t="shared" si="3"/>
        <v>8.8074367959745987E-8</v>
      </c>
      <c r="T50" s="179">
        <f t="shared" si="3"/>
        <v>3.6505603147403471E-8</v>
      </c>
      <c r="U50" s="179">
        <f t="shared" si="3"/>
        <v>8.8074367959745973E-8</v>
      </c>
      <c r="V50" s="179">
        <f t="shared" si="3"/>
        <v>9.106274161937624E-11</v>
      </c>
      <c r="W50" s="179">
        <f t="shared" si="3"/>
        <v>1.5549447102334642E-10</v>
      </c>
      <c r="X50" s="179">
        <f t="shared" si="3"/>
        <v>1.5465678122266451E-11</v>
      </c>
      <c r="Y50" s="179">
        <f t="shared" si="3"/>
        <v>3.5636309289991507E-10</v>
      </c>
      <c r="Z50" s="179">
        <f t="shared" si="3"/>
        <v>1.5639315903138828E-8</v>
      </c>
      <c r="AA50" s="179">
        <f t="shared" si="3"/>
        <v>6.5490936592880511E-11</v>
      </c>
      <c r="AB50" s="179">
        <f t="shared" si="3"/>
        <v>5.1442706599743817E-10</v>
      </c>
      <c r="AC50" s="179">
        <f t="shared" si="3"/>
        <v>1.5472910659338621E-10</v>
      </c>
      <c r="AD50" s="179">
        <f t="shared" si="3"/>
        <v>4.0341715448610304E-9</v>
      </c>
      <c r="AE50" s="179">
        <f t="shared" si="3"/>
        <v>4.1438775748159376E-8</v>
      </c>
      <c r="AF50" s="179">
        <f t="shared" si="3"/>
        <v>5.5191297961541477E-11</v>
      </c>
      <c r="AG50" s="179">
        <f t="shared" si="3"/>
        <v>3.3809801893854419E-11</v>
      </c>
      <c r="AH50" s="179">
        <f t="shared" si="3"/>
        <v>1.1956073491323112E-12</v>
      </c>
      <c r="AI50" s="179">
        <f t="shared" si="3"/>
        <v>2.2632805030915101E-11</v>
      </c>
      <c r="AJ50" s="380">
        <f t="shared" si="3"/>
        <v>4.856723648657914E-9</v>
      </c>
    </row>
    <row r="51" spans="1:36" ht="12.75" customHeight="1" x14ac:dyDescent="0.3">
      <c r="B51" s="141" t="s">
        <v>703</v>
      </c>
      <c r="C51" s="254"/>
      <c r="D51" s="385">
        <f>D50*8.314*TEMP.R</f>
        <v>6.8911117754855549E-6</v>
      </c>
      <c r="E51" s="385">
        <f>E50*Kaw.R*8.314*TEMP.R</f>
        <v>1.392368399397196E-4</v>
      </c>
      <c r="F51" s="385">
        <f>F50*Kaw.R*8.314*TEMP.R</f>
        <v>1.3383114343056068E-2</v>
      </c>
      <c r="G51" s="385">
        <f>G50*Kaw.R*8.314*TEMP.R</f>
        <v>9.3280458613092837E-4</v>
      </c>
      <c r="H51" s="385">
        <f>H50*Kaw.R/Ksdw1.R*8.314*TEMP.R</f>
        <v>1.7729356910770482E-2</v>
      </c>
      <c r="I51" s="385">
        <f>I50*Kaw.R/Ksdw2.R*8.314*TEMP.R</f>
        <v>1.072630992148512E-3</v>
      </c>
      <c r="J51" s="385">
        <f>J50*Kaw.R/Ks1w.R*8.314*TEMP.R</f>
        <v>4.5632436740490936E-6</v>
      </c>
      <c r="K51" s="385">
        <f>K50*Kaw.R/Ks2w.R*8.314*TEMP.R</f>
        <v>7.4521671236520174E-3</v>
      </c>
      <c r="L51" s="385">
        <f>L50*Kaw.R/Ks3w.R*8.314*TEMP.R</f>
        <v>4.5632436740490928E-6</v>
      </c>
      <c r="M51" s="385">
        <f>M50*8.314*TEMP.C</f>
        <v>1.2151431624865981E-6</v>
      </c>
      <c r="N51" s="385">
        <f>N50*Kaw.C*8.314*TEMP.C</f>
        <v>4.5620045191976932E-7</v>
      </c>
      <c r="O51" s="385">
        <f>O50*Kaw.C*8.314*TEMP.C</f>
        <v>1.1452817386916262E-6</v>
      </c>
      <c r="P51" s="385">
        <f>P50*Kaw.C*8.314*TEMP.C</f>
        <v>3.4364040977689002E-7</v>
      </c>
      <c r="Q51" s="385">
        <f>Q50*Kaw.C/Ksdw1.C*8.314*TEMP.C</f>
        <v>1.5172185029702801E-6</v>
      </c>
      <c r="R51" s="385">
        <f>R50*Kaw.C/Ksdw2.C*8.314*TEMP.C</f>
        <v>3.9515173827583463E-7</v>
      </c>
      <c r="S51" s="385">
        <f>S50*Kaw.C/Ks1w.C*8.314*TEMP.C</f>
        <v>8.0466046099228018E-7</v>
      </c>
      <c r="T51" s="385">
        <f>T50*Kaw.C/Ks2w.C*8.314*TEMP.C</f>
        <v>3.3352059331060377E-7</v>
      </c>
      <c r="U51" s="385">
        <f>U50*Kaw.C/Ks3w.C*8.314*TEMP.C</f>
        <v>8.0466046099228007E-7</v>
      </c>
      <c r="V51" s="385">
        <f>V50*8.314*TEMP.M</f>
        <v>2.1577225563969581E-7</v>
      </c>
      <c r="W51" s="385">
        <f>W50*Kaw.M*8.314*TEMP.M</f>
        <v>3.3106294496191159E-8</v>
      </c>
      <c r="X51" s="385">
        <f>X50*Kaw.M*8.314*TEMP.M</f>
        <v>3.2927942140282204E-9</v>
      </c>
      <c r="Y51" s="385">
        <f>Y50*Kaw.M/Ksdw.M*8.314*TEMP.M</f>
        <v>3.7863805316221119E-9</v>
      </c>
      <c r="Z51" s="372">
        <f>Z50*Kaw.M/Kslw.M*8.314*TEMP.M</f>
        <v>1.4288310476409217E-7</v>
      </c>
      <c r="AA51" s="385">
        <f>AA50*8.314*TEMP.A</f>
        <v>1.4320130311713386E-7</v>
      </c>
      <c r="AB51" s="385">
        <f>AB50*Kaw.A*8.314*TEMP.A</f>
        <v>2.9838236091167891E-8</v>
      </c>
      <c r="AC51" s="385">
        <f>AC50*Kaw.A*8.314*TEMP.A</f>
        <v>8.9747292043376498E-9</v>
      </c>
      <c r="AD51" s="385">
        <f>AD50*Kaw.A/Ksdw.A*8.314*TEMP.A</f>
        <v>1.1677224059866935E-8</v>
      </c>
      <c r="AE51" s="372">
        <f>AE50*Kaw.A/Kslw.A*8.314*TEMP.A</f>
        <v>1.0319528508932462E-7</v>
      </c>
      <c r="AF51" s="385">
        <f>AF50*8.314*TEMP.T</f>
        <v>1.3674041447317226E-7</v>
      </c>
      <c r="AG51" s="385">
        <f>AG50*Kaw.T*8.314*TEMP.T</f>
        <v>1.4182650477097306E-8</v>
      </c>
      <c r="AH51" s="385">
        <f>AH50*Kaw.T*8.314*TEMP.T</f>
        <v>5.0153742970243959E-10</v>
      </c>
      <c r="AI51" s="385">
        <f>AI50*Kaw.T/Ksdw.T*8.314*TEMP.T</f>
        <v>4.7379347179105812E-10</v>
      </c>
      <c r="AJ51" s="386">
        <f>AJ50*Kaw.T/Kslw.T*8.314*TEMP.T</f>
        <v>8.736341807722727E-8</v>
      </c>
    </row>
    <row r="52" spans="1:36" s="220" customFormat="1" ht="12.75" customHeight="1" x14ac:dyDescent="0.3">
      <c r="D52" s="387"/>
      <c r="E52" s="387"/>
      <c r="F52" s="387"/>
      <c r="G52" s="387"/>
      <c r="H52" s="387"/>
      <c r="I52" s="387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  <c r="AA52" s="387"/>
      <c r="AB52" s="387"/>
      <c r="AC52" s="387"/>
      <c r="AD52" s="387"/>
      <c r="AE52" s="387"/>
      <c r="AF52" s="387"/>
      <c r="AG52" s="387"/>
      <c r="AH52" s="387"/>
      <c r="AI52" s="387"/>
      <c r="AJ52" s="387"/>
    </row>
    <row r="53" spans="1:36" ht="12.75" customHeight="1" x14ac:dyDescent="0.3">
      <c r="D53" s="375"/>
      <c r="E53" s="179"/>
      <c r="F53" s="179"/>
      <c r="G53" s="375"/>
      <c r="H53" s="375"/>
      <c r="I53" s="375"/>
      <c r="J53" s="375"/>
      <c r="K53" s="375"/>
      <c r="L53" s="375"/>
      <c r="M53" s="375"/>
      <c r="N53" s="179"/>
      <c r="O53" s="179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/>
      <c r="AC53" s="375"/>
      <c r="AD53" s="375"/>
      <c r="AE53" s="375"/>
      <c r="AF53" s="375"/>
      <c r="AG53" s="375"/>
      <c r="AH53" s="375"/>
      <c r="AI53" s="375"/>
      <c r="AJ53" s="375"/>
    </row>
    <row r="54" spans="1:36" ht="12.75" customHeight="1" x14ac:dyDescent="0.3">
      <c r="B54" s="251" t="s">
        <v>2369</v>
      </c>
      <c r="C54" s="509"/>
      <c r="D54" s="368" t="s">
        <v>1507</v>
      </c>
      <c r="E54" s="368" t="s">
        <v>281</v>
      </c>
      <c r="F54" s="368" t="s">
        <v>1508</v>
      </c>
      <c r="G54" s="368" t="s">
        <v>1509</v>
      </c>
      <c r="H54" s="368" t="s">
        <v>1510</v>
      </c>
      <c r="I54" s="368" t="s">
        <v>1511</v>
      </c>
      <c r="J54" s="368" t="s">
        <v>1512</v>
      </c>
      <c r="K54" s="368" t="s">
        <v>1513</v>
      </c>
      <c r="L54" s="368" t="s">
        <v>1514</v>
      </c>
      <c r="M54" s="368" t="s">
        <v>1515</v>
      </c>
      <c r="N54" s="368" t="s">
        <v>280</v>
      </c>
      <c r="O54" s="368" t="s">
        <v>1516</v>
      </c>
      <c r="P54" s="368" t="s">
        <v>1517</v>
      </c>
      <c r="Q54" s="368" t="s">
        <v>1518</v>
      </c>
      <c r="R54" s="368" t="s">
        <v>1519</v>
      </c>
      <c r="S54" s="368" t="s">
        <v>1520</v>
      </c>
      <c r="T54" s="368" t="s">
        <v>1521</v>
      </c>
      <c r="U54" s="368" t="s">
        <v>1522</v>
      </c>
      <c r="V54" s="368" t="s">
        <v>1523</v>
      </c>
      <c r="W54" s="368" t="s">
        <v>1484</v>
      </c>
      <c r="X54" s="368" t="s">
        <v>1268</v>
      </c>
      <c r="Y54" s="368" t="s">
        <v>1524</v>
      </c>
      <c r="Z54" s="368" t="s">
        <v>1525</v>
      </c>
      <c r="AA54" s="368" t="s">
        <v>1526</v>
      </c>
      <c r="AB54" s="368" t="s">
        <v>1502</v>
      </c>
      <c r="AC54" s="368" t="s">
        <v>1269</v>
      </c>
      <c r="AD54" s="368" t="s">
        <v>1527</v>
      </c>
      <c r="AE54" s="368" t="s">
        <v>1528</v>
      </c>
      <c r="AF54" s="368" t="s">
        <v>1529</v>
      </c>
      <c r="AG54" s="368" t="s">
        <v>1503</v>
      </c>
      <c r="AH54" s="368" t="s">
        <v>1270</v>
      </c>
      <c r="AI54" s="368" t="s">
        <v>1530</v>
      </c>
      <c r="AJ54" s="369" t="s">
        <v>1531</v>
      </c>
    </row>
    <row r="55" spans="1:36" ht="12.75" customHeight="1" x14ac:dyDescent="0.3">
      <c r="B55" s="233" t="s">
        <v>2370</v>
      </c>
      <c r="C55" s="510"/>
      <c r="D55" s="388">
        <f>SUM(E55:AJ55)-SUM(D56:D87)</f>
        <v>-2.0127126321688502</v>
      </c>
      <c r="E55" s="370">
        <f t="shared" ref="E55:AJ55" si="4">E9*E$45</f>
        <v>1.9146069526699084E-3</v>
      </c>
      <c r="F55" s="370">
        <f t="shared" si="4"/>
        <v>2.0220465232816682</v>
      </c>
      <c r="G55" s="370">
        <f t="shared" si="4"/>
        <v>2.2439159279474236E-2</v>
      </c>
      <c r="H55" s="389">
        <f t="shared" si="4"/>
        <v>0</v>
      </c>
      <c r="I55" s="389">
        <f t="shared" si="4"/>
        <v>0</v>
      </c>
      <c r="J55" s="370">
        <f t="shared" si="4"/>
        <v>1.7003194171883517E-4</v>
      </c>
      <c r="K55" s="370">
        <f t="shared" si="4"/>
        <v>1.1231818500507242</v>
      </c>
      <c r="L55" s="370">
        <f t="shared" si="4"/>
        <v>6.2974793229198184E-5</v>
      </c>
      <c r="M55" s="370">
        <f t="shared" si="4"/>
        <v>1.1090348284488944</v>
      </c>
      <c r="N55" s="389">
        <f t="shared" si="4"/>
        <v>0</v>
      </c>
      <c r="O55" s="389">
        <f t="shared" si="4"/>
        <v>0</v>
      </c>
      <c r="P55" s="389">
        <f t="shared" si="4"/>
        <v>0</v>
      </c>
      <c r="Q55" s="389">
        <f t="shared" si="4"/>
        <v>0</v>
      </c>
      <c r="R55" s="389">
        <f t="shared" si="4"/>
        <v>0</v>
      </c>
      <c r="S55" s="389">
        <f t="shared" si="4"/>
        <v>0</v>
      </c>
      <c r="T55" s="389">
        <f t="shared" si="4"/>
        <v>0</v>
      </c>
      <c r="U55" s="389">
        <f t="shared" si="4"/>
        <v>0</v>
      </c>
      <c r="V55" s="389">
        <f t="shared" si="4"/>
        <v>0</v>
      </c>
      <c r="W55" s="389">
        <f t="shared" si="4"/>
        <v>0</v>
      </c>
      <c r="X55" s="389">
        <f t="shared" si="4"/>
        <v>0</v>
      </c>
      <c r="Y55" s="389">
        <f t="shared" si="4"/>
        <v>0</v>
      </c>
      <c r="Z55" s="389">
        <f t="shared" si="4"/>
        <v>0</v>
      </c>
      <c r="AA55" s="389">
        <f t="shared" si="4"/>
        <v>0</v>
      </c>
      <c r="AB55" s="389">
        <f t="shared" si="4"/>
        <v>0</v>
      </c>
      <c r="AC55" s="389">
        <f t="shared" si="4"/>
        <v>0</v>
      </c>
      <c r="AD55" s="389">
        <f t="shared" si="4"/>
        <v>0</v>
      </c>
      <c r="AE55" s="389">
        <f t="shared" si="4"/>
        <v>0</v>
      </c>
      <c r="AF55" s="389">
        <f t="shared" si="4"/>
        <v>0</v>
      </c>
      <c r="AG55" s="389">
        <f t="shared" si="4"/>
        <v>0</v>
      </c>
      <c r="AH55" s="389">
        <f t="shared" si="4"/>
        <v>0</v>
      </c>
      <c r="AI55" s="389">
        <f t="shared" si="4"/>
        <v>0</v>
      </c>
      <c r="AJ55" s="511">
        <f t="shared" si="4"/>
        <v>0</v>
      </c>
    </row>
    <row r="56" spans="1:36" ht="12.75" customHeight="1" x14ac:dyDescent="0.3">
      <c r="B56" s="146" t="s">
        <v>2371</v>
      </c>
      <c r="C56" s="144"/>
      <c r="D56" s="179">
        <f t="shared" ref="D56:D87" si="5">D10*D$45</f>
        <v>9.5193083112364059E-5</v>
      </c>
      <c r="E56" s="378">
        <f>SUM(D56,F56:AJ56)-SUM(E55,E57:E87)</f>
        <v>3.2469852128238041E-3</v>
      </c>
      <c r="F56" s="179">
        <f t="shared" ref="F56:AJ56" si="6">F10*F$45</f>
        <v>0</v>
      </c>
      <c r="G56" s="376">
        <f t="shared" si="6"/>
        <v>0</v>
      </c>
      <c r="H56" s="376">
        <f t="shared" si="6"/>
        <v>0</v>
      </c>
      <c r="I56" s="376">
        <f t="shared" si="6"/>
        <v>0</v>
      </c>
      <c r="J56" s="376">
        <f t="shared" si="6"/>
        <v>7.8037235998274274E-7</v>
      </c>
      <c r="K56" s="376">
        <f t="shared" si="6"/>
        <v>5.1549142011402026E-3</v>
      </c>
      <c r="L56" s="376">
        <f t="shared" si="6"/>
        <v>2.8902679999360832E-7</v>
      </c>
      <c r="M56" s="376">
        <f t="shared" si="6"/>
        <v>0</v>
      </c>
      <c r="N56" s="376">
        <f t="shared" si="6"/>
        <v>0</v>
      </c>
      <c r="O56" s="376">
        <f t="shared" si="6"/>
        <v>0</v>
      </c>
      <c r="P56" s="376">
        <f t="shared" si="6"/>
        <v>0</v>
      </c>
      <c r="Q56" s="376">
        <f t="shared" si="6"/>
        <v>0</v>
      </c>
      <c r="R56" s="376">
        <f t="shared" si="6"/>
        <v>0</v>
      </c>
      <c r="S56" s="376">
        <f t="shared" si="6"/>
        <v>0</v>
      </c>
      <c r="T56" s="376">
        <f t="shared" si="6"/>
        <v>0</v>
      </c>
      <c r="U56" s="376">
        <f t="shared" si="6"/>
        <v>0</v>
      </c>
      <c r="V56" s="376">
        <f t="shared" si="6"/>
        <v>0</v>
      </c>
      <c r="W56" s="376">
        <f t="shared" si="6"/>
        <v>0</v>
      </c>
      <c r="X56" s="376">
        <f t="shared" si="6"/>
        <v>0</v>
      </c>
      <c r="Y56" s="376">
        <f t="shared" si="6"/>
        <v>0</v>
      </c>
      <c r="Z56" s="376">
        <f t="shared" si="6"/>
        <v>0</v>
      </c>
      <c r="AA56" s="376">
        <f t="shared" si="6"/>
        <v>0</v>
      </c>
      <c r="AB56" s="376">
        <f t="shared" si="6"/>
        <v>0</v>
      </c>
      <c r="AC56" s="376">
        <f t="shared" si="6"/>
        <v>0</v>
      </c>
      <c r="AD56" s="376">
        <f t="shared" si="6"/>
        <v>0</v>
      </c>
      <c r="AE56" s="376">
        <f t="shared" si="6"/>
        <v>0</v>
      </c>
      <c r="AF56" s="376">
        <f t="shared" si="6"/>
        <v>0</v>
      </c>
      <c r="AG56" s="376">
        <f t="shared" si="6"/>
        <v>0</v>
      </c>
      <c r="AH56" s="376">
        <f t="shared" si="6"/>
        <v>0</v>
      </c>
      <c r="AI56" s="376">
        <f t="shared" si="6"/>
        <v>0</v>
      </c>
      <c r="AJ56" s="379">
        <f t="shared" si="6"/>
        <v>0</v>
      </c>
    </row>
    <row r="57" spans="1:36" ht="12.75" customHeight="1" x14ac:dyDescent="0.3">
      <c r="B57" s="146" t="s">
        <v>2372</v>
      </c>
      <c r="C57" s="144"/>
      <c r="D57" s="179">
        <f t="shared" si="5"/>
        <v>1.0471239142360047E-3</v>
      </c>
      <c r="E57" s="179">
        <f t="shared" ref="E57:E87" si="7">E11*E$45</f>
        <v>8.9584517918829963E-5</v>
      </c>
      <c r="F57" s="378">
        <f>SUM(D57:E57,G57:AJ57)-SUM(F55:F56,F58:F87)</f>
        <v>-2.0542529414350117</v>
      </c>
      <c r="G57" s="376">
        <f t="shared" ref="G57:AJ57" si="8">G11*G$45</f>
        <v>0</v>
      </c>
      <c r="H57" s="179">
        <f t="shared" si="8"/>
        <v>2.2590165303513456E-2</v>
      </c>
      <c r="I57" s="376">
        <f t="shared" si="8"/>
        <v>0</v>
      </c>
      <c r="J57" s="179">
        <f t="shared" si="8"/>
        <v>8.5840959598101709E-6</v>
      </c>
      <c r="K57" s="179">
        <f t="shared" si="8"/>
        <v>5.670405621254223E-2</v>
      </c>
      <c r="L57" s="179">
        <f t="shared" si="8"/>
        <v>3.179294799929692E-6</v>
      </c>
      <c r="M57" s="376">
        <f t="shared" si="8"/>
        <v>0</v>
      </c>
      <c r="N57" s="376">
        <f t="shared" si="8"/>
        <v>0</v>
      </c>
      <c r="O57" s="179">
        <f t="shared" si="8"/>
        <v>0</v>
      </c>
      <c r="P57" s="376">
        <f t="shared" si="8"/>
        <v>0</v>
      </c>
      <c r="Q57" s="376">
        <f t="shared" si="8"/>
        <v>0</v>
      </c>
      <c r="R57" s="376">
        <f t="shared" si="8"/>
        <v>0</v>
      </c>
      <c r="S57" s="376">
        <f t="shared" si="8"/>
        <v>0</v>
      </c>
      <c r="T57" s="376">
        <f t="shared" si="8"/>
        <v>0</v>
      </c>
      <c r="U57" s="376">
        <f t="shared" si="8"/>
        <v>0</v>
      </c>
      <c r="V57" s="376">
        <f t="shared" si="8"/>
        <v>0</v>
      </c>
      <c r="W57" s="376">
        <f t="shared" si="8"/>
        <v>0</v>
      </c>
      <c r="X57" s="376">
        <f t="shared" si="8"/>
        <v>0</v>
      </c>
      <c r="Y57" s="376">
        <f t="shared" si="8"/>
        <v>0</v>
      </c>
      <c r="Z57" s="376">
        <f t="shared" si="8"/>
        <v>0</v>
      </c>
      <c r="AA57" s="376">
        <f t="shared" si="8"/>
        <v>0</v>
      </c>
      <c r="AB57" s="376">
        <f t="shared" si="8"/>
        <v>0</v>
      </c>
      <c r="AC57" s="376">
        <f t="shared" si="8"/>
        <v>0</v>
      </c>
      <c r="AD57" s="376">
        <f t="shared" si="8"/>
        <v>0</v>
      </c>
      <c r="AE57" s="376">
        <f t="shared" si="8"/>
        <v>0</v>
      </c>
      <c r="AF57" s="376">
        <f t="shared" si="8"/>
        <v>0</v>
      </c>
      <c r="AG57" s="376">
        <f t="shared" si="8"/>
        <v>0</v>
      </c>
      <c r="AH57" s="376">
        <f t="shared" si="8"/>
        <v>0</v>
      </c>
      <c r="AI57" s="376">
        <f t="shared" si="8"/>
        <v>0</v>
      </c>
      <c r="AJ57" s="379">
        <f t="shared" si="8"/>
        <v>0</v>
      </c>
    </row>
    <row r="58" spans="1:36" ht="12.75" customHeight="1" x14ac:dyDescent="0.3">
      <c r="B58" s="146" t="s">
        <v>2373</v>
      </c>
      <c r="C58" s="144"/>
      <c r="D58" s="179">
        <f t="shared" si="5"/>
        <v>1.6658893662749121E-4</v>
      </c>
      <c r="E58" s="179">
        <f t="shared" si="7"/>
        <v>0</v>
      </c>
      <c r="F58" s="179">
        <f t="shared" ref="F58:F87" si="9">F12*F$45</f>
        <v>8.6106510833936625E-2</v>
      </c>
      <c r="G58" s="378">
        <f>SUM(D58:F58,H58:AJ58)-SUM(G55:G57,G59:G87)</f>
        <v>3.8054608684591484E-3</v>
      </c>
      <c r="H58" s="376">
        <f t="shared" ref="H58:N58" si="10">H12*H$45</f>
        <v>0</v>
      </c>
      <c r="I58" s="179">
        <f t="shared" si="10"/>
        <v>1.6501073361030826E-4</v>
      </c>
      <c r="J58" s="376">
        <f t="shared" si="10"/>
        <v>0</v>
      </c>
      <c r="K58" s="376">
        <f t="shared" si="10"/>
        <v>0</v>
      </c>
      <c r="L58" s="376">
        <f t="shared" si="10"/>
        <v>0</v>
      </c>
      <c r="M58" s="376">
        <f t="shared" si="10"/>
        <v>0</v>
      </c>
      <c r="N58" s="376">
        <f t="shared" si="10"/>
        <v>0</v>
      </c>
      <c r="O58" s="376">
        <v>0</v>
      </c>
      <c r="P58" s="179">
        <f t="shared" ref="P58:AJ58" si="11">P12*P$45</f>
        <v>1.9898738304142583E-5</v>
      </c>
      <c r="Q58" s="376">
        <f t="shared" si="11"/>
        <v>0</v>
      </c>
      <c r="R58" s="376">
        <f t="shared" si="11"/>
        <v>0</v>
      </c>
      <c r="S58" s="376">
        <f t="shared" si="11"/>
        <v>0</v>
      </c>
      <c r="T58" s="376">
        <f t="shared" si="11"/>
        <v>0</v>
      </c>
      <c r="U58" s="376">
        <f t="shared" si="11"/>
        <v>0</v>
      </c>
      <c r="V58" s="376">
        <f t="shared" si="11"/>
        <v>0</v>
      </c>
      <c r="W58" s="376">
        <f t="shared" si="11"/>
        <v>0</v>
      </c>
      <c r="X58" s="376">
        <f t="shared" si="11"/>
        <v>0</v>
      </c>
      <c r="Y58" s="376">
        <f t="shared" si="11"/>
        <v>0</v>
      </c>
      <c r="Z58" s="376">
        <f t="shared" si="11"/>
        <v>0</v>
      </c>
      <c r="AA58" s="376">
        <f t="shared" si="11"/>
        <v>0</v>
      </c>
      <c r="AB58" s="376">
        <f t="shared" si="11"/>
        <v>0</v>
      </c>
      <c r="AC58" s="376">
        <f t="shared" si="11"/>
        <v>0</v>
      </c>
      <c r="AD58" s="376">
        <f t="shared" si="11"/>
        <v>0</v>
      </c>
      <c r="AE58" s="376">
        <f t="shared" si="11"/>
        <v>0</v>
      </c>
      <c r="AF58" s="376">
        <f t="shared" si="11"/>
        <v>0</v>
      </c>
      <c r="AG58" s="376">
        <f t="shared" si="11"/>
        <v>0</v>
      </c>
      <c r="AH58" s="376">
        <f t="shared" si="11"/>
        <v>0</v>
      </c>
      <c r="AI58" s="376">
        <f t="shared" si="11"/>
        <v>0</v>
      </c>
      <c r="AJ58" s="379">
        <f t="shared" si="11"/>
        <v>0</v>
      </c>
    </row>
    <row r="59" spans="1:36" ht="12.75" customHeight="1" x14ac:dyDescent="0.3">
      <c r="B59" s="146" t="s">
        <v>2374</v>
      </c>
      <c r="C59" s="144"/>
      <c r="D59" s="376">
        <f t="shared" si="5"/>
        <v>0</v>
      </c>
      <c r="E59" s="179">
        <f t="shared" si="7"/>
        <v>0</v>
      </c>
      <c r="F59" s="179">
        <f t="shared" si="9"/>
        <v>2.6542600658377147E-2</v>
      </c>
      <c r="G59" s="376">
        <f t="shared" ref="G59:G87" si="12">G13*G$45</f>
        <v>0</v>
      </c>
      <c r="H59" s="378">
        <f>SUM(D59:G59,I59:AJ59)-SUM(H55:H58,H60:H87)</f>
        <v>3.9524353548636912E-3</v>
      </c>
      <c r="I59" s="376">
        <f t="shared" ref="I59:O59" si="13">I13*I$45</f>
        <v>0</v>
      </c>
      <c r="J59" s="376">
        <f t="shared" si="13"/>
        <v>0</v>
      </c>
      <c r="K59" s="376">
        <f t="shared" si="13"/>
        <v>0</v>
      </c>
      <c r="L59" s="376">
        <f t="shared" si="13"/>
        <v>0</v>
      </c>
      <c r="M59" s="376">
        <f t="shared" si="13"/>
        <v>0</v>
      </c>
      <c r="N59" s="376">
        <f t="shared" si="13"/>
        <v>0</v>
      </c>
      <c r="O59" s="376">
        <f t="shared" si="13"/>
        <v>0</v>
      </c>
      <c r="P59" s="376">
        <f t="shared" ref="P59:AJ59" si="14">P13*P$45</f>
        <v>0</v>
      </c>
      <c r="Q59" s="376">
        <f t="shared" si="14"/>
        <v>0</v>
      </c>
      <c r="R59" s="376">
        <f t="shared" si="14"/>
        <v>0</v>
      </c>
      <c r="S59" s="376">
        <f t="shared" si="14"/>
        <v>0</v>
      </c>
      <c r="T59" s="376">
        <f t="shared" si="14"/>
        <v>0</v>
      </c>
      <c r="U59" s="376">
        <f t="shared" si="14"/>
        <v>0</v>
      </c>
      <c r="V59" s="376">
        <f t="shared" si="14"/>
        <v>0</v>
      </c>
      <c r="W59" s="376">
        <f t="shared" si="14"/>
        <v>0</v>
      </c>
      <c r="X59" s="376">
        <f t="shared" si="14"/>
        <v>0</v>
      </c>
      <c r="Y59" s="376">
        <f t="shared" si="14"/>
        <v>0</v>
      </c>
      <c r="Z59" s="376">
        <f t="shared" si="14"/>
        <v>0</v>
      </c>
      <c r="AA59" s="376">
        <f t="shared" si="14"/>
        <v>0</v>
      </c>
      <c r="AB59" s="376">
        <f t="shared" si="14"/>
        <v>0</v>
      </c>
      <c r="AC59" s="376">
        <f t="shared" si="14"/>
        <v>0</v>
      </c>
      <c r="AD59" s="376">
        <f t="shared" si="14"/>
        <v>0</v>
      </c>
      <c r="AE59" s="376">
        <f t="shared" si="14"/>
        <v>0</v>
      </c>
      <c r="AF59" s="376">
        <f t="shared" si="14"/>
        <v>0</v>
      </c>
      <c r="AG59" s="376">
        <f t="shared" si="14"/>
        <v>0</v>
      </c>
      <c r="AH59" s="376">
        <f t="shared" si="14"/>
        <v>0</v>
      </c>
      <c r="AI59" s="376">
        <f t="shared" si="14"/>
        <v>0</v>
      </c>
      <c r="AJ59" s="379">
        <f t="shared" si="14"/>
        <v>0</v>
      </c>
    </row>
    <row r="60" spans="1:36" ht="12.75" customHeight="1" x14ac:dyDescent="0.3">
      <c r="B60" s="146" t="s">
        <v>2375</v>
      </c>
      <c r="C60" s="144"/>
      <c r="D60" s="376">
        <f t="shared" si="5"/>
        <v>0</v>
      </c>
      <c r="E60" s="179">
        <f t="shared" si="7"/>
        <v>0</v>
      </c>
      <c r="F60" s="376">
        <f t="shared" si="9"/>
        <v>0</v>
      </c>
      <c r="G60" s="179">
        <f t="shared" si="12"/>
        <v>1.9705347733999228E-4</v>
      </c>
      <c r="H60" s="376">
        <f t="shared" ref="H60:H87" si="15">H14*H$45</f>
        <v>0</v>
      </c>
      <c r="I60" s="378">
        <f>SUM(D60:H60,J60:AJ60)-SUM(I55:I59,I61:I87)</f>
        <v>3.2042743729684015E-5</v>
      </c>
      <c r="J60" s="376">
        <f t="shared" ref="J60:O60" si="16">J14*J$45</f>
        <v>0</v>
      </c>
      <c r="K60" s="376">
        <f t="shared" si="16"/>
        <v>0</v>
      </c>
      <c r="L60" s="376">
        <f t="shared" si="16"/>
        <v>0</v>
      </c>
      <c r="M60" s="376">
        <f t="shared" si="16"/>
        <v>0</v>
      </c>
      <c r="N60" s="376">
        <f t="shared" si="16"/>
        <v>0</v>
      </c>
      <c r="O60" s="376">
        <f t="shared" si="16"/>
        <v>0</v>
      </c>
      <c r="P60" s="376">
        <f t="shared" ref="P60:AJ60" si="17">P14*P$45</f>
        <v>0</v>
      </c>
      <c r="Q60" s="376">
        <f t="shared" si="17"/>
        <v>0</v>
      </c>
      <c r="R60" s="376">
        <f t="shared" si="17"/>
        <v>0</v>
      </c>
      <c r="S60" s="376">
        <f t="shared" si="17"/>
        <v>0</v>
      </c>
      <c r="T60" s="376">
        <f t="shared" si="17"/>
        <v>0</v>
      </c>
      <c r="U60" s="376">
        <f t="shared" si="17"/>
        <v>0</v>
      </c>
      <c r="V60" s="376">
        <f t="shared" si="17"/>
        <v>0</v>
      </c>
      <c r="W60" s="376">
        <f t="shared" si="17"/>
        <v>0</v>
      </c>
      <c r="X60" s="376">
        <f t="shared" si="17"/>
        <v>0</v>
      </c>
      <c r="Y60" s="376">
        <f t="shared" si="17"/>
        <v>0</v>
      </c>
      <c r="Z60" s="376">
        <f t="shared" si="17"/>
        <v>0</v>
      </c>
      <c r="AA60" s="376">
        <f t="shared" si="17"/>
        <v>0</v>
      </c>
      <c r="AB60" s="376">
        <f t="shared" si="17"/>
        <v>0</v>
      </c>
      <c r="AC60" s="376">
        <f t="shared" si="17"/>
        <v>0</v>
      </c>
      <c r="AD60" s="376">
        <f t="shared" si="17"/>
        <v>0</v>
      </c>
      <c r="AE60" s="376">
        <f t="shared" si="17"/>
        <v>0</v>
      </c>
      <c r="AF60" s="376">
        <f t="shared" si="17"/>
        <v>0</v>
      </c>
      <c r="AG60" s="376">
        <f t="shared" si="17"/>
        <v>0</v>
      </c>
      <c r="AH60" s="376">
        <f t="shared" si="17"/>
        <v>0</v>
      </c>
      <c r="AI60" s="376">
        <f t="shared" si="17"/>
        <v>0</v>
      </c>
      <c r="AJ60" s="379">
        <f t="shared" si="17"/>
        <v>0</v>
      </c>
    </row>
    <row r="61" spans="1:36" ht="12.75" customHeight="1" x14ac:dyDescent="0.3">
      <c r="B61" s="146" t="s">
        <v>2376</v>
      </c>
      <c r="C61" s="144"/>
      <c r="D61" s="179">
        <f t="shared" si="5"/>
        <v>2.4643357645258158E-4</v>
      </c>
      <c r="E61" s="179">
        <f t="shared" si="7"/>
        <v>0</v>
      </c>
      <c r="F61" s="376">
        <f t="shared" si="9"/>
        <v>0</v>
      </c>
      <c r="G61" s="376">
        <f t="shared" si="12"/>
        <v>0</v>
      </c>
      <c r="H61" s="376">
        <f t="shared" si="15"/>
        <v>0</v>
      </c>
      <c r="I61" s="376">
        <f t="shared" ref="I61:I87" si="18">I15*I$45</f>
        <v>0</v>
      </c>
      <c r="J61" s="378">
        <f>SUM(D61:I61,K61:AJ61)-SUM(J55:J60,J62:J87)</f>
        <v>6.7037166413953488E-5</v>
      </c>
      <c r="K61" s="376">
        <f>K15*K$45</f>
        <v>0</v>
      </c>
      <c r="L61" s="376">
        <f>L15*L$45</f>
        <v>0</v>
      </c>
      <c r="M61" s="376">
        <f>M15*M$45</f>
        <v>0</v>
      </c>
      <c r="N61" s="376">
        <f>N15*N$45</f>
        <v>0</v>
      </c>
      <c r="O61" s="376">
        <f>O15*O$45</f>
        <v>0</v>
      </c>
      <c r="P61" s="376">
        <f t="shared" ref="P61:AJ61" si="19">P15*P$45</f>
        <v>0</v>
      </c>
      <c r="Q61" s="376">
        <f t="shared" si="19"/>
        <v>0</v>
      </c>
      <c r="R61" s="376">
        <f t="shared" si="19"/>
        <v>0</v>
      </c>
      <c r="S61" s="376">
        <f t="shared" si="19"/>
        <v>0</v>
      </c>
      <c r="T61" s="376">
        <f t="shared" si="19"/>
        <v>0</v>
      </c>
      <c r="U61" s="376">
        <f t="shared" si="19"/>
        <v>0</v>
      </c>
      <c r="V61" s="376">
        <f t="shared" si="19"/>
        <v>0</v>
      </c>
      <c r="W61" s="376">
        <f t="shared" si="19"/>
        <v>0</v>
      </c>
      <c r="X61" s="376">
        <f t="shared" si="19"/>
        <v>0</v>
      </c>
      <c r="Y61" s="376">
        <f t="shared" si="19"/>
        <v>0</v>
      </c>
      <c r="Z61" s="376">
        <f t="shared" si="19"/>
        <v>0</v>
      </c>
      <c r="AA61" s="376">
        <f t="shared" si="19"/>
        <v>0</v>
      </c>
      <c r="AB61" s="376">
        <f t="shared" si="19"/>
        <v>0</v>
      </c>
      <c r="AC61" s="376">
        <f t="shared" si="19"/>
        <v>0</v>
      </c>
      <c r="AD61" s="376">
        <f t="shared" si="19"/>
        <v>0</v>
      </c>
      <c r="AE61" s="376">
        <f t="shared" si="19"/>
        <v>0</v>
      </c>
      <c r="AF61" s="376">
        <f t="shared" si="19"/>
        <v>0</v>
      </c>
      <c r="AG61" s="376">
        <f t="shared" si="19"/>
        <v>0</v>
      </c>
      <c r="AH61" s="376">
        <f t="shared" si="19"/>
        <v>0</v>
      </c>
      <c r="AI61" s="376">
        <f t="shared" si="19"/>
        <v>0</v>
      </c>
      <c r="AJ61" s="379">
        <f t="shared" si="19"/>
        <v>0</v>
      </c>
    </row>
    <row r="62" spans="1:36" ht="12.75" customHeight="1" x14ac:dyDescent="0.3">
      <c r="B62" s="146" t="s">
        <v>2377</v>
      </c>
      <c r="C62" s="144"/>
      <c r="D62" s="179">
        <f t="shared" si="5"/>
        <v>5.4763016989462562E-4</v>
      </c>
      <c r="E62" s="179">
        <f t="shared" si="7"/>
        <v>0</v>
      </c>
      <c r="F62" s="376">
        <f t="shared" si="9"/>
        <v>0</v>
      </c>
      <c r="G62" s="376">
        <f t="shared" si="12"/>
        <v>0</v>
      </c>
      <c r="H62" s="376">
        <f t="shared" si="15"/>
        <v>0</v>
      </c>
      <c r="I62" s="376">
        <f t="shared" si="18"/>
        <v>0</v>
      </c>
      <c r="J62" s="376">
        <f t="shared" ref="J62:J87" si="20">J16*J$45</f>
        <v>0</v>
      </c>
      <c r="K62" s="378">
        <f>SUM(D62:J62,L62:AJ62)-SUM(K55:K61,K63:K87)</f>
        <v>-1.1844931902945122</v>
      </c>
      <c r="L62" s="376">
        <f>L16*L$45</f>
        <v>0</v>
      </c>
      <c r="M62" s="376">
        <f>M16*M$45</f>
        <v>0</v>
      </c>
      <c r="N62" s="376">
        <f>N16*N$45</f>
        <v>0</v>
      </c>
      <c r="O62" s="376">
        <f>O16*O$45</f>
        <v>0</v>
      </c>
      <c r="P62" s="376">
        <f t="shared" ref="P62:AJ62" si="21">P16*P$45</f>
        <v>0</v>
      </c>
      <c r="Q62" s="376">
        <f t="shared" si="21"/>
        <v>0</v>
      </c>
      <c r="R62" s="376">
        <f t="shared" si="21"/>
        <v>0</v>
      </c>
      <c r="S62" s="376">
        <f t="shared" si="21"/>
        <v>0</v>
      </c>
      <c r="T62" s="376">
        <f t="shared" si="21"/>
        <v>0</v>
      </c>
      <c r="U62" s="376">
        <f t="shared" si="21"/>
        <v>0</v>
      </c>
      <c r="V62" s="376">
        <f t="shared" si="21"/>
        <v>0</v>
      </c>
      <c r="W62" s="376">
        <f t="shared" si="21"/>
        <v>0</v>
      </c>
      <c r="X62" s="376">
        <f t="shared" si="21"/>
        <v>0</v>
      </c>
      <c r="Y62" s="376">
        <f t="shared" si="21"/>
        <v>0</v>
      </c>
      <c r="Z62" s="376">
        <f t="shared" si="21"/>
        <v>0</v>
      </c>
      <c r="AA62" s="376">
        <f t="shared" si="21"/>
        <v>0</v>
      </c>
      <c r="AB62" s="376">
        <f t="shared" si="21"/>
        <v>0</v>
      </c>
      <c r="AC62" s="376">
        <f t="shared" si="21"/>
        <v>0</v>
      </c>
      <c r="AD62" s="376">
        <f t="shared" si="21"/>
        <v>0</v>
      </c>
      <c r="AE62" s="376">
        <f t="shared" si="21"/>
        <v>0</v>
      </c>
      <c r="AF62" s="376">
        <f t="shared" si="21"/>
        <v>0</v>
      </c>
      <c r="AG62" s="376">
        <f t="shared" si="21"/>
        <v>0</v>
      </c>
      <c r="AH62" s="376">
        <f t="shared" si="21"/>
        <v>0</v>
      </c>
      <c r="AI62" s="376">
        <f t="shared" si="21"/>
        <v>0</v>
      </c>
      <c r="AJ62" s="379">
        <f t="shared" si="21"/>
        <v>0</v>
      </c>
    </row>
    <row r="63" spans="1:36" ht="12.75" customHeight="1" x14ac:dyDescent="0.3">
      <c r="B63" s="146" t="s">
        <v>2378</v>
      </c>
      <c r="C63" s="144"/>
      <c r="D63" s="179">
        <f t="shared" si="5"/>
        <v>9.1271694982437607E-5</v>
      </c>
      <c r="E63" s="179">
        <f t="shared" si="7"/>
        <v>0</v>
      </c>
      <c r="F63" s="376">
        <f t="shared" si="9"/>
        <v>0</v>
      </c>
      <c r="G63" s="376">
        <f t="shared" si="12"/>
        <v>0</v>
      </c>
      <c r="H63" s="376">
        <f t="shared" si="15"/>
        <v>0</v>
      </c>
      <c r="I63" s="376">
        <f t="shared" si="18"/>
        <v>0</v>
      </c>
      <c r="J63" s="376">
        <f t="shared" si="20"/>
        <v>0</v>
      </c>
      <c r="K63" s="376">
        <f t="shared" ref="K63:K87" si="22">K17*K$45</f>
        <v>0</v>
      </c>
      <c r="L63" s="378">
        <f>SUM(D63:K63,M63:AJ63)-SUM(L55:L62,L64:L87)</f>
        <v>2.4828580153316121E-5</v>
      </c>
      <c r="M63" s="376">
        <f>M17*M$45</f>
        <v>0</v>
      </c>
      <c r="N63" s="376">
        <f>N17*N$45</f>
        <v>0</v>
      </c>
      <c r="O63" s="376">
        <f>O17*O$45</f>
        <v>0</v>
      </c>
      <c r="P63" s="376">
        <f t="shared" ref="P63:AJ63" si="23">P17*P$45</f>
        <v>0</v>
      </c>
      <c r="Q63" s="376">
        <f t="shared" si="23"/>
        <v>0</v>
      </c>
      <c r="R63" s="376">
        <f t="shared" si="23"/>
        <v>0</v>
      </c>
      <c r="S63" s="376">
        <f t="shared" si="23"/>
        <v>0</v>
      </c>
      <c r="T63" s="376">
        <f t="shared" si="23"/>
        <v>0</v>
      </c>
      <c r="U63" s="376">
        <f t="shared" si="23"/>
        <v>0</v>
      </c>
      <c r="V63" s="376">
        <f t="shared" si="23"/>
        <v>0</v>
      </c>
      <c r="W63" s="376">
        <f t="shared" si="23"/>
        <v>0</v>
      </c>
      <c r="X63" s="376">
        <f t="shared" si="23"/>
        <v>0</v>
      </c>
      <c r="Y63" s="376">
        <f t="shared" si="23"/>
        <v>0</v>
      </c>
      <c r="Z63" s="376">
        <f t="shared" si="23"/>
        <v>0</v>
      </c>
      <c r="AA63" s="376">
        <f t="shared" si="23"/>
        <v>0</v>
      </c>
      <c r="AB63" s="376">
        <f t="shared" si="23"/>
        <v>0</v>
      </c>
      <c r="AC63" s="376">
        <f t="shared" si="23"/>
        <v>0</v>
      </c>
      <c r="AD63" s="376">
        <f t="shared" si="23"/>
        <v>0</v>
      </c>
      <c r="AE63" s="376">
        <f t="shared" si="23"/>
        <v>0</v>
      </c>
      <c r="AF63" s="376">
        <f t="shared" si="23"/>
        <v>0</v>
      </c>
      <c r="AG63" s="376">
        <f t="shared" si="23"/>
        <v>0</v>
      </c>
      <c r="AH63" s="376">
        <f t="shared" si="23"/>
        <v>0</v>
      </c>
      <c r="AI63" s="376">
        <f t="shared" si="23"/>
        <v>0</v>
      </c>
      <c r="AJ63" s="379">
        <f t="shared" si="23"/>
        <v>0</v>
      </c>
    </row>
    <row r="64" spans="1:36" ht="12.75" customHeight="1" x14ac:dyDescent="0.3">
      <c r="B64" s="146" t="s">
        <v>2379</v>
      </c>
      <c r="C64" s="144"/>
      <c r="D64" s="179">
        <f t="shared" si="5"/>
        <v>6.2893683655419235</v>
      </c>
      <c r="E64" s="179">
        <f t="shared" si="7"/>
        <v>0</v>
      </c>
      <c r="F64" s="376">
        <f t="shared" si="9"/>
        <v>0</v>
      </c>
      <c r="G64" s="376">
        <f t="shared" si="12"/>
        <v>0</v>
      </c>
      <c r="H64" s="376">
        <f t="shared" si="15"/>
        <v>0</v>
      </c>
      <c r="I64" s="376">
        <f t="shared" si="18"/>
        <v>0</v>
      </c>
      <c r="J64" s="376">
        <f t="shared" si="20"/>
        <v>0</v>
      </c>
      <c r="K64" s="376">
        <f t="shared" si="22"/>
        <v>0</v>
      </c>
      <c r="L64" s="376">
        <f t="shared" ref="L64:L87" si="24">L18*L$45</f>
        <v>0</v>
      </c>
      <c r="M64" s="378">
        <f>SUM(D64:L64,N64:AJ64)-SUM(M55:M63,M65:M87)</f>
        <v>0.8240591566770421</v>
      </c>
      <c r="N64" s="179">
        <f>N18*N$45</f>
        <v>1.0194168229134407E-4</v>
      </c>
      <c r="O64" s="179">
        <f>O18*O$45</f>
        <v>2.8120102715688921E-3</v>
      </c>
      <c r="P64" s="179">
        <f t="shared" ref="P64:AJ64" si="25">P18*P$45</f>
        <v>3.0705061869890929E-2</v>
      </c>
      <c r="Q64" s="376">
        <f t="shared" si="25"/>
        <v>0</v>
      </c>
      <c r="R64" s="376">
        <f t="shared" si="25"/>
        <v>0</v>
      </c>
      <c r="S64" s="179">
        <f t="shared" si="25"/>
        <v>4.872368504910522E-4</v>
      </c>
      <c r="T64" s="179">
        <f t="shared" si="25"/>
        <v>8.1688469125477242E-4</v>
      </c>
      <c r="U64" s="179">
        <f t="shared" si="25"/>
        <v>1.8045809277446374E-4</v>
      </c>
      <c r="V64" s="179">
        <f t="shared" si="25"/>
        <v>0.9233212405075194</v>
      </c>
      <c r="W64" s="376">
        <f t="shared" si="25"/>
        <v>0</v>
      </c>
      <c r="X64" s="376">
        <f t="shared" si="25"/>
        <v>0</v>
      </c>
      <c r="Y64" s="376">
        <f t="shared" si="25"/>
        <v>0</v>
      </c>
      <c r="Z64" s="376">
        <f t="shared" si="25"/>
        <v>0</v>
      </c>
      <c r="AA64" s="376">
        <f t="shared" si="25"/>
        <v>0</v>
      </c>
      <c r="AB64" s="376">
        <f t="shared" si="25"/>
        <v>0</v>
      </c>
      <c r="AC64" s="376">
        <f t="shared" si="25"/>
        <v>0</v>
      </c>
      <c r="AD64" s="376">
        <f t="shared" si="25"/>
        <v>0</v>
      </c>
      <c r="AE64" s="376">
        <f t="shared" si="25"/>
        <v>0</v>
      </c>
      <c r="AF64" s="376">
        <f t="shared" si="25"/>
        <v>0</v>
      </c>
      <c r="AG64" s="376">
        <f t="shared" si="25"/>
        <v>0</v>
      </c>
      <c r="AH64" s="376">
        <f t="shared" si="25"/>
        <v>0</v>
      </c>
      <c r="AI64" s="376">
        <f t="shared" si="25"/>
        <v>0</v>
      </c>
      <c r="AJ64" s="379">
        <f t="shared" si="25"/>
        <v>0</v>
      </c>
    </row>
    <row r="65" spans="2:36" ht="12.75" customHeight="1" x14ac:dyDescent="0.3">
      <c r="B65" s="146" t="s">
        <v>2380</v>
      </c>
      <c r="C65" s="144"/>
      <c r="D65" s="179">
        <f t="shared" si="5"/>
        <v>0</v>
      </c>
      <c r="E65" s="179">
        <f t="shared" si="7"/>
        <v>0</v>
      </c>
      <c r="F65" s="376">
        <f t="shared" si="9"/>
        <v>0</v>
      </c>
      <c r="G65" s="376">
        <f t="shared" si="12"/>
        <v>0</v>
      </c>
      <c r="H65" s="376">
        <f t="shared" si="15"/>
        <v>0</v>
      </c>
      <c r="I65" s="376">
        <f t="shared" si="18"/>
        <v>0</v>
      </c>
      <c r="J65" s="376">
        <f t="shared" si="20"/>
        <v>0</v>
      </c>
      <c r="K65" s="376">
        <f t="shared" si="22"/>
        <v>0</v>
      </c>
      <c r="L65" s="376">
        <f t="shared" si="24"/>
        <v>0</v>
      </c>
      <c r="M65" s="179">
        <f t="shared" ref="M65:M87" si="26">M19*M$45</f>
        <v>2.7278103824982842E-4</v>
      </c>
      <c r="N65" s="378">
        <f>SUM(D65:M65,O65:AJ65)-SUM(N55:N64,N66:N87)</f>
        <v>1.7288307373416491E-4</v>
      </c>
      <c r="O65" s="179">
        <f>O19*O$45</f>
        <v>0</v>
      </c>
      <c r="P65" s="376">
        <f t="shared" ref="P65:AJ65" si="27">P19*P$45</f>
        <v>0</v>
      </c>
      <c r="Q65" s="376">
        <f t="shared" si="27"/>
        <v>0</v>
      </c>
      <c r="R65" s="376">
        <f t="shared" si="27"/>
        <v>0</v>
      </c>
      <c r="S65" s="376">
        <f t="shared" si="27"/>
        <v>2.2362043686885802E-6</v>
      </c>
      <c r="T65" s="376">
        <f t="shared" si="27"/>
        <v>3.7491440014393789E-6</v>
      </c>
      <c r="U65" s="376">
        <f t="shared" si="27"/>
        <v>8.282238402550296E-7</v>
      </c>
      <c r="V65" s="376">
        <f t="shared" si="27"/>
        <v>0</v>
      </c>
      <c r="W65" s="376">
        <f t="shared" si="27"/>
        <v>0</v>
      </c>
      <c r="X65" s="376">
        <f t="shared" si="27"/>
        <v>0</v>
      </c>
      <c r="Y65" s="376">
        <f t="shared" si="27"/>
        <v>0</v>
      </c>
      <c r="Z65" s="376">
        <f t="shared" si="27"/>
        <v>0</v>
      </c>
      <c r="AA65" s="376">
        <f t="shared" si="27"/>
        <v>0</v>
      </c>
      <c r="AB65" s="376">
        <f t="shared" si="27"/>
        <v>0</v>
      </c>
      <c r="AC65" s="376">
        <f t="shared" si="27"/>
        <v>0</v>
      </c>
      <c r="AD65" s="376">
        <f t="shared" si="27"/>
        <v>0</v>
      </c>
      <c r="AE65" s="376">
        <f t="shared" si="27"/>
        <v>0</v>
      </c>
      <c r="AF65" s="376">
        <f t="shared" si="27"/>
        <v>0</v>
      </c>
      <c r="AG65" s="376">
        <f t="shared" si="27"/>
        <v>0</v>
      </c>
      <c r="AH65" s="376">
        <f t="shared" si="27"/>
        <v>0</v>
      </c>
      <c r="AI65" s="376">
        <f t="shared" si="27"/>
        <v>0</v>
      </c>
      <c r="AJ65" s="379">
        <f t="shared" si="27"/>
        <v>0</v>
      </c>
    </row>
    <row r="66" spans="2:36" ht="12.75" customHeight="1" x14ac:dyDescent="0.3">
      <c r="B66" s="146" t="s">
        <v>2381</v>
      </c>
      <c r="C66" s="144"/>
      <c r="D66" s="376">
        <f t="shared" si="5"/>
        <v>0</v>
      </c>
      <c r="E66" s="179">
        <f t="shared" si="7"/>
        <v>0</v>
      </c>
      <c r="F66" s="376">
        <f t="shared" si="9"/>
        <v>0</v>
      </c>
      <c r="G66" s="376">
        <f t="shared" si="12"/>
        <v>0</v>
      </c>
      <c r="H66" s="376">
        <f t="shared" si="15"/>
        <v>0</v>
      </c>
      <c r="I66" s="376">
        <f t="shared" si="18"/>
        <v>0</v>
      </c>
      <c r="J66" s="376">
        <f t="shared" si="20"/>
        <v>0</v>
      </c>
      <c r="K66" s="376">
        <f t="shared" si="22"/>
        <v>0</v>
      </c>
      <c r="L66" s="376">
        <f t="shared" si="24"/>
        <v>0</v>
      </c>
      <c r="M66" s="179">
        <f t="shared" si="26"/>
        <v>3.0005914207481125E-3</v>
      </c>
      <c r="N66" s="179">
        <f t="shared" ref="N66:N87" si="28">N20*N$45</f>
        <v>4.7698544347023872E-6</v>
      </c>
      <c r="O66" s="378">
        <f>SUM(D66:N66,P66:AJ66)-SUM(O55:O65,O67:O87)</f>
        <v>1.4306679118699078E-4</v>
      </c>
      <c r="P66" s="376">
        <f t="shared" ref="P66:AJ66" si="29">P20*P$45</f>
        <v>0</v>
      </c>
      <c r="Q66" s="179">
        <f t="shared" si="29"/>
        <v>3.142483665116972E-5</v>
      </c>
      <c r="R66" s="376">
        <f t="shared" si="29"/>
        <v>0</v>
      </c>
      <c r="S66" s="179">
        <f t="shared" si="29"/>
        <v>2.4598248055574383E-5</v>
      </c>
      <c r="T66" s="179">
        <f t="shared" si="29"/>
        <v>4.1240584015833162E-5</v>
      </c>
      <c r="U66" s="179">
        <f t="shared" si="29"/>
        <v>9.1104622428053245E-6</v>
      </c>
      <c r="V66" s="376">
        <f t="shared" si="29"/>
        <v>0</v>
      </c>
      <c r="W66" s="376">
        <f t="shared" si="29"/>
        <v>0</v>
      </c>
      <c r="X66" s="376">
        <f t="shared" si="29"/>
        <v>0</v>
      </c>
      <c r="Y66" s="376">
        <f t="shared" si="29"/>
        <v>0</v>
      </c>
      <c r="Z66" s="376">
        <f t="shared" si="29"/>
        <v>0</v>
      </c>
      <c r="AA66" s="376">
        <f t="shared" si="29"/>
        <v>0</v>
      </c>
      <c r="AB66" s="376">
        <f t="shared" si="29"/>
        <v>0</v>
      </c>
      <c r="AC66" s="376">
        <f t="shared" si="29"/>
        <v>0</v>
      </c>
      <c r="AD66" s="376">
        <f t="shared" si="29"/>
        <v>0</v>
      </c>
      <c r="AE66" s="376">
        <f t="shared" si="29"/>
        <v>0</v>
      </c>
      <c r="AF66" s="376">
        <f t="shared" si="29"/>
        <v>0</v>
      </c>
      <c r="AG66" s="376">
        <f t="shared" si="29"/>
        <v>0</v>
      </c>
      <c r="AH66" s="376">
        <f t="shared" si="29"/>
        <v>0</v>
      </c>
      <c r="AI66" s="376">
        <f t="shared" si="29"/>
        <v>0</v>
      </c>
      <c r="AJ66" s="379">
        <f t="shared" si="29"/>
        <v>0</v>
      </c>
    </row>
    <row r="67" spans="2:36" ht="12.75" customHeight="1" x14ac:dyDescent="0.3">
      <c r="B67" s="146" t="s">
        <v>2382</v>
      </c>
      <c r="C67" s="144"/>
      <c r="D67" s="376">
        <f t="shared" si="5"/>
        <v>0</v>
      </c>
      <c r="E67" s="179">
        <f t="shared" si="7"/>
        <v>0</v>
      </c>
      <c r="F67" s="376">
        <f t="shared" si="9"/>
        <v>0</v>
      </c>
      <c r="G67" s="179">
        <f t="shared" si="12"/>
        <v>6.0016335617205187E-2</v>
      </c>
      <c r="H67" s="376">
        <f t="shared" si="15"/>
        <v>0</v>
      </c>
      <c r="I67" s="376">
        <f t="shared" si="18"/>
        <v>0</v>
      </c>
      <c r="J67" s="376">
        <f t="shared" si="20"/>
        <v>0</v>
      </c>
      <c r="K67" s="376">
        <f t="shared" si="22"/>
        <v>0</v>
      </c>
      <c r="L67" s="376">
        <f t="shared" si="24"/>
        <v>0</v>
      </c>
      <c r="M67" s="179">
        <f t="shared" si="26"/>
        <v>0.10911241529993136</v>
      </c>
      <c r="N67" s="179">
        <f t="shared" si="28"/>
        <v>0</v>
      </c>
      <c r="O67" s="179">
        <f t="shared" ref="O67:O87" si="30">O21*O$45</f>
        <v>1.1974620273376328E-4</v>
      </c>
      <c r="P67" s="378">
        <f>SUM(D67:O67,Q67:AJ67)-SUM(P55:P66,P68:P87)</f>
        <v>0.10414553411220653</v>
      </c>
      <c r="Q67" s="376">
        <f t="shared" ref="Q67:AJ67" si="31">Q21*Q$45</f>
        <v>0</v>
      </c>
      <c r="R67" s="179">
        <f t="shared" si="31"/>
        <v>2.2958469824803704E-4</v>
      </c>
      <c r="S67" s="376">
        <f t="shared" si="31"/>
        <v>0</v>
      </c>
      <c r="T67" s="376">
        <f t="shared" si="31"/>
        <v>0</v>
      </c>
      <c r="U67" s="376">
        <f t="shared" si="31"/>
        <v>0</v>
      </c>
      <c r="V67" s="376">
        <f t="shared" si="31"/>
        <v>0</v>
      </c>
      <c r="W67" s="179">
        <f t="shared" si="31"/>
        <v>3.6607962465473941E-3</v>
      </c>
      <c r="X67" s="376">
        <f t="shared" si="31"/>
        <v>0</v>
      </c>
      <c r="Y67" s="376">
        <f t="shared" si="31"/>
        <v>0</v>
      </c>
      <c r="Z67" s="376">
        <f t="shared" si="31"/>
        <v>0</v>
      </c>
      <c r="AA67" s="376">
        <f t="shared" si="31"/>
        <v>0</v>
      </c>
      <c r="AB67" s="376">
        <f t="shared" si="31"/>
        <v>0</v>
      </c>
      <c r="AC67" s="376">
        <f t="shared" si="31"/>
        <v>0</v>
      </c>
      <c r="AD67" s="376">
        <f t="shared" si="31"/>
        <v>0</v>
      </c>
      <c r="AE67" s="376">
        <f t="shared" si="31"/>
        <v>0</v>
      </c>
      <c r="AF67" s="376">
        <f t="shared" si="31"/>
        <v>0</v>
      </c>
      <c r="AG67" s="376">
        <f t="shared" si="31"/>
        <v>0</v>
      </c>
      <c r="AH67" s="376">
        <f t="shared" si="31"/>
        <v>0</v>
      </c>
      <c r="AI67" s="376">
        <f t="shared" si="31"/>
        <v>0</v>
      </c>
      <c r="AJ67" s="379">
        <f t="shared" si="31"/>
        <v>0</v>
      </c>
    </row>
    <row r="68" spans="2:36" ht="12.75" customHeight="1" x14ac:dyDescent="0.3">
      <c r="B68" s="146" t="s">
        <v>2383</v>
      </c>
      <c r="C68" s="144"/>
      <c r="D68" s="376">
        <f t="shared" si="5"/>
        <v>0</v>
      </c>
      <c r="E68" s="179">
        <f t="shared" si="7"/>
        <v>0</v>
      </c>
      <c r="F68" s="376">
        <f t="shared" si="9"/>
        <v>0</v>
      </c>
      <c r="G68" s="376">
        <f t="shared" si="12"/>
        <v>0</v>
      </c>
      <c r="H68" s="376">
        <f t="shared" si="15"/>
        <v>0</v>
      </c>
      <c r="I68" s="376">
        <f t="shared" si="18"/>
        <v>0</v>
      </c>
      <c r="J68" s="376">
        <f t="shared" si="20"/>
        <v>0</v>
      </c>
      <c r="K68" s="376">
        <f t="shared" si="22"/>
        <v>0</v>
      </c>
      <c r="L68" s="376">
        <f t="shared" si="24"/>
        <v>0</v>
      </c>
      <c r="M68" s="376">
        <f t="shared" si="26"/>
        <v>0</v>
      </c>
      <c r="N68" s="376">
        <f t="shared" si="28"/>
        <v>0</v>
      </c>
      <c r="O68" s="179">
        <f t="shared" si="30"/>
        <v>3.6912140658551404E-5</v>
      </c>
      <c r="P68" s="376">
        <f t="shared" ref="P68:P87" si="32">P22*P$45</f>
        <v>0</v>
      </c>
      <c r="Q68" s="378">
        <f>SUM(D68:P68,R68:AJ68)-SUM(Q55:Q67,Q69:Q87)</f>
        <v>5.4873040073816838E-6</v>
      </c>
      <c r="R68" s="376">
        <f t="shared" ref="R68:AJ68" si="33">R22*R$45</f>
        <v>0</v>
      </c>
      <c r="S68" s="376">
        <f t="shared" si="33"/>
        <v>0</v>
      </c>
      <c r="T68" s="376">
        <f t="shared" si="33"/>
        <v>0</v>
      </c>
      <c r="U68" s="376">
        <f t="shared" si="33"/>
        <v>0</v>
      </c>
      <c r="V68" s="376">
        <f t="shared" si="33"/>
        <v>0</v>
      </c>
      <c r="W68" s="376">
        <f t="shared" si="33"/>
        <v>0</v>
      </c>
      <c r="X68" s="376">
        <f t="shared" si="33"/>
        <v>0</v>
      </c>
      <c r="Y68" s="376">
        <f t="shared" si="33"/>
        <v>0</v>
      </c>
      <c r="Z68" s="376">
        <f t="shared" si="33"/>
        <v>0</v>
      </c>
      <c r="AA68" s="376">
        <f t="shared" si="33"/>
        <v>0</v>
      </c>
      <c r="AB68" s="376">
        <f t="shared" si="33"/>
        <v>0</v>
      </c>
      <c r="AC68" s="376">
        <f t="shared" si="33"/>
        <v>0</v>
      </c>
      <c r="AD68" s="376">
        <f t="shared" si="33"/>
        <v>0</v>
      </c>
      <c r="AE68" s="376">
        <f t="shared" si="33"/>
        <v>0</v>
      </c>
      <c r="AF68" s="376">
        <f t="shared" si="33"/>
        <v>0</v>
      </c>
      <c r="AG68" s="376">
        <f t="shared" si="33"/>
        <v>0</v>
      </c>
      <c r="AH68" s="376">
        <f t="shared" si="33"/>
        <v>0</v>
      </c>
      <c r="AI68" s="376">
        <f t="shared" si="33"/>
        <v>0</v>
      </c>
      <c r="AJ68" s="379">
        <f t="shared" si="33"/>
        <v>0</v>
      </c>
    </row>
    <row r="69" spans="2:36" ht="12.75" customHeight="1" x14ac:dyDescent="0.3">
      <c r="B69" s="146" t="s">
        <v>2384</v>
      </c>
      <c r="C69" s="144"/>
      <c r="D69" s="376">
        <f t="shared" si="5"/>
        <v>0</v>
      </c>
      <c r="E69" s="179">
        <f t="shared" si="7"/>
        <v>0</v>
      </c>
      <c r="F69" s="376">
        <f t="shared" si="9"/>
        <v>0</v>
      </c>
      <c r="G69" s="376">
        <f t="shared" si="12"/>
        <v>0</v>
      </c>
      <c r="H69" s="376">
        <f t="shared" si="15"/>
        <v>0</v>
      </c>
      <c r="I69" s="376">
        <f t="shared" si="18"/>
        <v>0</v>
      </c>
      <c r="J69" s="376">
        <f t="shared" si="20"/>
        <v>0</v>
      </c>
      <c r="K69" s="376">
        <f t="shared" si="22"/>
        <v>0</v>
      </c>
      <c r="L69" s="376">
        <f t="shared" si="24"/>
        <v>0</v>
      </c>
      <c r="M69" s="376">
        <f t="shared" si="26"/>
        <v>0</v>
      </c>
      <c r="N69" s="376">
        <f t="shared" si="28"/>
        <v>0</v>
      </c>
      <c r="O69" s="376">
        <f t="shared" si="30"/>
        <v>0</v>
      </c>
      <c r="P69" s="179">
        <f t="shared" si="32"/>
        <v>2.696419744627518E-4</v>
      </c>
      <c r="Q69" s="376">
        <f t="shared" ref="Q69:Q87" si="34">Q23*Q$45</f>
        <v>0</v>
      </c>
      <c r="R69" s="378">
        <f>SUM(D69:Q69,S69:AJ69)-SUM(R55:R68,R70:R87)</f>
        <v>4.0057276214714756E-5</v>
      </c>
      <c r="S69" s="376">
        <f t="shared" ref="S69:AJ69" si="35">S23*S$45</f>
        <v>0</v>
      </c>
      <c r="T69" s="376">
        <f t="shared" si="35"/>
        <v>0</v>
      </c>
      <c r="U69" s="376">
        <f t="shared" si="35"/>
        <v>0</v>
      </c>
      <c r="V69" s="376">
        <f t="shared" si="35"/>
        <v>0</v>
      </c>
      <c r="W69" s="376">
        <f t="shared" si="35"/>
        <v>0</v>
      </c>
      <c r="X69" s="376">
        <f t="shared" si="35"/>
        <v>0</v>
      </c>
      <c r="Y69" s="376">
        <f t="shared" si="35"/>
        <v>0</v>
      </c>
      <c r="Z69" s="376">
        <f t="shared" si="35"/>
        <v>0</v>
      </c>
      <c r="AA69" s="376">
        <f t="shared" si="35"/>
        <v>0</v>
      </c>
      <c r="AB69" s="376">
        <f t="shared" si="35"/>
        <v>0</v>
      </c>
      <c r="AC69" s="376">
        <f t="shared" si="35"/>
        <v>0</v>
      </c>
      <c r="AD69" s="376">
        <f t="shared" si="35"/>
        <v>0</v>
      </c>
      <c r="AE69" s="376">
        <f t="shared" si="35"/>
        <v>0</v>
      </c>
      <c r="AF69" s="376">
        <f t="shared" si="35"/>
        <v>0</v>
      </c>
      <c r="AG69" s="376">
        <f t="shared" si="35"/>
        <v>0</v>
      </c>
      <c r="AH69" s="376">
        <f t="shared" si="35"/>
        <v>0</v>
      </c>
      <c r="AI69" s="376">
        <f t="shared" si="35"/>
        <v>0</v>
      </c>
      <c r="AJ69" s="379">
        <f t="shared" si="35"/>
        <v>0</v>
      </c>
    </row>
    <row r="70" spans="2:36" ht="12.75" customHeight="1" x14ac:dyDescent="0.3">
      <c r="B70" s="146" t="s">
        <v>2385</v>
      </c>
      <c r="C70" s="144"/>
      <c r="D70" s="376">
        <f t="shared" si="5"/>
        <v>0</v>
      </c>
      <c r="E70" s="179">
        <f t="shared" si="7"/>
        <v>0</v>
      </c>
      <c r="F70" s="376">
        <f t="shared" si="9"/>
        <v>0</v>
      </c>
      <c r="G70" s="376">
        <f t="shared" si="12"/>
        <v>0</v>
      </c>
      <c r="H70" s="376">
        <f t="shared" si="15"/>
        <v>0</v>
      </c>
      <c r="I70" s="376">
        <f t="shared" si="18"/>
        <v>0</v>
      </c>
      <c r="J70" s="376">
        <f t="shared" si="20"/>
        <v>0</v>
      </c>
      <c r="K70" s="376">
        <f t="shared" si="22"/>
        <v>0</v>
      </c>
      <c r="L70" s="376">
        <f t="shared" si="24"/>
        <v>0</v>
      </c>
      <c r="M70" s="179">
        <f t="shared" si="26"/>
        <v>7.0617037265005209E-4</v>
      </c>
      <c r="N70" s="376">
        <f t="shared" si="28"/>
        <v>0</v>
      </c>
      <c r="O70" s="376">
        <f t="shared" si="30"/>
        <v>0</v>
      </c>
      <c r="P70" s="376">
        <f t="shared" si="32"/>
        <v>0</v>
      </c>
      <c r="Q70" s="376">
        <f t="shared" si="34"/>
        <v>0</v>
      </c>
      <c r="R70" s="376">
        <f t="shared" ref="R70:R87" si="36">R24*R$45</f>
        <v>0</v>
      </c>
      <c r="S70" s="378">
        <f>SUM(D70:R70,T70:AJ70)-SUM(S55:S69,S71:S87)</f>
        <v>1.9209906973473691E-4</v>
      </c>
      <c r="T70" s="376">
        <f t="shared" ref="T70:AJ70" si="37">T24*T$45</f>
        <v>0</v>
      </c>
      <c r="U70" s="376">
        <f t="shared" si="37"/>
        <v>0</v>
      </c>
      <c r="V70" s="376">
        <f t="shared" si="37"/>
        <v>0</v>
      </c>
      <c r="W70" s="376">
        <f t="shared" si="37"/>
        <v>0</v>
      </c>
      <c r="X70" s="376">
        <f t="shared" si="37"/>
        <v>0</v>
      </c>
      <c r="Y70" s="376">
        <f t="shared" si="37"/>
        <v>0</v>
      </c>
      <c r="Z70" s="376">
        <f t="shared" si="37"/>
        <v>0</v>
      </c>
      <c r="AA70" s="376">
        <f t="shared" si="37"/>
        <v>0</v>
      </c>
      <c r="AB70" s="376">
        <f t="shared" si="37"/>
        <v>0</v>
      </c>
      <c r="AC70" s="376">
        <f t="shared" si="37"/>
        <v>0</v>
      </c>
      <c r="AD70" s="376">
        <f t="shared" si="37"/>
        <v>0</v>
      </c>
      <c r="AE70" s="376">
        <f t="shared" si="37"/>
        <v>0</v>
      </c>
      <c r="AF70" s="376">
        <f t="shared" si="37"/>
        <v>0</v>
      </c>
      <c r="AG70" s="376">
        <f t="shared" si="37"/>
        <v>0</v>
      </c>
      <c r="AH70" s="376">
        <f t="shared" si="37"/>
        <v>0</v>
      </c>
      <c r="AI70" s="376">
        <f t="shared" si="37"/>
        <v>0</v>
      </c>
      <c r="AJ70" s="379">
        <f t="shared" si="37"/>
        <v>0</v>
      </c>
    </row>
    <row r="71" spans="2:36" ht="12.75" customHeight="1" x14ac:dyDescent="0.3">
      <c r="B71" s="146" t="s">
        <v>2386</v>
      </c>
      <c r="C71" s="144"/>
      <c r="D71" s="376">
        <f t="shared" si="5"/>
        <v>0</v>
      </c>
      <c r="E71" s="179">
        <f t="shared" si="7"/>
        <v>0</v>
      </c>
      <c r="F71" s="376">
        <f t="shared" si="9"/>
        <v>0</v>
      </c>
      <c r="G71" s="376">
        <f t="shared" si="12"/>
        <v>0</v>
      </c>
      <c r="H71" s="376">
        <f t="shared" si="15"/>
        <v>0</v>
      </c>
      <c r="I71" s="376">
        <f t="shared" si="18"/>
        <v>0</v>
      </c>
      <c r="J71" s="376">
        <f t="shared" si="20"/>
        <v>0</v>
      </c>
      <c r="K71" s="376">
        <f t="shared" si="22"/>
        <v>0</v>
      </c>
      <c r="L71" s="376">
        <f t="shared" si="24"/>
        <v>0</v>
      </c>
      <c r="M71" s="179">
        <f t="shared" si="26"/>
        <v>1.5692674947778932E-3</v>
      </c>
      <c r="N71" s="376">
        <f t="shared" si="28"/>
        <v>0</v>
      </c>
      <c r="O71" s="376">
        <f t="shared" si="30"/>
        <v>0</v>
      </c>
      <c r="P71" s="376">
        <f t="shared" si="32"/>
        <v>0</v>
      </c>
      <c r="Q71" s="376">
        <f t="shared" si="34"/>
        <v>0</v>
      </c>
      <c r="R71" s="376">
        <f t="shared" si="36"/>
        <v>0</v>
      </c>
      <c r="S71" s="376">
        <f t="shared" ref="S71:S87" si="38">S25*S$45</f>
        <v>0</v>
      </c>
      <c r="T71" s="378">
        <f>SUM(D71:S71,U71:AJ71)-SUM(T55:T70,T72:T87)</f>
        <v>7.0739307550584816E-4</v>
      </c>
      <c r="U71" s="376">
        <f t="shared" ref="U71:AJ71" si="39">U25*U$45</f>
        <v>0</v>
      </c>
      <c r="V71" s="376">
        <f t="shared" si="39"/>
        <v>0</v>
      </c>
      <c r="W71" s="376">
        <f t="shared" si="39"/>
        <v>0</v>
      </c>
      <c r="X71" s="376">
        <f t="shared" si="39"/>
        <v>0</v>
      </c>
      <c r="Y71" s="376">
        <f t="shared" si="39"/>
        <v>0</v>
      </c>
      <c r="Z71" s="376">
        <f t="shared" si="39"/>
        <v>0</v>
      </c>
      <c r="AA71" s="376">
        <f t="shared" si="39"/>
        <v>0</v>
      </c>
      <c r="AB71" s="376">
        <f t="shared" si="39"/>
        <v>0</v>
      </c>
      <c r="AC71" s="376">
        <f t="shared" si="39"/>
        <v>0</v>
      </c>
      <c r="AD71" s="376">
        <f t="shared" si="39"/>
        <v>0</v>
      </c>
      <c r="AE71" s="376">
        <f t="shared" si="39"/>
        <v>0</v>
      </c>
      <c r="AF71" s="376">
        <f t="shared" si="39"/>
        <v>0</v>
      </c>
      <c r="AG71" s="376">
        <f t="shared" si="39"/>
        <v>0</v>
      </c>
      <c r="AH71" s="376">
        <f t="shared" si="39"/>
        <v>0</v>
      </c>
      <c r="AI71" s="376">
        <f t="shared" si="39"/>
        <v>0</v>
      </c>
      <c r="AJ71" s="379">
        <f t="shared" si="39"/>
        <v>0</v>
      </c>
    </row>
    <row r="72" spans="2:36" ht="12.75" customHeight="1" x14ac:dyDescent="0.3">
      <c r="B72" s="146" t="s">
        <v>2387</v>
      </c>
      <c r="C72" s="144"/>
      <c r="D72" s="376">
        <f t="shared" si="5"/>
        <v>0</v>
      </c>
      <c r="E72" s="179">
        <f t="shared" si="7"/>
        <v>0</v>
      </c>
      <c r="F72" s="376">
        <f t="shared" si="9"/>
        <v>0</v>
      </c>
      <c r="G72" s="376">
        <f t="shared" si="12"/>
        <v>0</v>
      </c>
      <c r="H72" s="376">
        <f t="shared" si="15"/>
        <v>0</v>
      </c>
      <c r="I72" s="376">
        <f t="shared" si="18"/>
        <v>0</v>
      </c>
      <c r="J72" s="376">
        <f t="shared" si="20"/>
        <v>0</v>
      </c>
      <c r="K72" s="376">
        <f t="shared" si="22"/>
        <v>0</v>
      </c>
      <c r="L72" s="376">
        <f t="shared" si="24"/>
        <v>0</v>
      </c>
      <c r="M72" s="179">
        <f t="shared" si="26"/>
        <v>2.6154458246298225E-4</v>
      </c>
      <c r="N72" s="376">
        <f t="shared" si="28"/>
        <v>0</v>
      </c>
      <c r="O72" s="376">
        <f t="shared" si="30"/>
        <v>0</v>
      </c>
      <c r="P72" s="376">
        <f t="shared" si="32"/>
        <v>0</v>
      </c>
      <c r="Q72" s="376">
        <f t="shared" si="34"/>
        <v>0</v>
      </c>
      <c r="R72" s="376">
        <f t="shared" si="36"/>
        <v>0</v>
      </c>
      <c r="S72" s="376">
        <f t="shared" si="38"/>
        <v>0</v>
      </c>
      <c r="T72" s="376">
        <f t="shared" ref="T72:T87" si="40">T26*T$45</f>
        <v>0</v>
      </c>
      <c r="U72" s="378">
        <f>SUM(D72:T72,V72:AJ72)-SUM(U55:U71,U73:U87)</f>
        <v>7.1147803605458139E-5</v>
      </c>
      <c r="V72" s="376">
        <f t="shared" ref="V72:AJ72" si="41">V26*V$45</f>
        <v>0</v>
      </c>
      <c r="W72" s="376">
        <f t="shared" si="41"/>
        <v>0</v>
      </c>
      <c r="X72" s="376">
        <f t="shared" si="41"/>
        <v>0</v>
      </c>
      <c r="Y72" s="376">
        <f t="shared" si="41"/>
        <v>0</v>
      </c>
      <c r="Z72" s="376">
        <f t="shared" si="41"/>
        <v>0</v>
      </c>
      <c r="AA72" s="376">
        <f t="shared" si="41"/>
        <v>0</v>
      </c>
      <c r="AB72" s="376">
        <f t="shared" si="41"/>
        <v>0</v>
      </c>
      <c r="AC72" s="376">
        <f t="shared" si="41"/>
        <v>0</v>
      </c>
      <c r="AD72" s="376">
        <f t="shared" si="41"/>
        <v>0</v>
      </c>
      <c r="AE72" s="376">
        <f t="shared" si="41"/>
        <v>0</v>
      </c>
      <c r="AF72" s="376">
        <f t="shared" si="41"/>
        <v>0</v>
      </c>
      <c r="AG72" s="376">
        <f t="shared" si="41"/>
        <v>0</v>
      </c>
      <c r="AH72" s="376">
        <f t="shared" si="41"/>
        <v>0</v>
      </c>
      <c r="AI72" s="376">
        <f t="shared" si="41"/>
        <v>0</v>
      </c>
      <c r="AJ72" s="379">
        <f t="shared" si="41"/>
        <v>0</v>
      </c>
    </row>
    <row r="73" spans="2:36" ht="12.75" customHeight="1" x14ac:dyDescent="0.3">
      <c r="B73" s="146" t="s">
        <v>2388</v>
      </c>
      <c r="C73" s="144"/>
      <c r="D73" s="376">
        <f t="shared" si="5"/>
        <v>0</v>
      </c>
      <c r="E73" s="179">
        <f t="shared" si="7"/>
        <v>0</v>
      </c>
      <c r="F73" s="376">
        <f t="shared" si="9"/>
        <v>0</v>
      </c>
      <c r="G73" s="376">
        <f t="shared" si="12"/>
        <v>0</v>
      </c>
      <c r="H73" s="376">
        <f t="shared" si="15"/>
        <v>0</v>
      </c>
      <c r="I73" s="376">
        <f t="shared" si="18"/>
        <v>0</v>
      </c>
      <c r="J73" s="376">
        <f t="shared" si="20"/>
        <v>0</v>
      </c>
      <c r="K73" s="376">
        <f t="shared" si="22"/>
        <v>0</v>
      </c>
      <c r="L73" s="376">
        <f t="shared" si="24"/>
        <v>0</v>
      </c>
      <c r="M73" s="179">
        <f t="shared" si="26"/>
        <v>5.199776444172957</v>
      </c>
      <c r="N73" s="376">
        <f t="shared" si="28"/>
        <v>0</v>
      </c>
      <c r="O73" s="376">
        <f t="shared" si="30"/>
        <v>0</v>
      </c>
      <c r="P73" s="376">
        <f t="shared" si="32"/>
        <v>0</v>
      </c>
      <c r="Q73" s="376">
        <f t="shared" si="34"/>
        <v>0</v>
      </c>
      <c r="R73" s="376">
        <f t="shared" si="36"/>
        <v>0</v>
      </c>
      <c r="S73" s="376">
        <f t="shared" si="38"/>
        <v>0</v>
      </c>
      <c r="T73" s="376">
        <f t="shared" si="40"/>
        <v>0</v>
      </c>
      <c r="U73" s="376">
        <f t="shared" ref="U73:U87" si="42">U27*U$45</f>
        <v>0</v>
      </c>
      <c r="V73" s="378">
        <f>SUM(D73:U73,W73:AJ73)-SUM(V55:V72,V74:V87)</f>
        <v>1.5234209247592965</v>
      </c>
      <c r="W73" s="179">
        <f t="shared" ref="W73:AJ73" si="43">W27*W$45</f>
        <v>3.0797090939683611E-2</v>
      </c>
      <c r="X73" s="376">
        <f t="shared" si="43"/>
        <v>0</v>
      </c>
      <c r="Y73" s="376">
        <f t="shared" si="43"/>
        <v>0</v>
      </c>
      <c r="Z73" s="179">
        <f t="shared" si="43"/>
        <v>3.3360914939771689E-3</v>
      </c>
      <c r="AA73" s="179">
        <f t="shared" si="43"/>
        <v>1.9270399447056297</v>
      </c>
      <c r="AB73" s="376">
        <f t="shared" si="43"/>
        <v>0</v>
      </c>
      <c r="AC73" s="376">
        <f t="shared" si="43"/>
        <v>0</v>
      </c>
      <c r="AD73" s="376">
        <f t="shared" si="43"/>
        <v>0</v>
      </c>
      <c r="AE73" s="376">
        <f t="shared" si="43"/>
        <v>0</v>
      </c>
      <c r="AF73" s="179">
        <f t="shared" si="43"/>
        <v>2.8128122885732556</v>
      </c>
      <c r="AG73" s="376">
        <f t="shared" si="43"/>
        <v>0</v>
      </c>
      <c r="AH73" s="376">
        <f t="shared" si="43"/>
        <v>0</v>
      </c>
      <c r="AI73" s="376">
        <f t="shared" si="43"/>
        <v>0</v>
      </c>
      <c r="AJ73" s="379">
        <f t="shared" si="43"/>
        <v>0</v>
      </c>
    </row>
    <row r="74" spans="2:36" ht="12.75" customHeight="1" x14ac:dyDescent="0.3">
      <c r="B74" s="147" t="s">
        <v>2389</v>
      </c>
      <c r="C74" s="144"/>
      <c r="D74" s="376">
        <f t="shared" si="5"/>
        <v>0</v>
      </c>
      <c r="E74" s="179">
        <f t="shared" si="7"/>
        <v>0</v>
      </c>
      <c r="F74" s="376">
        <f t="shared" si="9"/>
        <v>0</v>
      </c>
      <c r="G74" s="376">
        <f t="shared" si="12"/>
        <v>0</v>
      </c>
      <c r="H74" s="376">
        <f t="shared" si="15"/>
        <v>0</v>
      </c>
      <c r="I74" s="376">
        <f t="shared" si="18"/>
        <v>0</v>
      </c>
      <c r="J74" s="376">
        <f t="shared" si="20"/>
        <v>0</v>
      </c>
      <c r="K74" s="376">
        <f t="shared" si="22"/>
        <v>0</v>
      </c>
      <c r="L74" s="376">
        <f t="shared" si="24"/>
        <v>0</v>
      </c>
      <c r="M74" s="376">
        <f t="shared" si="26"/>
        <v>0</v>
      </c>
      <c r="N74" s="376">
        <f t="shared" si="28"/>
        <v>0</v>
      </c>
      <c r="O74" s="376">
        <f t="shared" si="30"/>
        <v>0</v>
      </c>
      <c r="P74" s="179">
        <f t="shared" si="32"/>
        <v>3.7998741369801393E-2</v>
      </c>
      <c r="Q74" s="376">
        <f t="shared" si="34"/>
        <v>0</v>
      </c>
      <c r="R74" s="376">
        <f t="shared" si="36"/>
        <v>0</v>
      </c>
      <c r="S74" s="376">
        <f t="shared" si="38"/>
        <v>0</v>
      </c>
      <c r="T74" s="376">
        <f t="shared" si="40"/>
        <v>0</v>
      </c>
      <c r="U74" s="376">
        <f t="shared" si="42"/>
        <v>0</v>
      </c>
      <c r="V74" s="179">
        <f t="shared" ref="V74:V87" si="44">V28*V$45</f>
        <v>0.20171384038151022</v>
      </c>
      <c r="W74" s="378">
        <f>SUM(D74:V74,X74:AJ74)-SUM(W55:W73,W75:W87)</f>
        <v>5.2228839313309988E-2</v>
      </c>
      <c r="X74" s="376">
        <f t="shared" ref="X74:AJ74" si="45">X28*X$45</f>
        <v>1.4905504556280457E-2</v>
      </c>
      <c r="Y74" s="376">
        <f t="shared" si="45"/>
        <v>0</v>
      </c>
      <c r="Z74" s="179">
        <f t="shared" si="45"/>
        <v>1.8373443713851995E-4</v>
      </c>
      <c r="AA74" s="376">
        <f t="shared" si="45"/>
        <v>0</v>
      </c>
      <c r="AB74" s="179">
        <f t="shared" si="45"/>
        <v>0</v>
      </c>
      <c r="AC74" s="376">
        <f t="shared" si="45"/>
        <v>0</v>
      </c>
      <c r="AD74" s="376">
        <f t="shared" si="45"/>
        <v>0</v>
      </c>
      <c r="AE74" s="376">
        <f t="shared" si="45"/>
        <v>0</v>
      </c>
      <c r="AF74" s="376">
        <f t="shared" si="45"/>
        <v>0</v>
      </c>
      <c r="AG74" s="179">
        <f t="shared" si="45"/>
        <v>5.0714702840781636E-3</v>
      </c>
      <c r="AH74" s="376">
        <f t="shared" si="45"/>
        <v>0</v>
      </c>
      <c r="AI74" s="376">
        <f t="shared" si="45"/>
        <v>0</v>
      </c>
      <c r="AJ74" s="379">
        <f t="shared" si="45"/>
        <v>0</v>
      </c>
    </row>
    <row r="75" spans="2:36" ht="12.75" customHeight="1" x14ac:dyDescent="0.3">
      <c r="B75" s="147" t="s">
        <v>2390</v>
      </c>
      <c r="C75" s="144"/>
      <c r="D75" s="376">
        <f t="shared" si="5"/>
        <v>0</v>
      </c>
      <c r="E75" s="179">
        <f t="shared" si="7"/>
        <v>0</v>
      </c>
      <c r="F75" s="376">
        <f t="shared" si="9"/>
        <v>0</v>
      </c>
      <c r="G75" s="376">
        <f t="shared" si="12"/>
        <v>0</v>
      </c>
      <c r="H75" s="376">
        <f t="shared" si="15"/>
        <v>0</v>
      </c>
      <c r="I75" s="376">
        <f t="shared" si="18"/>
        <v>0</v>
      </c>
      <c r="J75" s="376">
        <f t="shared" si="20"/>
        <v>0</v>
      </c>
      <c r="K75" s="376">
        <f t="shared" si="22"/>
        <v>0</v>
      </c>
      <c r="L75" s="376">
        <f t="shared" si="24"/>
        <v>0</v>
      </c>
      <c r="M75" s="376">
        <f t="shared" si="26"/>
        <v>0</v>
      </c>
      <c r="N75" s="376">
        <f t="shared" si="28"/>
        <v>0</v>
      </c>
      <c r="O75" s="376">
        <f t="shared" si="30"/>
        <v>0</v>
      </c>
      <c r="P75" s="376">
        <f t="shared" si="32"/>
        <v>0</v>
      </c>
      <c r="Q75" s="376">
        <f t="shared" si="34"/>
        <v>0</v>
      </c>
      <c r="R75" s="376">
        <f t="shared" si="36"/>
        <v>0</v>
      </c>
      <c r="S75" s="376">
        <f t="shared" si="38"/>
        <v>0</v>
      </c>
      <c r="T75" s="376">
        <f t="shared" si="40"/>
        <v>0</v>
      </c>
      <c r="U75" s="376">
        <f t="shared" si="42"/>
        <v>0</v>
      </c>
      <c r="V75" s="376">
        <f t="shared" si="44"/>
        <v>0</v>
      </c>
      <c r="W75" s="376">
        <f t="shared" ref="W75:W87" si="46">W29*W$45</f>
        <v>0.14986239387576586</v>
      </c>
      <c r="X75" s="378">
        <f>SUM(D75:W75,Y75:AJ75)-SUM(X55:X74,X76:X87)</f>
        <v>0.15584240626754153</v>
      </c>
      <c r="Y75" s="376">
        <f t="shared" ref="Y75:AJ75" si="47">Y29*Y$45</f>
        <v>2.2901993164069566E-5</v>
      </c>
      <c r="Z75" s="376">
        <f t="shared" si="47"/>
        <v>0</v>
      </c>
      <c r="AA75" s="376">
        <f t="shared" si="47"/>
        <v>0</v>
      </c>
      <c r="AB75" s="376">
        <f t="shared" si="47"/>
        <v>0</v>
      </c>
      <c r="AC75" s="376">
        <f t="shared" si="47"/>
        <v>2.3209365989007934E-2</v>
      </c>
      <c r="AD75" s="376">
        <f t="shared" si="47"/>
        <v>0</v>
      </c>
      <c r="AE75" s="376">
        <f t="shared" si="47"/>
        <v>0</v>
      </c>
      <c r="AF75" s="376">
        <f t="shared" si="47"/>
        <v>0</v>
      </c>
      <c r="AG75" s="376">
        <f t="shared" si="47"/>
        <v>0</v>
      </c>
      <c r="AH75" s="376">
        <f t="shared" si="47"/>
        <v>0</v>
      </c>
      <c r="AI75" s="376">
        <f t="shared" si="47"/>
        <v>0</v>
      </c>
      <c r="AJ75" s="379">
        <f t="shared" si="47"/>
        <v>0</v>
      </c>
    </row>
    <row r="76" spans="2:36" ht="12.75" customHeight="1" x14ac:dyDescent="0.3">
      <c r="B76" s="146" t="s">
        <v>2391</v>
      </c>
      <c r="C76" s="144"/>
      <c r="D76" s="376">
        <f t="shared" si="5"/>
        <v>0</v>
      </c>
      <c r="E76" s="179">
        <f t="shared" si="7"/>
        <v>0</v>
      </c>
      <c r="F76" s="376">
        <f t="shared" si="9"/>
        <v>0</v>
      </c>
      <c r="G76" s="376">
        <f t="shared" si="12"/>
        <v>0</v>
      </c>
      <c r="H76" s="376">
        <f t="shared" si="15"/>
        <v>0</v>
      </c>
      <c r="I76" s="376">
        <f t="shared" si="18"/>
        <v>0</v>
      </c>
      <c r="J76" s="376">
        <f t="shared" si="20"/>
        <v>0</v>
      </c>
      <c r="K76" s="376">
        <f t="shared" si="22"/>
        <v>0</v>
      </c>
      <c r="L76" s="376">
        <f t="shared" si="24"/>
        <v>0</v>
      </c>
      <c r="M76" s="376">
        <f t="shared" si="26"/>
        <v>0</v>
      </c>
      <c r="N76" s="376">
        <f t="shared" si="28"/>
        <v>0</v>
      </c>
      <c r="O76" s="376">
        <f t="shared" si="30"/>
        <v>0</v>
      </c>
      <c r="P76" s="376">
        <f t="shared" si="32"/>
        <v>0</v>
      </c>
      <c r="Q76" s="376">
        <f t="shared" si="34"/>
        <v>0</v>
      </c>
      <c r="R76" s="376">
        <f t="shared" si="36"/>
        <v>0</v>
      </c>
      <c r="S76" s="376">
        <f t="shared" si="38"/>
        <v>0</v>
      </c>
      <c r="T76" s="376">
        <f t="shared" si="40"/>
        <v>0</v>
      </c>
      <c r="U76" s="376">
        <f t="shared" si="42"/>
        <v>0</v>
      </c>
      <c r="V76" s="376">
        <f t="shared" si="44"/>
        <v>0</v>
      </c>
      <c r="W76" s="512">
        <f t="shared" si="46"/>
        <v>0</v>
      </c>
      <c r="X76" s="376">
        <f t="shared" ref="X76:X87" si="48">X30*X$45</f>
        <v>2.6899315775897504E-5</v>
      </c>
      <c r="Y76" s="378">
        <f>SUM(D76:X76,Z76:AJ76)-SUM(Y55:Y75,Y77:Y87)</f>
        <v>3.9973226118279372E-6</v>
      </c>
      <c r="Z76" s="376">
        <f t="shared" ref="Z76:AJ76" si="49">Z30*Z$45</f>
        <v>0</v>
      </c>
      <c r="AA76" s="376">
        <f t="shared" si="49"/>
        <v>0</v>
      </c>
      <c r="AB76" s="376">
        <f t="shared" si="49"/>
        <v>0</v>
      </c>
      <c r="AC76" s="376">
        <f t="shared" si="49"/>
        <v>0</v>
      </c>
      <c r="AD76" s="376">
        <f t="shared" si="49"/>
        <v>0</v>
      </c>
      <c r="AE76" s="376">
        <f t="shared" si="49"/>
        <v>0</v>
      </c>
      <c r="AF76" s="376">
        <f t="shared" si="49"/>
        <v>0</v>
      </c>
      <c r="AG76" s="376">
        <f t="shared" si="49"/>
        <v>0</v>
      </c>
      <c r="AH76" s="376">
        <f t="shared" si="49"/>
        <v>0</v>
      </c>
      <c r="AI76" s="376">
        <f t="shared" si="49"/>
        <v>0</v>
      </c>
      <c r="AJ76" s="379">
        <f t="shared" si="49"/>
        <v>0</v>
      </c>
    </row>
    <row r="77" spans="2:36" ht="12.75" customHeight="1" x14ac:dyDescent="0.3">
      <c r="B77" s="147" t="s">
        <v>2392</v>
      </c>
      <c r="C77" s="144"/>
      <c r="D77" s="376">
        <f t="shared" si="5"/>
        <v>0</v>
      </c>
      <c r="E77" s="179">
        <f t="shared" si="7"/>
        <v>0</v>
      </c>
      <c r="F77" s="376">
        <f t="shared" si="9"/>
        <v>0</v>
      </c>
      <c r="G77" s="376">
        <f t="shared" si="12"/>
        <v>0</v>
      </c>
      <c r="H77" s="376">
        <f t="shared" si="15"/>
        <v>0</v>
      </c>
      <c r="I77" s="376">
        <f t="shared" si="18"/>
        <v>0</v>
      </c>
      <c r="J77" s="376">
        <f t="shared" si="20"/>
        <v>0</v>
      </c>
      <c r="K77" s="376">
        <f t="shared" si="22"/>
        <v>0</v>
      </c>
      <c r="L77" s="376">
        <f t="shared" si="24"/>
        <v>0</v>
      </c>
      <c r="M77" s="376">
        <f t="shared" si="26"/>
        <v>0</v>
      </c>
      <c r="N77" s="376">
        <f t="shared" si="28"/>
        <v>0</v>
      </c>
      <c r="O77" s="376">
        <f t="shared" si="30"/>
        <v>0</v>
      </c>
      <c r="P77" s="376">
        <f t="shared" si="32"/>
        <v>0</v>
      </c>
      <c r="Q77" s="376">
        <f t="shared" si="34"/>
        <v>0</v>
      </c>
      <c r="R77" s="376">
        <f t="shared" si="36"/>
        <v>0</v>
      </c>
      <c r="S77" s="376">
        <f t="shared" si="38"/>
        <v>0</v>
      </c>
      <c r="T77" s="376">
        <f t="shared" si="40"/>
        <v>0</v>
      </c>
      <c r="U77" s="376">
        <f t="shared" si="42"/>
        <v>0</v>
      </c>
      <c r="V77" s="179">
        <f t="shared" si="44"/>
        <v>4.8351206833436959E-3</v>
      </c>
      <c r="W77" s="376">
        <f t="shared" si="46"/>
        <v>0</v>
      </c>
      <c r="X77" s="376">
        <f t="shared" si="48"/>
        <v>0</v>
      </c>
      <c r="Y77" s="376">
        <f t="shared" ref="Y77:Y87" si="50">Y31*Y$45</f>
        <v>0</v>
      </c>
      <c r="Z77" s="378">
        <f>SUM(D77:Y77,AA77:AJ77)-SUM(Z55:Z76,Z78:Z87)</f>
        <v>1.3152947522280072E-3</v>
      </c>
      <c r="AA77" s="376">
        <f t="shared" ref="AA77:AJ77" si="51">AA31*AA$45</f>
        <v>0</v>
      </c>
      <c r="AB77" s="376">
        <f t="shared" si="51"/>
        <v>0</v>
      </c>
      <c r="AC77" s="376">
        <f t="shared" si="51"/>
        <v>0</v>
      </c>
      <c r="AD77" s="376">
        <f t="shared" si="51"/>
        <v>0</v>
      </c>
      <c r="AE77" s="376">
        <f t="shared" si="51"/>
        <v>0</v>
      </c>
      <c r="AF77" s="376">
        <f t="shared" si="51"/>
        <v>0</v>
      </c>
      <c r="AG77" s="376">
        <f t="shared" si="51"/>
        <v>0</v>
      </c>
      <c r="AH77" s="376">
        <f t="shared" si="51"/>
        <v>0</v>
      </c>
      <c r="AI77" s="376">
        <f t="shared" si="51"/>
        <v>0</v>
      </c>
      <c r="AJ77" s="379">
        <f t="shared" si="51"/>
        <v>0</v>
      </c>
    </row>
    <row r="78" spans="2:36" ht="12.75" customHeight="1" x14ac:dyDescent="0.3">
      <c r="B78" s="146" t="s">
        <v>2393</v>
      </c>
      <c r="C78" s="144"/>
      <c r="D78" s="376">
        <f t="shared" si="5"/>
        <v>0</v>
      </c>
      <c r="E78" s="179">
        <f t="shared" si="7"/>
        <v>0</v>
      </c>
      <c r="F78" s="376">
        <f t="shared" si="9"/>
        <v>0</v>
      </c>
      <c r="G78" s="376">
        <f t="shared" si="12"/>
        <v>0</v>
      </c>
      <c r="H78" s="376">
        <f t="shared" si="15"/>
        <v>0</v>
      </c>
      <c r="I78" s="376">
        <f t="shared" si="18"/>
        <v>0</v>
      </c>
      <c r="J78" s="376">
        <f t="shared" si="20"/>
        <v>0</v>
      </c>
      <c r="K78" s="376">
        <f t="shared" si="22"/>
        <v>0</v>
      </c>
      <c r="L78" s="376">
        <f t="shared" si="24"/>
        <v>0</v>
      </c>
      <c r="M78" s="376">
        <f t="shared" si="26"/>
        <v>0</v>
      </c>
      <c r="N78" s="376">
        <f t="shared" si="28"/>
        <v>0</v>
      </c>
      <c r="O78" s="376">
        <f t="shared" si="30"/>
        <v>0</v>
      </c>
      <c r="P78" s="376">
        <f t="shared" si="32"/>
        <v>0</v>
      </c>
      <c r="Q78" s="376">
        <f t="shared" si="34"/>
        <v>0</v>
      </c>
      <c r="R78" s="376">
        <f t="shared" si="36"/>
        <v>0</v>
      </c>
      <c r="S78" s="376">
        <f t="shared" si="38"/>
        <v>0</v>
      </c>
      <c r="T78" s="376">
        <f t="shared" si="40"/>
        <v>0</v>
      </c>
      <c r="U78" s="376">
        <f t="shared" si="42"/>
        <v>0</v>
      </c>
      <c r="V78" s="179">
        <f t="shared" si="44"/>
        <v>2.6794782561412074</v>
      </c>
      <c r="W78" s="376">
        <f t="shared" si="46"/>
        <v>0</v>
      </c>
      <c r="X78" s="376">
        <f t="shared" si="48"/>
        <v>0</v>
      </c>
      <c r="Y78" s="376">
        <f t="shared" si="50"/>
        <v>0</v>
      </c>
      <c r="Z78" s="376">
        <f t="shared" ref="Z78:Z87" si="52">Z32*Z$45</f>
        <v>0</v>
      </c>
      <c r="AA78" s="378">
        <f>SUM(D78:Z78,AB78:AJ78)-SUM(AA55:AA77,AA79:AA87)</f>
        <v>0.50365678159789695</v>
      </c>
      <c r="AB78" s="179">
        <f t="shared" ref="AB78:AJ78" si="53">AB32*AB$45</f>
        <v>6.5192369789547094E-2</v>
      </c>
      <c r="AC78" s="376">
        <f t="shared" si="53"/>
        <v>0</v>
      </c>
      <c r="AD78" s="376">
        <f t="shared" si="53"/>
        <v>0</v>
      </c>
      <c r="AE78" s="179">
        <f t="shared" si="53"/>
        <v>8.4595969295771722E-4</v>
      </c>
      <c r="AF78" s="376">
        <f t="shared" si="53"/>
        <v>0</v>
      </c>
      <c r="AG78" s="376">
        <f t="shared" si="53"/>
        <v>0</v>
      </c>
      <c r="AH78" s="376">
        <f t="shared" si="53"/>
        <v>0</v>
      </c>
      <c r="AI78" s="376">
        <f t="shared" si="53"/>
        <v>0</v>
      </c>
      <c r="AJ78" s="379">
        <f t="shared" si="53"/>
        <v>0</v>
      </c>
    </row>
    <row r="79" spans="2:36" ht="12.75" customHeight="1" x14ac:dyDescent="0.3">
      <c r="B79" s="147" t="s">
        <v>2394</v>
      </c>
      <c r="C79" s="144"/>
      <c r="D79" s="376">
        <f t="shared" si="5"/>
        <v>0</v>
      </c>
      <c r="E79" s="179">
        <f t="shared" si="7"/>
        <v>0</v>
      </c>
      <c r="F79" s="376">
        <f t="shared" si="9"/>
        <v>0</v>
      </c>
      <c r="G79" s="376">
        <f t="shared" si="12"/>
        <v>0</v>
      </c>
      <c r="H79" s="376">
        <f t="shared" si="15"/>
        <v>0</v>
      </c>
      <c r="I79" s="376">
        <f t="shared" si="18"/>
        <v>0</v>
      </c>
      <c r="J79" s="376">
        <f t="shared" si="20"/>
        <v>0</v>
      </c>
      <c r="K79" s="376">
        <f t="shared" si="22"/>
        <v>0</v>
      </c>
      <c r="L79" s="376">
        <f t="shared" si="24"/>
        <v>0</v>
      </c>
      <c r="M79" s="376">
        <f t="shared" si="26"/>
        <v>0</v>
      </c>
      <c r="N79" s="376">
        <f t="shared" si="28"/>
        <v>0</v>
      </c>
      <c r="O79" s="376">
        <f t="shared" si="30"/>
        <v>0</v>
      </c>
      <c r="P79" s="376">
        <f t="shared" si="32"/>
        <v>0</v>
      </c>
      <c r="Q79" s="376">
        <f t="shared" si="34"/>
        <v>0</v>
      </c>
      <c r="R79" s="376">
        <f t="shared" si="36"/>
        <v>0</v>
      </c>
      <c r="S79" s="376">
        <f t="shared" si="38"/>
        <v>0</v>
      </c>
      <c r="T79" s="376">
        <f t="shared" si="40"/>
        <v>0</v>
      </c>
      <c r="U79" s="376">
        <f t="shared" si="42"/>
        <v>0</v>
      </c>
      <c r="V79" s="376">
        <f t="shared" si="44"/>
        <v>0</v>
      </c>
      <c r="W79" s="179">
        <f t="shared" si="46"/>
        <v>2.3324170653501963E-2</v>
      </c>
      <c r="X79" s="376">
        <f t="shared" si="48"/>
        <v>0</v>
      </c>
      <c r="Y79" s="376">
        <f t="shared" si="50"/>
        <v>0</v>
      </c>
      <c r="Z79" s="376">
        <f t="shared" si="52"/>
        <v>0</v>
      </c>
      <c r="AA79" s="179">
        <f t="shared" ref="AA79:AA87" si="54">AA33*AA$45</f>
        <v>0.31356324038438094</v>
      </c>
      <c r="AB79" s="378">
        <f>SUM(D79:AA79,AC79:AJ79)-SUM(AB55:AB78,AB80:AB87)</f>
        <v>2.4797632012929505E-2</v>
      </c>
      <c r="AC79" s="376">
        <f t="shared" ref="AC79:AJ79" si="55">AC33*AC$45</f>
        <v>0.10623950525944877</v>
      </c>
      <c r="AD79" s="376">
        <f t="shared" si="55"/>
        <v>0</v>
      </c>
      <c r="AE79" s="179">
        <f t="shared" si="55"/>
        <v>7.7022991769749803E-5</v>
      </c>
      <c r="AF79" s="376">
        <f t="shared" si="55"/>
        <v>0</v>
      </c>
      <c r="AG79" s="376">
        <f t="shared" si="55"/>
        <v>0</v>
      </c>
      <c r="AH79" s="376">
        <f t="shared" si="55"/>
        <v>0</v>
      </c>
      <c r="AI79" s="376">
        <f t="shared" si="55"/>
        <v>0</v>
      </c>
      <c r="AJ79" s="379">
        <f t="shared" si="55"/>
        <v>0</v>
      </c>
    </row>
    <row r="80" spans="2:36" ht="12.75" customHeight="1" x14ac:dyDescent="0.3">
      <c r="B80" s="147" t="s">
        <v>2395</v>
      </c>
      <c r="C80" s="144"/>
      <c r="D80" s="376">
        <f t="shared" si="5"/>
        <v>0</v>
      </c>
      <c r="E80" s="179">
        <f t="shared" si="7"/>
        <v>0</v>
      </c>
      <c r="F80" s="376">
        <f t="shared" si="9"/>
        <v>0</v>
      </c>
      <c r="G80" s="376">
        <f t="shared" si="12"/>
        <v>0</v>
      </c>
      <c r="H80" s="376">
        <f t="shared" si="15"/>
        <v>0</v>
      </c>
      <c r="I80" s="376">
        <f t="shared" si="18"/>
        <v>0</v>
      </c>
      <c r="J80" s="376">
        <f t="shared" si="20"/>
        <v>0</v>
      </c>
      <c r="K80" s="376">
        <f t="shared" si="22"/>
        <v>0</v>
      </c>
      <c r="L80" s="376">
        <f t="shared" si="24"/>
        <v>0</v>
      </c>
      <c r="M80" s="376">
        <f t="shared" si="26"/>
        <v>0</v>
      </c>
      <c r="N80" s="376">
        <f t="shared" si="28"/>
        <v>0</v>
      </c>
      <c r="O80" s="376">
        <f t="shared" si="30"/>
        <v>0</v>
      </c>
      <c r="P80" s="376">
        <f t="shared" si="32"/>
        <v>0</v>
      </c>
      <c r="Q80" s="376">
        <f t="shared" si="34"/>
        <v>0</v>
      </c>
      <c r="R80" s="376">
        <f t="shared" si="36"/>
        <v>0</v>
      </c>
      <c r="S80" s="376">
        <f t="shared" si="38"/>
        <v>0</v>
      </c>
      <c r="T80" s="376">
        <f t="shared" si="40"/>
        <v>0</v>
      </c>
      <c r="U80" s="376">
        <f t="shared" si="42"/>
        <v>0</v>
      </c>
      <c r="V80" s="376">
        <f t="shared" si="44"/>
        <v>0</v>
      </c>
      <c r="W80" s="376">
        <f t="shared" si="46"/>
        <v>0</v>
      </c>
      <c r="X80" s="376">
        <f t="shared" si="48"/>
        <v>0</v>
      </c>
      <c r="Y80" s="376">
        <f t="shared" si="50"/>
        <v>0</v>
      </c>
      <c r="Z80" s="376">
        <f t="shared" si="52"/>
        <v>0</v>
      </c>
      <c r="AA80" s="376">
        <f t="shared" si="54"/>
        <v>0</v>
      </c>
      <c r="AB80" s="376">
        <f t="shared" ref="AB80:AB87" si="56">AB34*AB$45</f>
        <v>0.35321393748662483</v>
      </c>
      <c r="AC80" s="378">
        <f>SUM(D80:AB80,AD80:AJ80)-SUM(AC55:AC79,AC81:AC87)</f>
        <v>0.22375856757571502</v>
      </c>
      <c r="AD80" s="376">
        <f t="shared" ref="AD80:AJ80" si="57">AD34*AD$45</f>
        <v>1.7096165398113066E-4</v>
      </c>
      <c r="AE80" s="376">
        <f t="shared" si="57"/>
        <v>0</v>
      </c>
      <c r="AF80" s="376">
        <f t="shared" si="57"/>
        <v>0</v>
      </c>
      <c r="AG80" s="376">
        <f t="shared" si="57"/>
        <v>0</v>
      </c>
      <c r="AH80" s="376">
        <f t="shared" si="57"/>
        <v>0</v>
      </c>
      <c r="AI80" s="376">
        <f t="shared" si="57"/>
        <v>0</v>
      </c>
      <c r="AJ80" s="379">
        <f t="shared" si="57"/>
        <v>0</v>
      </c>
    </row>
    <row r="81" spans="2:36" ht="12.75" customHeight="1" x14ac:dyDescent="0.3">
      <c r="B81" s="146" t="s">
        <v>2396</v>
      </c>
      <c r="C81" s="144"/>
      <c r="D81" s="376">
        <f t="shared" si="5"/>
        <v>0</v>
      </c>
      <c r="E81" s="179">
        <f t="shared" si="7"/>
        <v>0</v>
      </c>
      <c r="F81" s="376">
        <f t="shared" si="9"/>
        <v>0</v>
      </c>
      <c r="G81" s="376">
        <f t="shared" si="12"/>
        <v>0</v>
      </c>
      <c r="H81" s="376">
        <f t="shared" si="15"/>
        <v>0</v>
      </c>
      <c r="I81" s="376">
        <f t="shared" si="18"/>
        <v>0</v>
      </c>
      <c r="J81" s="376">
        <f t="shared" si="20"/>
        <v>0</v>
      </c>
      <c r="K81" s="376">
        <f t="shared" si="22"/>
        <v>0</v>
      </c>
      <c r="L81" s="376">
        <f t="shared" si="24"/>
        <v>0</v>
      </c>
      <c r="M81" s="376">
        <f t="shared" si="26"/>
        <v>0</v>
      </c>
      <c r="N81" s="376">
        <f t="shared" si="28"/>
        <v>0</v>
      </c>
      <c r="O81" s="376">
        <f t="shared" si="30"/>
        <v>0</v>
      </c>
      <c r="P81" s="376">
        <f t="shared" si="32"/>
        <v>0</v>
      </c>
      <c r="Q81" s="376">
        <f t="shared" si="34"/>
        <v>0</v>
      </c>
      <c r="R81" s="376">
        <f t="shared" si="36"/>
        <v>0</v>
      </c>
      <c r="S81" s="376">
        <f t="shared" si="38"/>
        <v>0</v>
      </c>
      <c r="T81" s="376">
        <f t="shared" si="40"/>
        <v>0</v>
      </c>
      <c r="U81" s="376">
        <f t="shared" si="42"/>
        <v>0</v>
      </c>
      <c r="V81" s="376">
        <f t="shared" si="44"/>
        <v>0</v>
      </c>
      <c r="W81" s="376">
        <f t="shared" si="46"/>
        <v>0</v>
      </c>
      <c r="X81" s="376">
        <f t="shared" si="48"/>
        <v>0</v>
      </c>
      <c r="Y81" s="376">
        <f t="shared" si="50"/>
        <v>0</v>
      </c>
      <c r="Z81" s="376">
        <f t="shared" si="52"/>
        <v>0</v>
      </c>
      <c r="AA81" s="376">
        <f t="shared" si="54"/>
        <v>0</v>
      </c>
      <c r="AB81" s="513">
        <f t="shared" si="56"/>
        <v>0</v>
      </c>
      <c r="AC81" s="376">
        <f t="shared" ref="AC81:AC87" si="58">AC35*AC$45</f>
        <v>1.7746031643423412E-4</v>
      </c>
      <c r="AD81" s="378">
        <f>SUM(D81:AC81,AE81:AJ81)-SUM(AD55:AD80,AD82:AD87)</f>
        <v>6.4986624531034585E-6</v>
      </c>
      <c r="AE81" s="376">
        <f t="shared" ref="AE81:AJ81" si="59">AE35*AE$45</f>
        <v>0</v>
      </c>
      <c r="AF81" s="376">
        <f t="shared" si="59"/>
        <v>0</v>
      </c>
      <c r="AG81" s="376">
        <f t="shared" si="59"/>
        <v>0</v>
      </c>
      <c r="AH81" s="376">
        <f t="shared" si="59"/>
        <v>0</v>
      </c>
      <c r="AI81" s="376">
        <f t="shared" si="59"/>
        <v>0</v>
      </c>
      <c r="AJ81" s="379">
        <f t="shared" si="59"/>
        <v>0</v>
      </c>
    </row>
    <row r="82" spans="2:36" ht="12.75" customHeight="1" x14ac:dyDescent="0.3">
      <c r="B82" s="147" t="s">
        <v>2397</v>
      </c>
      <c r="C82" s="144"/>
      <c r="D82" s="376">
        <f t="shared" si="5"/>
        <v>0</v>
      </c>
      <c r="E82" s="179">
        <f t="shared" si="7"/>
        <v>0</v>
      </c>
      <c r="F82" s="376">
        <f t="shared" si="9"/>
        <v>0</v>
      </c>
      <c r="G82" s="376">
        <f t="shared" si="12"/>
        <v>0</v>
      </c>
      <c r="H82" s="376">
        <f t="shared" si="15"/>
        <v>0</v>
      </c>
      <c r="I82" s="376">
        <f t="shared" si="18"/>
        <v>0</v>
      </c>
      <c r="J82" s="376">
        <f t="shared" si="20"/>
        <v>0</v>
      </c>
      <c r="K82" s="376">
        <f t="shared" si="22"/>
        <v>0</v>
      </c>
      <c r="L82" s="376">
        <f t="shared" si="24"/>
        <v>0</v>
      </c>
      <c r="M82" s="376">
        <f t="shared" si="26"/>
        <v>0</v>
      </c>
      <c r="N82" s="376">
        <f t="shared" si="28"/>
        <v>0</v>
      </c>
      <c r="O82" s="376">
        <f t="shared" si="30"/>
        <v>0</v>
      </c>
      <c r="P82" s="376">
        <f t="shared" si="32"/>
        <v>0</v>
      </c>
      <c r="Q82" s="376">
        <f t="shared" si="34"/>
        <v>0</v>
      </c>
      <c r="R82" s="376">
        <f t="shared" si="36"/>
        <v>0</v>
      </c>
      <c r="S82" s="376">
        <f t="shared" si="38"/>
        <v>0</v>
      </c>
      <c r="T82" s="376">
        <f t="shared" si="40"/>
        <v>0</v>
      </c>
      <c r="U82" s="376">
        <f t="shared" si="42"/>
        <v>0</v>
      </c>
      <c r="V82" s="376">
        <f t="shared" si="44"/>
        <v>0</v>
      </c>
      <c r="W82" s="376">
        <f t="shared" si="46"/>
        <v>0</v>
      </c>
      <c r="X82" s="376">
        <f t="shared" si="48"/>
        <v>0</v>
      </c>
      <c r="Y82" s="376">
        <f t="shared" si="50"/>
        <v>0</v>
      </c>
      <c r="Z82" s="376">
        <f t="shared" si="52"/>
        <v>0</v>
      </c>
      <c r="AA82" s="179">
        <f t="shared" si="54"/>
        <v>1.2566189358046388E-3</v>
      </c>
      <c r="AB82" s="376">
        <f t="shared" si="56"/>
        <v>0</v>
      </c>
      <c r="AC82" s="376">
        <f t="shared" si="58"/>
        <v>0</v>
      </c>
      <c r="AD82" s="376">
        <f t="shared" ref="AD82:AD87" si="60">AD36*AD$45</f>
        <v>0</v>
      </c>
      <c r="AE82" s="378">
        <f>SUM(D82:AD82,AF82:AJ82)-SUM(AE55:AE81,AE83:AE87)</f>
        <v>3.3363625107717175E-4</v>
      </c>
      <c r="AF82" s="376">
        <f>AF36*AF$45</f>
        <v>0</v>
      </c>
      <c r="AG82" s="376">
        <f>AG36*AG$45</f>
        <v>0</v>
      </c>
      <c r="AH82" s="376">
        <f>AH36*AH$45</f>
        <v>0</v>
      </c>
      <c r="AI82" s="376">
        <f>AI36*AI$45</f>
        <v>0</v>
      </c>
      <c r="AJ82" s="379">
        <f>AJ36*AJ$45</f>
        <v>0</v>
      </c>
    </row>
    <row r="83" spans="2:36" ht="12.75" customHeight="1" x14ac:dyDescent="0.3">
      <c r="B83" s="146" t="s">
        <v>2398</v>
      </c>
      <c r="C83" s="144"/>
      <c r="D83" s="376">
        <f t="shared" si="5"/>
        <v>0</v>
      </c>
      <c r="E83" s="179">
        <f t="shared" si="7"/>
        <v>0</v>
      </c>
      <c r="F83" s="376">
        <f t="shared" si="9"/>
        <v>0</v>
      </c>
      <c r="G83" s="376">
        <f t="shared" si="12"/>
        <v>0</v>
      </c>
      <c r="H83" s="376">
        <f t="shared" si="15"/>
        <v>0</v>
      </c>
      <c r="I83" s="376">
        <f t="shared" si="18"/>
        <v>0</v>
      </c>
      <c r="J83" s="376">
        <f t="shared" si="20"/>
        <v>0</v>
      </c>
      <c r="K83" s="376">
        <f t="shared" si="22"/>
        <v>0</v>
      </c>
      <c r="L83" s="376">
        <f t="shared" si="24"/>
        <v>0</v>
      </c>
      <c r="M83" s="376">
        <f t="shared" si="26"/>
        <v>0</v>
      </c>
      <c r="N83" s="376">
        <f t="shared" si="28"/>
        <v>0</v>
      </c>
      <c r="O83" s="376">
        <f t="shared" si="30"/>
        <v>0</v>
      </c>
      <c r="P83" s="376">
        <f t="shared" si="32"/>
        <v>0</v>
      </c>
      <c r="Q83" s="376">
        <f t="shared" si="34"/>
        <v>0</v>
      </c>
      <c r="R83" s="376">
        <f t="shared" si="36"/>
        <v>0</v>
      </c>
      <c r="S83" s="376">
        <f t="shared" si="38"/>
        <v>0</v>
      </c>
      <c r="T83" s="376">
        <f t="shared" si="40"/>
        <v>0</v>
      </c>
      <c r="U83" s="376">
        <f t="shared" si="42"/>
        <v>0</v>
      </c>
      <c r="V83" s="179">
        <f t="shared" si="44"/>
        <v>4.6409924774126248</v>
      </c>
      <c r="W83" s="376">
        <f t="shared" si="46"/>
        <v>0</v>
      </c>
      <c r="X83" s="376">
        <f t="shared" si="48"/>
        <v>0</v>
      </c>
      <c r="Y83" s="376">
        <f t="shared" si="50"/>
        <v>0</v>
      </c>
      <c r="Z83" s="376">
        <f t="shared" si="52"/>
        <v>0</v>
      </c>
      <c r="AA83" s="376">
        <f t="shared" si="54"/>
        <v>0</v>
      </c>
      <c r="AB83" s="376">
        <f t="shared" si="56"/>
        <v>0</v>
      </c>
      <c r="AC83" s="376">
        <f t="shared" si="58"/>
        <v>0</v>
      </c>
      <c r="AD83" s="376">
        <f t="shared" si="60"/>
        <v>0</v>
      </c>
      <c r="AE83" s="376">
        <f>AE37*AE$45</f>
        <v>0</v>
      </c>
      <c r="AF83" s="378">
        <f>SUM(D83:AE83,AG83:AJ83)-SUM(AF55:AF82,AF84:AF87)</f>
        <v>1.6914314532875654</v>
      </c>
      <c r="AG83" s="179">
        <f>AG37*AG$45</f>
        <v>1.5548208547860324E-2</v>
      </c>
      <c r="AH83" s="376">
        <f>AH37*AH$45</f>
        <v>0</v>
      </c>
      <c r="AI83" s="376">
        <f>AI37*AI$45</f>
        <v>0</v>
      </c>
      <c r="AJ83" s="380">
        <f>AJ37*AJ$45</f>
        <v>2.5223612071559997E-3</v>
      </c>
    </row>
    <row r="84" spans="2:36" ht="12.75" customHeight="1" x14ac:dyDescent="0.3">
      <c r="B84" s="147" t="s">
        <v>2399</v>
      </c>
      <c r="C84" s="144"/>
      <c r="D84" s="376">
        <f t="shared" si="5"/>
        <v>0</v>
      </c>
      <c r="E84" s="179">
        <f t="shared" si="7"/>
        <v>0</v>
      </c>
      <c r="F84" s="376">
        <f t="shared" si="9"/>
        <v>0</v>
      </c>
      <c r="G84" s="376">
        <f t="shared" si="12"/>
        <v>0</v>
      </c>
      <c r="H84" s="376">
        <f t="shared" si="15"/>
        <v>0</v>
      </c>
      <c r="I84" s="376">
        <f t="shared" si="18"/>
        <v>0</v>
      </c>
      <c r="J84" s="376">
        <f t="shared" si="20"/>
        <v>0</v>
      </c>
      <c r="K84" s="376">
        <f t="shared" si="22"/>
        <v>0</v>
      </c>
      <c r="L84" s="376">
        <f t="shared" si="24"/>
        <v>0</v>
      </c>
      <c r="M84" s="376">
        <f t="shared" si="26"/>
        <v>0</v>
      </c>
      <c r="N84" s="376">
        <f t="shared" si="28"/>
        <v>0</v>
      </c>
      <c r="O84" s="376">
        <f t="shared" si="30"/>
        <v>0</v>
      </c>
      <c r="P84" s="376">
        <f t="shared" si="32"/>
        <v>0</v>
      </c>
      <c r="Q84" s="376">
        <f t="shared" si="34"/>
        <v>0</v>
      </c>
      <c r="R84" s="376">
        <f t="shared" si="36"/>
        <v>0</v>
      </c>
      <c r="S84" s="376">
        <f t="shared" si="38"/>
        <v>0</v>
      </c>
      <c r="T84" s="376">
        <f t="shared" si="40"/>
        <v>0</v>
      </c>
      <c r="U84" s="376">
        <f t="shared" si="42"/>
        <v>0</v>
      </c>
      <c r="V84" s="376">
        <f t="shared" si="44"/>
        <v>0</v>
      </c>
      <c r="W84" s="179">
        <f t="shared" si="46"/>
        <v>0</v>
      </c>
      <c r="X84" s="376">
        <f t="shared" si="48"/>
        <v>0</v>
      </c>
      <c r="Y84" s="376">
        <f t="shared" si="50"/>
        <v>0</v>
      </c>
      <c r="Z84" s="376">
        <f t="shared" si="52"/>
        <v>0</v>
      </c>
      <c r="AA84" s="376">
        <f t="shared" si="54"/>
        <v>0</v>
      </c>
      <c r="AB84" s="376">
        <f t="shared" si="56"/>
        <v>0</v>
      </c>
      <c r="AC84" s="376">
        <f t="shared" si="58"/>
        <v>0</v>
      </c>
      <c r="AD84" s="376">
        <f t="shared" si="60"/>
        <v>0</v>
      </c>
      <c r="AE84" s="376">
        <f>AE38*AE$45</f>
        <v>0</v>
      </c>
      <c r="AF84" s="179">
        <f>AF38*AF$45</f>
        <v>0.15119782532061965</v>
      </c>
      <c r="AG84" s="378">
        <f>SUM(D84:AF84,AH84:AJ84)-SUM(AG55:AG83,AG85:AG87)</f>
        <v>6.4536001756388711E-2</v>
      </c>
      <c r="AH84" s="376">
        <f>AH38*AH$45</f>
        <v>2.4248788950899385E-3</v>
      </c>
      <c r="AI84" s="179">
        <f>AI38*AI$45</f>
        <v>0</v>
      </c>
      <c r="AJ84" s="380">
        <f>AJ38*AJ$45</f>
        <v>1.0454806718623829E-4</v>
      </c>
    </row>
    <row r="85" spans="2:36" ht="12.75" customHeight="1" x14ac:dyDescent="0.3">
      <c r="B85" s="147" t="s">
        <v>2400</v>
      </c>
      <c r="C85" s="144"/>
      <c r="D85" s="376">
        <f t="shared" si="5"/>
        <v>0</v>
      </c>
      <c r="E85" s="179">
        <f t="shared" si="7"/>
        <v>0</v>
      </c>
      <c r="F85" s="376">
        <f t="shared" si="9"/>
        <v>0</v>
      </c>
      <c r="G85" s="376">
        <f t="shared" si="12"/>
        <v>0</v>
      </c>
      <c r="H85" s="376">
        <f t="shared" si="15"/>
        <v>0</v>
      </c>
      <c r="I85" s="376">
        <f t="shared" si="18"/>
        <v>0</v>
      </c>
      <c r="J85" s="376">
        <f t="shared" si="20"/>
        <v>0</v>
      </c>
      <c r="K85" s="376">
        <f t="shared" si="22"/>
        <v>0</v>
      </c>
      <c r="L85" s="376">
        <f t="shared" si="24"/>
        <v>0</v>
      </c>
      <c r="M85" s="376">
        <f t="shared" si="26"/>
        <v>0</v>
      </c>
      <c r="N85" s="376">
        <f t="shared" si="28"/>
        <v>0</v>
      </c>
      <c r="O85" s="376">
        <f t="shared" si="30"/>
        <v>0</v>
      </c>
      <c r="P85" s="376">
        <f t="shared" si="32"/>
        <v>0</v>
      </c>
      <c r="Q85" s="376">
        <f t="shared" si="34"/>
        <v>0</v>
      </c>
      <c r="R85" s="376">
        <f t="shared" si="36"/>
        <v>0</v>
      </c>
      <c r="S85" s="376">
        <f t="shared" si="38"/>
        <v>0</v>
      </c>
      <c r="T85" s="376">
        <f t="shared" si="40"/>
        <v>0</v>
      </c>
      <c r="U85" s="376">
        <f t="shared" si="42"/>
        <v>0</v>
      </c>
      <c r="V85" s="376">
        <f t="shared" si="44"/>
        <v>0</v>
      </c>
      <c r="W85" s="376">
        <f t="shared" si="46"/>
        <v>0</v>
      </c>
      <c r="X85" s="376">
        <f t="shared" si="48"/>
        <v>2.3198517183399673E-3</v>
      </c>
      <c r="Y85" s="376">
        <f t="shared" si="50"/>
        <v>0</v>
      </c>
      <c r="Z85" s="376">
        <f t="shared" si="52"/>
        <v>0</v>
      </c>
      <c r="AA85" s="376">
        <f t="shared" si="54"/>
        <v>0</v>
      </c>
      <c r="AB85" s="376">
        <f t="shared" si="56"/>
        <v>0</v>
      </c>
      <c r="AC85" s="376">
        <f t="shared" si="58"/>
        <v>0</v>
      </c>
      <c r="AD85" s="376">
        <f t="shared" si="60"/>
        <v>0</v>
      </c>
      <c r="AE85" s="376">
        <f>AE39*AE$45</f>
        <v>0</v>
      </c>
      <c r="AF85" s="376">
        <f>AF39*AF$45</f>
        <v>0</v>
      </c>
      <c r="AG85" s="376">
        <f>AG39*AG$45</f>
        <v>6.8571571694568623E-2</v>
      </c>
      <c r="AH85" s="378">
        <f>SUM(D85:AG85,AI85:AJ85)-SUM(AH55:AH84,AH86:AH87)</f>
        <v>6.846510212552831E-2</v>
      </c>
      <c r="AI85" s="376">
        <f>AI39*AI$45</f>
        <v>3.356995627854113E-6</v>
      </c>
      <c r="AJ85" s="379">
        <f>AJ39*AJ$45</f>
        <v>0</v>
      </c>
    </row>
    <row r="86" spans="2:36" ht="12.75" customHeight="1" x14ac:dyDescent="0.3">
      <c r="B86" s="146" t="s">
        <v>2401</v>
      </c>
      <c r="C86" s="144"/>
      <c r="D86" s="376">
        <f t="shared" si="5"/>
        <v>0</v>
      </c>
      <c r="E86" s="179">
        <f t="shared" si="7"/>
        <v>0</v>
      </c>
      <c r="F86" s="376">
        <f t="shared" si="9"/>
        <v>0</v>
      </c>
      <c r="G86" s="376">
        <f t="shared" si="12"/>
        <v>0</v>
      </c>
      <c r="H86" s="376">
        <f t="shared" si="15"/>
        <v>0</v>
      </c>
      <c r="I86" s="376">
        <f t="shared" si="18"/>
        <v>0</v>
      </c>
      <c r="J86" s="376">
        <f t="shared" si="20"/>
        <v>0</v>
      </c>
      <c r="K86" s="376">
        <f t="shared" si="22"/>
        <v>0</v>
      </c>
      <c r="L86" s="376">
        <f t="shared" si="24"/>
        <v>0</v>
      </c>
      <c r="M86" s="376">
        <f t="shared" si="26"/>
        <v>0</v>
      </c>
      <c r="N86" s="376">
        <f t="shared" si="28"/>
        <v>0</v>
      </c>
      <c r="O86" s="376">
        <f t="shared" si="30"/>
        <v>0</v>
      </c>
      <c r="P86" s="376">
        <f t="shared" si="32"/>
        <v>0</v>
      </c>
      <c r="Q86" s="376">
        <f t="shared" si="34"/>
        <v>0</v>
      </c>
      <c r="R86" s="376">
        <f t="shared" si="36"/>
        <v>0</v>
      </c>
      <c r="S86" s="376">
        <f t="shared" si="38"/>
        <v>0</v>
      </c>
      <c r="T86" s="376">
        <f t="shared" si="40"/>
        <v>0</v>
      </c>
      <c r="U86" s="376">
        <f t="shared" si="42"/>
        <v>0</v>
      </c>
      <c r="V86" s="376">
        <f t="shared" si="44"/>
        <v>0</v>
      </c>
      <c r="W86" s="376">
        <f t="shared" si="46"/>
        <v>0</v>
      </c>
      <c r="X86" s="376">
        <f t="shared" si="48"/>
        <v>0</v>
      </c>
      <c r="Y86" s="376">
        <f t="shared" si="50"/>
        <v>0</v>
      </c>
      <c r="Z86" s="376">
        <f t="shared" si="52"/>
        <v>0</v>
      </c>
      <c r="AA86" s="376">
        <f t="shared" si="54"/>
        <v>0</v>
      </c>
      <c r="AB86" s="376">
        <f t="shared" si="56"/>
        <v>0</v>
      </c>
      <c r="AC86" s="376">
        <f t="shared" si="58"/>
        <v>0</v>
      </c>
      <c r="AD86" s="376">
        <f t="shared" si="60"/>
        <v>0</v>
      </c>
      <c r="AE86" s="376">
        <f>AE40*AE$45</f>
        <v>0</v>
      </c>
      <c r="AF86" s="376">
        <f>AF40*AF$45</f>
        <v>0</v>
      </c>
      <c r="AG86" s="513">
        <f>AG40*AG$45</f>
        <v>0</v>
      </c>
      <c r="AH86" s="376">
        <f>AH40*AH$45</f>
        <v>4.7993879182014699E-6</v>
      </c>
      <c r="AI86" s="378">
        <f>SUM(D86:AH86,AJ86)-SUM(AI55:AI85,AI87)</f>
        <v>1.4423922903473569E-6</v>
      </c>
      <c r="AJ86" s="379">
        <f>AJ40*AJ$45</f>
        <v>0</v>
      </c>
    </row>
    <row r="87" spans="2:36" ht="12.75" customHeight="1" x14ac:dyDescent="0.3">
      <c r="B87" s="148" t="s">
        <v>2402</v>
      </c>
      <c r="C87" s="142"/>
      <c r="D87" s="373">
        <f t="shared" si="5"/>
        <v>0</v>
      </c>
      <c r="E87" s="372">
        <f t="shared" si="7"/>
        <v>0</v>
      </c>
      <c r="F87" s="373">
        <f t="shared" si="9"/>
        <v>0</v>
      </c>
      <c r="G87" s="373">
        <f t="shared" si="12"/>
        <v>0</v>
      </c>
      <c r="H87" s="373">
        <f t="shared" si="15"/>
        <v>0</v>
      </c>
      <c r="I87" s="373">
        <f t="shared" si="18"/>
        <v>0</v>
      </c>
      <c r="J87" s="373">
        <f t="shared" si="20"/>
        <v>0</v>
      </c>
      <c r="K87" s="373">
        <f t="shared" si="22"/>
        <v>0</v>
      </c>
      <c r="L87" s="373">
        <f t="shared" si="24"/>
        <v>0</v>
      </c>
      <c r="M87" s="373">
        <f t="shared" si="26"/>
        <v>0</v>
      </c>
      <c r="N87" s="373">
        <f t="shared" si="28"/>
        <v>0</v>
      </c>
      <c r="O87" s="373">
        <f t="shared" si="30"/>
        <v>0</v>
      </c>
      <c r="P87" s="373">
        <f t="shared" si="32"/>
        <v>0</v>
      </c>
      <c r="Q87" s="373">
        <f t="shared" si="34"/>
        <v>0</v>
      </c>
      <c r="R87" s="373">
        <f t="shared" si="36"/>
        <v>0</v>
      </c>
      <c r="S87" s="373">
        <f t="shared" si="38"/>
        <v>0</v>
      </c>
      <c r="T87" s="373">
        <f t="shared" si="40"/>
        <v>0</v>
      </c>
      <c r="U87" s="373">
        <f t="shared" si="42"/>
        <v>0</v>
      </c>
      <c r="V87" s="373">
        <f t="shared" si="44"/>
        <v>0</v>
      </c>
      <c r="W87" s="373">
        <f t="shared" si="46"/>
        <v>0</v>
      </c>
      <c r="X87" s="373">
        <f t="shared" si="48"/>
        <v>0</v>
      </c>
      <c r="Y87" s="373">
        <f t="shared" si="50"/>
        <v>0</v>
      </c>
      <c r="Z87" s="373">
        <f t="shared" si="52"/>
        <v>0</v>
      </c>
      <c r="AA87" s="373">
        <f t="shared" si="54"/>
        <v>0</v>
      </c>
      <c r="AB87" s="373">
        <f t="shared" si="56"/>
        <v>0</v>
      </c>
      <c r="AC87" s="373">
        <f t="shared" si="58"/>
        <v>0</v>
      </c>
      <c r="AD87" s="373">
        <f t="shared" si="60"/>
        <v>0</v>
      </c>
      <c r="AE87" s="373">
        <f>AE41*AE$45</f>
        <v>0</v>
      </c>
      <c r="AF87" s="372">
        <f>AF41*AF$45</f>
        <v>3.6214799862002551E-3</v>
      </c>
      <c r="AG87" s="373">
        <f>AG41*AG$45</f>
        <v>0</v>
      </c>
      <c r="AH87" s="373">
        <f>AH41*AH$45</f>
        <v>0</v>
      </c>
      <c r="AI87" s="373">
        <f>AI41*AI$45</f>
        <v>0</v>
      </c>
      <c r="AJ87" s="381">
        <f>SUM(D87:AI87)-SUM(AJ55:AJ86)</f>
        <v>9.9457071185801715E-4</v>
      </c>
    </row>
    <row r="88" spans="2:36" ht="12.75" customHeight="1" x14ac:dyDescent="0.3">
      <c r="D88" s="375"/>
      <c r="E88" s="179"/>
      <c r="F88" s="375"/>
      <c r="G88" s="375"/>
      <c r="H88" s="375"/>
      <c r="I88" s="375"/>
      <c r="J88" s="375"/>
      <c r="K88" s="375"/>
      <c r="L88" s="375"/>
      <c r="M88" s="375"/>
      <c r="N88" s="179"/>
      <c r="O88" s="179"/>
      <c r="P88" s="375"/>
      <c r="Q88" s="375"/>
      <c r="R88" s="375"/>
      <c r="S88" s="375"/>
      <c r="T88" s="375"/>
      <c r="U88" s="375"/>
      <c r="V88" s="375"/>
      <c r="W88" s="375"/>
      <c r="X88" s="375"/>
      <c r="Y88" s="375"/>
      <c r="Z88" s="375"/>
      <c r="AA88" s="375"/>
      <c r="AB88" s="375"/>
      <c r="AC88" s="375"/>
      <c r="AD88" s="375"/>
      <c r="AE88" s="375"/>
      <c r="AF88" s="375"/>
      <c r="AG88" s="375"/>
      <c r="AH88" s="375"/>
      <c r="AI88" s="375"/>
      <c r="AJ88" s="375"/>
    </row>
    <row r="89" spans="2:36" ht="12.75" customHeight="1" x14ac:dyDescent="0.3">
      <c r="D89" s="375"/>
      <c r="E89" s="179"/>
      <c r="F89" s="375"/>
      <c r="G89" s="375"/>
      <c r="H89" s="375"/>
      <c r="I89" s="375"/>
      <c r="J89" s="375"/>
      <c r="K89" s="375"/>
      <c r="L89" s="375"/>
      <c r="M89" s="375"/>
      <c r="N89" s="179"/>
      <c r="O89" s="375"/>
      <c r="P89" s="375"/>
      <c r="Q89" s="375"/>
      <c r="R89" s="375"/>
      <c r="S89" s="375"/>
      <c r="T89" s="375"/>
      <c r="U89" s="375"/>
      <c r="V89" s="375"/>
      <c r="W89" s="375"/>
      <c r="X89" s="375"/>
      <c r="Y89" s="375"/>
      <c r="Z89" s="375"/>
      <c r="AA89" s="375"/>
      <c r="AB89" s="375"/>
      <c r="AC89" s="375"/>
      <c r="AD89" s="375"/>
      <c r="AE89" s="375"/>
      <c r="AF89" s="375"/>
      <c r="AG89" s="375"/>
      <c r="AH89" s="375"/>
      <c r="AI89" s="375"/>
      <c r="AJ89" s="375"/>
    </row>
    <row r="90" spans="2:36" ht="12.75" customHeight="1" x14ac:dyDescent="0.3">
      <c r="B90" s="145" t="s">
        <v>533</v>
      </c>
      <c r="C90" s="149" t="s">
        <v>2153</v>
      </c>
      <c r="D90" s="377" t="s">
        <v>1312</v>
      </c>
      <c r="E90" s="377" t="s">
        <v>278</v>
      </c>
      <c r="F90" s="377" t="s">
        <v>1313</v>
      </c>
      <c r="G90" s="377" t="s">
        <v>1314</v>
      </c>
      <c r="H90" s="377" t="s">
        <v>1315</v>
      </c>
      <c r="I90" s="377" t="s">
        <v>1316</v>
      </c>
      <c r="J90" s="377" t="s">
        <v>1317</v>
      </c>
      <c r="K90" s="377" t="s">
        <v>1318</v>
      </c>
      <c r="L90" s="377" t="s">
        <v>1319</v>
      </c>
      <c r="M90" s="377" t="s">
        <v>519</v>
      </c>
      <c r="N90" s="377" t="s">
        <v>279</v>
      </c>
      <c r="O90" s="377" t="s">
        <v>1320</v>
      </c>
      <c r="P90" s="377" t="s">
        <v>1321</v>
      </c>
      <c r="Q90" s="377" t="s">
        <v>1322</v>
      </c>
      <c r="R90" s="377" t="s">
        <v>1323</v>
      </c>
      <c r="S90" s="377" t="s">
        <v>1324</v>
      </c>
      <c r="T90" s="377" t="s">
        <v>1325</v>
      </c>
      <c r="U90" s="377" t="s">
        <v>518</v>
      </c>
      <c r="V90" s="377" t="s">
        <v>520</v>
      </c>
      <c r="W90" s="377" t="s">
        <v>1478</v>
      </c>
      <c r="X90" s="377" t="s">
        <v>1479</v>
      </c>
      <c r="Y90" s="377" t="s">
        <v>521</v>
      </c>
      <c r="Z90" s="377" t="s">
        <v>526</v>
      </c>
      <c r="AA90" s="377" t="s">
        <v>522</v>
      </c>
      <c r="AB90" s="377" t="s">
        <v>1480</v>
      </c>
      <c r="AC90" s="377" t="s">
        <v>1481</v>
      </c>
      <c r="AD90" s="377" t="s">
        <v>523</v>
      </c>
      <c r="AE90" s="377" t="s">
        <v>527</v>
      </c>
      <c r="AF90" s="377" t="s">
        <v>524</v>
      </c>
      <c r="AG90" s="377" t="s">
        <v>1482</v>
      </c>
      <c r="AH90" s="377" t="s">
        <v>1483</v>
      </c>
      <c r="AI90" s="377" t="s">
        <v>525</v>
      </c>
      <c r="AJ90" s="390" t="s">
        <v>528</v>
      </c>
    </row>
    <row r="91" spans="2:36" ht="12.75" customHeight="1" x14ac:dyDescent="0.3">
      <c r="B91" s="146" t="s">
        <v>1209</v>
      </c>
      <c r="C91" s="150">
        <f>SUM(D91:AJ91)</f>
        <v>6.4713861191356301</v>
      </c>
      <c r="D91" s="179">
        <f t="array" ref="D91:AJ91">D5:AJ5</f>
        <v>2.1571287063785434</v>
      </c>
      <c r="E91" s="179">
        <v>0</v>
      </c>
      <c r="F91" s="179">
        <v>2.1571287063785434</v>
      </c>
      <c r="G91" s="179">
        <v>0</v>
      </c>
      <c r="H91" s="179">
        <v>0</v>
      </c>
      <c r="I91" s="179">
        <v>0</v>
      </c>
      <c r="J91" s="179">
        <v>0</v>
      </c>
      <c r="K91" s="179">
        <v>2.1571287063785434</v>
      </c>
      <c r="L91" s="179">
        <v>0</v>
      </c>
      <c r="M91" s="179">
        <v>0</v>
      </c>
      <c r="N91" s="179">
        <v>0</v>
      </c>
      <c r="O91" s="179">
        <v>0</v>
      </c>
      <c r="P91" s="179">
        <v>0</v>
      </c>
      <c r="Q91" s="179">
        <v>0</v>
      </c>
      <c r="R91" s="179">
        <v>0</v>
      </c>
      <c r="S91" s="179">
        <v>0</v>
      </c>
      <c r="T91" s="179">
        <v>0</v>
      </c>
      <c r="U91" s="179">
        <v>0</v>
      </c>
      <c r="V91" s="179">
        <v>0</v>
      </c>
      <c r="W91" s="179">
        <v>0</v>
      </c>
      <c r="X91" s="179">
        <v>0</v>
      </c>
      <c r="Y91" s="179">
        <v>0</v>
      </c>
      <c r="Z91" s="179">
        <v>0</v>
      </c>
      <c r="AA91" s="179">
        <v>0</v>
      </c>
      <c r="AB91" s="179">
        <v>0</v>
      </c>
      <c r="AC91" s="179">
        <v>0</v>
      </c>
      <c r="AD91" s="179">
        <v>0</v>
      </c>
      <c r="AE91" s="179">
        <v>0</v>
      </c>
      <c r="AF91" s="179">
        <v>0</v>
      </c>
      <c r="AG91" s="179">
        <v>0</v>
      </c>
      <c r="AH91" s="179">
        <v>0</v>
      </c>
      <c r="AI91" s="179">
        <v>0</v>
      </c>
      <c r="AJ91" s="371">
        <v>0</v>
      </c>
    </row>
    <row r="92" spans="2:36" ht="12.75" customHeight="1" x14ac:dyDescent="0.3">
      <c r="B92" s="146" t="s">
        <v>1210</v>
      </c>
      <c r="C92" s="150">
        <f>SUM(D92:AJ92)</f>
        <v>30.748236483054512</v>
      </c>
      <c r="D92" s="179">
        <f>SUM($D$55:$AJ$55)</f>
        <v>2.2661373425795288</v>
      </c>
      <c r="E92" s="179">
        <f>SUM($D$56:$AJ$56)</f>
        <v>8.4981618962363462E-3</v>
      </c>
      <c r="F92" s="179">
        <f>SUM($D$57:$AJ$57)</f>
        <v>-1.9738102480960411</v>
      </c>
      <c r="G92" s="179">
        <f>SUM($D$58:$AJ$58)</f>
        <v>9.0263470110937716E-2</v>
      </c>
      <c r="H92" s="179">
        <f>SUM($D$59:$AJ$59)</f>
        <v>3.0495036013240839E-2</v>
      </c>
      <c r="I92" s="179">
        <f>SUM($D$60:$AJ$60)</f>
        <v>2.2909622106967629E-4</v>
      </c>
      <c r="J92" s="179">
        <f>SUM($D$61:$AJ$61)</f>
        <v>3.1347074286653504E-4</v>
      </c>
      <c r="K92" s="179">
        <f>SUM($D$62:$AJ$62)</f>
        <v>-1.1839455601246176</v>
      </c>
      <c r="L92" s="179">
        <f>SUM($D$63:$AJ$63)</f>
        <v>1.1610027513575373E-4</v>
      </c>
      <c r="M92" s="179">
        <f>SUM($D$64:$AJ$64)</f>
        <v>8.0718523561847562</v>
      </c>
      <c r="N92" s="179">
        <f>SUM($D$65:$AJ$65)</f>
        <v>4.524776841943763E-4</v>
      </c>
      <c r="O92" s="179">
        <f>SUM($D$66:$AJ$66)</f>
        <v>3.2548021973351883E-3</v>
      </c>
      <c r="P92" s="179">
        <f>SUM($D$67:$AJ$67)</f>
        <v>0.27728441217687227</v>
      </c>
      <c r="Q92" s="179">
        <f>SUM($D$68:$AJ$68)</f>
        <v>4.2399444665933088E-5</v>
      </c>
      <c r="R92" s="179">
        <f>SUM($D$69:$AJ$69)</f>
        <v>3.0969925067746655E-4</v>
      </c>
      <c r="S92" s="179">
        <f>SUM($D$70:$AJ$70)</f>
        <v>8.98269442384789E-4</v>
      </c>
      <c r="T92" s="179">
        <f>SUM($D$71:$AJ$71)</f>
        <v>2.2766605702837415E-3</v>
      </c>
      <c r="U92" s="179">
        <f>SUM($D$72:$AJ$72)</f>
        <v>3.3269238606844039E-4</v>
      </c>
      <c r="V92" s="179">
        <f>SUM($D$73:$AJ$73)</f>
        <v>11.497182784644799</v>
      </c>
      <c r="W92" s="179">
        <f>SUM($D$74:$AJ$74)</f>
        <v>0.31210213034211881</v>
      </c>
      <c r="X92" s="179">
        <f>SUM($D$75:$AJ$75)</f>
        <v>0.32893706812547935</v>
      </c>
      <c r="Y92" s="179">
        <f>SUM($D$76:$AJ$76)</f>
        <v>3.0896638387725438E-5</v>
      </c>
      <c r="Z92" s="179">
        <f>SUM($D$77:$AJ$77)</f>
        <v>6.1504154355717031E-3</v>
      </c>
      <c r="AA92" s="179">
        <f>SUM($D$78:$AJ$78)</f>
        <v>3.249173367221609</v>
      </c>
      <c r="AB92" s="179">
        <f>SUM($D$79:$AJ$79)</f>
        <v>0.46800157130203091</v>
      </c>
      <c r="AC92" s="179">
        <f>SUM($D$80:$AJ$80)</f>
        <v>0.577143466716321</v>
      </c>
      <c r="AD92" s="179">
        <f>SUM($D$81:$AJ$81)</f>
        <v>1.8395897888733758E-4</v>
      </c>
      <c r="AE92" s="179">
        <f>SUM($D$82:$AJ$82)</f>
        <v>1.5902551868818104E-3</v>
      </c>
      <c r="AF92" s="179">
        <f>SUM($D$83:$AJ$83)</f>
        <v>6.3504945004552065</v>
      </c>
      <c r="AG92" s="179">
        <f>SUM($D$84:$AJ$84)</f>
        <v>0.21826325403928454</v>
      </c>
      <c r="AH92" s="179">
        <f>SUM($D$85:$AJ$85)</f>
        <v>0.13935988253406478</v>
      </c>
      <c r="AI92" s="179">
        <f>SUM($D$86:$AJ$86)</f>
        <v>6.2417802085488268E-6</v>
      </c>
      <c r="AJ92" s="380">
        <f>SUM($D$87:$AJ$87)</f>
        <v>4.6160506980582727E-3</v>
      </c>
    </row>
    <row r="93" spans="2:36" ht="12.75" customHeight="1" x14ac:dyDescent="0.3">
      <c r="B93" s="146" t="s">
        <v>1212</v>
      </c>
      <c r="C93" s="150">
        <f>SUM(D93:AJ93)</f>
        <v>30.748236483054505</v>
      </c>
      <c r="D93" s="179">
        <f t="shared" ref="D93:AJ93" si="61">SUM(D55:D87)</f>
        <v>4.278849974748379</v>
      </c>
      <c r="E93" s="179">
        <f t="shared" si="61"/>
        <v>5.2511766834125416E-3</v>
      </c>
      <c r="F93" s="179">
        <f t="shared" si="61"/>
        <v>8.0442693338970306E-2</v>
      </c>
      <c r="G93" s="179">
        <f t="shared" si="61"/>
        <v>8.6458009242478567E-2</v>
      </c>
      <c r="H93" s="179">
        <f t="shared" si="61"/>
        <v>2.6542600658377147E-2</v>
      </c>
      <c r="I93" s="179">
        <f t="shared" si="61"/>
        <v>1.9705347733999228E-4</v>
      </c>
      <c r="J93" s="179">
        <f t="shared" si="61"/>
        <v>2.4643357645258158E-4</v>
      </c>
      <c r="K93" s="179">
        <f t="shared" si="61"/>
        <v>5.4763016989456403E-4</v>
      </c>
      <c r="L93" s="179">
        <f t="shared" si="61"/>
        <v>9.1271694982437607E-5</v>
      </c>
      <c r="M93" s="179">
        <f t="shared" si="61"/>
        <v>7.2477931995077132</v>
      </c>
      <c r="N93" s="179">
        <f t="shared" si="61"/>
        <v>2.7959461046021133E-4</v>
      </c>
      <c r="O93" s="179">
        <f t="shared" si="61"/>
        <v>3.1117354061481976E-3</v>
      </c>
      <c r="P93" s="179">
        <f t="shared" si="61"/>
        <v>0.17313887806466574</v>
      </c>
      <c r="Q93" s="179">
        <f t="shared" si="61"/>
        <v>3.6912140658551404E-5</v>
      </c>
      <c r="R93" s="179">
        <f t="shared" si="61"/>
        <v>2.696419744627518E-4</v>
      </c>
      <c r="S93" s="179">
        <f t="shared" si="61"/>
        <v>7.0617037265005209E-4</v>
      </c>
      <c r="T93" s="179">
        <f t="shared" si="61"/>
        <v>1.5692674947778932E-3</v>
      </c>
      <c r="U93" s="179">
        <f t="shared" si="61"/>
        <v>2.6154458246298225E-4</v>
      </c>
      <c r="V93" s="179">
        <f t="shared" si="61"/>
        <v>9.9737618598855029</v>
      </c>
      <c r="W93" s="179">
        <f t="shared" si="61"/>
        <v>0.25987329102880879</v>
      </c>
      <c r="X93" s="179">
        <f t="shared" si="61"/>
        <v>0.17309466185793784</v>
      </c>
      <c r="Y93" s="179">
        <f t="shared" si="61"/>
        <v>2.6899315775897504E-5</v>
      </c>
      <c r="Z93" s="179">
        <f t="shared" si="61"/>
        <v>4.8351206833436959E-3</v>
      </c>
      <c r="AA93" s="179">
        <f t="shared" si="61"/>
        <v>2.7455165856237125</v>
      </c>
      <c r="AB93" s="179">
        <f t="shared" si="61"/>
        <v>0.4432039392891014</v>
      </c>
      <c r="AC93" s="179">
        <f t="shared" si="61"/>
        <v>0.35338489914060595</v>
      </c>
      <c r="AD93" s="179">
        <f t="shared" si="61"/>
        <v>1.7746031643423412E-4</v>
      </c>
      <c r="AE93" s="179">
        <f t="shared" si="61"/>
        <v>1.2566189358046388E-3</v>
      </c>
      <c r="AF93" s="179">
        <f t="shared" si="61"/>
        <v>4.6590630471676402</v>
      </c>
      <c r="AG93" s="179">
        <f t="shared" si="61"/>
        <v>0.15372725228289583</v>
      </c>
      <c r="AH93" s="179">
        <f t="shared" si="61"/>
        <v>7.0894780408536445E-2</v>
      </c>
      <c r="AI93" s="179">
        <f t="shared" si="61"/>
        <v>4.7993879182014699E-6</v>
      </c>
      <c r="AJ93" s="380">
        <f t="shared" si="61"/>
        <v>3.6214799862002551E-3</v>
      </c>
    </row>
    <row r="94" spans="2:36" ht="12.75" customHeight="1" x14ac:dyDescent="0.3">
      <c r="B94" s="152" t="s">
        <v>1211</v>
      </c>
      <c r="C94" s="150">
        <f>SUM(D94:AJ94)</f>
        <v>6.4713861191356257</v>
      </c>
      <c r="D94" s="179">
        <f>k.aR*D45</f>
        <v>0.14441607420969538</v>
      </c>
      <c r="E94" s="179">
        <f>k.w0R*E45</f>
        <v>3.2469852128238046E-3</v>
      </c>
      <c r="F94" s="179">
        <f>k.w1R*F45</f>
        <v>0.10287576494353162</v>
      </c>
      <c r="G94" s="179">
        <f>k.w2R*G45</f>
        <v>3.8054608684591155E-3</v>
      </c>
      <c r="H94" s="179">
        <f>k.sd1R*H45</f>
        <v>3.9524353548636938E-3</v>
      </c>
      <c r="I94" s="179">
        <f>k.sd2R*I45</f>
        <v>3.2042743729683988E-5</v>
      </c>
      <c r="J94" s="179">
        <f>k.s1R*J45</f>
        <v>6.7037166413953502E-5</v>
      </c>
      <c r="K94" s="179">
        <f>k.s2R*K45</f>
        <v>0.97263551608403187</v>
      </c>
      <c r="L94" s="179">
        <f>k.s3R*L45</f>
        <v>2.4828580153316101E-5</v>
      </c>
      <c r="M94" s="179">
        <f>k.aC*M45</f>
        <v>0.82405915667703977</v>
      </c>
      <c r="N94" s="179">
        <f>k.w0C*N45</f>
        <v>1.7288307373416491E-4</v>
      </c>
      <c r="O94" s="179">
        <f>k.w1C*O45</f>
        <v>1.4306679118699015E-4</v>
      </c>
      <c r="P94" s="179">
        <f>k.w2C*P45</f>
        <v>0.10414553411220655</v>
      </c>
      <c r="Q94" s="179">
        <f>k.sd1C*Q45</f>
        <v>5.4873040073816788E-6</v>
      </c>
      <c r="R94" s="179">
        <f>k.sd2C*R45</f>
        <v>4.0057276214714851E-5</v>
      </c>
      <c r="S94" s="179">
        <f>k.s1C*S45</f>
        <v>1.9209906973473697E-4</v>
      </c>
      <c r="T94" s="179">
        <f>k.s2C*T45</f>
        <v>7.0739307550584849E-4</v>
      </c>
      <c r="U94" s="179">
        <f>k.s3C*U45</f>
        <v>7.1147803605458112E-5</v>
      </c>
      <c r="V94" s="179">
        <f>k.aM*V45</f>
        <v>1.523420924759296</v>
      </c>
      <c r="W94" s="179">
        <f>k.w2M*W45</f>
        <v>5.222883931330994E-2</v>
      </c>
      <c r="X94" s="179">
        <f>k.w3M*X45</f>
        <v>0.15584240626754156</v>
      </c>
      <c r="Y94" s="179">
        <f>k.sdM*Y45</f>
        <v>3.9973226118279381E-6</v>
      </c>
      <c r="Z94" s="179">
        <f>k.sM*Z45</f>
        <v>1.3152947522280069E-3</v>
      </c>
      <c r="AA94" s="179">
        <f>k.aA*AA45</f>
        <v>0.50365678159789629</v>
      </c>
      <c r="AB94" s="179">
        <f>k.w2A*AB45</f>
        <v>2.4797632012929609E-2</v>
      </c>
      <c r="AC94" s="179">
        <f>k.w3A*AC45</f>
        <v>0.22375856757571497</v>
      </c>
      <c r="AD94" s="179">
        <f>k.sdA*AD45</f>
        <v>6.4986624531034721E-6</v>
      </c>
      <c r="AE94" s="179">
        <f>k.sA*AE45</f>
        <v>3.3363625107717208E-4</v>
      </c>
      <c r="AF94" s="179">
        <f>k.aT*AF45</f>
        <v>1.6914314532875652</v>
      </c>
      <c r="AG94" s="179">
        <f>k.w2T*AG45</f>
        <v>6.4536001756388711E-2</v>
      </c>
      <c r="AH94" s="179">
        <f>k.w3T*AH45</f>
        <v>6.8465102125528296E-2</v>
      </c>
      <c r="AI94" s="179">
        <f>k.sdT*AI45</f>
        <v>1.4423922903473571E-6</v>
      </c>
      <c r="AJ94" s="374">
        <f>k.sT*AJ45</f>
        <v>9.9457071185801629E-4</v>
      </c>
    </row>
    <row r="95" spans="2:36" ht="12.75" customHeight="1" x14ac:dyDescent="0.3">
      <c r="B95" s="153" t="s">
        <v>776</v>
      </c>
      <c r="C95" s="154">
        <f t="shared" ref="C95:AJ95" si="62">SUM(C91:C92)-SUM(C93:C94)</f>
        <v>0</v>
      </c>
      <c r="D95" s="154">
        <f t="shared" si="62"/>
        <v>0</v>
      </c>
      <c r="E95" s="154">
        <f t="shared" si="62"/>
        <v>0</v>
      </c>
      <c r="F95" s="154">
        <f t="shared" si="62"/>
        <v>3.3306690738754696E-16</v>
      </c>
      <c r="G95" s="154">
        <f t="shared" si="62"/>
        <v>0</v>
      </c>
      <c r="H95" s="154">
        <f t="shared" si="62"/>
        <v>0</v>
      </c>
      <c r="I95" s="154">
        <f t="shared" si="62"/>
        <v>0</v>
      </c>
      <c r="J95" s="154">
        <f t="shared" si="62"/>
        <v>0</v>
      </c>
      <c r="K95" s="154">
        <f t="shared" si="62"/>
        <v>0</v>
      </c>
      <c r="L95" s="154">
        <f t="shared" si="62"/>
        <v>0</v>
      </c>
      <c r="M95" s="154">
        <f t="shared" si="62"/>
        <v>0</v>
      </c>
      <c r="N95" s="154">
        <f t="shared" si="62"/>
        <v>0</v>
      </c>
      <c r="O95" s="154">
        <f t="shared" si="62"/>
        <v>0</v>
      </c>
      <c r="P95" s="154">
        <f t="shared" si="62"/>
        <v>0</v>
      </c>
      <c r="Q95" s="154">
        <f t="shared" si="62"/>
        <v>0</v>
      </c>
      <c r="R95" s="154">
        <f t="shared" si="62"/>
        <v>0</v>
      </c>
      <c r="S95" s="154">
        <f t="shared" si="62"/>
        <v>0</v>
      </c>
      <c r="T95" s="154">
        <f t="shared" si="62"/>
        <v>0</v>
      </c>
      <c r="U95" s="154">
        <f t="shared" si="62"/>
        <v>0</v>
      </c>
      <c r="V95" s="154">
        <f t="shared" si="62"/>
        <v>0</v>
      </c>
      <c r="W95" s="154">
        <f t="shared" si="62"/>
        <v>0</v>
      </c>
      <c r="X95" s="154">
        <f t="shared" si="62"/>
        <v>0</v>
      </c>
      <c r="Y95" s="154">
        <f t="shared" si="62"/>
        <v>0</v>
      </c>
      <c r="Z95" s="154">
        <f t="shared" si="62"/>
        <v>0</v>
      </c>
      <c r="AA95" s="154">
        <f t="shared" si="62"/>
        <v>0</v>
      </c>
      <c r="AB95" s="154">
        <f t="shared" si="62"/>
        <v>0</v>
      </c>
      <c r="AC95" s="154">
        <f t="shared" si="62"/>
        <v>0</v>
      </c>
      <c r="AD95" s="154">
        <f t="shared" si="62"/>
        <v>0</v>
      </c>
      <c r="AE95" s="154">
        <f t="shared" si="62"/>
        <v>0</v>
      </c>
      <c r="AF95" s="154">
        <f t="shared" si="62"/>
        <v>0</v>
      </c>
      <c r="AG95" s="154">
        <f t="shared" si="62"/>
        <v>0</v>
      </c>
      <c r="AH95" s="154">
        <f t="shared" si="62"/>
        <v>0</v>
      </c>
      <c r="AI95" s="154">
        <f t="shared" si="62"/>
        <v>0</v>
      </c>
      <c r="AJ95" s="155">
        <f t="shared" si="62"/>
        <v>0</v>
      </c>
    </row>
  </sheetData>
  <customSheetViews>
    <customSheetView guid="{E10D540C-7CBD-11D4-9F98-0000E22085C7}" scale="92" fitToPage="1" showRuler="0" topLeftCell="AB157">
      <selection activeCell="AB157" sqref="AB157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1"/>
      <headerFooter alignWithMargins="0">
        <oddHeader>&amp;L&amp;D, &amp;T&amp;C&amp;P&amp;R&amp;F</oddHeader>
      </headerFooter>
    </customSheetView>
    <customSheetView guid="{E10D540B-7CBD-11D4-9F98-0000E22085C7}" scale="92" showPageBreaks="1" showRuler="0" topLeftCell="I157">
      <selection activeCell="I157" sqref="I157"/>
      <pageMargins left="0.98425196850393704" right="0.98425196850393704" top="0.98425196850393704" bottom="0.98425196850393704" header="0.51181102362204722" footer="0.51181102362204722"/>
      <pageSetup paperSize="9" scale="43" orientation="landscape" horizontalDpi="4294967292" verticalDpi="4294967292" r:id="rId2"/>
      <headerFooter alignWithMargins="0">
        <oddHeader>&amp;L&amp;D, &amp;T&amp;C&amp;P&amp;R&amp;F</oddHeader>
      </headerFooter>
    </customSheetView>
    <customSheetView guid="{E10D5405-7CBD-11D4-9F98-0000E22085C7}" scale="92" fitToPage="1" showRuler="0" topLeftCell="AB1">
      <selection activeCell="AB1" sqref="AB1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3"/>
      <headerFooter alignWithMargins="0">
        <oddHeader>&amp;L&amp;D, &amp;T&amp;C&amp;P&amp;R&amp;F</oddHeader>
      </headerFooter>
    </customSheetView>
    <customSheetView guid="{E10D5404-7CBD-11D4-9F98-0000E22085C7}" scale="92" fitToPage="1" showRuler="0" topLeftCell="I1">
      <selection activeCell="I3" sqref="I3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4"/>
      <headerFooter alignWithMargins="0">
        <oddHeader>&amp;L&amp;D, &amp;T&amp;C&amp;P&amp;R&amp;F</oddHeader>
      </headerFooter>
    </customSheetView>
    <customSheetView guid="{E10D5403-7CBD-11D4-9F98-0000E22085C7}" scale="92" showPageBreaks="1" showRuler="0" topLeftCell="CT1">
      <selection activeCell="CT1" sqref="CT1"/>
      <pageMargins left="0.98425196850393704" right="0.98425196850393704" top="0.98425196850393704" bottom="0.98425196850393704" header="0.51181102362204722" footer="0.51181102362204722"/>
      <pageSetup paperSize="9" scale="48" orientation="portrait" horizontalDpi="4294967292" verticalDpi="4294967292" r:id="rId5"/>
      <headerFooter alignWithMargins="0">
        <oddHeader>&amp;L&amp;D, &amp;T&amp;C&amp;P&amp;R&amp;F</oddHeader>
      </headerFooter>
    </customSheetView>
    <customSheetView guid="{E10D5402-7CBD-11D4-9F98-0000E22085C7}" scale="92" fitToPage="1" showRuler="0" topLeftCell="CB1">
      <selection activeCell="CC1" sqref="CC1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6"/>
      <headerFooter alignWithMargins="0">
        <oddHeader>&amp;L&amp;D, &amp;T&amp;C&amp;P&amp;R&amp;F</oddHeader>
      </headerFooter>
    </customSheetView>
    <customSheetView guid="{E10D5401-7CBD-11D4-9F98-0000E22085C7}" scale="92" showPageBreaks="1" showRuler="0" topLeftCell="DZ1">
      <selection activeCell="DZ1" sqref="DZ1"/>
      <pageMargins left="0.98425196850393704" right="0.98425196850393704" top="0.98425196850393704" bottom="0.98425196850393704" header="0.51181102362204722" footer="0.51181102362204722"/>
      <pageSetup paperSize="9" scale="48" orientation="portrait" horizontalDpi="4294967292" verticalDpi="4294967292" r:id="rId7"/>
      <headerFooter alignWithMargins="0">
        <oddHeader>&amp;L&amp;D, &amp;T&amp;C&amp;P&amp;R&amp;F</oddHeader>
      </headerFooter>
    </customSheetView>
    <customSheetView guid="{E10D5400-7CBD-11D4-9F98-0000E22085C7}" scale="92" showPageBreaks="1" showRuler="0" topLeftCell="DJ1">
      <selection activeCell="DJ1" sqref="DJ1"/>
      <pageMargins left="0.98425196850393704" right="0.98425196850393704" top="0.98425196850393704" bottom="0.98425196850393704" header="0.51181102362204722" footer="0.51181102362204722"/>
      <pageSetup paperSize="9" scale="48" orientation="portrait" horizontalDpi="4294967292" verticalDpi="4294967292" r:id="rId8"/>
      <headerFooter alignWithMargins="0">
        <oddHeader>&amp;L&amp;D, &amp;T&amp;C&amp;P&amp;R&amp;F</oddHeader>
      </headerFooter>
    </customSheetView>
    <customSheetView guid="{E10D53FF-7CBD-11D4-9F98-0000E22085C7}" scale="92" showPageBreaks="1" showRuler="0" topLeftCell="AR1">
      <selection activeCell="AS3" sqref="AS3"/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9"/>
      <headerFooter alignWithMargins="0">
        <oddHeader>&amp;L&amp;D, &amp;T&amp;C&amp;P&amp;R&amp;F</oddHeader>
      </headerFooter>
    </customSheetView>
    <customSheetView guid="{E10D53EC-7CBD-11D4-9F98-0000E22085C7}" scale="92" showPageBreaks="1" showRuler="0">
      <pageMargins left="0.98425196850393704" right="0.98425196850393704" top="0.98425196850393704" bottom="0.98425196850393704" header="0.51181102362204722" footer="0.51181102362204722"/>
      <pageSetup paperSize="9" scale="52" orientation="portrait" horizontalDpi="4294967292" verticalDpi="4294967292" r:id="rId10"/>
      <headerFooter alignWithMargins="0">
        <oddHeader>&amp;L&amp;D, &amp;T&amp;C&amp;P&amp;R&amp;F</oddHeader>
      </headerFooter>
    </customSheetView>
    <customSheetView guid="{E10D53E9-7CBD-11D4-9F98-0000E22085C7}" scale="92" fitToPage="1" showRuler="0" topLeftCell="AB81">
      <selection activeCell="AB81" sqref="AB81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11"/>
      <headerFooter alignWithMargins="0">
        <oddHeader>&amp;L&amp;D, &amp;T&amp;C&amp;P&amp;R&amp;F</oddHeader>
      </headerFooter>
    </customSheetView>
    <customSheetView guid="{E10D53E8-7CBD-11D4-9F98-0000E22085C7}" scale="92" showPageBreaks="1" showRuler="0" topLeftCell="I81">
      <selection activeCell="I81" sqref="I81"/>
      <pageMargins left="0.98425196850393704" right="0.98425196850393704" top="0.98425196850393704" bottom="0.98425196850393704" header="0.51181102362204722" footer="0.51181102362204722"/>
      <pageSetup paperSize="9" scale="45" orientation="landscape" horizontalDpi="4294967292" verticalDpi="4294967292" r:id="rId12"/>
      <headerFooter alignWithMargins="0">
        <oddHeader>&amp;L&amp;D, &amp;T&amp;C&amp;P&amp;R&amp;F</oddHeader>
      </headerFooter>
    </customSheetView>
    <customSheetView guid="{E10D53E7-7CBD-11D4-9F98-0000E22085C7}" scale="92" showPageBreaks="1" showRuler="0" topLeftCell="BL147">
      <selection activeCell="BL147" sqref="BL147"/>
      <pageMargins left="0.98425196850393704" right="0.98425196850393704" top="0.98425196850393704" bottom="0.98425196850393704" header="0.51181102362204722" footer="0.51181102362204722"/>
      <pageSetup paperSize="9" scale="48" orientation="landscape" horizontalDpi="4294967292" verticalDpi="4294967292" r:id="rId13"/>
      <headerFooter alignWithMargins="0">
        <oddHeader>&amp;L&amp;D, &amp;T&amp;C&amp;P&amp;R&amp;F</oddHeader>
      </headerFooter>
    </customSheetView>
    <customSheetView guid="{E10D53E6-7CBD-11D4-9F98-0000E22085C7}" scale="92" fitToPage="1" showRuler="0" topLeftCell="BL72">
      <selection activeCell="BL72" sqref="BL72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14"/>
      <headerFooter alignWithMargins="0">
        <oddHeader>&amp;L&amp;D, &amp;T&amp;C&amp;P&amp;R&amp;F</oddHeader>
      </headerFooter>
    </customSheetView>
    <customSheetView guid="{E10D53E5-7CBD-11D4-9F98-0000E22085C7}" scale="92" showPageBreaks="1" showRuler="0" topLeftCell="AS147">
      <selection activeCell="AS147" sqref="AS147"/>
      <pageMargins left="0.98425196850393704" right="0.98425196850393704" top="0.98425196850393704" bottom="0.98425196850393704" header="0.51181102362204722" footer="0.51181102362204722"/>
      <pageSetup paperSize="9" scale="48" orientation="landscape" horizontalDpi="4294967292" verticalDpi="4294967292" r:id="rId15"/>
      <headerFooter alignWithMargins="0">
        <oddHeader>&amp;L&amp;D, &amp;T&amp;C&amp;P&amp;R&amp;F</oddHeader>
      </headerFooter>
    </customSheetView>
    <customSheetView guid="{E10D53E4-7CBD-11D4-9F98-0000E22085C7}" scale="92" fitToPage="1" showRuler="0" topLeftCell="AS72">
      <selection activeCell="AS72" sqref="AS72"/>
      <pageMargins left="0.98425196850393704" right="0.98425196850393704" top="0.98425196850393704" bottom="0.98425196850393704" header="0.51181102362204722" footer="0.51181102362204722"/>
      <pageSetup paperSize="9" scale="52" orientation="landscape" horizontalDpi="4294967292" verticalDpi="4294967292" r:id="rId16"/>
      <headerFooter alignWithMargins="0">
        <oddHeader>&amp;L&amp;D, &amp;T&amp;C&amp;P&amp;R&amp;F</oddHeader>
      </headerFooter>
    </customSheetView>
  </customSheetViews>
  <phoneticPr fontId="5" type="noConversion"/>
  <conditionalFormatting sqref="C46:AH46">
    <cfRule type="cellIs" dxfId="13" priority="4" operator="equal">
      <formula>0</formula>
    </cfRule>
  </conditionalFormatting>
  <conditionalFormatting sqref="C1:AJ41 F42:M42 O42:W42 Y42:AB42 AI42:AJ42 C42:D43 AD42:AG43 G43:L43 O43:U43 W43 Y43:AA43 AJ43 C44:AJ44">
    <cfRule type="cellIs" dxfId="12" priority="1417" operator="equal">
      <formula>0</formula>
    </cfRule>
  </conditionalFormatting>
  <conditionalFormatting sqref="C45:AJ45 AI46:AJ46">
    <cfRule type="cellIs" dxfId="11" priority="16" operator="equal">
      <formula>0</formula>
    </cfRule>
  </conditionalFormatting>
  <conditionalFormatting sqref="C47:AJ47">
    <cfRule type="cellIs" dxfId="10" priority="8" operator="equal">
      <formula>0</formula>
    </cfRule>
  </conditionalFormatting>
  <conditionalFormatting sqref="C48:AJ48">
    <cfRule type="cellIs" dxfId="9" priority="9" operator="between">
      <formula>-0.00001</formula>
      <formula>0.00001</formula>
    </cfRule>
  </conditionalFormatting>
  <conditionalFormatting sqref="C49:AJ1048576">
    <cfRule type="cellIs" dxfId="8" priority="11" operator="equal">
      <formula>0</formula>
    </cfRule>
  </conditionalFormatting>
  <conditionalFormatting sqref="C55:AJ87">
    <cfRule type="cellIs" dxfId="7" priority="13" stopIfTrue="1" operator="notEqual">
      <formula>0</formula>
    </cfRule>
    <cfRule type="cellIs" dxfId="6" priority="15" stopIfTrue="1" operator="equal">
      <formula>0</formula>
    </cfRule>
  </conditionalFormatting>
  <conditionalFormatting sqref="C91:AJ95">
    <cfRule type="cellIs" dxfId="5" priority="12" stopIfTrue="1" operator="notEqual">
      <formula>0</formula>
    </cfRule>
    <cfRule type="cellIs" dxfId="4" priority="14" stopIfTrue="1" operator="equal">
      <formula>0</formula>
    </cfRule>
  </conditionalFormatting>
  <conditionalFormatting sqref="D4:AJ5">
    <cfRule type="cellIs" dxfId="3" priority="1423" stopIfTrue="1" operator="equal">
      <formula>0</formula>
    </cfRule>
    <cfRule type="cellIs" dxfId="2" priority="1424" stopIfTrue="1" operator="notEqual">
      <formula>0</formula>
    </cfRule>
  </conditionalFormatting>
  <conditionalFormatting sqref="D9:AJ41">
    <cfRule type="cellIs" dxfId="1" priority="18" stopIfTrue="1" operator="equal">
      <formula>0</formula>
    </cfRule>
    <cfRule type="cellIs" dxfId="0" priority="19" stopIfTrue="1" operator="notEqual">
      <formula>0</formula>
    </cfRule>
  </conditionalFormatting>
  <pageMargins left="0.98425196850393704" right="0.98425196850393704" top="0.98425196850393704" bottom="0.98425196850393704" header="0.51181102362204722" footer="0.51181102362204722"/>
  <pageSetup paperSize="9" scale="52" orientation="portrait" horizontalDpi="4294967292" verticalDpi="4294967292" r:id="rId17"/>
  <headerFooter alignWithMargins="0">
    <oddHeader>&amp;L&amp;D, &amp;T&amp;C&amp;P&amp;R&amp;F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>
    <pageSetUpPr fitToPage="1"/>
  </sheetPr>
  <dimension ref="A1:C891"/>
  <sheetViews>
    <sheetView showFormulas="1" zoomScaleNormal="100" workbookViewId="0"/>
  </sheetViews>
  <sheetFormatPr defaultColWidth="9.109375" defaultRowHeight="15" customHeight="1" x14ac:dyDescent="0.3"/>
  <cols>
    <col min="1" max="1" width="10.44140625" style="205" customWidth="1"/>
    <col min="2" max="2" width="102" style="205" customWidth="1"/>
    <col min="3" max="3" width="5.6640625" style="205" bestFit="1" customWidth="1"/>
    <col min="4" max="16384" width="9.109375" style="205"/>
  </cols>
  <sheetData>
    <row r="1" spans="1:3" s="232" customFormat="1" ht="15" customHeight="1" x14ac:dyDescent="0.3">
      <c r="A1" s="231" t="s">
        <v>2070</v>
      </c>
      <c r="B1" s="231" t="s">
        <v>2069</v>
      </c>
      <c r="C1" s="231" t="s">
        <v>968</v>
      </c>
    </row>
    <row r="2" spans="1:3" ht="15" customHeight="1" x14ac:dyDescent="0.3">
      <c r="A2" s="207" t="s">
        <v>661</v>
      </c>
      <c r="B2" s="208">
        <f>(kwsd.water.wC*kwsd.sed.sdC)/(kwsd.water.wC+kwsd.sed.sdC)*FRw.w1C*(SYSTEMAREA.C*AREAFRAC.w1C)</f>
        <v>2805.6723822559156</v>
      </c>
      <c r="C2" s="209" t="s">
        <v>2071</v>
      </c>
    </row>
    <row r="3" spans="1:3" ht="15" customHeight="1" x14ac:dyDescent="0.3">
      <c r="A3" s="207" t="s">
        <v>1085</v>
      </c>
      <c r="B3" s="208">
        <f>(kwsd.water.wR*kwsd.sed.sdR)/(kwsd.water.wR+kwsd.sed.sdR)*FRw.w1R*(SYSTEMAREA.R*AREAFRAC.w1R)</f>
        <v>172.64990574875546</v>
      </c>
      <c r="C3" s="209" t="s">
        <v>2071</v>
      </c>
    </row>
    <row r="4" spans="1:3" ht="15" customHeight="1" x14ac:dyDescent="0.3">
      <c r="A4" s="207" t="s">
        <v>663</v>
      </c>
      <c r="B4" s="208">
        <f>(kwsd.water.wC*kwsd.sed.sdC)/(kwsd.water.wC+kwsd.sed.sdC)*FRw.w2C*(SYSTEMAREA.C*AREAFRAC.w2C)</f>
        <v>102102.9144947249</v>
      </c>
      <c r="C4" s="209" t="s">
        <v>2071</v>
      </c>
    </row>
    <row r="5" spans="1:3" ht="15" customHeight="1" x14ac:dyDescent="0.3">
      <c r="A5" s="207" t="s">
        <v>973</v>
      </c>
      <c r="B5" s="208">
        <f>(kwsd.water.wR*kwsd.sed.sdR)/(kwsd.water.wR+kwsd.sed.sdR)*FRw.w2R*(SYSTEMAREA.R*AREAFRAC.w2R)</f>
        <v>27.488326408426918</v>
      </c>
      <c r="C5" s="209" t="s">
        <v>2071</v>
      </c>
    </row>
    <row r="6" spans="1:3" ht="15" customHeight="1" x14ac:dyDescent="0.3">
      <c r="A6" s="207" t="s">
        <v>163</v>
      </c>
      <c r="B6" s="208">
        <f>(kwsd.water.wA*kwsd.sed.sdA)/(kwsd.water.wA+kwsd.sed.sdA)*FRw.w3A*(SYSTEMAREA.A*AREAFRAC.wA)</f>
        <v>700952.32341488556</v>
      </c>
      <c r="C6" s="206" t="s">
        <v>2071</v>
      </c>
    </row>
    <row r="7" spans="1:3" ht="15" customHeight="1" x14ac:dyDescent="0.3">
      <c r="A7" s="207" t="s">
        <v>165</v>
      </c>
      <c r="B7" s="208">
        <f>(kwsd.water.wM*kwsd.sed.sdM)/(kwsd.water.wM+kwsd.sed.sdM)*FRw.w3M*(SYSTEMAREA.M*AREAFRAC.wM)</f>
        <v>1062995.7103166264</v>
      </c>
      <c r="C7" s="206" t="s">
        <v>2071</v>
      </c>
    </row>
    <row r="8" spans="1:3" ht="15" customHeight="1" x14ac:dyDescent="0.3">
      <c r="A8" s="207" t="s">
        <v>158</v>
      </c>
      <c r="B8" s="208">
        <f>(kwsd.water.wT*kwsd.sed.sdT)/(kwsd.water.wT+kwsd.sed.sdT)*FRw.w3T*(SYSTEMAREA.T*AREAFRAC.wT)</f>
        <v>2453333.1319520995</v>
      </c>
      <c r="C8" s="206" t="s">
        <v>2071</v>
      </c>
    </row>
    <row r="9" spans="1:3" ht="15" customHeight="1" x14ac:dyDescent="0.3">
      <c r="A9" s="210" t="s">
        <v>494</v>
      </c>
      <c r="B9" s="208">
        <v>1E-3</v>
      </c>
      <c r="C9" s="211" t="s">
        <v>2072</v>
      </c>
    </row>
    <row r="10" spans="1:3" ht="15" customHeight="1" x14ac:dyDescent="0.3">
      <c r="A10" s="210" t="s">
        <v>460</v>
      </c>
      <c r="B10" s="208">
        <v>1E-3</v>
      </c>
      <c r="C10" s="212" t="s">
        <v>2072</v>
      </c>
    </row>
    <row r="11" spans="1:3" ht="15" customHeight="1" x14ac:dyDescent="0.3">
      <c r="A11" s="210" t="s">
        <v>960</v>
      </c>
      <c r="B11" s="208">
        <v>1E-3</v>
      </c>
      <c r="C11" s="211" t="s">
        <v>2072</v>
      </c>
    </row>
    <row r="12" spans="1:3" ht="15" customHeight="1" x14ac:dyDescent="0.3">
      <c r="A12" s="210" t="s">
        <v>121</v>
      </c>
      <c r="B12" s="208">
        <v>1E-3</v>
      </c>
      <c r="C12" s="212" t="s">
        <v>2072</v>
      </c>
    </row>
    <row r="13" spans="1:3" ht="15" customHeight="1" x14ac:dyDescent="0.3">
      <c r="A13" s="210" t="s">
        <v>954</v>
      </c>
      <c r="B13" s="213">
        <v>1E-3</v>
      </c>
      <c r="C13" s="211" t="s">
        <v>2072</v>
      </c>
    </row>
    <row r="14" spans="1:3" ht="15" customHeight="1" x14ac:dyDescent="0.3">
      <c r="A14" s="207" t="s">
        <v>1023</v>
      </c>
      <c r="B14" s="208">
        <f>(FRaerw.aA+FRaers.aA)*(tdry.A+twet.A)/twet.A*RAINrate.A*COLLECTeff.A</f>
        <v>9.4698796503192895E-10</v>
      </c>
      <c r="C14" s="212" t="s">
        <v>2072</v>
      </c>
    </row>
    <row r="15" spans="1:3" ht="15" customHeight="1" x14ac:dyDescent="0.3">
      <c r="A15" s="207" t="s">
        <v>1291</v>
      </c>
      <c r="B15" s="208">
        <f>(FRaerw.aC+FRaers.aC)*(tdry.C+twet.C)/twet.C*RAINrate.C*COLLECTeff.C</f>
        <v>2.6122501158189259E-9</v>
      </c>
      <c r="C15" s="212" t="s">
        <v>2072</v>
      </c>
    </row>
    <row r="16" spans="1:3" ht="15" customHeight="1" x14ac:dyDescent="0.3">
      <c r="A16" s="207" t="s">
        <v>547</v>
      </c>
      <c r="B16" s="208">
        <f>(FRaerw.aM+FRaers.aM)*(tdry.M+twet.M)/twet.M*RAINrate.M*COLLECTeff.M</f>
        <v>2.6122501158189259E-9</v>
      </c>
      <c r="C16" s="212" t="s">
        <v>2072</v>
      </c>
    </row>
    <row r="17" spans="1:3" ht="15" customHeight="1" x14ac:dyDescent="0.3">
      <c r="A17" s="207" t="s">
        <v>586</v>
      </c>
      <c r="B17" s="208">
        <f>(FRaerw.aR+FRaers.aR)*(tdry.R+twet.R)/twet.R*COLLECTeff.R*RAINrate.R</f>
        <v>2.6122501158189259E-9</v>
      </c>
      <c r="C17" s="212" t="s">
        <v>2072</v>
      </c>
    </row>
    <row r="18" spans="1:3" ht="15" customHeight="1" x14ac:dyDescent="0.3">
      <c r="A18" s="207" t="s">
        <v>1400</v>
      </c>
      <c r="B18" s="208">
        <f>(FRaerw.aT+FRaers.aT)*(tdry.T+twet.T)/twet.T*RAINrate.T*COLLECTeff.T</f>
        <v>4.8369683461120356E-9</v>
      </c>
      <c r="C18" s="212" t="s">
        <v>2072</v>
      </c>
    </row>
    <row r="19" spans="1:3" ht="15" customHeight="1" x14ac:dyDescent="0.3">
      <c r="A19" s="207" t="s">
        <v>405</v>
      </c>
      <c r="B19" s="208">
        <f>VOLUME.aA/TAU.aA</f>
        <v>29424528720.438507</v>
      </c>
      <c r="C19" s="206" t="s">
        <v>2071</v>
      </c>
    </row>
    <row r="20" spans="1:3" ht="15" customHeight="1" x14ac:dyDescent="0.3">
      <c r="A20" s="207" t="s">
        <v>668</v>
      </c>
      <c r="B20" s="208" t="e">
        <f>VOLUME.aC/TAU.aC-AIRflow.aC.aR</f>
        <v>#NAME?</v>
      </c>
      <c r="C20" s="206" t="s">
        <v>2071</v>
      </c>
    </row>
    <row r="21" spans="1:3" ht="15" customHeight="1" x14ac:dyDescent="0.3">
      <c r="A21" s="207" t="s">
        <v>1208</v>
      </c>
      <c r="B21" s="208" t="e">
        <f>AIRflow.aR.aC</f>
        <v>#NAME?</v>
      </c>
      <c r="C21" s="206" t="s">
        <v>2071</v>
      </c>
    </row>
    <row r="22" spans="1:3" ht="15" customHeight="1" x14ac:dyDescent="0.3">
      <c r="A22" s="207" t="s">
        <v>790</v>
      </c>
      <c r="B22" s="208" t="e">
        <f>AIRflow.aA.aM</f>
        <v>#NAME?</v>
      </c>
      <c r="C22" s="206" t="s">
        <v>2071</v>
      </c>
    </row>
    <row r="23" spans="1:3" ht="15" customHeight="1" x14ac:dyDescent="0.3">
      <c r="A23" s="207" t="s">
        <v>789</v>
      </c>
      <c r="B23" s="208" t="e">
        <f>AIRflow.aC.aM</f>
        <v>#NAME?</v>
      </c>
      <c r="C23" s="206" t="s">
        <v>2071</v>
      </c>
    </row>
    <row r="24" spans="1:3" ht="15" customHeight="1" x14ac:dyDescent="0.3">
      <c r="A24" s="207" t="s">
        <v>791</v>
      </c>
      <c r="B24" s="208" t="e">
        <f>AIRflow.aT.aM</f>
        <v>#NAME?</v>
      </c>
      <c r="C24" s="206" t="s">
        <v>2071</v>
      </c>
    </row>
    <row r="25" spans="1:3" ht="15" customHeight="1" x14ac:dyDescent="0.3">
      <c r="A25" s="207" t="s">
        <v>729</v>
      </c>
      <c r="B25" s="208">
        <f>VOLUME.aR/TAU.aR</f>
        <v>2162582168.7412524</v>
      </c>
      <c r="C25" s="209" t="s">
        <v>2071</v>
      </c>
    </row>
    <row r="26" spans="1:3" ht="15" customHeight="1" x14ac:dyDescent="0.3">
      <c r="A26" s="207" t="s">
        <v>1204</v>
      </c>
      <c r="B26" s="208">
        <f>VOLUME.aT/TAU.aT</f>
        <v>50964778732.569145</v>
      </c>
      <c r="C26" s="206" t="s">
        <v>2071</v>
      </c>
    </row>
    <row r="27" spans="1:3" ht="15" customHeight="1" x14ac:dyDescent="0.3">
      <c r="A27" s="210" t="s">
        <v>1449</v>
      </c>
      <c r="B27" s="208">
        <f>AREAland.C*FRACnatsoil.C/SYSTEMAREA.C</f>
        <v>0.13500000000000001</v>
      </c>
      <c r="C27" s="206" t="s">
        <v>36</v>
      </c>
    </row>
    <row r="28" spans="1:3" ht="15" customHeight="1" x14ac:dyDescent="0.3">
      <c r="A28" s="210" t="s">
        <v>1192</v>
      </c>
      <c r="B28" s="208">
        <f>AREAland.R*FRACnatsoil.R/SYSTEMAREA.R</f>
        <v>0.26882388813869412</v>
      </c>
      <c r="C28" s="209" t="s">
        <v>36</v>
      </c>
    </row>
    <row r="29" spans="1:3" ht="15" customHeight="1" x14ac:dyDescent="0.3">
      <c r="A29" s="210" t="s">
        <v>1297</v>
      </c>
      <c r="B29" s="208">
        <f>AREAland.C*FRACagsoil.C/SYSTEMAREA.C</f>
        <v>0.3</v>
      </c>
      <c r="C29" s="206" t="s">
        <v>36</v>
      </c>
    </row>
    <row r="30" spans="1:3" ht="15" customHeight="1" x14ac:dyDescent="0.3">
      <c r="A30" s="210" t="s">
        <v>1193</v>
      </c>
      <c r="B30" s="208">
        <f>AREAland.R*FRACagsoil.R/SYSTEMAREA.R</f>
        <v>0.5973864180859868</v>
      </c>
      <c r="C30" s="209" t="s">
        <v>36</v>
      </c>
    </row>
    <row r="31" spans="1:3" ht="15" customHeight="1" x14ac:dyDescent="0.3">
      <c r="A31" s="210" t="s">
        <v>850</v>
      </c>
      <c r="B31" s="208">
        <f>AREAland.C*FRACothersoil.C/SYSTEMAREA.C</f>
        <v>0.05</v>
      </c>
      <c r="C31" s="206" t="s">
        <v>36</v>
      </c>
    </row>
    <row r="32" spans="1:3" ht="15" customHeight="1" x14ac:dyDescent="0.3">
      <c r="A32" s="210" t="s">
        <v>1194</v>
      </c>
      <c r="B32" s="208">
        <f>AREAland.R*FRACothersoil.R/SYSTEMAREA.R</f>
        <v>9.9564403014331143E-2</v>
      </c>
      <c r="C32" s="209" t="s">
        <v>36</v>
      </c>
    </row>
    <row r="33" spans="1:3" ht="15" customHeight="1" x14ac:dyDescent="0.3">
      <c r="A33" s="210" t="s">
        <v>19</v>
      </c>
      <c r="B33" s="208">
        <f>1-AREAFRAC.wA</f>
        <v>0.4</v>
      </c>
      <c r="C33" s="206" t="s">
        <v>36</v>
      </c>
    </row>
    <row r="34" spans="1:3" ht="15" customHeight="1" x14ac:dyDescent="0.3">
      <c r="A34" s="210" t="s">
        <v>1188</v>
      </c>
      <c r="B34" s="208">
        <f>1-AREAFRAC.wM</f>
        <v>0.5</v>
      </c>
      <c r="C34" s="206" t="s">
        <v>36</v>
      </c>
    </row>
    <row r="35" spans="1:3" ht="15" customHeight="1" x14ac:dyDescent="0.3">
      <c r="A35" s="210" t="s">
        <v>1411</v>
      </c>
      <c r="B35" s="208">
        <f>1-AREAFRAC.wT</f>
        <v>0.30000000000000004</v>
      </c>
      <c r="C35" s="209" t="s">
        <v>36</v>
      </c>
    </row>
    <row r="36" spans="1:3" ht="15" customHeight="1" x14ac:dyDescent="0.3">
      <c r="A36" s="210" t="s">
        <v>328</v>
      </c>
      <c r="B36" s="208">
        <f>AREAland.C*FRAClake.C/SYSTEMAREA.C</f>
        <v>1.25E-3</v>
      </c>
      <c r="C36" s="209" t="s">
        <v>36</v>
      </c>
    </row>
    <row r="37" spans="1:3" ht="15" customHeight="1" x14ac:dyDescent="0.3">
      <c r="A37" s="210" t="s">
        <v>285</v>
      </c>
      <c r="B37" s="208">
        <f>AREAland.R*FRAClake.R/SYSTEMAREA.R</f>
        <v>2.4891100753582783E-3</v>
      </c>
      <c r="C37" s="209" t="s">
        <v>36</v>
      </c>
    </row>
    <row r="38" spans="1:3" ht="15" customHeight="1" x14ac:dyDescent="0.3">
      <c r="A38" s="210" t="s">
        <v>1447</v>
      </c>
      <c r="B38" s="208">
        <f>AREAland.C*FRACfresh.C/SYSTEMAREA.C</f>
        <v>1.375E-2</v>
      </c>
      <c r="C38" s="206" t="s">
        <v>36</v>
      </c>
    </row>
    <row r="39" spans="1:3" ht="15" customHeight="1" x14ac:dyDescent="0.3">
      <c r="A39" s="210" t="s">
        <v>1190</v>
      </c>
      <c r="B39" s="208">
        <f>AREAland.R*FRACfresh.R/SYSTEMAREA.R</f>
        <v>2.7380210828941064E-2</v>
      </c>
      <c r="C39" s="209" t="s">
        <v>36</v>
      </c>
    </row>
    <row r="40" spans="1:3" ht="15" customHeight="1" x14ac:dyDescent="0.3">
      <c r="A40" s="210" t="s">
        <v>1448</v>
      </c>
      <c r="B40" s="208">
        <f>1-AREAFRAC.w0C-AREAFRAC.w1C-AREAFRAC.s1C-AREAFRAC.s2C-AREAFRAC.s3C</f>
        <v>0.5</v>
      </c>
      <c r="C40" s="206" t="s">
        <v>36</v>
      </c>
    </row>
    <row r="41" spans="1:3" ht="15" customHeight="1" x14ac:dyDescent="0.3">
      <c r="A41" s="210" t="s">
        <v>1191</v>
      </c>
      <c r="B41" s="208">
        <f>1-AREAFRAC.w0R-AREAFRAC.w1R-AREAFRAC.s1R-AREAFRAC.s2R-AREAFRAC.s3R</f>
        <v>4.3559698566885963E-3</v>
      </c>
      <c r="C41" s="209" t="s">
        <v>36</v>
      </c>
    </row>
    <row r="42" spans="1:3" ht="15" customHeight="1" x14ac:dyDescent="0.3">
      <c r="A42" s="210" t="s">
        <v>18</v>
      </c>
      <c r="B42" s="228">
        <v>0.6</v>
      </c>
      <c r="C42" s="206" t="s">
        <v>36</v>
      </c>
    </row>
    <row r="43" spans="1:3" ht="15" customHeight="1" x14ac:dyDescent="0.3">
      <c r="A43" s="210" t="s">
        <v>1187</v>
      </c>
      <c r="B43" s="228">
        <v>0.5</v>
      </c>
      <c r="C43" s="206" t="s">
        <v>36</v>
      </c>
    </row>
    <row r="44" spans="1:3" ht="15" customHeight="1" x14ac:dyDescent="0.3">
      <c r="A44" s="210" t="s">
        <v>1410</v>
      </c>
      <c r="B44" s="229">
        <v>0.7</v>
      </c>
      <c r="C44" s="209" t="s">
        <v>36</v>
      </c>
    </row>
    <row r="45" spans="1:3" ht="15" customHeight="1" x14ac:dyDescent="0.3">
      <c r="A45" s="206" t="s">
        <v>1445</v>
      </c>
      <c r="B45" s="229">
        <v>3714410000000</v>
      </c>
      <c r="C45" s="212" t="s">
        <v>2073</v>
      </c>
    </row>
    <row r="46" spans="1:3" ht="15" customHeight="1" x14ac:dyDescent="0.3">
      <c r="A46" s="206" t="s">
        <v>1398</v>
      </c>
      <c r="B46" s="229">
        <v>228570000000</v>
      </c>
      <c r="C46" s="212" t="s">
        <v>2073</v>
      </c>
    </row>
    <row r="47" spans="1:3" ht="15" customHeight="1" x14ac:dyDescent="0.3">
      <c r="A47" s="206" t="s">
        <v>1446</v>
      </c>
      <c r="B47" s="229">
        <v>3714410000000</v>
      </c>
      <c r="C47" s="212" t="s">
        <v>2073</v>
      </c>
    </row>
    <row r="48" spans="1:3" ht="15" customHeight="1" x14ac:dyDescent="0.3">
      <c r="A48" s="206" t="s">
        <v>1399</v>
      </c>
      <c r="B48" s="229">
        <v>1000000000</v>
      </c>
      <c r="C48" s="212" t="s">
        <v>2073</v>
      </c>
    </row>
    <row r="49" spans="1:3" ht="15" customHeight="1" x14ac:dyDescent="0.3">
      <c r="A49" s="209" t="s">
        <v>16</v>
      </c>
      <c r="B49" s="229">
        <v>40000</v>
      </c>
      <c r="C49" s="209" t="s">
        <v>2074</v>
      </c>
    </row>
    <row r="50" spans="1:3" ht="15" customHeight="1" x14ac:dyDescent="0.3">
      <c r="A50" s="210" t="s">
        <v>355</v>
      </c>
      <c r="B50" s="228">
        <v>40000</v>
      </c>
      <c r="C50" s="209" t="s">
        <v>730</v>
      </c>
    </row>
    <row r="51" spans="1:3" ht="15" customHeight="1" x14ac:dyDescent="0.3">
      <c r="A51" s="210" t="s">
        <v>307</v>
      </c>
      <c r="B51" s="228">
        <v>40000</v>
      </c>
      <c r="C51" s="209" t="s">
        <v>730</v>
      </c>
    </row>
    <row r="52" spans="1:3" ht="15" customHeight="1" x14ac:dyDescent="0.3">
      <c r="A52" s="210" t="s">
        <v>686</v>
      </c>
      <c r="B52" s="228">
        <v>40000</v>
      </c>
      <c r="C52" s="209" t="s">
        <v>730</v>
      </c>
    </row>
    <row r="53" spans="1:3" ht="15" customHeight="1" x14ac:dyDescent="0.3">
      <c r="A53" s="210" t="s">
        <v>688</v>
      </c>
      <c r="B53" s="228">
        <v>40000</v>
      </c>
      <c r="C53" s="209" t="s">
        <v>730</v>
      </c>
    </row>
    <row r="54" spans="1:3" ht="15" customHeight="1" x14ac:dyDescent="0.3">
      <c r="A54" s="210" t="s">
        <v>1160</v>
      </c>
      <c r="B54" s="228">
        <v>40000</v>
      </c>
      <c r="C54" s="209" t="s">
        <v>730</v>
      </c>
    </row>
    <row r="55" spans="1:3" ht="15" customHeight="1" x14ac:dyDescent="0.3">
      <c r="A55" s="210" t="s">
        <v>687</v>
      </c>
      <c r="B55" s="228">
        <v>40000</v>
      </c>
      <c r="C55" s="209" t="s">
        <v>730</v>
      </c>
    </row>
    <row r="56" spans="1:3" ht="15" customHeight="1" x14ac:dyDescent="0.3">
      <c r="A56" s="210" t="s">
        <v>684</v>
      </c>
      <c r="B56" s="228">
        <v>40000</v>
      </c>
      <c r="C56" s="209" t="s">
        <v>730</v>
      </c>
    </row>
    <row r="57" spans="1:3" ht="15" customHeight="1" x14ac:dyDescent="0.3">
      <c r="A57" s="210" t="s">
        <v>689</v>
      </c>
      <c r="B57" s="228">
        <v>40000</v>
      </c>
      <c r="C57" s="209" t="s">
        <v>730</v>
      </c>
    </row>
    <row r="58" spans="1:3" ht="15" customHeight="1" x14ac:dyDescent="0.3">
      <c r="A58" s="210" t="s">
        <v>1141</v>
      </c>
      <c r="B58" s="229">
        <v>40000</v>
      </c>
      <c r="C58" s="209" t="s">
        <v>730</v>
      </c>
    </row>
    <row r="59" spans="1:3" ht="15" customHeight="1" x14ac:dyDescent="0.3">
      <c r="A59" s="210" t="s">
        <v>1161</v>
      </c>
      <c r="B59" s="228">
        <v>40000</v>
      </c>
      <c r="C59" s="209" t="s">
        <v>730</v>
      </c>
    </row>
    <row r="60" spans="1:3" ht="15" customHeight="1" x14ac:dyDescent="0.3">
      <c r="A60" s="210" t="s">
        <v>685</v>
      </c>
      <c r="B60" s="228">
        <v>40000</v>
      </c>
      <c r="C60" s="209" t="s">
        <v>730</v>
      </c>
    </row>
    <row r="61" spans="1:3" ht="15" customHeight="1" x14ac:dyDescent="0.3">
      <c r="A61" s="210" t="s">
        <v>1142</v>
      </c>
      <c r="B61" s="229">
        <v>40000</v>
      </c>
      <c r="C61" s="209" t="s">
        <v>730</v>
      </c>
    </row>
    <row r="62" spans="1:3" ht="15" customHeight="1" x14ac:dyDescent="0.3">
      <c r="A62" s="207" t="s">
        <v>765</v>
      </c>
      <c r="B62" s="214" t="s">
        <v>1296</v>
      </c>
      <c r="C62" s="209" t="s">
        <v>1295</v>
      </c>
    </row>
    <row r="63" spans="1:3" ht="15" customHeight="1" x14ac:dyDescent="0.3">
      <c r="A63" s="207" t="s">
        <v>1216</v>
      </c>
      <c r="B63" s="208">
        <f>NETsedrate.w1C*SYSTEMAREA.C*AREAFRAC.w1C</f>
        <v>8.8077517219249231</v>
      </c>
      <c r="C63" s="209" t="s">
        <v>2071</v>
      </c>
    </row>
    <row r="64" spans="1:3" ht="15" customHeight="1" x14ac:dyDescent="0.3">
      <c r="A64" s="207" t="s">
        <v>1338</v>
      </c>
      <c r="B64" s="208">
        <f>NETsedrate.w1R*SYSTEMAREA.R*AREAFRAC.w1R</f>
        <v>0.54598031594843988</v>
      </c>
      <c r="C64" s="209" t="s">
        <v>2071</v>
      </c>
    </row>
    <row r="65" spans="1:3" ht="15" customHeight="1" x14ac:dyDescent="0.3">
      <c r="A65" s="207" t="s">
        <v>1217</v>
      </c>
      <c r="B65" s="208">
        <f>NETsedrate.w2C*SYSTEMAREA.C*AREAFRAC.w2C</f>
        <v>0</v>
      </c>
      <c r="C65" s="209" t="s">
        <v>2071</v>
      </c>
    </row>
    <row r="66" spans="1:3" ht="15" customHeight="1" x14ac:dyDescent="0.3">
      <c r="A66" s="207" t="s">
        <v>1219</v>
      </c>
      <c r="B66" s="208">
        <f>NETsedrate.w2R*SYSTEMAREA.R*AREAFRAC.w2R</f>
        <v>2.742879724759513E-2</v>
      </c>
      <c r="C66" s="209" t="s">
        <v>2071</v>
      </c>
    </row>
    <row r="67" spans="1:3" ht="15" customHeight="1" x14ac:dyDescent="0.3">
      <c r="A67" s="207" t="s">
        <v>875</v>
      </c>
      <c r="B67" s="208">
        <f>NETsedrate.wA*SYSTEMAREA.A*AREAFRAC.wA</f>
        <v>1.6171993911719766</v>
      </c>
      <c r="C67" s="209" t="s">
        <v>2071</v>
      </c>
    </row>
    <row r="68" spans="1:3" ht="15" customHeight="1" x14ac:dyDescent="0.3">
      <c r="A68" s="207" t="s">
        <v>782</v>
      </c>
      <c r="B68" s="208">
        <f>NETsedrate.wM*SYSTEMAREA.M*AREAFRAC.wM</f>
        <v>3.4617342604463079</v>
      </c>
      <c r="C68" s="209" t="s">
        <v>2071</v>
      </c>
    </row>
    <row r="69" spans="1:3" ht="15" customHeight="1" x14ac:dyDescent="0.3">
      <c r="A69" s="207" t="s">
        <v>1391</v>
      </c>
      <c r="B69" s="208">
        <f>NETsedrate.wT*SYSTEMAREA.T*AREAFRAC.wT</f>
        <v>5.6601978691020065</v>
      </c>
      <c r="C69" s="209" t="s">
        <v>2071</v>
      </c>
    </row>
    <row r="70" spans="1:3" ht="15" customHeight="1" x14ac:dyDescent="0.3">
      <c r="A70" s="207" t="s">
        <v>1309</v>
      </c>
      <c r="B70" s="213">
        <v>500000</v>
      </c>
      <c r="C70" s="209" t="s">
        <v>2075</v>
      </c>
    </row>
    <row r="71" spans="1:3" ht="15" customHeight="1" x14ac:dyDescent="0.3">
      <c r="A71" s="207" t="s">
        <v>804</v>
      </c>
      <c r="B71" s="208">
        <v>500000</v>
      </c>
      <c r="C71" s="209" t="s">
        <v>2075</v>
      </c>
    </row>
    <row r="72" spans="1:3" ht="15" customHeight="1" x14ac:dyDescent="0.3">
      <c r="A72" s="207" t="s">
        <v>188</v>
      </c>
      <c r="B72" s="208">
        <v>500000</v>
      </c>
      <c r="C72" s="209" t="s">
        <v>2075</v>
      </c>
    </row>
    <row r="73" spans="1:3" ht="15" customHeight="1" x14ac:dyDescent="0.3">
      <c r="A73" s="207" t="s">
        <v>1003</v>
      </c>
      <c r="B73" s="208">
        <v>500000</v>
      </c>
      <c r="C73" s="209" t="s">
        <v>2075</v>
      </c>
    </row>
    <row r="74" spans="1:3" ht="15" customHeight="1" x14ac:dyDescent="0.3">
      <c r="A74" s="207" t="s">
        <v>972</v>
      </c>
      <c r="B74" s="208">
        <v>500000</v>
      </c>
      <c r="C74" s="209" t="s">
        <v>2075</v>
      </c>
    </row>
    <row r="75" spans="1:3" ht="15" customHeight="1" x14ac:dyDescent="0.3">
      <c r="A75" s="207" t="s">
        <v>1402</v>
      </c>
      <c r="B75" s="208">
        <v>500000</v>
      </c>
      <c r="C75" s="209" t="s">
        <v>2075</v>
      </c>
    </row>
    <row r="76" spans="1:3" ht="15" customHeight="1" x14ac:dyDescent="0.3">
      <c r="A76" s="210" t="s">
        <v>347</v>
      </c>
      <c r="B76" s="208">
        <v>1E-3</v>
      </c>
      <c r="C76" s="209" t="s">
        <v>2114</v>
      </c>
    </row>
    <row r="77" spans="1:3" ht="15" customHeight="1" x14ac:dyDescent="0.3">
      <c r="A77" s="210" t="s">
        <v>297</v>
      </c>
      <c r="B77" s="208">
        <v>1E-3</v>
      </c>
      <c r="C77" s="209" t="s">
        <v>2114</v>
      </c>
    </row>
    <row r="78" spans="1:3" ht="15" customHeight="1" x14ac:dyDescent="0.3">
      <c r="A78" s="210" t="s">
        <v>556</v>
      </c>
      <c r="B78" s="208">
        <v>1E-3</v>
      </c>
      <c r="C78" s="209" t="s">
        <v>2114</v>
      </c>
    </row>
    <row r="79" spans="1:3" ht="15" customHeight="1" x14ac:dyDescent="0.3">
      <c r="A79" s="210" t="s">
        <v>552</v>
      </c>
      <c r="B79" s="208">
        <v>1E-3</v>
      </c>
      <c r="C79" s="209" t="s">
        <v>2114</v>
      </c>
    </row>
    <row r="80" spans="1:3" ht="15" customHeight="1" x14ac:dyDescent="0.3">
      <c r="A80" s="210" t="s">
        <v>1155</v>
      </c>
      <c r="B80" s="208">
        <v>1E-3</v>
      </c>
      <c r="C80" s="209" t="s">
        <v>2114</v>
      </c>
    </row>
    <row r="81" spans="1:3" ht="15" customHeight="1" x14ac:dyDescent="0.3">
      <c r="A81" s="210" t="s">
        <v>558</v>
      </c>
      <c r="B81" s="208">
        <v>1E-3</v>
      </c>
      <c r="C81" s="209" t="s">
        <v>2114</v>
      </c>
    </row>
    <row r="82" spans="1:3" ht="15" customHeight="1" x14ac:dyDescent="0.3">
      <c r="A82" s="210" t="s">
        <v>142</v>
      </c>
      <c r="B82" s="208">
        <v>1E-3</v>
      </c>
      <c r="C82" s="209" t="s">
        <v>2114</v>
      </c>
    </row>
    <row r="83" spans="1:3" ht="15" customHeight="1" x14ac:dyDescent="0.3">
      <c r="A83" s="210" t="s">
        <v>554</v>
      </c>
      <c r="B83" s="208">
        <v>1E-3</v>
      </c>
      <c r="C83" s="209" t="s">
        <v>2114</v>
      </c>
    </row>
    <row r="84" spans="1:3" ht="15" customHeight="1" x14ac:dyDescent="0.3">
      <c r="A84" s="210" t="s">
        <v>1144</v>
      </c>
      <c r="B84" s="208">
        <v>1E-3</v>
      </c>
      <c r="C84" s="209" t="s">
        <v>2114</v>
      </c>
    </row>
    <row r="85" spans="1:3" ht="15" customHeight="1" x14ac:dyDescent="0.3">
      <c r="A85" s="210" t="s">
        <v>1156</v>
      </c>
      <c r="B85" s="208">
        <v>1E-3</v>
      </c>
      <c r="C85" s="209" t="s">
        <v>2114</v>
      </c>
    </row>
    <row r="86" spans="1:3" ht="15" customHeight="1" x14ac:dyDescent="0.3">
      <c r="A86" s="210" t="s">
        <v>143</v>
      </c>
      <c r="B86" s="208">
        <v>1E-3</v>
      </c>
      <c r="C86" s="209" t="s">
        <v>2114</v>
      </c>
    </row>
    <row r="87" spans="1:3" ht="15" customHeight="1" x14ac:dyDescent="0.3">
      <c r="A87" s="210" t="s">
        <v>1131</v>
      </c>
      <c r="B87" s="208">
        <v>1E-3</v>
      </c>
      <c r="C87" s="209" t="s">
        <v>2114</v>
      </c>
    </row>
    <row r="88" spans="1:3" ht="15" customHeight="1" x14ac:dyDescent="0.3">
      <c r="A88" s="210" t="s">
        <v>496</v>
      </c>
      <c r="B88" s="208">
        <v>200000</v>
      </c>
      <c r="C88" s="209" t="s">
        <v>36</v>
      </c>
    </row>
    <row r="89" spans="1:3" ht="15" customHeight="1" x14ac:dyDescent="0.3">
      <c r="A89" s="210" t="s">
        <v>1064</v>
      </c>
      <c r="B89" s="208">
        <v>200000</v>
      </c>
      <c r="C89" s="209" t="s">
        <v>36</v>
      </c>
    </row>
    <row r="90" spans="1:3" ht="15" customHeight="1" x14ac:dyDescent="0.3">
      <c r="A90" s="210" t="s">
        <v>962</v>
      </c>
      <c r="B90" s="208">
        <v>200000</v>
      </c>
      <c r="C90" s="209" t="s">
        <v>36</v>
      </c>
    </row>
    <row r="91" spans="1:3" ht="15" customHeight="1" x14ac:dyDescent="0.3">
      <c r="A91" s="210" t="s">
        <v>123</v>
      </c>
      <c r="B91" s="208">
        <v>200000</v>
      </c>
      <c r="C91" s="209" t="s">
        <v>36</v>
      </c>
    </row>
    <row r="92" spans="1:3" ht="15" customHeight="1" x14ac:dyDescent="0.3">
      <c r="A92" s="210" t="s">
        <v>956</v>
      </c>
      <c r="B92" s="213">
        <v>200000</v>
      </c>
      <c r="C92" s="209" t="s">
        <v>36</v>
      </c>
    </row>
    <row r="93" spans="1:3" ht="15" customHeight="1" x14ac:dyDescent="0.3">
      <c r="A93" s="210" t="s">
        <v>983</v>
      </c>
      <c r="B93" s="213">
        <v>0.02</v>
      </c>
      <c r="C93" s="209" t="s">
        <v>36</v>
      </c>
    </row>
    <row r="94" spans="1:3" ht="15" customHeight="1" x14ac:dyDescent="0.3">
      <c r="A94" s="210" t="s">
        <v>480</v>
      </c>
      <c r="B94" s="208">
        <v>0.02</v>
      </c>
      <c r="C94" s="209" t="s">
        <v>36</v>
      </c>
    </row>
    <row r="95" spans="1:3" ht="15" customHeight="1" x14ac:dyDescent="0.3">
      <c r="A95" s="210" t="s">
        <v>1070</v>
      </c>
      <c r="B95" s="208">
        <v>0.02</v>
      </c>
      <c r="C95" s="209" t="s">
        <v>36</v>
      </c>
    </row>
    <row r="96" spans="1:3" ht="15" customHeight="1" x14ac:dyDescent="0.3">
      <c r="A96" s="210" t="s">
        <v>482</v>
      </c>
      <c r="B96" s="208">
        <v>0.02</v>
      </c>
      <c r="C96" s="209" t="s">
        <v>36</v>
      </c>
    </row>
    <row r="97" spans="1:3" ht="15" customHeight="1" x14ac:dyDescent="0.3">
      <c r="A97" s="210" t="s">
        <v>1072</v>
      </c>
      <c r="B97" s="208">
        <v>0.02</v>
      </c>
      <c r="C97" s="209" t="s">
        <v>36</v>
      </c>
    </row>
    <row r="98" spans="1:3" ht="15" customHeight="1" x14ac:dyDescent="0.3">
      <c r="A98" s="210" t="s">
        <v>484</v>
      </c>
      <c r="B98" s="208">
        <v>0.02</v>
      </c>
      <c r="C98" s="209" t="s">
        <v>36</v>
      </c>
    </row>
    <row r="99" spans="1:3" ht="15" customHeight="1" x14ac:dyDescent="0.3">
      <c r="A99" s="210" t="s">
        <v>1074</v>
      </c>
      <c r="B99" s="208">
        <v>0.02</v>
      </c>
      <c r="C99" s="209" t="s">
        <v>36</v>
      </c>
    </row>
    <row r="100" spans="1:3" ht="15" customHeight="1" x14ac:dyDescent="0.3">
      <c r="A100" s="210" t="s">
        <v>410</v>
      </c>
      <c r="B100" s="208">
        <v>0.02</v>
      </c>
      <c r="C100" s="209" t="s">
        <v>36</v>
      </c>
    </row>
    <row r="101" spans="1:3" ht="15" customHeight="1" x14ac:dyDescent="0.3">
      <c r="A101" s="210" t="s">
        <v>1298</v>
      </c>
      <c r="B101" s="208">
        <v>0.05</v>
      </c>
      <c r="C101" s="209" t="s">
        <v>36</v>
      </c>
    </row>
    <row r="102" spans="1:3" ht="15" customHeight="1" x14ac:dyDescent="0.3">
      <c r="A102" s="210" t="s">
        <v>1066</v>
      </c>
      <c r="B102" s="208">
        <v>0.05</v>
      </c>
      <c r="C102" s="209" t="s">
        <v>36</v>
      </c>
    </row>
    <row r="103" spans="1:3" ht="15" customHeight="1" x14ac:dyDescent="0.3">
      <c r="A103" s="210" t="s">
        <v>1300</v>
      </c>
      <c r="B103" s="208">
        <v>0.05</v>
      </c>
      <c r="C103" s="209" t="s">
        <v>36</v>
      </c>
    </row>
    <row r="104" spans="1:3" ht="15" customHeight="1" x14ac:dyDescent="0.3">
      <c r="A104" s="210" t="s">
        <v>1068</v>
      </c>
      <c r="B104" s="208">
        <v>0.05</v>
      </c>
      <c r="C104" s="209" t="s">
        <v>36</v>
      </c>
    </row>
    <row r="105" spans="1:3" ht="15" customHeight="1" x14ac:dyDescent="0.3">
      <c r="A105" s="210" t="s">
        <v>409</v>
      </c>
      <c r="B105" s="208">
        <v>0.05</v>
      </c>
      <c r="C105" s="209" t="s">
        <v>36</v>
      </c>
    </row>
    <row r="106" spans="1:3" ht="15" customHeight="1" x14ac:dyDescent="0.3">
      <c r="A106" s="210" t="s">
        <v>437</v>
      </c>
      <c r="B106" s="208">
        <v>0.05</v>
      </c>
      <c r="C106" s="209" t="s">
        <v>36</v>
      </c>
    </row>
    <row r="107" spans="1:3" ht="15" customHeight="1" x14ac:dyDescent="0.3">
      <c r="A107" s="210" t="s">
        <v>114</v>
      </c>
      <c r="B107" s="208">
        <v>0.05</v>
      </c>
      <c r="C107" s="209" t="s">
        <v>36</v>
      </c>
    </row>
    <row r="108" spans="1:3" ht="15" customHeight="1" x14ac:dyDescent="0.3">
      <c r="A108" s="210" t="s">
        <v>957</v>
      </c>
      <c r="B108" s="208">
        <v>0.02</v>
      </c>
      <c r="C108" s="209" t="s">
        <v>36</v>
      </c>
    </row>
    <row r="109" spans="1:3" ht="15" customHeight="1" x14ac:dyDescent="0.3">
      <c r="A109" s="210" t="s">
        <v>1044</v>
      </c>
      <c r="B109" s="208">
        <v>0.02</v>
      </c>
      <c r="C109" s="209" t="s">
        <v>36</v>
      </c>
    </row>
    <row r="110" spans="1:3" ht="15" customHeight="1" x14ac:dyDescent="0.3">
      <c r="A110" s="210" t="s">
        <v>344</v>
      </c>
      <c r="B110" s="208">
        <v>0.1</v>
      </c>
      <c r="C110" s="209" t="s">
        <v>36</v>
      </c>
    </row>
    <row r="111" spans="1:3" ht="15" customHeight="1" x14ac:dyDescent="0.3">
      <c r="A111" s="210" t="s">
        <v>294</v>
      </c>
      <c r="B111" s="208">
        <v>0.1</v>
      </c>
      <c r="C111" s="209" t="s">
        <v>36</v>
      </c>
    </row>
    <row r="112" spans="1:3" ht="15" customHeight="1" x14ac:dyDescent="0.3">
      <c r="A112" s="210" t="s">
        <v>1454</v>
      </c>
      <c r="B112" s="208">
        <v>0.1</v>
      </c>
      <c r="C112" s="209" t="s">
        <v>36</v>
      </c>
    </row>
    <row r="113" spans="1:3" ht="15" customHeight="1" x14ac:dyDescent="0.3">
      <c r="A113" s="210" t="s">
        <v>1456</v>
      </c>
      <c r="B113" s="208">
        <v>0.1</v>
      </c>
      <c r="C113" s="209" t="s">
        <v>36</v>
      </c>
    </row>
    <row r="114" spans="1:3" ht="15" customHeight="1" x14ac:dyDescent="0.3">
      <c r="A114" s="210" t="s">
        <v>1458</v>
      </c>
      <c r="B114" s="208">
        <v>0.1</v>
      </c>
      <c r="C114" s="209" t="s">
        <v>36</v>
      </c>
    </row>
    <row r="115" spans="1:3" ht="15" customHeight="1" x14ac:dyDescent="0.3">
      <c r="A115" s="210" t="s">
        <v>1455</v>
      </c>
      <c r="B115" s="208">
        <v>0.1</v>
      </c>
      <c r="C115" s="209" t="s">
        <v>36</v>
      </c>
    </row>
    <row r="116" spans="1:3" ht="15" customHeight="1" x14ac:dyDescent="0.3">
      <c r="A116" s="210" t="s">
        <v>1452</v>
      </c>
      <c r="B116" s="208">
        <v>0.1</v>
      </c>
      <c r="C116" s="209" t="s">
        <v>36</v>
      </c>
    </row>
    <row r="117" spans="1:3" ht="15" customHeight="1" x14ac:dyDescent="0.3">
      <c r="A117" s="210" t="s">
        <v>1457</v>
      </c>
      <c r="B117" s="208">
        <v>0.1</v>
      </c>
      <c r="C117" s="209" t="s">
        <v>36</v>
      </c>
    </row>
    <row r="118" spans="1:3" ht="15" customHeight="1" x14ac:dyDescent="0.3">
      <c r="A118" s="210" t="s">
        <v>1460</v>
      </c>
      <c r="B118" s="215">
        <v>0.1</v>
      </c>
      <c r="C118" s="209" t="s">
        <v>36</v>
      </c>
    </row>
    <row r="119" spans="1:3" ht="15" customHeight="1" x14ac:dyDescent="0.3">
      <c r="A119" s="210" t="s">
        <v>1459</v>
      </c>
      <c r="B119" s="208">
        <v>0.1</v>
      </c>
      <c r="C119" s="209" t="s">
        <v>36</v>
      </c>
    </row>
    <row r="120" spans="1:3" ht="15" customHeight="1" x14ac:dyDescent="0.3">
      <c r="A120" s="210" t="s">
        <v>1453</v>
      </c>
      <c r="B120" s="208">
        <v>0.1</v>
      </c>
      <c r="C120" s="209" t="s">
        <v>36</v>
      </c>
    </row>
    <row r="121" spans="1:3" ht="15" customHeight="1" x14ac:dyDescent="0.3">
      <c r="A121" s="210" t="s">
        <v>1461</v>
      </c>
      <c r="B121" s="215">
        <v>0.1</v>
      </c>
      <c r="C121" s="209" t="s">
        <v>36</v>
      </c>
    </row>
    <row r="122" spans="1:3" ht="15" customHeight="1" x14ac:dyDescent="0.3">
      <c r="A122" s="206" t="s">
        <v>1546</v>
      </c>
      <c r="B122" s="208">
        <v>0.1</v>
      </c>
      <c r="C122" s="206" t="s">
        <v>36</v>
      </c>
    </row>
    <row r="123" spans="1:3" ht="15" customHeight="1" x14ac:dyDescent="0.3">
      <c r="A123" s="207" t="s">
        <v>911</v>
      </c>
      <c r="B123" s="208" t="e">
        <f>(EXP((-1/0.1)*DEPTHdrain.s1C)*(1/0.1)*DEPTH.s1C/(1-EXP((-1/0.1)*DEPTH.s1C)))</f>
        <v>#NAME?</v>
      </c>
      <c r="C123" s="206" t="s">
        <v>36</v>
      </c>
    </row>
    <row r="124" spans="1:3" ht="15" customHeight="1" x14ac:dyDescent="0.3">
      <c r="A124" s="207" t="s">
        <v>1470</v>
      </c>
      <c r="B124" s="208" t="e">
        <f>(EXP((-1/0.1)*DEPTHdrain.s1R)*(1/0.1)*DEPTH.s1R/(1-EXP((-1/0.1)*DEPTH.s1R)))</f>
        <v>#NAME?</v>
      </c>
      <c r="C124" s="206" t="s">
        <v>36</v>
      </c>
    </row>
    <row r="125" spans="1:3" ht="15" customHeight="1" x14ac:dyDescent="0.3">
      <c r="A125" s="207" t="s">
        <v>912</v>
      </c>
      <c r="B125" s="208" t="e">
        <f>(EXP((-1/0.1)*DEPTHdrain.s2C)*(1/0.1)*DEPTH.s2C/(1-EXP((-1/0.1)*DEPTH.s2C)))</f>
        <v>#NAME?</v>
      </c>
      <c r="C125" s="206" t="s">
        <v>36</v>
      </c>
    </row>
    <row r="126" spans="1:3" ht="15" customHeight="1" x14ac:dyDescent="0.3">
      <c r="A126" s="207" t="s">
        <v>1471</v>
      </c>
      <c r="B126" s="208" t="e">
        <f>(EXP((-1/0.1)*DEPTHdrain.s2R)*(1/0.1)*DEPTH.s2R/(1-EXP((-1/0.1)*DEPTH.s2R)))</f>
        <v>#NAME?</v>
      </c>
      <c r="C126" s="206" t="s">
        <v>36</v>
      </c>
    </row>
    <row r="127" spans="1:3" ht="15" customHeight="1" x14ac:dyDescent="0.3">
      <c r="A127" s="207" t="s">
        <v>913</v>
      </c>
      <c r="B127" s="208" t="e">
        <f>(EXP((-1/0.1)*DEPTHdrain.s3C)*(1/0.1)*DEPTH.s3C/(1-EXP((-1/0.1)*DEPTH.s3C)))</f>
        <v>#NAME?</v>
      </c>
      <c r="C127" s="206" t="s">
        <v>36</v>
      </c>
    </row>
    <row r="128" spans="1:3" ht="15" customHeight="1" x14ac:dyDescent="0.3">
      <c r="A128" s="207" t="s">
        <v>1472</v>
      </c>
      <c r="B128" s="208" t="e">
        <f>(EXP((-1/0.1)*DEPTHdrain.s3R)*(1/0.1)*DEPTH.s3R/(1-EXP((-1/0.1)*DEPTH.s3R)))</f>
        <v>#NAME?</v>
      </c>
      <c r="C128" s="206" t="s">
        <v>36</v>
      </c>
    </row>
    <row r="129" spans="1:3" ht="15" customHeight="1" x14ac:dyDescent="0.3">
      <c r="A129" s="207" t="s">
        <v>919</v>
      </c>
      <c r="B129" s="208">
        <f>CORRvolat.sA*EXP((-1/0.1)*DEPTH.sA)</f>
        <v>0.77074704126839921</v>
      </c>
      <c r="C129" s="206" t="s">
        <v>36</v>
      </c>
    </row>
    <row r="130" spans="1:3" ht="15" customHeight="1" x14ac:dyDescent="0.3">
      <c r="A130" s="207" t="s">
        <v>916</v>
      </c>
      <c r="B130" s="208">
        <f>CORRvolat.sM*EXP((-1/0.1)*DEPTH.sM)</f>
        <v>0.77074704126839921</v>
      </c>
      <c r="C130" s="206" t="s">
        <v>36</v>
      </c>
    </row>
    <row r="131" spans="1:3" ht="15" customHeight="1" x14ac:dyDescent="0.3">
      <c r="A131" s="207" t="s">
        <v>873</v>
      </c>
      <c r="B131" s="208">
        <f>CORRvolat.sT*EXP((-1/0.1)*DEPTH.sT)</f>
        <v>0.77074704126839921</v>
      </c>
      <c r="C131" s="206" t="s">
        <v>36</v>
      </c>
    </row>
    <row r="132" spans="1:3" ht="15" customHeight="1" x14ac:dyDescent="0.3">
      <c r="A132" s="207" t="s">
        <v>908</v>
      </c>
      <c r="B132" s="216" t="s">
        <v>2095</v>
      </c>
      <c r="C132" s="206" t="s">
        <v>36</v>
      </c>
    </row>
    <row r="133" spans="1:3" ht="15" customHeight="1" x14ac:dyDescent="0.3">
      <c r="A133" s="207" t="s">
        <v>1467</v>
      </c>
      <c r="B133" s="216" t="s">
        <v>2096</v>
      </c>
      <c r="C133" s="206" t="s">
        <v>36</v>
      </c>
    </row>
    <row r="134" spans="1:3" ht="15" customHeight="1" x14ac:dyDescent="0.3">
      <c r="A134" s="207" t="s">
        <v>909</v>
      </c>
      <c r="B134" s="216" t="s">
        <v>2097</v>
      </c>
      <c r="C134" s="206" t="s">
        <v>36</v>
      </c>
    </row>
    <row r="135" spans="1:3" ht="15" customHeight="1" x14ac:dyDescent="0.3">
      <c r="A135" s="207" t="s">
        <v>1468</v>
      </c>
      <c r="B135" s="216" t="s">
        <v>2098</v>
      </c>
      <c r="C135" s="206" t="s">
        <v>36</v>
      </c>
    </row>
    <row r="136" spans="1:3" ht="15" customHeight="1" x14ac:dyDescent="0.3">
      <c r="A136" s="207" t="s">
        <v>910</v>
      </c>
      <c r="B136" s="216" t="s">
        <v>2099</v>
      </c>
      <c r="C136" s="206" t="s">
        <v>36</v>
      </c>
    </row>
    <row r="137" spans="1:3" ht="15" customHeight="1" x14ac:dyDescent="0.3">
      <c r="A137" s="207" t="s">
        <v>1469</v>
      </c>
      <c r="B137" s="216" t="s">
        <v>2100</v>
      </c>
      <c r="C137" s="206" t="s">
        <v>36</v>
      </c>
    </row>
    <row r="138" spans="1:3" ht="15" customHeight="1" x14ac:dyDescent="0.3">
      <c r="A138" s="207" t="s">
        <v>918</v>
      </c>
      <c r="B138" s="208" t="e">
        <f>SURFfrac.sA*CORRvolat.sA+SUBSURFfrac.sA*(EXP((-1/0.1)*DEPTHsubsurf.sA*(1/0.1)*DEPTH.sA)/(1-EXP((-1/0.1)*DEPTH.sA)))</f>
        <v>#NAME?</v>
      </c>
      <c r="C138" s="206" t="s">
        <v>36</v>
      </c>
    </row>
    <row r="139" spans="1:3" ht="15" customHeight="1" x14ac:dyDescent="0.3">
      <c r="A139" s="207" t="s">
        <v>915</v>
      </c>
      <c r="B139" s="208" t="e">
        <f>SURFfrac.sM*CORRvolat.sM+SUBSURFfrac.sM*(EXP((-1/FRACs.sdM)*DEPTHsubsurf.sM*(1/FRACs.sdM)*DEPTH.sM)/(1-EXP((-1/0.1)*DEPTH.sM)))</f>
        <v>#NAME?</v>
      </c>
      <c r="C139" s="206" t="s">
        <v>36</v>
      </c>
    </row>
    <row r="140" spans="1:3" ht="15" customHeight="1" x14ac:dyDescent="0.3">
      <c r="A140" s="207" t="s">
        <v>874</v>
      </c>
      <c r="B140" s="208" t="e">
        <f>SURFfrac.sT*CORRvolat.sT+SUBSURFfrac.sT*(EXP((-1/0.1)*DEPTHsubsurf.sT*(1/0.1)*DEPTH.sT)/(1-EXP((-1/0.1)*DEPTH.sT)))</f>
        <v>#NAME?</v>
      </c>
      <c r="C140" s="206" t="s">
        <v>36</v>
      </c>
    </row>
    <row r="141" spans="1:3" ht="15" customHeight="1" x14ac:dyDescent="0.3">
      <c r="A141" s="207" t="s">
        <v>1473</v>
      </c>
      <c r="B141" s="208">
        <f>(1/0.1)*DEPTH.s1C/(1-EXP((-1/0.1)*DEPTH.s1C))</f>
        <v>1.2707470412683992</v>
      </c>
      <c r="C141" s="206" t="s">
        <v>36</v>
      </c>
    </row>
    <row r="142" spans="1:3" ht="15" customHeight="1" x14ac:dyDescent="0.3">
      <c r="A142" s="207" t="s">
        <v>1464</v>
      </c>
      <c r="B142" s="208">
        <f>(1/0.1)*DEPTH.s1R/(1-EXP((-1/0.1)*DEPTH.s1R))</f>
        <v>1.2707470412683992</v>
      </c>
      <c r="C142" s="206" t="s">
        <v>36</v>
      </c>
    </row>
    <row r="143" spans="1:3" ht="15" customHeight="1" x14ac:dyDescent="0.3">
      <c r="A143" s="207" t="s">
        <v>1474</v>
      </c>
      <c r="B143" s="208">
        <f>(1/0.1)*DEPTH.s2C/(1-EXP((-1/0.1)*DEPTH.s2C))</f>
        <v>2.3130352854993315</v>
      </c>
      <c r="C143" s="206" t="s">
        <v>36</v>
      </c>
    </row>
    <row r="144" spans="1:3" ht="15" customHeight="1" x14ac:dyDescent="0.3">
      <c r="A144" s="207" t="s">
        <v>1465</v>
      </c>
      <c r="B144" s="208">
        <f>(1/0.1)*DEPTH.s2R/(1-EXP((-1/0.1)*DEPTH.s2R))</f>
        <v>2.3130352854993315</v>
      </c>
      <c r="C144" s="206" t="s">
        <v>36</v>
      </c>
    </row>
    <row r="145" spans="1:3" ht="15" customHeight="1" x14ac:dyDescent="0.3">
      <c r="A145" s="207" t="s">
        <v>907</v>
      </c>
      <c r="B145" s="208">
        <f>(1/0.1)*DEPTH.s3C/(1-EXP((-1/0.1)*DEPTH.s3C))</f>
        <v>1.2707470412683992</v>
      </c>
      <c r="C145" s="206" t="s">
        <v>36</v>
      </c>
    </row>
    <row r="146" spans="1:3" ht="15" customHeight="1" x14ac:dyDescent="0.3">
      <c r="A146" s="207" t="s">
        <v>1466</v>
      </c>
      <c r="B146" s="208">
        <f>(1/0.1)*DEPTH.s3R/(1-EXP((-1/0.1)*DEPTH.s3R))</f>
        <v>1.2707470412683992</v>
      </c>
      <c r="C146" s="206" t="s">
        <v>36</v>
      </c>
    </row>
    <row r="147" spans="1:3" ht="15" customHeight="1" x14ac:dyDescent="0.3">
      <c r="A147" s="207" t="s">
        <v>917</v>
      </c>
      <c r="B147" s="208">
        <f>(1/0.1)*DEPTH.sA/(1-EXP((-1/0.1)*DEPTH.sA))</f>
        <v>1.2707470412683992</v>
      </c>
      <c r="C147" s="206" t="s">
        <v>36</v>
      </c>
    </row>
    <row r="148" spans="1:3" ht="15" customHeight="1" x14ac:dyDescent="0.3">
      <c r="A148" s="207" t="s">
        <v>914</v>
      </c>
      <c r="B148" s="208">
        <f>(1/0.1)*DEPTH.sM/(1-EXP((-1/0.1)*DEPTH.sM))</f>
        <v>1.2707470412683992</v>
      </c>
      <c r="C148" s="206" t="s">
        <v>36</v>
      </c>
    </row>
    <row r="149" spans="1:3" ht="15" customHeight="1" x14ac:dyDescent="0.3">
      <c r="A149" s="207" t="s">
        <v>811</v>
      </c>
      <c r="B149" s="208">
        <f>(1/0.1)*DEPTH.sT/(1-EXP((-1/0.1)*DEPTH.sT))</f>
        <v>1.2707470412683992</v>
      </c>
      <c r="C149" s="206" t="s">
        <v>36</v>
      </c>
    </row>
    <row r="150" spans="1:3" ht="15" customHeight="1" x14ac:dyDescent="0.3">
      <c r="A150" s="207" t="s">
        <v>607</v>
      </c>
      <c r="B150" s="216" t="s">
        <v>2094</v>
      </c>
      <c r="C150" s="209" t="s">
        <v>36</v>
      </c>
    </row>
    <row r="151" spans="1:3" ht="15" customHeight="1" x14ac:dyDescent="0.3">
      <c r="A151" s="207" t="s">
        <v>412</v>
      </c>
      <c r="B151" s="208" t="e">
        <f>(KDEPmean.A*HEIGHT.aA)*(SYSTEMAREA.A*AREAFRAC.sA)</f>
        <v>#NAME?</v>
      </c>
      <c r="C151" s="206" t="s">
        <v>2071</v>
      </c>
    </row>
    <row r="152" spans="1:3" ht="15" customHeight="1" x14ac:dyDescent="0.3">
      <c r="A152" s="207" t="s">
        <v>1157</v>
      </c>
      <c r="B152" s="208" t="e">
        <f>(KDEPmean.A*HEIGHT.aA)*(SYSTEMAREA.A*AREAFRAC.wA)</f>
        <v>#NAME?</v>
      </c>
      <c r="C152" s="206" t="s">
        <v>2071</v>
      </c>
    </row>
    <row r="153" spans="1:3" ht="15" customHeight="1" x14ac:dyDescent="0.3">
      <c r="A153" s="207" t="s">
        <v>489</v>
      </c>
      <c r="B153" s="208" t="e">
        <f>(KDEPmean.C*HEIGHT.aC)*(SYSTEMAREA.C*AREAFRAC.s1C)</f>
        <v>#NAME?</v>
      </c>
      <c r="C153" s="209" t="s">
        <v>2071</v>
      </c>
    </row>
    <row r="154" spans="1:3" ht="15" customHeight="1" x14ac:dyDescent="0.3">
      <c r="A154" s="207" t="s">
        <v>490</v>
      </c>
      <c r="B154" s="208" t="e">
        <f>(KDEPmean.C*HEIGHT.aC)*(SYSTEMAREA.C*AREAFRAC.s2C)</f>
        <v>#NAME?</v>
      </c>
      <c r="C154" s="209" t="s">
        <v>2071</v>
      </c>
    </row>
    <row r="155" spans="1:3" ht="15" customHeight="1" x14ac:dyDescent="0.3">
      <c r="A155" s="207" t="s">
        <v>491</v>
      </c>
      <c r="B155" s="208" t="e">
        <f>(KDEPmean.C*HEIGHT.aC)*(SYSTEMAREA.C*AREAFRAC.s3C)</f>
        <v>#NAME?</v>
      </c>
      <c r="C155" s="209" t="s">
        <v>2071</v>
      </c>
    </row>
    <row r="156" spans="1:3" ht="15" customHeight="1" x14ac:dyDescent="0.3">
      <c r="A156" s="207" t="s">
        <v>350</v>
      </c>
      <c r="B156" s="208" t="e">
        <f>(KDEPmean.C*HEIGHT.aC)*(SYSTEMAREA.C*AREAFRAC.w0C)</f>
        <v>#NAME?</v>
      </c>
      <c r="C156" s="209" t="s">
        <v>2071</v>
      </c>
    </row>
    <row r="157" spans="1:3" ht="15" customHeight="1" x14ac:dyDescent="0.3">
      <c r="A157" s="207" t="s">
        <v>458</v>
      </c>
      <c r="B157" s="208" t="e">
        <f>(KDEPmean.C*HEIGHT.aC)*(SYSTEMAREA.C*AREAFRAC.w1C)</f>
        <v>#NAME?</v>
      </c>
      <c r="C157" s="209" t="s">
        <v>2071</v>
      </c>
    </row>
    <row r="158" spans="1:3" ht="15" customHeight="1" x14ac:dyDescent="0.3">
      <c r="A158" s="207" t="s">
        <v>575</v>
      </c>
      <c r="B158" s="208" t="e">
        <f>(KDEPmean.C*HEIGHT.aC)*(SYSTEMAREA.C*AREAFRAC.w2C)</f>
        <v>#NAME?</v>
      </c>
      <c r="C158" s="209" t="s">
        <v>2071</v>
      </c>
    </row>
    <row r="159" spans="1:3" ht="15" customHeight="1" x14ac:dyDescent="0.3">
      <c r="A159" s="207" t="s">
        <v>958</v>
      </c>
      <c r="B159" s="208" t="e">
        <f>(KDEPmean.M*HEIGHT.aM)*(SYSTEMAREA.M*AREAFRAC.sM)</f>
        <v>#NAME?</v>
      </c>
      <c r="C159" s="206" t="s">
        <v>2071</v>
      </c>
    </row>
    <row r="160" spans="1:3" ht="15" customHeight="1" x14ac:dyDescent="0.3">
      <c r="A160" s="207" t="s">
        <v>144</v>
      </c>
      <c r="B160" s="208" t="e">
        <f>(KDEPmean.M*HEIGHT.aM)*(SYSTEMAREA.M*AREAFRAC.wM)</f>
        <v>#NAME?</v>
      </c>
      <c r="C160" s="206" t="s">
        <v>2071</v>
      </c>
    </row>
    <row r="161" spans="1:3" ht="15" customHeight="1" x14ac:dyDescent="0.3">
      <c r="A161" s="207" t="s">
        <v>1042</v>
      </c>
      <c r="B161" s="217" t="e">
        <f>(KDEPmean.R*HEIGHT.aR)*(SYSTEMAREA.R*AREAFRAC.s1R)</f>
        <v>#NAME?</v>
      </c>
      <c r="C161" s="209" t="s">
        <v>2071</v>
      </c>
    </row>
    <row r="162" spans="1:3" ht="15" customHeight="1" x14ac:dyDescent="0.3">
      <c r="A162" s="207" t="s">
        <v>580</v>
      </c>
      <c r="B162" s="217" t="e">
        <f>(KDEPmean.R*HEIGHT.aR)*(SYSTEMAREA.R*AREAFRAC.s2R)</f>
        <v>#NAME?</v>
      </c>
      <c r="C162" s="209" t="s">
        <v>2071</v>
      </c>
    </row>
    <row r="163" spans="1:3" ht="15" customHeight="1" x14ac:dyDescent="0.3">
      <c r="A163" s="207" t="s">
        <v>581</v>
      </c>
      <c r="B163" s="217" t="e">
        <f>(KDEPmean.R*HEIGHT.aR)*(SYSTEMAREA.R*AREAFRAC.s3R)</f>
        <v>#NAME?</v>
      </c>
      <c r="C163" s="209" t="s">
        <v>2071</v>
      </c>
    </row>
    <row r="164" spans="1:3" ht="15" customHeight="1" x14ac:dyDescent="0.3">
      <c r="A164" s="207" t="s">
        <v>301</v>
      </c>
      <c r="B164" s="217" t="e">
        <f>(KDEPmean.R*HEIGHT.aR)*(SYSTEMAREA.R*AREAFRAC.w0R)</f>
        <v>#NAME?</v>
      </c>
      <c r="C164" s="209" t="s">
        <v>2071</v>
      </c>
    </row>
    <row r="165" spans="1:3" ht="15" customHeight="1" x14ac:dyDescent="0.3">
      <c r="A165" s="207" t="s">
        <v>1041</v>
      </c>
      <c r="B165" s="217" t="e">
        <f>(KDEPmean.R*HEIGHT.aR)*(SYSTEMAREA.R*AREAFRAC.w1R)</f>
        <v>#NAME?</v>
      </c>
      <c r="C165" s="209" t="s">
        <v>2071</v>
      </c>
    </row>
    <row r="166" spans="1:3" ht="15" customHeight="1" x14ac:dyDescent="0.3">
      <c r="A166" s="207" t="s">
        <v>574</v>
      </c>
      <c r="B166" s="217" t="e">
        <f>(KDEPmean.R*HEIGHT.aR)*(SYSTEMAREA.R*AREAFRAC.w2R)</f>
        <v>#NAME?</v>
      </c>
      <c r="C166" s="209" t="s">
        <v>2071</v>
      </c>
    </row>
    <row r="167" spans="1:3" ht="15" customHeight="1" x14ac:dyDescent="0.3">
      <c r="A167" s="207" t="s">
        <v>952</v>
      </c>
      <c r="B167" s="208" t="e">
        <f>(KDEPmean.T*HEIGHT.aT)*(SYSTEMAREA.T*AREAFRAC.sT)</f>
        <v>#NAME?</v>
      </c>
      <c r="C167" s="206" t="s">
        <v>2071</v>
      </c>
    </row>
    <row r="168" spans="1:3" ht="15" customHeight="1" x14ac:dyDescent="0.3">
      <c r="A168" s="207" t="s">
        <v>1132</v>
      </c>
      <c r="B168" s="208" t="e">
        <f>(KDEPmean.T*HEIGHT.aT)*(SYSTEMAREA.T*AREAFRAC.wT)</f>
        <v>#NAME?</v>
      </c>
      <c r="C168" s="206" t="s">
        <v>2071</v>
      </c>
    </row>
    <row r="169" spans="1:3" ht="15" customHeight="1" x14ac:dyDescent="0.3">
      <c r="A169" s="210" t="s">
        <v>1355</v>
      </c>
      <c r="B169" s="208">
        <v>0.05</v>
      </c>
      <c r="C169" s="206" t="s">
        <v>719</v>
      </c>
    </row>
    <row r="170" spans="1:3" ht="15" customHeight="1" x14ac:dyDescent="0.3">
      <c r="A170" s="210" t="s">
        <v>1200</v>
      </c>
      <c r="B170" s="213">
        <v>0.05</v>
      </c>
      <c r="C170" s="209" t="s">
        <v>719</v>
      </c>
    </row>
    <row r="171" spans="1:3" ht="15" customHeight="1" x14ac:dyDescent="0.3">
      <c r="A171" s="210" t="s">
        <v>472</v>
      </c>
      <c r="B171" s="208">
        <v>0.2</v>
      </c>
      <c r="C171" s="206" t="s">
        <v>719</v>
      </c>
    </row>
    <row r="172" spans="1:3" ht="15" customHeight="1" x14ac:dyDescent="0.3">
      <c r="A172" s="210" t="s">
        <v>57</v>
      </c>
      <c r="B172" s="213">
        <v>0.2</v>
      </c>
      <c r="C172" s="209" t="s">
        <v>719</v>
      </c>
    </row>
    <row r="173" spans="1:3" ht="15" customHeight="1" x14ac:dyDescent="0.3">
      <c r="A173" s="210" t="s">
        <v>775</v>
      </c>
      <c r="B173" s="208">
        <v>0.05</v>
      </c>
      <c r="C173" s="206" t="s">
        <v>719</v>
      </c>
    </row>
    <row r="174" spans="1:3" ht="15" customHeight="1" x14ac:dyDescent="0.3">
      <c r="A174" s="210" t="s">
        <v>58</v>
      </c>
      <c r="B174" s="213">
        <v>0.05</v>
      </c>
      <c r="C174" s="209" t="s">
        <v>719</v>
      </c>
    </row>
    <row r="175" spans="1:3" ht="15" customHeight="1" x14ac:dyDescent="0.3">
      <c r="A175" s="210" t="s">
        <v>22</v>
      </c>
      <c r="B175" s="208">
        <v>0.05</v>
      </c>
      <c r="C175" s="209" t="s">
        <v>719</v>
      </c>
    </row>
    <row r="176" spans="1:3" ht="15" customHeight="1" x14ac:dyDescent="0.3">
      <c r="A176" s="210" t="s">
        <v>470</v>
      </c>
      <c r="B176" s="208">
        <v>0.03</v>
      </c>
      <c r="C176" s="209" t="s">
        <v>719</v>
      </c>
    </row>
    <row r="177" spans="1:3" ht="15" customHeight="1" x14ac:dyDescent="0.3">
      <c r="A177" s="210" t="s">
        <v>1198</v>
      </c>
      <c r="B177" s="208">
        <v>0.03</v>
      </c>
      <c r="C177" s="209" t="s">
        <v>719</v>
      </c>
    </row>
    <row r="178" spans="1:3" ht="15" customHeight="1" x14ac:dyDescent="0.3">
      <c r="A178" s="210" t="s">
        <v>471</v>
      </c>
      <c r="B178" s="208">
        <v>0.03</v>
      </c>
      <c r="C178" s="209" t="s">
        <v>719</v>
      </c>
    </row>
    <row r="179" spans="1:3" ht="15" customHeight="1" x14ac:dyDescent="0.3">
      <c r="A179" s="210" t="s">
        <v>1199</v>
      </c>
      <c r="B179" s="208">
        <v>0.03</v>
      </c>
      <c r="C179" s="209" t="s">
        <v>719</v>
      </c>
    </row>
    <row r="180" spans="1:3" ht="15" customHeight="1" x14ac:dyDescent="0.3">
      <c r="A180" s="210" t="s">
        <v>21</v>
      </c>
      <c r="B180" s="208">
        <v>0.03</v>
      </c>
      <c r="C180" s="209" t="s">
        <v>719</v>
      </c>
    </row>
    <row r="181" spans="1:3" ht="15" customHeight="1" x14ac:dyDescent="0.3">
      <c r="A181" s="210" t="s">
        <v>1353</v>
      </c>
      <c r="B181" s="208">
        <v>0.03</v>
      </c>
      <c r="C181" s="209" t="s">
        <v>719</v>
      </c>
    </row>
    <row r="182" spans="1:3" ht="15" customHeight="1" x14ac:dyDescent="0.3">
      <c r="A182" s="210" t="s">
        <v>1413</v>
      </c>
      <c r="B182" s="208">
        <v>0.03</v>
      </c>
      <c r="C182" s="209" t="s">
        <v>719</v>
      </c>
    </row>
    <row r="183" spans="1:3" ht="15" customHeight="1" x14ac:dyDescent="0.3">
      <c r="A183" s="210" t="s">
        <v>1354</v>
      </c>
      <c r="B183" s="208">
        <v>0.05</v>
      </c>
      <c r="C183" s="209" t="s">
        <v>719</v>
      </c>
    </row>
    <row r="184" spans="1:3" ht="15" customHeight="1" x14ac:dyDescent="0.3">
      <c r="A184" s="210" t="s">
        <v>1414</v>
      </c>
      <c r="B184" s="208">
        <v>0.05</v>
      </c>
      <c r="C184" s="209" t="s">
        <v>719</v>
      </c>
    </row>
    <row r="185" spans="1:3" ht="15" customHeight="1" x14ac:dyDescent="0.3">
      <c r="A185" s="210" t="s">
        <v>329</v>
      </c>
      <c r="B185" s="208">
        <f>DEPTHlake.C</f>
        <v>100</v>
      </c>
      <c r="C185" s="209" t="s">
        <v>719</v>
      </c>
    </row>
    <row r="186" spans="1:3" ht="15" customHeight="1" x14ac:dyDescent="0.3">
      <c r="A186" s="210" t="s">
        <v>287</v>
      </c>
      <c r="B186" s="208">
        <f>DEPTHlake.R</f>
        <v>100</v>
      </c>
      <c r="C186" s="209" t="s">
        <v>719</v>
      </c>
    </row>
    <row r="187" spans="1:3" ht="15" customHeight="1" x14ac:dyDescent="0.3">
      <c r="A187" s="210" t="s">
        <v>112</v>
      </c>
      <c r="B187" s="208">
        <f>DEPTHfreshwater.C</f>
        <v>3</v>
      </c>
      <c r="C187" s="206" t="s">
        <v>719</v>
      </c>
    </row>
    <row r="188" spans="1:3" ht="15" customHeight="1" x14ac:dyDescent="0.3">
      <c r="A188" s="210" t="s">
        <v>1196</v>
      </c>
      <c r="B188" s="208">
        <f>DEPTHfreshwater.R</f>
        <v>3</v>
      </c>
      <c r="C188" s="209" t="s">
        <v>719</v>
      </c>
    </row>
    <row r="189" spans="1:3" ht="15" customHeight="1" x14ac:dyDescent="0.3">
      <c r="A189" s="210" t="s">
        <v>950</v>
      </c>
      <c r="B189" s="208">
        <v>100</v>
      </c>
      <c r="C189" s="209" t="s">
        <v>719</v>
      </c>
    </row>
    <row r="190" spans="1:3" ht="15" customHeight="1" x14ac:dyDescent="0.3">
      <c r="A190" s="210" t="s">
        <v>469</v>
      </c>
      <c r="B190" s="208">
        <v>200</v>
      </c>
      <c r="C190" s="206" t="s">
        <v>719</v>
      </c>
    </row>
    <row r="191" spans="1:3" ht="15" customHeight="1" x14ac:dyDescent="0.3">
      <c r="A191" s="210" t="s">
        <v>941</v>
      </c>
      <c r="B191" s="208">
        <v>100</v>
      </c>
      <c r="C191" s="209" t="s">
        <v>719</v>
      </c>
    </row>
    <row r="192" spans="1:3" ht="15" customHeight="1" x14ac:dyDescent="0.3">
      <c r="A192" s="210" t="s">
        <v>1197</v>
      </c>
      <c r="B192" s="208">
        <v>10</v>
      </c>
      <c r="C192" s="209" t="s">
        <v>719</v>
      </c>
    </row>
    <row r="193" spans="1:3" ht="15" customHeight="1" x14ac:dyDescent="0.3">
      <c r="A193" s="210" t="s">
        <v>947</v>
      </c>
      <c r="B193" s="213">
        <v>100</v>
      </c>
      <c r="C193" s="209" t="s">
        <v>719</v>
      </c>
    </row>
    <row r="194" spans="1:3" ht="15" customHeight="1" x14ac:dyDescent="0.3">
      <c r="A194" s="210" t="s">
        <v>951</v>
      </c>
      <c r="B194" s="208">
        <v>3000</v>
      </c>
      <c r="C194" s="209" t="s">
        <v>719</v>
      </c>
    </row>
    <row r="195" spans="1:3" ht="15" customHeight="1" x14ac:dyDescent="0.3">
      <c r="A195" s="210" t="s">
        <v>940</v>
      </c>
      <c r="B195" s="208">
        <v>3000</v>
      </c>
      <c r="C195" s="209" t="s">
        <v>719</v>
      </c>
    </row>
    <row r="196" spans="1:3" ht="15" customHeight="1" x14ac:dyDescent="0.3">
      <c r="A196" s="210" t="s">
        <v>948</v>
      </c>
      <c r="B196" s="208">
        <v>3000</v>
      </c>
      <c r="C196" s="209" t="s">
        <v>719</v>
      </c>
    </row>
    <row r="197" spans="1:3" ht="15" customHeight="1" x14ac:dyDescent="0.3">
      <c r="A197" s="206" t="s">
        <v>1342</v>
      </c>
      <c r="B197" s="213">
        <v>3</v>
      </c>
      <c r="C197" s="206" t="s">
        <v>720</v>
      </c>
    </row>
    <row r="198" spans="1:3" ht="15" customHeight="1" x14ac:dyDescent="0.3">
      <c r="A198" s="206" t="s">
        <v>1418</v>
      </c>
      <c r="B198" s="213">
        <v>3</v>
      </c>
      <c r="C198" s="206" t="s">
        <v>720</v>
      </c>
    </row>
    <row r="199" spans="1:3" ht="15" customHeight="1" x14ac:dyDescent="0.3">
      <c r="A199" s="206" t="s">
        <v>313</v>
      </c>
      <c r="B199" s="213">
        <v>100</v>
      </c>
      <c r="C199" s="206" t="s">
        <v>720</v>
      </c>
    </row>
    <row r="200" spans="1:3" ht="15" customHeight="1" x14ac:dyDescent="0.3">
      <c r="A200" s="206" t="s">
        <v>312</v>
      </c>
      <c r="B200" s="213">
        <v>100</v>
      </c>
      <c r="C200" s="206" t="s">
        <v>720</v>
      </c>
    </row>
    <row r="201" spans="1:3" ht="15" customHeight="1" x14ac:dyDescent="0.3">
      <c r="A201" s="207" t="s">
        <v>662</v>
      </c>
      <c r="B201" s="208">
        <f>((kwsd.water.wC*kwsd.sed.sdC)/(kwsd.water.wC+kwsd.sed.sdC))/Ksdw1.C*(SYSTEMAREA.C*AREAFRAC.w1C)</f>
        <v>140.20687753719025</v>
      </c>
      <c r="C201" s="209" t="s">
        <v>2071</v>
      </c>
    </row>
    <row r="202" spans="1:3" ht="15" customHeight="1" x14ac:dyDescent="0.3">
      <c r="A202" s="207" t="s">
        <v>1086</v>
      </c>
      <c r="B202" s="208">
        <f>((kwsd.water.wR*kwsd.sed.sdR)/(kwsd.water.wR+kwsd.sed.sdR))/Ksdw1.R*(SYSTEMAREA.R*AREAFRAC.w1R)</f>
        <v>8.6277729164727592</v>
      </c>
      <c r="C202" s="209" t="s">
        <v>2071</v>
      </c>
    </row>
    <row r="203" spans="1:3" ht="15" customHeight="1" x14ac:dyDescent="0.3">
      <c r="A203" s="207" t="s">
        <v>664</v>
      </c>
      <c r="B203" s="208">
        <f>((kwsd.water.wC*kwsd.sed.sdC)/(kwsd.water.wC+kwsd.sed.sdC))/Ksdw2.C*(SYSTEMAREA.C*AREAFRAC.w2C)</f>
        <v>5098.4319104432825</v>
      </c>
      <c r="C203" s="209" t="s">
        <v>2071</v>
      </c>
    </row>
    <row r="204" spans="1:3" ht="15" customHeight="1" x14ac:dyDescent="0.3">
      <c r="A204" s="207" t="s">
        <v>974</v>
      </c>
      <c r="B204" s="208">
        <f>((kwsd.water.wR*kwsd.sed.sdR)/(kwsd.water.wR+kwsd.sed.sdR))/Ksdw2.R*(SYSTEMAREA.R*AREAFRAC.w2R)</f>
        <v>1.3726088155166738</v>
      </c>
      <c r="C204" s="209" t="s">
        <v>2071</v>
      </c>
    </row>
    <row r="205" spans="1:3" ht="15" customHeight="1" x14ac:dyDescent="0.3">
      <c r="A205" s="207" t="s">
        <v>164</v>
      </c>
      <c r="B205" s="208">
        <f>((kwsd.water.wA*kwsd.sed.sdA)/(kwsd.water.wA+kwsd.sed.sdA))/Ksdw.A*(SYSTEMAREA.A*AREAFRAC.wA)</f>
        <v>35001.524795675141</v>
      </c>
      <c r="C205" s="206" t="s">
        <v>2071</v>
      </c>
    </row>
    <row r="206" spans="1:3" ht="15" customHeight="1" x14ac:dyDescent="0.3">
      <c r="A206" s="207" t="s">
        <v>166</v>
      </c>
      <c r="B206" s="208">
        <f>((kwsd.water.wM*kwsd.sed.sdM)/(kwsd.water.wM+kwsd.sed.sdM))/Ksdw.M*(SYSTEMAREA.M*AREAFRAC.wM)</f>
        <v>53079.887846126207</v>
      </c>
      <c r="C206" s="206" t="s">
        <v>2071</v>
      </c>
    </row>
    <row r="207" spans="1:3" ht="15" customHeight="1" x14ac:dyDescent="0.3">
      <c r="A207" s="207" t="s">
        <v>159</v>
      </c>
      <c r="B207" s="208">
        <f>((kwsd.water.wT*kwsd.sed.sdT)/(kwsd.water.wT+kwsd.sed.sdT))/Ksdw.T*(SYSTEMAREA.T*AREAFRAC.wT)</f>
        <v>122505.33678486299</v>
      </c>
      <c r="C207" s="206" t="s">
        <v>2071</v>
      </c>
    </row>
    <row r="208" spans="1:3" ht="15" customHeight="1" x14ac:dyDescent="0.3">
      <c r="A208" s="209" t="s">
        <v>1174</v>
      </c>
      <c r="B208" s="213">
        <f>0.0000257*SQRT(18)/SQRT(Molweight*1000)</f>
        <v>8.9931266270753822E-6</v>
      </c>
      <c r="C208" s="212" t="s">
        <v>2076</v>
      </c>
    </row>
    <row r="209" spans="1:3" ht="15" customHeight="1" x14ac:dyDescent="0.3">
      <c r="A209" s="209" t="s">
        <v>871</v>
      </c>
      <c r="B209" s="213">
        <f>0.000000002*SQRT(32)/SQRT(Molweight*1000)</f>
        <v>9.331389496316871E-10</v>
      </c>
      <c r="C209" s="212" t="s">
        <v>2076</v>
      </c>
    </row>
    <row r="210" spans="1:3" ht="15" customHeight="1" x14ac:dyDescent="0.3">
      <c r="A210" s="210" t="s">
        <v>413</v>
      </c>
      <c r="B210" s="208">
        <f>AEROSOLdeprate.A*(FRaerw.aA+FRaers.aA)</f>
        <v>3.5837054958296295E-11</v>
      </c>
      <c r="C210" s="211" t="s">
        <v>2072</v>
      </c>
    </row>
    <row r="211" spans="1:3" ht="15" customHeight="1" x14ac:dyDescent="0.3">
      <c r="A211" s="210" t="s">
        <v>459</v>
      </c>
      <c r="B211" s="208">
        <f>AEROSOLdeprate.C*(FRaerw.aC+FRaers.aC)</f>
        <v>3.5305679851056702E-11</v>
      </c>
      <c r="C211" s="212" t="s">
        <v>2072</v>
      </c>
    </row>
    <row r="212" spans="1:3" ht="15" customHeight="1" x14ac:dyDescent="0.3">
      <c r="A212" s="210" t="s">
        <v>959</v>
      </c>
      <c r="B212" s="208">
        <f>AEROSOLdeprate.M*(FRaerw.aM+FRaers.aM)</f>
        <v>3.5305679851056702E-11</v>
      </c>
      <c r="C212" s="211" t="s">
        <v>2072</v>
      </c>
    </row>
    <row r="213" spans="1:3" ht="15" customHeight="1" x14ac:dyDescent="0.3">
      <c r="A213" s="210" t="s">
        <v>120</v>
      </c>
      <c r="B213" s="208">
        <f>AEROSOLdeprate.R*(FRaerw.aR+FRaers.aR)</f>
        <v>3.5305679851056702E-11</v>
      </c>
      <c r="C213" s="212" t="s">
        <v>2072</v>
      </c>
    </row>
    <row r="214" spans="1:3" ht="15" customHeight="1" x14ac:dyDescent="0.3">
      <c r="A214" s="210" t="s">
        <v>953</v>
      </c>
      <c r="B214" s="208">
        <f>AEROSOLdeprate.T*(FRaerw.aT+FRaers.aT)</f>
        <v>3.5201223176074415E-11</v>
      </c>
      <c r="C214" s="211" t="s">
        <v>2072</v>
      </c>
    </row>
    <row r="215" spans="1:3" ht="15" customHeight="1" x14ac:dyDescent="0.3">
      <c r="A215" s="207" t="s">
        <v>969</v>
      </c>
      <c r="B215" s="213">
        <v>6000</v>
      </c>
      <c r="C215" s="209" t="s">
        <v>2115</v>
      </c>
    </row>
    <row r="216" spans="1:3" ht="15" customHeight="1" x14ac:dyDescent="0.3">
      <c r="A216" s="206" t="s">
        <v>1345</v>
      </c>
      <c r="B216" s="230">
        <f>0.03/1000/(3600*24*365)</f>
        <v>9.5129375951293754E-13</v>
      </c>
      <c r="C216" s="206" t="s">
        <v>1550</v>
      </c>
    </row>
    <row r="217" spans="1:3" ht="15" customHeight="1" x14ac:dyDescent="0.3">
      <c r="A217" s="206" t="s">
        <v>1421</v>
      </c>
      <c r="B217" s="230">
        <f t="shared" ref="B217:B226" si="0">0.03/1000/(3600*24*365)</f>
        <v>9.5129375951293754E-13</v>
      </c>
      <c r="C217" s="206" t="s">
        <v>1550</v>
      </c>
    </row>
    <row r="218" spans="1:3" ht="15" customHeight="1" x14ac:dyDescent="0.3">
      <c r="A218" s="210" t="s">
        <v>570</v>
      </c>
      <c r="B218" s="230">
        <f t="shared" si="0"/>
        <v>9.5129375951293754E-13</v>
      </c>
      <c r="C218" s="206" t="s">
        <v>1550</v>
      </c>
    </row>
    <row r="219" spans="1:3" ht="15" customHeight="1" x14ac:dyDescent="0.3">
      <c r="A219" s="210" t="s">
        <v>979</v>
      </c>
      <c r="B219" s="230">
        <f t="shared" si="0"/>
        <v>9.5129375951293754E-13</v>
      </c>
      <c r="C219" s="206" t="s">
        <v>1550</v>
      </c>
    </row>
    <row r="220" spans="1:3" ht="15" customHeight="1" x14ac:dyDescent="0.3">
      <c r="A220" s="210" t="s">
        <v>571</v>
      </c>
      <c r="B220" s="230">
        <f t="shared" si="0"/>
        <v>9.5129375951293754E-13</v>
      </c>
      <c r="C220" s="206" t="s">
        <v>1550</v>
      </c>
    </row>
    <row r="221" spans="1:3" ht="15" customHeight="1" x14ac:dyDescent="0.3">
      <c r="A221" s="210" t="s">
        <v>980</v>
      </c>
      <c r="B221" s="230">
        <f t="shared" si="0"/>
        <v>9.5129375951293754E-13</v>
      </c>
      <c r="C221" s="206" t="s">
        <v>1550</v>
      </c>
    </row>
    <row r="222" spans="1:3" ht="15" customHeight="1" x14ac:dyDescent="0.3">
      <c r="A222" s="210" t="s">
        <v>1541</v>
      </c>
      <c r="B222" s="230">
        <f t="shared" si="0"/>
        <v>9.5129375951293754E-13</v>
      </c>
      <c r="C222" s="206" t="s">
        <v>1550</v>
      </c>
    </row>
    <row r="223" spans="1:3" ht="15" customHeight="1" x14ac:dyDescent="0.3">
      <c r="A223" s="210" t="s">
        <v>981</v>
      </c>
      <c r="B223" s="230">
        <f t="shared" si="0"/>
        <v>9.5129375951293754E-13</v>
      </c>
      <c r="C223" s="206" t="s">
        <v>1550</v>
      </c>
    </row>
    <row r="224" spans="1:3" ht="15" customHeight="1" x14ac:dyDescent="0.3">
      <c r="A224" s="210" t="s">
        <v>669</v>
      </c>
      <c r="B224" s="230">
        <f t="shared" si="0"/>
        <v>9.5129375951293754E-13</v>
      </c>
      <c r="C224" s="206" t="s">
        <v>1550</v>
      </c>
    </row>
    <row r="225" spans="1:3" ht="15" customHeight="1" x14ac:dyDescent="0.3">
      <c r="A225" s="210" t="s">
        <v>190</v>
      </c>
      <c r="B225" s="230">
        <f t="shared" si="0"/>
        <v>9.5129375951293754E-13</v>
      </c>
      <c r="C225" s="206" t="s">
        <v>1550</v>
      </c>
    </row>
    <row r="226" spans="1:3" ht="15" customHeight="1" x14ac:dyDescent="0.3">
      <c r="A226" s="210" t="s">
        <v>50</v>
      </c>
      <c r="B226" s="230">
        <f t="shared" si="0"/>
        <v>9.5129375951293754E-13</v>
      </c>
      <c r="C226" s="206" t="s">
        <v>1550</v>
      </c>
    </row>
    <row r="227" spans="1:3" ht="15" customHeight="1" x14ac:dyDescent="0.3">
      <c r="A227" s="206" t="s">
        <v>1234</v>
      </c>
      <c r="B227" s="213">
        <v>0</v>
      </c>
      <c r="C227" s="206" t="s">
        <v>486</v>
      </c>
    </row>
    <row r="228" spans="1:3" ht="15" customHeight="1" x14ac:dyDescent="0.3">
      <c r="A228" s="206" t="s">
        <v>5</v>
      </c>
      <c r="B228" s="213">
        <v>0</v>
      </c>
      <c r="C228" s="206" t="s">
        <v>486</v>
      </c>
    </row>
    <row r="229" spans="1:3" ht="15" customHeight="1" x14ac:dyDescent="0.3">
      <c r="A229" s="210" t="s">
        <v>43</v>
      </c>
      <c r="B229" s="208">
        <v>0.2</v>
      </c>
      <c r="C229" s="206" t="s">
        <v>722</v>
      </c>
    </row>
    <row r="230" spans="1:3" ht="15" customHeight="1" x14ac:dyDescent="0.3">
      <c r="A230" s="210" t="s">
        <v>892</v>
      </c>
      <c r="B230" s="208">
        <v>0.2</v>
      </c>
      <c r="C230" s="209" t="s">
        <v>722</v>
      </c>
    </row>
    <row r="231" spans="1:3" ht="15" customHeight="1" x14ac:dyDescent="0.3">
      <c r="A231" s="210" t="s">
        <v>443</v>
      </c>
      <c r="B231" s="208">
        <v>0.2</v>
      </c>
      <c r="C231" s="206" t="s">
        <v>722</v>
      </c>
    </row>
    <row r="232" spans="1:3" ht="15" customHeight="1" x14ac:dyDescent="0.3">
      <c r="A232" s="210" t="s">
        <v>7</v>
      </c>
      <c r="B232" s="208">
        <v>0.2</v>
      </c>
      <c r="C232" s="209" t="s">
        <v>722</v>
      </c>
    </row>
    <row r="233" spans="1:3" ht="15" customHeight="1" x14ac:dyDescent="0.3">
      <c r="A233" s="210" t="s">
        <v>38</v>
      </c>
      <c r="B233" s="208">
        <v>0.2</v>
      </c>
      <c r="C233" s="206" t="s">
        <v>722</v>
      </c>
    </row>
    <row r="234" spans="1:3" ht="15" customHeight="1" x14ac:dyDescent="0.3">
      <c r="A234" s="210" t="s">
        <v>8</v>
      </c>
      <c r="B234" s="208">
        <v>0.2</v>
      </c>
      <c r="C234" s="209" t="s">
        <v>722</v>
      </c>
    </row>
    <row r="235" spans="1:3" ht="15" customHeight="1" x14ac:dyDescent="0.3">
      <c r="A235" s="210" t="s">
        <v>474</v>
      </c>
      <c r="B235" s="208">
        <v>0.2</v>
      </c>
      <c r="C235" s="209" t="s">
        <v>722</v>
      </c>
    </row>
    <row r="236" spans="1:3" ht="15" customHeight="1" x14ac:dyDescent="0.3">
      <c r="A236" s="210" t="s">
        <v>659</v>
      </c>
      <c r="B236" s="208">
        <v>0.2</v>
      </c>
      <c r="C236" s="209" t="s">
        <v>722</v>
      </c>
    </row>
    <row r="237" spans="1:3" ht="15" customHeight="1" x14ac:dyDescent="0.3">
      <c r="A237" s="210" t="s">
        <v>1081</v>
      </c>
      <c r="B237" s="213">
        <v>0.2</v>
      </c>
      <c r="C237" s="209" t="s">
        <v>722</v>
      </c>
    </row>
    <row r="238" spans="1:3" ht="15" customHeight="1" x14ac:dyDescent="0.3">
      <c r="A238" s="209" t="s">
        <v>2041</v>
      </c>
      <c r="B238" s="208">
        <v>1.9999999999999999E-11</v>
      </c>
      <c r="C238" s="209" t="s">
        <v>722</v>
      </c>
    </row>
    <row r="239" spans="1:3" ht="15" customHeight="1" x14ac:dyDescent="0.3">
      <c r="A239" s="209" t="s">
        <v>2078</v>
      </c>
      <c r="B239" s="208">
        <v>1.9999999999999999E-11</v>
      </c>
      <c r="C239" s="209" t="s">
        <v>722</v>
      </c>
    </row>
    <row r="240" spans="1:3" ht="15" customHeight="1" x14ac:dyDescent="0.3">
      <c r="A240" s="209" t="s">
        <v>2033</v>
      </c>
      <c r="B240" s="208">
        <v>1.9999999999999999E-11</v>
      </c>
      <c r="C240" s="209" t="s">
        <v>722</v>
      </c>
    </row>
    <row r="241" spans="1:3" ht="15" customHeight="1" x14ac:dyDescent="0.3">
      <c r="A241" s="209" t="s">
        <v>2015</v>
      </c>
      <c r="B241" s="208">
        <v>1.9999999999999999E-11</v>
      </c>
      <c r="C241" s="209" t="s">
        <v>722</v>
      </c>
    </row>
    <row r="242" spans="1:3" ht="15" customHeight="1" x14ac:dyDescent="0.3">
      <c r="A242" s="209" t="s">
        <v>2045</v>
      </c>
      <c r="B242" s="208">
        <v>1.9999999999999999E-11</v>
      </c>
      <c r="C242" s="209" t="s">
        <v>722</v>
      </c>
    </row>
    <row r="243" spans="1:3" ht="15" customHeight="1" x14ac:dyDescent="0.3">
      <c r="A243" s="209" t="s">
        <v>2042</v>
      </c>
      <c r="B243" s="208">
        <v>1.9999999999999999E-11</v>
      </c>
      <c r="C243" s="209" t="s">
        <v>722</v>
      </c>
    </row>
    <row r="244" spans="1:3" ht="15" customHeight="1" x14ac:dyDescent="0.3">
      <c r="A244" s="209" t="s">
        <v>2079</v>
      </c>
      <c r="B244" s="208">
        <v>1.9999999999999999E-11</v>
      </c>
      <c r="C244" s="209" t="s">
        <v>722</v>
      </c>
    </row>
    <row r="245" spans="1:3" ht="15" customHeight="1" x14ac:dyDescent="0.3">
      <c r="A245" s="209" t="s">
        <v>2034</v>
      </c>
      <c r="B245" s="208">
        <v>1.9999999999999999E-11</v>
      </c>
      <c r="C245" s="209" t="s">
        <v>722</v>
      </c>
    </row>
    <row r="246" spans="1:3" ht="15" customHeight="1" x14ac:dyDescent="0.3">
      <c r="A246" s="209" t="s">
        <v>2016</v>
      </c>
      <c r="B246" s="208">
        <v>1.9999999999999999E-11</v>
      </c>
      <c r="C246" s="209" t="s">
        <v>722</v>
      </c>
    </row>
    <row r="247" spans="1:3" ht="15" customHeight="1" x14ac:dyDescent="0.3">
      <c r="A247" s="209" t="s">
        <v>2046</v>
      </c>
      <c r="B247" s="208">
        <v>1.9999999999999999E-11</v>
      </c>
      <c r="C247" s="209" t="s">
        <v>722</v>
      </c>
    </row>
    <row r="248" spans="1:3" ht="15" customHeight="1" x14ac:dyDescent="0.3">
      <c r="A248" s="206" t="s">
        <v>1340</v>
      </c>
      <c r="B248" s="213">
        <v>0.6</v>
      </c>
      <c r="C248" s="206" t="s">
        <v>486</v>
      </c>
    </row>
    <row r="249" spans="1:3" ht="15" customHeight="1" x14ac:dyDescent="0.3">
      <c r="A249" s="206" t="s">
        <v>1416</v>
      </c>
      <c r="B249" s="213">
        <v>0.6</v>
      </c>
      <c r="C249" s="206" t="s">
        <v>486</v>
      </c>
    </row>
    <row r="250" spans="1:3" ht="15" customHeight="1" x14ac:dyDescent="0.3">
      <c r="A250" s="206" t="s">
        <v>1422</v>
      </c>
      <c r="B250" s="213">
        <v>2.75E-2</v>
      </c>
      <c r="C250" s="206" t="s">
        <v>486</v>
      </c>
    </row>
    <row r="251" spans="1:3" ht="15" customHeight="1" x14ac:dyDescent="0.3">
      <c r="A251" s="206" t="s">
        <v>681</v>
      </c>
      <c r="B251" s="213">
        <v>2.75E-2</v>
      </c>
      <c r="C251" s="206" t="s">
        <v>486</v>
      </c>
    </row>
    <row r="252" spans="1:3" ht="15" customHeight="1" x14ac:dyDescent="0.3">
      <c r="A252" s="206" t="s">
        <v>1343</v>
      </c>
      <c r="B252" s="213">
        <v>0.25</v>
      </c>
      <c r="C252" s="206" t="s">
        <v>486</v>
      </c>
    </row>
    <row r="253" spans="1:3" ht="15" customHeight="1" x14ac:dyDescent="0.3">
      <c r="A253" s="206" t="s">
        <v>1419</v>
      </c>
      <c r="B253" s="213">
        <v>0.25</v>
      </c>
      <c r="C253" s="206" t="s">
        <v>486</v>
      </c>
    </row>
    <row r="254" spans="1:3" ht="15" customHeight="1" x14ac:dyDescent="0.3">
      <c r="A254" s="210" t="s">
        <v>423</v>
      </c>
      <c r="B254" s="208">
        <f>FRACinf.C</f>
        <v>0.25</v>
      </c>
      <c r="C254" s="209" t="s">
        <v>36</v>
      </c>
    </row>
    <row r="255" spans="1:3" ht="15" customHeight="1" x14ac:dyDescent="0.3">
      <c r="A255" s="210" t="s">
        <v>1223</v>
      </c>
      <c r="B255" s="208">
        <f>FRACinf.R</f>
        <v>0.25</v>
      </c>
      <c r="C255" s="209" t="s">
        <v>36</v>
      </c>
    </row>
    <row r="256" spans="1:3" ht="15" customHeight="1" x14ac:dyDescent="0.3">
      <c r="A256" s="210" t="s">
        <v>424</v>
      </c>
      <c r="B256" s="208">
        <f>FRACinf.C</f>
        <v>0.25</v>
      </c>
      <c r="C256" s="209" t="s">
        <v>36</v>
      </c>
    </row>
    <row r="257" spans="1:3" ht="15" customHeight="1" x14ac:dyDescent="0.3">
      <c r="A257" s="210" t="s">
        <v>1224</v>
      </c>
      <c r="B257" s="208">
        <f>FRACinf.R</f>
        <v>0.25</v>
      </c>
      <c r="C257" s="209" t="s">
        <v>36</v>
      </c>
    </row>
    <row r="258" spans="1:3" ht="15" customHeight="1" x14ac:dyDescent="0.3">
      <c r="A258" s="210" t="s">
        <v>425</v>
      </c>
      <c r="B258" s="208">
        <f>FRACinf.C</f>
        <v>0.25</v>
      </c>
      <c r="C258" s="209" t="s">
        <v>36</v>
      </c>
    </row>
    <row r="259" spans="1:3" ht="15" customHeight="1" x14ac:dyDescent="0.3">
      <c r="A259" s="210" t="s">
        <v>1225</v>
      </c>
      <c r="B259" s="208">
        <f>FRACinf.R</f>
        <v>0.25</v>
      </c>
      <c r="C259" s="209" t="s">
        <v>36</v>
      </c>
    </row>
    <row r="260" spans="1:3" ht="15" customHeight="1" x14ac:dyDescent="0.3">
      <c r="A260" s="210" t="s">
        <v>877</v>
      </c>
      <c r="B260" s="208">
        <v>0.25</v>
      </c>
      <c r="C260" s="209" t="s">
        <v>36</v>
      </c>
    </row>
    <row r="261" spans="1:3" ht="15" customHeight="1" x14ac:dyDescent="0.3">
      <c r="A261" s="210" t="s">
        <v>272</v>
      </c>
      <c r="B261" s="208">
        <v>0.25</v>
      </c>
      <c r="C261" s="209" t="s">
        <v>36</v>
      </c>
    </row>
    <row r="262" spans="1:3" ht="15" customHeight="1" x14ac:dyDescent="0.3">
      <c r="A262" s="210" t="s">
        <v>1393</v>
      </c>
      <c r="B262" s="213">
        <v>0.25</v>
      </c>
      <c r="C262" s="209" t="s">
        <v>36</v>
      </c>
    </row>
    <row r="263" spans="1:3" ht="15" customHeight="1" x14ac:dyDescent="0.3">
      <c r="A263" s="206" t="s">
        <v>310</v>
      </c>
      <c r="B263" s="213">
        <v>2.5000000000000001E-3</v>
      </c>
      <c r="C263" s="206" t="s">
        <v>486</v>
      </c>
    </row>
    <row r="264" spans="1:3" ht="15" customHeight="1" x14ac:dyDescent="0.3">
      <c r="A264" s="206" t="s">
        <v>309</v>
      </c>
      <c r="B264" s="213">
        <v>2.5000000000000001E-3</v>
      </c>
      <c r="C264" s="206" t="s">
        <v>486</v>
      </c>
    </row>
    <row r="265" spans="1:3" ht="15" customHeight="1" x14ac:dyDescent="0.3">
      <c r="A265" s="206" t="s">
        <v>1423</v>
      </c>
      <c r="B265" s="213">
        <v>0.27</v>
      </c>
      <c r="C265" s="206" t="s">
        <v>486</v>
      </c>
    </row>
    <row r="266" spans="1:3" ht="15" customHeight="1" x14ac:dyDescent="0.3">
      <c r="A266" s="206" t="s">
        <v>682</v>
      </c>
      <c r="B266" s="213">
        <v>0.27</v>
      </c>
      <c r="C266" s="206" t="s">
        <v>486</v>
      </c>
    </row>
    <row r="267" spans="1:3" ht="15" customHeight="1" x14ac:dyDescent="0.3">
      <c r="A267" s="206" t="s">
        <v>1341</v>
      </c>
      <c r="B267" s="213">
        <v>0.1</v>
      </c>
      <c r="C267" s="206" t="s">
        <v>486</v>
      </c>
    </row>
    <row r="268" spans="1:3" ht="15" customHeight="1" x14ac:dyDescent="0.3">
      <c r="A268" s="206" t="s">
        <v>1417</v>
      </c>
      <c r="B268" s="213">
        <v>0.1</v>
      </c>
      <c r="C268" s="206" t="s">
        <v>486</v>
      </c>
    </row>
    <row r="269" spans="1:3" ht="15" customHeight="1" x14ac:dyDescent="0.3">
      <c r="A269" s="206" t="s">
        <v>1344</v>
      </c>
      <c r="B269" s="213">
        <v>0.25</v>
      </c>
      <c r="C269" s="206" t="s">
        <v>486</v>
      </c>
    </row>
    <row r="270" spans="1:3" ht="15" customHeight="1" x14ac:dyDescent="0.3">
      <c r="A270" s="206" t="s">
        <v>1420</v>
      </c>
      <c r="B270" s="213">
        <v>0.25</v>
      </c>
      <c r="C270" s="206" t="s">
        <v>486</v>
      </c>
    </row>
    <row r="271" spans="1:3" ht="15" customHeight="1" x14ac:dyDescent="0.3">
      <c r="A271" s="210" t="s">
        <v>1009</v>
      </c>
      <c r="B271" s="208">
        <f>FRACrun.C</f>
        <v>0.25</v>
      </c>
      <c r="C271" s="209" t="s">
        <v>36</v>
      </c>
    </row>
    <row r="272" spans="1:3" ht="15" customHeight="1" x14ac:dyDescent="0.3">
      <c r="A272" s="210" t="s">
        <v>982</v>
      </c>
      <c r="B272" s="208">
        <f>FRACrun.R</f>
        <v>0.25</v>
      </c>
      <c r="C272" s="209" t="s">
        <v>36</v>
      </c>
    </row>
    <row r="273" spans="1:3" ht="15" customHeight="1" x14ac:dyDescent="0.3">
      <c r="A273" s="210" t="s">
        <v>1010</v>
      </c>
      <c r="B273" s="208">
        <f>FRACrun.C</f>
        <v>0.25</v>
      </c>
      <c r="C273" s="209" t="s">
        <v>36</v>
      </c>
    </row>
    <row r="274" spans="1:3" ht="15" customHeight="1" x14ac:dyDescent="0.3">
      <c r="A274" s="210" t="s">
        <v>462</v>
      </c>
      <c r="B274" s="208">
        <f>FRACrun.R</f>
        <v>0.25</v>
      </c>
      <c r="C274" s="209" t="s">
        <v>36</v>
      </c>
    </row>
    <row r="275" spans="1:3" ht="15" customHeight="1" x14ac:dyDescent="0.3">
      <c r="A275" s="210" t="s">
        <v>1011</v>
      </c>
      <c r="B275" s="208">
        <f>FRACrun.C</f>
        <v>0.25</v>
      </c>
      <c r="C275" s="209" t="s">
        <v>36</v>
      </c>
    </row>
    <row r="276" spans="1:3" ht="15" customHeight="1" x14ac:dyDescent="0.3">
      <c r="A276" s="210" t="s">
        <v>463</v>
      </c>
      <c r="B276" s="208">
        <f>FRACrun.R</f>
        <v>0.25</v>
      </c>
      <c r="C276" s="209" t="s">
        <v>36</v>
      </c>
    </row>
    <row r="277" spans="1:3" ht="15" customHeight="1" x14ac:dyDescent="0.3">
      <c r="A277" s="210" t="s">
        <v>670</v>
      </c>
      <c r="B277" s="208">
        <v>0.25</v>
      </c>
      <c r="C277" s="209" t="s">
        <v>36</v>
      </c>
    </row>
    <row r="278" spans="1:3" ht="15" customHeight="1" x14ac:dyDescent="0.3">
      <c r="A278" s="210" t="s">
        <v>191</v>
      </c>
      <c r="B278" s="208">
        <v>0.25</v>
      </c>
      <c r="C278" s="209" t="s">
        <v>36</v>
      </c>
    </row>
    <row r="279" spans="1:3" ht="15" customHeight="1" x14ac:dyDescent="0.3">
      <c r="A279" s="210" t="s">
        <v>51</v>
      </c>
      <c r="B279" s="213">
        <v>0.25</v>
      </c>
      <c r="C279" s="209" t="s">
        <v>36</v>
      </c>
    </row>
    <row r="280" spans="1:3" ht="15" customHeight="1" x14ac:dyDescent="0.3">
      <c r="A280" s="210" t="s">
        <v>442</v>
      </c>
      <c r="B280" s="208">
        <f>1-FRACa.s1C-FRACw.s1C</f>
        <v>0.60000000000000009</v>
      </c>
      <c r="C280" s="206" t="s">
        <v>722</v>
      </c>
    </row>
    <row r="281" spans="1:3" ht="15" customHeight="1" x14ac:dyDescent="0.3">
      <c r="A281" s="210" t="s">
        <v>889</v>
      </c>
      <c r="B281" s="208">
        <f>1-FRACa.s1R-FRACw.s1R</f>
        <v>0.60000000000000009</v>
      </c>
      <c r="C281" s="209" t="s">
        <v>722</v>
      </c>
    </row>
    <row r="282" spans="1:3" ht="15" customHeight="1" x14ac:dyDescent="0.3">
      <c r="A282" s="210" t="s">
        <v>199</v>
      </c>
      <c r="B282" s="208">
        <f>1-FRACa.s2C-FRACw.s2C</f>
        <v>0.60000000000000009</v>
      </c>
      <c r="C282" s="206" t="s">
        <v>722</v>
      </c>
    </row>
    <row r="283" spans="1:3" ht="15" customHeight="1" x14ac:dyDescent="0.3">
      <c r="A283" s="210" t="s">
        <v>890</v>
      </c>
      <c r="B283" s="208">
        <f>1-FRACa.s2R-FRACw.s2R</f>
        <v>0.60000000000000009</v>
      </c>
      <c r="C283" s="209" t="s">
        <v>722</v>
      </c>
    </row>
    <row r="284" spans="1:3" ht="15" customHeight="1" x14ac:dyDescent="0.3">
      <c r="A284" s="210" t="s">
        <v>40</v>
      </c>
      <c r="B284" s="208">
        <f>1-FRACa.s3C-FRACw.s3C</f>
        <v>0.60000000000000009</v>
      </c>
      <c r="C284" s="206" t="s">
        <v>722</v>
      </c>
    </row>
    <row r="285" spans="1:3" ht="15" customHeight="1" x14ac:dyDescent="0.3">
      <c r="A285" s="210" t="s">
        <v>891</v>
      </c>
      <c r="B285" s="208">
        <f>1-FRACa.s3R-FRACw.s3R</f>
        <v>0.60000000000000009</v>
      </c>
      <c r="C285" s="209" t="s">
        <v>722</v>
      </c>
    </row>
    <row r="286" spans="1:3" ht="15" customHeight="1" x14ac:dyDescent="0.3">
      <c r="A286" s="210" t="s">
        <v>1305</v>
      </c>
      <c r="B286" s="208">
        <f>1-FRACa.sA-FRACw.sA</f>
        <v>0.60000000000000009</v>
      </c>
      <c r="C286" s="209" t="s">
        <v>722</v>
      </c>
    </row>
    <row r="287" spans="1:3" ht="15" customHeight="1" x14ac:dyDescent="0.3">
      <c r="A287" s="210" t="s">
        <v>476</v>
      </c>
      <c r="B287" s="208">
        <f>1-FRACw.sdA</f>
        <v>0.19999999999999996</v>
      </c>
      <c r="C287" s="209" t="s">
        <v>722</v>
      </c>
    </row>
    <row r="288" spans="1:3" ht="15" customHeight="1" x14ac:dyDescent="0.3">
      <c r="A288" s="210" t="s">
        <v>42</v>
      </c>
      <c r="B288" s="208">
        <f>1-FRACw.sdC</f>
        <v>0.19999999999999996</v>
      </c>
      <c r="C288" s="206" t="s">
        <v>722</v>
      </c>
    </row>
    <row r="289" spans="1:3" ht="15" customHeight="1" x14ac:dyDescent="0.3">
      <c r="A289" s="210" t="s">
        <v>658</v>
      </c>
      <c r="B289" s="213">
        <f>1-FRACw.sdM</f>
        <v>0.19999999999999996</v>
      </c>
      <c r="C289" s="209" t="s">
        <v>722</v>
      </c>
    </row>
    <row r="290" spans="1:3" ht="15" customHeight="1" x14ac:dyDescent="0.3">
      <c r="A290" s="210" t="s">
        <v>894</v>
      </c>
      <c r="B290" s="208">
        <f>1-FRACw.sdR</f>
        <v>0.19999999999999996</v>
      </c>
      <c r="C290" s="209" t="s">
        <v>722</v>
      </c>
    </row>
    <row r="291" spans="1:3" ht="15" customHeight="1" x14ac:dyDescent="0.3">
      <c r="A291" s="210" t="s">
        <v>1082</v>
      </c>
      <c r="B291" s="208">
        <f>1-FRACw.sdT</f>
        <v>0.19999999999999996</v>
      </c>
      <c r="C291" s="209" t="s">
        <v>722</v>
      </c>
    </row>
    <row r="292" spans="1:3" ht="15" customHeight="1" x14ac:dyDescent="0.3">
      <c r="A292" s="210" t="s">
        <v>591</v>
      </c>
      <c r="B292" s="208">
        <f>1-FRACa.sM-FRACw.sM</f>
        <v>0.60000000000000009</v>
      </c>
      <c r="C292" s="209" t="s">
        <v>722</v>
      </c>
    </row>
    <row r="293" spans="1:3" ht="15" customHeight="1" x14ac:dyDescent="0.3">
      <c r="A293" s="210" t="s">
        <v>1080</v>
      </c>
      <c r="B293" s="208">
        <f>1-FRACa.sT-FRACw.sT</f>
        <v>0.60000000000000009</v>
      </c>
      <c r="C293" s="209" t="s">
        <v>722</v>
      </c>
    </row>
    <row r="294" spans="1:3" ht="15" customHeight="1" x14ac:dyDescent="0.3">
      <c r="A294" s="210" t="s">
        <v>441</v>
      </c>
      <c r="B294" s="208">
        <v>0.2</v>
      </c>
      <c r="C294" s="206" t="s">
        <v>722</v>
      </c>
    </row>
    <row r="295" spans="1:3" ht="15" customHeight="1" x14ac:dyDescent="0.3">
      <c r="A295" s="210" t="s">
        <v>9</v>
      </c>
      <c r="B295" s="208">
        <v>0.2</v>
      </c>
      <c r="C295" s="209" t="s">
        <v>722</v>
      </c>
    </row>
    <row r="296" spans="1:3" ht="15" customHeight="1" x14ac:dyDescent="0.3">
      <c r="A296" s="210" t="s">
        <v>198</v>
      </c>
      <c r="B296" s="208">
        <v>0.2</v>
      </c>
      <c r="C296" s="206" t="s">
        <v>722</v>
      </c>
    </row>
    <row r="297" spans="1:3" ht="15" customHeight="1" x14ac:dyDescent="0.3">
      <c r="A297" s="210" t="s">
        <v>10</v>
      </c>
      <c r="B297" s="208">
        <v>0.2</v>
      </c>
      <c r="C297" s="209" t="s">
        <v>722</v>
      </c>
    </row>
    <row r="298" spans="1:3" ht="15" customHeight="1" x14ac:dyDescent="0.3">
      <c r="A298" s="210" t="s">
        <v>39</v>
      </c>
      <c r="B298" s="208">
        <v>0.2</v>
      </c>
      <c r="C298" s="206" t="s">
        <v>722</v>
      </c>
    </row>
    <row r="299" spans="1:3" ht="15" customHeight="1" x14ac:dyDescent="0.3">
      <c r="A299" s="210" t="s">
        <v>11</v>
      </c>
      <c r="B299" s="208">
        <v>0.2</v>
      </c>
      <c r="C299" s="209" t="s">
        <v>722</v>
      </c>
    </row>
    <row r="300" spans="1:3" ht="15" customHeight="1" x14ac:dyDescent="0.3">
      <c r="A300" s="210" t="s">
        <v>1304</v>
      </c>
      <c r="B300" s="208">
        <v>0.2</v>
      </c>
      <c r="C300" s="209" t="s">
        <v>722</v>
      </c>
    </row>
    <row r="301" spans="1:3" ht="15" customHeight="1" x14ac:dyDescent="0.3">
      <c r="A301" s="210" t="s">
        <v>1306</v>
      </c>
      <c r="B301" s="208">
        <v>0.8</v>
      </c>
      <c r="C301" s="209" t="s">
        <v>722</v>
      </c>
    </row>
    <row r="302" spans="1:3" ht="15" customHeight="1" x14ac:dyDescent="0.3">
      <c r="A302" s="210" t="s">
        <v>41</v>
      </c>
      <c r="B302" s="208">
        <v>0.8</v>
      </c>
      <c r="C302" s="206" t="s">
        <v>722</v>
      </c>
    </row>
    <row r="303" spans="1:3" ht="15" customHeight="1" x14ac:dyDescent="0.3">
      <c r="A303" s="210" t="s">
        <v>592</v>
      </c>
      <c r="B303" s="208">
        <v>0.8</v>
      </c>
      <c r="C303" s="209" t="s">
        <v>722</v>
      </c>
    </row>
    <row r="304" spans="1:3" ht="15" customHeight="1" x14ac:dyDescent="0.3">
      <c r="A304" s="210" t="s">
        <v>893</v>
      </c>
      <c r="B304" s="208">
        <v>0.8</v>
      </c>
      <c r="C304" s="209" t="s">
        <v>722</v>
      </c>
    </row>
    <row r="305" spans="1:3" ht="15" customHeight="1" x14ac:dyDescent="0.3">
      <c r="A305" s="210" t="s">
        <v>1078</v>
      </c>
      <c r="B305" s="213">
        <v>0.8</v>
      </c>
      <c r="C305" s="209" t="s">
        <v>722</v>
      </c>
    </row>
    <row r="306" spans="1:3" ht="15" customHeight="1" x14ac:dyDescent="0.3">
      <c r="A306" s="210" t="s">
        <v>590</v>
      </c>
      <c r="B306" s="208">
        <v>0.2</v>
      </c>
      <c r="C306" s="209" t="s">
        <v>722</v>
      </c>
    </row>
    <row r="307" spans="1:3" ht="15" customHeight="1" x14ac:dyDescent="0.3">
      <c r="A307" s="210" t="s">
        <v>1079</v>
      </c>
      <c r="B307" s="213">
        <v>0.2</v>
      </c>
      <c r="C307" s="209" t="s">
        <v>722</v>
      </c>
    </row>
    <row r="308" spans="1:3" ht="15" customHeight="1" x14ac:dyDescent="0.3">
      <c r="A308" s="206" t="s">
        <v>640</v>
      </c>
      <c r="B308" s="396" t="s">
        <v>2185</v>
      </c>
      <c r="C308" s="206" t="s">
        <v>36</v>
      </c>
    </row>
    <row r="309" spans="1:3" ht="15" customHeight="1" x14ac:dyDescent="0.3">
      <c r="A309" s="206" t="s">
        <v>625</v>
      </c>
      <c r="B309" s="396" t="s">
        <v>2186</v>
      </c>
      <c r="C309" s="206" t="s">
        <v>36</v>
      </c>
    </row>
    <row r="310" spans="1:3" ht="15" customHeight="1" x14ac:dyDescent="0.3">
      <c r="A310" s="206" t="s">
        <v>635</v>
      </c>
      <c r="B310" s="396" t="s">
        <v>2187</v>
      </c>
      <c r="C310" s="206" t="s">
        <v>36</v>
      </c>
    </row>
    <row r="311" spans="1:3" ht="15" customHeight="1" x14ac:dyDescent="0.3">
      <c r="A311" s="206" t="s">
        <v>610</v>
      </c>
      <c r="B311" s="396" t="s">
        <v>2188</v>
      </c>
      <c r="C311" s="206" t="s">
        <v>36</v>
      </c>
    </row>
    <row r="312" spans="1:3" ht="15" customHeight="1" x14ac:dyDescent="0.3">
      <c r="A312" s="206" t="s">
        <v>630</v>
      </c>
      <c r="B312" s="396" t="s">
        <v>2189</v>
      </c>
      <c r="C312" s="206" t="s">
        <v>36</v>
      </c>
    </row>
    <row r="313" spans="1:3" ht="15" customHeight="1" x14ac:dyDescent="0.3">
      <c r="A313" s="206" t="s">
        <v>639</v>
      </c>
      <c r="B313" s="397">
        <f>FRACaerw.aA*Kaerw.aA/(1+FRACaerw.aA*Kaerw.aA+FRACaers.aA*Kaers.aA)</f>
        <v>7.5395671451565307E-10</v>
      </c>
      <c r="C313" s="206" t="s">
        <v>36</v>
      </c>
    </row>
    <row r="314" spans="1:3" ht="15" customHeight="1" x14ac:dyDescent="0.3">
      <c r="A314" s="206" t="s">
        <v>624</v>
      </c>
      <c r="B314" s="397">
        <f>FRACaerw.aC*Kaerw.aC/(1+FRACaerw.aC*Kaerw.aC+FRACaers.aC*Kaers.aC)</f>
        <v>2.2258158863377581E-10</v>
      </c>
      <c r="C314" s="206" t="s">
        <v>36</v>
      </c>
    </row>
    <row r="315" spans="1:3" ht="15" customHeight="1" x14ac:dyDescent="0.3">
      <c r="A315" s="206" t="s">
        <v>634</v>
      </c>
      <c r="B315" s="397">
        <f>FRACaerw.aM*Kaerw.aM/(1+FRACaerw.aM*Kaerw.aM+FRACaers.aM*Kaers.aM)</f>
        <v>2.2258158863377581E-10</v>
      </c>
      <c r="C315" s="206" t="s">
        <v>36</v>
      </c>
    </row>
    <row r="316" spans="1:3" ht="15" customHeight="1" x14ac:dyDescent="0.3">
      <c r="A316" s="206" t="s">
        <v>609</v>
      </c>
      <c r="B316" s="397" t="e">
        <f>Kaerw.aR/(1+FRACaerw.aR*Kaerw.aR+FRACaers.aR*Kaers.aR+FRACcldw.aR*Kcldw.aR)</f>
        <v>#NAME?</v>
      </c>
      <c r="C316" s="206" t="s">
        <v>36</v>
      </c>
    </row>
    <row r="317" spans="1:3" ht="15" customHeight="1" x14ac:dyDescent="0.3">
      <c r="A317" s="206" t="s">
        <v>629</v>
      </c>
      <c r="B317" s="397">
        <f>FRACaerw.aT*Kaerw.aT/(1+FRACaerw.aT*Kaerw.aT+FRACaers.aT*Kaers.aT)</f>
        <v>1.1812490998682687E-10</v>
      </c>
      <c r="C317" s="206" t="s">
        <v>36</v>
      </c>
    </row>
    <row r="318" spans="1:3" ht="15" customHeight="1" x14ac:dyDescent="0.3">
      <c r="A318" s="206" t="s">
        <v>641</v>
      </c>
      <c r="B318" s="397" t="e">
        <f>FRACcldw.aA *Kcldw.aA/(1+FRACaerw.aA*Kaerw.aA+FRACaers.aA*Kaers.aA)</f>
        <v>#NAME?</v>
      </c>
      <c r="C318" s="206" t="s">
        <v>36</v>
      </c>
    </row>
    <row r="319" spans="1:3" ht="15" customHeight="1" x14ac:dyDescent="0.3">
      <c r="A319" s="206" t="s">
        <v>626</v>
      </c>
      <c r="B319" s="397" t="e">
        <f>FRACcldw.aC *Kcldw.aC/(1+FRACaerw.aC*Kaerw.aC+FRACaers.aC*Kaers.aC)</f>
        <v>#NAME?</v>
      </c>
      <c r="C319" s="206" t="s">
        <v>36</v>
      </c>
    </row>
    <row r="320" spans="1:3" ht="15" customHeight="1" x14ac:dyDescent="0.3">
      <c r="A320" s="206" t="s">
        <v>636</v>
      </c>
      <c r="B320" s="397" t="e">
        <f>FRACcldw.aM *Kcldw.aM/(1+FRACaerw.aM*Kaerw.aM+FRACaers.aM*Kaers.aM)</f>
        <v>#NAME?</v>
      </c>
      <c r="C320" s="206" t="s">
        <v>36</v>
      </c>
    </row>
    <row r="321" spans="1:3" ht="15" customHeight="1" x14ac:dyDescent="0.3">
      <c r="A321" s="206" t="s">
        <v>617</v>
      </c>
      <c r="B321" s="397" t="e">
        <f>FRACcldw.aR*Kcldw.aR/(1+FRACaerw.aR*Kaerw.aR+FRACaers.aR*Kaers.aR)</f>
        <v>#NAME?</v>
      </c>
      <c r="C321" s="206" t="s">
        <v>36</v>
      </c>
    </row>
    <row r="322" spans="1:3" ht="15" customHeight="1" x14ac:dyDescent="0.3">
      <c r="A322" s="206" t="s">
        <v>631</v>
      </c>
      <c r="B322" s="397" t="e">
        <f>FRACcldw.aT *Kcldw.aT/(1+FRACaerw.aT*Kaerw.aT+FRACaers.aT*Kaers.aT)</f>
        <v>#NAME?</v>
      </c>
      <c r="C322" s="206" t="s">
        <v>36</v>
      </c>
    </row>
    <row r="323" spans="1:3" ht="15" customHeight="1" x14ac:dyDescent="0.3">
      <c r="A323" s="209" t="s">
        <v>2043</v>
      </c>
      <c r="B323" s="397">
        <f>1-FRaerw.aA-FRaers.aA</f>
        <v>0.99999996416294512</v>
      </c>
      <c r="C323" s="209" t="s">
        <v>36</v>
      </c>
    </row>
    <row r="324" spans="1:3" ht="15" customHeight="1" x14ac:dyDescent="0.3">
      <c r="A324" s="209" t="s">
        <v>2020</v>
      </c>
      <c r="B324" s="397">
        <f>1-FRaerw.aC-FRaers.aC</f>
        <v>0.99999996469432006</v>
      </c>
      <c r="C324" s="209" t="s">
        <v>36</v>
      </c>
    </row>
    <row r="325" spans="1:3" ht="15" customHeight="1" x14ac:dyDescent="0.3">
      <c r="A325" s="209" t="s">
        <v>2035</v>
      </c>
      <c r="B325" s="397">
        <f>1-FRaerw.aM-FRaers.aM</f>
        <v>0.99999996469432006</v>
      </c>
      <c r="C325" s="209" t="s">
        <v>36</v>
      </c>
    </row>
    <row r="326" spans="1:3" ht="15" customHeight="1" x14ac:dyDescent="0.3">
      <c r="A326" s="206" t="s">
        <v>2017</v>
      </c>
      <c r="B326" s="397">
        <f>1-FRaerw.aR-FRaers.aR</f>
        <v>0.99999996469432006</v>
      </c>
      <c r="C326" s="206" t="s">
        <v>36</v>
      </c>
    </row>
    <row r="327" spans="1:3" ht="15" customHeight="1" x14ac:dyDescent="0.3">
      <c r="A327" s="209" t="s">
        <v>2047</v>
      </c>
      <c r="B327" s="397">
        <f>1-FRaerw.aT-FRaers.aT</f>
        <v>0.99999996479877673</v>
      </c>
      <c r="C327" s="209" t="s">
        <v>36</v>
      </c>
    </row>
    <row r="328" spans="1:3" ht="15" customHeight="1" x14ac:dyDescent="0.3">
      <c r="A328" s="209" t="s">
        <v>622</v>
      </c>
      <c r="B328" s="208">
        <f>IF(ChemClass="Acid",1/(1+10^(pH.aerw-pKa)),IF(ChemClass="Base",1/(1+10^(pKa-pH.aerw)),1))</f>
        <v>1</v>
      </c>
      <c r="C328" s="209" t="s">
        <v>36</v>
      </c>
    </row>
    <row r="329" spans="1:3" ht="15" customHeight="1" x14ac:dyDescent="0.3">
      <c r="A329" s="394" t="s">
        <v>621</v>
      </c>
      <c r="B329" s="395">
        <f>IF(ChemClass="Acid",1/(1+10^(pH.cldw-pKa)),IF(ChemClass="Base",1/(1+10^(pKa-pH.cldw)),1))</f>
        <v>1</v>
      </c>
      <c r="C329" s="394" t="s">
        <v>36</v>
      </c>
    </row>
    <row r="330" spans="1:3" ht="15" customHeight="1" x14ac:dyDescent="0.3">
      <c r="A330" s="209" t="s">
        <v>604</v>
      </c>
      <c r="B330" s="208">
        <f>IF(ChemClass="Acid",1/(1+10^(pH.s1-0.6-pKa)),IF(ChemClass="Base",1/(1+10^(pKa-4.5)),1))</f>
        <v>1</v>
      </c>
      <c r="C330" s="209" t="s">
        <v>36</v>
      </c>
    </row>
    <row r="331" spans="1:3" ht="15" customHeight="1" x14ac:dyDescent="0.3">
      <c r="A331" s="209" t="s">
        <v>645</v>
      </c>
      <c r="B331" s="208">
        <f>IF(ChemClass="Acid",1/(1+10^(pH.s1-pKa)),IF(ChemClass="Base",1/(1+10^(pKa-pH.s1)),1))</f>
        <v>1</v>
      </c>
      <c r="C331" s="209" t="s">
        <v>36</v>
      </c>
    </row>
    <row r="332" spans="1:3" ht="15" customHeight="1" x14ac:dyDescent="0.3">
      <c r="A332" s="209" t="s">
        <v>605</v>
      </c>
      <c r="B332" s="208">
        <f>IF(ChemClass="Acid",1/(1+10^(pH.s2-0.6-pKa)),IF(ChemClass="Base",1/(1+10^(pKa-4.5)),1))</f>
        <v>1</v>
      </c>
      <c r="C332" s="209" t="s">
        <v>36</v>
      </c>
    </row>
    <row r="333" spans="1:3" ht="15" customHeight="1" x14ac:dyDescent="0.3">
      <c r="A333" s="209" t="s">
        <v>646</v>
      </c>
      <c r="B333" s="208">
        <f>IF(ChemClass="Acid",1/(1+10^(pH.s2-pKa)),IF(ChemClass="Base",1/(1+10^(pKa-pH.s2)),1))</f>
        <v>1</v>
      </c>
      <c r="C333" s="209" t="s">
        <v>36</v>
      </c>
    </row>
    <row r="334" spans="1:3" ht="15" customHeight="1" x14ac:dyDescent="0.3">
      <c r="A334" s="209" t="s">
        <v>606</v>
      </c>
      <c r="B334" s="208">
        <f>IF(ChemClass="Acid",1/(1+10^(pH.s3-0.6-pKa)),IF(ChemClass="Base",1/(1+10^(pKa-4.5)),1))</f>
        <v>1</v>
      </c>
      <c r="C334" s="209" t="s">
        <v>36</v>
      </c>
    </row>
    <row r="335" spans="1:3" ht="15" customHeight="1" x14ac:dyDescent="0.3">
      <c r="A335" s="209" t="s">
        <v>647</v>
      </c>
      <c r="B335" s="208">
        <f>IF(ChemClass="Acid",1/(1+10^(pH.s3-pKa)),IF(ChemClass="Base",1/(1+10^(pKa-pH.s3)),1))</f>
        <v>1</v>
      </c>
      <c r="C335" s="209" t="s">
        <v>36</v>
      </c>
    </row>
    <row r="336" spans="1:3" ht="15" customHeight="1" x14ac:dyDescent="0.3">
      <c r="A336" s="209" t="s">
        <v>600</v>
      </c>
      <c r="B336" s="208">
        <f>IF(ChemClass="Acid",1/(1+10^(pH.w1-0.6-pKa)),IF(ChemClass="Base",1/(1+10^(pKa-4.5)),1))</f>
        <v>1</v>
      </c>
      <c r="C336" s="209" t="s">
        <v>36</v>
      </c>
    </row>
    <row r="337" spans="1:3" ht="15" customHeight="1" x14ac:dyDescent="0.3">
      <c r="A337" s="209" t="s">
        <v>601</v>
      </c>
      <c r="B337" s="208">
        <f>IF(ChemClass="Acid",1/(1+10^(pH.w2-0.6-pKa)),IF(ChemClass="Base",1/(1+10^(pKa-4.5)),1))</f>
        <v>1</v>
      </c>
      <c r="C337" s="209"/>
    </row>
    <row r="338" spans="1:3" ht="15" customHeight="1" x14ac:dyDescent="0.3">
      <c r="A338" s="209" t="s">
        <v>598</v>
      </c>
      <c r="B338" s="208">
        <f>IF(ChemClass="Acid",1/(1+10^(pH.w1-pKa)),IF(ChemClass="Base",1/(1+10^(pKa-pH.w1)),1))</f>
        <v>1</v>
      </c>
      <c r="C338" s="209" t="s">
        <v>36</v>
      </c>
    </row>
    <row r="339" spans="1:3" ht="15" customHeight="1" x14ac:dyDescent="0.3">
      <c r="A339" s="209" t="s">
        <v>599</v>
      </c>
      <c r="B339" s="208">
        <f>IF(ChemClass="Acid",1/(1+10^(pH.w2-pKa)),IF(ChemClass="Base",1/(1+10^(pKa-pH.w2)),1))</f>
        <v>1</v>
      </c>
      <c r="C339" s="209" t="s">
        <v>36</v>
      </c>
    </row>
    <row r="340" spans="1:3" ht="15" customHeight="1" x14ac:dyDescent="0.3">
      <c r="A340" s="210" t="s">
        <v>1031</v>
      </c>
      <c r="B340" s="208">
        <f>FRACs.s1C / (FRACa.s1C*Kaw.C*FRorig.s1w/(Kp.s1C*RHOsolid/1000)+FRACw.s1C /(Kp.s1C*RHOsolid/1000)+FRACs.s1C )</f>
        <v>0.99064667346783319</v>
      </c>
      <c r="C340" s="209" t="s">
        <v>36</v>
      </c>
    </row>
    <row r="341" spans="1:3" ht="15" customHeight="1" x14ac:dyDescent="0.3">
      <c r="A341" s="210" t="s">
        <v>1029</v>
      </c>
      <c r="B341" s="215">
        <f>FRACs.s1R / (FRACa.s1R*Kaw.R*FRorig.s1w/(Kp.s1R*RHOsolid/1000)+FRACw.s1R /(Kp.s1R*RHOsolid/1000)+FRACs.s1R )</f>
        <v>0.99064667346783319</v>
      </c>
      <c r="C341" s="209" t="s">
        <v>36</v>
      </c>
    </row>
    <row r="342" spans="1:3" ht="15" customHeight="1" x14ac:dyDescent="0.3">
      <c r="A342" s="210" t="s">
        <v>1032</v>
      </c>
      <c r="B342" s="208">
        <f>FRACs.s2C / (FRACa.s2C*Kaw.C*FRorig.s2w/(Kp.s2C*RHOsolid/1000)+FRACw.s2C /(Kp.s2C*RHOsolid/1000)+FRACs.s2C )</f>
        <v>0.99064667346783319</v>
      </c>
      <c r="C342" s="209" t="s">
        <v>36</v>
      </c>
    </row>
    <row r="343" spans="1:3" ht="15" customHeight="1" x14ac:dyDescent="0.3">
      <c r="A343" s="210" t="s">
        <v>1030</v>
      </c>
      <c r="B343" s="215">
        <f>FRACs.s2R / (FRACa.s2R*Kaw.R*FRorig.s2w/(Kp.s2R*RHOsolid/1000)+FRACw.s2R /(Kp.s2R*RHOsolid/1000)+FRACs.s2R )</f>
        <v>0.99064667346783319</v>
      </c>
      <c r="C343" s="209" t="s">
        <v>36</v>
      </c>
    </row>
    <row r="344" spans="1:3" ht="15" customHeight="1" x14ac:dyDescent="0.3">
      <c r="A344" s="210" t="s">
        <v>1033</v>
      </c>
      <c r="B344" s="208">
        <f>FRACs.s3C / (FRACa.s3C*Kaw.C*FRorig.s3w/(Kp.s3C*RHOsolid/1000)+FRACw.s3C /(Kp.s3C*RHOsolid/1000)+FRACs.s3C )</f>
        <v>0.99064667346783319</v>
      </c>
      <c r="C344" s="209" t="s">
        <v>36</v>
      </c>
    </row>
    <row r="345" spans="1:3" ht="15" customHeight="1" x14ac:dyDescent="0.3">
      <c r="A345" s="210" t="s">
        <v>1107</v>
      </c>
      <c r="B345" s="215">
        <f>FRACs.s3R / (FRACa.s3R*Kaw.R*FRorig.s3w/(Kp.s3R*RHOsolid/1000)+FRACw.s3R /(Kp.s3R*RHOsolid/1000)+FRACs.s3R )</f>
        <v>0.99064667346783319</v>
      </c>
      <c r="C345" s="209" t="s">
        <v>36</v>
      </c>
    </row>
    <row r="346" spans="1:3" ht="15" customHeight="1" x14ac:dyDescent="0.3">
      <c r="A346" s="210" t="s">
        <v>1303</v>
      </c>
      <c r="B346" s="208">
        <f>FRACs.sA/ (FRACa.sA*Kaw.A*FRorig.s1w/(Kp.sA*RHOsolid/1000)+FRACw.sA/(Kp.sA*RHOsolid/1000)+FRACs.sA )</f>
        <v>0.99118537465773471</v>
      </c>
      <c r="C346" s="209" t="s">
        <v>36</v>
      </c>
    </row>
    <row r="347" spans="1:3" ht="15" customHeight="1" x14ac:dyDescent="0.3">
      <c r="A347" s="210" t="s">
        <v>44</v>
      </c>
      <c r="B347" s="208">
        <f>FRACs.sM / (FRACa.sM*Kaw.M*FRorig.s1w/(Kp.sM*RHOsolid/1000)+FRACw.sM/(Kp.sM*RHOsolid/1000)+FRACs.sM )</f>
        <v>0.99064667346783319</v>
      </c>
      <c r="C347" s="209" t="s">
        <v>36</v>
      </c>
    </row>
    <row r="348" spans="1:3" ht="15" customHeight="1" x14ac:dyDescent="0.3">
      <c r="A348" s="210" t="s">
        <v>477</v>
      </c>
      <c r="B348" s="208">
        <f>FRACs.sT/ (FRACa.sT*Kaw.T*FRorig.s1w/(Kp.sT*RHOsolid/1000)+FRACw.sT/(Kp.sT*RHOsolid/1000)+FRACs.sT )</f>
        <v>0.98997159276041458</v>
      </c>
      <c r="C348" s="209" t="s">
        <v>36</v>
      </c>
    </row>
    <row r="349" spans="1:3" ht="15" customHeight="1" x14ac:dyDescent="0.3">
      <c r="A349" s="210" t="s">
        <v>577</v>
      </c>
      <c r="B349" s="208">
        <f>FRACw.s1C/(FRACa.s1C*(Kaw.C*FRorig.s1w)+FRACw.s1C+FRACs.s1C*Kp.s1C*RHOsolid/1000)</f>
        <v>8.5821776348539939E-3</v>
      </c>
      <c r="C349" s="209" t="s">
        <v>36</v>
      </c>
    </row>
    <row r="350" spans="1:3" ht="15" customHeight="1" x14ac:dyDescent="0.3">
      <c r="A350" s="210" t="s">
        <v>1025</v>
      </c>
      <c r="B350" s="215">
        <f>FRACw.s1R/(FRACa.s1R*(Kaw.R*FRorig.s1w)+FRACw.s1R+FRACs.s1R*Kp.s1R*RHOsolid/1000)</f>
        <v>8.5821776348539939E-3</v>
      </c>
      <c r="C350" s="209" t="s">
        <v>36</v>
      </c>
    </row>
    <row r="351" spans="1:3" ht="15" customHeight="1" x14ac:dyDescent="0.3">
      <c r="A351" s="210" t="s">
        <v>578</v>
      </c>
      <c r="B351" s="208">
        <f>FRACw.s2C/(FRACa.s2C*(Kaw.C*FRorig.s2w)+FRACw.s2C+FRACs.s2C*Kp.s2C*RHOsolid/1000)</f>
        <v>8.5821776348539939E-3</v>
      </c>
      <c r="C351" s="209" t="s">
        <v>36</v>
      </c>
    </row>
    <row r="352" spans="1:3" ht="15" customHeight="1" x14ac:dyDescent="0.3">
      <c r="A352" s="210" t="s">
        <v>1026</v>
      </c>
      <c r="B352" s="215">
        <f>FRACw.s2R/(FRACa.s2R*(Kaw.R*FRorig.s2w)+FRACw.s2R+FRACs.s2R*Kp.s2R*RHOsolid/1000)</f>
        <v>8.5821776348539939E-3</v>
      </c>
      <c r="C352" s="209" t="s">
        <v>36</v>
      </c>
    </row>
    <row r="353" spans="1:3" ht="15" customHeight="1" x14ac:dyDescent="0.3">
      <c r="A353" s="210" t="s">
        <v>579</v>
      </c>
      <c r="B353" s="208">
        <f>FRACw.s3C/(FRACa.s3C*(Kaw.C*FRorig.s3w)+FRACw.s3C+FRACs.s3C*Kp.s3C*RHOsolid/1000)</f>
        <v>8.5821776348539939E-3</v>
      </c>
      <c r="C353" s="209" t="s">
        <v>36</v>
      </c>
    </row>
    <row r="354" spans="1:3" ht="15" customHeight="1" x14ac:dyDescent="0.3">
      <c r="A354" s="210" t="s">
        <v>1027</v>
      </c>
      <c r="B354" s="215">
        <f>FRACw.s3R/(FRACa.s3R*(Kaw.R*FRorig.s3w)+FRACw.s3R+FRACs.s3R*Kp.s3R*RHOsolid/1000)</f>
        <v>8.5821776348539939E-3</v>
      </c>
      <c r="C354" s="209" t="s">
        <v>36</v>
      </c>
    </row>
    <row r="355" spans="1:3" ht="15" customHeight="1" x14ac:dyDescent="0.3">
      <c r="A355" s="210" t="s">
        <v>1302</v>
      </c>
      <c r="B355" s="208">
        <f>FRACw.sA/(FRACa.sA*(Kaw.A*FRorig.s1w)+FRACw.sA+FRACs.sA*Kp.sA*RHOsolid/1000)</f>
        <v>8.5868445150118385E-3</v>
      </c>
      <c r="C355" s="209" t="s">
        <v>36</v>
      </c>
    </row>
    <row r="356" spans="1:3" ht="15" customHeight="1" x14ac:dyDescent="0.3">
      <c r="A356" s="210" t="s">
        <v>589</v>
      </c>
      <c r="B356" s="208">
        <f>FRACw.sM/(FRACa.sM*(Kaw.M*FRorig.s1w)+FRACw.sM+FRACs.sM*Kp.sM*RHOsolid/1000)</f>
        <v>8.5821776348539939E-3</v>
      </c>
      <c r="C356" s="209" t="s">
        <v>36</v>
      </c>
    </row>
    <row r="357" spans="1:3" ht="15" customHeight="1" x14ac:dyDescent="0.3">
      <c r="A357" s="210" t="s">
        <v>478</v>
      </c>
      <c r="B357" s="208">
        <f>FRACw.sT/(FRACa.sT*(Kaw.T*FRorig.s1w)+FRACw.sT+FRACs.sT*Kp.sT*RHOsolid/1000)</f>
        <v>8.5763292706449376E-3</v>
      </c>
      <c r="C357" s="209" t="s">
        <v>36</v>
      </c>
    </row>
    <row r="358" spans="1:3" ht="15" customHeight="1" x14ac:dyDescent="0.3">
      <c r="A358" s="210" t="s">
        <v>342</v>
      </c>
      <c r="B358" s="215">
        <f>1/(1+Kp.susp0C*SUSP.w0C/1000+Kp.col0C*COL.w0C/1000)</f>
        <v>0.99974158989686501</v>
      </c>
      <c r="C358" s="209" t="s">
        <v>36</v>
      </c>
    </row>
    <row r="359" spans="1:3" ht="15" customHeight="1" x14ac:dyDescent="0.3">
      <c r="A359" s="210" t="s">
        <v>292</v>
      </c>
      <c r="B359" s="215">
        <f>1/(1+Kp.susp0R*SUSP.w0R/1000+Kp.col0R*COL.w0R/1000)</f>
        <v>0.99974158989686501</v>
      </c>
      <c r="C359" s="209" t="s">
        <v>36</v>
      </c>
    </row>
    <row r="360" spans="1:3" ht="15" customHeight="1" x14ac:dyDescent="0.3">
      <c r="A360" s="210" t="s">
        <v>572</v>
      </c>
      <c r="B360" s="215">
        <f>1/(1+Kp.susp1C*SUSP.w1C/1000+Kp.col1C*COL.w1C/1000)</f>
        <v>0.99862757924200896</v>
      </c>
      <c r="C360" s="209" t="s">
        <v>36</v>
      </c>
    </row>
    <row r="361" spans="1:3" ht="15" customHeight="1" x14ac:dyDescent="0.3">
      <c r="A361" s="210" t="s">
        <v>538</v>
      </c>
      <c r="B361" s="215">
        <f>1/(1+Kp.susp1R*SUSP.w1R/1000+Kp.col1R*COL.w1R/1000)</f>
        <v>0.99862757924200896</v>
      </c>
      <c r="C361" s="209" t="s">
        <v>36</v>
      </c>
    </row>
    <row r="362" spans="1:3" ht="15" customHeight="1" x14ac:dyDescent="0.3">
      <c r="A362" s="207" t="s">
        <v>1147</v>
      </c>
      <c r="B362" s="208">
        <f>1/(1+Kp.susp2A*SUSP.w2A/1000+Kp.col2A*COL.w2A/1000)</f>
        <v>0.99939559656267651</v>
      </c>
      <c r="C362" s="209" t="s">
        <v>36</v>
      </c>
    </row>
    <row r="363" spans="1:3" ht="15" customHeight="1" x14ac:dyDescent="0.3">
      <c r="A363" s="210" t="s">
        <v>573</v>
      </c>
      <c r="B363" s="215">
        <f>1/(1+Kp.susp2C*SUSP.w2C/1000+Kp.col2C*COL.w2C/1000)</f>
        <v>0.99939559656267651</v>
      </c>
      <c r="C363" s="209" t="s">
        <v>36</v>
      </c>
    </row>
    <row r="364" spans="1:3" ht="15" customHeight="1" x14ac:dyDescent="0.3">
      <c r="A364" s="207" t="s">
        <v>134</v>
      </c>
      <c r="B364" s="208">
        <f>1/(1+Kp.susp2M*SUSP.w2M/1000+Kp.col2M*COL.w2M/1000)</f>
        <v>0.99939559656267651</v>
      </c>
      <c r="C364" s="209" t="s">
        <v>36</v>
      </c>
    </row>
    <row r="365" spans="1:3" ht="15" customHeight="1" x14ac:dyDescent="0.3">
      <c r="A365" s="210" t="s">
        <v>539</v>
      </c>
      <c r="B365" s="208">
        <f>1/(1+Kp.susp2R*SUSP.w2R/1000+Kp.col2R*COL.w2R/1000)</f>
        <v>0.99939559656267651</v>
      </c>
      <c r="C365" s="209" t="s">
        <v>36</v>
      </c>
    </row>
    <row r="366" spans="1:3" ht="15" customHeight="1" x14ac:dyDescent="0.3">
      <c r="A366" s="207" t="s">
        <v>107</v>
      </c>
      <c r="B366" s="215">
        <f>1/(1+Kp.susp2T*SUSP.w2T/1000+Kp.col2T*COL.w2T/1000)</f>
        <v>0.99939559656267651</v>
      </c>
      <c r="C366" s="209" t="s">
        <v>36</v>
      </c>
    </row>
    <row r="367" spans="1:3" ht="15" customHeight="1" x14ac:dyDescent="0.3">
      <c r="A367" s="207" t="s">
        <v>1148</v>
      </c>
      <c r="B367" s="208">
        <f>1/(1+Kp.susp3A*SUSP.w3A/1000+Kp.col3A*COL.w3A/1000)</f>
        <v>0.99939559656267651</v>
      </c>
      <c r="C367" s="209" t="s">
        <v>36</v>
      </c>
    </row>
    <row r="368" spans="1:3" ht="15" customHeight="1" x14ac:dyDescent="0.3">
      <c r="A368" s="207" t="s">
        <v>135</v>
      </c>
      <c r="B368" s="208">
        <f>1/(1+Kp.susp3M*SUSP.w3M/1000+Kp.col3M*COL.w3M/1000)</f>
        <v>0.99939559656267651</v>
      </c>
      <c r="C368" s="209" t="s">
        <v>36</v>
      </c>
    </row>
    <row r="369" spans="1:3" ht="15" customHeight="1" x14ac:dyDescent="0.3">
      <c r="A369" s="207" t="s">
        <v>1120</v>
      </c>
      <c r="B369" s="215">
        <f>1/(1+Kp.susp3T*SUSP.w3T/1000+Kp.col3T*COL.w3T/1000)</f>
        <v>0.99939559656267651</v>
      </c>
      <c r="C369" s="209" t="s">
        <v>36</v>
      </c>
    </row>
    <row r="370" spans="1:3" ht="15" customHeight="1" x14ac:dyDescent="0.3">
      <c r="A370" s="207" t="s">
        <v>1231</v>
      </c>
      <c r="B370" s="208">
        <f>FRgas.aA*(MTCas.air.aA*MTCas.soil.sA)/(MTCas.air.aA*((Kaw.A*FRorig.s1w)/Kslw.A)+MTCas.soil.sA)*SYSTEMAREA.A*AREAFRAC.sA</f>
        <v>14105759.067686353</v>
      </c>
      <c r="C370" s="206" t="s">
        <v>2071</v>
      </c>
    </row>
    <row r="371" spans="1:3" ht="15" customHeight="1" x14ac:dyDescent="0.3">
      <c r="A371" s="207" t="s">
        <v>1162</v>
      </c>
      <c r="B371" s="208">
        <f>FRgas.aA*(MTCaw.air.aA*MTCaw.water.wA/(FRorig.w1*MTCaw.air.aA*Kaw.A+MTCaw.water.wA))*SYSTEMAREA.A*AREAFRAC.wA</f>
        <v>4780264679.7656507</v>
      </c>
      <c r="C371" s="206" t="s">
        <v>2071</v>
      </c>
    </row>
    <row r="372" spans="1:3" ht="15" customHeight="1" x14ac:dyDescent="0.3">
      <c r="A372" s="207" t="s">
        <v>1384</v>
      </c>
      <c r="B372" s="208">
        <f>FRgas.aC*(MTCas.air.aC*MTCas.soil.sC)/(MTCas.air.aC*((Kaw.C*FRorig.s1w)/Ks1w.C)+MTCas.soil.sC)*(SYSTEMAREA.C*AREAFRAC.s1C)</f>
        <v>1129076.1226982963</v>
      </c>
      <c r="C372" s="209" t="s">
        <v>2071</v>
      </c>
    </row>
    <row r="373" spans="1:3" ht="15" customHeight="1" x14ac:dyDescent="0.3">
      <c r="A373" s="207" t="s">
        <v>1237</v>
      </c>
      <c r="B373" s="208">
        <f>FRgas.aC*(MTCas.air.aC*MTCas.soil.sC)/(MTCas.air.aC*((Kaw.C*FRorig.s2w)/Ks2w.C)+MTCas.soil.sC)*(SYSTEMAREA.C*AREAFRAC.s2C)</f>
        <v>2509058.0504406583</v>
      </c>
      <c r="C373" s="209" t="s">
        <v>2071</v>
      </c>
    </row>
    <row r="374" spans="1:3" ht="15" customHeight="1" x14ac:dyDescent="0.3">
      <c r="A374" s="207" t="s">
        <v>1239</v>
      </c>
      <c r="B374" s="208">
        <f>FRgas.aC*(MTCas.air.aC*MTCas.soil.sC)/(MTCas.air.aC*((Kaw.C*FRorig.s3w)/Ks3w.C)+MTCas.soil.sC)*(SYSTEMAREA.C*AREAFRAC.s3C)</f>
        <v>418176.34174010972</v>
      </c>
      <c r="C374" s="209" t="s">
        <v>2071</v>
      </c>
    </row>
    <row r="375" spans="1:3" ht="15" customHeight="1" x14ac:dyDescent="0.3">
      <c r="A375" s="207" t="s">
        <v>351</v>
      </c>
      <c r="B375" s="208">
        <f>FRgas.aC*(MTCaw.air.aC*MTCaw.water.wC/(FRorig.w1*MTCaw.air.aC*Kaw.C+MTCaw.water.wC))*SYSTEMAREA.C*AREAFRAC.w0C</f>
        <v>529618.55313213554</v>
      </c>
      <c r="C375" s="209" t="s">
        <v>2071</v>
      </c>
    </row>
    <row r="376" spans="1:3" ht="15" customHeight="1" x14ac:dyDescent="0.3">
      <c r="A376" s="207" t="s">
        <v>13</v>
      </c>
      <c r="B376" s="208">
        <f>FRgas.aC*(MTCaw.air.aC*MTCaw.water.wC/(FRorig.w1*MTCaw.air.aC*Kaw.C+MTCaw.water.wC))*SYSTEMAREA.C*AREAFRAC.w1C</f>
        <v>5825804.0844534906</v>
      </c>
      <c r="C376" s="209" t="s">
        <v>2071</v>
      </c>
    </row>
    <row r="377" spans="1:3" ht="15" customHeight="1" x14ac:dyDescent="0.3">
      <c r="A377" s="207" t="s">
        <v>1382</v>
      </c>
      <c r="B377" s="208">
        <f>FRgas.aC*(MTCaw.air.aC*MTCaw.water.wC/(FRorig.w2*MTCaw.air.aC*Kaw.C+MTCaw.water.wC))*SYSTEMAREA.C*AREAFRAC.w2C</f>
        <v>211847421.2528542</v>
      </c>
      <c r="C377" s="209" t="s">
        <v>2071</v>
      </c>
    </row>
    <row r="378" spans="1:3" ht="15" customHeight="1" x14ac:dyDescent="0.3">
      <c r="A378" s="207" t="s">
        <v>1330</v>
      </c>
      <c r="B378" s="208">
        <f>FRgas.aM*(MTCas.air.aM*MTCas.soil.sM)/(MTCas.air.aM*((Kaw.M*FRorig.s1w)/Kslw.M)+MTCas.soil.sM)*SYSTEMAREA.M*AREAFRAC.sM</f>
        <v>43536431.80759567</v>
      </c>
      <c r="C378" s="206" t="s">
        <v>2071</v>
      </c>
    </row>
    <row r="379" spans="1:3" ht="15" customHeight="1" x14ac:dyDescent="0.3">
      <c r="A379" s="207" t="s">
        <v>145</v>
      </c>
      <c r="B379" s="208">
        <f>FRgas.aM*(MTCaw.air.aM*MTCaw.water.wM/(FRorig.w1*MTCaw.air.aM*Kaw.M+MTCaw.water.wM))*SYSTEMAREA.M*AREAFRAC.wM</f>
        <v>2205548207.3928242</v>
      </c>
      <c r="C379" s="206" t="s">
        <v>2071</v>
      </c>
    </row>
    <row r="380" spans="1:3" ht="15" customHeight="1" x14ac:dyDescent="0.3">
      <c r="A380" s="207" t="s">
        <v>738</v>
      </c>
      <c r="B380" s="208">
        <f>FRgas.aR*(MTCas.air.aR*MTCas.soil.sR/(MTCas.air.aR*(Kaw.R*FRorig.s1)/Ks1w.R+MTCas.soil.sR))*(SYSTEMAREA.R*AREAFRAC.s1R)</f>
        <v>69478.848421458475</v>
      </c>
      <c r="C380" s="209" t="s">
        <v>2071</v>
      </c>
    </row>
    <row r="381" spans="1:3" ht="15" customHeight="1" x14ac:dyDescent="0.3">
      <c r="A381" s="207" t="s">
        <v>740</v>
      </c>
      <c r="B381" s="208">
        <f>FRgas.aR*(MTCas.air.aR*MTCas.soil.sR/(MTCas.air.aR*(Kaw.R*FRorig.s2)/Ks2w.R+MTCas.soil.sR))*(SYSTEMAREA.R*AREAFRAC.s2R)</f>
        <v>154397.44093657433</v>
      </c>
      <c r="C381" s="209" t="s">
        <v>2071</v>
      </c>
    </row>
    <row r="382" spans="1:3" ht="15" customHeight="1" x14ac:dyDescent="0.3">
      <c r="A382" s="207" t="s">
        <v>742</v>
      </c>
      <c r="B382" s="208">
        <f>FRgas.aR*(MTCas.air.aR*MTCas.soil.sR/(MTCas.air.aR*(Kaw.R*FRorig.s3)/Ks3w.R+MTCas.soil.sR))*(SYSTEMAREA.R*AREAFRAC.s3R)</f>
        <v>25732.906822762394</v>
      </c>
      <c r="C382" s="209" t="s">
        <v>2071</v>
      </c>
    </row>
    <row r="383" spans="1:3" ht="15" customHeight="1" x14ac:dyDescent="0.3">
      <c r="A383" s="207" t="s">
        <v>302</v>
      </c>
      <c r="B383" s="208">
        <f>FRgas.aR*(MTCaw.air.aR*MTCaw.water.wR/(MTCaw.air.aR*(Kaw.R*FRorig.w1)+MTCaw.water.wR))*(SYSTEMAREA.R*AREAFRAC.w0R)</f>
        <v>32590.616730358848</v>
      </c>
      <c r="C383" s="209" t="s">
        <v>2071</v>
      </c>
    </row>
    <row r="384" spans="1:3" ht="15" customHeight="1" x14ac:dyDescent="0.3">
      <c r="A384" s="207" t="s">
        <v>1040</v>
      </c>
      <c r="B384" s="208">
        <f>FRgas.aR*(MTCaw.air.aR*MTCaw.water.wR/(MTCaw.air.aR*(Kaw.R*FRorig.w1)+MTCaw.water.wR))*(SYSTEMAREA.R*AREAFRAC.w1R)</f>
        <v>358496.78403394733</v>
      </c>
      <c r="C384" s="209" t="s">
        <v>2071</v>
      </c>
    </row>
    <row r="385" spans="1:3" ht="15" customHeight="1" x14ac:dyDescent="0.3">
      <c r="A385" s="207" t="s">
        <v>736</v>
      </c>
      <c r="B385" s="208">
        <f>FRgas.aR*(MTCaw.air.aR*MTCaw.water.wR/(MTCaw.air.aR*(Kaw.R*FRorig.w2)+MTCaw.water.wR))*(SYSTEMAREA.R*AREAFRAC.w2R)</f>
        <v>57033.935740226421</v>
      </c>
      <c r="C385" s="209" t="s">
        <v>2071</v>
      </c>
    </row>
    <row r="386" spans="1:3" ht="15" customHeight="1" x14ac:dyDescent="0.3">
      <c r="A386" s="207" t="s">
        <v>1379</v>
      </c>
      <c r="B386" s="208">
        <f>FRgas.aT*(MTCas.air.aT*MTCas.soil.sT/(MTCas.air.aT*(Kaw.T*FRorig.s1w)/Kslw.T+MTCas.soil.sT))*SYSTEMAREA.T*AREAFRAC.sT</f>
        <v>56291759.420424268</v>
      </c>
      <c r="C386" s="206" t="s">
        <v>2071</v>
      </c>
    </row>
    <row r="387" spans="1:3" ht="15" customHeight="1" x14ac:dyDescent="0.3">
      <c r="A387" s="207" t="s">
        <v>1133</v>
      </c>
      <c r="B387" s="208">
        <f>FRgas.aT*(MTCaw.air.aT*MTCaw.water.wT/(FRorig.w1*MTCaw.air.aT*Kaw.T+MTCaw.water.wT))*SYSTEMAREA.T*AREAFRAC.wT</f>
        <v>2717764330.895576</v>
      </c>
      <c r="C387" s="206" t="s">
        <v>2071</v>
      </c>
    </row>
    <row r="388" spans="1:3" ht="15" customHeight="1" x14ac:dyDescent="0.3">
      <c r="A388" s="207" t="s">
        <v>1024</v>
      </c>
      <c r="B388" s="398" t="e">
        <f>FRgas.aA*(tdry.A+twet.A)/twet.A*RAINrate.A/(Kaw.A*FRorig.cldw)</f>
        <v>#NAME?</v>
      </c>
      <c r="C388" s="212" t="s">
        <v>2072</v>
      </c>
    </row>
    <row r="389" spans="1:3" ht="15" customHeight="1" x14ac:dyDescent="0.3">
      <c r="A389" s="207" t="s">
        <v>934</v>
      </c>
      <c r="B389" s="398" t="e">
        <f>FRgas.aC*(tdry.C+twet.C)/twet.C*RAINrate.C/(Kaw.C*FRorig.cldw)</f>
        <v>#NAME?</v>
      </c>
      <c r="C389" s="212" t="s">
        <v>2072</v>
      </c>
    </row>
    <row r="390" spans="1:3" ht="15" customHeight="1" x14ac:dyDescent="0.3">
      <c r="A390" s="207" t="s">
        <v>548</v>
      </c>
      <c r="B390" s="398" t="e">
        <f>FRgas.aM*(tdry.M+twet.M)/twet.M*RAINrate.M/(Kaw.M*FRorig.cldw)</f>
        <v>#NAME?</v>
      </c>
      <c r="C390" s="212" t="s">
        <v>2072</v>
      </c>
    </row>
    <row r="391" spans="1:3" ht="15" customHeight="1" x14ac:dyDescent="0.3">
      <c r="A391" s="207" t="s">
        <v>587</v>
      </c>
      <c r="B391" s="398" t="e">
        <f>FRgas.aR*(tdry.R+twet.R)/twet.R*RAINrate.R/(Kaw.R*FRorig.cldw)</f>
        <v>#NAME?</v>
      </c>
      <c r="C391" s="212" t="s">
        <v>2072</v>
      </c>
    </row>
    <row r="392" spans="1:3" ht="15" customHeight="1" x14ac:dyDescent="0.3">
      <c r="A392" s="207" t="s">
        <v>1401</v>
      </c>
      <c r="B392" s="398" t="e">
        <f>FRgas.aT*(tdry.T+twet.T)/twet.T*RAINrate.T/(Kaw.T*FRorig.cldw)</f>
        <v>#NAME?</v>
      </c>
      <c r="C392" s="212" t="s">
        <v>2072</v>
      </c>
    </row>
    <row r="393" spans="1:3" ht="15" customHeight="1" x14ac:dyDescent="0.3">
      <c r="A393" s="210" t="s">
        <v>1062</v>
      </c>
      <c r="B393" s="208">
        <f>IF(SETTLvelocity.C*SUSP.w1C/(FRACs.sdC*RHOsolid)&gt;NETsedrate.w1C,SETTLvelocity.C*SUSP.w1C/(FRACs.sdC*RHOsolid),NETsedrate.w1C)</f>
        <v>8.6805555555555575E-10</v>
      </c>
      <c r="C393" s="212" t="s">
        <v>2072</v>
      </c>
    </row>
    <row r="394" spans="1:3" ht="15" customHeight="1" x14ac:dyDescent="0.3">
      <c r="A394" s="210" t="s">
        <v>507</v>
      </c>
      <c r="B394" s="208">
        <f>IF(SETTLvelocity.R*SUSP.w1R/(FRACs.sdR*RHOsolid)&gt;NETsedrate.w1R,SETTLvelocity.R*SUSP.w1R/(FRACs.sdR*RHOsolid),NETsedrate.w1R)</f>
        <v>8.6805555555555575E-10</v>
      </c>
      <c r="C394" s="212" t="s">
        <v>2072</v>
      </c>
    </row>
    <row r="395" spans="1:3" ht="15" customHeight="1" x14ac:dyDescent="0.3">
      <c r="A395" s="210" t="s">
        <v>498</v>
      </c>
      <c r="B395" s="208">
        <f>IF(SETTLvelocity.C*SUSP.w2C/(FRACs.sdC*RHOsolid)&gt;NETsedrate.w2C,SETTLvelocity.C*SUSP.w2C/(FRACs.sdC*RHOsolid),NETsedrate.w2C)</f>
        <v>2.893518518518519E-10</v>
      </c>
      <c r="C395" s="212" t="s">
        <v>2072</v>
      </c>
    </row>
    <row r="396" spans="1:3" ht="15" customHeight="1" x14ac:dyDescent="0.3">
      <c r="A396" s="210" t="s">
        <v>415</v>
      </c>
      <c r="B396" s="208">
        <f>IF(SETTLvelocity.R*SUSP.w2R/(FRACs.sdR*RHOsolid)&gt;NETsedrate.w2R,SETTLvelocity.R*SUSP.w2R/(FRACs.sdR*RHOsolid),NETsedrate.w2R)</f>
        <v>2.893518518518519E-10</v>
      </c>
      <c r="C396" s="212" t="s">
        <v>2072</v>
      </c>
    </row>
    <row r="397" spans="1:3" ht="15" customHeight="1" x14ac:dyDescent="0.3">
      <c r="A397" s="210" t="s">
        <v>162</v>
      </c>
      <c r="B397" s="208">
        <f>IF(SETTLvelocity.A*SUSP.w3A/(FRACs.sdA*RHOsolid)&gt;NETsedrate.wA,SETTLvelocity.A*SUSP.w3A/(FRACs.sdA*RHOsolid),NETsedrate.wA)</f>
        <v>2.893518518518519E-10</v>
      </c>
      <c r="C397" s="211" t="s">
        <v>2072</v>
      </c>
    </row>
    <row r="398" spans="1:3" ht="15" customHeight="1" x14ac:dyDescent="0.3">
      <c r="A398" s="210" t="s">
        <v>154</v>
      </c>
      <c r="B398" s="208">
        <f>IF(SETTLvelocity.M*SUSP.w3M/(FRACs.sdM*RHOsolid)&gt;NETsedrate.wM,SETTLvelocity.M*SUSP.w3M/(FRACs.sdM*RHOsolid),NETsedrate.wM)</f>
        <v>2.893518518518519E-10</v>
      </c>
      <c r="C398" s="211" t="s">
        <v>2072</v>
      </c>
    </row>
    <row r="399" spans="1:3" ht="15" customHeight="1" x14ac:dyDescent="0.3">
      <c r="A399" s="210" t="s">
        <v>157</v>
      </c>
      <c r="B399" s="208">
        <f>IF(SETTLvelocity.T*SUSP.w3T/(FRACs.sdT*RHOsolid)&gt;NETsedrate.wT,SETTLvelocity.T*SUSP.w3T/(FRACs.sdT*RHOsolid),NETsedrate.wT)</f>
        <v>2.893518518518519E-10</v>
      </c>
      <c r="C399" s="211" t="s">
        <v>2072</v>
      </c>
    </row>
    <row r="400" spans="1:3" ht="15" customHeight="1" x14ac:dyDescent="0.3">
      <c r="A400" s="207" t="s">
        <v>970</v>
      </c>
      <c r="B400" s="213">
        <v>10000</v>
      </c>
      <c r="C400" s="209" t="s">
        <v>2116</v>
      </c>
    </row>
    <row r="401" spans="1:3" ht="15" customHeight="1" x14ac:dyDescent="0.3">
      <c r="A401" s="207" t="s">
        <v>697</v>
      </c>
      <c r="B401" s="213">
        <f>(-3.82*LN(IF(Tm&gt;298,Pvap25*EXP(-6.79*(1-Tm/298)),Pvap25))+70)*1000</f>
        <v>46834.690152986368</v>
      </c>
      <c r="C401" s="209" t="s">
        <v>2116</v>
      </c>
    </row>
    <row r="402" spans="1:3" ht="15" customHeight="1" x14ac:dyDescent="0.3">
      <c r="A402" s="210" t="s">
        <v>20</v>
      </c>
      <c r="B402" s="208">
        <v>1000</v>
      </c>
      <c r="C402" s="209" t="s">
        <v>719</v>
      </c>
    </row>
    <row r="403" spans="1:3" ht="15" customHeight="1" x14ac:dyDescent="0.3">
      <c r="A403" s="210" t="s">
        <v>111</v>
      </c>
      <c r="B403" s="208">
        <v>1000</v>
      </c>
      <c r="C403" s="206" t="s">
        <v>719</v>
      </c>
    </row>
    <row r="404" spans="1:3" ht="15" customHeight="1" x14ac:dyDescent="0.3">
      <c r="A404" s="210" t="s">
        <v>1189</v>
      </c>
      <c r="B404" s="208">
        <v>1000</v>
      </c>
      <c r="C404" s="209" t="s">
        <v>719</v>
      </c>
    </row>
    <row r="405" spans="1:3" ht="15" customHeight="1" x14ac:dyDescent="0.3">
      <c r="A405" s="210" t="s">
        <v>1195</v>
      </c>
      <c r="B405" s="208">
        <v>1000</v>
      </c>
      <c r="C405" s="209" t="s">
        <v>719</v>
      </c>
    </row>
    <row r="406" spans="1:3" ht="15" customHeight="1" x14ac:dyDescent="0.3">
      <c r="A406" s="210" t="s">
        <v>1412</v>
      </c>
      <c r="B406" s="213">
        <v>1000</v>
      </c>
      <c r="C406" s="209" t="s">
        <v>719</v>
      </c>
    </row>
    <row r="407" spans="1:3" ht="15" customHeight="1" x14ac:dyDescent="0.3">
      <c r="A407" s="207" t="s">
        <v>1365</v>
      </c>
      <c r="B407" s="208">
        <f>kesc.aA+FRgas.aA*kdeg.air*(C.OHrad.aA/C.OHrad)*Tempfactor.aA</f>
        <v>1.8095248623443467E-7</v>
      </c>
      <c r="C407" s="209" t="s">
        <v>2081</v>
      </c>
    </row>
    <row r="408" spans="1:3" ht="15" customHeight="1" x14ac:dyDescent="0.3">
      <c r="A408" s="209" t="s">
        <v>1258</v>
      </c>
      <c r="B408" s="208">
        <f>1/TAU.aA</f>
        <v>6.9234185224561193E-7</v>
      </c>
      <c r="C408" s="209" t="s">
        <v>2081</v>
      </c>
    </row>
    <row r="409" spans="1:3" ht="15" customHeight="1" x14ac:dyDescent="0.3">
      <c r="A409" s="209" t="s">
        <v>847</v>
      </c>
      <c r="B409" s="208" t="e">
        <f>(DEPflow.aA.sA+GASABSflow.aA.sA)/VOLUME.aA</f>
        <v>#NAME?</v>
      </c>
      <c r="C409" s="209" t="s">
        <v>2081</v>
      </c>
    </row>
    <row r="410" spans="1:3" ht="15" customHeight="1" x14ac:dyDescent="0.3">
      <c r="A410" s="209" t="s">
        <v>1259</v>
      </c>
      <c r="B410" s="208" t="e">
        <f>(DEPflow.aA.w2A+GASABSflow.aA.w2A)/VOLUME.aA</f>
        <v>#NAME?</v>
      </c>
      <c r="C410" s="209" t="s">
        <v>2081</v>
      </c>
    </row>
    <row r="411" spans="1:3" ht="15" customHeight="1" x14ac:dyDescent="0.3">
      <c r="A411" s="207" t="s">
        <v>830</v>
      </c>
      <c r="B411" s="208">
        <f>kesc.aC+FRgas.aC*kdeg.air*(C.OHrad.aC/C.OHrad)*Tempfactor.aC</f>
        <v>2.1630471517752678E-7</v>
      </c>
      <c r="C411" s="209" t="s">
        <v>2081</v>
      </c>
    </row>
    <row r="412" spans="1:3" ht="15" customHeight="1" x14ac:dyDescent="0.3">
      <c r="A412" s="209" t="s">
        <v>259</v>
      </c>
      <c r="B412" s="208" t="e">
        <f>1/TAU.aC-AIRflow.aC.aR /VOLUME.aC</f>
        <v>#NAME?</v>
      </c>
      <c r="C412" s="209" t="s">
        <v>2081</v>
      </c>
    </row>
    <row r="413" spans="1:3" ht="15" customHeight="1" x14ac:dyDescent="0.3">
      <c r="A413" s="209" t="s">
        <v>260</v>
      </c>
      <c r="B413" s="208" t="e">
        <f>AIRflow.aR.aC/VOLUME.aC</f>
        <v>#NAME?</v>
      </c>
      <c r="C413" s="209" t="s">
        <v>2081</v>
      </c>
    </row>
    <row r="414" spans="1:3" ht="15" customHeight="1" x14ac:dyDescent="0.3">
      <c r="A414" s="209" t="s">
        <v>266</v>
      </c>
      <c r="B414" s="208" t="e">
        <f>(DEPflow.aC.s1C+GASABSflow.aC.s1C)/VOLUME.aC</f>
        <v>#NAME?</v>
      </c>
      <c r="C414" s="209" t="s">
        <v>2081</v>
      </c>
    </row>
    <row r="415" spans="1:3" ht="15" customHeight="1" x14ac:dyDescent="0.3">
      <c r="A415" s="209" t="s">
        <v>816</v>
      </c>
      <c r="B415" s="208" t="e">
        <f>(DEPflow.aC.s2C+GASABSflow.aC.s2C)/VOLUME.aC</f>
        <v>#NAME?</v>
      </c>
      <c r="C415" s="209" t="s">
        <v>2081</v>
      </c>
    </row>
    <row r="416" spans="1:3" ht="15" customHeight="1" x14ac:dyDescent="0.3">
      <c r="A416" s="209" t="s">
        <v>817</v>
      </c>
      <c r="B416" s="208" t="e">
        <f>(DEPflow.aC.s3C+GASABSflow.aC.s3C)/VOLUME.aC</f>
        <v>#NAME?</v>
      </c>
      <c r="C416" s="209" t="s">
        <v>2081</v>
      </c>
    </row>
    <row r="417" spans="1:3" ht="15" customHeight="1" x14ac:dyDescent="0.3">
      <c r="A417" s="209" t="s">
        <v>348</v>
      </c>
      <c r="B417" s="208" t="e">
        <f>(DEPflow.aC.w0C+GASABSflow.aC.w0C)/VOLUME.aC</f>
        <v>#NAME?</v>
      </c>
      <c r="C417" s="209" t="s">
        <v>2081</v>
      </c>
    </row>
    <row r="418" spans="1:3" ht="15" customHeight="1" x14ac:dyDescent="0.3">
      <c r="A418" s="209" t="s">
        <v>264</v>
      </c>
      <c r="B418" s="208" t="e">
        <f>(DEPflow.aC.w1C+GASABSflow.aC.w1C)/VOLUME.aC</f>
        <v>#NAME?</v>
      </c>
      <c r="C418" s="209" t="s">
        <v>2081</v>
      </c>
    </row>
    <row r="419" spans="1:3" ht="15" customHeight="1" x14ac:dyDescent="0.3">
      <c r="A419" s="209" t="s">
        <v>265</v>
      </c>
      <c r="B419" s="208" t="e">
        <f>(DEPflow.aC.w2C+GASABSflow.aC.w2C)/VOLUME.aC</f>
        <v>#NAME?</v>
      </c>
      <c r="C419" s="209" t="s">
        <v>2081</v>
      </c>
    </row>
    <row r="420" spans="1:3" ht="15" customHeight="1" x14ac:dyDescent="0.3">
      <c r="A420" s="207" t="s">
        <v>843</v>
      </c>
      <c r="B420" s="208">
        <f>kesc.aM+FRgas.aM*kdeg.air*(C.OHrad.aM/C.OHrad)*Tempfactor.aM</f>
        <v>2.1630471517752678E-7</v>
      </c>
      <c r="C420" s="209" t="s">
        <v>2081</v>
      </c>
    </row>
    <row r="421" spans="1:3" ht="15" customHeight="1" x14ac:dyDescent="0.3">
      <c r="A421" s="209" t="s">
        <v>839</v>
      </c>
      <c r="B421" s="208" t="e">
        <f>AIRflow.aA.aM/VOLUME.aM</f>
        <v>#NAME?</v>
      </c>
      <c r="C421" s="209" t="s">
        <v>2081</v>
      </c>
    </row>
    <row r="422" spans="1:3" ht="15" customHeight="1" x14ac:dyDescent="0.3">
      <c r="A422" s="209" t="s">
        <v>838</v>
      </c>
      <c r="B422" s="208" t="e">
        <f>AIRflow.aC.aM/VOLUME.aM</f>
        <v>#NAME?</v>
      </c>
      <c r="C422" s="209" t="s">
        <v>2081</v>
      </c>
    </row>
    <row r="423" spans="1:3" ht="15" customHeight="1" x14ac:dyDescent="0.3">
      <c r="A423" s="209" t="s">
        <v>840</v>
      </c>
      <c r="B423" s="208" t="e">
        <f>AIRflow.aT.aM/VOLUME.aM</f>
        <v>#NAME?</v>
      </c>
      <c r="C423" s="209" t="s">
        <v>2081</v>
      </c>
    </row>
    <row r="424" spans="1:3" ht="15" customHeight="1" x14ac:dyDescent="0.3">
      <c r="A424" s="209" t="s">
        <v>841</v>
      </c>
      <c r="B424" s="208" t="e">
        <f>(DEPflow.aM.sM+GASABSflow.aM.sM)/VOLUME.aM</f>
        <v>#NAME?</v>
      </c>
      <c r="C424" s="209" t="s">
        <v>2081</v>
      </c>
    </row>
    <row r="425" spans="1:3" ht="15" customHeight="1" x14ac:dyDescent="0.3">
      <c r="A425" s="209" t="s">
        <v>1251</v>
      </c>
      <c r="B425" s="208" t="e">
        <f>(DEPflow.aM.w2M+GASABSflow.aM.w2M)/VOLUME.aM</f>
        <v>#NAME?</v>
      </c>
      <c r="C425" s="209" t="s">
        <v>2081</v>
      </c>
    </row>
    <row r="426" spans="1:3" ht="15" customHeight="1" x14ac:dyDescent="0.3">
      <c r="A426" s="207" t="s">
        <v>247</v>
      </c>
      <c r="B426" s="208">
        <f>kesc.aR+FRgas.aR*kdeg.air*(C.OHrad.aR/C.OHrad)*Tempfactor.aR</f>
        <v>2.1630471517752678E-7</v>
      </c>
      <c r="C426" s="209" t="s">
        <v>2081</v>
      </c>
    </row>
    <row r="427" spans="1:3" ht="15" customHeight="1" x14ac:dyDescent="0.3">
      <c r="A427" s="209" t="s">
        <v>227</v>
      </c>
      <c r="B427" s="208">
        <f>1/TAU.aR</f>
        <v>9.4201427396491372E-6</v>
      </c>
      <c r="C427" s="209" t="s">
        <v>2081</v>
      </c>
    </row>
    <row r="428" spans="1:3" ht="15" customHeight="1" x14ac:dyDescent="0.3">
      <c r="A428" s="209" t="s">
        <v>232</v>
      </c>
      <c r="B428" s="217" t="e">
        <f>(DEPflow.aR.s1R+GASABSflow.aR.s1R)/VOLUME.aR</f>
        <v>#NAME?</v>
      </c>
      <c r="C428" s="209" t="s">
        <v>2081</v>
      </c>
    </row>
    <row r="429" spans="1:3" ht="15" customHeight="1" x14ac:dyDescent="0.3">
      <c r="A429" s="209" t="s">
        <v>233</v>
      </c>
      <c r="B429" s="217" t="e">
        <f>(DEPflow.aR.s2R+GASABSflow.aR.s2R)/VOLUME.aR</f>
        <v>#NAME?</v>
      </c>
      <c r="C429" s="209" t="s">
        <v>2081</v>
      </c>
    </row>
    <row r="430" spans="1:3" ht="15" customHeight="1" x14ac:dyDescent="0.3">
      <c r="A430" s="209" t="s">
        <v>234</v>
      </c>
      <c r="B430" s="217" t="e">
        <f>(DEPflow.aR.s3R+GASABSflow.aR.s3R)/VOLUME.aR</f>
        <v>#NAME?</v>
      </c>
      <c r="C430" s="209" t="s">
        <v>2081</v>
      </c>
    </row>
    <row r="431" spans="1:3" ht="15" customHeight="1" x14ac:dyDescent="0.3">
      <c r="A431" s="209" t="s">
        <v>299</v>
      </c>
      <c r="B431" s="217" t="e">
        <f>(DEPflow.aR.w0R+GASABSflow.aR.w0R)/VOLUME.aR</f>
        <v>#NAME?</v>
      </c>
      <c r="C431" s="209" t="s">
        <v>2081</v>
      </c>
    </row>
    <row r="432" spans="1:3" ht="15" customHeight="1" x14ac:dyDescent="0.3">
      <c r="A432" s="209" t="s">
        <v>230</v>
      </c>
      <c r="B432" s="217" t="e">
        <f>(DEPflow.aR.w1R+GASABSflow.aR.w1R)/VOLUME.aR</f>
        <v>#NAME?</v>
      </c>
      <c r="C432" s="209" t="s">
        <v>2081</v>
      </c>
    </row>
    <row r="433" spans="1:3" ht="15" customHeight="1" x14ac:dyDescent="0.3">
      <c r="A433" s="209" t="s">
        <v>231</v>
      </c>
      <c r="B433" s="217" t="e">
        <f>(DEPflow.aR.w2R+GASABSflow.aR.w2R)/VOLUME.aR</f>
        <v>#NAME?</v>
      </c>
      <c r="C433" s="209" t="s">
        <v>2081</v>
      </c>
    </row>
    <row r="434" spans="1:3" ht="15" customHeight="1" x14ac:dyDescent="0.3">
      <c r="A434" s="207" t="s">
        <v>1369</v>
      </c>
      <c r="B434" s="217">
        <f>kesc.aT+FRgas.aT*kdeg.air*(C.OHrad.aT/C.OHrad)*Tempfactor.aT</f>
        <v>2.4036631743353455E-7</v>
      </c>
      <c r="C434" s="209" t="s">
        <v>2081</v>
      </c>
    </row>
    <row r="435" spans="1:3" ht="15" customHeight="1" x14ac:dyDescent="0.3">
      <c r="A435" s="209" t="s">
        <v>846</v>
      </c>
      <c r="B435" s="208">
        <f>1/TAU.aT</f>
        <v>3.9972375476524815E-7</v>
      </c>
      <c r="C435" s="209" t="s">
        <v>2081</v>
      </c>
    </row>
    <row r="436" spans="1:3" ht="15" customHeight="1" x14ac:dyDescent="0.3">
      <c r="A436" s="209" t="s">
        <v>1367</v>
      </c>
      <c r="B436" s="208" t="e">
        <f>(DEPflow.aT.sT+GASABSflow.aT.sT)/VOLUME.aT</f>
        <v>#NAME?</v>
      </c>
      <c r="C436" s="209" t="s">
        <v>2081</v>
      </c>
    </row>
    <row r="437" spans="1:3" ht="15" customHeight="1" x14ac:dyDescent="0.3">
      <c r="A437" s="209" t="s">
        <v>1264</v>
      </c>
      <c r="B437" s="208" t="e">
        <f>(DEPflow.aT.w2T+GASABSflow.aT.w2T)/VOLUME.aT</f>
        <v>#NAME?</v>
      </c>
      <c r="C437" s="209" t="s">
        <v>2081</v>
      </c>
    </row>
    <row r="438" spans="1:3" ht="15" customHeight="1" x14ac:dyDescent="0.3">
      <c r="A438" s="207" t="s">
        <v>835</v>
      </c>
      <c r="B438" s="208">
        <f>Tempfactor.wsdsC*kdeg.soil+FRACinf.s1C*RAINrate.C/Ks1w.C*CORRleach.s1C*SYSTEMAREA.C*AREAFRAC.s1C/VOLUME.s1C</f>
        <v>4.3496280239573685E-8</v>
      </c>
      <c r="C438" s="209" t="s">
        <v>2081</v>
      </c>
    </row>
    <row r="439" spans="1:3" ht="15" customHeight="1" x14ac:dyDescent="0.3">
      <c r="A439" s="209" t="s">
        <v>820</v>
      </c>
      <c r="B439" s="208" t="e">
        <f>VOLATflow.s1C.aC/VOLUME.s1C</f>
        <v>#NAME?</v>
      </c>
      <c r="C439" s="209" t="s">
        <v>2081</v>
      </c>
    </row>
    <row r="440" spans="1:3" ht="15" customHeight="1" x14ac:dyDescent="0.3">
      <c r="A440" s="207" t="s">
        <v>827</v>
      </c>
      <c r="B440" s="208">
        <f>(RAINrate.C*FRACrun.s1C/Ks1w.C+EROSION.s1C)*CORRrunoff.s1C * (SYSTEMAREA.C*AREAFRAC.s1C/VOLUME.s1C)</f>
        <v>6.0760255858239937E-9</v>
      </c>
      <c r="C440" s="209" t="s">
        <v>2081</v>
      </c>
    </row>
    <row r="441" spans="1:3" ht="15" customHeight="1" x14ac:dyDescent="0.3">
      <c r="A441" s="207" t="s">
        <v>250</v>
      </c>
      <c r="B441" s="208">
        <f>Tempfactor.wsdsR*kdeg.soil+FRACinf.s1R*RAINrate.R/Ks1w.R*CORRleach.s1R*SYSTEMAREA.R*AREAFRAC.s1R/VOLUME.s1R</f>
        <v>4.3496280239573685E-8</v>
      </c>
      <c r="C441" s="209" t="s">
        <v>2081</v>
      </c>
    </row>
    <row r="442" spans="1:3" ht="15" customHeight="1" x14ac:dyDescent="0.3">
      <c r="A442" s="209" t="s">
        <v>237</v>
      </c>
      <c r="B442" s="208" t="e">
        <f>VOLATflow.s1R.aR/VOLUME.s1R</f>
        <v>#NAME?</v>
      </c>
      <c r="C442" s="209" t="s">
        <v>2081</v>
      </c>
    </row>
    <row r="443" spans="1:3" ht="15" customHeight="1" x14ac:dyDescent="0.3">
      <c r="A443" s="207" t="s">
        <v>244</v>
      </c>
      <c r="B443" s="208">
        <f>(RAINrate.R*FRACrun.s1R/Ks1w.R+EROSION.s1R)*CORRrunoff.s1R * (SYSTEMAREA.R*AREAFRAC.s1R/VOLUME.s1R)</f>
        <v>6.0760255858239937E-9</v>
      </c>
      <c r="C443" s="209" t="s">
        <v>2081</v>
      </c>
    </row>
    <row r="444" spans="1:3" ht="15" customHeight="1" x14ac:dyDescent="0.3">
      <c r="A444" s="207" t="s">
        <v>836</v>
      </c>
      <c r="B444" s="208">
        <f>Tempfactor.wsdsC*kdeg.soil+FRACinf.s2C*RAINrate.C/Ks2w.C*CORRleach.s2C*SYSTEMAREA.C*AREAFRAC.s2C/VOLUME.s2C</f>
        <v>4.3474058967261533E-8</v>
      </c>
      <c r="C444" s="209" t="s">
        <v>2081</v>
      </c>
    </row>
    <row r="445" spans="1:3" ht="15" customHeight="1" x14ac:dyDescent="0.3">
      <c r="A445" s="209" t="s">
        <v>821</v>
      </c>
      <c r="B445" s="208" t="e">
        <f>VOLATflow.s2C.aC/VOLUME.s2C</f>
        <v>#NAME?</v>
      </c>
      <c r="C445" s="209" t="s">
        <v>2081</v>
      </c>
    </row>
    <row r="446" spans="1:3" ht="15" customHeight="1" x14ac:dyDescent="0.3">
      <c r="A446" s="207" t="s">
        <v>828</v>
      </c>
      <c r="B446" s="208">
        <f>(RAINrate.C*FRACrun.s2C/Ks2w.C+EROSION.s2C)*CORRrunoff.s2C * (SYSTEMAREA.C*AREAFRAC.s2C/VOLUME.s2C)</f>
        <v>2.7649211682561834E-9</v>
      </c>
      <c r="C446" s="209" t="s">
        <v>2081</v>
      </c>
    </row>
    <row r="447" spans="1:3" ht="15" customHeight="1" x14ac:dyDescent="0.3">
      <c r="A447" s="207" t="s">
        <v>251</v>
      </c>
      <c r="B447" s="208">
        <f>Tempfactor.wsdsR*kdeg.soil+FRACinf.s2R*RAINrate.R/Ks2w.R*CORRleach.s2R*SYSTEMAREA.R*AREAFRAC.s2R/VOLUME.s2R</f>
        <v>4.3474058967261533E-8</v>
      </c>
      <c r="C447" s="209" t="s">
        <v>2081</v>
      </c>
    </row>
    <row r="448" spans="1:3" ht="15" customHeight="1" x14ac:dyDescent="0.3">
      <c r="A448" s="209" t="s">
        <v>238</v>
      </c>
      <c r="B448" s="208" t="e">
        <f>VOLATflow.s2R.aR/VOLUME.s2R</f>
        <v>#NAME?</v>
      </c>
      <c r="C448" s="209" t="s">
        <v>2081</v>
      </c>
    </row>
    <row r="449" spans="1:3" ht="15" customHeight="1" x14ac:dyDescent="0.3">
      <c r="A449" s="207" t="s">
        <v>245</v>
      </c>
      <c r="B449" s="208">
        <f>(RAINrate.R*FRACrun.s2R/Ks2w.R+EROSION.s2R)*CORRrunoff.s2R * (SYSTEMAREA.R*AREAFRAC.s2R/VOLUME.s2R)</f>
        <v>2.764921168256183E-9</v>
      </c>
      <c r="C449" s="209" t="s">
        <v>2081</v>
      </c>
    </row>
    <row r="450" spans="1:3" ht="15" customHeight="1" x14ac:dyDescent="0.3">
      <c r="A450" s="207" t="s">
        <v>837</v>
      </c>
      <c r="B450" s="208">
        <f>Tempfactor.wsdsC*kdeg.soil+FRACinf.s3C*RAINrate.C/Ks3w.C*CORRleach.s3C*SYSTEMAREA.C*AREAFRAC.s3C/VOLUME.s3C</f>
        <v>4.3496280239573685E-8</v>
      </c>
      <c r="C450" s="209" t="s">
        <v>2081</v>
      </c>
    </row>
    <row r="451" spans="1:3" ht="15" customHeight="1" x14ac:dyDescent="0.3">
      <c r="A451" s="209" t="s">
        <v>822</v>
      </c>
      <c r="B451" s="208" t="e">
        <f>VOLATflow.s3C.aC/VOLUME.s3C</f>
        <v>#NAME?</v>
      </c>
      <c r="C451" s="209" t="s">
        <v>2081</v>
      </c>
    </row>
    <row r="452" spans="1:3" ht="15" customHeight="1" x14ac:dyDescent="0.3">
      <c r="A452" s="207" t="s">
        <v>829</v>
      </c>
      <c r="B452" s="208">
        <f>(RAINrate.C*FRACrun.s3C/Ks3w.C+EROSION.s3C)*CORRrunoff.s3C * (SYSTEMAREA.C*AREAFRAC.s3C/VOLUME.s3C)</f>
        <v>6.0760255858239937E-9</v>
      </c>
      <c r="C452" s="209" t="s">
        <v>2081</v>
      </c>
    </row>
    <row r="453" spans="1:3" ht="15" customHeight="1" x14ac:dyDescent="0.3">
      <c r="A453" s="207" t="s">
        <v>252</v>
      </c>
      <c r="B453" s="208">
        <f>Tempfactor.wsdsR*kdeg.soil+FRACinf.s3R*RAINrate.R/Ks3w.R*CORRleach.s3R*SYSTEMAREA.R*AREAFRAC.s3R/VOLUME.s3R</f>
        <v>4.3496280239573685E-8</v>
      </c>
      <c r="C453" s="209" t="s">
        <v>2081</v>
      </c>
    </row>
    <row r="454" spans="1:3" ht="15" customHeight="1" x14ac:dyDescent="0.3">
      <c r="A454" s="209" t="s">
        <v>239</v>
      </c>
      <c r="B454" s="208" t="e">
        <f>VOLATflow.s3R.aR/VOLUME.s3R</f>
        <v>#NAME?</v>
      </c>
      <c r="C454" s="209" t="s">
        <v>2081</v>
      </c>
    </row>
    <row r="455" spans="1:3" ht="15" customHeight="1" x14ac:dyDescent="0.3">
      <c r="A455" s="207" t="s">
        <v>246</v>
      </c>
      <c r="B455" s="208">
        <f>(RAINrate.R*FRACrun.s3R/Ks3w.R+EROSION.s3R)*CORRrunoff.s3R * (SYSTEMAREA.R*AREAFRAC.s3R/VOLUME.s3R)</f>
        <v>6.0760255858239937E-9</v>
      </c>
      <c r="C455" s="209" t="s">
        <v>2081</v>
      </c>
    </row>
    <row r="456" spans="1:3" ht="15" customHeight="1" x14ac:dyDescent="0.3">
      <c r="A456" s="207" t="s">
        <v>1366</v>
      </c>
      <c r="B456" s="208">
        <f>Tempfactor.wsdsA*kdeg.soil+FRACinf.sA*RAINrate.A/Kslw.A*CORRleach.sA*SYSTEMAREA.A*AREAFRAC.sA/VOLUME.sA</f>
        <v>9.4721243442819017E-9</v>
      </c>
      <c r="C456" s="209" t="s">
        <v>2081</v>
      </c>
    </row>
    <row r="457" spans="1:3" ht="15" customHeight="1" x14ac:dyDescent="0.3">
      <c r="A457" s="209" t="s">
        <v>848</v>
      </c>
      <c r="B457" s="208" t="e">
        <f>VOLATflow.sA.aA/VOLUME.sA</f>
        <v>#NAME?</v>
      </c>
      <c r="C457" s="209" t="s">
        <v>2081</v>
      </c>
    </row>
    <row r="458" spans="1:3" ht="15" customHeight="1" x14ac:dyDescent="0.3">
      <c r="A458" s="207" t="s">
        <v>1261</v>
      </c>
      <c r="B458" s="208">
        <f>(RAINrate.A*FRACrun.sA/Kslw.A+EROSION.sA)*CORRrunoff.sA * (SYSTEMAREA.A*AREAFRAC.sA/VOLUME.sA)</f>
        <v>2.1867268711244378E-9</v>
      </c>
      <c r="C458" s="209" t="s">
        <v>2081</v>
      </c>
    </row>
    <row r="459" spans="1:3" ht="15" customHeight="1" x14ac:dyDescent="0.3">
      <c r="A459" s="207" t="s">
        <v>833</v>
      </c>
      <c r="B459" s="208">
        <f>Tempfactor.wsdsC*kdeg.sed+NETsedrate.w1C*SYSTEMAREA.C*AREAFRAC.w1C/VOLUME.sd1C</f>
        <v>1.2540031911792762E-8</v>
      </c>
      <c r="C459" s="209" t="s">
        <v>2081</v>
      </c>
    </row>
    <row r="460" spans="1:3" ht="15" customHeight="1" x14ac:dyDescent="0.3">
      <c r="A460" s="207" t="s">
        <v>825</v>
      </c>
      <c r="B460" s="208" t="e">
        <f>(RESUSPflow.sd1C.w1C+DESORBflow.sd1C.w1C)/VOLUME.sd1C</f>
        <v>#NAME?</v>
      </c>
      <c r="C460" s="209" t="s">
        <v>2081</v>
      </c>
    </row>
    <row r="461" spans="1:3" ht="15" customHeight="1" x14ac:dyDescent="0.3">
      <c r="A461" s="207" t="s">
        <v>249</v>
      </c>
      <c r="B461" s="208">
        <f>Tempfactor.wsdsR*kdeg.sed+NETsedrate.w1R*(SYSTEMAREA.R*AREAFRAC.w1R/VOLUME.sd1R)</f>
        <v>1.2561171773023443E-8</v>
      </c>
      <c r="C461" s="209" t="s">
        <v>2081</v>
      </c>
    </row>
    <row r="462" spans="1:3" ht="15" customHeight="1" x14ac:dyDescent="0.3">
      <c r="A462" s="207" t="s">
        <v>241</v>
      </c>
      <c r="B462" s="208" t="e">
        <f>(RESUSPflow.sd1R.w1R+DESORBflow.sd1R.w1R)/VOLUME.sd1R</f>
        <v>#NAME?</v>
      </c>
      <c r="C462" s="209" t="s">
        <v>2081</v>
      </c>
    </row>
    <row r="463" spans="1:3" ht="15" customHeight="1" x14ac:dyDescent="0.3">
      <c r="A463" s="207" t="s">
        <v>834</v>
      </c>
      <c r="B463" s="208">
        <f>Tempfactor.wsdsC*kdeg.sed+NETsedrate.w2C*SYSTEMAREA.C*AREAFRAC.w2C/VOLUME.sd2C</f>
        <v>9.6658035166392035E-9</v>
      </c>
      <c r="C463" s="209" t="s">
        <v>2081</v>
      </c>
    </row>
    <row r="464" spans="1:3" ht="15" customHeight="1" x14ac:dyDescent="0.3">
      <c r="A464" s="207" t="s">
        <v>826</v>
      </c>
      <c r="B464" s="208" t="e">
        <f>(RESUSPflow.sd2C.w2C+DESORBflow.sd2C.w2C)/VOLUME.sd2C</f>
        <v>#NAME?</v>
      </c>
      <c r="C464" s="209" t="s">
        <v>2081</v>
      </c>
    </row>
    <row r="465" spans="1:3" ht="15" customHeight="1" x14ac:dyDescent="0.3">
      <c r="A465" s="207" t="s">
        <v>258</v>
      </c>
      <c r="B465" s="208">
        <f>Tempfactor.wsdsR*kdeg.sed+NETsedrate.w2R*(SYSTEMAREA.R*AREAFRAC.w2R/VOLUME.sd2R)</f>
        <v>1.0580096758225707E-8</v>
      </c>
      <c r="C465" s="209" t="s">
        <v>2081</v>
      </c>
    </row>
    <row r="466" spans="1:3" ht="15" customHeight="1" x14ac:dyDescent="0.3">
      <c r="A466" s="207" t="s">
        <v>243</v>
      </c>
      <c r="B466" s="208" t="e">
        <f>(RESUSPflow.sd2R.w2R+DESORBflow.sd2R.w2R)/VOLUME.sd2R</f>
        <v>#NAME?</v>
      </c>
      <c r="C466" s="209" t="s">
        <v>2081</v>
      </c>
    </row>
    <row r="467" spans="1:3" ht="15" customHeight="1" x14ac:dyDescent="0.3">
      <c r="A467" s="207" t="s">
        <v>1262</v>
      </c>
      <c r="B467" s="208">
        <f>Tempfactor.wsdsA*kdeg.sed+NETsedrate.wA*SYSTEMAREA.A*AREAFRAC.wA/VOLUME.sdA</f>
        <v>2.10575666016223E-9</v>
      </c>
      <c r="C467" s="209" t="s">
        <v>2081</v>
      </c>
    </row>
    <row r="468" spans="1:3" ht="15" customHeight="1" x14ac:dyDescent="0.3">
      <c r="A468" s="207" t="s">
        <v>1165</v>
      </c>
      <c r="B468" s="208" t="e">
        <f>(RESUSPflow.sdA.w3A+DESORBflow.sdA.w3A)/VOLUME.sdA</f>
        <v>#NAME?</v>
      </c>
      <c r="C468" s="209" t="s">
        <v>2081</v>
      </c>
    </row>
    <row r="469" spans="1:3" ht="15" customHeight="1" x14ac:dyDescent="0.3">
      <c r="A469" s="207" t="s">
        <v>1255</v>
      </c>
      <c r="B469" s="208">
        <f>Tempfactor.wsdsM*kdeg.sed+NETsedrate.wM*SYSTEMAREA.M*AREAFRAC.wM/VOLUME.sdM</f>
        <v>9.6687874509538597E-9</v>
      </c>
      <c r="C469" s="209" t="s">
        <v>2081</v>
      </c>
    </row>
    <row r="470" spans="1:3" ht="15" customHeight="1" x14ac:dyDescent="0.3">
      <c r="A470" s="207" t="s">
        <v>148</v>
      </c>
      <c r="B470" s="208" t="e">
        <f>(RESUSPflow.sdM.w3M+DESORBflow.sdM.w3M)/VOLUME.sdM</f>
        <v>#NAME?</v>
      </c>
      <c r="C470" s="209" t="s">
        <v>2081</v>
      </c>
    </row>
    <row r="471" spans="1:3" ht="15" customHeight="1" x14ac:dyDescent="0.3">
      <c r="A471" s="207" t="s">
        <v>1267</v>
      </c>
      <c r="B471" s="208">
        <f>Tempfactor.wsdsT*kdeg.sed+NETsedrate.wT*SYSTEMAREA.T*AREAFRAC.wT/VOLUME.sdT</f>
        <v>2.3802113986132251E-8</v>
      </c>
      <c r="C471" s="209" t="s">
        <v>2081</v>
      </c>
    </row>
    <row r="472" spans="1:3" ht="15" customHeight="1" x14ac:dyDescent="0.3">
      <c r="A472" s="207" t="s">
        <v>1136</v>
      </c>
      <c r="B472" s="208" t="e">
        <f>(RESUSPflow.sdT.w3T+DESORBflow.sdT.w3T)/VOLUME.sdT</f>
        <v>#NAME?</v>
      </c>
      <c r="C472" s="209" t="s">
        <v>2081</v>
      </c>
    </row>
    <row r="473" spans="1:3" ht="15" customHeight="1" x14ac:dyDescent="0.3">
      <c r="A473" s="207" t="s">
        <v>845</v>
      </c>
      <c r="B473" s="208">
        <f>Tempfactor.wsdsM*kdeg.soil+FRACinf.sM*RAINrate.M/Kslw.M*CORRleach.sM*SYSTEMAREA.M*AREAFRAC.sM/VOLUME.sM</f>
        <v>4.3496280239573685E-8</v>
      </c>
      <c r="C473" s="209" t="s">
        <v>2081</v>
      </c>
    </row>
    <row r="474" spans="1:3" ht="15" customHeight="1" x14ac:dyDescent="0.3">
      <c r="A474" s="209" t="s">
        <v>842</v>
      </c>
      <c r="B474" s="208" t="e">
        <f>VOLATflow.sM.aM/VOLUME.sM</f>
        <v>#NAME?</v>
      </c>
      <c r="C474" s="209" t="s">
        <v>2081</v>
      </c>
    </row>
    <row r="475" spans="1:3" ht="15" customHeight="1" x14ac:dyDescent="0.3">
      <c r="A475" s="207" t="s">
        <v>1254</v>
      </c>
      <c r="B475" s="208">
        <f>(RAINrate.M*FRACrun.sM/Kslw.M+EROSION.sM)*CORRrunoff.sM * (SYSTEMAREA.M*AREAFRAC.sM/VOLUME.sM)</f>
        <v>6.0760255858239937E-9</v>
      </c>
      <c r="C475" s="209" t="s">
        <v>2081</v>
      </c>
    </row>
    <row r="476" spans="1:3" ht="15" customHeight="1" x14ac:dyDescent="0.3">
      <c r="A476" s="207" t="s">
        <v>1370</v>
      </c>
      <c r="B476" s="208">
        <f>Tempfactor.wsdsT*kdeg.soil+FRACinf.sT*RAINrate.T/Kslw.T*CORRleach.sT*SYSTEMAREA.T*AREAFRAC.sT/VOLUME.sT</f>
        <v>1.0707567717266271E-7</v>
      </c>
      <c r="C476" s="209" t="s">
        <v>2081</v>
      </c>
    </row>
    <row r="477" spans="1:3" ht="15" customHeight="1" x14ac:dyDescent="0.3">
      <c r="A477" s="209" t="s">
        <v>1368</v>
      </c>
      <c r="B477" s="208" t="e">
        <f>VOLATflow.sT.aT/VOLUME.sT</f>
        <v>#NAME?</v>
      </c>
      <c r="C477" s="209" t="s">
        <v>2081</v>
      </c>
    </row>
    <row r="478" spans="1:3" ht="15" customHeight="1" x14ac:dyDescent="0.3">
      <c r="A478" s="207" t="s">
        <v>1266</v>
      </c>
      <c r="B478" s="208">
        <f>(RAINrate.T*FRACrun.sT/Kslw.T+EROSION.sT)*CORRrunoff.sT * (SYSTEMAREA.T*AREAFRAC.sT/VOLUME.sT)</f>
        <v>1.1255665341427853E-8</v>
      </c>
      <c r="C478" s="209" t="s">
        <v>2081</v>
      </c>
    </row>
    <row r="479" spans="1:3" ht="15" customHeight="1" x14ac:dyDescent="0.3">
      <c r="A479" s="207" t="s">
        <v>353</v>
      </c>
      <c r="B479" s="208">
        <f>kdeg.water*Tempfactor.wsdsC*(BACT.w0C/BACT.test)*FRw.w0C</f>
        <v>8.6888547727987207E-8</v>
      </c>
      <c r="C479" s="209" t="s">
        <v>2081</v>
      </c>
    </row>
    <row r="480" spans="1:3" ht="15" customHeight="1" x14ac:dyDescent="0.3">
      <c r="A480" s="209" t="s">
        <v>349</v>
      </c>
      <c r="B480" s="208" t="e">
        <f>VOLATflow.w0C.aC/VOLUME.w0C</f>
        <v>#NAME?</v>
      </c>
      <c r="C480" s="209" t="s">
        <v>2081</v>
      </c>
    </row>
    <row r="481" spans="1:3" ht="15" customHeight="1" x14ac:dyDescent="0.3">
      <c r="A481" s="209" t="s">
        <v>330</v>
      </c>
      <c r="B481" s="208">
        <f>WATERflow.w0C.w1C/VOLUME.w0C</f>
        <v>2.3972602739726025E-9</v>
      </c>
      <c r="C481" s="209" t="s">
        <v>2081</v>
      </c>
    </row>
    <row r="482" spans="1:3" ht="15" customHeight="1" x14ac:dyDescent="0.3">
      <c r="A482" s="209" t="s">
        <v>331</v>
      </c>
      <c r="B482" s="208">
        <f>WATERflow.w0C.w2C/VOLUME.w0C</f>
        <v>0</v>
      </c>
      <c r="C482" s="209" t="s">
        <v>2081</v>
      </c>
    </row>
    <row r="483" spans="1:3" ht="15" customHeight="1" x14ac:dyDescent="0.3">
      <c r="A483" s="207" t="s">
        <v>305</v>
      </c>
      <c r="B483" s="208">
        <f>kdeg.water*Tempfactor.wsdsR*(BACT.w0R/BACT.test)*FRw.w0R</f>
        <v>8.6888547727987207E-8</v>
      </c>
      <c r="C483" s="209" t="s">
        <v>2081</v>
      </c>
    </row>
    <row r="484" spans="1:3" ht="15" customHeight="1" x14ac:dyDescent="0.3">
      <c r="A484" s="209" t="s">
        <v>300</v>
      </c>
      <c r="B484" s="208" t="e">
        <f>VOLATflow.w0R.aR/VOLUME.w0R</f>
        <v>#NAME?</v>
      </c>
      <c r="C484" s="209" t="s">
        <v>2081</v>
      </c>
    </row>
    <row r="485" spans="1:3" ht="15" customHeight="1" x14ac:dyDescent="0.3">
      <c r="A485" s="209" t="s">
        <v>288</v>
      </c>
      <c r="B485" s="208">
        <f>WATERflow.w0R.w1R/VOLUME.w0R</f>
        <v>2.3972602739726025E-9</v>
      </c>
      <c r="C485" s="209" t="s">
        <v>2081</v>
      </c>
    </row>
    <row r="486" spans="1:3" ht="15" customHeight="1" x14ac:dyDescent="0.3">
      <c r="A486" s="209" t="s">
        <v>290</v>
      </c>
      <c r="B486" s="208">
        <f>WATERflow.w0R.w2R/VOLUME.w0R</f>
        <v>0</v>
      </c>
      <c r="C486" s="209" t="s">
        <v>2081</v>
      </c>
    </row>
    <row r="487" spans="1:3" ht="15" customHeight="1" x14ac:dyDescent="0.3">
      <c r="A487" s="207" t="s">
        <v>831</v>
      </c>
      <c r="B487" s="208">
        <f>kdeg.water*Tempfactor.wsdsC*(BACT.w1C/BACT.test)*FRw.w1C</f>
        <v>8.6791727940822063E-8</v>
      </c>
      <c r="C487" s="209" t="s">
        <v>2081</v>
      </c>
    </row>
    <row r="488" spans="1:3" ht="15" customHeight="1" x14ac:dyDescent="0.3">
      <c r="A488" s="209" t="s">
        <v>818</v>
      </c>
      <c r="B488" s="208" t="e">
        <f>VOLATflow.w1C.aC/VOLUME.w1C</f>
        <v>#NAME?</v>
      </c>
      <c r="C488" s="209" t="s">
        <v>2081</v>
      </c>
    </row>
    <row r="489" spans="1:3" ht="15" customHeight="1" x14ac:dyDescent="0.3">
      <c r="A489" s="207" t="s">
        <v>823</v>
      </c>
      <c r="B489" s="208" t="e">
        <f>(SEDflow.w1C.sd1C+ADSORBflow.w1C.sd1C)/VOLUME.w1C</f>
        <v>#NAME?</v>
      </c>
      <c r="C489" s="209" t="s">
        <v>2081</v>
      </c>
    </row>
    <row r="490" spans="1:3" ht="15" customHeight="1" x14ac:dyDescent="0.3">
      <c r="A490" s="209" t="s">
        <v>332</v>
      </c>
      <c r="B490" s="208">
        <f>WATERflow.w1C.w0C/VOLUME.w1C</f>
        <v>0</v>
      </c>
      <c r="C490" s="209" t="s">
        <v>2081</v>
      </c>
    </row>
    <row r="491" spans="1:3" ht="15" customHeight="1" x14ac:dyDescent="0.3">
      <c r="A491" s="209" t="s">
        <v>261</v>
      </c>
      <c r="B491" s="208">
        <v>0</v>
      </c>
      <c r="C491" s="209" t="s">
        <v>2081</v>
      </c>
    </row>
    <row r="492" spans="1:3" ht="15" customHeight="1" x14ac:dyDescent="0.3">
      <c r="A492" s="209" t="s">
        <v>262</v>
      </c>
      <c r="B492" s="208">
        <f>WATERflow.w1C.w2C*(1-FRAC.w1C.w1R)/VOLUME.w1C</f>
        <v>7.26442507264425E-8</v>
      </c>
      <c r="C492" s="209" t="s">
        <v>2081</v>
      </c>
    </row>
    <row r="493" spans="1:3" ht="15" customHeight="1" x14ac:dyDescent="0.3">
      <c r="A493" s="207" t="s">
        <v>248</v>
      </c>
      <c r="B493" s="208">
        <f>kdeg.water*Tempfactor.wsdsR*(BACT.w1R/BACT.test)*FRw.w1R</f>
        <v>8.6791727940822063E-8</v>
      </c>
      <c r="C493" s="209" t="s">
        <v>2081</v>
      </c>
    </row>
    <row r="494" spans="1:3" ht="15" customHeight="1" x14ac:dyDescent="0.3">
      <c r="A494" s="209" t="s">
        <v>235</v>
      </c>
      <c r="B494" s="208" t="e">
        <f>VOLATflow.w1R.aR/VOLUME.w1R</f>
        <v>#NAME?</v>
      </c>
      <c r="C494" s="209" t="s">
        <v>2081</v>
      </c>
    </row>
    <row r="495" spans="1:3" ht="15" customHeight="1" x14ac:dyDescent="0.3">
      <c r="A495" s="207" t="s">
        <v>240</v>
      </c>
      <c r="B495" s="208" t="e">
        <f>(SEDflow.w1R.sd1R+ADSORBflow.w1R.sd1R)/VOLUME.w1R</f>
        <v>#NAME?</v>
      </c>
      <c r="C495" s="209" t="s">
        <v>2081</v>
      </c>
    </row>
    <row r="496" spans="1:3" ht="15" customHeight="1" x14ac:dyDescent="0.3">
      <c r="A496" s="209" t="s">
        <v>289</v>
      </c>
      <c r="B496" s="208">
        <f>WATERflow.w1R.w0R/VOLUME.w1R</f>
        <v>0</v>
      </c>
      <c r="C496" s="209" t="s">
        <v>2081</v>
      </c>
    </row>
    <row r="497" spans="1:3" ht="15" customHeight="1" x14ac:dyDescent="0.3">
      <c r="A497" s="209" t="s">
        <v>228</v>
      </c>
      <c r="B497" s="208">
        <f>WATERflow.w1R.w2R/VOLUME.w1R</f>
        <v>7.26442507264425E-8</v>
      </c>
      <c r="C497" s="209" t="s">
        <v>2081</v>
      </c>
    </row>
    <row r="498" spans="1:3" ht="15" customHeight="1" x14ac:dyDescent="0.3">
      <c r="A498" s="207" t="s">
        <v>1046</v>
      </c>
      <c r="B498" s="208">
        <f>kdeg.water*Tempfactor.wsdsA*(BACT.w2A/BACT.test)*FRw.w2A</f>
        <v>1.8903674041416619E-8</v>
      </c>
      <c r="C498" s="209" t="s">
        <v>2081</v>
      </c>
    </row>
    <row r="499" spans="1:3" ht="15" customHeight="1" x14ac:dyDescent="0.3">
      <c r="A499" s="209" t="s">
        <v>1260</v>
      </c>
      <c r="B499" s="208" t="e">
        <f>VOLATflow.w2A.aA/VOLUME.w2A</f>
        <v>#NAME?</v>
      </c>
      <c r="C499" s="209" t="s">
        <v>2081</v>
      </c>
    </row>
    <row r="500" spans="1:3" ht="15" customHeight="1" x14ac:dyDescent="0.3">
      <c r="A500" s="209" t="s">
        <v>1257</v>
      </c>
      <c r="B500" s="208">
        <f>WATERflow.w2A.w2M/VOLUME.w2A</f>
        <v>0</v>
      </c>
      <c r="C500" s="209" t="s">
        <v>2081</v>
      </c>
    </row>
    <row r="501" spans="1:3" ht="15" customHeight="1" x14ac:dyDescent="0.3">
      <c r="A501" s="209" t="s">
        <v>127</v>
      </c>
      <c r="B501" s="208">
        <f>(OceanCurrent+OceanMixing.A)/VOLUME.w2A</f>
        <v>2.6926123984947511E-7</v>
      </c>
      <c r="C501" s="209" t="s">
        <v>2081</v>
      </c>
    </row>
    <row r="502" spans="1:3" ht="15" customHeight="1" x14ac:dyDescent="0.3">
      <c r="A502" s="207" t="s">
        <v>832</v>
      </c>
      <c r="B502" s="208">
        <f>kdeg.water*Tempfactor.wsdsC*(BACT.w2C/BACT.test)*FRw.w2C</f>
        <v>8.6858477099101683E-8</v>
      </c>
      <c r="C502" s="209" t="s">
        <v>2081</v>
      </c>
    </row>
    <row r="503" spans="1:3" ht="15" customHeight="1" x14ac:dyDescent="0.3">
      <c r="A503" s="209" t="s">
        <v>819</v>
      </c>
      <c r="B503" s="208" t="e">
        <f>VOLATflow.w2C.aC/VOLUME.w2C</f>
        <v>#NAME?</v>
      </c>
      <c r="C503" s="209" t="s">
        <v>2081</v>
      </c>
    </row>
    <row r="504" spans="1:3" ht="15" customHeight="1" x14ac:dyDescent="0.3">
      <c r="A504" s="207" t="s">
        <v>824</v>
      </c>
      <c r="B504" s="208" t="e">
        <f>(SEDflow.w2C.sd2C+ADSORBflow.w2C.sd2C)/VOLUME.w2C</f>
        <v>#NAME?</v>
      </c>
      <c r="C504" s="209" t="s">
        <v>2081</v>
      </c>
    </row>
    <row r="505" spans="1:3" ht="15" customHeight="1" x14ac:dyDescent="0.3">
      <c r="A505" s="209" t="s">
        <v>1256</v>
      </c>
      <c r="B505" s="208">
        <f>WATERflow.w2C.w2M/VOLUME.w2C</f>
        <v>3.1691352252393321E-8</v>
      </c>
      <c r="C505" s="209" t="s">
        <v>2081</v>
      </c>
    </row>
    <row r="506" spans="1:3" ht="15" customHeight="1" x14ac:dyDescent="0.3">
      <c r="A506" s="209" t="s">
        <v>263</v>
      </c>
      <c r="B506" s="208">
        <f>WATERflow.w2C.w2R/VOLUME.w2C</f>
        <v>1.6595758234138329E-11</v>
      </c>
      <c r="C506" s="209" t="s">
        <v>2081</v>
      </c>
    </row>
    <row r="507" spans="1:3" ht="15" customHeight="1" x14ac:dyDescent="0.3">
      <c r="A507" s="207" t="s">
        <v>1045</v>
      </c>
      <c r="B507" s="208">
        <f>kdeg.water*Tempfactor.wsdsM*(BACT.w2M/BACT.test)*FRw.w2M</f>
        <v>8.6858477099101683E-8</v>
      </c>
      <c r="C507" s="209" t="s">
        <v>2081</v>
      </c>
    </row>
    <row r="508" spans="1:3" ht="15" customHeight="1" x14ac:dyDescent="0.3">
      <c r="A508" s="209" t="s">
        <v>1253</v>
      </c>
      <c r="B508" s="208" t="e">
        <f>VOLATflow.w2M.aM/VOLUME.w2M</f>
        <v>#NAME?</v>
      </c>
      <c r="C508" s="209" t="s">
        <v>2081</v>
      </c>
    </row>
    <row r="509" spans="1:3" ht="15" customHeight="1" x14ac:dyDescent="0.3">
      <c r="A509" s="209" t="s">
        <v>1271</v>
      </c>
      <c r="B509" s="208">
        <f>WATERflow.w2M.w2A/VOLUME.w2M</f>
        <v>3.8788952027246392E-8</v>
      </c>
      <c r="C509" s="209" t="s">
        <v>2081</v>
      </c>
    </row>
    <row r="510" spans="1:3" ht="15" customHeight="1" x14ac:dyDescent="0.3">
      <c r="A510" s="209" t="s">
        <v>1252</v>
      </c>
      <c r="B510" s="208">
        <f>WATERflow.w2M.w2C/VOLUME.w2M</f>
        <v>6.0880385458648856E-9</v>
      </c>
      <c r="C510" s="209" t="s">
        <v>2081</v>
      </c>
    </row>
    <row r="511" spans="1:3" ht="15" customHeight="1" x14ac:dyDescent="0.3">
      <c r="A511" s="209" t="s">
        <v>1272</v>
      </c>
      <c r="B511" s="208">
        <f>WATERflow.w2M.w2T/VOLUME.w2M</f>
        <v>0</v>
      </c>
      <c r="C511" s="209" t="s">
        <v>2081</v>
      </c>
    </row>
    <row r="512" spans="1:3" ht="15" customHeight="1" x14ac:dyDescent="0.3">
      <c r="A512" s="209" t="s">
        <v>1116</v>
      </c>
      <c r="B512" s="208">
        <f>(OceanCurrent+OceanMixing.M)/VOLUME.w2M</f>
        <v>2.4922666246495685E-7</v>
      </c>
      <c r="C512" s="209" t="s">
        <v>2081</v>
      </c>
    </row>
    <row r="513" spans="1:3" ht="15" customHeight="1" x14ac:dyDescent="0.3">
      <c r="A513" s="207" t="s">
        <v>255</v>
      </c>
      <c r="B513" s="208">
        <f>kdeg.water*Tempfactor.wsdsR*(BACT.w2R/BACT.test)*FRw.w2R</f>
        <v>8.6858477099101683E-8</v>
      </c>
      <c r="C513" s="209" t="s">
        <v>2081</v>
      </c>
    </row>
    <row r="514" spans="1:3" ht="15" customHeight="1" x14ac:dyDescent="0.3">
      <c r="A514" s="209" t="s">
        <v>236</v>
      </c>
      <c r="B514" s="208" t="e">
        <f>VOLATflow.w2R.aR/VOLUME.w2R</f>
        <v>#NAME?</v>
      </c>
      <c r="C514" s="209" t="s">
        <v>2081</v>
      </c>
    </row>
    <row r="515" spans="1:3" ht="15" customHeight="1" x14ac:dyDescent="0.3">
      <c r="A515" s="207" t="s">
        <v>242</v>
      </c>
      <c r="B515" s="208" t="e">
        <f>(SEDflow.w2R.sd2R+ADSORBflow.w2R.sd2R)/VOLUME.w2R</f>
        <v>#NAME?</v>
      </c>
      <c r="C515" s="209" t="s">
        <v>2081</v>
      </c>
    </row>
    <row r="516" spans="1:3" ht="15" customHeight="1" x14ac:dyDescent="0.3">
      <c r="A516" s="209" t="s">
        <v>229</v>
      </c>
      <c r="B516" s="217">
        <f>WATERflow.w2R.w2C/VOLUME.w2R</f>
        <v>1.3698544520547928E-6</v>
      </c>
      <c r="C516" s="209" t="s">
        <v>2081</v>
      </c>
    </row>
    <row r="517" spans="1:3" ht="15" customHeight="1" x14ac:dyDescent="0.3">
      <c r="A517" s="207" t="s">
        <v>1047</v>
      </c>
      <c r="B517" s="208">
        <f>kdeg.water*Tempfactor.wsdsT*(BACT.w2T/BACT.test)*FRw.w2T</f>
        <v>2.1387065766441277E-7</v>
      </c>
      <c r="C517" s="209" t="s">
        <v>2081</v>
      </c>
    </row>
    <row r="518" spans="1:3" ht="15" customHeight="1" x14ac:dyDescent="0.3">
      <c r="A518" s="209" t="s">
        <v>1265</v>
      </c>
      <c r="B518" s="208" t="e">
        <f>VOLATflow.w2T.aT/VOLUME.w2T</f>
        <v>#NAME?</v>
      </c>
      <c r="C518" s="209" t="s">
        <v>2081</v>
      </c>
    </row>
    <row r="519" spans="1:3" ht="15" customHeight="1" x14ac:dyDescent="0.3">
      <c r="A519" s="209" t="s">
        <v>1263</v>
      </c>
      <c r="B519" s="208">
        <f>WATERflow.w2T.w2M/VOLUME.w2T</f>
        <v>1.6806722689075633E-8</v>
      </c>
      <c r="C519" s="209" t="s">
        <v>2081</v>
      </c>
    </row>
    <row r="520" spans="1:3" ht="15" customHeight="1" x14ac:dyDescent="0.3">
      <c r="A520" s="209" t="s">
        <v>60</v>
      </c>
      <c r="B520" s="208">
        <f>(OceanCurrent+OceanMixing.T)/VOLUME.w2T</f>
        <v>2.2724443312678606E-7</v>
      </c>
      <c r="C520" s="209" t="s">
        <v>2081</v>
      </c>
    </row>
    <row r="521" spans="1:3" ht="15" customHeight="1" x14ac:dyDescent="0.3">
      <c r="A521" s="207" t="s">
        <v>1170</v>
      </c>
      <c r="B521" s="208">
        <f>kdeg.water*Tempfactor.wsdsA*(BACT.w3A/BACT.test)*FRw.w3A</f>
        <v>1.8903674041416619E-8</v>
      </c>
      <c r="C521" s="209" t="s">
        <v>2081</v>
      </c>
    </row>
    <row r="522" spans="1:3" ht="15" customHeight="1" x14ac:dyDescent="0.3">
      <c r="A522" s="207" t="s">
        <v>1164</v>
      </c>
      <c r="B522" s="208" t="e">
        <f>(SEDflow.w3A.sdA+ADSORBflow.w3A.sdA)/VOLUME.w3A</f>
        <v>#NAME?</v>
      </c>
      <c r="C522" s="209" t="s">
        <v>2081</v>
      </c>
    </row>
    <row r="523" spans="1:3" ht="15" customHeight="1" x14ac:dyDescent="0.3">
      <c r="A523" s="209" t="s">
        <v>128</v>
      </c>
      <c r="B523" s="208">
        <f>(OceanCurrent+OceanMixing.A)/VOLUME.w3A</f>
        <v>8.9753746616491718E-9</v>
      </c>
      <c r="C523" s="209" t="s">
        <v>2081</v>
      </c>
    </row>
    <row r="524" spans="1:3" ht="15" customHeight="1" x14ac:dyDescent="0.3">
      <c r="A524" s="209" t="s">
        <v>1115</v>
      </c>
      <c r="B524" s="208">
        <f>OceanCurrent/VOLUME.w3A</f>
        <v>1.9607843137254903E-9</v>
      </c>
      <c r="C524" s="209" t="s">
        <v>2081</v>
      </c>
    </row>
    <row r="525" spans="1:3" ht="15" customHeight="1" x14ac:dyDescent="0.3">
      <c r="A525" s="207" t="s">
        <v>1169</v>
      </c>
      <c r="B525" s="208">
        <f>kdeg.water*Tempfactor.wsdsM*(BACT.w3M/BACT.test)*FRw.w3M</f>
        <v>8.6858477099101683E-8</v>
      </c>
      <c r="C525" s="209" t="s">
        <v>2081</v>
      </c>
    </row>
    <row r="526" spans="1:3" ht="15" customHeight="1" x14ac:dyDescent="0.3">
      <c r="A526" s="207" t="s">
        <v>147</v>
      </c>
      <c r="B526" s="208" t="e">
        <f>(SEDflow.w3M.sdM+ADSORBflow.w3M.sdM)/VOLUME.w3M</f>
        <v>#NAME?</v>
      </c>
      <c r="C526" s="209" t="s">
        <v>2081</v>
      </c>
    </row>
    <row r="527" spans="1:3" ht="15" customHeight="1" x14ac:dyDescent="0.3">
      <c r="A527" s="209" t="s">
        <v>1117</v>
      </c>
      <c r="B527" s="208">
        <f>(OceanCurrent+OceanMixing.M)/VOLUME.w3M</f>
        <v>8.3075554154985618E-9</v>
      </c>
      <c r="C527" s="209" t="s">
        <v>2081</v>
      </c>
    </row>
    <row r="528" spans="1:3" ht="15" customHeight="1" x14ac:dyDescent="0.3">
      <c r="A528" s="209" t="s">
        <v>132</v>
      </c>
      <c r="B528" s="208">
        <v>0</v>
      </c>
      <c r="C528" s="209" t="s">
        <v>2081</v>
      </c>
    </row>
    <row r="529" spans="1:3" ht="15" customHeight="1" x14ac:dyDescent="0.3">
      <c r="A529" s="209" t="s">
        <v>133</v>
      </c>
      <c r="B529" s="208">
        <f>OceanCurrent/VOLUME.w3M</f>
        <v>1.2929650675748798E-9</v>
      </c>
      <c r="C529" s="209" t="s">
        <v>2081</v>
      </c>
    </row>
    <row r="530" spans="1:3" ht="15" customHeight="1" x14ac:dyDescent="0.3">
      <c r="A530" s="207" t="s">
        <v>1171</v>
      </c>
      <c r="B530" s="208">
        <f>kdeg.water*Tempfactor.wsdsT*(BACT.w3T/BACT.test)*FRw.w3T</f>
        <v>2.1387065766441277E-7</v>
      </c>
      <c r="C530" s="209" t="s">
        <v>2081</v>
      </c>
    </row>
    <row r="531" spans="1:3" ht="15" customHeight="1" x14ac:dyDescent="0.3">
      <c r="A531" s="207" t="s">
        <v>1135</v>
      </c>
      <c r="B531" s="208" t="e">
        <f>(SEDflow.w3T.sdT+ADSORBflow.w3T.sdT)/VOLUME.w3T</f>
        <v>#NAME?</v>
      </c>
      <c r="C531" s="209" t="s">
        <v>2081</v>
      </c>
    </row>
    <row r="532" spans="1:3" ht="15" customHeight="1" x14ac:dyDescent="0.3">
      <c r="A532" s="209" t="s">
        <v>61</v>
      </c>
      <c r="B532" s="208">
        <f>(OceanCurrent+OceanMixing.T)/VOLUME.w3T</f>
        <v>7.5748144375595357E-9</v>
      </c>
      <c r="C532" s="209" t="s">
        <v>2081</v>
      </c>
    </row>
    <row r="533" spans="1:3" ht="15" customHeight="1" x14ac:dyDescent="0.3">
      <c r="A533" s="209" t="s">
        <v>59</v>
      </c>
      <c r="B533" s="208">
        <v>0</v>
      </c>
      <c r="C533" s="209" t="s">
        <v>2081</v>
      </c>
    </row>
    <row r="534" spans="1:3" ht="15" customHeight="1" x14ac:dyDescent="0.3">
      <c r="A534" s="207" t="s">
        <v>971</v>
      </c>
      <c r="B534" s="213">
        <v>7.8999999999999999E-11</v>
      </c>
      <c r="C534" s="209" t="s">
        <v>2082</v>
      </c>
    </row>
    <row r="535" spans="1:3" ht="15" customHeight="1" x14ac:dyDescent="0.3">
      <c r="A535" s="206" t="s">
        <v>643</v>
      </c>
      <c r="B535" s="215">
        <f>0.54*(Kow/Kaw)*CORGaers*(RHOaers/1000)</f>
        <v>1754.1549750527802</v>
      </c>
      <c r="C535" s="206" t="s">
        <v>1549</v>
      </c>
    </row>
    <row r="536" spans="1:3" ht="15" customHeight="1" x14ac:dyDescent="0.3">
      <c r="A536" s="206" t="s">
        <v>628</v>
      </c>
      <c r="B536" s="215">
        <f>0.54*(Kow/Kaw)*CORGaers*(RHOaers/1000)</f>
        <v>1754.1549750527802</v>
      </c>
      <c r="C536" s="206" t="s">
        <v>1549</v>
      </c>
    </row>
    <row r="537" spans="1:3" ht="15" customHeight="1" x14ac:dyDescent="0.3">
      <c r="A537" s="206" t="s">
        <v>638</v>
      </c>
      <c r="B537" s="215">
        <f>0.54*(Kow/Kaw)*CORGaers*(RHOaers/1000)</f>
        <v>1754.1549750527802</v>
      </c>
      <c r="C537" s="206" t="s">
        <v>1549</v>
      </c>
    </row>
    <row r="538" spans="1:3" ht="15" customHeight="1" x14ac:dyDescent="0.3">
      <c r="A538" s="206" t="s">
        <v>614</v>
      </c>
      <c r="B538" s="215">
        <f>0.54*(Kow/Kaw)*CORGaers*(RHOaers/1000)</f>
        <v>1754.1549750527802</v>
      </c>
      <c r="C538" s="206" t="s">
        <v>1549</v>
      </c>
    </row>
    <row r="539" spans="1:3" ht="15" customHeight="1" x14ac:dyDescent="0.3">
      <c r="A539" s="206" t="s">
        <v>633</v>
      </c>
      <c r="B539" s="215">
        <f>0.54*(Kow/Kaw)*CORGaers*(RHOaers/1000)</f>
        <v>1754.1549750527802</v>
      </c>
      <c r="C539" s="206" t="s">
        <v>1549</v>
      </c>
    </row>
    <row r="540" spans="1:3" ht="15" customHeight="1" x14ac:dyDescent="0.3">
      <c r="A540" s="206" t="s">
        <v>642</v>
      </c>
      <c r="B540" s="215">
        <f>1/(Kaw.A*FRorig.aerw)</f>
        <v>37.697837076762113</v>
      </c>
      <c r="C540" s="206" t="s">
        <v>1548</v>
      </c>
    </row>
    <row r="541" spans="1:3" ht="15" customHeight="1" x14ac:dyDescent="0.3">
      <c r="A541" s="206" t="s">
        <v>627</v>
      </c>
      <c r="B541" s="215">
        <f>1/(Kaw.C*FRorig.aerw)</f>
        <v>11.129079824608519</v>
      </c>
      <c r="C541" s="206" t="s">
        <v>1548</v>
      </c>
    </row>
    <row r="542" spans="1:3" ht="15" customHeight="1" x14ac:dyDescent="0.3">
      <c r="A542" s="206" t="s">
        <v>637</v>
      </c>
      <c r="B542" s="215">
        <f>1/(Kaw.M*FRorig.aerw)</f>
        <v>11.129079824608519</v>
      </c>
      <c r="C542" s="206" t="s">
        <v>1548</v>
      </c>
    </row>
    <row r="543" spans="1:3" ht="15" customHeight="1" x14ac:dyDescent="0.3">
      <c r="A543" s="206" t="s">
        <v>611</v>
      </c>
      <c r="B543" s="215">
        <f>1/(Kaw.R*FRorig.aerw)</f>
        <v>11.129079824608519</v>
      </c>
      <c r="C543" s="206" t="s">
        <v>1548</v>
      </c>
    </row>
    <row r="544" spans="1:3" ht="15" customHeight="1" x14ac:dyDescent="0.3">
      <c r="A544" s="206" t="s">
        <v>632</v>
      </c>
      <c r="B544" s="215">
        <f>1/(Kaw.T*FRorig.aerw)</f>
        <v>5.9062457072484165</v>
      </c>
      <c r="C544" s="206" t="s">
        <v>1548</v>
      </c>
    </row>
    <row r="545" spans="1:3" ht="15" customHeight="1" x14ac:dyDescent="0.3">
      <c r="A545" s="209" t="s">
        <v>2044</v>
      </c>
      <c r="B545" s="215">
        <f>Kaw*EXP((H0vap/8.314)*(1/298-1/TEMP.A))*EXP(-(H0sol/8.314)*(1/298-1/TEMP.A))*(298/TEMP.A)</f>
        <v>2.6526720829201759E-2</v>
      </c>
      <c r="C545" s="209" t="s">
        <v>36</v>
      </c>
    </row>
    <row r="546" spans="1:3" ht="15" customHeight="1" x14ac:dyDescent="0.3">
      <c r="A546" s="209" t="s">
        <v>2019</v>
      </c>
      <c r="B546" s="215">
        <f>Kaw*EXP((H0vap/8.314)*(1/298-1/TEMP.C))*EXP(-(H0sol/8.314)*(1/298-1/TEMP.C))*(298/TEMP.C)</f>
        <v>8.9854688416270423E-2</v>
      </c>
      <c r="C546" s="209" t="s">
        <v>36</v>
      </c>
    </row>
    <row r="547" spans="1:3" ht="15" customHeight="1" x14ac:dyDescent="0.3">
      <c r="A547" s="209" t="s">
        <v>2036</v>
      </c>
      <c r="B547" s="208">
        <f>Kaw*EXP((H0vap/8.314)*(1/298-1/TEMP.M))*EXP(-(H0sol/8.314)*(1/298-1/TEMP.M))*(298/TEMP.M)</f>
        <v>8.9854688416270423E-2</v>
      </c>
      <c r="C547" s="209" t="s">
        <v>36</v>
      </c>
    </row>
    <row r="548" spans="1:3" ht="15" customHeight="1" x14ac:dyDescent="0.3">
      <c r="A548" s="206" t="s">
        <v>2018</v>
      </c>
      <c r="B548" s="215">
        <f>Kaw*EXP((H0vap/8.314)*(1/298-1/TEMP.R))*EXP(-(H0sol/8.314)*(1/298-1/TEMP.R))*(298/TEMP.R)</f>
        <v>8.9854688416270423E-2</v>
      </c>
      <c r="C548" s="206" t="s">
        <v>2083</v>
      </c>
    </row>
    <row r="549" spans="1:3" ht="15" customHeight="1" x14ac:dyDescent="0.3">
      <c r="A549" s="209" t="s">
        <v>2048</v>
      </c>
      <c r="B549" s="215">
        <f>Kaw*EXP((H0vap/8.314)*(1/298-1/TEMP.T))*EXP(-(H0sol/8.314)*(1/298-1/TEMP.T))*(298/TEMP.T)</f>
        <v>0.16931229237089712</v>
      </c>
      <c r="C549" s="209" t="s">
        <v>36</v>
      </c>
    </row>
    <row r="550" spans="1:3" ht="15" customHeight="1" x14ac:dyDescent="0.3">
      <c r="A550" s="207" t="s">
        <v>671</v>
      </c>
      <c r="B550" s="208">
        <f>FRgas.aA*kdeg.air*(C.OHrad.aA/C.OHrad)*Tempfactor.aA</f>
        <v>1.8058616035260653E-7</v>
      </c>
      <c r="C550" s="209" t="s">
        <v>2081</v>
      </c>
    </row>
    <row r="551" spans="1:3" ht="15" customHeight="1" x14ac:dyDescent="0.3">
      <c r="A551" s="207" t="s">
        <v>1203</v>
      </c>
      <c r="B551" s="208">
        <f>FRgas.aC*kdeg.air*(C.OHrad.aC/C.OHrad)*Tempfactor.aC</f>
        <v>2.1593838929569864E-7</v>
      </c>
      <c r="C551" s="209" t="s">
        <v>2081</v>
      </c>
    </row>
    <row r="552" spans="1:3" ht="15" customHeight="1" x14ac:dyDescent="0.3">
      <c r="A552" s="207" t="s">
        <v>192</v>
      </c>
      <c r="B552" s="208">
        <f>FRgas.aM*kdeg.air*(C.OHrad.aM/C.OHrad)*Tempfactor.aM</f>
        <v>2.1593838929569864E-7</v>
      </c>
      <c r="C552" s="209" t="s">
        <v>2081</v>
      </c>
    </row>
    <row r="553" spans="1:3" ht="15" customHeight="1" x14ac:dyDescent="0.3">
      <c r="A553" s="207" t="s">
        <v>464</v>
      </c>
      <c r="B553" s="208">
        <f>FRgas.aR*kdeg.air*(C.OHrad.aR/C.OHrad)*Tempfactor.aR</f>
        <v>2.1593838929569864E-7</v>
      </c>
      <c r="C553" s="209" t="s">
        <v>2081</v>
      </c>
    </row>
    <row r="554" spans="1:3" ht="15" customHeight="1" x14ac:dyDescent="0.3">
      <c r="A554" s="207" t="s">
        <v>52</v>
      </c>
      <c r="B554" s="208">
        <f>FRgas.aT*kdeg.air*(C.OHrad.aT/C.OHrad)*Tempfactor.aT</f>
        <v>2.3999999155170639E-7</v>
      </c>
      <c r="C554" s="209" t="s">
        <v>2081</v>
      </c>
    </row>
    <row r="555" spans="1:3" ht="15" customHeight="1" x14ac:dyDescent="0.3">
      <c r="A555" s="207" t="s">
        <v>1293</v>
      </c>
      <c r="B555" s="215">
        <f>Tempfactor.wsdsC*kdeg.soil</f>
        <v>4.3455503205058602E-8</v>
      </c>
      <c r="C555" s="209" t="s">
        <v>2081</v>
      </c>
    </row>
    <row r="556" spans="1:3" ht="15" customHeight="1" x14ac:dyDescent="0.3">
      <c r="A556" s="207" t="s">
        <v>1335</v>
      </c>
      <c r="B556" s="208">
        <f>Tempfactor.wsdsR*kdeg.soil</f>
        <v>4.3455503205058602E-8</v>
      </c>
      <c r="C556" s="209" t="s">
        <v>2081</v>
      </c>
    </row>
    <row r="557" spans="1:3" ht="15" customHeight="1" x14ac:dyDescent="0.3">
      <c r="A557" s="207" t="s">
        <v>1294</v>
      </c>
      <c r="B557" s="215">
        <f>Tempfactor.wsdsC*kdeg.soil</f>
        <v>4.3455503205058602E-8</v>
      </c>
      <c r="C557" s="209" t="s">
        <v>2081</v>
      </c>
    </row>
    <row r="558" spans="1:3" ht="15" customHeight="1" x14ac:dyDescent="0.3">
      <c r="A558" s="207" t="s">
        <v>1336</v>
      </c>
      <c r="B558" s="208">
        <f>Tempfactor.wsdsR*kdeg.soil</f>
        <v>4.3455503205058602E-8</v>
      </c>
      <c r="C558" s="209" t="s">
        <v>2081</v>
      </c>
    </row>
    <row r="559" spans="1:3" ht="15" customHeight="1" x14ac:dyDescent="0.3">
      <c r="A559" s="207" t="s">
        <v>1202</v>
      </c>
      <c r="B559" s="215">
        <f>Tempfactor.wsdsC*kdeg.soil</f>
        <v>4.3455503205058602E-8</v>
      </c>
      <c r="C559" s="209" t="s">
        <v>2081</v>
      </c>
    </row>
    <row r="560" spans="1:3" ht="15" customHeight="1" x14ac:dyDescent="0.3">
      <c r="A560" s="207" t="s">
        <v>1337</v>
      </c>
      <c r="B560" s="208">
        <f>Tempfactor.wsdsR*kdeg.soil</f>
        <v>4.3455503205058602E-8</v>
      </c>
      <c r="C560" s="209" t="s">
        <v>2081</v>
      </c>
    </row>
    <row r="561" spans="1:3" ht="15" customHeight="1" x14ac:dyDescent="0.3">
      <c r="A561" s="207" t="s">
        <v>673</v>
      </c>
      <c r="B561" s="215">
        <f>Tempfactor.wsdsA*kdeg.soil</f>
        <v>9.4575531983700746E-9</v>
      </c>
      <c r="C561" s="209" t="s">
        <v>2081</v>
      </c>
    </row>
    <row r="562" spans="1:3" ht="15" customHeight="1" x14ac:dyDescent="0.3">
      <c r="A562" s="207" t="s">
        <v>1014</v>
      </c>
      <c r="B562" s="215">
        <f>Tempfactor.wsdsC*kdeg.sed</f>
        <v>9.6658035166392035E-9</v>
      </c>
      <c r="C562" s="209" t="s">
        <v>2081</v>
      </c>
    </row>
    <row r="563" spans="1:3" ht="15" customHeight="1" x14ac:dyDescent="0.3">
      <c r="A563" s="207" t="s">
        <v>1333</v>
      </c>
      <c r="B563" s="208">
        <f>Tempfactor.wsdsR*kdeg.sed</f>
        <v>9.6658035166392035E-9</v>
      </c>
      <c r="C563" s="209" t="s">
        <v>2081</v>
      </c>
    </row>
    <row r="564" spans="1:3" ht="15" customHeight="1" x14ac:dyDescent="0.3">
      <c r="A564" s="207" t="s">
        <v>1292</v>
      </c>
      <c r="B564" s="215">
        <f>Tempfactor.wsdsC*kdeg.sed</f>
        <v>9.6658035166392035E-9</v>
      </c>
      <c r="C564" s="209" t="s">
        <v>2081</v>
      </c>
    </row>
    <row r="565" spans="1:3" ht="15" customHeight="1" x14ac:dyDescent="0.3">
      <c r="A565" s="207" t="s">
        <v>1334</v>
      </c>
      <c r="B565" s="208">
        <f>Tempfactor.wsdsR*kdeg.sed</f>
        <v>9.6658035166392035E-9</v>
      </c>
      <c r="C565" s="209" t="s">
        <v>2081</v>
      </c>
    </row>
    <row r="566" spans="1:3" ht="15" customHeight="1" x14ac:dyDescent="0.3">
      <c r="A566" s="207" t="s">
        <v>672</v>
      </c>
      <c r="B566" s="215">
        <f>Tempfactor.wsdsA*kdeg.sed</f>
        <v>2.103642674029979E-9</v>
      </c>
      <c r="C566" s="209" t="s">
        <v>2081</v>
      </c>
    </row>
    <row r="567" spans="1:3" ht="15" customHeight="1" x14ac:dyDescent="0.3">
      <c r="A567" s="207" t="s">
        <v>193</v>
      </c>
      <c r="B567" s="208">
        <f>Tempfactor.wsdsM*kdeg.sed</f>
        <v>9.6658035166392035E-9</v>
      </c>
      <c r="C567" s="209" t="s">
        <v>2081</v>
      </c>
    </row>
    <row r="568" spans="1:3" ht="15" customHeight="1" x14ac:dyDescent="0.3">
      <c r="A568" s="207" t="s">
        <v>53</v>
      </c>
      <c r="B568" s="208">
        <f>Tempfactor.wsdsT*kdeg.sed</f>
        <v>2.3800000000000001E-8</v>
      </c>
      <c r="C568" s="209" t="s">
        <v>2081</v>
      </c>
    </row>
    <row r="569" spans="1:3" ht="15" customHeight="1" x14ac:dyDescent="0.3">
      <c r="A569" s="207" t="s">
        <v>194</v>
      </c>
      <c r="B569" s="208">
        <f>Tempfactor.wsdsM*kdeg.soil</f>
        <v>4.3455503205058602E-8</v>
      </c>
      <c r="C569" s="209" t="s">
        <v>2081</v>
      </c>
    </row>
    <row r="570" spans="1:3" ht="15" customHeight="1" x14ac:dyDescent="0.3">
      <c r="A570" s="207" t="s">
        <v>54</v>
      </c>
      <c r="B570" s="208">
        <f>Tempfactor.wsdsT*kdeg.soil</f>
        <v>1.0700000000000001E-7</v>
      </c>
      <c r="C570" s="209" t="s">
        <v>2081</v>
      </c>
    </row>
    <row r="571" spans="1:3" ht="15" customHeight="1" x14ac:dyDescent="0.3">
      <c r="A571" s="207" t="s">
        <v>354</v>
      </c>
      <c r="B571" s="208">
        <f>kdeg.water*Tempfactor.wsdsC*(BACT.w0C/BACT.test)*FRw.w0C</f>
        <v>8.6888547727987207E-8</v>
      </c>
      <c r="C571" s="209" t="s">
        <v>2081</v>
      </c>
    </row>
    <row r="572" spans="1:3" ht="15" customHeight="1" x14ac:dyDescent="0.3">
      <c r="A572" s="207" t="s">
        <v>306</v>
      </c>
      <c r="B572" s="208">
        <f>kdeg.water*Tempfactor.wsdsR*(BACT.w0R/BACT.test)*FRw.w0R</f>
        <v>8.6888547727987207E-8</v>
      </c>
      <c r="C572" s="209" t="s">
        <v>2081</v>
      </c>
    </row>
    <row r="573" spans="1:3" ht="15" customHeight="1" x14ac:dyDescent="0.3">
      <c r="A573" s="207" t="s">
        <v>1012</v>
      </c>
      <c r="B573" s="208">
        <f>kdeg.water*Tempfactor.wsdsC*(BACT.w1C/BACT.test)*FRw.w1C</f>
        <v>8.6791727940822063E-8</v>
      </c>
      <c r="C573" s="209" t="s">
        <v>2081</v>
      </c>
    </row>
    <row r="574" spans="1:3" ht="15" customHeight="1" x14ac:dyDescent="0.3">
      <c r="A574" s="207" t="s">
        <v>851</v>
      </c>
      <c r="B574" s="208">
        <f>kdeg.water*Tempfactor.wsdsR*(BACT.w1R/BACT.test)*FRw.w1R</f>
        <v>8.6791727940822063E-8</v>
      </c>
      <c r="C574" s="209" t="s">
        <v>2081</v>
      </c>
    </row>
    <row r="575" spans="1:3" ht="15" customHeight="1" x14ac:dyDescent="0.3">
      <c r="A575" s="207" t="s">
        <v>1158</v>
      </c>
      <c r="B575" s="215">
        <f>kdeg.water*Tempfactor.wsdsA*(BACT.w2A/BACT.test)*FRw.w2A</f>
        <v>1.8903674041416619E-8</v>
      </c>
      <c r="C575" s="209" t="s">
        <v>2081</v>
      </c>
    </row>
    <row r="576" spans="1:3" ht="15" customHeight="1" x14ac:dyDescent="0.3">
      <c r="A576" s="207" t="s">
        <v>1013</v>
      </c>
      <c r="B576" s="208">
        <f>kdeg.water*Tempfactor.wsdsC*(BACT.w2C/BACT.test)*FRw.w2C</f>
        <v>8.6858477099101683E-8</v>
      </c>
      <c r="C576" s="209" t="s">
        <v>2081</v>
      </c>
    </row>
    <row r="577" spans="1:3" ht="15" customHeight="1" x14ac:dyDescent="0.3">
      <c r="A577" s="207" t="s">
        <v>149</v>
      </c>
      <c r="B577" s="208">
        <f>kdeg.water*Tempfactor.wsdsM*(BACT.w2M/BACT.test)*FRw.w2M</f>
        <v>8.6858477099101683E-8</v>
      </c>
      <c r="C577" s="209" t="s">
        <v>2081</v>
      </c>
    </row>
    <row r="578" spans="1:3" ht="15" customHeight="1" x14ac:dyDescent="0.3">
      <c r="A578" s="207" t="s">
        <v>852</v>
      </c>
      <c r="B578" s="208">
        <f>kdeg.water*Tempfactor.wsdsR*(BACT.w2R/BACT.test)*FRw.w2R</f>
        <v>8.6858477099101683E-8</v>
      </c>
      <c r="C578" s="209" t="s">
        <v>2081</v>
      </c>
    </row>
    <row r="579" spans="1:3" ht="15" customHeight="1" x14ac:dyDescent="0.3">
      <c r="A579" s="207" t="s">
        <v>1137</v>
      </c>
      <c r="B579" s="208">
        <f>kdeg.water*Tempfactor.wsdsT*(BACT.w2T/BACT.test)*FRw.w2T</f>
        <v>2.1387065766441277E-7</v>
      </c>
      <c r="C579" s="209" t="s">
        <v>2081</v>
      </c>
    </row>
    <row r="580" spans="1:3" ht="15" customHeight="1" x14ac:dyDescent="0.3">
      <c r="A580" s="207" t="s">
        <v>1159</v>
      </c>
      <c r="B580" s="215">
        <f>kdeg.water*Tempfactor.wsdsA*(BACT.w3A/BACT.test)*FRw.w3A</f>
        <v>1.8903674041416619E-8</v>
      </c>
      <c r="C580" s="209" t="s">
        <v>2081</v>
      </c>
    </row>
    <row r="581" spans="1:3" ht="15" customHeight="1" x14ac:dyDescent="0.3">
      <c r="A581" s="207" t="s">
        <v>150</v>
      </c>
      <c r="B581" s="208">
        <f>kdeg.water*Tempfactor.wsdsM*(BACT.w3M/BACT.test)*FRw.w3M</f>
        <v>8.6858477099101683E-8</v>
      </c>
      <c r="C581" s="209" t="s">
        <v>2081</v>
      </c>
    </row>
    <row r="582" spans="1:3" ht="15" customHeight="1" x14ac:dyDescent="0.3">
      <c r="A582" s="207" t="s">
        <v>1139</v>
      </c>
      <c r="B582" s="208">
        <f>kdeg.water*Tempfactor.wsdsT*(BACT.w3T/BACT.test)*FRw.w3T</f>
        <v>2.1387065766441277E-7</v>
      </c>
      <c r="C582" s="209" t="s">
        <v>2081</v>
      </c>
    </row>
    <row r="583" spans="1:3" ht="15" customHeight="1" x14ac:dyDescent="0.3">
      <c r="A583" s="207" t="s">
        <v>758</v>
      </c>
      <c r="B583" s="216" t="s">
        <v>2089</v>
      </c>
      <c r="C583" s="209" t="s">
        <v>2081</v>
      </c>
    </row>
    <row r="584" spans="1:3" ht="15" customHeight="1" x14ac:dyDescent="0.3">
      <c r="A584" s="207" t="s">
        <v>997</v>
      </c>
      <c r="B584" s="216" t="s">
        <v>2090</v>
      </c>
      <c r="C584" s="209" t="s">
        <v>2081</v>
      </c>
    </row>
    <row r="585" spans="1:3" ht="15" customHeight="1" x14ac:dyDescent="0.3">
      <c r="A585" s="207" t="s">
        <v>750</v>
      </c>
      <c r="B585" s="216" t="s">
        <v>2091</v>
      </c>
      <c r="C585" s="209" t="s">
        <v>2081</v>
      </c>
    </row>
    <row r="586" spans="1:3" ht="15" customHeight="1" x14ac:dyDescent="0.3">
      <c r="A586" s="207" t="s">
        <v>926</v>
      </c>
      <c r="B586" s="216" t="s">
        <v>2092</v>
      </c>
      <c r="C586" s="209" t="s">
        <v>2081</v>
      </c>
    </row>
    <row r="587" spans="1:3" ht="15" customHeight="1" x14ac:dyDescent="0.3">
      <c r="A587" s="207" t="s">
        <v>427</v>
      </c>
      <c r="B587" s="216" t="s">
        <v>2093</v>
      </c>
      <c r="C587" s="209" t="s">
        <v>2081</v>
      </c>
    </row>
    <row r="588" spans="1:3" ht="15" customHeight="1" x14ac:dyDescent="0.3">
      <c r="A588" s="207" t="s">
        <v>757</v>
      </c>
      <c r="B588" s="208" t="e">
        <f>kdep.A-(GASABSflow.aA.w2A+GASABSflow.aA.sA)/VOLUME.aA-KDEG.aA</f>
        <v>#NAME?</v>
      </c>
      <c r="C588" s="209" t="s">
        <v>2081</v>
      </c>
    </row>
    <row r="589" spans="1:3" ht="15" customHeight="1" x14ac:dyDescent="0.3">
      <c r="A589" s="207" t="s">
        <v>996</v>
      </c>
      <c r="B589" s="208" t="e">
        <f>kdep.C-(GASABSflow.aC.w1C+GASABSflow.aC.w2C+GASABSflow.aC.s1C+GASABSflow.aC.s2C+GASABSflow.aC.s3C)/VOLUME.aC-KDEG.aC</f>
        <v>#NAME?</v>
      </c>
      <c r="C589" s="209" t="s">
        <v>2081</v>
      </c>
    </row>
    <row r="590" spans="1:3" ht="15" customHeight="1" x14ac:dyDescent="0.3">
      <c r="A590" s="207" t="s">
        <v>749</v>
      </c>
      <c r="B590" s="208" t="e">
        <f>kdep.M-(GASABSflow.aM.w2M+GASABSflow.aM.sM)/VOLUME.aM-KDEG.aM</f>
        <v>#NAME?</v>
      </c>
      <c r="C590" s="209" t="s">
        <v>2081</v>
      </c>
    </row>
    <row r="591" spans="1:3" ht="15" customHeight="1" x14ac:dyDescent="0.3">
      <c r="A591" s="207" t="s">
        <v>925</v>
      </c>
      <c r="B591" s="217" t="e">
        <f>kdep.R-(GASABSflow.aR.w1R+GASABSflow.aR.w2R+GASABSflow.aR.s1R+GASABSflow.aR.s2R+GASABSflow.aR.s3R)/VOLUME.aR-KDEG.aR</f>
        <v>#NAME?</v>
      </c>
      <c r="C591" s="209" t="s">
        <v>2081</v>
      </c>
    </row>
    <row r="592" spans="1:3" ht="15" customHeight="1" x14ac:dyDescent="0.3">
      <c r="A592" s="207" t="s">
        <v>432</v>
      </c>
      <c r="B592" s="208" t="e">
        <f>kdep.T-(GASABSflow.aT.w2T+GASABSflow.aT.sT)/VOLUME.aT-KDEG.aT</f>
        <v>#NAME?</v>
      </c>
      <c r="C592" s="209" t="s">
        <v>2081</v>
      </c>
    </row>
    <row r="593" spans="1:3" ht="15" customHeight="1" x14ac:dyDescent="0.3">
      <c r="A593" s="207" t="s">
        <v>759</v>
      </c>
      <c r="B593" s="208" t="e">
        <f>DRYDEPaerosol.A/HEIGHT.aA + (GASABSflow.aA.w2A+GASABSflow.aA.sA)/VOLUME.aA+KDEG.aA</f>
        <v>#NAME?</v>
      </c>
      <c r="C593" s="209" t="s">
        <v>2081</v>
      </c>
    </row>
    <row r="594" spans="1:3" ht="15" customHeight="1" x14ac:dyDescent="0.3">
      <c r="A594" s="207" t="s">
        <v>998</v>
      </c>
      <c r="B594" s="208" t="e">
        <f>DRYDEPaerosol.C/HEIGHT.aC + (GASABSflow.aC.w1C+GASABSflow.aC.w2C+GASABSflow.aC.s1C+GASABSflow.aC.s2C+GASABSflow.aC.s3C)/VOLUME.aC+KDEG.aC</f>
        <v>#NAME?</v>
      </c>
      <c r="C594" s="209" t="s">
        <v>2081</v>
      </c>
    </row>
    <row r="595" spans="1:3" ht="15" customHeight="1" x14ac:dyDescent="0.3">
      <c r="A595" s="207" t="s">
        <v>751</v>
      </c>
      <c r="B595" s="208" t="e">
        <f>DRYDEPaerosol.M/HEIGHT.aM + (GASABSflow.aM.w2M+GASABSflow.aM.sM)/VOLUME.aM+KDEG.aM</f>
        <v>#NAME?</v>
      </c>
      <c r="C595" s="209" t="s">
        <v>2081</v>
      </c>
    </row>
    <row r="596" spans="1:3" ht="15" customHeight="1" x14ac:dyDescent="0.3">
      <c r="A596" s="207" t="s">
        <v>927</v>
      </c>
      <c r="B596" s="208" t="e">
        <f>DRYDEPaerosol.R/HEIGHT.aR + (GASABSflow.aR.w1R+GASABSflow.aR.w2R+GASABSflow.aR.s1R+GASABSflow.aR.s2R+GASABSflow.aR.s3R)/VOLUME.aR+KDEG.aR</f>
        <v>#NAME?</v>
      </c>
      <c r="C596" s="209" t="s">
        <v>2081</v>
      </c>
    </row>
    <row r="597" spans="1:3" ht="15" customHeight="1" x14ac:dyDescent="0.3">
      <c r="A597" s="207" t="s">
        <v>428</v>
      </c>
      <c r="B597" s="208" t="e">
        <f>DRYDEPaerosol.T/HEIGHT.aT + (GASABSflow.aT.w2T+GASABSflow.aT.sT)/VOLUME.aT+KDEG.aT</f>
        <v>#NAME?</v>
      </c>
      <c r="C597" s="209" t="s">
        <v>2081</v>
      </c>
    </row>
    <row r="598" spans="1:3" ht="15" customHeight="1" x14ac:dyDescent="0.3">
      <c r="A598" s="210" t="s">
        <v>674</v>
      </c>
      <c r="B598" s="208">
        <f>LN(2)/(60*365*24*3600)</f>
        <v>3.663258818281463E-10</v>
      </c>
      <c r="C598" s="209" t="s">
        <v>2081</v>
      </c>
    </row>
    <row r="599" spans="1:3" ht="15" customHeight="1" x14ac:dyDescent="0.3">
      <c r="A599" s="210" t="s">
        <v>197</v>
      </c>
      <c r="B599" s="208">
        <f>LN(2)/(60*365*24*3600)</f>
        <v>3.663258818281463E-10</v>
      </c>
      <c r="C599" s="209" t="s">
        <v>2081</v>
      </c>
    </row>
    <row r="600" spans="1:3" ht="15" customHeight="1" x14ac:dyDescent="0.3">
      <c r="A600" s="210" t="s">
        <v>777</v>
      </c>
      <c r="B600" s="208">
        <f>LN(2)/(60*365*24*3600)</f>
        <v>3.663258818281463E-10</v>
      </c>
      <c r="C600" s="209" t="s">
        <v>2081</v>
      </c>
    </row>
    <row r="601" spans="1:3" ht="15" customHeight="1" x14ac:dyDescent="0.3">
      <c r="A601" s="210" t="s">
        <v>195</v>
      </c>
      <c r="B601" s="208">
        <f>LN(2)/(60*365*24*3600)</f>
        <v>3.663258818281463E-10</v>
      </c>
      <c r="C601" s="209" t="s">
        <v>2081</v>
      </c>
    </row>
    <row r="602" spans="1:3" ht="15" customHeight="1" x14ac:dyDescent="0.3">
      <c r="A602" s="210" t="s">
        <v>1390</v>
      </c>
      <c r="B602" s="208">
        <f>LN(2)/(60*365*24*3600)</f>
        <v>3.663258818281463E-10</v>
      </c>
      <c r="C602" s="209" t="s">
        <v>2081</v>
      </c>
    </row>
    <row r="603" spans="1:3" ht="15" customHeight="1" x14ac:dyDescent="0.3">
      <c r="A603" s="210" t="s">
        <v>346</v>
      </c>
      <c r="B603" s="208">
        <f>0.08*D</f>
        <v>220</v>
      </c>
      <c r="C603" s="209" t="s">
        <v>1039</v>
      </c>
    </row>
    <row r="604" spans="1:3" ht="15" customHeight="1" x14ac:dyDescent="0.3">
      <c r="A604" s="210" t="s">
        <v>296</v>
      </c>
      <c r="B604" s="208">
        <f>0.08*D</f>
        <v>220</v>
      </c>
      <c r="C604" s="209" t="s">
        <v>1039</v>
      </c>
    </row>
    <row r="605" spans="1:3" ht="15" customHeight="1" x14ac:dyDescent="0.3">
      <c r="A605" s="210" t="s">
        <v>555</v>
      </c>
      <c r="B605" s="208">
        <f>0.08*D</f>
        <v>220</v>
      </c>
      <c r="C605" s="209" t="s">
        <v>1039</v>
      </c>
    </row>
    <row r="606" spans="1:3" ht="15" customHeight="1" x14ac:dyDescent="0.3">
      <c r="A606" s="210" t="s">
        <v>550</v>
      </c>
      <c r="B606" s="208">
        <f>0.08*D</f>
        <v>220</v>
      </c>
      <c r="C606" s="209" t="s">
        <v>1039</v>
      </c>
    </row>
    <row r="607" spans="1:3" ht="15" customHeight="1" x14ac:dyDescent="0.3">
      <c r="A607" s="210" t="s">
        <v>1153</v>
      </c>
      <c r="B607" s="208">
        <v>220</v>
      </c>
      <c r="C607" s="209" t="s">
        <v>1039</v>
      </c>
    </row>
    <row r="608" spans="1:3" ht="15" customHeight="1" x14ac:dyDescent="0.3">
      <c r="A608" s="210" t="s">
        <v>557</v>
      </c>
      <c r="B608" s="208">
        <f>0.08*D</f>
        <v>220</v>
      </c>
      <c r="C608" s="209" t="s">
        <v>1039</v>
      </c>
    </row>
    <row r="609" spans="1:3" ht="15" customHeight="1" x14ac:dyDescent="0.3">
      <c r="A609" s="210" t="s">
        <v>140</v>
      </c>
      <c r="B609" s="208">
        <v>220</v>
      </c>
      <c r="C609" s="209" t="s">
        <v>1039</v>
      </c>
    </row>
    <row r="610" spans="1:3" ht="15" customHeight="1" x14ac:dyDescent="0.3">
      <c r="A610" s="210" t="s">
        <v>553</v>
      </c>
      <c r="B610" s="208">
        <f>0.08*D</f>
        <v>220</v>
      </c>
      <c r="C610" s="209" t="s">
        <v>1039</v>
      </c>
    </row>
    <row r="611" spans="1:3" ht="15" customHeight="1" x14ac:dyDescent="0.3">
      <c r="A611" s="210" t="s">
        <v>1128</v>
      </c>
      <c r="B611" s="208">
        <v>220</v>
      </c>
      <c r="C611" s="209" t="s">
        <v>1039</v>
      </c>
    </row>
    <row r="612" spans="1:3" ht="15" customHeight="1" x14ac:dyDescent="0.3">
      <c r="A612" s="210" t="s">
        <v>1154</v>
      </c>
      <c r="B612" s="208">
        <v>220</v>
      </c>
      <c r="C612" s="209" t="s">
        <v>1039</v>
      </c>
    </row>
    <row r="613" spans="1:3" ht="15" customHeight="1" x14ac:dyDescent="0.3">
      <c r="A613" s="210" t="s">
        <v>141</v>
      </c>
      <c r="B613" s="208">
        <v>220</v>
      </c>
      <c r="C613" s="209" t="s">
        <v>1039</v>
      </c>
    </row>
    <row r="614" spans="1:3" ht="15" customHeight="1" x14ac:dyDescent="0.3">
      <c r="A614" s="210" t="s">
        <v>1129</v>
      </c>
      <c r="B614" s="208">
        <v>220</v>
      </c>
      <c r="C614" s="209" t="s">
        <v>1039</v>
      </c>
    </row>
    <row r="615" spans="1:3" ht="15" customHeight="1" x14ac:dyDescent="0.3">
      <c r="A615" s="210" t="s">
        <v>125</v>
      </c>
      <c r="B615" s="208">
        <f>(FRorig.s1*Ksw+(1-FRorig.s1)*Ksw.alt)*(1000/RHOsolid/CORG)*CORG.s1C</f>
        <v>15.390758470509281</v>
      </c>
      <c r="C615" s="209" t="s">
        <v>1039</v>
      </c>
    </row>
    <row r="616" spans="1:3" ht="15" customHeight="1" x14ac:dyDescent="0.3">
      <c r="A616" s="210" t="s">
        <v>126</v>
      </c>
      <c r="B616" s="208">
        <f>(FRorig.s1*Ksw+(1-FRorig.s1)*Ksw.alt)*(1000/RHOsolid/CORG)*CORG.s1R</f>
        <v>15.390758470509281</v>
      </c>
      <c r="C616" s="209" t="s">
        <v>2084</v>
      </c>
    </row>
    <row r="617" spans="1:3" ht="15" customHeight="1" x14ac:dyDescent="0.3">
      <c r="A617" s="210" t="s">
        <v>167</v>
      </c>
      <c r="B617" s="208">
        <f>(FRorig.s2*Ksw+(1-FRorig.s2)*Ksw.alt)*(1000/RHOsolid/CORG)*CORG.s2C</f>
        <v>15.390758470509281</v>
      </c>
      <c r="C617" s="209" t="s">
        <v>1039</v>
      </c>
    </row>
    <row r="618" spans="1:3" ht="15" customHeight="1" x14ac:dyDescent="0.3">
      <c r="A618" s="210" t="s">
        <v>168</v>
      </c>
      <c r="B618" s="208">
        <f>(FRorig.s2*Ksw+(1-FRorig.s2)*Ksw.alt)*(1000/RHOsolid/CORG)*CORG.s2R</f>
        <v>15.390758470509281</v>
      </c>
      <c r="C618" s="209" t="s">
        <v>2084</v>
      </c>
    </row>
    <row r="619" spans="1:3" ht="15" customHeight="1" x14ac:dyDescent="0.3">
      <c r="A619" s="210" t="s">
        <v>169</v>
      </c>
      <c r="B619" s="208">
        <f>(FRorig.s2*Ksw+(1-FRorig.s2)*Ksw.alt)*(1000/RHOsolid/CORG)*CORG.s3C</f>
        <v>15.390758470509281</v>
      </c>
      <c r="C619" s="209" t="s">
        <v>1039</v>
      </c>
    </row>
    <row r="620" spans="1:3" ht="15" customHeight="1" x14ac:dyDescent="0.3">
      <c r="A620" s="210" t="s">
        <v>170</v>
      </c>
      <c r="B620" s="208">
        <f>(FRorig.s3*Ksw+(1-FRorig.s3)*Ksw.alt)*(1000/RHOsolid/CORG)*CORG.s3R</f>
        <v>15.390758470509281</v>
      </c>
      <c r="C620" s="209" t="s">
        <v>2084</v>
      </c>
    </row>
    <row r="621" spans="1:3" ht="15" customHeight="1" x14ac:dyDescent="0.3">
      <c r="A621" s="210" t="s">
        <v>171</v>
      </c>
      <c r="B621" s="208">
        <f>(FRorig.s1*Ksw+(1-FRorig.s1)*Ksw.alt)*(1000/RHOsolid/CORG)*CORG.sA</f>
        <v>15.390758470509281</v>
      </c>
      <c r="C621" s="209" t="s">
        <v>2084</v>
      </c>
    </row>
    <row r="622" spans="1:3" ht="15" customHeight="1" x14ac:dyDescent="0.3">
      <c r="A622" s="210" t="s">
        <v>172</v>
      </c>
      <c r="B622" s="208">
        <f>(FRorig.sd1*Ksw+(1-FRorig.sd1)*Ksw.alt)*(1000/RHOsolid/CORG)*CORG.sd1C</f>
        <v>38.476896176273208</v>
      </c>
      <c r="C622" s="209" t="s">
        <v>1039</v>
      </c>
    </row>
    <row r="623" spans="1:3" ht="15" customHeight="1" x14ac:dyDescent="0.3">
      <c r="A623" s="210" t="s">
        <v>173</v>
      </c>
      <c r="B623" s="208">
        <f>(FRorig.sd1*Ksw+(1-FRorig.sd1)*Ksw.alt)*(1000/RHOsolid/CORG)*CORG.sd1R</f>
        <v>38.476896176273208</v>
      </c>
      <c r="C623" s="209" t="s">
        <v>2084</v>
      </c>
    </row>
    <row r="624" spans="1:3" ht="15" customHeight="1" x14ac:dyDescent="0.3">
      <c r="A624" s="210" t="s">
        <v>174</v>
      </c>
      <c r="B624" s="208">
        <f>(FRorig.sd2*Ksw+(1-FRorig.sd2)*Ksw.alt)*(1000/RHOsolid/CORG)*CORG.sd2C</f>
        <v>38.476896176273208</v>
      </c>
      <c r="C624" s="209" t="s">
        <v>1039</v>
      </c>
    </row>
    <row r="625" spans="1:3" ht="15" customHeight="1" x14ac:dyDescent="0.3">
      <c r="A625" s="210" t="s">
        <v>175</v>
      </c>
      <c r="B625" s="208">
        <f>(FRorig.sd2*Ksw+(1-FRorig.sd2)*Ksw.alt)*(1000/RHOsolid/CORG)*CORG.sd2R</f>
        <v>38.476896176273208</v>
      </c>
      <c r="C625" s="209" t="s">
        <v>2084</v>
      </c>
    </row>
    <row r="626" spans="1:3" ht="15" customHeight="1" x14ac:dyDescent="0.3">
      <c r="A626" s="210" t="s">
        <v>176</v>
      </c>
      <c r="B626" s="208">
        <f>(FRorig.sd2*Ksw+(1-FRorig.sd2)*Ksw.alt)*(1000/RHOsolid/CORG)*CORG.sdA</f>
        <v>38.476896176273208</v>
      </c>
      <c r="C626" s="209" t="s">
        <v>2084</v>
      </c>
    </row>
    <row r="627" spans="1:3" ht="15" customHeight="1" x14ac:dyDescent="0.3">
      <c r="A627" s="210" t="s">
        <v>177</v>
      </c>
      <c r="B627" s="208">
        <f>(FRorig.sd2*Ksw+(1-FRorig.sd2)*Ksw.alt)*(1000/RHOsolid/CORG)*CORG.sdM</f>
        <v>38.476896176273208</v>
      </c>
      <c r="C627" s="209" t="s">
        <v>2084</v>
      </c>
    </row>
    <row r="628" spans="1:3" ht="15" customHeight="1" x14ac:dyDescent="0.3">
      <c r="A628" s="210" t="s">
        <v>178</v>
      </c>
      <c r="B628" s="208">
        <f>(FRorig.sd2*Ksw+(1-FRorig.sd2)*Ksw.alt)*(1000/RHOsolid/CORG)*CORG.sdT</f>
        <v>38.476896176273208</v>
      </c>
      <c r="C628" s="209" t="s">
        <v>2084</v>
      </c>
    </row>
    <row r="629" spans="1:3" ht="15" customHeight="1" x14ac:dyDescent="0.3">
      <c r="A629" s="210" t="s">
        <v>179</v>
      </c>
      <c r="B629" s="208">
        <f>(FRorig.s1*Ksw+(1-FRorig.s1)*Ksw.alt)*(1000/RHOsolid/CORG)*CORG.sM</f>
        <v>15.390758470509281</v>
      </c>
      <c r="C629" s="209" t="s">
        <v>2084</v>
      </c>
    </row>
    <row r="630" spans="1:3" ht="15" customHeight="1" x14ac:dyDescent="0.3">
      <c r="A630" s="210" t="s">
        <v>180</v>
      </c>
      <c r="B630" s="208">
        <f>(FRorig.s1*Ksw+(1-FRorig.s1)*Ksw.alt)*(1000/RHOsolid/CORG)*CORG.sT</f>
        <v>15.390758470509281</v>
      </c>
      <c r="C630" s="209" t="s">
        <v>2084</v>
      </c>
    </row>
    <row r="631" spans="1:3" ht="15" customHeight="1" x14ac:dyDescent="0.3">
      <c r="A631" s="210" t="s">
        <v>343</v>
      </c>
      <c r="B631" s="208">
        <f>(FRorig.w1*Ksw+(1-FRorig.w1)*Ksw.alt)*(1000/RHOsolid/CORG)*CORG.susp0C</f>
        <v>76.953792352546415</v>
      </c>
      <c r="C631" s="209" t="s">
        <v>2084</v>
      </c>
    </row>
    <row r="632" spans="1:3" ht="15" customHeight="1" x14ac:dyDescent="0.3">
      <c r="A632" s="210" t="s">
        <v>293</v>
      </c>
      <c r="B632" s="208">
        <f>(FRorig.w1*Ksw+(1-FRorig.w1)*Ksw.alt)*(1000/RHOsolid/CORG)*CORG.susp0R</f>
        <v>76.953792352546415</v>
      </c>
      <c r="C632" s="209" t="s">
        <v>2084</v>
      </c>
    </row>
    <row r="633" spans="1:3" ht="15" customHeight="1" x14ac:dyDescent="0.3">
      <c r="A633" s="210" t="s">
        <v>181</v>
      </c>
      <c r="B633" s="208">
        <f>(FRorig.w1*Ksw+(1-FRorig.w1)*Ksw.alt)*(1000/RHOsolid/CORG)*CORG.susp1C</f>
        <v>76.953792352546415</v>
      </c>
      <c r="C633" s="209" t="s">
        <v>1039</v>
      </c>
    </row>
    <row r="634" spans="1:3" ht="15" customHeight="1" x14ac:dyDescent="0.3">
      <c r="A634" s="210" t="s">
        <v>182</v>
      </c>
      <c r="B634" s="208">
        <f>(FRorig.w1*Ksw+(1-FRorig.w1)*Ksw.alt)*(1000/RHOsolid/CORG)*CORG.susp1R</f>
        <v>76.953792352546415</v>
      </c>
      <c r="C634" s="209" t="s">
        <v>2084</v>
      </c>
    </row>
    <row r="635" spans="1:3" ht="15" customHeight="1" x14ac:dyDescent="0.3">
      <c r="A635" s="210" t="s">
        <v>1149</v>
      </c>
      <c r="B635" s="208">
        <f>(FRorig.w2*Ksw+(1-FRorig.w2)*Ksw.alt)*(1000/RHOsolid/CORG)*CORG.susp2A</f>
        <v>76.953792352546415</v>
      </c>
      <c r="C635" s="209" t="s">
        <v>2084</v>
      </c>
    </row>
    <row r="636" spans="1:3" ht="15" customHeight="1" x14ac:dyDescent="0.3">
      <c r="A636" s="210" t="s">
        <v>183</v>
      </c>
      <c r="B636" s="208">
        <f>(FRorig.w2*Ksw+(1-FRorig.w2)*Ksw.alt)*(1000/RHOsolid/CORG)*CORG.susp2C</f>
        <v>76.953792352546415</v>
      </c>
      <c r="C636" s="209" t="s">
        <v>1039</v>
      </c>
    </row>
    <row r="637" spans="1:3" ht="15" customHeight="1" x14ac:dyDescent="0.3">
      <c r="A637" s="210" t="s">
        <v>136</v>
      </c>
      <c r="B637" s="208">
        <f>(FRorig.w2*Ksw+(1-FRorig.w2)*Ksw.alt)*(1000/RHOsolid/CORG)*CORG.susp2M</f>
        <v>76.953792352546415</v>
      </c>
      <c r="C637" s="209" t="s">
        <v>2084</v>
      </c>
    </row>
    <row r="638" spans="1:3" ht="15" customHeight="1" x14ac:dyDescent="0.3">
      <c r="A638" s="210" t="s">
        <v>184</v>
      </c>
      <c r="B638" s="208">
        <f>(FRorig.w2*Ksw+(1-FRorig.w2)*Ksw.alt)*(1000/RHOsolid/CORG)*CORG.susp2R</f>
        <v>76.953792352546415</v>
      </c>
      <c r="C638" s="209" t="s">
        <v>2084</v>
      </c>
    </row>
    <row r="639" spans="1:3" ht="15" customHeight="1" x14ac:dyDescent="0.3">
      <c r="A639" s="210" t="s">
        <v>1121</v>
      </c>
      <c r="B639" s="208">
        <f>(FRorig.w2*Ksw+(1-FRorig.w2)*Ksw.alt)*(1000/RHOsolid/CORG)*CORG.susp2T</f>
        <v>76.953792352546415</v>
      </c>
      <c r="C639" s="209" t="s">
        <v>2084</v>
      </c>
    </row>
    <row r="640" spans="1:3" ht="15" customHeight="1" x14ac:dyDescent="0.3">
      <c r="A640" s="210" t="s">
        <v>1150</v>
      </c>
      <c r="B640" s="208">
        <f>(FRorig.w2*Ksw+(1-FRorig.w2)*Ksw.alt)*(1000/RHOsolid/CORG)*CORG.susp3A</f>
        <v>76.953792352546415</v>
      </c>
      <c r="C640" s="209" t="s">
        <v>2084</v>
      </c>
    </row>
    <row r="641" spans="1:3" ht="15" customHeight="1" x14ac:dyDescent="0.3">
      <c r="A641" s="210" t="s">
        <v>137</v>
      </c>
      <c r="B641" s="208">
        <f>(FRorig.w2*Ksw+(1-FRorig.w2)*Ksw.alt)*(1000/RHOsolid/CORG)*CORG.susp3M</f>
        <v>76.953792352546415</v>
      </c>
      <c r="C641" s="209" t="s">
        <v>1498</v>
      </c>
    </row>
    <row r="642" spans="1:3" ht="15" customHeight="1" x14ac:dyDescent="0.3">
      <c r="A642" s="210" t="s">
        <v>1123</v>
      </c>
      <c r="B642" s="208">
        <f>(FRorig.w2*Ksw+(1-FRorig.w2)*Ksw.alt)*(1000/RHOsolid/CORG)*CORG.susp3T</f>
        <v>76.953792352546415</v>
      </c>
      <c r="C642" s="209" t="s">
        <v>2084</v>
      </c>
    </row>
    <row r="643" spans="1:3" ht="15" customHeight="1" x14ac:dyDescent="0.3">
      <c r="A643" s="210" t="s">
        <v>479</v>
      </c>
      <c r="B643" s="208">
        <f>FRACa.s1C*(Kaw.C*FRorig.s1w)+FRACw.s1C+FRACs.s1C*Kp.s1C*RHOsolid/1000</f>
        <v>23.304108643447179</v>
      </c>
      <c r="C643" s="209" t="s">
        <v>36</v>
      </c>
    </row>
    <row r="644" spans="1:3" ht="15" customHeight="1" x14ac:dyDescent="0.3">
      <c r="A644" s="210" t="s">
        <v>1069</v>
      </c>
      <c r="B644" s="208">
        <f>FRACa.s1R*(Kaw.R*FRorig.s1w)+FRACw.s1R+FRACs.s1R*Kp.s1R*RHOsolid/1000</f>
        <v>23.304108643447179</v>
      </c>
      <c r="C644" s="209" t="s">
        <v>36</v>
      </c>
    </row>
    <row r="645" spans="1:3" ht="15" customHeight="1" x14ac:dyDescent="0.3">
      <c r="A645" s="210" t="s">
        <v>481</v>
      </c>
      <c r="B645" s="208">
        <f>FRACa.s2C*(Kaw.C*FRorig.s2w)+FRACw.s2C+FRACs.s2C*Kp.s2C*RHOsolid/1000</f>
        <v>23.304108643447179</v>
      </c>
      <c r="C645" s="209" t="s">
        <v>36</v>
      </c>
    </row>
    <row r="646" spans="1:3" ht="15" customHeight="1" x14ac:dyDescent="0.3">
      <c r="A646" s="210" t="s">
        <v>1071</v>
      </c>
      <c r="B646" s="208">
        <f>FRACa.s2R*(Kaw.R*FRorig.s2w)+FRACw.s2R+FRACs.s2R*Kp.s2R*RHOsolid/1000</f>
        <v>23.304108643447179</v>
      </c>
      <c r="C646" s="209" t="s">
        <v>36</v>
      </c>
    </row>
    <row r="647" spans="1:3" ht="15" customHeight="1" x14ac:dyDescent="0.3">
      <c r="A647" s="210" t="s">
        <v>483</v>
      </c>
      <c r="B647" s="208">
        <f>FRACa.s3C*(Kaw.C*FRorig.s3w)+FRACw.s3C+FRACs.s3C*Kp.s3C*RHOsolid/1000</f>
        <v>23.304108643447179</v>
      </c>
      <c r="C647" s="209" t="s">
        <v>36</v>
      </c>
    </row>
    <row r="648" spans="1:3" ht="15" customHeight="1" x14ac:dyDescent="0.3">
      <c r="A648" s="210" t="s">
        <v>1073</v>
      </c>
      <c r="B648" s="208">
        <f>FRACa.s3R*(Kaw.R*FRorig.s3w)+FRACw.s3R+FRACs.s3R*Kp.s3R*RHOsolid/1000</f>
        <v>23.304108643447179</v>
      </c>
      <c r="C648" s="209" t="s">
        <v>36</v>
      </c>
    </row>
    <row r="649" spans="1:3" ht="15" customHeight="1" x14ac:dyDescent="0.3">
      <c r="A649" s="210" t="s">
        <v>411</v>
      </c>
      <c r="B649" s="208">
        <f>FRACw.sdA+FRACs.sdA*Kp.sdA*RHOsolid/1000</f>
        <v>20.038448088136601</v>
      </c>
      <c r="C649" s="209" t="s">
        <v>36</v>
      </c>
    </row>
    <row r="650" spans="1:3" ht="15" customHeight="1" x14ac:dyDescent="0.3">
      <c r="A650" s="210" t="s">
        <v>438</v>
      </c>
      <c r="B650" s="208">
        <f>FRACw.sdM+FRACs.sdM*Kp.sdM*RHOsolid/1000</f>
        <v>20.038448088136601</v>
      </c>
      <c r="C650" s="209" t="s">
        <v>36</v>
      </c>
    </row>
    <row r="651" spans="1:3" ht="15" customHeight="1" x14ac:dyDescent="0.3">
      <c r="A651" s="210" t="s">
        <v>113</v>
      </c>
      <c r="B651" s="208">
        <f>FRACw.sdT+FRACs.sdT*Kp.sdT*RHOsolid/1000</f>
        <v>20.038448088136601</v>
      </c>
      <c r="C651" s="209" t="s">
        <v>36</v>
      </c>
    </row>
    <row r="652" spans="1:3" ht="15" customHeight="1" x14ac:dyDescent="0.3">
      <c r="A652" s="210" t="s">
        <v>1111</v>
      </c>
      <c r="B652" s="208">
        <f>FRACw.sdC+FRACs.sdC*Kp.sd1C*RHOsolid/1000</f>
        <v>20.038448088136601</v>
      </c>
      <c r="C652" s="209" t="s">
        <v>36</v>
      </c>
    </row>
    <row r="653" spans="1:3" ht="15" customHeight="1" x14ac:dyDescent="0.3">
      <c r="A653" s="210" t="s">
        <v>466</v>
      </c>
      <c r="B653" s="217">
        <f>FRACw.sdR+FRACs.sdR*Kp.sd1R*RHOsolid/1000</f>
        <v>20.038448088136601</v>
      </c>
      <c r="C653" s="209" t="s">
        <v>36</v>
      </c>
    </row>
    <row r="654" spans="1:3" ht="15" customHeight="1" x14ac:dyDescent="0.3">
      <c r="A654" s="210" t="s">
        <v>1299</v>
      </c>
      <c r="B654" s="208">
        <f>FRACw.sdC+FRACs.sdC*Kp.sd2C*RHOsolid/1000</f>
        <v>20.038448088136601</v>
      </c>
      <c r="C654" s="209" t="s">
        <v>36</v>
      </c>
    </row>
    <row r="655" spans="1:3" ht="15" customHeight="1" x14ac:dyDescent="0.3">
      <c r="A655" s="210" t="s">
        <v>1067</v>
      </c>
      <c r="B655" s="208">
        <f>FRACw.sdR+FRACs.sdR*Kp.sd2R*RHOsolid/1000</f>
        <v>20.038448088136601</v>
      </c>
      <c r="C655" s="209" t="s">
        <v>36</v>
      </c>
    </row>
    <row r="656" spans="1:3" ht="15" customHeight="1" x14ac:dyDescent="0.3">
      <c r="A656" s="210" t="s">
        <v>2056</v>
      </c>
      <c r="B656" s="208">
        <f>FRACa.sA*(Kaw.A*FRorig.s1w)+FRACw.sA+FRACs.sA*Kp.sA*RHOsolid/1000</f>
        <v>23.291443049929764</v>
      </c>
      <c r="C656" s="209" t="s">
        <v>36</v>
      </c>
    </row>
    <row r="657" spans="1:3" ht="15" customHeight="1" x14ac:dyDescent="0.3">
      <c r="A657" s="210" t="s">
        <v>2055</v>
      </c>
      <c r="B657" s="208">
        <f>FRACa.sM*(Kaw.M*FRorig.s1w)+FRACw.sM+FRACs.sM*Kp.sM*RHOsolid/1000</f>
        <v>23.304108643447179</v>
      </c>
      <c r="C657" s="209" t="s">
        <v>36</v>
      </c>
    </row>
    <row r="658" spans="1:3" ht="15" customHeight="1" x14ac:dyDescent="0.3">
      <c r="A658" s="210" t="s">
        <v>2049</v>
      </c>
      <c r="B658" s="208">
        <f>FRACa.sT*(Kaw.T*FRorig.s1w)+FRACw.sT+FRACs.sT*Kp.sT*RHOsolid/1000</f>
        <v>23.320000164238103</v>
      </c>
      <c r="C658" s="209" t="s">
        <v>36</v>
      </c>
    </row>
    <row r="659" spans="1:3" ht="15" customHeight="1" x14ac:dyDescent="0.3">
      <c r="A659" s="207" t="s">
        <v>760</v>
      </c>
      <c r="B659" s="208" t="e">
        <f>(AerosolWashout.A+GasWashout.A)/HEIGHT.aA + (GASABSflow.aA.w2A+GASABSflow.aA.sA)/VOLUME.aA+KDEG.aA</f>
        <v>#NAME?</v>
      </c>
      <c r="C659" s="209" t="s">
        <v>2081</v>
      </c>
    </row>
    <row r="660" spans="1:3" ht="15" customHeight="1" x14ac:dyDescent="0.3">
      <c r="A660" s="207" t="s">
        <v>999</v>
      </c>
      <c r="B660" s="208" t="e">
        <f>(AerosolWashout.C+GasWashout.C)/HEIGHT.aC + (GASABSflow.aC.w1C+GASABSflow.aC.w2C+GASABSflow.aC.s1C+GASABSflow.aC.s2C+GASABSflow.aC.s3C)/VOLUME.aC+KDEG.aC</f>
        <v>#NAME?</v>
      </c>
      <c r="C660" s="209" t="s">
        <v>2081</v>
      </c>
    </row>
    <row r="661" spans="1:3" ht="15" customHeight="1" x14ac:dyDescent="0.3">
      <c r="A661" s="207" t="s">
        <v>752</v>
      </c>
      <c r="B661" s="208" t="e">
        <f>(AerosolWashout.M+GasWashout.M)/HEIGHT.aM + (GASABSflow.aM.w2M+GASABSflow.aM.sM)/VOLUME.aM+KDEG.aM</f>
        <v>#NAME?</v>
      </c>
      <c r="C661" s="209" t="s">
        <v>2081</v>
      </c>
    </row>
    <row r="662" spans="1:3" ht="15" customHeight="1" x14ac:dyDescent="0.3">
      <c r="A662" s="207" t="s">
        <v>928</v>
      </c>
      <c r="B662" s="208" t="e">
        <f>(AerosolWashout.R+GasWashout.R)/HEIGHT.aR + (GASABSflow.aR.w1R+GASABSflow.aR.w2R+GASABSflow.aR.s1R+GASABSflow.aR.s2R+GASABSflow.aR.s3R)/VOLUME.aR+KDEG.aR</f>
        <v>#NAME?</v>
      </c>
      <c r="C662" s="209" t="s">
        <v>2081</v>
      </c>
    </row>
    <row r="663" spans="1:3" ht="15" customHeight="1" x14ac:dyDescent="0.3">
      <c r="A663" s="207" t="s">
        <v>429</v>
      </c>
      <c r="B663" s="208" t="e">
        <f>(AerosolWashout.T+GasWashout.T)/HEIGHT.aT + (GASABSflow.aT.w2T+GASABSflow.aT.sT)/VOLUME.aT+KDEG.aT</f>
        <v>#NAME?</v>
      </c>
      <c r="C663" s="209" t="s">
        <v>2081</v>
      </c>
    </row>
    <row r="664" spans="1:3" ht="15" customHeight="1" x14ac:dyDescent="0.3">
      <c r="A664" s="206" t="s">
        <v>1289</v>
      </c>
      <c r="B664" s="213">
        <v>2.7779999999999998E-8</v>
      </c>
      <c r="C664" s="211" t="s">
        <v>2072</v>
      </c>
    </row>
    <row r="665" spans="1:3" ht="15" customHeight="1" x14ac:dyDescent="0.3">
      <c r="A665" s="206" t="s">
        <v>666</v>
      </c>
      <c r="B665" s="213">
        <v>2.7779999999999998E-8</v>
      </c>
      <c r="C665" s="212" t="s">
        <v>2072</v>
      </c>
    </row>
    <row r="666" spans="1:3" ht="15" customHeight="1" x14ac:dyDescent="0.3">
      <c r="A666" s="206" t="s">
        <v>468</v>
      </c>
      <c r="B666" s="213">
        <v>2.7779999999999998E-8</v>
      </c>
      <c r="C666" s="211" t="s">
        <v>2072</v>
      </c>
    </row>
    <row r="667" spans="1:3" ht="15" customHeight="1" x14ac:dyDescent="0.3">
      <c r="A667" s="206" t="s">
        <v>976</v>
      </c>
      <c r="B667" s="208">
        <v>2.7780000000000001E-8</v>
      </c>
      <c r="C667" s="212" t="s">
        <v>2072</v>
      </c>
    </row>
    <row r="668" spans="1:3" ht="15" customHeight="1" x14ac:dyDescent="0.3">
      <c r="A668" s="206" t="s">
        <v>49</v>
      </c>
      <c r="B668" s="213">
        <v>2.7779999999999998E-8</v>
      </c>
      <c r="C668" s="211" t="s">
        <v>2072</v>
      </c>
    </row>
    <row r="669" spans="1:3" ht="15" customHeight="1" x14ac:dyDescent="0.3">
      <c r="A669" s="206" t="s">
        <v>1288</v>
      </c>
      <c r="B669" s="213">
        <v>2.7779999999999999E-6</v>
      </c>
      <c r="C669" s="211" t="s">
        <v>2072</v>
      </c>
    </row>
    <row r="670" spans="1:3" ht="15" customHeight="1" x14ac:dyDescent="0.3">
      <c r="A670" s="206" t="s">
        <v>665</v>
      </c>
      <c r="B670" s="213">
        <v>2.7779999999999999E-6</v>
      </c>
      <c r="C670" s="212" t="s">
        <v>2072</v>
      </c>
    </row>
    <row r="671" spans="1:3" ht="15" customHeight="1" x14ac:dyDescent="0.3">
      <c r="A671" s="206" t="s">
        <v>467</v>
      </c>
      <c r="B671" s="213">
        <v>2.7779999999999999E-6</v>
      </c>
      <c r="C671" s="211" t="s">
        <v>2072</v>
      </c>
    </row>
    <row r="672" spans="1:3" ht="15" customHeight="1" x14ac:dyDescent="0.3">
      <c r="A672" s="206" t="s">
        <v>975</v>
      </c>
      <c r="B672" s="208">
        <v>2.7779999999999999E-6</v>
      </c>
      <c r="C672" s="212" t="s">
        <v>2072</v>
      </c>
    </row>
    <row r="673" spans="1:3" ht="15" customHeight="1" x14ac:dyDescent="0.3">
      <c r="A673" s="206" t="s">
        <v>1173</v>
      </c>
      <c r="B673" s="213">
        <v>2.7779999999999999E-6</v>
      </c>
      <c r="C673" s="211" t="s">
        <v>2072</v>
      </c>
    </row>
    <row r="674" spans="1:3" ht="15" customHeight="1" x14ac:dyDescent="0.3">
      <c r="A674" s="207" t="s">
        <v>420</v>
      </c>
      <c r="B674" s="208">
        <f>FRACinf.s1C*RAINrate.C/Ks1w.C*SYSTEMAREA.C*AREAFRAC.s1C*CORRleach.s1C</f>
        <v>2.044745434437842</v>
      </c>
      <c r="C674" s="209" t="s">
        <v>2071</v>
      </c>
    </row>
    <row r="675" spans="1:3" ht="15" customHeight="1" x14ac:dyDescent="0.3">
      <c r="A675" s="207" t="s">
        <v>1220</v>
      </c>
      <c r="B675" s="208">
        <f>FRACinf.s1R*RAINrate.R/Ks1w.R*SYSTEMAREA.R*AREAFRAC.s1R*CORRleach.s1R</f>
        <v>0.12582549151802239</v>
      </c>
      <c r="C675" s="209" t="s">
        <v>2071</v>
      </c>
    </row>
    <row r="676" spans="1:3" ht="15" customHeight="1" x14ac:dyDescent="0.3">
      <c r="A676" s="207" t="s">
        <v>421</v>
      </c>
      <c r="B676" s="208">
        <f>FRACinf.s2C*RAINrate.C/Ks2w.C*SYSTEMAREA.C*AREAFRAC.s2C*CORRleach.s2C</f>
        <v>8.2708450421022661</v>
      </c>
      <c r="C676" s="209" t="s">
        <v>2071</v>
      </c>
    </row>
    <row r="677" spans="1:3" ht="15" customHeight="1" x14ac:dyDescent="0.3">
      <c r="A677" s="207" t="s">
        <v>1221</v>
      </c>
      <c r="B677" s="208">
        <f>FRACinf.s2R*RAINrate.R/Ks2w.R*SYSTEMAREA.R*AREAFRAC.s2R*CORRleach.s2R</f>
        <v>0.50895486800684753</v>
      </c>
      <c r="C677" s="209" t="s">
        <v>2071</v>
      </c>
    </row>
    <row r="678" spans="1:3" ht="15" customHeight="1" x14ac:dyDescent="0.3">
      <c r="A678" s="207" t="s">
        <v>422</v>
      </c>
      <c r="B678" s="208">
        <f>FRACinf.s3C*RAINrate.C/Ks3w.C*SYSTEMAREA.C*AREAFRAC.s3C*CORRleach.s3C</f>
        <v>0.75731312386586747</v>
      </c>
      <c r="C678" s="209" t="s">
        <v>2071</v>
      </c>
    </row>
    <row r="679" spans="1:3" ht="15" customHeight="1" x14ac:dyDescent="0.3">
      <c r="A679" s="207" t="s">
        <v>1222</v>
      </c>
      <c r="B679" s="208">
        <f>FRACinf.s3R*RAINrate.R/Ks3w.R*SYSTEMAREA.R*AREAFRAC.s3R*CORRleach.s3R</f>
        <v>4.6602033895563839E-2</v>
      </c>
      <c r="C679" s="209" t="s">
        <v>2071</v>
      </c>
    </row>
    <row r="680" spans="1:3" ht="15" customHeight="1" x14ac:dyDescent="0.3">
      <c r="A680" s="207" t="s">
        <v>876</v>
      </c>
      <c r="B680" s="208">
        <f>FRACinf.sA*RAINrate.A/Kslw.A*SYSTEMAREA.A*AREAFRAC.sA*CORRleach.sA</f>
        <v>12.385474025053155</v>
      </c>
      <c r="C680" s="209" t="s">
        <v>2071</v>
      </c>
    </row>
    <row r="681" spans="1:3" ht="15" customHeight="1" x14ac:dyDescent="0.3">
      <c r="A681" s="207" t="s">
        <v>783</v>
      </c>
      <c r="B681" s="217">
        <f>FRACinf.sM*RAINrate.M/Kslw.M*SYSTEMAREA.M*AREAFRAC.sM*CORRleach.sM</f>
        <v>78.844037510554301</v>
      </c>
      <c r="C681" s="209" t="s">
        <v>2071</v>
      </c>
    </row>
    <row r="682" spans="1:3" ht="15" customHeight="1" x14ac:dyDescent="0.3">
      <c r="A682" s="207" t="s">
        <v>1392</v>
      </c>
      <c r="B682" s="208">
        <f>FRACinf.sT*RAINrate.T/Kslw.T*SYSTEMAREA.T*AREAFRAC.sT*CORRleach.sT</f>
        <v>144.73259271741165</v>
      </c>
      <c r="C682" s="209" t="s">
        <v>2071</v>
      </c>
    </row>
    <row r="683" spans="1:3" ht="15" customHeight="1" x14ac:dyDescent="0.3">
      <c r="A683" s="206" t="s">
        <v>2023</v>
      </c>
      <c r="B683" s="208">
        <f>0.43/(24*3600)/0.00475</f>
        <v>1.0477582846003899E-3</v>
      </c>
      <c r="C683" s="211" t="s">
        <v>2072</v>
      </c>
    </row>
    <row r="684" spans="1:3" ht="15" customHeight="1" x14ac:dyDescent="0.3">
      <c r="A684" s="206" t="s">
        <v>2031</v>
      </c>
      <c r="B684" s="208">
        <f>0.43/(24*3600)/0.00475</f>
        <v>1.0477582846003899E-3</v>
      </c>
      <c r="C684" s="212" t="s">
        <v>2072</v>
      </c>
    </row>
    <row r="685" spans="1:3" ht="15" customHeight="1" x14ac:dyDescent="0.3">
      <c r="A685" s="206" t="s">
        <v>2039</v>
      </c>
      <c r="B685" s="208">
        <f>0.43/(24*3600)/0.00475</f>
        <v>1.0477582846003899E-3</v>
      </c>
      <c r="C685" s="211" t="s">
        <v>2072</v>
      </c>
    </row>
    <row r="686" spans="1:3" ht="15" customHeight="1" x14ac:dyDescent="0.3">
      <c r="A686" s="206" t="s">
        <v>2027</v>
      </c>
      <c r="B686" s="208">
        <f>0.43/(24*3600)/0.00475</f>
        <v>1.0477582846003899E-3</v>
      </c>
      <c r="C686" s="212" t="s">
        <v>2072</v>
      </c>
    </row>
    <row r="687" spans="1:3" ht="15" customHeight="1" x14ac:dyDescent="0.3">
      <c r="A687" s="206" t="s">
        <v>2052</v>
      </c>
      <c r="B687" s="208">
        <f>0.43/(24*3600)/0.00475</f>
        <v>1.0477582846003899E-3</v>
      </c>
      <c r="C687" s="211" t="s">
        <v>2072</v>
      </c>
    </row>
    <row r="688" spans="1:3" ht="15" customHeight="1" x14ac:dyDescent="0.3">
      <c r="A688" s="206" t="s">
        <v>2024</v>
      </c>
      <c r="B688" s="208">
        <f>0.1*KDEG.sA</f>
        <v>9.4575531983700746E-10</v>
      </c>
      <c r="C688" s="212" t="s">
        <v>2072</v>
      </c>
    </row>
    <row r="689" spans="1:3" ht="15" customHeight="1" x14ac:dyDescent="0.3">
      <c r="A689" s="206" t="s">
        <v>2032</v>
      </c>
      <c r="B689" s="215">
        <f>0.1*KDEG.s1C</f>
        <v>4.3455503205058606E-9</v>
      </c>
      <c r="C689" s="212" t="s">
        <v>2072</v>
      </c>
    </row>
    <row r="690" spans="1:3" ht="15" customHeight="1" x14ac:dyDescent="0.3">
      <c r="A690" s="206" t="s">
        <v>2040</v>
      </c>
      <c r="B690" s="208">
        <f>0.1*KDEG.sM</f>
        <v>4.3455503205058606E-9</v>
      </c>
      <c r="C690" s="212" t="s">
        <v>2072</v>
      </c>
    </row>
    <row r="691" spans="1:3" ht="15" customHeight="1" x14ac:dyDescent="0.3">
      <c r="A691" s="206" t="s">
        <v>2028</v>
      </c>
      <c r="B691" s="208">
        <f>0.1*KDEG.s1R</f>
        <v>4.3455503205058606E-9</v>
      </c>
      <c r="C691" s="212" t="s">
        <v>2072</v>
      </c>
    </row>
    <row r="692" spans="1:3" ht="15" customHeight="1" x14ac:dyDescent="0.3">
      <c r="A692" s="206" t="s">
        <v>2053</v>
      </c>
      <c r="B692" s="208">
        <f>0.1*KDEG.sT</f>
        <v>1.0700000000000002E-8</v>
      </c>
      <c r="C692" s="212" t="s">
        <v>2072</v>
      </c>
    </row>
    <row r="693" spans="1:3" ht="15" customHeight="1" x14ac:dyDescent="0.3">
      <c r="A693" s="206" t="s">
        <v>2021</v>
      </c>
      <c r="B693" s="208">
        <f>0.01*(0.3+0.2*WINDspeed.A)*((0.018/Molweight)^(0.67*0.5))</f>
        <v>4.4535618852450994E-3</v>
      </c>
      <c r="C693" s="211" t="s">
        <v>2072</v>
      </c>
    </row>
    <row r="694" spans="1:3" ht="15" customHeight="1" x14ac:dyDescent="0.3">
      <c r="A694" s="206" t="s">
        <v>2029</v>
      </c>
      <c r="B694" s="208">
        <f>0.01*(0.3+0.2*WINDspeed.C)*((0.018/Molweight)^(0.67*0.5))</f>
        <v>4.4535618852450994E-3</v>
      </c>
      <c r="C694" s="212" t="s">
        <v>2072</v>
      </c>
    </row>
    <row r="695" spans="1:3" ht="15" customHeight="1" x14ac:dyDescent="0.3">
      <c r="A695" s="206" t="s">
        <v>2037</v>
      </c>
      <c r="B695" s="208">
        <f>0.01*(0.3+0.2*WINDspeed.M)*((0.018/Molweight)^(0.67*0.5))</f>
        <v>4.4535618852450994E-3</v>
      </c>
      <c r="C695" s="211" t="s">
        <v>2072</v>
      </c>
    </row>
    <row r="696" spans="1:3" ht="15" customHeight="1" x14ac:dyDescent="0.3">
      <c r="A696" s="206" t="s">
        <v>2025</v>
      </c>
      <c r="B696" s="208">
        <f>0.01*(0.3+0.2*WINDspeed.R)*((0.018/Molweight)^(0.67*0.5))</f>
        <v>4.4535618852450994E-3</v>
      </c>
      <c r="C696" s="212" t="s">
        <v>2072</v>
      </c>
    </row>
    <row r="697" spans="1:3" ht="15" customHeight="1" x14ac:dyDescent="0.3">
      <c r="A697" s="206" t="s">
        <v>2050</v>
      </c>
      <c r="B697" s="208">
        <f>0.01*(0.3+0.2*WINDspeed.T)*((0.018/Molweight)^(0.67*0.5))</f>
        <v>4.4535618852450994E-3</v>
      </c>
      <c r="C697" s="211" t="s">
        <v>2072</v>
      </c>
    </row>
    <row r="698" spans="1:3" ht="15" customHeight="1" x14ac:dyDescent="0.3">
      <c r="A698" s="206" t="s">
        <v>2022</v>
      </c>
      <c r="B698" s="208">
        <f>0.01*(0.0004+0.00004*WINDspeed.A^2)*((0.032/Molweight)^(0.5*0.5))</f>
        <v>5.191247717588049E-6</v>
      </c>
      <c r="C698" s="211" t="s">
        <v>2072</v>
      </c>
    </row>
    <row r="699" spans="1:3" ht="15" customHeight="1" x14ac:dyDescent="0.3">
      <c r="A699" s="206" t="s">
        <v>2030</v>
      </c>
      <c r="B699" s="208">
        <f>0.01*(0.0004+0.00004*WINDspeed.C^2)*((0.032/Molweight)^(0.5*0.5))</f>
        <v>5.191247717588049E-6</v>
      </c>
      <c r="C699" s="212" t="s">
        <v>2072</v>
      </c>
    </row>
    <row r="700" spans="1:3" ht="15" customHeight="1" x14ac:dyDescent="0.3">
      <c r="A700" s="206" t="s">
        <v>2038</v>
      </c>
      <c r="B700" s="208">
        <f>0.01*(0.0004+0.00004*WINDspeed.M^2)*((0.032/Molweight)^(0.5*0.5))</f>
        <v>5.191247717588049E-6</v>
      </c>
      <c r="C700" s="211" t="s">
        <v>2072</v>
      </c>
    </row>
    <row r="701" spans="1:3" ht="15" customHeight="1" x14ac:dyDescent="0.3">
      <c r="A701" s="206" t="s">
        <v>2026</v>
      </c>
      <c r="B701" s="208">
        <f>0.01*(0.0004+0.00004*WINDspeed.R^2)*((0.032/Molweight)^(0.5*0.5))</f>
        <v>5.191247717588049E-6</v>
      </c>
      <c r="C701" s="212" t="s">
        <v>2072</v>
      </c>
    </row>
    <row r="702" spans="1:3" ht="15" customHeight="1" x14ac:dyDescent="0.3">
      <c r="A702" s="206" t="s">
        <v>2051</v>
      </c>
      <c r="B702" s="208">
        <f>0.01*(0.0004+0.00004*WINDspeed.T^2)*((0.032/Molweight)^(0.5*0.5))</f>
        <v>5.191247717588049E-6</v>
      </c>
      <c r="C702" s="211" t="s">
        <v>2072</v>
      </c>
    </row>
    <row r="703" spans="1:3" ht="15" customHeight="1" x14ac:dyDescent="0.3">
      <c r="A703" s="210" t="s">
        <v>503</v>
      </c>
      <c r="B703" s="208">
        <v>8.6226851854606775E-11</v>
      </c>
      <c r="C703" s="212" t="s">
        <v>2072</v>
      </c>
    </row>
    <row r="704" spans="1:3" ht="15" customHeight="1" x14ac:dyDescent="0.3">
      <c r="A704" s="210" t="s">
        <v>1083</v>
      </c>
      <c r="B704" s="208">
        <v>8.6861047691527155E-11</v>
      </c>
      <c r="C704" s="212" t="s">
        <v>2072</v>
      </c>
    </row>
    <row r="705" spans="1:3" ht="15" customHeight="1" x14ac:dyDescent="0.3">
      <c r="A705" s="210" t="s">
        <v>660</v>
      </c>
      <c r="B705" s="208">
        <v>0</v>
      </c>
      <c r="C705" s="212" t="s">
        <v>2072</v>
      </c>
    </row>
    <row r="706" spans="1:3" ht="15" customHeight="1" x14ac:dyDescent="0.3">
      <c r="A706" s="210" t="s">
        <v>1084</v>
      </c>
      <c r="B706" s="208">
        <v>2.7428797247595103E-11</v>
      </c>
      <c r="C706" s="212" t="s">
        <v>2072</v>
      </c>
    </row>
    <row r="707" spans="1:3" ht="15" customHeight="1" x14ac:dyDescent="0.3">
      <c r="A707" s="210" t="s">
        <v>1287</v>
      </c>
      <c r="B707" s="208">
        <v>6.3419583967528499E-14</v>
      </c>
      <c r="C707" s="211" t="s">
        <v>2072</v>
      </c>
    </row>
    <row r="708" spans="1:3" ht="15" customHeight="1" x14ac:dyDescent="0.3">
      <c r="A708" s="210" t="s">
        <v>202</v>
      </c>
      <c r="B708" s="208">
        <v>8.9518029439684741E-14</v>
      </c>
      <c r="C708" s="211" t="s">
        <v>2072</v>
      </c>
    </row>
    <row r="709" spans="1:3" ht="15" customHeight="1" x14ac:dyDescent="0.3">
      <c r="A709" s="210" t="s">
        <v>780</v>
      </c>
      <c r="B709" s="208">
        <v>6.3419583967529484E-14</v>
      </c>
      <c r="C709" s="211" t="s">
        <v>2072</v>
      </c>
    </row>
    <row r="710" spans="1:3" ht="15" customHeight="1" x14ac:dyDescent="0.3">
      <c r="A710" s="207" t="s">
        <v>1277</v>
      </c>
      <c r="B710" s="208">
        <v>150000000</v>
      </c>
      <c r="C710" s="206" t="s">
        <v>2071</v>
      </c>
    </row>
    <row r="711" spans="1:3" ht="15" customHeight="1" x14ac:dyDescent="0.3">
      <c r="A711" s="207" t="s">
        <v>1281</v>
      </c>
      <c r="B711" s="208">
        <f>VOLUME.w2A/TAU.surfA</f>
        <v>536616161.61616164</v>
      </c>
      <c r="C711" s="206" t="s">
        <v>2071</v>
      </c>
    </row>
    <row r="712" spans="1:3" ht="15" customHeight="1" x14ac:dyDescent="0.3">
      <c r="A712" s="207" t="s">
        <v>1280</v>
      </c>
      <c r="B712" s="208">
        <f>VOLUME.w2M/TAU.surfM</f>
        <v>813779566.49831653</v>
      </c>
      <c r="C712" s="206" t="s">
        <v>2071</v>
      </c>
    </row>
    <row r="713" spans="1:3" ht="15" customHeight="1" x14ac:dyDescent="0.3">
      <c r="A713" s="207" t="s">
        <v>1283</v>
      </c>
      <c r="B713" s="208">
        <f>VOLUME.w2T/TAU.surfT</f>
        <v>1878156565.6565654</v>
      </c>
      <c r="C713" s="206" t="s">
        <v>2071</v>
      </c>
    </row>
    <row r="714" spans="1:3" ht="15" customHeight="1" x14ac:dyDescent="0.3">
      <c r="A714" s="209" t="s">
        <v>644</v>
      </c>
      <c r="B714" s="208">
        <v>3</v>
      </c>
      <c r="C714" s="209" t="s">
        <v>36</v>
      </c>
    </row>
    <row r="715" spans="1:3" ht="15" customHeight="1" x14ac:dyDescent="0.3">
      <c r="A715" s="209" t="s">
        <v>219</v>
      </c>
      <c r="B715" s="208">
        <v>5</v>
      </c>
      <c r="C715" s="209" t="s">
        <v>36</v>
      </c>
    </row>
    <row r="716" spans="1:3" ht="15" customHeight="1" x14ac:dyDescent="0.3">
      <c r="A716" s="209" t="s">
        <v>220</v>
      </c>
      <c r="B716" s="208">
        <v>7</v>
      </c>
      <c r="C716" s="209" t="s">
        <v>36</v>
      </c>
    </row>
    <row r="717" spans="1:3" ht="15" customHeight="1" x14ac:dyDescent="0.3">
      <c r="A717" s="209" t="s">
        <v>221</v>
      </c>
      <c r="B717" s="208">
        <v>7</v>
      </c>
      <c r="C717" s="209" t="s">
        <v>36</v>
      </c>
    </row>
    <row r="718" spans="1:3" ht="15" customHeight="1" x14ac:dyDescent="0.3">
      <c r="A718" s="209" t="s">
        <v>218</v>
      </c>
      <c r="B718" s="208">
        <v>7</v>
      </c>
      <c r="C718" s="209" t="s">
        <v>36</v>
      </c>
    </row>
    <row r="719" spans="1:3" ht="15" customHeight="1" x14ac:dyDescent="0.3">
      <c r="A719" s="209" t="s">
        <v>222</v>
      </c>
      <c r="B719" s="208">
        <v>8</v>
      </c>
      <c r="C719" s="209" t="s">
        <v>36</v>
      </c>
    </row>
    <row r="720" spans="1:3" ht="15" customHeight="1" x14ac:dyDescent="0.3">
      <c r="A720" s="209" t="s">
        <v>1339</v>
      </c>
      <c r="B720" s="213">
        <v>7</v>
      </c>
      <c r="C720" s="209"/>
    </row>
    <row r="721" spans="1:3" ht="15" customHeight="1" x14ac:dyDescent="0.3">
      <c r="A721" s="206" t="s">
        <v>1348</v>
      </c>
      <c r="B721" s="215">
        <f>IF(Tm&gt;298,EXP(-6.79*(1-Tm/298))*Pvap25*EXP((H0vap/8.314)*(1/298-1/TEMP.A)),Pvap25*EXP((H0vap/8.314)*(1/298-1/TEMP.A)))</f>
        <v>34.762780277620003</v>
      </c>
      <c r="C721" s="206" t="s">
        <v>487</v>
      </c>
    </row>
    <row r="722" spans="1:3" ht="15" customHeight="1" x14ac:dyDescent="0.3">
      <c r="A722" s="209" t="s">
        <v>1346</v>
      </c>
      <c r="B722" s="215">
        <f>IF(Tm&gt;298,EXP(-6.79*(1-Tm/298))*Pvap25*EXP((H0vap/8.314)*(1/298-1/TEMP.C)),Pvap25*EXP((H0vap/8.314)*(1/298-1/TEMP.C)))</f>
        <v>181.62679806048695</v>
      </c>
      <c r="C722" s="209" t="s">
        <v>487</v>
      </c>
    </row>
    <row r="723" spans="1:3" ht="15" customHeight="1" x14ac:dyDescent="0.3">
      <c r="A723" s="209" t="s">
        <v>1347</v>
      </c>
      <c r="B723" s="208">
        <f>IF(Tm&gt;298,EXP(-6.79*(1-Tm/298))*Pvap25*EXP((H0vap/8.314)*(1/298-1/TEMP.M)),Pvap25*EXP((H0vap/8.314)*(1/298-1/TEMP.M)))</f>
        <v>181.62679806048695</v>
      </c>
      <c r="C723" s="209" t="s">
        <v>487</v>
      </c>
    </row>
    <row r="724" spans="1:3" ht="15" customHeight="1" x14ac:dyDescent="0.3">
      <c r="A724" s="206" t="s">
        <v>1363</v>
      </c>
      <c r="B724" s="215">
        <f>IF(Tm&gt;298,EXP(-6.79*(1-Tm/298))*Pvap25*EXP((H0vap/8.314)*(1/298-1/TEMP.R)),Pvap25*EXP((H0vap/8.314)*(1/298-1/TEMP.R)))</f>
        <v>181.62679806048695</v>
      </c>
      <c r="C724" s="206" t="s">
        <v>487</v>
      </c>
    </row>
    <row r="725" spans="1:3" ht="15" customHeight="1" x14ac:dyDescent="0.3">
      <c r="A725" s="209" t="s">
        <v>1349</v>
      </c>
      <c r="B725" s="215">
        <f>IF(Tm&gt;298,EXP(-6.79*(1-Tm/298))*Pvap25*EXP((H0vap/8.314)*(1/298-1/TEMP.T)),Pvap25*EXP((H0vap/8.314)*(1/298-1/TEMP.T)))</f>
        <v>430.18581249800178</v>
      </c>
      <c r="C725" s="209" t="s">
        <v>487</v>
      </c>
    </row>
    <row r="726" spans="1:3" ht="15" customHeight="1" x14ac:dyDescent="0.3">
      <c r="A726" s="209" t="s">
        <v>267</v>
      </c>
      <c r="B726" s="213">
        <v>2</v>
      </c>
      <c r="C726" s="209" t="s">
        <v>36</v>
      </c>
    </row>
    <row r="727" spans="1:3" ht="15" customHeight="1" x14ac:dyDescent="0.3">
      <c r="A727" s="210" t="s">
        <v>495</v>
      </c>
      <c r="B727" s="208">
        <f>250/1000/(3600*24*365)</f>
        <v>7.9274479959411465E-9</v>
      </c>
      <c r="C727" s="212" t="s">
        <v>2072</v>
      </c>
    </row>
    <row r="728" spans="1:3" ht="15" customHeight="1" x14ac:dyDescent="0.3">
      <c r="A728" s="206" t="s">
        <v>1063</v>
      </c>
      <c r="B728" s="213">
        <f>700/1000/(3600*24*365)</f>
        <v>2.219685438863521E-8</v>
      </c>
      <c r="C728" s="212" t="s">
        <v>2072</v>
      </c>
    </row>
    <row r="729" spans="1:3" ht="15" customHeight="1" x14ac:dyDescent="0.3">
      <c r="A729" s="210" t="s">
        <v>961</v>
      </c>
      <c r="B729" s="208">
        <f>700/1000/(3600*24*365)</f>
        <v>2.219685438863521E-8</v>
      </c>
      <c r="C729" s="212" t="s">
        <v>2072</v>
      </c>
    </row>
    <row r="730" spans="1:3" ht="15" customHeight="1" x14ac:dyDescent="0.3">
      <c r="A730" s="206" t="s">
        <v>122</v>
      </c>
      <c r="B730" s="213">
        <f>700/1000/(3600*24*365)</f>
        <v>2.219685438863521E-8</v>
      </c>
      <c r="C730" s="212" t="s">
        <v>2072</v>
      </c>
    </row>
    <row r="731" spans="1:3" ht="15" customHeight="1" x14ac:dyDescent="0.3">
      <c r="A731" s="210" t="s">
        <v>955</v>
      </c>
      <c r="B731" s="213">
        <f>1300/1000/(3600*24*365)</f>
        <v>4.1222729578893962E-8</v>
      </c>
      <c r="C731" s="212" t="s">
        <v>2072</v>
      </c>
    </row>
    <row r="732" spans="1:3" ht="15" customHeight="1" x14ac:dyDescent="0.3">
      <c r="A732" s="207" t="s">
        <v>1059</v>
      </c>
      <c r="B732" s="208" t="e">
        <f>RESUSPrate.sd1C*SYSTEMAREA.C*AREAFRAC.w1C</f>
        <v>#NAME?</v>
      </c>
      <c r="C732" s="209" t="s">
        <v>2071</v>
      </c>
    </row>
    <row r="733" spans="1:3" ht="15" customHeight="1" x14ac:dyDescent="0.3">
      <c r="A733" s="207" t="s">
        <v>504</v>
      </c>
      <c r="B733" s="208" t="e">
        <f>RESUSPrate.sd1R*SYSTEMAREA.R*AREAFRAC.w1R</f>
        <v>#NAME?</v>
      </c>
      <c r="C733" s="209" t="s">
        <v>2071</v>
      </c>
    </row>
    <row r="734" spans="1:3" ht="15" customHeight="1" x14ac:dyDescent="0.3">
      <c r="A734" s="207" t="s">
        <v>1061</v>
      </c>
      <c r="B734" s="208" t="e">
        <f>RESUSPrate.sd2C*SYSTEMAREA.C*AREAFRAC.w2C</f>
        <v>#NAME?</v>
      </c>
      <c r="C734" s="209" t="s">
        <v>2071</v>
      </c>
    </row>
    <row r="735" spans="1:3" ht="15" customHeight="1" x14ac:dyDescent="0.3">
      <c r="A735" s="207" t="s">
        <v>506</v>
      </c>
      <c r="B735" s="208" t="e">
        <f>RESUSPrate.sd2R*SYSTEMAREA.R*AREAFRAC.w2R</f>
        <v>#NAME?</v>
      </c>
      <c r="C735" s="209" t="s">
        <v>2071</v>
      </c>
    </row>
    <row r="736" spans="1:3" ht="15" customHeight="1" x14ac:dyDescent="0.3">
      <c r="A736" s="207" t="s">
        <v>161</v>
      </c>
      <c r="B736" s="208" t="e">
        <f>RESUSPrate.sdA*SYSTEMAREA.A*AREAFRAC.wA</f>
        <v>#NAME?</v>
      </c>
      <c r="C736" s="206" t="s">
        <v>2071</v>
      </c>
    </row>
    <row r="737" spans="1:3" ht="15" customHeight="1" x14ac:dyDescent="0.3">
      <c r="A737" s="207" t="s">
        <v>153</v>
      </c>
      <c r="B737" s="208" t="e">
        <f>RESUSPrate.sdM*SYSTEMAREA.M*AREAFRAC.wM</f>
        <v>#NAME?</v>
      </c>
      <c r="C737" s="206" t="s">
        <v>2071</v>
      </c>
    </row>
    <row r="738" spans="1:3" ht="15" customHeight="1" x14ac:dyDescent="0.3">
      <c r="A738" s="207" t="s">
        <v>156</v>
      </c>
      <c r="B738" s="208" t="e">
        <f>RESUSPrate.sdT*SYSTEMAREA.T*AREAFRAC.wT</f>
        <v>#NAME?</v>
      </c>
      <c r="C738" s="206" t="s">
        <v>2071</v>
      </c>
    </row>
    <row r="739" spans="1:3" ht="15" customHeight="1" x14ac:dyDescent="0.3">
      <c r="A739" s="210" t="s">
        <v>497</v>
      </c>
      <c r="B739" s="208">
        <f>GROSSSEDrate.w1C-NETsedrate.w1C</f>
        <v>7.8182870370094893E-10</v>
      </c>
      <c r="C739" s="212" t="s">
        <v>2072</v>
      </c>
    </row>
    <row r="740" spans="1:3" ht="15" customHeight="1" x14ac:dyDescent="0.3">
      <c r="A740" s="210" t="s">
        <v>414</v>
      </c>
      <c r="B740" s="208">
        <f>GROSSSEDrate.w1R-NETsedrate.w1R</f>
        <v>7.8119450786402858E-10</v>
      </c>
      <c r="C740" s="212" t="s">
        <v>2072</v>
      </c>
    </row>
    <row r="741" spans="1:3" ht="15" customHeight="1" x14ac:dyDescent="0.3">
      <c r="A741" s="210" t="s">
        <v>499</v>
      </c>
      <c r="B741" s="208">
        <f>GROSSSEDrate.w2C-NETsedrate.w2C</f>
        <v>2.893518518518519E-10</v>
      </c>
      <c r="C741" s="212" t="s">
        <v>2072</v>
      </c>
    </row>
    <row r="742" spans="1:3" ht="15" customHeight="1" x14ac:dyDescent="0.3">
      <c r="A742" s="210" t="s">
        <v>416</v>
      </c>
      <c r="B742" s="208">
        <f>GROSSSEDrate.w2R-NETsedrate.w2R</f>
        <v>2.6192305460425681E-10</v>
      </c>
      <c r="C742" s="212" t="s">
        <v>2072</v>
      </c>
    </row>
    <row r="743" spans="1:3" ht="15" customHeight="1" x14ac:dyDescent="0.3">
      <c r="A743" s="210" t="s">
        <v>1284</v>
      </c>
      <c r="B743" s="208">
        <f>GROSSSEDrate.w3A-NETsedrate.wA</f>
        <v>2.8928843226788437E-10</v>
      </c>
      <c r="C743" s="211" t="s">
        <v>2072</v>
      </c>
    </row>
    <row r="744" spans="1:3" ht="15" customHeight="1" x14ac:dyDescent="0.3">
      <c r="A744" s="210" t="s">
        <v>1332</v>
      </c>
      <c r="B744" s="208">
        <f>GROSSSEDrate.w3M-NETsedrate.wM</f>
        <v>2.8926233382241219E-10</v>
      </c>
      <c r="C744" s="211" t="s">
        <v>2072</v>
      </c>
    </row>
    <row r="745" spans="1:3" ht="15" customHeight="1" x14ac:dyDescent="0.3">
      <c r="A745" s="210" t="s">
        <v>784</v>
      </c>
      <c r="B745" s="208">
        <f>GROSSSEDrate.w3T-NETsedrate.wT</f>
        <v>2.8928843226788437E-10</v>
      </c>
      <c r="C745" s="211" t="s">
        <v>2072</v>
      </c>
    </row>
    <row r="746" spans="1:3" ht="15" customHeight="1" x14ac:dyDescent="0.3">
      <c r="A746" s="206" t="s">
        <v>1544</v>
      </c>
      <c r="B746" s="208">
        <v>2000</v>
      </c>
      <c r="C746" s="209" t="s">
        <v>2085</v>
      </c>
    </row>
    <row r="747" spans="1:3" ht="15" customHeight="1" x14ac:dyDescent="0.3">
      <c r="A747" s="210" t="s">
        <v>985</v>
      </c>
      <c r="B747" s="213">
        <v>2500</v>
      </c>
      <c r="C747" s="209" t="s">
        <v>2085</v>
      </c>
    </row>
    <row r="748" spans="1:3" ht="15" customHeight="1" x14ac:dyDescent="0.3">
      <c r="A748" s="207" t="s">
        <v>568</v>
      </c>
      <c r="B748" s="208">
        <f>(RAINrate.C*FRACrun.s1C/Ks1w.C+EROSION.s1C)*SYSTEMAREA.C*AREAFRAC.s1C*CORRrunoff.s1C</f>
        <v>304.67947764924673</v>
      </c>
      <c r="C748" s="209" t="s">
        <v>2071</v>
      </c>
    </row>
    <row r="749" spans="1:3" ht="15" customHeight="1" x14ac:dyDescent="0.3">
      <c r="A749" s="207" t="s">
        <v>977</v>
      </c>
      <c r="B749" s="208">
        <f>(RAINrate.R*FRACrun.s1R/Ks1w.R+EROSION.s1R)*SYSTEMAREA.R*AREAFRAC.s1R*CORRrunoff.s1R</f>
        <v>18.748761770049171</v>
      </c>
      <c r="C749" s="209" t="s">
        <v>2071</v>
      </c>
    </row>
    <row r="750" spans="1:3" ht="15" customHeight="1" x14ac:dyDescent="0.3">
      <c r="A750" s="207" t="s">
        <v>569</v>
      </c>
      <c r="B750" s="208">
        <f>(RAINrate.C*FRACrun.s2C/Ks2w.C+EROSION.s2C)*SYSTEMAREA.C*AREAFRAC.s2C*CORRrunoff.s2C</f>
        <v>1232.4061003898939</v>
      </c>
      <c r="C750" s="209" t="s">
        <v>2071</v>
      </c>
    </row>
    <row r="751" spans="1:3" ht="15" customHeight="1" x14ac:dyDescent="0.3">
      <c r="A751" s="207" t="s">
        <v>978</v>
      </c>
      <c r="B751" s="208">
        <f>(RAINrate.R*FRACrun.s2R/Ks2w.R+EROSION.s2R)*SYSTEMAREA.R*AREAFRAC.s2R*CORRrunoff.s2R</f>
        <v>75.837363771397904</v>
      </c>
      <c r="C751" s="209" t="s">
        <v>2071</v>
      </c>
    </row>
    <row r="752" spans="1:3" ht="15" customHeight="1" x14ac:dyDescent="0.3">
      <c r="A752" s="207" t="s">
        <v>1096</v>
      </c>
      <c r="B752" s="208">
        <f>(RAINrate.C*FRACrun.s3C/Ks3w.C+EROSION.s3C)*SYSTEMAREA.C*AREAFRAC.s3C*CORRrunoff.s3C</f>
        <v>112.84425098120251</v>
      </c>
      <c r="C752" s="209" t="s">
        <v>2071</v>
      </c>
    </row>
    <row r="753" spans="1:3" ht="15" customHeight="1" x14ac:dyDescent="0.3">
      <c r="A753" s="207" t="s">
        <v>1095</v>
      </c>
      <c r="B753" s="208">
        <f>(RAINrate.R*FRACrun.s3R/Ks3w.R+EROSION.s3R)*SYSTEMAREA.R*AREAFRAC.s3R*CORRrunoff.s3R</f>
        <v>6.9439858407589519</v>
      </c>
      <c r="C753" s="209" t="s">
        <v>2071</v>
      </c>
    </row>
    <row r="754" spans="1:3" ht="15" customHeight="1" x14ac:dyDescent="0.3">
      <c r="A754" s="207" t="s">
        <v>921</v>
      </c>
      <c r="B754" s="208">
        <f>(RAINrate.A*FRACrun.sA/Kslw.A+EROSION.sA)*SYSTEMAREA.A*AREAFRAC.sA*CORRrunoff.sA</f>
        <v>1858.7178404557719</v>
      </c>
      <c r="C754" s="206" t="s">
        <v>2071</v>
      </c>
    </row>
    <row r="755" spans="1:3" ht="15" customHeight="1" x14ac:dyDescent="0.3">
      <c r="A755" s="207" t="s">
        <v>920</v>
      </c>
      <c r="B755" s="208">
        <f>(RAINrate.M*FRACrun.sM/Kslw.M+EROSION.sM)*SYSTEMAREA.M*AREAFRAC.sM*CORRrunoff.sM</f>
        <v>11748.240030220521</v>
      </c>
      <c r="C755" s="206" t="s">
        <v>2071</v>
      </c>
    </row>
    <row r="756" spans="1:3" ht="15" customHeight="1" x14ac:dyDescent="0.3">
      <c r="A756" s="207" t="s">
        <v>922</v>
      </c>
      <c r="B756" s="208">
        <f>(RAINrate.T*FRACrun.sT/Kslw.T+EROSION.sT)*SYSTEMAREA.T*AREAFRAC.sT*CORRrunoff.sT</f>
        <v>21526.459965480772</v>
      </c>
      <c r="C756" s="206" t="s">
        <v>2071</v>
      </c>
    </row>
    <row r="757" spans="1:3" ht="15" customHeight="1" x14ac:dyDescent="0.3">
      <c r="A757" s="207" t="s">
        <v>14</v>
      </c>
      <c r="B757" s="208">
        <f>(GROSSSEDrate.w1C*FRACs.sdC*RHOsolid/SUSP.w1C)*((Kp.susp1C*SUSP.w1C/1000)*FRw.w1C)*(SYSTEMAREA.C*AREAFRAC.w1C)</f>
        <v>3407.0118329991401</v>
      </c>
      <c r="C757" s="209" t="s">
        <v>2071</v>
      </c>
    </row>
    <row r="758" spans="1:3" ht="15" customHeight="1" x14ac:dyDescent="0.3">
      <c r="A758" s="207" t="s">
        <v>884</v>
      </c>
      <c r="B758" s="208">
        <f>(GROSSSEDrate.w1R*FRACs.sdR*RHOsolid/SUSP.w1R)*((Kp.susp1R*SUSP.w1R/1000)*FRw.w1R)*(SYSTEMAREA.R*AREAFRAC.w1R)</f>
        <v>209.6539409135269</v>
      </c>
      <c r="C758" s="209" t="s">
        <v>2071</v>
      </c>
    </row>
    <row r="759" spans="1:3" ht="15" customHeight="1" x14ac:dyDescent="0.3">
      <c r="A759" s="207" t="s">
        <v>1060</v>
      </c>
      <c r="B759" s="208">
        <f>(GROSSSEDrate.w2C*FRACs.sdC*RHOsolid/SUSP.w2C)*((Kp.susp2C*SUSP.w2C/1000)*FRw.w2C)*(SYSTEMAREA.C*AREAFRAC.w2C)</f>
        <v>41328.873614189142</v>
      </c>
      <c r="C759" s="209" t="s">
        <v>2071</v>
      </c>
    </row>
    <row r="760" spans="1:3" ht="15" customHeight="1" x14ac:dyDescent="0.3">
      <c r="A760" s="207" t="s">
        <v>505</v>
      </c>
      <c r="B760" s="208">
        <f>(GROSSSEDrate.w2R*FRACs.sdR*RHOsolid/SUSP.w2R)*((Kp.susp2R*SUSP.w2R/1000)*FRw.w2R)*(SYSTEMAREA.R*AREAFRAC.w2R)</f>
        <v>11.126632120360755</v>
      </c>
      <c r="C760" s="209" t="s">
        <v>2071</v>
      </c>
    </row>
    <row r="761" spans="1:3" ht="15" customHeight="1" x14ac:dyDescent="0.3">
      <c r="A761" s="207" t="s">
        <v>160</v>
      </c>
      <c r="B761" s="208">
        <f>(GROSSSEDrate.w3A*FRACs.sdA*RHOsolid/SUSP.w3A)*((Kp.susp3A*SUSP.w3A/1000)*FRw.w3A)*(SYSTEMAREA.A*AREAFRAC.wA)</f>
        <v>283729.11906919896</v>
      </c>
      <c r="C761" s="206" t="s">
        <v>2071</v>
      </c>
    </row>
    <row r="762" spans="1:3" ht="15" customHeight="1" x14ac:dyDescent="0.3">
      <c r="A762" s="207" t="s">
        <v>152</v>
      </c>
      <c r="B762" s="208">
        <f>(GROSSSEDrate.w3M*FRACs.sdM*RHOsolid/SUSP.w3M)*((Kp.susp3M*SUSP.w3M/1000)*FRw.w3M)*(SYSTEMAREA.M*AREAFRAC.wM)</f>
        <v>430275.82103320683</v>
      </c>
      <c r="C762" s="206" t="s">
        <v>2071</v>
      </c>
    </row>
    <row r="763" spans="1:3" ht="15" customHeight="1" x14ac:dyDescent="0.3">
      <c r="A763" s="207" t="s">
        <v>155</v>
      </c>
      <c r="B763" s="208">
        <f>(GROSSSEDrate.w3T*FRACs.sdT*RHOsolid/SUSP.w3T)*((Kp.susp3T*SUSP.w3T/1000)*FRw.w3T)*(SYSTEMAREA.T*AREAFRAC.wT)</f>
        <v>993051.91674219631</v>
      </c>
      <c r="C763" s="206" t="s">
        <v>2071</v>
      </c>
    </row>
    <row r="764" spans="1:3" ht="15" customHeight="1" x14ac:dyDescent="0.3">
      <c r="A764" s="210" t="s">
        <v>1285</v>
      </c>
      <c r="B764" s="208">
        <f>2.5/(24*3600)</f>
        <v>2.8935185185185186E-5</v>
      </c>
      <c r="C764" s="211" t="s">
        <v>2072</v>
      </c>
    </row>
    <row r="765" spans="1:3" ht="15" customHeight="1" x14ac:dyDescent="0.3">
      <c r="A765" s="210" t="s">
        <v>500</v>
      </c>
      <c r="B765" s="208">
        <f>2.5/(24*3600)</f>
        <v>2.8935185185185186E-5</v>
      </c>
      <c r="C765" s="212" t="s">
        <v>2072</v>
      </c>
    </row>
    <row r="766" spans="1:3" ht="15" customHeight="1" x14ac:dyDescent="0.3">
      <c r="A766" s="210" t="s">
        <v>200</v>
      </c>
      <c r="B766" s="208">
        <f>2.5/(24*3600)</f>
        <v>2.8935185185185186E-5</v>
      </c>
      <c r="C766" s="211" t="s">
        <v>2072</v>
      </c>
    </row>
    <row r="767" spans="1:3" ht="15" customHeight="1" x14ac:dyDescent="0.3">
      <c r="A767" s="210" t="s">
        <v>417</v>
      </c>
      <c r="B767" s="208">
        <f>2.5/(24*3600)</f>
        <v>2.8935185185185186E-5</v>
      </c>
      <c r="C767" s="212" t="s">
        <v>2072</v>
      </c>
    </row>
    <row r="768" spans="1:3" ht="15" customHeight="1" x14ac:dyDescent="0.3">
      <c r="A768" s="210" t="s">
        <v>778</v>
      </c>
      <c r="B768" s="213">
        <f>2.5/(24*3600)</f>
        <v>2.8935185185185186E-5</v>
      </c>
      <c r="C768" s="211" t="s">
        <v>2072</v>
      </c>
    </row>
    <row r="769" spans="1:3" ht="15" customHeight="1" x14ac:dyDescent="0.3">
      <c r="A769" s="210" t="s">
        <v>345</v>
      </c>
      <c r="B769" s="208">
        <v>5.0000000000000001E-4</v>
      </c>
      <c r="C769" s="209" t="s">
        <v>2117</v>
      </c>
    </row>
    <row r="770" spans="1:3" ht="15" customHeight="1" x14ac:dyDescent="0.3">
      <c r="A770" s="210" t="s">
        <v>295</v>
      </c>
      <c r="B770" s="208">
        <v>5.0000000000000001E-4</v>
      </c>
      <c r="C770" s="209" t="s">
        <v>2117</v>
      </c>
    </row>
    <row r="771" spans="1:3" ht="15" customHeight="1" x14ac:dyDescent="0.3">
      <c r="A771" s="210" t="s">
        <v>1109</v>
      </c>
      <c r="B771" s="208">
        <v>1.4999999999999999E-2</v>
      </c>
      <c r="C771" s="209" t="s">
        <v>2117</v>
      </c>
    </row>
    <row r="772" spans="1:3" ht="15" customHeight="1" x14ac:dyDescent="0.3">
      <c r="A772" s="210" t="s">
        <v>213</v>
      </c>
      <c r="B772" s="208">
        <v>1.4999999999999999E-2</v>
      </c>
      <c r="C772" s="209" t="s">
        <v>2117</v>
      </c>
    </row>
    <row r="773" spans="1:3" ht="15" customHeight="1" x14ac:dyDescent="0.3">
      <c r="A773" s="210" t="s">
        <v>1151</v>
      </c>
      <c r="B773" s="208">
        <v>5.0000000000000001E-3</v>
      </c>
      <c r="C773" s="209" t="s">
        <v>2117</v>
      </c>
    </row>
    <row r="774" spans="1:3" ht="15" customHeight="1" x14ac:dyDescent="0.3">
      <c r="A774" s="210" t="s">
        <v>1110</v>
      </c>
      <c r="B774" s="208">
        <v>5.0000000000000001E-3</v>
      </c>
      <c r="C774" s="209" t="s">
        <v>2117</v>
      </c>
    </row>
    <row r="775" spans="1:3" ht="15" customHeight="1" x14ac:dyDescent="0.3">
      <c r="A775" s="210" t="s">
        <v>138</v>
      </c>
      <c r="B775" s="208">
        <v>5.0000000000000001E-3</v>
      </c>
      <c r="C775" s="209" t="s">
        <v>2117</v>
      </c>
    </row>
    <row r="776" spans="1:3" ht="15" customHeight="1" x14ac:dyDescent="0.3">
      <c r="A776" s="210" t="s">
        <v>214</v>
      </c>
      <c r="B776" s="208">
        <v>5.0000000000000001E-3</v>
      </c>
      <c r="C776" s="209" t="s">
        <v>2117</v>
      </c>
    </row>
    <row r="777" spans="1:3" ht="15" customHeight="1" x14ac:dyDescent="0.3">
      <c r="A777" s="210" t="s">
        <v>1125</v>
      </c>
      <c r="B777" s="208">
        <v>5.0000000000000001E-3</v>
      </c>
      <c r="C777" s="209" t="s">
        <v>2117</v>
      </c>
    </row>
    <row r="778" spans="1:3" ht="15" customHeight="1" x14ac:dyDescent="0.3">
      <c r="A778" s="210" t="s">
        <v>1152</v>
      </c>
      <c r="B778" s="208">
        <v>5.0000000000000001E-3</v>
      </c>
      <c r="C778" s="209" t="s">
        <v>2117</v>
      </c>
    </row>
    <row r="779" spans="1:3" ht="15" customHeight="1" x14ac:dyDescent="0.3">
      <c r="A779" s="210" t="s">
        <v>139</v>
      </c>
      <c r="B779" s="208">
        <v>5.0000000000000001E-3</v>
      </c>
      <c r="C779" s="209" t="s">
        <v>2117</v>
      </c>
    </row>
    <row r="780" spans="1:3" ht="15" customHeight="1" x14ac:dyDescent="0.3">
      <c r="A780" s="210" t="s">
        <v>1127</v>
      </c>
      <c r="B780" s="208">
        <v>5.0000000000000001E-3</v>
      </c>
      <c r="C780" s="209" t="s">
        <v>2117</v>
      </c>
    </row>
    <row r="781" spans="1:3" ht="15" customHeight="1" x14ac:dyDescent="0.3">
      <c r="A781" s="207" t="s">
        <v>276</v>
      </c>
      <c r="B781" s="208">
        <v>42500000000000</v>
      </c>
      <c r="C781" s="206" t="s">
        <v>2118</v>
      </c>
    </row>
    <row r="782" spans="1:3" ht="15" customHeight="1" x14ac:dyDescent="0.3">
      <c r="A782" s="207" t="s">
        <v>1397</v>
      </c>
      <c r="B782" s="208">
        <f>(AREAland.C+AREAsea.C-SYSTEMAREA.R)</f>
        <v>7199250000000</v>
      </c>
      <c r="C782" s="206" t="s">
        <v>2118</v>
      </c>
    </row>
    <row r="783" spans="1:3" ht="15" customHeight="1" x14ac:dyDescent="0.3">
      <c r="A783" s="207" t="s">
        <v>1186</v>
      </c>
      <c r="B783" s="208">
        <f>85000000000000-(SYSTEMAREA.C+SYSTEMAREA.R)</f>
        <v>77341610000000</v>
      </c>
      <c r="C783" s="206" t="s">
        <v>2118</v>
      </c>
    </row>
    <row r="784" spans="1:3" ht="15" customHeight="1" x14ac:dyDescent="0.3">
      <c r="A784" s="207" t="s">
        <v>667</v>
      </c>
      <c r="B784" s="208">
        <f>(AREAland.R+AREAsea.R)</f>
        <v>229570000000</v>
      </c>
      <c r="C784" s="206" t="s">
        <v>2118</v>
      </c>
    </row>
    <row r="785" spans="1:3" ht="15" customHeight="1" x14ac:dyDescent="0.3">
      <c r="A785" s="207" t="s">
        <v>1409</v>
      </c>
      <c r="B785" s="213">
        <v>127500000000000</v>
      </c>
      <c r="C785" s="206" t="s">
        <v>2118</v>
      </c>
    </row>
    <row r="786" spans="1:3" ht="15" customHeight="1" x14ac:dyDescent="0.3">
      <c r="A786" s="207" t="s">
        <v>406</v>
      </c>
      <c r="B786" s="208">
        <f>(SQRT(SYSTEMAREA.A*PI()/4)/WINDspeed.A)</f>
        <v>1925830.9013223229</v>
      </c>
      <c r="C786" s="206" t="s">
        <v>744</v>
      </c>
    </row>
    <row r="787" spans="1:3" ht="15" customHeight="1" x14ac:dyDescent="0.3">
      <c r="A787" s="207" t="s">
        <v>786</v>
      </c>
      <c r="B787" s="208">
        <f>(SQRT(SYSTEMAREA.C*PI()/4)/WINDspeed.C)</f>
        <v>805162.61878581124</v>
      </c>
      <c r="C787" s="206" t="s">
        <v>744</v>
      </c>
    </row>
    <row r="788" spans="1:3" ht="15" customHeight="1" x14ac:dyDescent="0.3">
      <c r="A788" s="207" t="s">
        <v>108</v>
      </c>
      <c r="B788" s="208">
        <f>(SQRT(SYSTEMAREA.R*PI()/4)/WINDspeed.R)</f>
        <v>141540.67196045423</v>
      </c>
      <c r="C788" s="206" t="s">
        <v>744</v>
      </c>
    </row>
    <row r="789" spans="1:3" ht="15" customHeight="1" x14ac:dyDescent="0.3">
      <c r="A789" s="207" t="s">
        <v>1205</v>
      </c>
      <c r="B789" s="208">
        <f>(SQRT(SYSTEMAREA.T*PI()/4)/WINDspeed.T)</f>
        <v>3335636.9678764283</v>
      </c>
      <c r="C789" s="206" t="s">
        <v>744</v>
      </c>
    </row>
    <row r="790" spans="1:3" ht="15" customHeight="1" x14ac:dyDescent="0.3">
      <c r="A790" s="207" t="s">
        <v>806</v>
      </c>
      <c r="B790" s="208">
        <f>55*(3600*24)</f>
        <v>4752000</v>
      </c>
      <c r="C790" s="206" t="s">
        <v>744</v>
      </c>
    </row>
    <row r="791" spans="1:3" ht="15" customHeight="1" x14ac:dyDescent="0.3">
      <c r="A791" s="207" t="s">
        <v>808</v>
      </c>
      <c r="B791" s="208">
        <f>55*(3600*24)</f>
        <v>4752000</v>
      </c>
      <c r="C791" s="206" t="s">
        <v>744</v>
      </c>
    </row>
    <row r="792" spans="1:3" ht="15" customHeight="1" x14ac:dyDescent="0.3">
      <c r="A792" s="207" t="s">
        <v>807</v>
      </c>
      <c r="B792" s="208">
        <f>55*(3600*24)</f>
        <v>4752000</v>
      </c>
      <c r="C792" s="206" t="s">
        <v>744</v>
      </c>
    </row>
    <row r="793" spans="1:3" ht="15" customHeight="1" x14ac:dyDescent="0.3">
      <c r="A793" s="207" t="s">
        <v>6</v>
      </c>
      <c r="B793" s="208">
        <f>365*(3600*24)</f>
        <v>31536000</v>
      </c>
      <c r="C793" s="206" t="s">
        <v>744</v>
      </c>
    </row>
    <row r="794" spans="1:3" ht="15" customHeight="1" x14ac:dyDescent="0.3">
      <c r="A794" s="206" t="s">
        <v>761</v>
      </c>
      <c r="B794" s="208">
        <f>(80/24)*(1-RAINrate.A/(0.0013/3600))*(3600*24)</f>
        <v>281677.55532139097</v>
      </c>
      <c r="C794" s="206" t="s">
        <v>744</v>
      </c>
    </row>
    <row r="795" spans="1:3" ht="15" customHeight="1" x14ac:dyDescent="0.3">
      <c r="A795" s="206" t="s">
        <v>1000</v>
      </c>
      <c r="B795" s="208">
        <f>(80/24)*(1-RAINrate.C/(0.0013/3600))*(3600*24)</f>
        <v>270297.15489989461</v>
      </c>
      <c r="C795" s="206" t="s">
        <v>744</v>
      </c>
    </row>
    <row r="796" spans="1:3" ht="15" customHeight="1" x14ac:dyDescent="0.3">
      <c r="A796" s="206" t="s">
        <v>755</v>
      </c>
      <c r="B796" s="208">
        <f>(80/24)*(1-RAINrate.M/(0.0013/3600))*(3600*24)</f>
        <v>270297.15489989461</v>
      </c>
      <c r="C796" s="206" t="s">
        <v>744</v>
      </c>
    </row>
    <row r="797" spans="1:3" ht="15" customHeight="1" x14ac:dyDescent="0.3">
      <c r="A797" s="206" t="s">
        <v>930</v>
      </c>
      <c r="B797" s="208">
        <f>(80/24)*(1-RAINrate.R/(0.0013/3600))*(3600*24)</f>
        <v>270297.15489989461</v>
      </c>
      <c r="C797" s="206" t="s">
        <v>744</v>
      </c>
    </row>
    <row r="798" spans="1:3" ht="15" customHeight="1" x14ac:dyDescent="0.3">
      <c r="A798" s="206" t="s">
        <v>430</v>
      </c>
      <c r="B798" s="208">
        <f>(80/24)*(1-RAINrate.T/(0.0013/3600))*(3600*24)</f>
        <v>255123.28767123289</v>
      </c>
      <c r="C798" s="206" t="s">
        <v>744</v>
      </c>
    </row>
    <row r="799" spans="1:3" ht="15" customHeight="1" x14ac:dyDescent="0.3">
      <c r="A799" s="206" t="s">
        <v>408</v>
      </c>
      <c r="B799" s="208">
        <f>-10+273</f>
        <v>263</v>
      </c>
      <c r="C799" s="206" t="s">
        <v>2119</v>
      </c>
    </row>
    <row r="800" spans="1:3" ht="15" customHeight="1" x14ac:dyDescent="0.3">
      <c r="A800" s="206" t="s">
        <v>1108</v>
      </c>
      <c r="B800" s="213">
        <f>12+273</f>
        <v>285</v>
      </c>
      <c r="C800" s="206" t="s">
        <v>2119</v>
      </c>
    </row>
    <row r="801" spans="1:3" ht="15" customHeight="1" x14ac:dyDescent="0.3">
      <c r="A801" s="209" t="s">
        <v>792</v>
      </c>
      <c r="B801" s="208">
        <f>12+273</f>
        <v>285</v>
      </c>
      <c r="C801" s="206" t="s">
        <v>2119</v>
      </c>
    </row>
    <row r="802" spans="1:3" ht="15" customHeight="1" x14ac:dyDescent="0.3">
      <c r="A802" s="206" t="s">
        <v>110</v>
      </c>
      <c r="B802" s="213">
        <f>12+273</f>
        <v>285</v>
      </c>
      <c r="C802" s="206" t="s">
        <v>2119</v>
      </c>
    </row>
    <row r="803" spans="1:3" ht="15" customHeight="1" x14ac:dyDescent="0.3">
      <c r="A803" s="209" t="s">
        <v>1052</v>
      </c>
      <c r="B803" s="215">
        <f>25+273</f>
        <v>298</v>
      </c>
      <c r="C803" s="206" t="s">
        <v>2119</v>
      </c>
    </row>
    <row r="804" spans="1:3" ht="15" customHeight="1" x14ac:dyDescent="0.3">
      <c r="A804" s="207" t="s">
        <v>805</v>
      </c>
      <c r="B804" s="208">
        <f>EXP((Ea.OHrad/8.314)*(TEMP.A-298)/298^2)</f>
        <v>0.75244236176784551</v>
      </c>
      <c r="C804" s="209" t="s">
        <v>36</v>
      </c>
    </row>
    <row r="805" spans="1:3" ht="15" customHeight="1" x14ac:dyDescent="0.3">
      <c r="A805" s="207" t="s">
        <v>189</v>
      </c>
      <c r="B805" s="208">
        <f>EXP((Ea.OHrad/8.314)*(TEMP.C-298)/298^2)</f>
        <v>0.89974332049812744</v>
      </c>
      <c r="C805" s="209" t="s">
        <v>36</v>
      </c>
    </row>
    <row r="806" spans="1:3" ht="15" customHeight="1" x14ac:dyDescent="0.3">
      <c r="A806" s="207" t="s">
        <v>1004</v>
      </c>
      <c r="B806" s="208">
        <f>EXP((Ea.OHrad/8.314)*(TEMP.M-298)/298^2)</f>
        <v>0.89974332049812744</v>
      </c>
      <c r="C806" s="209" t="s">
        <v>36</v>
      </c>
    </row>
    <row r="807" spans="1:3" ht="15" customHeight="1" x14ac:dyDescent="0.3">
      <c r="A807" s="207" t="s">
        <v>268</v>
      </c>
      <c r="B807" s="208">
        <f>EXP((Ea.OHrad/8.314)*(TEMP.R-298)/298^2)</f>
        <v>0.89974332049812744</v>
      </c>
      <c r="C807" s="209" t="s">
        <v>36</v>
      </c>
    </row>
    <row r="808" spans="1:3" ht="15" customHeight="1" x14ac:dyDescent="0.3">
      <c r="A808" s="207" t="s">
        <v>1403</v>
      </c>
      <c r="B808" s="208">
        <f>EXP((Ea.OHrad/8.314)*(TEMP.T-298)/298^2)</f>
        <v>1</v>
      </c>
      <c r="C808" s="209" t="s">
        <v>36</v>
      </c>
    </row>
    <row r="809" spans="1:3" ht="15" customHeight="1" x14ac:dyDescent="0.3">
      <c r="A809" s="207" t="s">
        <v>542</v>
      </c>
      <c r="B809" s="215">
        <f>Q.10^((TEMP.A-298)/10)</f>
        <v>8.8388347648318447E-2</v>
      </c>
      <c r="C809" s="209" t="s">
        <v>36</v>
      </c>
    </row>
    <row r="810" spans="1:3" ht="15" customHeight="1" x14ac:dyDescent="0.3">
      <c r="A810" s="207" t="s">
        <v>540</v>
      </c>
      <c r="B810" s="208">
        <f>Q.10^((TEMP.C-298)/10)</f>
        <v>0.40612619817811774</v>
      </c>
      <c r="C810" s="209" t="s">
        <v>36</v>
      </c>
    </row>
    <row r="811" spans="1:3" ht="15" customHeight="1" x14ac:dyDescent="0.3">
      <c r="A811" s="207" t="s">
        <v>541</v>
      </c>
      <c r="B811" s="208">
        <f>Q.10^((TEMP.M-298)/10)</f>
        <v>0.40612619817811774</v>
      </c>
      <c r="C811" s="209" t="s">
        <v>36</v>
      </c>
    </row>
    <row r="812" spans="1:3" ht="15" customHeight="1" x14ac:dyDescent="0.3">
      <c r="A812" s="207" t="s">
        <v>793</v>
      </c>
      <c r="B812" s="208">
        <f>Q.10^((TEMP.R-298)/10)</f>
        <v>0.40612619817811774</v>
      </c>
      <c r="C812" s="209" t="s">
        <v>36</v>
      </c>
    </row>
    <row r="813" spans="1:3" ht="15" customHeight="1" x14ac:dyDescent="0.3">
      <c r="A813" s="207" t="s">
        <v>1016</v>
      </c>
      <c r="B813" s="208">
        <f>Q.10^((TEMP.T-298)/10)</f>
        <v>1</v>
      </c>
      <c r="C813" s="209" t="s">
        <v>36</v>
      </c>
    </row>
    <row r="814" spans="1:3" ht="15" customHeight="1" x14ac:dyDescent="0.3">
      <c r="A814" s="206" t="s">
        <v>762</v>
      </c>
      <c r="B814" s="208">
        <f>(80/24)*(RAINrate.A/(0.0013/3600))*(3600*24)</f>
        <v>6322.444678609063</v>
      </c>
      <c r="C814" s="206" t="s">
        <v>744</v>
      </c>
    </row>
    <row r="815" spans="1:3" ht="15" customHeight="1" x14ac:dyDescent="0.3">
      <c r="A815" s="206" t="s">
        <v>1001</v>
      </c>
      <c r="B815" s="208">
        <f>(80/24)*(RAINrate.C/(0.0013/3600))*(3600*24)</f>
        <v>17702.845100105376</v>
      </c>
      <c r="C815" s="206" t="s">
        <v>744</v>
      </c>
    </row>
    <row r="816" spans="1:3" ht="15" customHeight="1" x14ac:dyDescent="0.3">
      <c r="A816" s="206" t="s">
        <v>756</v>
      </c>
      <c r="B816" s="208">
        <f>(80/24)*(RAINrate.M/(0.0013/3600))*(3600*24)</f>
        <v>17702.845100105376</v>
      </c>
      <c r="C816" s="206" t="s">
        <v>744</v>
      </c>
    </row>
    <row r="817" spans="1:3" ht="15" customHeight="1" x14ac:dyDescent="0.3">
      <c r="A817" s="206" t="s">
        <v>932</v>
      </c>
      <c r="B817" s="208">
        <f>(80/24)*(RAINrate.R/(0.0013/3600))*(3600*24)</f>
        <v>17702.845100105376</v>
      </c>
      <c r="C817" s="206" t="s">
        <v>744</v>
      </c>
    </row>
    <row r="818" spans="1:3" ht="15" customHeight="1" x14ac:dyDescent="0.3">
      <c r="A818" s="206" t="s">
        <v>431</v>
      </c>
      <c r="B818" s="208">
        <f>(80/24)*(RAINrate.T/(0.0013/3600))*(3600*24)</f>
        <v>32876.712328767127</v>
      </c>
      <c r="C818" s="206" t="s">
        <v>744</v>
      </c>
    </row>
    <row r="819" spans="1:3" ht="15" customHeight="1" x14ac:dyDescent="0.3">
      <c r="A819" s="207" t="s">
        <v>1385</v>
      </c>
      <c r="B819" s="208">
        <f>(MTCas.air.aC*MTCas.soil.sC)/(MTCas.air.aC+MTCas.soil.sC/((Kaw.C*FRorig.s1w)/Ks1w.C))*SYSTEMAREA.C*AREAFRAC.s1C*CORRvolat.s1C</f>
        <v>5532.1072609200182</v>
      </c>
      <c r="C819" s="209" t="s">
        <v>2071</v>
      </c>
    </row>
    <row r="820" spans="1:3" ht="15" customHeight="1" x14ac:dyDescent="0.3">
      <c r="A820" s="207" t="s">
        <v>739</v>
      </c>
      <c r="B820" s="208">
        <f>(MTCas.air.aR*MTCas.soil.sR)/(MTCas.air.aR+MTCas.soil.sR/((Kaw.R*FRorig.s1w)/Ks1w.R))*SYSTEMAREA.R*AREAFRAC.s1R*CORRvolat.s1R</f>
        <v>340.42385106342294</v>
      </c>
      <c r="C820" s="209" t="s">
        <v>2071</v>
      </c>
    </row>
    <row r="821" spans="1:3" ht="15" customHeight="1" x14ac:dyDescent="0.3">
      <c r="A821" s="207" t="s">
        <v>1238</v>
      </c>
      <c r="B821" s="208">
        <f>(MTCas.air.aC*MTCas.soil.sC)/(MTCas.air.aC+MTCas.soil.sC/((Kaw.C*FRorig.s2w)/Ks2w.C))*SYSTEMAREA.C*AREAFRAC.s2C*CORRvolat.s2C</f>
        <v>22376.967392000886</v>
      </c>
      <c r="C821" s="209" t="s">
        <v>2071</v>
      </c>
    </row>
    <row r="822" spans="1:3" ht="15" customHeight="1" x14ac:dyDescent="0.3">
      <c r="A822" s="207" t="s">
        <v>741</v>
      </c>
      <c r="B822" s="208">
        <f>(MTCas.air.aR*MTCas.soil.sR)/(MTCas.air.aR+MTCas.soil.sR/((Kaw.R*FRorig.s2w)/Ks2w.R))*SYSTEMAREA.R*AREAFRAC.s2R*CORRvolat.s2R</f>
        <v>1376.9894644882074</v>
      </c>
      <c r="C822" s="209" t="s">
        <v>2071</v>
      </c>
    </row>
    <row r="823" spans="1:3" ht="15" customHeight="1" x14ac:dyDescent="0.3">
      <c r="A823" s="207" t="s">
        <v>473</v>
      </c>
      <c r="B823" s="208">
        <f>(MTCas.air.aC*MTCas.soil.sC)/(MTCas.air.aC+MTCas.soil.sC/((Kaw.C*FRorig.s3w)/Ks3w.C))*SYSTEMAREA.C*AREAFRAC.s3C*CORRvolat.s3C</f>
        <v>2048.9286151555625</v>
      </c>
      <c r="C823" s="209" t="s">
        <v>2071</v>
      </c>
    </row>
    <row r="824" spans="1:3" ht="15" customHeight="1" x14ac:dyDescent="0.3">
      <c r="A824" s="207" t="s">
        <v>1172</v>
      </c>
      <c r="B824" s="208">
        <f>(MTCas.air.aR*MTCas.soil.sR)/(MTCas.air.aR+MTCas.soil.sR/((Kaw.R*FRorig.s3w)/Ks3w.R))*SYSTEMAREA.R*AREAFRAC.s3R*CORRvolat.s3R</f>
        <v>126.08290780126774</v>
      </c>
      <c r="C824" s="209" t="s">
        <v>2071</v>
      </c>
    </row>
    <row r="825" spans="1:3" ht="15" customHeight="1" x14ac:dyDescent="0.3">
      <c r="A825" s="207" t="s">
        <v>1232</v>
      </c>
      <c r="B825" s="208">
        <f>((MTCas.air.aA*MTCas.soil.sA)/(MTCas.air.aA+MTCas.soil.sA/((Kaw.A*FRorig.s1w)/Kslw.A))*(SYSTEMAREA.A*AREAFRAC.sA*CORRvolat.sA))</f>
        <v>20414.68836094399</v>
      </c>
      <c r="C825" s="206" t="s">
        <v>2071</v>
      </c>
    </row>
    <row r="826" spans="1:3" ht="15" customHeight="1" x14ac:dyDescent="0.3">
      <c r="A826" s="207" t="s">
        <v>1331</v>
      </c>
      <c r="B826" s="208">
        <f>((MTCas.air.aM*MTCas.soil.sM/(MTCas.air.aM+MTCas.soil.sM/((Kaw.M*FRorig.s1w)/Kslw.M))*(SYSTEMAREA.M*AREAFRAC.sM*CORRvolat.sM)))</f>
        <v>213314.4131520236</v>
      </c>
      <c r="C826" s="206" t="s">
        <v>2071</v>
      </c>
    </row>
    <row r="827" spans="1:3" ht="15" customHeight="1" x14ac:dyDescent="0.3">
      <c r="A827" s="207" t="s">
        <v>1380</v>
      </c>
      <c r="B827" s="208">
        <f>((MTCas.air.aT*MTCas.soil.sT/(MTCas.air.aT+MTCas.soil.sT/((Kaw.T*FRorig.s1w)/Kslw.T))*(SYSTEMAREA.T*AREAFRAC.sT*CORRvolat.sT)))</f>
        <v>519354.48455112707</v>
      </c>
      <c r="C827" s="206" t="s">
        <v>2071</v>
      </c>
    </row>
    <row r="828" spans="1:3" ht="15" customHeight="1" x14ac:dyDescent="0.3">
      <c r="A828" s="207" t="s">
        <v>352</v>
      </c>
      <c r="B828" s="208">
        <f>(MTCaw.air.aC*MTCaw.water.wC/(FRorig.w1*MTCaw.air.aC*Kaw.C+MTCaw.water.wC))*Kaw.C*(FRw.w0C*FRorig.w1)*(SYSTEMAREA.C*AREAFRAC.w0C)</f>
        <v>47576.414347404097</v>
      </c>
      <c r="C828" s="209" t="s">
        <v>2071</v>
      </c>
    </row>
    <row r="829" spans="1:3" ht="15" customHeight="1" x14ac:dyDescent="0.3">
      <c r="A829" s="207" t="s">
        <v>303</v>
      </c>
      <c r="B829" s="208">
        <f>(MTCaw.air.aR*MTCaw.water.wR/(MTCaw.air.aR*(Kaw.R*FRorig.w1)+MTCaw.water.wR))*(Kaw.R*FRorig.w1)*FRw.w0R*(SYSTEMAREA.R*AREAFRAC.w0R)</f>
        <v>2927.6630817239225</v>
      </c>
      <c r="C829" s="209" t="s">
        <v>2071</v>
      </c>
    </row>
    <row r="830" spans="1:3" ht="15" customHeight="1" x14ac:dyDescent="0.3">
      <c r="A830" s="207" t="s">
        <v>1381</v>
      </c>
      <c r="B830" s="208">
        <f>(MTCaw.air.aC*MTCaw.water.wC/(FRorig.w1*MTCaw.air.aC*Kaw.C+MTCaw.water.wC))*Kaw.C*(FRw.w1C*FRorig.w1)*(SYSTEMAREA.C*AREAFRAC.w1C)</f>
        <v>522757.40017008479</v>
      </c>
      <c r="C830" s="209" t="s">
        <v>2071</v>
      </c>
    </row>
    <row r="831" spans="1:3" ht="15" customHeight="1" x14ac:dyDescent="0.3">
      <c r="A831" s="207" t="s">
        <v>771</v>
      </c>
      <c r="B831" s="208">
        <f>(MTCaw.air.aR*MTCaw.water.wR/(MTCaw.air.aR*(Kaw.R*FRorig.w1)+MTCaw.water.wR))*(Kaw.R*FRorig.w1)*FRw.w1R*(SYSTEMAREA.R*AREAFRAC.w1R)</f>
        <v>32168.408699329444</v>
      </c>
      <c r="C831" s="209" t="s">
        <v>2071</v>
      </c>
    </row>
    <row r="832" spans="1:3" ht="15" customHeight="1" x14ac:dyDescent="0.3">
      <c r="A832" s="207" t="s">
        <v>1163</v>
      </c>
      <c r="B832" s="208">
        <f>(MTCaw.air.aA*MTCaw.water.wA/(FRorig.w1*MTCaw.air.aA*Kaw.A+MTCaw.water.wA))*Kaw.A*(FRw.w2A*FRorig.w1)*(SYSTEMAREA.A*AREAFRAC.wA)</f>
        <v>126728109.96665511</v>
      </c>
      <c r="C832" s="206" t="s">
        <v>2071</v>
      </c>
    </row>
    <row r="833" spans="1:3" ht="15" customHeight="1" x14ac:dyDescent="0.3">
      <c r="A833" s="207" t="s">
        <v>1383</v>
      </c>
      <c r="B833" s="208">
        <f>(MTCaw.air.aC*MTCaw.water.wC/(FRorig.w2*MTCaw.air.aC*Kaw.C+MTCaw.water.wC))*Kaw.C*(FRw.w2C*FRorig.w2)*(SYSTEMAREA.C*AREAFRAC.w2C)</f>
        <v>19023979.588142209</v>
      </c>
      <c r="C833" s="209" t="s">
        <v>2071</v>
      </c>
    </row>
    <row r="834" spans="1:3" ht="15" customHeight="1" x14ac:dyDescent="0.3">
      <c r="A834" s="207" t="s">
        <v>146</v>
      </c>
      <c r="B834" s="208">
        <f>(MTCaw.air.aM*MTCaw.water.wM/(FRorig.w1*MTCaw.air.aM*Kaw.M+MTCaw.water.wM))*Kaw.M*(FRw.w2M*FRorig.w1)*(SYSTEMAREA.M*AREAFRAC.wM)</f>
        <v>198059073.97864738</v>
      </c>
      <c r="C834" s="206" t="s">
        <v>2071</v>
      </c>
    </row>
    <row r="835" spans="1:3" ht="15" customHeight="1" x14ac:dyDescent="0.3">
      <c r="A835" s="207" t="s">
        <v>737</v>
      </c>
      <c r="B835" s="208">
        <f>(MTCaw.air.aR*MTCaw.water.wR/(MTCaw.air.aR*(Kaw.R*FRorig.w2)+MTCaw.water.wR))*(Kaw.R*FRorig.w2)*FRw.w2R*(SYSTEMAREA.R*AREAFRAC.w2R)</f>
        <v>5121.6692794124046</v>
      </c>
      <c r="C835" s="209" t="s">
        <v>2071</v>
      </c>
    </row>
    <row r="836" spans="1:3" ht="15" customHeight="1" x14ac:dyDescent="0.3">
      <c r="A836" s="207" t="s">
        <v>1134</v>
      </c>
      <c r="B836" s="208">
        <f>(MTCaw.air.aT*MTCaw.water.wT/(FRorig.w1*MTCaw.air.aT*Kaw.T+MTCaw.water.wT))*Kaw.T*(FRw.w2T*FRorig.w1)*(SYSTEMAREA.T*AREAFRAC.wT)</f>
        <v>459872808.38479304</v>
      </c>
      <c r="C836" s="206" t="s">
        <v>2071</v>
      </c>
    </row>
    <row r="837" spans="1:3" ht="15" customHeight="1" x14ac:dyDescent="0.3">
      <c r="A837" s="207" t="s">
        <v>273</v>
      </c>
      <c r="B837" s="208">
        <f>SYSTEMAREA.A*HEIGHT.aA</f>
        <v>4.25E+16</v>
      </c>
      <c r="C837" s="206" t="s">
        <v>2088</v>
      </c>
    </row>
    <row r="838" spans="1:3" ht="15" customHeight="1" x14ac:dyDescent="0.3">
      <c r="A838" s="207" t="s">
        <v>1437</v>
      </c>
      <c r="B838" s="208">
        <f>SYSTEMAREA.C*HEIGHT.aC</f>
        <v>7428820000000000</v>
      </c>
      <c r="C838" s="206" t="s">
        <v>2088</v>
      </c>
    </row>
    <row r="839" spans="1:3" ht="15" customHeight="1" x14ac:dyDescent="0.3">
      <c r="A839" s="207" t="s">
        <v>32</v>
      </c>
      <c r="B839" s="208">
        <f>SYSTEMAREA.M*HEIGHT.aM</f>
        <v>7.734161E+16</v>
      </c>
      <c r="C839" s="206" t="s">
        <v>2088</v>
      </c>
    </row>
    <row r="840" spans="1:3" ht="15" customHeight="1" x14ac:dyDescent="0.3">
      <c r="A840" s="207" t="s">
        <v>529</v>
      </c>
      <c r="B840" s="208">
        <f>SYSTEMAREA.R*HEIGHT.aR</f>
        <v>229570000000000</v>
      </c>
      <c r="C840" s="209" t="s">
        <v>2088</v>
      </c>
    </row>
    <row r="841" spans="1:3" ht="15" customHeight="1" x14ac:dyDescent="0.3">
      <c r="A841" s="207" t="s">
        <v>1406</v>
      </c>
      <c r="B841" s="208">
        <f>SYSTEMAREA.T*HEIGHT.aT</f>
        <v>1.275E+17</v>
      </c>
      <c r="C841" s="209" t="s">
        <v>2088</v>
      </c>
    </row>
    <row r="842" spans="1:3" ht="15" customHeight="1" x14ac:dyDescent="0.3">
      <c r="A842" s="207" t="s">
        <v>1442</v>
      </c>
      <c r="B842" s="208">
        <f>SYSTEMAREA.C*AREAFRAC.s1C*DEPTH.s1C</f>
        <v>50144535000.000008</v>
      </c>
      <c r="C842" s="206" t="s">
        <v>2088</v>
      </c>
    </row>
    <row r="843" spans="1:3" ht="15" customHeight="1" x14ac:dyDescent="0.3">
      <c r="A843" s="207" t="s">
        <v>1243</v>
      </c>
      <c r="B843" s="208">
        <f>SYSTEMAREA.R*AREAFRAC.s1R*DEPTH.s1R</f>
        <v>3085695000.0000005</v>
      </c>
      <c r="C843" s="209" t="s">
        <v>2088</v>
      </c>
    </row>
    <row r="844" spans="1:3" ht="15" customHeight="1" x14ac:dyDescent="0.3">
      <c r="A844" s="207" t="s">
        <v>1443</v>
      </c>
      <c r="B844" s="208">
        <f>SYSTEMAREA.C*AREAFRAC.s2C*DEPTH.s2C</f>
        <v>445729200000</v>
      </c>
      <c r="C844" s="206" t="s">
        <v>2088</v>
      </c>
    </row>
    <row r="845" spans="1:3" ht="15" customHeight="1" x14ac:dyDescent="0.3">
      <c r="A845" s="207" t="s">
        <v>1244</v>
      </c>
      <c r="B845" s="208">
        <f>SYSTEMAREA.R*AREAFRAC.s2R*DEPTH.s2R</f>
        <v>27428400000</v>
      </c>
      <c r="C845" s="209" t="s">
        <v>2088</v>
      </c>
    </row>
    <row r="846" spans="1:3" ht="15" customHeight="1" x14ac:dyDescent="0.3">
      <c r="A846" s="207" t="s">
        <v>1444</v>
      </c>
      <c r="B846" s="208">
        <f>SYSTEMAREA.C*AREAFRAC.s3C*DEPTH.s3C</f>
        <v>18572050000</v>
      </c>
      <c r="C846" s="206" t="s">
        <v>2088</v>
      </c>
    </row>
    <row r="847" spans="1:3" ht="15" customHeight="1" x14ac:dyDescent="0.3">
      <c r="A847" s="207" t="s">
        <v>1245</v>
      </c>
      <c r="B847" s="208">
        <f>SYSTEMAREA.R*AREAFRAC.s3R*DEPTH.s3R</f>
        <v>1142850000</v>
      </c>
      <c r="C847" s="209" t="s">
        <v>2088</v>
      </c>
    </row>
    <row r="848" spans="1:3" ht="15" customHeight="1" x14ac:dyDescent="0.3">
      <c r="A848" s="207" t="s">
        <v>275</v>
      </c>
      <c r="B848" s="208">
        <f>SYSTEMAREA.A*DEPTH.sA*AREAFRAC.sA</f>
        <v>850000000000</v>
      </c>
      <c r="C848" s="206" t="s">
        <v>2088</v>
      </c>
    </row>
    <row r="849" spans="1:3" ht="15" customHeight="1" x14ac:dyDescent="0.3">
      <c r="A849" s="207" t="s">
        <v>1440</v>
      </c>
      <c r="B849" s="208">
        <f>SYSTEMAREA.C*AREAFRAC.w1C*DEPTH.sd1C</f>
        <v>3064388250</v>
      </c>
      <c r="C849" s="206" t="s">
        <v>2088</v>
      </c>
    </row>
    <row r="850" spans="1:3" ht="15" customHeight="1" x14ac:dyDescent="0.3">
      <c r="A850" s="207" t="s">
        <v>1241</v>
      </c>
      <c r="B850" s="208">
        <f>SYSTEMAREA.R*AREAFRAC.w1R*DEPTH.sd1R</f>
        <v>188570250</v>
      </c>
      <c r="C850" s="209" t="s">
        <v>2088</v>
      </c>
    </row>
    <row r="851" spans="1:3" ht="15" customHeight="1" x14ac:dyDescent="0.3">
      <c r="A851" s="207" t="s">
        <v>1441</v>
      </c>
      <c r="B851" s="208">
        <f>SYSTEMAREA.C*AREAFRAC.w2C*DEPTH.sd2C</f>
        <v>111432300000</v>
      </c>
      <c r="C851" s="206" t="s">
        <v>2088</v>
      </c>
    </row>
    <row r="852" spans="1:3" ht="15" customHeight="1" x14ac:dyDescent="0.3">
      <c r="A852" s="207" t="s">
        <v>1242</v>
      </c>
      <c r="B852" s="208">
        <f>SYSTEMAREA.R*AREAFRAC.w2R*DEPTH.sd2R</f>
        <v>30000000.00000003</v>
      </c>
      <c r="C852" s="209" t="s">
        <v>2088</v>
      </c>
    </row>
    <row r="853" spans="1:3" ht="15" customHeight="1" x14ac:dyDescent="0.3">
      <c r="A853" s="207" t="s">
        <v>274</v>
      </c>
      <c r="B853" s="208">
        <f>SYSTEMAREA.A*DEPTH.sdA*AREAFRAC.wA</f>
        <v>765000000000</v>
      </c>
      <c r="C853" s="206" t="s">
        <v>2088</v>
      </c>
    </row>
    <row r="854" spans="1:3" ht="15" customHeight="1" x14ac:dyDescent="0.3">
      <c r="A854" s="207" t="s">
        <v>33</v>
      </c>
      <c r="B854" s="208">
        <f>SYSTEMAREA.M*DEPTH.sdM*AREAFRAC.wM</f>
        <v>1160124150000</v>
      </c>
      <c r="C854" s="206" t="s">
        <v>2088</v>
      </c>
    </row>
    <row r="855" spans="1:3" ht="15" customHeight="1" x14ac:dyDescent="0.3">
      <c r="A855" s="207" t="s">
        <v>1407</v>
      </c>
      <c r="B855" s="208">
        <f>SYSTEMAREA.T*DEPTH.sdT*AREAFRAC.wT</f>
        <v>2677500000000</v>
      </c>
      <c r="C855" s="209" t="s">
        <v>2088</v>
      </c>
    </row>
    <row r="856" spans="1:3" ht="15" customHeight="1" x14ac:dyDescent="0.3">
      <c r="A856" s="207" t="s">
        <v>1185</v>
      </c>
      <c r="B856" s="208">
        <f>SYSTEMAREA.M*DEPTH.sM*AREAFRAC.sM</f>
        <v>1933540250000</v>
      </c>
      <c r="C856" s="206" t="s">
        <v>2088</v>
      </c>
    </row>
    <row r="857" spans="1:3" ht="15" customHeight="1" x14ac:dyDescent="0.3">
      <c r="A857" s="207" t="s">
        <v>1408</v>
      </c>
      <c r="B857" s="208">
        <f>SYSTEMAREA.T*DEPTH.sT*AREAFRAC.sT</f>
        <v>1912500000000.0002</v>
      </c>
      <c r="C857" s="209" t="s">
        <v>2088</v>
      </c>
    </row>
    <row r="858" spans="1:3" ht="15" customHeight="1" x14ac:dyDescent="0.3">
      <c r="A858" s="207" t="s">
        <v>327</v>
      </c>
      <c r="B858" s="208">
        <f>SYSTEMAREA.C*AREAFRAC.w0C*DEPTH.w0C</f>
        <v>928602500000</v>
      </c>
      <c r="C858" s="209" t="s">
        <v>2088</v>
      </c>
    </row>
    <row r="859" spans="1:3" ht="15" customHeight="1" x14ac:dyDescent="0.3">
      <c r="A859" s="207" t="s">
        <v>283</v>
      </c>
      <c r="B859" s="208">
        <f>SYSTEMAREA.R*AREAFRAC.w0R*DEPTH.w0R</f>
        <v>57142500000</v>
      </c>
      <c r="C859" s="209" t="s">
        <v>2088</v>
      </c>
    </row>
    <row r="860" spans="1:3" ht="15" customHeight="1" x14ac:dyDescent="0.3">
      <c r="A860" s="207" t="s">
        <v>1438</v>
      </c>
      <c r="B860" s="208">
        <f>SYSTEMAREA.C*AREAFRAC.w1C*DEPTH.w1C</f>
        <v>306438825000</v>
      </c>
      <c r="C860" s="206" t="s">
        <v>2088</v>
      </c>
    </row>
    <row r="861" spans="1:3" ht="15" customHeight="1" x14ac:dyDescent="0.3">
      <c r="A861" s="207" t="s">
        <v>530</v>
      </c>
      <c r="B861" s="208">
        <f>SYSTEMAREA.R*AREAFRAC.w1R*DEPTH.w1R</f>
        <v>18857025000</v>
      </c>
      <c r="C861" s="209" t="s">
        <v>2088</v>
      </c>
    </row>
    <row r="862" spans="1:3" ht="15" customHeight="1" x14ac:dyDescent="0.3">
      <c r="A862" s="207" t="s">
        <v>943</v>
      </c>
      <c r="B862" s="208">
        <f>SYSTEMAREA.A*DEPTH.w2A*AREAFRAC.wA</f>
        <v>2550000000000000</v>
      </c>
      <c r="C862" s="206" t="s">
        <v>2088</v>
      </c>
    </row>
    <row r="863" spans="1:3" ht="15" customHeight="1" x14ac:dyDescent="0.3">
      <c r="A863" s="207" t="s">
        <v>1439</v>
      </c>
      <c r="B863" s="208">
        <f>SYSTEMAREA.C*AREAFRAC.w2C*DEPTH.w2C</f>
        <v>742882000000000</v>
      </c>
      <c r="C863" s="206" t="s">
        <v>2088</v>
      </c>
    </row>
    <row r="864" spans="1:3" ht="15" customHeight="1" x14ac:dyDescent="0.3">
      <c r="A864" s="207" t="s">
        <v>936</v>
      </c>
      <c r="B864" s="208">
        <f>SYSTEMAREA.M*DEPTH.w2M*AREAFRAC.wM</f>
        <v>3867080500000000</v>
      </c>
      <c r="C864" s="206" t="s">
        <v>2088</v>
      </c>
    </row>
    <row r="865" spans="1:3" ht="15" customHeight="1" x14ac:dyDescent="0.3">
      <c r="A865" s="207" t="s">
        <v>1240</v>
      </c>
      <c r="B865" s="208">
        <f>SYSTEMAREA.R*AREAFRAC.w2R*DEPTH.w2R</f>
        <v>10000000000.000011</v>
      </c>
      <c r="C865" s="209" t="s">
        <v>2088</v>
      </c>
    </row>
    <row r="866" spans="1:3" ht="15" customHeight="1" x14ac:dyDescent="0.3">
      <c r="A866" s="207" t="s">
        <v>944</v>
      </c>
      <c r="B866" s="208">
        <f>SYSTEMAREA.T*DEPTH.w2T*AREAFRAC.wT</f>
        <v>8924999999999999</v>
      </c>
      <c r="C866" s="206" t="s">
        <v>2088</v>
      </c>
    </row>
    <row r="867" spans="1:3" ht="15" customHeight="1" x14ac:dyDescent="0.3">
      <c r="A867" s="207" t="s">
        <v>942</v>
      </c>
      <c r="B867" s="208">
        <f>SYSTEMAREA.A*DEPTH.w3A*AREAFRAC.wA</f>
        <v>7.65E+16</v>
      </c>
      <c r="C867" s="206" t="s">
        <v>2088</v>
      </c>
    </row>
    <row r="868" spans="1:3" ht="15" customHeight="1" x14ac:dyDescent="0.3">
      <c r="A868" s="207" t="s">
        <v>938</v>
      </c>
      <c r="B868" s="208">
        <f>SYSTEMAREA.M*DEPTH.w3M*AREAFRAC.wM</f>
        <v>1.16012415E+17</v>
      </c>
      <c r="C868" s="206" t="s">
        <v>2088</v>
      </c>
    </row>
    <row r="869" spans="1:3" ht="15" customHeight="1" x14ac:dyDescent="0.3">
      <c r="A869" s="207" t="s">
        <v>945</v>
      </c>
      <c r="B869" s="208">
        <f>SYSTEMAREA.T*DEPTH.w3T*AREAFRAC.wT</f>
        <v>2.6774999999999997E+17</v>
      </c>
      <c r="C869" s="206" t="s">
        <v>2088</v>
      </c>
    </row>
    <row r="870" spans="1:3" ht="15" customHeight="1" x14ac:dyDescent="0.3">
      <c r="A870" s="210" t="s">
        <v>333</v>
      </c>
      <c r="B870" s="208">
        <f>0.1*WATERflow.w1C.w2C</f>
        <v>2226.1018835616437</v>
      </c>
      <c r="C870" s="209" t="s">
        <v>2071</v>
      </c>
    </row>
    <row r="871" spans="1:3" ht="15" customHeight="1" x14ac:dyDescent="0.3">
      <c r="A871" s="210" t="s">
        <v>334</v>
      </c>
      <c r="B871" s="208">
        <v>0</v>
      </c>
      <c r="C871" s="209" t="s">
        <v>2071</v>
      </c>
    </row>
    <row r="872" spans="1:3" ht="15" customHeight="1" x14ac:dyDescent="0.3">
      <c r="A872" s="210" t="s">
        <v>316</v>
      </c>
      <c r="B872" s="208">
        <f>0.1*WATERflow.w2R.w2C</f>
        <v>1369.8544520547946</v>
      </c>
      <c r="C872" s="209" t="s">
        <v>2071</v>
      </c>
    </row>
    <row r="873" spans="1:3" ht="15" customHeight="1" x14ac:dyDescent="0.3">
      <c r="A873" s="210" t="s">
        <v>315</v>
      </c>
      <c r="B873" s="208">
        <v>0</v>
      </c>
      <c r="C873" s="209" t="s">
        <v>2071</v>
      </c>
    </row>
    <row r="874" spans="1:3" ht="15" customHeight="1" x14ac:dyDescent="0.3">
      <c r="A874" s="210" t="s">
        <v>335</v>
      </c>
      <c r="B874" s="208">
        <v>0</v>
      </c>
      <c r="C874" s="209" t="s">
        <v>2071</v>
      </c>
    </row>
    <row r="875" spans="1:3" ht="15" customHeight="1" x14ac:dyDescent="0.3">
      <c r="A875" s="210" t="s">
        <v>1</v>
      </c>
      <c r="B875" s="208">
        <f>((AREAFRAC.w1C+AREAFRAC.s1C*FRACrun.s1C+AREAFRAC.s2C*FRACrun.s2C+AREAFRAC.s3C*FRACrun.s3C)*RAINrate.C*SYSTEMAREA.C+WATERflow.w0C.w1C)*FRAC.w1C.w1R</f>
        <v>0</v>
      </c>
      <c r="C875" s="206" t="s">
        <v>2071</v>
      </c>
    </row>
    <row r="876" spans="1:3" ht="15" customHeight="1" x14ac:dyDescent="0.3">
      <c r="A876" s="210" t="s">
        <v>788</v>
      </c>
      <c r="B876" s="208">
        <f>((AREAFRAC.w1C+AREAFRAC.s1C*FRACrun.s1C+AREAFRAC.s2C*FRACrun.s2C+AREAFRAC.s3C*FRACrun.s3C)*RAINrate.C*SYSTEMAREA.C)*(1-FRAC.w1C.w1R)</f>
        <v>22261.018835616436</v>
      </c>
      <c r="C876" s="206" t="s">
        <v>2071</v>
      </c>
    </row>
    <row r="877" spans="1:3" ht="15" customHeight="1" x14ac:dyDescent="0.3">
      <c r="A877" s="210" t="s">
        <v>322</v>
      </c>
      <c r="B877" s="208">
        <v>0</v>
      </c>
      <c r="C877" s="209" t="s">
        <v>2071</v>
      </c>
    </row>
    <row r="878" spans="1:3" ht="15" customHeight="1" x14ac:dyDescent="0.3">
      <c r="A878" s="210" t="s">
        <v>118</v>
      </c>
      <c r="B878" s="208" t="e">
        <f>((AREAFRAC.w1R+AREAFRAC.s1R*FRACrun.s1R+AREAFRACs2R*FRACrun.s2R+AREAFRAC.s3R*FRACrun.s3R)*RAINrate.R*SYSTEMAREA.R+WATERflow.w1C.w1R)*(1-FRAC.w1R.w1C)</f>
        <v>#NAME?</v>
      </c>
      <c r="C878" s="209" t="s">
        <v>2071</v>
      </c>
    </row>
    <row r="879" spans="1:3" ht="15" customHeight="1" x14ac:dyDescent="0.3">
      <c r="A879" s="210" t="s">
        <v>1282</v>
      </c>
      <c r="B879" s="208">
        <f>0</f>
        <v>0</v>
      </c>
      <c r="C879" s="206" t="s">
        <v>2071</v>
      </c>
    </row>
    <row r="880" spans="1:3" ht="15" customHeight="1" x14ac:dyDescent="0.3">
      <c r="A880" s="210" t="s">
        <v>151</v>
      </c>
      <c r="B880" s="208">
        <f>(VOLUME.w2C/TAU.w2C)-WATERflow.w2R.w2C</f>
        <v>23542935.143962454</v>
      </c>
      <c r="C880" s="206" t="s">
        <v>2071</v>
      </c>
    </row>
    <row r="881" spans="1:3" ht="15" customHeight="1" x14ac:dyDescent="0.3">
      <c r="A881" s="210" t="s">
        <v>2</v>
      </c>
      <c r="B881" s="208">
        <f>(10-1)*WATERflow.w1R.w2R</f>
        <v>12328.69006849315</v>
      </c>
      <c r="C881" s="206" t="s">
        <v>2071</v>
      </c>
    </row>
    <row r="882" spans="1:3" ht="15" customHeight="1" x14ac:dyDescent="0.3">
      <c r="A882" s="210" t="s">
        <v>1278</v>
      </c>
      <c r="B882" s="208">
        <f>OceanCurrent</f>
        <v>150000000</v>
      </c>
      <c r="C882" s="206" t="s">
        <v>2071</v>
      </c>
    </row>
    <row r="883" spans="1:3" ht="15" customHeight="1" x14ac:dyDescent="0.3">
      <c r="A883" s="210" t="s">
        <v>935</v>
      </c>
      <c r="B883" s="208">
        <f>WATERflow.w2C.w2M</f>
        <v>23542935.143962454</v>
      </c>
      <c r="C883" s="206" t="s">
        <v>2071</v>
      </c>
    </row>
    <row r="884" spans="1:3" ht="15" customHeight="1" x14ac:dyDescent="0.3">
      <c r="A884" s="210" t="s">
        <v>1279</v>
      </c>
      <c r="B884" s="208">
        <f>0</f>
        <v>0</v>
      </c>
      <c r="C884" s="206" t="s">
        <v>2071</v>
      </c>
    </row>
    <row r="885" spans="1:3" ht="15" customHeight="1" x14ac:dyDescent="0.3">
      <c r="A885" s="210" t="s">
        <v>119</v>
      </c>
      <c r="B885" s="208">
        <f>WATERflow.w1R.w2R+WATERflow.w2C.w2R</f>
        <v>13698.544520547945</v>
      </c>
      <c r="C885" s="209" t="s">
        <v>2071</v>
      </c>
    </row>
    <row r="886" spans="1:3" ht="15" customHeight="1" x14ac:dyDescent="0.3">
      <c r="A886" s="210" t="s">
        <v>62</v>
      </c>
      <c r="B886" s="208">
        <f>OceanCurrent</f>
        <v>150000000</v>
      </c>
      <c r="C886" s="206" t="s">
        <v>2071</v>
      </c>
    </row>
    <row r="887" spans="1:3" ht="15" customHeight="1" x14ac:dyDescent="0.3">
      <c r="A887" s="207" t="s">
        <v>407</v>
      </c>
      <c r="B887" s="208">
        <v>3</v>
      </c>
      <c r="C887" s="211" t="s">
        <v>2072</v>
      </c>
    </row>
    <row r="888" spans="1:3" ht="15" customHeight="1" x14ac:dyDescent="0.3">
      <c r="A888" s="206" t="s">
        <v>787</v>
      </c>
      <c r="B888" s="213">
        <v>3</v>
      </c>
      <c r="C888" s="206" t="s">
        <v>1490</v>
      </c>
    </row>
    <row r="889" spans="1:3" ht="15" customHeight="1" x14ac:dyDescent="0.3">
      <c r="A889" s="207" t="s">
        <v>567</v>
      </c>
      <c r="B889" s="208">
        <v>3</v>
      </c>
      <c r="C889" s="211" t="s">
        <v>2072</v>
      </c>
    </row>
    <row r="890" spans="1:3" ht="15" customHeight="1" x14ac:dyDescent="0.3">
      <c r="A890" s="206" t="s">
        <v>109</v>
      </c>
      <c r="B890" s="213">
        <v>3</v>
      </c>
      <c r="C890" s="206" t="s">
        <v>1490</v>
      </c>
    </row>
    <row r="891" spans="1:3" ht="15" customHeight="1" x14ac:dyDescent="0.3">
      <c r="A891" s="207" t="s">
        <v>1051</v>
      </c>
      <c r="B891" s="213">
        <v>3</v>
      </c>
      <c r="C891" s="211" t="s">
        <v>2072</v>
      </c>
    </row>
  </sheetData>
  <pageMargins left="0.7" right="0.7" top="0.75" bottom="0.75" header="0.3" footer="0.3"/>
  <pageSetup paperSize="9" scale="79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73D10CF232294D99C81816FF31A552" ma:contentTypeVersion="8" ma:contentTypeDescription="Een nieuw document maken." ma:contentTypeScope="" ma:versionID="a1efb9f3b00c1a09c8ec5f16d7a8dd9f">
  <xsd:schema xmlns:xsd="http://www.w3.org/2001/XMLSchema" xmlns:xs="http://www.w3.org/2001/XMLSchema" xmlns:p="http://schemas.microsoft.com/office/2006/metadata/properties" xmlns:ns1="http://schemas.microsoft.com/sharepoint/v3" xmlns:ns2="feba0a3f-701e-48ef-9ed7-c4ddb3762335" targetNamespace="http://schemas.microsoft.com/office/2006/metadata/properties" ma:root="true" ma:fieldsID="4f29c17e974995d37617c2f5a510bab3" ns1:_="" ns2:_="">
    <xsd:import namespace="http://schemas.microsoft.com/sharepoint/v3"/>
    <xsd:import namespace="feba0a3f-701e-48ef-9ed7-c4ddb37623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Eigenschappen van het geïntegreerd beleid voor naleving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Actie van de gebruikersinterface van het geïntegreerd beleid voor naleving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ba0a3f-701e-48ef-9ed7-c4ddb37623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8C51551-1047-481E-B540-8C6EDC4ACF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eba0a3f-701e-48ef-9ed7-c4ddb37623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D8D7AB-B1CC-42E8-8259-4A9170BFD746}">
  <ds:schemaRefs>
    <ds:schemaRef ds:uri="http://purl.org/dc/elements/1.1/"/>
    <ds:schemaRef ds:uri="http://schemas.microsoft.com/office/2006/documentManagement/types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sharepoint/v3"/>
    <ds:schemaRef ds:uri="http://schemas.microsoft.com/office/infopath/2007/PartnerControls"/>
    <ds:schemaRef ds:uri="http://purl.org/dc/dcmitype/"/>
    <ds:schemaRef ds:uri="http://schemas.microsoft.com/office/2006/metadata/properties"/>
    <ds:schemaRef ds:uri="feba0a3f-701e-48ef-9ed7-c4ddb3762335"/>
  </ds:schemaRefs>
</ds:datastoreItem>
</file>

<file path=customXml/itemProps3.xml><?xml version="1.0" encoding="utf-8"?>
<ds:datastoreItem xmlns:ds="http://schemas.openxmlformats.org/officeDocument/2006/customXml" ds:itemID="{28464D32-E4E0-40AE-B04B-42DAA5CDEAD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992</vt:i4>
      </vt:variant>
    </vt:vector>
  </HeadingPairs>
  <TitlesOfParts>
    <vt:vector size="1004" baseType="lpstr">
      <vt:lpstr>version</vt:lpstr>
      <vt:lpstr>input</vt:lpstr>
      <vt:lpstr>output</vt:lpstr>
      <vt:lpstr>dynamicR</vt:lpstr>
      <vt:lpstr>substances</vt:lpstr>
      <vt:lpstr>scenarios</vt:lpstr>
      <vt:lpstr>cases</vt:lpstr>
      <vt:lpstr>regional</vt:lpstr>
      <vt:lpstr>continental</vt:lpstr>
      <vt:lpstr>global</vt:lpstr>
      <vt:lpstr>engine</vt:lpstr>
      <vt:lpstr>formulas</vt:lpstr>
      <vt:lpstr>_Sol25</vt:lpstr>
      <vt:lpstr>ADSORB.w1C.sd1C</vt:lpstr>
      <vt:lpstr>ADSORB.w1R.sd1R</vt:lpstr>
      <vt:lpstr>ADSORB.w2C.sd2C</vt:lpstr>
      <vt:lpstr>ADSORB.w2R.sd2R</vt:lpstr>
      <vt:lpstr>ADSORB.w3A.sdA</vt:lpstr>
      <vt:lpstr>ADSORB.w3M.sdM</vt:lpstr>
      <vt:lpstr>ADSORB.w3T.sdT</vt:lpstr>
      <vt:lpstr>AEROSOLdeprate.A</vt:lpstr>
      <vt:lpstr>AEROSOLdeprate.C</vt:lpstr>
      <vt:lpstr>AEROSOLdeprate.M</vt:lpstr>
      <vt:lpstr>AEROSOLdeprate.R</vt:lpstr>
      <vt:lpstr>AEROSOLdeprate.T</vt:lpstr>
      <vt:lpstr>AerosolWashout.A</vt:lpstr>
      <vt:lpstr>AerosolWashout.C</vt:lpstr>
      <vt:lpstr>AerosolWashout.M</vt:lpstr>
      <vt:lpstr>AerosolWashout.R</vt:lpstr>
      <vt:lpstr>AerosolWashout.T</vt:lpstr>
      <vt:lpstr>AREAFRAC.s1C</vt:lpstr>
      <vt:lpstr>AREAFRAC.s1R</vt:lpstr>
      <vt:lpstr>AREAFRAC.s2C</vt:lpstr>
      <vt:lpstr>AREAFRAC.s2R</vt:lpstr>
      <vt:lpstr>AREAFRAC.s3C</vt:lpstr>
      <vt:lpstr>AREAFRAC.s3R</vt:lpstr>
      <vt:lpstr>AREAFRAC.sA</vt:lpstr>
      <vt:lpstr>AREAFRAC.sM</vt:lpstr>
      <vt:lpstr>AREAFRAC.sT</vt:lpstr>
      <vt:lpstr>AREAFRAC.w0C</vt:lpstr>
      <vt:lpstr>AREAFRAC.w0R</vt:lpstr>
      <vt:lpstr>AREAFRAC.w1C</vt:lpstr>
      <vt:lpstr>AREAFRAC.w1R</vt:lpstr>
      <vt:lpstr>AREAFRAC.w2C</vt:lpstr>
      <vt:lpstr>AREAFRAC.w2R</vt:lpstr>
      <vt:lpstr>AREAFRAC.wA</vt:lpstr>
      <vt:lpstr>AREAFRAC.wM</vt:lpstr>
      <vt:lpstr>AREAFRAC.wT</vt:lpstr>
      <vt:lpstr>AREAland.C</vt:lpstr>
      <vt:lpstr>AREAland.R</vt:lpstr>
      <vt:lpstr>AREAsea.C</vt:lpstr>
      <vt:lpstr>AREAsea.R</vt:lpstr>
      <vt:lpstr>BACT.test</vt:lpstr>
      <vt:lpstr>BACT.w0C</vt:lpstr>
      <vt:lpstr>BACT.w0R</vt:lpstr>
      <vt:lpstr>BACT.w1C</vt:lpstr>
      <vt:lpstr>BACT.w1R</vt:lpstr>
      <vt:lpstr>BACT.w2A</vt:lpstr>
      <vt:lpstr>BACT.w2C</vt:lpstr>
      <vt:lpstr>BACT.w2M</vt:lpstr>
      <vt:lpstr>BACT.w2R</vt:lpstr>
      <vt:lpstr>BACT.w2T</vt:lpstr>
      <vt:lpstr>BACT.w3A</vt:lpstr>
      <vt:lpstr>BACT.w3M</vt:lpstr>
      <vt:lpstr>BACT.w3T</vt:lpstr>
      <vt:lpstr>Biodeg</vt:lpstr>
      <vt:lpstr>box_names</vt:lpstr>
      <vt:lpstr>C.aA</vt:lpstr>
      <vt:lpstr>C.aC</vt:lpstr>
      <vt:lpstr>C.aM</vt:lpstr>
      <vt:lpstr>C.aR</vt:lpstr>
      <vt:lpstr>C.aT</vt:lpstr>
      <vt:lpstr>C.OHrad</vt:lpstr>
      <vt:lpstr>C.OHrad.aA</vt:lpstr>
      <vt:lpstr>C.OHrad.aC</vt:lpstr>
      <vt:lpstr>C.OHrad.aM</vt:lpstr>
      <vt:lpstr>C.OHrad.aR</vt:lpstr>
      <vt:lpstr>C.OHrad.aT</vt:lpstr>
      <vt:lpstr>C.s1C</vt:lpstr>
      <vt:lpstr>C.s1R</vt:lpstr>
      <vt:lpstr>C.s2C</vt:lpstr>
      <vt:lpstr>C.s2R</vt:lpstr>
      <vt:lpstr>C.s3C</vt:lpstr>
      <vt:lpstr>C.s3R</vt:lpstr>
      <vt:lpstr>C.sA</vt:lpstr>
      <vt:lpstr>C.sd1C</vt:lpstr>
      <vt:lpstr>C.sd1R</vt:lpstr>
      <vt:lpstr>C.sd2C</vt:lpstr>
      <vt:lpstr>C.sd2R</vt:lpstr>
      <vt:lpstr>C.sdA</vt:lpstr>
      <vt:lpstr>C.sdM</vt:lpstr>
      <vt:lpstr>C.sdT</vt:lpstr>
      <vt:lpstr>C.sM</vt:lpstr>
      <vt:lpstr>C.sT</vt:lpstr>
      <vt:lpstr>C.w0C</vt:lpstr>
      <vt:lpstr>C.w0R</vt:lpstr>
      <vt:lpstr>C.w1C</vt:lpstr>
      <vt:lpstr>C.w1R</vt:lpstr>
      <vt:lpstr>C.w2A</vt:lpstr>
      <vt:lpstr>C.w2C</vt:lpstr>
      <vt:lpstr>C.w2M</vt:lpstr>
      <vt:lpstr>C.w2R</vt:lpstr>
      <vt:lpstr>C.w2T</vt:lpstr>
      <vt:lpstr>C.w3A</vt:lpstr>
      <vt:lpstr>C.w3M</vt:lpstr>
      <vt:lpstr>C.w3T</vt:lpstr>
      <vt:lpstr>CaseData</vt:lpstr>
      <vt:lpstr>CaseName</vt:lpstr>
      <vt:lpstr>CaseNames</vt:lpstr>
      <vt:lpstr>ChemClass</vt:lpstr>
      <vt:lpstr>ChemClasses</vt:lpstr>
      <vt:lpstr>ChemData</vt:lpstr>
      <vt:lpstr>ChemName</vt:lpstr>
      <vt:lpstr>ChemNames</vt:lpstr>
      <vt:lpstr>ChemRowNr</vt:lpstr>
      <vt:lpstr>COL.w0C</vt:lpstr>
      <vt:lpstr>COL.w0R</vt:lpstr>
      <vt:lpstr>COL.w1C</vt:lpstr>
      <vt:lpstr>COL.w1R</vt:lpstr>
      <vt:lpstr>COL.w2A</vt:lpstr>
      <vt:lpstr>COL.w2C</vt:lpstr>
      <vt:lpstr>COL.w2M</vt:lpstr>
      <vt:lpstr>COL.w2R</vt:lpstr>
      <vt:lpstr>COL.w2T</vt:lpstr>
      <vt:lpstr>COL.w3A</vt:lpstr>
      <vt:lpstr>COL.w3M</vt:lpstr>
      <vt:lpstr>COL.w3T</vt:lpstr>
      <vt:lpstr>COLLECTeff.A</vt:lpstr>
      <vt:lpstr>COLLECTeff.C</vt:lpstr>
      <vt:lpstr>COLLECTeff.M</vt:lpstr>
      <vt:lpstr>COLLECTeff.R</vt:lpstr>
      <vt:lpstr>COLLECTeff.T</vt:lpstr>
      <vt:lpstr>concentration</vt:lpstr>
      <vt:lpstr>CORG</vt:lpstr>
      <vt:lpstr>CORG.s1C</vt:lpstr>
      <vt:lpstr>CORG.s1R</vt:lpstr>
      <vt:lpstr>CORG.s2C</vt:lpstr>
      <vt:lpstr>CORG.s2R</vt:lpstr>
      <vt:lpstr>CORG.s3C</vt:lpstr>
      <vt:lpstr>CORG.s3R</vt:lpstr>
      <vt:lpstr>CORG.sA</vt:lpstr>
      <vt:lpstr>CORG.sd1C</vt:lpstr>
      <vt:lpstr>CORG.sd1R</vt:lpstr>
      <vt:lpstr>CORG.sd2C</vt:lpstr>
      <vt:lpstr>CORG.sd2R</vt:lpstr>
      <vt:lpstr>CORG.sdA</vt:lpstr>
      <vt:lpstr>CORG.sdM</vt:lpstr>
      <vt:lpstr>CORG.sdT</vt:lpstr>
      <vt:lpstr>CORG.sM</vt:lpstr>
      <vt:lpstr>CORG.sT</vt:lpstr>
      <vt:lpstr>CORG.susp0C</vt:lpstr>
      <vt:lpstr>CORG.susp0R</vt:lpstr>
      <vt:lpstr>CORG.susp1C</vt:lpstr>
      <vt:lpstr>CORG.susp1R</vt:lpstr>
      <vt:lpstr>CORG.susp2A</vt:lpstr>
      <vt:lpstr>CORG.susp2C</vt:lpstr>
      <vt:lpstr>CORG.susp2M</vt:lpstr>
      <vt:lpstr>CORG.susp2R</vt:lpstr>
      <vt:lpstr>CORG.susp2T</vt:lpstr>
      <vt:lpstr>CORG.susp3A</vt:lpstr>
      <vt:lpstr>CORG.susp3M</vt:lpstr>
      <vt:lpstr>CORG.susp3T</vt:lpstr>
      <vt:lpstr>CORGaers</vt:lpstr>
      <vt:lpstr>CORRleach.s1C</vt:lpstr>
      <vt:lpstr>CORRleach.s1R</vt:lpstr>
      <vt:lpstr>CORRleach.s2C</vt:lpstr>
      <vt:lpstr>CORRleach.s2R</vt:lpstr>
      <vt:lpstr>CORRleach.s3C</vt:lpstr>
      <vt:lpstr>CORRleach.s3R</vt:lpstr>
      <vt:lpstr>CORRleach.sA</vt:lpstr>
      <vt:lpstr>CORRleach.sM</vt:lpstr>
      <vt:lpstr>CORRleach.sT</vt:lpstr>
      <vt:lpstr>CORRrunoff.s1C</vt:lpstr>
      <vt:lpstr>CORRrunoff.s1R</vt:lpstr>
      <vt:lpstr>CORRrunoff.s2C</vt:lpstr>
      <vt:lpstr>CORRrunoff.s2R</vt:lpstr>
      <vt:lpstr>CORRrunoff.s3C</vt:lpstr>
      <vt:lpstr>CORRrunoff.s3R</vt:lpstr>
      <vt:lpstr>CORRrunoff.sA</vt:lpstr>
      <vt:lpstr>CORRrunoff.sM</vt:lpstr>
      <vt:lpstr>CORRrunoff.sT</vt:lpstr>
      <vt:lpstr>CORRvolat.s1C</vt:lpstr>
      <vt:lpstr>CORRvolat.s1R</vt:lpstr>
      <vt:lpstr>CORRvolat.s2C</vt:lpstr>
      <vt:lpstr>CORRvolat.s2R</vt:lpstr>
      <vt:lpstr>CORRvolat.s3C</vt:lpstr>
      <vt:lpstr>CORRvolat.s3R</vt:lpstr>
      <vt:lpstr>CORRvolat.sA</vt:lpstr>
      <vt:lpstr>CORRvolat.sM</vt:lpstr>
      <vt:lpstr>CORRvolat.sT</vt:lpstr>
      <vt:lpstr>D</vt:lpstr>
      <vt:lpstr>DEPTH.s1C</vt:lpstr>
      <vt:lpstr>DEPTH.s1R</vt:lpstr>
      <vt:lpstr>DEPTH.s2C</vt:lpstr>
      <vt:lpstr>DEPTH.s2R</vt:lpstr>
      <vt:lpstr>DEPTH.s3C</vt:lpstr>
      <vt:lpstr>DEPTH.s3R</vt:lpstr>
      <vt:lpstr>DEPTH.sA</vt:lpstr>
      <vt:lpstr>DEPTH.sd1C</vt:lpstr>
      <vt:lpstr>DEPTH.sd1R</vt:lpstr>
      <vt:lpstr>DEPTH.sd2C</vt:lpstr>
      <vt:lpstr>DEPTH.sd2R</vt:lpstr>
      <vt:lpstr>DEPTH.sdA</vt:lpstr>
      <vt:lpstr>DEPTH.sdM</vt:lpstr>
      <vt:lpstr>DEPTH.sdT</vt:lpstr>
      <vt:lpstr>DEPTH.sM</vt:lpstr>
      <vt:lpstr>DEPTH.sT</vt:lpstr>
      <vt:lpstr>DEPTH.w0C</vt:lpstr>
      <vt:lpstr>DEPTH.w0R</vt:lpstr>
      <vt:lpstr>DEPTH.w1C</vt:lpstr>
      <vt:lpstr>DEPTH.w1R</vt:lpstr>
      <vt:lpstr>DEPTH.w2A</vt:lpstr>
      <vt:lpstr>DEPTH.w2C</vt:lpstr>
      <vt:lpstr>DEPTH.w2M</vt:lpstr>
      <vt:lpstr>DEPTH.w2R</vt:lpstr>
      <vt:lpstr>DEPTH.w2T</vt:lpstr>
      <vt:lpstr>DEPTH.w3A</vt:lpstr>
      <vt:lpstr>DEPTH.w3M</vt:lpstr>
      <vt:lpstr>DEPTH.w3T</vt:lpstr>
      <vt:lpstr>DEPTHfreshwater.C</vt:lpstr>
      <vt:lpstr>DEPTHfreshwater.R</vt:lpstr>
      <vt:lpstr>DEPTHlake.C</vt:lpstr>
      <vt:lpstr>DEPTHlake.R</vt:lpstr>
      <vt:lpstr>DESORB.sd1C.w1C</vt:lpstr>
      <vt:lpstr>DESORB.sd1R.w1R</vt:lpstr>
      <vt:lpstr>DESORB.sd2C.w2C</vt:lpstr>
      <vt:lpstr>DESORB.sd2R.w2R</vt:lpstr>
      <vt:lpstr>DESORB.sdA.w3A</vt:lpstr>
      <vt:lpstr>DESORB.sdM.w3M</vt:lpstr>
      <vt:lpstr>DESORB.sdT.w3T</vt:lpstr>
      <vt:lpstr>DIFFgas</vt:lpstr>
      <vt:lpstr>DIFFwater</vt:lpstr>
      <vt:lpstr>DRYDEPaerosol.A</vt:lpstr>
      <vt:lpstr>DRYDEPaerosol.C</vt:lpstr>
      <vt:lpstr>DRYDEPaerosol.M</vt:lpstr>
      <vt:lpstr>DRYDEPaerosol.R</vt:lpstr>
      <vt:lpstr>DRYDEPaerosol.T</vt:lpstr>
      <vt:lpstr>E.aA</vt:lpstr>
      <vt:lpstr>E.aC</vt:lpstr>
      <vt:lpstr>E.aM</vt:lpstr>
      <vt:lpstr>E.aR</vt:lpstr>
      <vt:lpstr>E.aT</vt:lpstr>
      <vt:lpstr>E.s1C</vt:lpstr>
      <vt:lpstr>E.s1R</vt:lpstr>
      <vt:lpstr>E.s2C</vt:lpstr>
      <vt:lpstr>E.s2R</vt:lpstr>
      <vt:lpstr>E.s3C</vt:lpstr>
      <vt:lpstr>E.s3R</vt:lpstr>
      <vt:lpstr>E.sA</vt:lpstr>
      <vt:lpstr>E.sM</vt:lpstr>
      <vt:lpstr>E.sT</vt:lpstr>
      <vt:lpstr>E.w0C</vt:lpstr>
      <vt:lpstr>E.w0R</vt:lpstr>
      <vt:lpstr>E.w1C</vt:lpstr>
      <vt:lpstr>E.w1R</vt:lpstr>
      <vt:lpstr>E.w2A</vt:lpstr>
      <vt:lpstr>E.w2C</vt:lpstr>
      <vt:lpstr>E.w2M</vt:lpstr>
      <vt:lpstr>E.w2R</vt:lpstr>
      <vt:lpstr>E.w2T</vt:lpstr>
      <vt:lpstr>Ea.OHrad</vt:lpstr>
      <vt:lpstr>emis</vt:lpstr>
      <vt:lpstr>emis.I</vt:lpstr>
      <vt:lpstr>emis.II</vt:lpstr>
      <vt:lpstr>Emis.tot</vt:lpstr>
      <vt:lpstr>EROSION.C</vt:lpstr>
      <vt:lpstr>EROSION.R</vt:lpstr>
      <vt:lpstr>EROSION.s1C</vt:lpstr>
      <vt:lpstr>EROSION.s1R</vt:lpstr>
      <vt:lpstr>EROSION.s2C</vt:lpstr>
      <vt:lpstr>EROSION.s2R</vt:lpstr>
      <vt:lpstr>EROSION.s3C</vt:lpstr>
      <vt:lpstr>EROSION.s3R</vt:lpstr>
      <vt:lpstr>EROSION.sA</vt:lpstr>
      <vt:lpstr>EROSION.sM</vt:lpstr>
      <vt:lpstr>EROSION.sT</vt:lpstr>
      <vt:lpstr>F.aA</vt:lpstr>
      <vt:lpstr>F.aC</vt:lpstr>
      <vt:lpstr>F.aM</vt:lpstr>
      <vt:lpstr>F.aR</vt:lpstr>
      <vt:lpstr>F.aT</vt:lpstr>
      <vt:lpstr>F.s1C</vt:lpstr>
      <vt:lpstr>F.s1R</vt:lpstr>
      <vt:lpstr>F.s2C</vt:lpstr>
      <vt:lpstr>F.s2R</vt:lpstr>
      <vt:lpstr>F.s3C</vt:lpstr>
      <vt:lpstr>F.s3R</vt:lpstr>
      <vt:lpstr>F.sA</vt:lpstr>
      <vt:lpstr>F.sd1C</vt:lpstr>
      <vt:lpstr>F.sd1R</vt:lpstr>
      <vt:lpstr>F.sd2C</vt:lpstr>
      <vt:lpstr>F.sd2R</vt:lpstr>
      <vt:lpstr>F.sdA</vt:lpstr>
      <vt:lpstr>F.sdM</vt:lpstr>
      <vt:lpstr>F.sdT</vt:lpstr>
      <vt:lpstr>F.sM</vt:lpstr>
      <vt:lpstr>F.sT</vt:lpstr>
      <vt:lpstr>F.w0C</vt:lpstr>
      <vt:lpstr>F.w0R</vt:lpstr>
      <vt:lpstr>F.w1C</vt:lpstr>
      <vt:lpstr>F.w1R</vt:lpstr>
      <vt:lpstr>F.w2A</vt:lpstr>
      <vt:lpstr>F.w2C</vt:lpstr>
      <vt:lpstr>F.w2M</vt:lpstr>
      <vt:lpstr>F.w2R</vt:lpstr>
      <vt:lpstr>F.w2T</vt:lpstr>
      <vt:lpstr>F.w3A</vt:lpstr>
      <vt:lpstr>F.w3M</vt:lpstr>
      <vt:lpstr>F.w3T</vt:lpstr>
      <vt:lpstr>FRAC.w1C.w1R</vt:lpstr>
      <vt:lpstr>FRAC.w1R.w1C</vt:lpstr>
      <vt:lpstr>FRACa.s1C</vt:lpstr>
      <vt:lpstr>FRACa.s1R</vt:lpstr>
      <vt:lpstr>FRACa.s2C</vt:lpstr>
      <vt:lpstr>FRACa.s2R</vt:lpstr>
      <vt:lpstr>FRACa.s3C</vt:lpstr>
      <vt:lpstr>FRACa.s3R</vt:lpstr>
      <vt:lpstr>FRACa.sA</vt:lpstr>
      <vt:lpstr>FRACa.sM</vt:lpstr>
      <vt:lpstr>FRACa.sT</vt:lpstr>
      <vt:lpstr>FRACaers.aA</vt:lpstr>
      <vt:lpstr>FRACaers.aC</vt:lpstr>
      <vt:lpstr>FRACaers.aM</vt:lpstr>
      <vt:lpstr>FRACaers.aR</vt:lpstr>
      <vt:lpstr>FRACaers.aT</vt:lpstr>
      <vt:lpstr>FRACaerw.aA</vt:lpstr>
      <vt:lpstr>FRACaerw.aC</vt:lpstr>
      <vt:lpstr>FRACaerw.aM</vt:lpstr>
      <vt:lpstr>FRACaerw.aR</vt:lpstr>
      <vt:lpstr>FRACaerw.aT</vt:lpstr>
      <vt:lpstr>FRACagsoil.C</vt:lpstr>
      <vt:lpstr>FRACagsoil.R</vt:lpstr>
      <vt:lpstr>FRACfresh.C</vt:lpstr>
      <vt:lpstr>FRACfresh.R</vt:lpstr>
      <vt:lpstr>FRACinf.C</vt:lpstr>
      <vt:lpstr>FRACinf.R</vt:lpstr>
      <vt:lpstr>FRACinf.s1C</vt:lpstr>
      <vt:lpstr>FRACinf.s1R</vt:lpstr>
      <vt:lpstr>FRACinf.s2C</vt:lpstr>
      <vt:lpstr>FRACinf.s2R</vt:lpstr>
      <vt:lpstr>FRACinf.s3C</vt:lpstr>
      <vt:lpstr>FRACinf.s3R</vt:lpstr>
      <vt:lpstr>FRACinf.sA</vt:lpstr>
      <vt:lpstr>FRACinf.sM</vt:lpstr>
      <vt:lpstr>FRACinf.sT</vt:lpstr>
      <vt:lpstr>FRAClake.C</vt:lpstr>
      <vt:lpstr>FRAClake.R</vt:lpstr>
      <vt:lpstr>FRACnatsoil.C</vt:lpstr>
      <vt:lpstr>FRACnatsoil.R</vt:lpstr>
      <vt:lpstr>FRACothersoil.C</vt:lpstr>
      <vt:lpstr>FRACothersoil.R</vt:lpstr>
      <vt:lpstr>FRACrun.C</vt:lpstr>
      <vt:lpstr>FRACrun.R</vt:lpstr>
      <vt:lpstr>FRACrun.s1C</vt:lpstr>
      <vt:lpstr>FRACrun.s1R</vt:lpstr>
      <vt:lpstr>FRACrun.s2C</vt:lpstr>
      <vt:lpstr>FRACrun.s2R</vt:lpstr>
      <vt:lpstr>FRACrun.s3C</vt:lpstr>
      <vt:lpstr>FRACrun.s3R</vt:lpstr>
      <vt:lpstr>FRACrun.sA</vt:lpstr>
      <vt:lpstr>FRACrun.sM</vt:lpstr>
      <vt:lpstr>FRACrun.sT</vt:lpstr>
      <vt:lpstr>FRACs.s1C</vt:lpstr>
      <vt:lpstr>FRACs.s1R</vt:lpstr>
      <vt:lpstr>FRACs.s2C</vt:lpstr>
      <vt:lpstr>FRACs.s2R</vt:lpstr>
      <vt:lpstr>FRACs.s3C</vt:lpstr>
      <vt:lpstr>FRACs.s3R</vt:lpstr>
      <vt:lpstr>FRACs.sA</vt:lpstr>
      <vt:lpstr>FRACs.sdA</vt:lpstr>
      <vt:lpstr>FRACs.sdC</vt:lpstr>
      <vt:lpstr>FRACs.sdM</vt:lpstr>
      <vt:lpstr>FRACs.sdR</vt:lpstr>
      <vt:lpstr>FRACs.sdT</vt:lpstr>
      <vt:lpstr>FRACs.sM</vt:lpstr>
      <vt:lpstr>FRACs.sT</vt:lpstr>
      <vt:lpstr>FRACw.s1C</vt:lpstr>
      <vt:lpstr>FRACw.s1R</vt:lpstr>
      <vt:lpstr>FRACw.s2C</vt:lpstr>
      <vt:lpstr>FRACw.s2R</vt:lpstr>
      <vt:lpstr>FRACw.s3C</vt:lpstr>
      <vt:lpstr>FRACw.s3R</vt:lpstr>
      <vt:lpstr>FRACw.sA</vt:lpstr>
      <vt:lpstr>FRACw.sdA</vt:lpstr>
      <vt:lpstr>FRACw.sdC</vt:lpstr>
      <vt:lpstr>FRACw.sdM</vt:lpstr>
      <vt:lpstr>FRACw.sdR</vt:lpstr>
      <vt:lpstr>FRACw.sdT</vt:lpstr>
      <vt:lpstr>FRACw.sM</vt:lpstr>
      <vt:lpstr>FRACw.sT</vt:lpstr>
      <vt:lpstr>FRaers.aA</vt:lpstr>
      <vt:lpstr>FRaers.aC</vt:lpstr>
      <vt:lpstr>FRaers.aM</vt:lpstr>
      <vt:lpstr>FRaers.aR</vt:lpstr>
      <vt:lpstr>FRaers.aT</vt:lpstr>
      <vt:lpstr>FRaerw.aA</vt:lpstr>
      <vt:lpstr>FRaerw.aC</vt:lpstr>
      <vt:lpstr>FRaerw.aM</vt:lpstr>
      <vt:lpstr>FRaerw.aR</vt:lpstr>
      <vt:lpstr>FRaerw.aT</vt:lpstr>
      <vt:lpstr>FRgas.aA</vt:lpstr>
      <vt:lpstr>FRgas.aC</vt:lpstr>
      <vt:lpstr>FRgas.aM</vt:lpstr>
      <vt:lpstr>FRgas.aR</vt:lpstr>
      <vt:lpstr>FRgas.aT</vt:lpstr>
      <vt:lpstr>FRorig.aerw</vt:lpstr>
      <vt:lpstr>FRorig.s1</vt:lpstr>
      <vt:lpstr>FRorig.s1w</vt:lpstr>
      <vt:lpstr>FRorig.s2</vt:lpstr>
      <vt:lpstr>FRorig.s2w</vt:lpstr>
      <vt:lpstr>FRorig.s3</vt:lpstr>
      <vt:lpstr>FRorig.s3w</vt:lpstr>
      <vt:lpstr>FRorig.sd1</vt:lpstr>
      <vt:lpstr>FRorig.sd2</vt:lpstr>
      <vt:lpstr>FRorig.w1</vt:lpstr>
      <vt:lpstr>FRorig.w2</vt:lpstr>
      <vt:lpstr>FRs.s1C</vt:lpstr>
      <vt:lpstr>FRs.s1R</vt:lpstr>
      <vt:lpstr>FRs.s2C</vt:lpstr>
      <vt:lpstr>FRs.s2R</vt:lpstr>
      <vt:lpstr>FRs.s3C</vt:lpstr>
      <vt:lpstr>FRs.s3R</vt:lpstr>
      <vt:lpstr>FRs.sA</vt:lpstr>
      <vt:lpstr>FRs.sM</vt:lpstr>
      <vt:lpstr>FRs.sT</vt:lpstr>
      <vt:lpstr>FRw.s1C</vt:lpstr>
      <vt:lpstr>FRw.s1R</vt:lpstr>
      <vt:lpstr>FRw.s2C</vt:lpstr>
      <vt:lpstr>FRw.s2R</vt:lpstr>
      <vt:lpstr>FRw.s3C</vt:lpstr>
      <vt:lpstr>FRw.s3R</vt:lpstr>
      <vt:lpstr>FRw.sA</vt:lpstr>
      <vt:lpstr>FRw.sM</vt:lpstr>
      <vt:lpstr>FRw.sT</vt:lpstr>
      <vt:lpstr>FRw.w0C</vt:lpstr>
      <vt:lpstr>FRw.w0R</vt:lpstr>
      <vt:lpstr>FRw.w1C</vt:lpstr>
      <vt:lpstr>FRw.w1R</vt:lpstr>
      <vt:lpstr>FRw.w2A</vt:lpstr>
      <vt:lpstr>FRw.w2C</vt:lpstr>
      <vt:lpstr>FRw.w2M</vt:lpstr>
      <vt:lpstr>FRw.w2R</vt:lpstr>
      <vt:lpstr>FRw.w2T</vt:lpstr>
      <vt:lpstr>FRw.w3A</vt:lpstr>
      <vt:lpstr>FRw.w3M</vt:lpstr>
      <vt:lpstr>FRw.w3T</vt:lpstr>
      <vt:lpstr>fugacity</vt:lpstr>
      <vt:lpstr>GASABS.aA.sA</vt:lpstr>
      <vt:lpstr>GASABS.aA.wA</vt:lpstr>
      <vt:lpstr>GASABS.aC.sC</vt:lpstr>
      <vt:lpstr>GASABS.aC.wC</vt:lpstr>
      <vt:lpstr>GASABS.aM.sM</vt:lpstr>
      <vt:lpstr>GASABS.aM.wM</vt:lpstr>
      <vt:lpstr>GASABS.aR.sR</vt:lpstr>
      <vt:lpstr>GASABS.aR.wR</vt:lpstr>
      <vt:lpstr>GASABS.aT.sT</vt:lpstr>
      <vt:lpstr>GASABS.aT.wT</vt:lpstr>
      <vt:lpstr>GasWashout.A</vt:lpstr>
      <vt:lpstr>GasWashout.C</vt:lpstr>
      <vt:lpstr>GasWashout.M</vt:lpstr>
      <vt:lpstr>GasWashout.R</vt:lpstr>
      <vt:lpstr>GasWashout.T</vt:lpstr>
      <vt:lpstr>GROSSSEDrate.w1C</vt:lpstr>
      <vt:lpstr>GROSSSEDrate.w1R</vt:lpstr>
      <vt:lpstr>GROSSSEDrate.w2C</vt:lpstr>
      <vt:lpstr>GROSSSEDrate.w2R</vt:lpstr>
      <vt:lpstr>GROSSSEDrate.w3A</vt:lpstr>
      <vt:lpstr>GROSSSEDrate.w3M</vt:lpstr>
      <vt:lpstr>GROSSSEDrate.w3T</vt:lpstr>
      <vt:lpstr>H0sol</vt:lpstr>
      <vt:lpstr>H0vap</vt:lpstr>
      <vt:lpstr>HEIGHT.aA</vt:lpstr>
      <vt:lpstr>HEIGHT.aC</vt:lpstr>
      <vt:lpstr>HEIGHT.aM</vt:lpstr>
      <vt:lpstr>HEIGHT.aR</vt:lpstr>
      <vt:lpstr>HEIGHT.aT</vt:lpstr>
      <vt:lpstr>K</vt:lpstr>
      <vt:lpstr>k.aA</vt:lpstr>
      <vt:lpstr>k.aA.aM</vt:lpstr>
      <vt:lpstr>k.aA.sA</vt:lpstr>
      <vt:lpstr>k.aA.w2A</vt:lpstr>
      <vt:lpstr>k.aC</vt:lpstr>
      <vt:lpstr>k.aC.aM</vt:lpstr>
      <vt:lpstr>k.aC.aR</vt:lpstr>
      <vt:lpstr>k.aC.s1C</vt:lpstr>
      <vt:lpstr>k.aC.s2C</vt:lpstr>
      <vt:lpstr>k.aC.s3C</vt:lpstr>
      <vt:lpstr>k.aC.w0C</vt:lpstr>
      <vt:lpstr>k.aC.w1C</vt:lpstr>
      <vt:lpstr>k.aC.w2C</vt:lpstr>
      <vt:lpstr>k.aM</vt:lpstr>
      <vt:lpstr>k.aM.aA</vt:lpstr>
      <vt:lpstr>k.aM.aC</vt:lpstr>
      <vt:lpstr>k.aM.aT</vt:lpstr>
      <vt:lpstr>k.aM.sM</vt:lpstr>
      <vt:lpstr>k.aM.w2M</vt:lpstr>
      <vt:lpstr>k.aR</vt:lpstr>
      <vt:lpstr>k.aR.aC</vt:lpstr>
      <vt:lpstr>k.aR.s1R</vt:lpstr>
      <vt:lpstr>k.aR.s2R</vt:lpstr>
      <vt:lpstr>k.aR.s3R</vt:lpstr>
      <vt:lpstr>k.aR.w0R</vt:lpstr>
      <vt:lpstr>k.aR.w1R</vt:lpstr>
      <vt:lpstr>k.aR.w2R</vt:lpstr>
      <vt:lpstr>k.aT</vt:lpstr>
      <vt:lpstr>k.aT.aM</vt:lpstr>
      <vt:lpstr>k.aT.sT</vt:lpstr>
      <vt:lpstr>k.aT.w2T</vt:lpstr>
      <vt:lpstr>k.s1C</vt:lpstr>
      <vt:lpstr>k.s1C.aC</vt:lpstr>
      <vt:lpstr>k.s1C.w0C</vt:lpstr>
      <vt:lpstr>k.s1C.w1C</vt:lpstr>
      <vt:lpstr>k.s1R</vt:lpstr>
      <vt:lpstr>k.s1R.aR</vt:lpstr>
      <vt:lpstr>k.s1R.w0R</vt:lpstr>
      <vt:lpstr>k.s1R.w1R</vt:lpstr>
      <vt:lpstr>k.s2C</vt:lpstr>
      <vt:lpstr>k.s2C.aC</vt:lpstr>
      <vt:lpstr>k.s2C.w0C</vt:lpstr>
      <vt:lpstr>k.s2C.w1C</vt:lpstr>
      <vt:lpstr>k.s2R</vt:lpstr>
      <vt:lpstr>k.s2R.aR</vt:lpstr>
      <vt:lpstr>k.s2R.w0R</vt:lpstr>
      <vt:lpstr>k.s2R.w1R</vt:lpstr>
      <vt:lpstr>k.s3C</vt:lpstr>
      <vt:lpstr>k.s3C.aC</vt:lpstr>
      <vt:lpstr>k.s3C.w0C</vt:lpstr>
      <vt:lpstr>k.s3C.w1C</vt:lpstr>
      <vt:lpstr>k.s3R</vt:lpstr>
      <vt:lpstr>k.s3R.aR</vt:lpstr>
      <vt:lpstr>k.s3R.w0R</vt:lpstr>
      <vt:lpstr>k.s3R.w1R</vt:lpstr>
      <vt:lpstr>k.sA</vt:lpstr>
      <vt:lpstr>k.sA.aA</vt:lpstr>
      <vt:lpstr>k.sA.w2A</vt:lpstr>
      <vt:lpstr>k.sd1C</vt:lpstr>
      <vt:lpstr>k.sd1C.w1C</vt:lpstr>
      <vt:lpstr>k.sd1R</vt:lpstr>
      <vt:lpstr>k.sd1R.w1R</vt:lpstr>
      <vt:lpstr>k.sd2C</vt:lpstr>
      <vt:lpstr>k.sd2C.w2C</vt:lpstr>
      <vt:lpstr>k.sd2R</vt:lpstr>
      <vt:lpstr>k.sd2R.w2R</vt:lpstr>
      <vt:lpstr>k.sdA</vt:lpstr>
      <vt:lpstr>k.sdA.w3A</vt:lpstr>
      <vt:lpstr>k.sdM</vt:lpstr>
      <vt:lpstr>k.sdM.w3M</vt:lpstr>
      <vt:lpstr>k.sdT</vt:lpstr>
      <vt:lpstr>k.sdT.w3T</vt:lpstr>
      <vt:lpstr>k.sM</vt:lpstr>
      <vt:lpstr>k.sM.aM</vt:lpstr>
      <vt:lpstr>k.sM.w2M</vt:lpstr>
      <vt:lpstr>k.sT</vt:lpstr>
      <vt:lpstr>k.sT.aT</vt:lpstr>
      <vt:lpstr>k.sT.w2T</vt:lpstr>
      <vt:lpstr>k.w0C</vt:lpstr>
      <vt:lpstr>k.w0C.aC</vt:lpstr>
      <vt:lpstr>k.w0C.w1C</vt:lpstr>
      <vt:lpstr>k.w0C.w2C</vt:lpstr>
      <vt:lpstr>k.w0R</vt:lpstr>
      <vt:lpstr>k.w0R.aR</vt:lpstr>
      <vt:lpstr>k.w0R.w1R</vt:lpstr>
      <vt:lpstr>k.w0R.w2R</vt:lpstr>
      <vt:lpstr>k.w1C</vt:lpstr>
      <vt:lpstr>k.w1C.aC</vt:lpstr>
      <vt:lpstr>k.w1C.sd1C</vt:lpstr>
      <vt:lpstr>k.w1C.w0C</vt:lpstr>
      <vt:lpstr>k.w1C.w1R</vt:lpstr>
      <vt:lpstr>k.w1C.w2C</vt:lpstr>
      <vt:lpstr>k.w1R</vt:lpstr>
      <vt:lpstr>k.w1R.aR</vt:lpstr>
      <vt:lpstr>k.w1R.sd1R</vt:lpstr>
      <vt:lpstr>k.w1R.w0R</vt:lpstr>
      <vt:lpstr>k.w1R.w2R</vt:lpstr>
      <vt:lpstr>k.w2A</vt:lpstr>
      <vt:lpstr>k.w2A.aA</vt:lpstr>
      <vt:lpstr>k.w2A.w2M</vt:lpstr>
      <vt:lpstr>k.w2A.w3A</vt:lpstr>
      <vt:lpstr>k.w2C</vt:lpstr>
      <vt:lpstr>k.w2C.aC</vt:lpstr>
      <vt:lpstr>k.w2C.sd2C</vt:lpstr>
      <vt:lpstr>k.w2C.w2M</vt:lpstr>
      <vt:lpstr>k.w2C.w2R</vt:lpstr>
      <vt:lpstr>k.w2M</vt:lpstr>
      <vt:lpstr>k.w2M.aM</vt:lpstr>
      <vt:lpstr>k.w2M.w2A</vt:lpstr>
      <vt:lpstr>k.w2M.w2C</vt:lpstr>
      <vt:lpstr>k.w2M.w2T</vt:lpstr>
      <vt:lpstr>k.w2M.w3M</vt:lpstr>
      <vt:lpstr>k.w2R</vt:lpstr>
      <vt:lpstr>k.w2R.aR</vt:lpstr>
      <vt:lpstr>k.w2R.sd2R</vt:lpstr>
      <vt:lpstr>k.w2R.w2C</vt:lpstr>
      <vt:lpstr>k.w2T</vt:lpstr>
      <vt:lpstr>k.w2T.aT</vt:lpstr>
      <vt:lpstr>k.w2T.w2M</vt:lpstr>
      <vt:lpstr>k.w2T.w3T</vt:lpstr>
      <vt:lpstr>k.w3A</vt:lpstr>
      <vt:lpstr>k.w3A.sdA</vt:lpstr>
      <vt:lpstr>k.w3A.w2A</vt:lpstr>
      <vt:lpstr>k.w3A.w3M</vt:lpstr>
      <vt:lpstr>k.w3M</vt:lpstr>
      <vt:lpstr>k.w3M.sdM</vt:lpstr>
      <vt:lpstr>k.w3M.w2M</vt:lpstr>
      <vt:lpstr>k.w3M.w3A</vt:lpstr>
      <vt:lpstr>k.w3M.w3T</vt:lpstr>
      <vt:lpstr>k.w3T</vt:lpstr>
      <vt:lpstr>k.w3T.sdT</vt:lpstr>
      <vt:lpstr>k.w3T.w2T</vt:lpstr>
      <vt:lpstr>k.w3T.w3M</vt:lpstr>
      <vt:lpstr>k0.OHrad</vt:lpstr>
      <vt:lpstr>Kaers.aA</vt:lpstr>
      <vt:lpstr>Kaers.aC</vt:lpstr>
      <vt:lpstr>Kaers.aM</vt:lpstr>
      <vt:lpstr>Kaers.aR</vt:lpstr>
      <vt:lpstr>Kaers.aT</vt:lpstr>
      <vt:lpstr>Kaerw.aA</vt:lpstr>
      <vt:lpstr>Kaerw.aC</vt:lpstr>
      <vt:lpstr>Kaerw.aM</vt:lpstr>
      <vt:lpstr>Kaerw.aR</vt:lpstr>
      <vt:lpstr>Kaerw.aT</vt:lpstr>
      <vt:lpstr>Kaw</vt:lpstr>
      <vt:lpstr>Kaw.A</vt:lpstr>
      <vt:lpstr>Kaw.C</vt:lpstr>
      <vt:lpstr>Kaw.M</vt:lpstr>
      <vt:lpstr>Kaw.R</vt:lpstr>
      <vt:lpstr>Kaw.T</vt:lpstr>
      <vt:lpstr>KDEG.aA</vt:lpstr>
      <vt:lpstr>KDEG.aC</vt:lpstr>
      <vt:lpstr>kdeg.air</vt:lpstr>
      <vt:lpstr>KDEG.aM</vt:lpstr>
      <vt:lpstr>KDEG.aR</vt:lpstr>
      <vt:lpstr>KDEG.aT</vt:lpstr>
      <vt:lpstr>KDEG.s1C</vt:lpstr>
      <vt:lpstr>KDEG.s1R</vt:lpstr>
      <vt:lpstr>KDEG.s2C</vt:lpstr>
      <vt:lpstr>KDEG.s2R</vt:lpstr>
      <vt:lpstr>KDEG.s3C</vt:lpstr>
      <vt:lpstr>KDEG.s3R</vt:lpstr>
      <vt:lpstr>KDEG.sA</vt:lpstr>
      <vt:lpstr>KDEG.sd1C</vt:lpstr>
      <vt:lpstr>KDEG.sd1R</vt:lpstr>
      <vt:lpstr>KDEG.sd2C</vt:lpstr>
      <vt:lpstr>KDEG.sd2R</vt:lpstr>
      <vt:lpstr>KDEG.sdA</vt:lpstr>
      <vt:lpstr>KDEG.sdM</vt:lpstr>
      <vt:lpstr>KDEG.sdT</vt:lpstr>
      <vt:lpstr>kdeg.sed</vt:lpstr>
      <vt:lpstr>KDEG.sM</vt:lpstr>
      <vt:lpstr>kdeg.soil</vt:lpstr>
      <vt:lpstr>KDEG.sT</vt:lpstr>
      <vt:lpstr>KDEG.w0C</vt:lpstr>
      <vt:lpstr>KDEG.w0R</vt:lpstr>
      <vt:lpstr>KDEG.w1C</vt:lpstr>
      <vt:lpstr>KDEG.w1R</vt:lpstr>
      <vt:lpstr>KDEG.w2A</vt:lpstr>
      <vt:lpstr>KDEG.w2C</vt:lpstr>
      <vt:lpstr>KDEG.w2M</vt:lpstr>
      <vt:lpstr>KDEG.w2R</vt:lpstr>
      <vt:lpstr>KDEG.w2T</vt:lpstr>
      <vt:lpstr>KDEG.w3A</vt:lpstr>
      <vt:lpstr>KDEG.w3M</vt:lpstr>
      <vt:lpstr>KDEG.w3T</vt:lpstr>
      <vt:lpstr>kdeg.water</vt:lpstr>
      <vt:lpstr>kdry.A</vt:lpstr>
      <vt:lpstr>kdry.C</vt:lpstr>
      <vt:lpstr>kdry.M</vt:lpstr>
      <vt:lpstr>kdry.R</vt:lpstr>
      <vt:lpstr>kdry.T</vt:lpstr>
      <vt:lpstr>kesc.aA</vt:lpstr>
      <vt:lpstr>kesc.aC</vt:lpstr>
      <vt:lpstr>kesc.aM</vt:lpstr>
      <vt:lpstr>kesc.aR</vt:lpstr>
      <vt:lpstr>kesc.aT</vt:lpstr>
      <vt:lpstr>Kow</vt:lpstr>
      <vt:lpstr>Kow.alt</vt:lpstr>
      <vt:lpstr>Kp.col0C</vt:lpstr>
      <vt:lpstr>Kp.col0R</vt:lpstr>
      <vt:lpstr>Kp.col1C</vt:lpstr>
      <vt:lpstr>Kp.col1R</vt:lpstr>
      <vt:lpstr>Kp.col2A</vt:lpstr>
      <vt:lpstr>Kp.col2C</vt:lpstr>
      <vt:lpstr>Kp.col2M</vt:lpstr>
      <vt:lpstr>Kp.col2R</vt:lpstr>
      <vt:lpstr>Kp.col2T</vt:lpstr>
      <vt:lpstr>Kp.col3A</vt:lpstr>
      <vt:lpstr>Kp.col3M</vt:lpstr>
      <vt:lpstr>Kp.col3T</vt:lpstr>
      <vt:lpstr>Kp.s1C</vt:lpstr>
      <vt:lpstr>Kp.s1R</vt:lpstr>
      <vt:lpstr>Kp.s2C</vt:lpstr>
      <vt:lpstr>Kp.s2R</vt:lpstr>
      <vt:lpstr>Kp.s3C</vt:lpstr>
      <vt:lpstr>Kp.s3R</vt:lpstr>
      <vt:lpstr>Kp.sA</vt:lpstr>
      <vt:lpstr>Kp.sd1C</vt:lpstr>
      <vt:lpstr>Kp.sd1R</vt:lpstr>
      <vt:lpstr>Kp.sd2C</vt:lpstr>
      <vt:lpstr>Kp.sd2R</vt:lpstr>
      <vt:lpstr>Kp.sdA</vt:lpstr>
      <vt:lpstr>Kp.sdM</vt:lpstr>
      <vt:lpstr>Kp.sdT</vt:lpstr>
      <vt:lpstr>Kp.sM</vt:lpstr>
      <vt:lpstr>Kp.sT</vt:lpstr>
      <vt:lpstr>Kp.susp0C</vt:lpstr>
      <vt:lpstr>Kp.susp0R</vt:lpstr>
      <vt:lpstr>Kp.susp1C</vt:lpstr>
      <vt:lpstr>Kp.susp1R</vt:lpstr>
      <vt:lpstr>Kp.susp2A</vt:lpstr>
      <vt:lpstr>Kp.susp2C</vt:lpstr>
      <vt:lpstr>Kp.susp2M</vt:lpstr>
      <vt:lpstr>Kp.susp2R</vt:lpstr>
      <vt:lpstr>Kp.susp2T</vt:lpstr>
      <vt:lpstr>Kp.susp3A</vt:lpstr>
      <vt:lpstr>Kp.susp3M</vt:lpstr>
      <vt:lpstr>Kp.susp3T</vt:lpstr>
      <vt:lpstr>Ks1w.C</vt:lpstr>
      <vt:lpstr>Ks1w.R</vt:lpstr>
      <vt:lpstr>Ks2w.C</vt:lpstr>
      <vt:lpstr>Ks2w.R</vt:lpstr>
      <vt:lpstr>Ks3w.C</vt:lpstr>
      <vt:lpstr>Ks3w.R</vt:lpstr>
      <vt:lpstr>Ksdw.A</vt:lpstr>
      <vt:lpstr>Ksdw.M</vt:lpstr>
      <vt:lpstr>Ksdw.T</vt:lpstr>
      <vt:lpstr>Ksdw1.C</vt:lpstr>
      <vt:lpstr>Ksdw1.R</vt:lpstr>
      <vt:lpstr>Ksdw2.C</vt:lpstr>
      <vt:lpstr>Ksdw2.R</vt:lpstr>
      <vt:lpstr>Kslw.A</vt:lpstr>
      <vt:lpstr>Kslw.M</vt:lpstr>
      <vt:lpstr>Kslw.T</vt:lpstr>
      <vt:lpstr>Ksw</vt:lpstr>
      <vt:lpstr>Ksw.alt</vt:lpstr>
      <vt:lpstr>kwet.A</vt:lpstr>
      <vt:lpstr>kwet.C</vt:lpstr>
      <vt:lpstr>kwet.M</vt:lpstr>
      <vt:lpstr>kwet.R</vt:lpstr>
      <vt:lpstr>kwet.T</vt:lpstr>
      <vt:lpstr>kwsd.sed.sdA</vt:lpstr>
      <vt:lpstr>kwsd.sed.sdC</vt:lpstr>
      <vt:lpstr>kwsd.sed.sdM</vt:lpstr>
      <vt:lpstr>kwsd.sed.sdR</vt:lpstr>
      <vt:lpstr>kwsd.sed.sdT</vt:lpstr>
      <vt:lpstr>kwsd.water.wA</vt:lpstr>
      <vt:lpstr>kwsd.water.wC</vt:lpstr>
      <vt:lpstr>kwsd.water.wM</vt:lpstr>
      <vt:lpstr>kwsd.water.wR</vt:lpstr>
      <vt:lpstr>kwsd.water.wT</vt:lpstr>
      <vt:lpstr>M.aA</vt:lpstr>
      <vt:lpstr>M.aC</vt:lpstr>
      <vt:lpstr>M.aM</vt:lpstr>
      <vt:lpstr>M.aR</vt:lpstr>
      <vt:lpstr>M.aT</vt:lpstr>
      <vt:lpstr>M.s1C</vt:lpstr>
      <vt:lpstr>M.s1R</vt:lpstr>
      <vt:lpstr>M.s2C</vt:lpstr>
      <vt:lpstr>M.s2R</vt:lpstr>
      <vt:lpstr>M.s3C</vt:lpstr>
      <vt:lpstr>M.s3R</vt:lpstr>
      <vt:lpstr>M.sA</vt:lpstr>
      <vt:lpstr>M.sd1C</vt:lpstr>
      <vt:lpstr>M.sd1R</vt:lpstr>
      <vt:lpstr>M.sd2C</vt:lpstr>
      <vt:lpstr>M.sd2R</vt:lpstr>
      <vt:lpstr>M.sdA</vt:lpstr>
      <vt:lpstr>M.sdM</vt:lpstr>
      <vt:lpstr>M.sdT</vt:lpstr>
      <vt:lpstr>M.sM</vt:lpstr>
      <vt:lpstr>M.sT</vt:lpstr>
      <vt:lpstr>M.tot</vt:lpstr>
      <vt:lpstr>M.w0C</vt:lpstr>
      <vt:lpstr>M.w0R</vt:lpstr>
      <vt:lpstr>M.w1C</vt:lpstr>
      <vt:lpstr>M.w1R</vt:lpstr>
      <vt:lpstr>M.w2A</vt:lpstr>
      <vt:lpstr>M.w2C</vt:lpstr>
      <vt:lpstr>M.w2M</vt:lpstr>
      <vt:lpstr>M.w2R</vt:lpstr>
      <vt:lpstr>M.w2T</vt:lpstr>
      <vt:lpstr>M.w3A</vt:lpstr>
      <vt:lpstr>M.w3M</vt:lpstr>
      <vt:lpstr>M.w3T</vt:lpstr>
      <vt:lpstr>m0</vt:lpstr>
      <vt:lpstr>mass</vt:lpstr>
      <vt:lpstr>MeanDep.A</vt:lpstr>
      <vt:lpstr>MeanDep.C</vt:lpstr>
      <vt:lpstr>MeanDep.M</vt:lpstr>
      <vt:lpstr>MeanDep.R</vt:lpstr>
      <vt:lpstr>MeanDep.T</vt:lpstr>
      <vt:lpstr>MeanRem.aA</vt:lpstr>
      <vt:lpstr>MeanRem.aC</vt:lpstr>
      <vt:lpstr>MeanRem.aM</vt:lpstr>
      <vt:lpstr>MeanRem.aR</vt:lpstr>
      <vt:lpstr>MeanRem.aT</vt:lpstr>
      <vt:lpstr>Molweight</vt:lpstr>
      <vt:lpstr>MTCas.air.aA</vt:lpstr>
      <vt:lpstr>MTCas.air.aC</vt:lpstr>
      <vt:lpstr>MTCas.air.aM</vt:lpstr>
      <vt:lpstr>MTCas.air.aR</vt:lpstr>
      <vt:lpstr>MTCas.air.aT</vt:lpstr>
      <vt:lpstr>MTCas.soil.sA</vt:lpstr>
      <vt:lpstr>MTCas.soil.sC</vt:lpstr>
      <vt:lpstr>MTCas.soil.sM</vt:lpstr>
      <vt:lpstr>MTCas.soil.sR</vt:lpstr>
      <vt:lpstr>MTCas.soil.sT</vt:lpstr>
      <vt:lpstr>MTCaw.air.aA</vt:lpstr>
      <vt:lpstr>MTCaw.air.aC</vt:lpstr>
      <vt:lpstr>MTCaw.air.aM</vt:lpstr>
      <vt:lpstr>MTCaw.air.aR</vt:lpstr>
      <vt:lpstr>MTCaw.air.aT</vt:lpstr>
      <vt:lpstr>MTCaw.water.wA</vt:lpstr>
      <vt:lpstr>MTCaw.water.wC</vt:lpstr>
      <vt:lpstr>MTCaw.water.wM</vt:lpstr>
      <vt:lpstr>MTCaw.water.wR</vt:lpstr>
      <vt:lpstr>MTCaw.water.wT</vt:lpstr>
      <vt:lpstr>NETsedrate.w1C</vt:lpstr>
      <vt:lpstr>NETsedrate.w1R</vt:lpstr>
      <vt:lpstr>NETsedrate.w2C</vt:lpstr>
      <vt:lpstr>NETsedrate.w2R</vt:lpstr>
      <vt:lpstr>NETsedrate.wA</vt:lpstr>
      <vt:lpstr>NETsedrate.wM</vt:lpstr>
      <vt:lpstr>NETsedrate.wT</vt:lpstr>
      <vt:lpstr>OceanCurrent</vt:lpstr>
      <vt:lpstr>OceanMixing.A</vt:lpstr>
      <vt:lpstr>OceanMixing.M</vt:lpstr>
      <vt:lpstr>OceanMixing.T</vt:lpstr>
      <vt:lpstr>pH.aerw</vt:lpstr>
      <vt:lpstr>pH.s1</vt:lpstr>
      <vt:lpstr>pH.s2</vt:lpstr>
      <vt:lpstr>pH.s3</vt:lpstr>
      <vt:lpstr>pH.w1</vt:lpstr>
      <vt:lpstr>pH.w2</vt:lpstr>
      <vt:lpstr>pKa</vt:lpstr>
      <vt:lpstr>PRODsusp.w1C</vt:lpstr>
      <vt:lpstr>PRODsusp.w1R</vt:lpstr>
      <vt:lpstr>PRODsusp.w2C</vt:lpstr>
      <vt:lpstr>PRODsusp.w2R</vt:lpstr>
      <vt:lpstr>PRODsusp.wA</vt:lpstr>
      <vt:lpstr>PRODsusp.wM</vt:lpstr>
      <vt:lpstr>PRODsusp.wT</vt:lpstr>
      <vt:lpstr>Pvap25</vt:lpstr>
      <vt:lpstr>Q.10</vt:lpstr>
      <vt:lpstr>QSARtable</vt:lpstr>
      <vt:lpstr>RAINrate.A</vt:lpstr>
      <vt:lpstr>RAINrate.C</vt:lpstr>
      <vt:lpstr>RAINrate.M</vt:lpstr>
      <vt:lpstr>RAINrate.R</vt:lpstr>
      <vt:lpstr>RAINrate.T</vt:lpstr>
      <vt:lpstr>regiodata</vt:lpstr>
      <vt:lpstr>RESUSP.sd1C.w1C</vt:lpstr>
      <vt:lpstr>RESUSP.sd1R.w1R</vt:lpstr>
      <vt:lpstr>RESUSP.sd2C.w2C</vt:lpstr>
      <vt:lpstr>RESUSP.sd2R.w2R</vt:lpstr>
      <vt:lpstr>RESUSP.sdA.w3A</vt:lpstr>
      <vt:lpstr>RESUSP.sdM.w3M</vt:lpstr>
      <vt:lpstr>RESUSP.sdT.w3T</vt:lpstr>
      <vt:lpstr>RHOaers</vt:lpstr>
      <vt:lpstr>RHOsolid</vt:lpstr>
      <vt:lpstr>Scale</vt:lpstr>
      <vt:lpstr>ScenarioData</vt:lpstr>
      <vt:lpstr>ScenarioName</vt:lpstr>
      <vt:lpstr>ScenarioNames</vt:lpstr>
      <vt:lpstr>SED.w1C.sd1C</vt:lpstr>
      <vt:lpstr>SED.w1R.sd1R</vt:lpstr>
      <vt:lpstr>SED.w2C.sd2C</vt:lpstr>
      <vt:lpstr>SED.w2R.sd2R</vt:lpstr>
      <vt:lpstr>SED.w3A.sdA</vt:lpstr>
      <vt:lpstr>SED.w3M.sdM</vt:lpstr>
      <vt:lpstr>SED.w3T.sdT</vt:lpstr>
      <vt:lpstr>SETTLvelocity.A</vt:lpstr>
      <vt:lpstr>SETTLvelocity.C</vt:lpstr>
      <vt:lpstr>SETTLvelocity.M</vt:lpstr>
      <vt:lpstr>SETTLvelocity.R</vt:lpstr>
      <vt:lpstr>SETTLvelocity.T</vt:lpstr>
      <vt:lpstr>SUSP.w0C</vt:lpstr>
      <vt:lpstr>SUSP.w0R</vt:lpstr>
      <vt:lpstr>SUSP.w1C</vt:lpstr>
      <vt:lpstr>SUSP.w1R</vt:lpstr>
      <vt:lpstr>SUSP.w2A</vt:lpstr>
      <vt:lpstr>SUSP.w2C</vt:lpstr>
      <vt:lpstr>SUSP.w2M</vt:lpstr>
      <vt:lpstr>SUSP.w2R</vt:lpstr>
      <vt:lpstr>SUSP.w2T</vt:lpstr>
      <vt:lpstr>SUSP.w3A</vt:lpstr>
      <vt:lpstr>SUSP.w3M</vt:lpstr>
      <vt:lpstr>SUSP.w3T</vt:lpstr>
      <vt:lpstr>SYSTEMAREA.A</vt:lpstr>
      <vt:lpstr>SYSTEMAREA.C</vt:lpstr>
      <vt:lpstr>SYSTEMAREA.M</vt:lpstr>
      <vt:lpstr>SYSTEMAREA.R</vt:lpstr>
      <vt:lpstr>SYSTEMAREA.T</vt:lpstr>
      <vt:lpstr>TAU.aA</vt:lpstr>
      <vt:lpstr>TAU.aC</vt:lpstr>
      <vt:lpstr>TAU.aR</vt:lpstr>
      <vt:lpstr>TAU.aT</vt:lpstr>
      <vt:lpstr>TAU.surfA</vt:lpstr>
      <vt:lpstr>TAU.surfM</vt:lpstr>
      <vt:lpstr>TAU.surfT</vt:lpstr>
      <vt:lpstr>TAU.w2C</vt:lpstr>
      <vt:lpstr>tdry.A</vt:lpstr>
      <vt:lpstr>tdry.C</vt:lpstr>
      <vt:lpstr>tdry.M</vt:lpstr>
      <vt:lpstr>tdry.R</vt:lpstr>
      <vt:lpstr>tdry.T</vt:lpstr>
      <vt:lpstr>TEMP.A</vt:lpstr>
      <vt:lpstr>TEMP.C</vt:lpstr>
      <vt:lpstr>TEMP.M</vt:lpstr>
      <vt:lpstr>TEMP.R</vt:lpstr>
      <vt:lpstr>TEMP.T</vt:lpstr>
      <vt:lpstr>Tempfactor.aA</vt:lpstr>
      <vt:lpstr>Tempfactor.aC</vt:lpstr>
      <vt:lpstr>Tempfactor.aM</vt:lpstr>
      <vt:lpstr>Tempfactor.aR</vt:lpstr>
      <vt:lpstr>Tempfactor.aT</vt:lpstr>
      <vt:lpstr>Tempfactor.wsdsA</vt:lpstr>
      <vt:lpstr>Tempfactor.wsdsC</vt:lpstr>
      <vt:lpstr>Tempfactor.wsdsM</vt:lpstr>
      <vt:lpstr>Tempfactor.wsdsR</vt:lpstr>
      <vt:lpstr>Tempfactor.wsdsT</vt:lpstr>
      <vt:lpstr>tend.I</vt:lpstr>
      <vt:lpstr>tend.II</vt:lpstr>
      <vt:lpstr>Tm</vt:lpstr>
      <vt:lpstr>TOTAREAland.C</vt:lpstr>
      <vt:lpstr>TOTAREAsea.C</vt:lpstr>
      <vt:lpstr>twet.A</vt:lpstr>
      <vt:lpstr>twet.C</vt:lpstr>
      <vt:lpstr>twet.M</vt:lpstr>
      <vt:lpstr>twet.R</vt:lpstr>
      <vt:lpstr>twet.T</vt:lpstr>
      <vt:lpstr>v</vt:lpstr>
      <vt:lpstr>VOLAT.s1C.aC</vt:lpstr>
      <vt:lpstr>VOLAT.s1R.aR</vt:lpstr>
      <vt:lpstr>VOLAT.s2C.aC</vt:lpstr>
      <vt:lpstr>VOLAT.s2R.aR</vt:lpstr>
      <vt:lpstr>VOLAT.s3C.aC</vt:lpstr>
      <vt:lpstr>VOLAT.s3R.aR</vt:lpstr>
      <vt:lpstr>VOLAT.sA.aA</vt:lpstr>
      <vt:lpstr>VOLAT.sM.aM</vt:lpstr>
      <vt:lpstr>VOLAT.sT.aT</vt:lpstr>
      <vt:lpstr>VOLAT.w0C.aC</vt:lpstr>
      <vt:lpstr>VOLAT.w0R.aR</vt:lpstr>
      <vt:lpstr>VOLAT.w1C.aC</vt:lpstr>
      <vt:lpstr>VOLAT.w1R.aR</vt:lpstr>
      <vt:lpstr>VOLAT.w2A.aA</vt:lpstr>
      <vt:lpstr>VOLAT.w2C.aC</vt:lpstr>
      <vt:lpstr>VOLAT.w2M.aM</vt:lpstr>
      <vt:lpstr>VOLAT.w2R.aR</vt:lpstr>
      <vt:lpstr>VOLAT.w2T.aT</vt:lpstr>
      <vt:lpstr>VOLUME.aA</vt:lpstr>
      <vt:lpstr>VOLUME.aC</vt:lpstr>
      <vt:lpstr>VOLUME.aM</vt:lpstr>
      <vt:lpstr>VOLUME.aR</vt:lpstr>
      <vt:lpstr>VOLUME.aT</vt:lpstr>
      <vt:lpstr>VOLUME.s1C</vt:lpstr>
      <vt:lpstr>VOLUME.s1R</vt:lpstr>
      <vt:lpstr>VOLUME.s2C</vt:lpstr>
      <vt:lpstr>VOLUME.s2R</vt:lpstr>
      <vt:lpstr>VOLUME.s3C</vt:lpstr>
      <vt:lpstr>VOLUME.s3R</vt:lpstr>
      <vt:lpstr>VOLUME.sA</vt:lpstr>
      <vt:lpstr>VOLUME.sd1C</vt:lpstr>
      <vt:lpstr>VOLUME.sd1R</vt:lpstr>
      <vt:lpstr>VOLUME.sd2C</vt:lpstr>
      <vt:lpstr>VOLUME.sd2R</vt:lpstr>
      <vt:lpstr>VOLUME.sdA</vt:lpstr>
      <vt:lpstr>VOLUME.sdM</vt:lpstr>
      <vt:lpstr>VOLUME.sdT</vt:lpstr>
      <vt:lpstr>VOLUME.sM</vt:lpstr>
      <vt:lpstr>VOLUME.sT</vt:lpstr>
      <vt:lpstr>VOLUME.w0C</vt:lpstr>
      <vt:lpstr>VOLUME.w0R</vt:lpstr>
      <vt:lpstr>VOLUME.w1C</vt:lpstr>
      <vt:lpstr>VOLUME.w1R</vt:lpstr>
      <vt:lpstr>VOLUME.w2A</vt:lpstr>
      <vt:lpstr>VOLUME.w2C</vt:lpstr>
      <vt:lpstr>VOLUME.w2M</vt:lpstr>
      <vt:lpstr>VOLUME.w2R</vt:lpstr>
      <vt:lpstr>VOLUME.w2T</vt:lpstr>
      <vt:lpstr>VOLUME.w3A</vt:lpstr>
      <vt:lpstr>VOLUME.w3M</vt:lpstr>
      <vt:lpstr>VOLUME.w3T</vt:lpstr>
      <vt:lpstr>WATERflow.w0C.w1C</vt:lpstr>
      <vt:lpstr>WATERflow.w0C.w2C</vt:lpstr>
      <vt:lpstr>WATERflow.w0R.w1R</vt:lpstr>
      <vt:lpstr>WATERflow.w0R.w2R</vt:lpstr>
      <vt:lpstr>WATERflow.w1C.w0C</vt:lpstr>
      <vt:lpstr>WATERflow.w1C.w1R</vt:lpstr>
      <vt:lpstr>WATERflow.w1C.w2C</vt:lpstr>
      <vt:lpstr>WATERflow.w1R.w0R</vt:lpstr>
      <vt:lpstr>WATERflow.w1R.w2R</vt:lpstr>
      <vt:lpstr>WATERflow.w2A.w2M</vt:lpstr>
      <vt:lpstr>WATERflow.w2C.w2M</vt:lpstr>
      <vt:lpstr>WATERflow.w2C.w2R</vt:lpstr>
      <vt:lpstr>WATERflow.w2M.w2A</vt:lpstr>
      <vt:lpstr>WATERflow.w2M.w2C</vt:lpstr>
      <vt:lpstr>WATERflow.w2M.w2T</vt:lpstr>
      <vt:lpstr>WATERflow.w2R.w2C</vt:lpstr>
      <vt:lpstr>WATERflow.w2T.w2M</vt:lpstr>
      <vt:lpstr>WINDspeed.A</vt:lpstr>
      <vt:lpstr>WINDspeed.C</vt:lpstr>
      <vt:lpstr>WINDspeed.M</vt:lpstr>
      <vt:lpstr>WINDspeed.R</vt:lpstr>
      <vt:lpstr>WINDspeed.T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ChemFinder.Com Search Result Page</dc:title>
  <dc:creator>eco</dc:creator>
  <cp:lastModifiedBy>Dimitris Mintis</cp:lastModifiedBy>
  <cp:lastPrinted>2014-04-07T07:45:23Z</cp:lastPrinted>
  <dcterms:created xsi:type="dcterms:W3CDTF">2000-08-28T11:36:35Z</dcterms:created>
  <dcterms:modified xsi:type="dcterms:W3CDTF">2025-07-28T13:12:07Z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0x0101006073D10CF232294D99C81816FF31A552</vt:lpwstr>
  </property>
  <property fmtid="{D5CDD505-2E9C-101B-9397-08002B2CF9AE}" pid="3" name="xd_Signature">
    <vt:bool>false</vt:bool>
  </property>
  <property fmtid="{D5CDD505-2E9C-101B-9397-08002B2CF9AE}" pid="4" name="xd_ProgID">
    <vt:lpwstr/>
  </property>
  <property fmtid="{D5CDD505-2E9C-101B-9397-08002B2CF9AE}" pid="5" name="TemplateUrl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